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defaultThemeVersion="124226"/>
  <mc:AlternateContent xmlns:mc="http://schemas.openxmlformats.org/markup-compatibility/2006">
    <mc:Choice Requires="x15">
      <x15ac:absPath xmlns:x15ac="http://schemas.microsoft.com/office/spreadsheetml/2010/11/ac" url="Z:\01施設マネジメント\06_施設台帳関係【10年】\01施設カルテ\R7【～R17末】\成果品（HP掲載）\"/>
    </mc:Choice>
  </mc:AlternateContent>
  <xr:revisionPtr revIDLastSave="0" documentId="13_ncr:1_{DE66AB30-77CB-4CA0-97B6-C6FAC4572829}" xr6:coauthVersionLast="47" xr6:coauthVersionMax="47" xr10:uidLastSave="{00000000-0000-0000-0000-000000000000}"/>
  <bookViews>
    <workbookView xWindow="28680" yWindow="1545" windowWidth="29040" windowHeight="15720" xr2:uid="{00000000-000D-0000-FFFF-FFFF00000000}"/>
    <workbookView minimized="1" xWindow="30255" yWindow="5400" windowWidth="21600" windowHeight="11295" activeTab="1" xr2:uid="{7A3F9475-AA4F-49CE-A10E-3C438FC69746}"/>
  </bookViews>
  <sheets>
    <sheet name="①基本情報 " sheetId="82" r:id="rId1"/>
    <sheet name="②建物情報 " sheetId="83" r:id="rId2"/>
    <sheet name="③経費情報(2024)" sheetId="84" r:id="rId3"/>
    <sheet name="＜参考＞③経費情報(2023)" sheetId="77" r:id="rId4"/>
    <sheet name="&lt;参考&gt;③経費情報(2022)" sheetId="81" r:id="rId5"/>
    <sheet name="＜参考＞③経費情報 (2021)" sheetId="71" r:id="rId6"/>
    <sheet name="＜参考＞③経費情報 (2020)" sheetId="72" r:id="rId7"/>
    <sheet name="＜参考＞③経費情報 (2019)" sheetId="73" r:id="rId8"/>
    <sheet name="値貼付け" sheetId="25" state="hidden" r:id="rId9"/>
    <sheet name="集計（基本）" sheetId="16" state="hidden" r:id="rId10"/>
    <sheet name="集計" sheetId="15" state="hidden" r:id="rId11"/>
  </sheets>
  <externalReferences>
    <externalReference r:id="rId12"/>
    <externalReference r:id="rId13"/>
    <externalReference r:id="rId14"/>
  </externalReferences>
  <definedNames>
    <definedName name="_xlnm._FilterDatabase" localSheetId="7" hidden="1">'＜参考＞③経費情報 (2019)'!$A$3:$AO$270</definedName>
    <definedName name="_xlnm._FilterDatabase" localSheetId="6" hidden="1">'＜参考＞③経費情報 (2020)'!$A$3:$BB$270</definedName>
    <definedName name="_xlnm._FilterDatabase" localSheetId="5" hidden="1">'＜参考＞③経費情報 (2021)'!$A$3:$BD$273</definedName>
    <definedName name="_xlnm._FilterDatabase" localSheetId="4" hidden="1">'&lt;参考&gt;③経費情報(2022)'!$A$3:$BD$263</definedName>
    <definedName name="_xlnm._FilterDatabase" localSheetId="3" hidden="1">'＜参考＞③経費情報(2023)'!$A$3:$BG$3</definedName>
    <definedName name="_xlnm._FilterDatabase" localSheetId="0" hidden="1">'①基本情報 '!$A$1:$BE$256</definedName>
    <definedName name="_xlnm._FilterDatabase" localSheetId="1" hidden="1">'②建物情報 '!$A$2:$AK$742</definedName>
    <definedName name="_xlnm._FilterDatabase" localSheetId="2" hidden="1">'③経費情報(2024)'!$A$3:$BD$263</definedName>
    <definedName name="_xlnm.Print_Area" localSheetId="7">'＜参考＞③経費情報 (2019)'!$A$1:$AO$270</definedName>
    <definedName name="_xlnm.Print_Area" localSheetId="6">'＜参考＞③経費情報 (2020)'!$A$1:$AV$270</definedName>
    <definedName name="_xlnm.Print_Area" localSheetId="5">'＜参考＞③経費情報 (2021)'!$A$1:$BD$273</definedName>
    <definedName name="_xlnm.Print_Area" localSheetId="4">'&lt;参考&gt;③経費情報(2022)'!$A$1:$BD$263</definedName>
    <definedName name="_xlnm.Print_Area" localSheetId="3">'＜参考＞③経費情報(2023)'!$A$1:$BD$263</definedName>
    <definedName name="_xlnm.Print_Area" localSheetId="0">'①基本情報 '!$A$1:$BD$255</definedName>
    <definedName name="_xlnm.Print_Area" localSheetId="1">'②建物情報 '!$A$1:$AK$742</definedName>
    <definedName name="_xlnm.Print_Area" localSheetId="2">'③経費情報(2024)'!$A$1:$BD$264</definedName>
    <definedName name="_xlnm.Print_Titles" localSheetId="7">'＜参考＞③経費情報 (2019)'!$A:$E,'＜参考＞③経費情報 (2019)'!$1:$3</definedName>
    <definedName name="_xlnm.Print_Titles" localSheetId="6">'＜参考＞③経費情報 (2020)'!$A:$E,'＜参考＞③経費情報 (2020)'!$1:$3</definedName>
    <definedName name="_xlnm.Print_Titles" localSheetId="5">'＜参考＞③経費情報 (2021)'!$A:$E,'＜参考＞③経費情報 (2021)'!$1:$3</definedName>
    <definedName name="_xlnm.Print_Titles" localSheetId="4">'&lt;参考&gt;③経費情報(2022)'!$E:$E,'&lt;参考&gt;③経費情報(2022)'!$1:$3</definedName>
    <definedName name="_xlnm.Print_Titles" localSheetId="3">'＜参考＞③経費情報(2023)'!$E:$E,'＜参考＞③経費情報(2023)'!$1:$3</definedName>
    <definedName name="_xlnm.Print_Titles" localSheetId="0">'①基本情報 '!$A:$E,'①基本情報 '!$1:$1</definedName>
    <definedName name="_xlnm.Print_Titles" localSheetId="1">'②建物情報 '!$A:$E,'②建物情報 '!$1:$2</definedName>
    <definedName name="_xlnm.Print_Titles" localSheetId="2">'③経費情報(2024)'!$E:$E,'③経費情報(2024)'!$1:$3</definedName>
    <definedName name="緊急度">'[1]勘定科目-補助科目リスト'!$D$1:$D$65536</definedName>
    <definedName name="大項目">[2]ﾌﾟﾙﾀﾞｳﾝﾒﾆｭｰ!$G$2:$V$2</definedName>
    <definedName name="大分類">[3]ﾌﾟﾙﾀﾞｳﾝﾒﾆｭｰ!$B$2:$B$18</definedName>
    <definedName name="中分類">[3]ﾌﾟﾙﾀﾞｳﾝﾒﾆｭｰ!$C$2:$C$26</definedName>
  </definedNames>
  <calcPr calcId="191029" refMode="R1C1"/>
  <pivotCaches>
    <pivotCache cacheId="14" r:id="rId15"/>
    <pivotCache cacheId="15"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83" l="1"/>
  <c r="W12" i="84"/>
  <c r="AJ264" i="84"/>
  <c r="AB264" i="84"/>
  <c r="S264" i="84"/>
  <c r="W264" i="84" s="1"/>
  <c r="K264" i="84"/>
  <c r="F264" i="84"/>
  <c r="C264" i="84"/>
  <c r="B264" i="84"/>
  <c r="AJ263" i="84"/>
  <c r="AB263" i="84"/>
  <c r="S263" i="84"/>
  <c r="W263" i="84" s="1"/>
  <c r="K263" i="84"/>
  <c r="F263" i="84"/>
  <c r="C263" i="84"/>
  <c r="B263" i="84"/>
  <c r="AJ262" i="84"/>
  <c r="AB262" i="84"/>
  <c r="S262" i="84"/>
  <c r="W262" i="84" s="1"/>
  <c r="K262" i="84"/>
  <c r="F262" i="84"/>
  <c r="C262" i="84"/>
  <c r="B262" i="84"/>
  <c r="AJ261" i="84"/>
  <c r="AB261" i="84"/>
  <c r="S261" i="84"/>
  <c r="W261" i="84" s="1"/>
  <c r="K261" i="84"/>
  <c r="F261" i="84"/>
  <c r="C261" i="84"/>
  <c r="B261" i="84"/>
  <c r="AJ260" i="84"/>
  <c r="AB260" i="84"/>
  <c r="S260" i="84"/>
  <c r="W260" i="84" s="1"/>
  <c r="K260" i="84"/>
  <c r="F260" i="84"/>
  <c r="C260" i="84"/>
  <c r="B260" i="84"/>
  <c r="AJ259" i="84"/>
  <c r="AB259" i="84"/>
  <c r="S259" i="84"/>
  <c r="W259" i="84" s="1"/>
  <c r="K259" i="84"/>
  <c r="F259" i="84"/>
  <c r="C259" i="84"/>
  <c r="B259" i="84"/>
  <c r="AJ258" i="84"/>
  <c r="AB258" i="84"/>
  <c r="S258" i="84"/>
  <c r="W258" i="84" s="1"/>
  <c r="K258" i="84"/>
  <c r="F258" i="84"/>
  <c r="C258" i="84"/>
  <c r="B258" i="84"/>
  <c r="AJ257" i="84"/>
  <c r="AB257" i="84"/>
  <c r="S257" i="84"/>
  <c r="W257" i="84" s="1"/>
  <c r="K257" i="84"/>
  <c r="F257" i="84"/>
  <c r="C257" i="84"/>
  <c r="B257" i="84"/>
  <c r="AJ256" i="84"/>
  <c r="AB256" i="84"/>
  <c r="S256" i="84"/>
  <c r="W256" i="84" s="1"/>
  <c r="K256" i="84"/>
  <c r="F256" i="84"/>
  <c r="C256" i="84"/>
  <c r="B256" i="84"/>
  <c r="AJ255" i="84"/>
  <c r="AB255" i="84"/>
  <c r="S255" i="84"/>
  <c r="W255" i="84" s="1"/>
  <c r="K255" i="84"/>
  <c r="F255" i="84"/>
  <c r="C255" i="84"/>
  <c r="B255" i="84"/>
  <c r="AJ254" i="84"/>
  <c r="AB254" i="84"/>
  <c r="S254" i="84"/>
  <c r="W254" i="84" s="1"/>
  <c r="K254" i="84"/>
  <c r="F254" i="84"/>
  <c r="C254" i="84"/>
  <c r="B254" i="84"/>
  <c r="AJ253" i="84"/>
  <c r="AB253" i="84"/>
  <c r="S253" i="84"/>
  <c r="W253" i="84" s="1"/>
  <c r="K253" i="84"/>
  <c r="F253" i="84"/>
  <c r="C253" i="84"/>
  <c r="B253" i="84"/>
  <c r="AJ252" i="84"/>
  <c r="AB252" i="84"/>
  <c r="S252" i="84"/>
  <c r="W252" i="84" s="1"/>
  <c r="K252" i="84"/>
  <c r="F252" i="84"/>
  <c r="C252" i="84"/>
  <c r="B252" i="84"/>
  <c r="AJ251" i="84"/>
  <c r="AB251" i="84"/>
  <c r="S251" i="84"/>
  <c r="W251" i="84" s="1"/>
  <c r="K251" i="84"/>
  <c r="F251" i="84"/>
  <c r="C251" i="84"/>
  <c r="B251" i="84"/>
  <c r="BA250" i="84"/>
  <c r="AO250" i="84" s="1"/>
  <c r="AN250" i="84"/>
  <c r="AM250" i="84"/>
  <c r="AL250" i="84"/>
  <c r="AK250" i="84"/>
  <c r="AJ250" i="84"/>
  <c r="AB250" i="84"/>
  <c r="S250" i="84"/>
  <c r="W250" i="84" s="1"/>
  <c r="AP250" i="84" s="1"/>
  <c r="K250" i="84"/>
  <c r="F250" i="84"/>
  <c r="C250" i="84"/>
  <c r="B250" i="84"/>
  <c r="BA249" i="84"/>
  <c r="AO249" i="84" s="1"/>
  <c r="AN249" i="84"/>
  <c r="AM249" i="84"/>
  <c r="AL249" i="84"/>
  <c r="AK249" i="84"/>
  <c r="AJ249" i="84"/>
  <c r="AB249" i="84"/>
  <c r="S249" i="84"/>
  <c r="W249" i="84" s="1"/>
  <c r="AP249" i="84" s="1"/>
  <c r="AQ249" i="84" s="1"/>
  <c r="K249" i="84"/>
  <c r="F249" i="84"/>
  <c r="C249" i="84"/>
  <c r="B249" i="84"/>
  <c r="BA248" i="84"/>
  <c r="AO248" i="84" s="1"/>
  <c r="AN248" i="84"/>
  <c r="AM248" i="84"/>
  <c r="AL248" i="84"/>
  <c r="AK248" i="84"/>
  <c r="AJ248" i="84"/>
  <c r="AB248" i="84"/>
  <c r="S248" i="84"/>
  <c r="W248" i="84" s="1"/>
  <c r="AP248" i="84" s="1"/>
  <c r="K248" i="84"/>
  <c r="F248" i="84"/>
  <c r="C248" i="84"/>
  <c r="B248" i="84"/>
  <c r="BA247" i="84"/>
  <c r="AO247" i="84" s="1"/>
  <c r="AN247" i="84"/>
  <c r="AM247" i="84"/>
  <c r="AL247" i="84"/>
  <c r="AK247" i="84"/>
  <c r="AJ247" i="84"/>
  <c r="AB247" i="84"/>
  <c r="S247" i="84"/>
  <c r="W247" i="84" s="1"/>
  <c r="AP247" i="84" s="1"/>
  <c r="K247" i="84"/>
  <c r="F247" i="84"/>
  <c r="C247" i="84"/>
  <c r="B247" i="84"/>
  <c r="BA246" i="84"/>
  <c r="AO246" i="84" s="1"/>
  <c r="AN246" i="84"/>
  <c r="AM246" i="84"/>
  <c r="AL246" i="84"/>
  <c r="AK246" i="84"/>
  <c r="AJ246" i="84"/>
  <c r="AB246" i="84"/>
  <c r="S246" i="84"/>
  <c r="W246" i="84" s="1"/>
  <c r="AP246" i="84" s="1"/>
  <c r="K246" i="84"/>
  <c r="F246" i="84"/>
  <c r="C246" i="84"/>
  <c r="B246" i="84"/>
  <c r="BA245" i="84"/>
  <c r="AO245" i="84"/>
  <c r="AN245" i="84"/>
  <c r="AM245" i="84"/>
  <c r="AL245" i="84"/>
  <c r="AK245" i="84"/>
  <c r="AJ245" i="84"/>
  <c r="AB245" i="84"/>
  <c r="S245" i="84"/>
  <c r="W245" i="84" s="1"/>
  <c r="AP245" i="84" s="1"/>
  <c r="K245" i="84"/>
  <c r="F245" i="84"/>
  <c r="C245" i="84"/>
  <c r="B245" i="84"/>
  <c r="BA244" i="84"/>
  <c r="AO244" i="84" s="1"/>
  <c r="AN244" i="84"/>
  <c r="AM244" i="84"/>
  <c r="AL244" i="84"/>
  <c r="AK244" i="84"/>
  <c r="AJ244" i="84"/>
  <c r="AB244" i="84"/>
  <c r="S244" i="84"/>
  <c r="W244" i="84" s="1"/>
  <c r="K244" i="84"/>
  <c r="F244" i="84"/>
  <c r="C244" i="84"/>
  <c r="B244" i="84"/>
  <c r="AO243" i="84"/>
  <c r="AN243" i="84"/>
  <c r="AM243" i="84"/>
  <c r="AL243" i="84"/>
  <c r="AK243" i="84"/>
  <c r="AJ243" i="84"/>
  <c r="AB243" i="84"/>
  <c r="S243" i="84"/>
  <c r="W243" i="84" s="1"/>
  <c r="K243" i="84"/>
  <c r="F243" i="84"/>
  <c r="C243" i="84"/>
  <c r="B243" i="84"/>
  <c r="BA242" i="84"/>
  <c r="AO242" i="84" s="1"/>
  <c r="AN242" i="84"/>
  <c r="AM242" i="84"/>
  <c r="AL242" i="84"/>
  <c r="AK242" i="84"/>
  <c r="AJ242" i="84"/>
  <c r="AB242" i="84"/>
  <c r="S242" i="84"/>
  <c r="W242" i="84" s="1"/>
  <c r="K242" i="84"/>
  <c r="F242" i="84"/>
  <c r="C242" i="84"/>
  <c r="B242" i="84"/>
  <c r="BA241" i="84"/>
  <c r="AO241" i="84" s="1"/>
  <c r="AN241" i="84"/>
  <c r="AM241" i="84"/>
  <c r="AL241" i="84"/>
  <c r="AK241" i="84"/>
  <c r="AJ241" i="84"/>
  <c r="AB241" i="84"/>
  <c r="W241" i="84"/>
  <c r="S241" i="84"/>
  <c r="K241" i="84"/>
  <c r="F241" i="84"/>
  <c r="C241" i="84"/>
  <c r="B241" i="84"/>
  <c r="BA240" i="84"/>
  <c r="AO240" i="84" s="1"/>
  <c r="AN240" i="84"/>
  <c r="AM240" i="84"/>
  <c r="AL240" i="84"/>
  <c r="AK240" i="84"/>
  <c r="AJ240" i="84"/>
  <c r="AB240" i="84"/>
  <c r="S240" i="84"/>
  <c r="W240" i="84" s="1"/>
  <c r="K240" i="84"/>
  <c r="F240" i="84"/>
  <c r="C240" i="84"/>
  <c r="B240" i="84"/>
  <c r="BA239" i="84"/>
  <c r="AO239" i="84" s="1"/>
  <c r="AN239" i="84"/>
  <c r="AM239" i="84"/>
  <c r="AL239" i="84"/>
  <c r="AK239" i="84"/>
  <c r="AJ239" i="84"/>
  <c r="AB239" i="84"/>
  <c r="S239" i="84"/>
  <c r="W239" i="84" s="1"/>
  <c r="K239" i="84"/>
  <c r="F239" i="84"/>
  <c r="C239" i="84"/>
  <c r="B239" i="84"/>
  <c r="AO238" i="84"/>
  <c r="AN238" i="84"/>
  <c r="AM238" i="84"/>
  <c r="AL238" i="84"/>
  <c r="AK238" i="84"/>
  <c r="AJ238" i="84"/>
  <c r="AB238" i="84"/>
  <c r="S238" i="84"/>
  <c r="W238" i="84" s="1"/>
  <c r="K238" i="84"/>
  <c r="F238" i="84"/>
  <c r="C238" i="84"/>
  <c r="B238" i="84"/>
  <c r="BA237" i="84"/>
  <c r="AO237" i="84" s="1"/>
  <c r="AN237" i="84"/>
  <c r="AM237" i="84"/>
  <c r="AL237" i="84"/>
  <c r="AK237" i="84"/>
  <c r="AJ237" i="84"/>
  <c r="AB237" i="84"/>
  <c r="S237" i="84"/>
  <c r="W237" i="84" s="1"/>
  <c r="K237" i="84"/>
  <c r="F237" i="84"/>
  <c r="C237" i="84"/>
  <c r="B237" i="84"/>
  <c r="BA236" i="84"/>
  <c r="AO236" i="84" s="1"/>
  <c r="AN236" i="84"/>
  <c r="AM236" i="84"/>
  <c r="AL236" i="84"/>
  <c r="AK236" i="84"/>
  <c r="AJ236" i="84"/>
  <c r="AB236" i="84"/>
  <c r="S236" i="84"/>
  <c r="W236" i="84" s="1"/>
  <c r="K236" i="84"/>
  <c r="F236" i="84"/>
  <c r="C236" i="84"/>
  <c r="B236" i="84"/>
  <c r="BA235" i="84"/>
  <c r="AO235" i="84"/>
  <c r="AN235" i="84"/>
  <c r="AM235" i="84"/>
  <c r="AL235" i="84"/>
  <c r="AK235" i="84"/>
  <c r="AJ235" i="84"/>
  <c r="AB235" i="84"/>
  <c r="S235" i="84"/>
  <c r="W235" i="84" s="1"/>
  <c r="K235" i="84"/>
  <c r="F235" i="84"/>
  <c r="C235" i="84"/>
  <c r="B235" i="84"/>
  <c r="BA234" i="84"/>
  <c r="AO234" i="84" s="1"/>
  <c r="AN234" i="84"/>
  <c r="AM234" i="84"/>
  <c r="AL234" i="84"/>
  <c r="AK234" i="84"/>
  <c r="AJ234" i="84"/>
  <c r="AB234" i="84"/>
  <c r="S234" i="84"/>
  <c r="W234" i="84" s="1"/>
  <c r="K234" i="84"/>
  <c r="F234" i="84"/>
  <c r="C234" i="84"/>
  <c r="B234" i="84"/>
  <c r="BA233" i="84"/>
  <c r="AO233" i="84"/>
  <c r="AN233" i="84"/>
  <c r="AM233" i="84"/>
  <c r="AL233" i="84"/>
  <c r="AK233" i="84"/>
  <c r="AJ233" i="84"/>
  <c r="AB233" i="84"/>
  <c r="S233" i="84"/>
  <c r="W233" i="84" s="1"/>
  <c r="K233" i="84"/>
  <c r="F233" i="84"/>
  <c r="C233" i="84"/>
  <c r="B233" i="84"/>
  <c r="BA232" i="84"/>
  <c r="AO232" i="84"/>
  <c r="AN232" i="84"/>
  <c r="AM232" i="84"/>
  <c r="AL232" i="84"/>
  <c r="AK232" i="84"/>
  <c r="AJ232" i="84"/>
  <c r="AB232" i="84"/>
  <c r="S232" i="84"/>
  <c r="W232" i="84" s="1"/>
  <c r="AP232" i="84" s="1"/>
  <c r="K232" i="84"/>
  <c r="F232" i="84"/>
  <c r="C232" i="84"/>
  <c r="B232" i="84"/>
  <c r="BA231" i="84"/>
  <c r="AO231" i="84" s="1"/>
  <c r="AN231" i="84"/>
  <c r="AM231" i="84"/>
  <c r="AL231" i="84"/>
  <c r="AK231" i="84"/>
  <c r="AJ231" i="84"/>
  <c r="AB231" i="84"/>
  <c r="S231" i="84"/>
  <c r="W231" i="84" s="1"/>
  <c r="AP231" i="84" s="1"/>
  <c r="K231" i="84"/>
  <c r="F231" i="84"/>
  <c r="C231" i="84"/>
  <c r="B231" i="84"/>
  <c r="BA230" i="84"/>
  <c r="AO230" i="84" s="1"/>
  <c r="AN230" i="84"/>
  <c r="AM230" i="84"/>
  <c r="AL230" i="84"/>
  <c r="AK230" i="84"/>
  <c r="AJ230" i="84"/>
  <c r="AB230" i="84"/>
  <c r="S230" i="84"/>
  <c r="W230" i="84" s="1"/>
  <c r="AP230" i="84" s="1"/>
  <c r="K230" i="84"/>
  <c r="F230" i="84"/>
  <c r="C230" i="84"/>
  <c r="B230" i="84"/>
  <c r="BA229" i="84"/>
  <c r="AO229" i="84" s="1"/>
  <c r="AN229" i="84"/>
  <c r="AM229" i="84"/>
  <c r="AL229" i="84"/>
  <c r="AK229" i="84"/>
  <c r="AJ229" i="84"/>
  <c r="AB229" i="84"/>
  <c r="S229" i="84"/>
  <c r="W229" i="84" s="1"/>
  <c r="K229" i="84"/>
  <c r="F229" i="84"/>
  <c r="C229" i="84"/>
  <c r="B229" i="84"/>
  <c r="BA228" i="84"/>
  <c r="AO228" i="84" s="1"/>
  <c r="AN228" i="84"/>
  <c r="AM228" i="84"/>
  <c r="AL228" i="84"/>
  <c r="AK228" i="84"/>
  <c r="AJ228" i="84"/>
  <c r="AB228" i="84"/>
  <c r="S228" i="84"/>
  <c r="W228" i="84" s="1"/>
  <c r="K228" i="84"/>
  <c r="F228" i="84"/>
  <c r="C228" i="84"/>
  <c r="B228" i="84"/>
  <c r="BA227" i="84"/>
  <c r="AO227" i="84" s="1"/>
  <c r="AN227" i="84"/>
  <c r="AM227" i="84"/>
  <c r="AL227" i="84"/>
  <c r="AK227" i="84"/>
  <c r="AJ227" i="84"/>
  <c r="AB227" i="84"/>
  <c r="S227" i="84"/>
  <c r="W227" i="84" s="1"/>
  <c r="K227" i="84"/>
  <c r="F227" i="84"/>
  <c r="C227" i="84"/>
  <c r="B227" i="84"/>
  <c r="BA226" i="84"/>
  <c r="AO226" i="84"/>
  <c r="AN226" i="84"/>
  <c r="AM226" i="84"/>
  <c r="AL226" i="84"/>
  <c r="AK226" i="84"/>
  <c r="AJ226" i="84"/>
  <c r="AB226" i="84"/>
  <c r="S226" i="84"/>
  <c r="W226" i="84" s="1"/>
  <c r="K226" i="84"/>
  <c r="F226" i="84"/>
  <c r="C226" i="84"/>
  <c r="B226" i="84"/>
  <c r="AO225" i="84"/>
  <c r="AN225" i="84"/>
  <c r="AM225" i="84"/>
  <c r="AL225" i="84"/>
  <c r="AK225" i="84"/>
  <c r="AJ225" i="84"/>
  <c r="AB225" i="84"/>
  <c r="S225" i="84"/>
  <c r="W225" i="84" s="1"/>
  <c r="AP225" i="84" s="1"/>
  <c r="K225" i="84"/>
  <c r="F225" i="84"/>
  <c r="C225" i="84"/>
  <c r="B225" i="84"/>
  <c r="BA224" i="84"/>
  <c r="AO224" i="84" s="1"/>
  <c r="AN224" i="84"/>
  <c r="AM224" i="84"/>
  <c r="AL224" i="84"/>
  <c r="AK224" i="84"/>
  <c r="AJ224" i="84"/>
  <c r="AB224" i="84"/>
  <c r="S224" i="84"/>
  <c r="W224" i="84" s="1"/>
  <c r="AP224" i="84" s="1"/>
  <c r="K224" i="84"/>
  <c r="F224" i="84"/>
  <c r="C224" i="84"/>
  <c r="B224" i="84"/>
  <c r="BA223" i="84"/>
  <c r="AO223" i="84" s="1"/>
  <c r="AN223" i="84"/>
  <c r="AM223" i="84"/>
  <c r="AL223" i="84"/>
  <c r="AK223" i="84"/>
  <c r="AJ223" i="84"/>
  <c r="AB223" i="84"/>
  <c r="W223" i="84"/>
  <c r="S223" i="84"/>
  <c r="K223" i="84"/>
  <c r="F223" i="84"/>
  <c r="C223" i="84"/>
  <c r="B223" i="84"/>
  <c r="BA222" i="84"/>
  <c r="AO222" i="84" s="1"/>
  <c r="AN222" i="84"/>
  <c r="AM222" i="84"/>
  <c r="AL222" i="84"/>
  <c r="AK222" i="84"/>
  <c r="AJ222" i="84"/>
  <c r="AB222" i="84"/>
  <c r="S222" i="84"/>
  <c r="W222" i="84" s="1"/>
  <c r="AP222" i="84" s="1"/>
  <c r="K222" i="84"/>
  <c r="F222" i="84"/>
  <c r="C222" i="84"/>
  <c r="B222" i="84"/>
  <c r="BA221" i="84"/>
  <c r="AO221" i="84" s="1"/>
  <c r="AN221" i="84"/>
  <c r="AM221" i="84"/>
  <c r="AL221" i="84"/>
  <c r="AK221" i="84"/>
  <c r="AJ221" i="84"/>
  <c r="AB221" i="84"/>
  <c r="W221" i="84"/>
  <c r="AP221" i="84" s="1"/>
  <c r="S221" i="84"/>
  <c r="K221" i="84"/>
  <c r="F221" i="84"/>
  <c r="C221" i="84"/>
  <c r="B221" i="84"/>
  <c r="BA220" i="84"/>
  <c r="AO220" i="84" s="1"/>
  <c r="AN220" i="84"/>
  <c r="AM220" i="84"/>
  <c r="AL220" i="84"/>
  <c r="AK220" i="84"/>
  <c r="AJ220" i="84"/>
  <c r="AB220" i="84"/>
  <c r="W220" i="84"/>
  <c r="AP220" i="84" s="1"/>
  <c r="S220" i="84"/>
  <c r="K220" i="84"/>
  <c r="F220" i="84"/>
  <c r="C220" i="84"/>
  <c r="B220" i="84"/>
  <c r="BA219" i="84"/>
  <c r="AO219" i="84" s="1"/>
  <c r="AN219" i="84"/>
  <c r="AM219" i="84"/>
  <c r="AL219" i="84"/>
  <c r="AK219" i="84"/>
  <c r="AJ219" i="84"/>
  <c r="AB219" i="84"/>
  <c r="W219" i="84"/>
  <c r="S219" i="84"/>
  <c r="K219" i="84"/>
  <c r="F219" i="84"/>
  <c r="C219" i="84"/>
  <c r="B219" i="84"/>
  <c r="AJ218" i="84"/>
  <c r="AB218" i="84"/>
  <c r="W218" i="84"/>
  <c r="S218" i="84"/>
  <c r="K218" i="84"/>
  <c r="F218" i="84"/>
  <c r="C218" i="84"/>
  <c r="B218" i="84"/>
  <c r="BA217" i="84"/>
  <c r="AO217" i="84" s="1"/>
  <c r="AN217" i="84"/>
  <c r="AM217" i="84"/>
  <c r="AL217" i="84"/>
  <c r="AK217" i="84"/>
  <c r="AJ217" i="84"/>
  <c r="AB217" i="84"/>
  <c r="S217" i="84"/>
  <c r="W217" i="84" s="1"/>
  <c r="AP217" i="84" s="1"/>
  <c r="AQ217" i="84" s="1"/>
  <c r="K217" i="84"/>
  <c r="F217" i="84"/>
  <c r="C217" i="84"/>
  <c r="B217" i="84"/>
  <c r="BA216" i="84"/>
  <c r="AO216" i="84" s="1"/>
  <c r="AN216" i="84"/>
  <c r="AM216" i="84"/>
  <c r="AL216" i="84"/>
  <c r="AK216" i="84"/>
  <c r="AJ216" i="84"/>
  <c r="AB216" i="84"/>
  <c r="S216" i="84"/>
  <c r="W216" i="84" s="1"/>
  <c r="AP216" i="84" s="1"/>
  <c r="AQ216" i="84" s="1"/>
  <c r="K216" i="84"/>
  <c r="F216" i="84"/>
  <c r="C216" i="84"/>
  <c r="B216" i="84"/>
  <c r="BA215" i="84"/>
  <c r="AO215" i="84" s="1"/>
  <c r="AN215" i="84"/>
  <c r="AM215" i="84"/>
  <c r="AL215" i="84"/>
  <c r="AK215" i="84"/>
  <c r="AJ215" i="84"/>
  <c r="AB215" i="84"/>
  <c r="S215" i="84"/>
  <c r="W215" i="84" s="1"/>
  <c r="AP215" i="84" s="1"/>
  <c r="K215" i="84"/>
  <c r="F215" i="84"/>
  <c r="C215" i="84"/>
  <c r="B215" i="84"/>
  <c r="BA214" i="84"/>
  <c r="AO214" i="84" s="1"/>
  <c r="AN214" i="84"/>
  <c r="AP214" i="84" s="1"/>
  <c r="AM214" i="84"/>
  <c r="AL214" i="84"/>
  <c r="AK214" i="84"/>
  <c r="AJ214" i="84"/>
  <c r="AB214" i="84"/>
  <c r="W214" i="84"/>
  <c r="S214" i="84"/>
  <c r="K214" i="84"/>
  <c r="F214" i="84"/>
  <c r="C214" i="84"/>
  <c r="B214" i="84"/>
  <c r="BA213" i="84"/>
  <c r="AO213" i="84" s="1"/>
  <c r="AN213" i="84"/>
  <c r="AM213" i="84"/>
  <c r="AL213" i="84"/>
  <c r="AK213" i="84"/>
  <c r="AJ213" i="84"/>
  <c r="AB213" i="84"/>
  <c r="S213" i="84"/>
  <c r="W213" i="84" s="1"/>
  <c r="AP213" i="84" s="1"/>
  <c r="AQ213" i="84" s="1"/>
  <c r="K213" i="84"/>
  <c r="F213" i="84"/>
  <c r="C213" i="84"/>
  <c r="B213" i="84"/>
  <c r="BA212" i="84"/>
  <c r="AO212" i="84" s="1"/>
  <c r="AN212" i="84"/>
  <c r="AM212" i="84"/>
  <c r="AL212" i="84"/>
  <c r="AK212" i="84"/>
  <c r="AJ212" i="84"/>
  <c r="AB212" i="84"/>
  <c r="W212" i="84"/>
  <c r="S212" i="84"/>
  <c r="K212" i="84"/>
  <c r="F212" i="84"/>
  <c r="C212" i="84"/>
  <c r="B212" i="84"/>
  <c r="BA211" i="84"/>
  <c r="AO211" i="84" s="1"/>
  <c r="AN211" i="84"/>
  <c r="AM211" i="84"/>
  <c r="AL211" i="84"/>
  <c r="AK211" i="84"/>
  <c r="AJ211" i="84"/>
  <c r="AB211" i="84"/>
  <c r="W211" i="84"/>
  <c r="AP211" i="84" s="1"/>
  <c r="AQ211" i="84" s="1"/>
  <c r="S211" i="84"/>
  <c r="K211" i="84"/>
  <c r="F211" i="84"/>
  <c r="C211" i="84"/>
  <c r="B211" i="84"/>
  <c r="BA210" i="84"/>
  <c r="AO210" i="84" s="1"/>
  <c r="AN210" i="84"/>
  <c r="AM210" i="84"/>
  <c r="AL210" i="84"/>
  <c r="AK210" i="84"/>
  <c r="AJ210" i="84"/>
  <c r="AB210" i="84"/>
  <c r="W210" i="84"/>
  <c r="S210" i="84"/>
  <c r="K210" i="84"/>
  <c r="F210" i="84"/>
  <c r="C210" i="84"/>
  <c r="B210" i="84"/>
  <c r="BA209" i="84"/>
  <c r="AO209" i="84" s="1"/>
  <c r="AN209" i="84"/>
  <c r="AM209" i="84"/>
  <c r="AL209" i="84"/>
  <c r="AK209" i="84"/>
  <c r="AJ209" i="84"/>
  <c r="AB209" i="84"/>
  <c r="S209" i="84"/>
  <c r="W209" i="84" s="1"/>
  <c r="AP209" i="84" s="1"/>
  <c r="K209" i="84"/>
  <c r="F209" i="84"/>
  <c r="C209" i="84"/>
  <c r="B209" i="84"/>
  <c r="BA208" i="84"/>
  <c r="AO208" i="84" s="1"/>
  <c r="AN208" i="84"/>
  <c r="AM208" i="84"/>
  <c r="AL208" i="84"/>
  <c r="AK208" i="84"/>
  <c r="AJ208" i="84"/>
  <c r="AB208" i="84"/>
  <c r="S208" i="84"/>
  <c r="W208" i="84" s="1"/>
  <c r="AP208" i="84" s="1"/>
  <c r="AQ208" i="84" s="1"/>
  <c r="K208" i="84"/>
  <c r="F208" i="84"/>
  <c r="C208" i="84"/>
  <c r="B208" i="84"/>
  <c r="BA207" i="84"/>
  <c r="AO207" i="84" s="1"/>
  <c r="AN207" i="84"/>
  <c r="AM207" i="84"/>
  <c r="AL207" i="84"/>
  <c r="AK207" i="84"/>
  <c r="AJ207" i="84"/>
  <c r="AB207" i="84"/>
  <c r="S207" i="84"/>
  <c r="W207" i="84" s="1"/>
  <c r="K207" i="84"/>
  <c r="F207" i="84"/>
  <c r="C207" i="84"/>
  <c r="B207" i="84"/>
  <c r="BA206" i="84"/>
  <c r="AO206" i="84" s="1"/>
  <c r="AN206" i="84"/>
  <c r="AM206" i="84"/>
  <c r="AL206" i="84"/>
  <c r="AK206" i="84"/>
  <c r="AJ206" i="84"/>
  <c r="AB206" i="84"/>
  <c r="W206" i="84"/>
  <c r="AP206" i="84" s="1"/>
  <c r="S206" i="84"/>
  <c r="K206" i="84"/>
  <c r="F206" i="84"/>
  <c r="C206" i="84"/>
  <c r="B206" i="84"/>
  <c r="BA205" i="84"/>
  <c r="AO205" i="84" s="1"/>
  <c r="AN205" i="84"/>
  <c r="AM205" i="84"/>
  <c r="AL205" i="84"/>
  <c r="AK205" i="84"/>
  <c r="AJ205" i="84"/>
  <c r="AB205" i="84"/>
  <c r="S205" i="84"/>
  <c r="W205" i="84" s="1"/>
  <c r="AP205" i="84" s="1"/>
  <c r="AQ205" i="84" s="1"/>
  <c r="K205" i="84"/>
  <c r="F205" i="84"/>
  <c r="C205" i="84"/>
  <c r="B205" i="84"/>
  <c r="BA204" i="84"/>
  <c r="AO204" i="84" s="1"/>
  <c r="AN204" i="84"/>
  <c r="AM204" i="84"/>
  <c r="AL204" i="84"/>
  <c r="AK204" i="84"/>
  <c r="AJ204" i="84"/>
  <c r="AB204" i="84"/>
  <c r="S204" i="84"/>
  <c r="W204" i="84" s="1"/>
  <c r="AP204" i="84" s="1"/>
  <c r="AQ204" i="84" s="1"/>
  <c r="K204" i="84"/>
  <c r="F204" i="84"/>
  <c r="C204" i="84"/>
  <c r="B204" i="84"/>
  <c r="BA203" i="84"/>
  <c r="AO203" i="84" s="1"/>
  <c r="AN203" i="84"/>
  <c r="AM203" i="84"/>
  <c r="AL203" i="84"/>
  <c r="AK203" i="84"/>
  <c r="AJ203" i="84"/>
  <c r="AB203" i="84"/>
  <c r="W203" i="84"/>
  <c r="AP203" i="84" s="1"/>
  <c r="S203" i="84"/>
  <c r="K203" i="84"/>
  <c r="F203" i="84"/>
  <c r="C203" i="84"/>
  <c r="B203" i="84"/>
  <c r="BA202" i="84"/>
  <c r="AO202" i="84"/>
  <c r="AN202" i="84"/>
  <c r="AM202" i="84"/>
  <c r="AL202" i="84"/>
  <c r="AK202" i="84"/>
  <c r="AJ202" i="84"/>
  <c r="AB202" i="84"/>
  <c r="S202" i="84"/>
  <c r="W202" i="84" s="1"/>
  <c r="AP202" i="84" s="1"/>
  <c r="AQ202" i="84" s="1"/>
  <c r="K202" i="84"/>
  <c r="F202" i="84"/>
  <c r="C202" i="84"/>
  <c r="B202" i="84"/>
  <c r="BA201" i="84"/>
  <c r="AO201" i="84" s="1"/>
  <c r="AP201" i="84"/>
  <c r="AQ201" i="84" s="1"/>
  <c r="AN201" i="84"/>
  <c r="AM201" i="84"/>
  <c r="AL201" i="84"/>
  <c r="AK201" i="84"/>
  <c r="AJ201" i="84"/>
  <c r="AB201" i="84"/>
  <c r="W201" i="84"/>
  <c r="S201" i="84"/>
  <c r="K201" i="84"/>
  <c r="F201" i="84"/>
  <c r="C201" i="84"/>
  <c r="B201" i="84"/>
  <c r="BA200" i="84"/>
  <c r="AO200" i="84"/>
  <c r="AN200" i="84"/>
  <c r="AM200" i="84"/>
  <c r="AL200" i="84"/>
  <c r="AK200" i="84"/>
  <c r="AJ200" i="84"/>
  <c r="AB200" i="84"/>
  <c r="S200" i="84"/>
  <c r="W200" i="84" s="1"/>
  <c r="K200" i="84"/>
  <c r="F200" i="84"/>
  <c r="C200" i="84"/>
  <c r="B200" i="84"/>
  <c r="BA199" i="84"/>
  <c r="AO199" i="84" s="1"/>
  <c r="AN199" i="84"/>
  <c r="AM199" i="84"/>
  <c r="AL199" i="84"/>
  <c r="AK199" i="84"/>
  <c r="AJ199" i="84"/>
  <c r="AB199" i="84"/>
  <c r="S199" i="84"/>
  <c r="W199" i="84" s="1"/>
  <c r="AP199" i="84" s="1"/>
  <c r="K199" i="84"/>
  <c r="F199" i="84"/>
  <c r="C199" i="84"/>
  <c r="B199" i="84"/>
  <c r="BA198" i="84"/>
  <c r="AO198" i="84"/>
  <c r="AN198" i="84"/>
  <c r="AM198" i="84"/>
  <c r="AL198" i="84"/>
  <c r="AK198" i="84"/>
  <c r="AJ198" i="84"/>
  <c r="AB198" i="84"/>
  <c r="S198" i="84"/>
  <c r="W198" i="84" s="1"/>
  <c r="AP198" i="84" s="1"/>
  <c r="AQ198" i="84" s="1"/>
  <c r="K198" i="84"/>
  <c r="F198" i="84"/>
  <c r="C198" i="84"/>
  <c r="B198" i="84"/>
  <c r="BA197" i="84"/>
  <c r="AO197" i="84" s="1"/>
  <c r="AN197" i="84"/>
  <c r="AM197" i="84"/>
  <c r="AL197" i="84"/>
  <c r="AK197" i="84"/>
  <c r="AJ197" i="84"/>
  <c r="AB197" i="84"/>
  <c r="S197" i="84"/>
  <c r="W197" i="84" s="1"/>
  <c r="K197" i="84"/>
  <c r="F197" i="84"/>
  <c r="BA196" i="84"/>
  <c r="AO196" i="84" s="1"/>
  <c r="AN196" i="84"/>
  <c r="AM196" i="84"/>
  <c r="AL196" i="84"/>
  <c r="AK196" i="84"/>
  <c r="AJ196" i="84"/>
  <c r="AB196" i="84"/>
  <c r="S196" i="84"/>
  <c r="W196" i="84" s="1"/>
  <c r="K196" i="84"/>
  <c r="F196" i="84"/>
  <c r="BA195" i="84"/>
  <c r="AO195" i="84" s="1"/>
  <c r="AN195" i="84"/>
  <c r="AM195" i="84"/>
  <c r="AL195" i="84"/>
  <c r="AK195" i="84"/>
  <c r="AJ195" i="84"/>
  <c r="AB195" i="84"/>
  <c r="S195" i="84"/>
  <c r="W195" i="84" s="1"/>
  <c r="K195" i="84"/>
  <c r="F195" i="84"/>
  <c r="C195" i="84"/>
  <c r="B195" i="84"/>
  <c r="BA194" i="84"/>
  <c r="AO194" i="84" s="1"/>
  <c r="AN194" i="84"/>
  <c r="AM194" i="84"/>
  <c r="AL194" i="84"/>
  <c r="AK194" i="84"/>
  <c r="AJ194" i="84"/>
  <c r="AB194" i="84"/>
  <c r="W194" i="84"/>
  <c r="AP194" i="84" s="1"/>
  <c r="AQ194" i="84" s="1"/>
  <c r="S194" i="84"/>
  <c r="K194" i="84"/>
  <c r="F194" i="84"/>
  <c r="C194" i="84"/>
  <c r="B194" i="84"/>
  <c r="BA193" i="84"/>
  <c r="AO193" i="84" s="1"/>
  <c r="AN193" i="84"/>
  <c r="AM193" i="84"/>
  <c r="AL193" i="84"/>
  <c r="AK193" i="84"/>
  <c r="AJ193" i="84"/>
  <c r="AB193" i="84"/>
  <c r="S193" i="84"/>
  <c r="W193" i="84" s="1"/>
  <c r="AP193" i="84" s="1"/>
  <c r="K193" i="84"/>
  <c r="F193" i="84"/>
  <c r="C193" i="84"/>
  <c r="B193" i="84"/>
  <c r="BA192" i="84"/>
  <c r="AO192" i="84" s="1"/>
  <c r="AN192" i="84"/>
  <c r="AM192" i="84"/>
  <c r="AL192" i="84"/>
  <c r="AK192" i="84"/>
  <c r="AJ192" i="84"/>
  <c r="AB192" i="84"/>
  <c r="S192" i="84"/>
  <c r="W192" i="84" s="1"/>
  <c r="K192" i="84"/>
  <c r="F192" i="84"/>
  <c r="C192" i="84"/>
  <c r="B192" i="84"/>
  <c r="BA191" i="84"/>
  <c r="AO191" i="84" s="1"/>
  <c r="AN191" i="84"/>
  <c r="AM191" i="84"/>
  <c r="AL191" i="84"/>
  <c r="AK191" i="84"/>
  <c r="AJ191" i="84"/>
  <c r="AB191" i="84"/>
  <c r="W191" i="84"/>
  <c r="AP191" i="84" s="1"/>
  <c r="S191" i="84"/>
  <c r="K191" i="84"/>
  <c r="F191" i="84"/>
  <c r="C191" i="84"/>
  <c r="B191" i="84"/>
  <c r="BA190" i="84"/>
  <c r="AO190" i="84" s="1"/>
  <c r="AN190" i="84"/>
  <c r="AM190" i="84"/>
  <c r="AL190" i="84"/>
  <c r="AK190" i="84"/>
  <c r="AJ190" i="84"/>
  <c r="AB190" i="84"/>
  <c r="S190" i="84"/>
  <c r="W190" i="84" s="1"/>
  <c r="AP190" i="84" s="1"/>
  <c r="K190" i="84"/>
  <c r="AQ190" i="84" s="1"/>
  <c r="F190" i="84"/>
  <c r="C190" i="84"/>
  <c r="B190" i="84"/>
  <c r="BA189" i="84"/>
  <c r="AO189" i="84" s="1"/>
  <c r="AN189" i="84"/>
  <c r="AM189" i="84"/>
  <c r="AL189" i="84"/>
  <c r="AK189" i="84"/>
  <c r="AJ189" i="84"/>
  <c r="AB189" i="84"/>
  <c r="S189" i="84"/>
  <c r="W189" i="84" s="1"/>
  <c r="K189" i="84"/>
  <c r="F189" i="84"/>
  <c r="C189" i="84"/>
  <c r="B189" i="84"/>
  <c r="BA188" i="84"/>
  <c r="AO188" i="84" s="1"/>
  <c r="AN188" i="84"/>
  <c r="AM188" i="84"/>
  <c r="AL188" i="84"/>
  <c r="AK188" i="84"/>
  <c r="AJ188" i="84"/>
  <c r="AB188" i="84"/>
  <c r="W188" i="84"/>
  <c r="AP188" i="84" s="1"/>
  <c r="AQ188" i="84" s="1"/>
  <c r="S188" i="84"/>
  <c r="K188" i="84"/>
  <c r="F188" i="84"/>
  <c r="C188" i="84"/>
  <c r="B188" i="84"/>
  <c r="BA187" i="84"/>
  <c r="AO187" i="84" s="1"/>
  <c r="AN187" i="84"/>
  <c r="AM187" i="84"/>
  <c r="AL187" i="84"/>
  <c r="AK187" i="84"/>
  <c r="AJ187" i="84"/>
  <c r="AB187" i="84"/>
  <c r="S187" i="84"/>
  <c r="W187" i="84" s="1"/>
  <c r="AP187" i="84" s="1"/>
  <c r="AQ187" i="84" s="1"/>
  <c r="K187" i="84"/>
  <c r="F187" i="84"/>
  <c r="C187" i="84"/>
  <c r="B187" i="84"/>
  <c r="BA186" i="84"/>
  <c r="AO186" i="84" s="1"/>
  <c r="AN186" i="84"/>
  <c r="AM186" i="84"/>
  <c r="AL186" i="84"/>
  <c r="AK186" i="84"/>
  <c r="AJ186" i="84"/>
  <c r="AB186" i="84"/>
  <c r="S186" i="84"/>
  <c r="W186" i="84" s="1"/>
  <c r="AP186" i="84" s="1"/>
  <c r="AQ186" i="84" s="1"/>
  <c r="K186" i="84"/>
  <c r="F186" i="84"/>
  <c r="C186" i="84"/>
  <c r="B186" i="84"/>
  <c r="BA185" i="84"/>
  <c r="AO185" i="84" s="1"/>
  <c r="AN185" i="84"/>
  <c r="AM185" i="84"/>
  <c r="AL185" i="84"/>
  <c r="AK185" i="84"/>
  <c r="AJ185" i="84"/>
  <c r="AB185" i="84"/>
  <c r="S185" i="84"/>
  <c r="W185" i="84" s="1"/>
  <c r="AP185" i="84" s="1"/>
  <c r="AQ185" i="84" s="1"/>
  <c r="K185" i="84"/>
  <c r="F185" i="84"/>
  <c r="C185" i="84"/>
  <c r="B185" i="84"/>
  <c r="BA184" i="84"/>
  <c r="AO184" i="84"/>
  <c r="AN184" i="84"/>
  <c r="AM184" i="84"/>
  <c r="AL184" i="84"/>
  <c r="AK184" i="84"/>
  <c r="AJ184" i="84"/>
  <c r="AB184" i="84"/>
  <c r="W184" i="84"/>
  <c r="S184" i="84"/>
  <c r="K184" i="84"/>
  <c r="F184" i="84"/>
  <c r="C184" i="84"/>
  <c r="B184" i="84"/>
  <c r="BA183" i="84"/>
  <c r="AO183" i="84" s="1"/>
  <c r="AN183" i="84"/>
  <c r="AM183" i="84"/>
  <c r="AL183" i="84"/>
  <c r="AK183" i="84"/>
  <c r="AJ183" i="84"/>
  <c r="AB183" i="84"/>
  <c r="S183" i="84"/>
  <c r="W183" i="84" s="1"/>
  <c r="AP183" i="84" s="1"/>
  <c r="K183" i="84"/>
  <c r="F183" i="84"/>
  <c r="C183" i="84"/>
  <c r="B183" i="84"/>
  <c r="BA182" i="84"/>
  <c r="AO182" i="84" s="1"/>
  <c r="AN182" i="84"/>
  <c r="AM182" i="84"/>
  <c r="AL182" i="84"/>
  <c r="AK182" i="84"/>
  <c r="AJ182" i="84"/>
  <c r="AB182" i="84"/>
  <c r="W182" i="84"/>
  <c r="S182" i="84"/>
  <c r="K182" i="84"/>
  <c r="F182" i="84"/>
  <c r="C182" i="84"/>
  <c r="B182" i="84"/>
  <c r="BA181" i="84"/>
  <c r="AO181" i="84" s="1"/>
  <c r="AN181" i="84"/>
  <c r="AM181" i="84"/>
  <c r="AL181" i="84"/>
  <c r="AK181" i="84"/>
  <c r="AJ181" i="84"/>
  <c r="AB181" i="84"/>
  <c r="S181" i="84"/>
  <c r="W181" i="84" s="1"/>
  <c r="AP181" i="84" s="1"/>
  <c r="K181" i="84"/>
  <c r="F181" i="84"/>
  <c r="C181" i="84"/>
  <c r="B181" i="84"/>
  <c r="BA180" i="84"/>
  <c r="AO180" i="84" s="1"/>
  <c r="AN180" i="84"/>
  <c r="AM180" i="84"/>
  <c r="AL180" i="84"/>
  <c r="AK180" i="84"/>
  <c r="AJ180" i="84"/>
  <c r="AB180" i="84"/>
  <c r="S180" i="84"/>
  <c r="W180" i="84" s="1"/>
  <c r="K180" i="84"/>
  <c r="F180" i="84"/>
  <c r="C180" i="84"/>
  <c r="B180" i="84"/>
  <c r="BA179" i="84"/>
  <c r="AO179" i="84" s="1"/>
  <c r="AN179" i="84"/>
  <c r="AM179" i="84"/>
  <c r="AL179" i="84"/>
  <c r="AK179" i="84"/>
  <c r="AJ179" i="84"/>
  <c r="AB179" i="84"/>
  <c r="S179" i="84"/>
  <c r="W179" i="84" s="1"/>
  <c r="K179" i="84"/>
  <c r="F179" i="84"/>
  <c r="C179" i="84"/>
  <c r="B179" i="84"/>
  <c r="BA178" i="84"/>
  <c r="AO178" i="84"/>
  <c r="AN178" i="84"/>
  <c r="AM178" i="84"/>
  <c r="AL178" i="84"/>
  <c r="AK178" i="84"/>
  <c r="AJ178" i="84"/>
  <c r="AB178" i="84"/>
  <c r="S178" i="84"/>
  <c r="W178" i="84" s="1"/>
  <c r="K178" i="84"/>
  <c r="F178" i="84"/>
  <c r="C178" i="84"/>
  <c r="B178" i="84"/>
  <c r="BA177" i="84"/>
  <c r="AO177" i="84" s="1"/>
  <c r="AN177" i="84"/>
  <c r="AM177" i="84"/>
  <c r="AL177" i="84"/>
  <c r="AK177" i="84"/>
  <c r="AJ177" i="84"/>
  <c r="AB177" i="84"/>
  <c r="S177" i="84"/>
  <c r="W177" i="84" s="1"/>
  <c r="AP177" i="84" s="1"/>
  <c r="K177" i="84"/>
  <c r="F177" i="84"/>
  <c r="C177" i="84"/>
  <c r="B177" i="84"/>
  <c r="BA176" i="84"/>
  <c r="AO176" i="84" s="1"/>
  <c r="AN176" i="84"/>
  <c r="AM176" i="84"/>
  <c r="AL176" i="84"/>
  <c r="AK176" i="84"/>
  <c r="AJ176" i="84"/>
  <c r="AB176" i="84"/>
  <c r="S176" i="84"/>
  <c r="W176" i="84" s="1"/>
  <c r="AP176" i="84" s="1"/>
  <c r="AQ176" i="84" s="1"/>
  <c r="K176" i="84"/>
  <c r="F176" i="84"/>
  <c r="C176" i="84"/>
  <c r="B176" i="84"/>
  <c r="BA175" i="84"/>
  <c r="AO175" i="84" s="1"/>
  <c r="AN175" i="84"/>
  <c r="AM175" i="84"/>
  <c r="AL175" i="84"/>
  <c r="AK175" i="84"/>
  <c r="AJ175" i="84"/>
  <c r="AB175" i="84"/>
  <c r="S175" i="84"/>
  <c r="W175" i="84" s="1"/>
  <c r="AP175" i="84" s="1"/>
  <c r="K175" i="84"/>
  <c r="F175" i="84"/>
  <c r="C175" i="84"/>
  <c r="B175" i="84"/>
  <c r="BA174" i="84"/>
  <c r="AO174" i="84"/>
  <c r="AN174" i="84"/>
  <c r="AM174" i="84"/>
  <c r="AL174" i="84"/>
  <c r="AK174" i="84"/>
  <c r="AJ174" i="84"/>
  <c r="AB174" i="84"/>
  <c r="S174" i="84"/>
  <c r="W174" i="84" s="1"/>
  <c r="K174" i="84"/>
  <c r="F174" i="84"/>
  <c r="C174" i="84"/>
  <c r="B174" i="84"/>
  <c r="BA173" i="84"/>
  <c r="AO173" i="84" s="1"/>
  <c r="AN173" i="84"/>
  <c r="AP173" i="84" s="1"/>
  <c r="AQ173" i="84" s="1"/>
  <c r="AM173" i="84"/>
  <c r="AL173" i="84"/>
  <c r="AK173" i="84"/>
  <c r="AJ173" i="84"/>
  <c r="AB173" i="84"/>
  <c r="W173" i="84"/>
  <c r="S173" i="84"/>
  <c r="K173" i="84"/>
  <c r="F173" i="84"/>
  <c r="C173" i="84"/>
  <c r="B173" i="84"/>
  <c r="BA172" i="84"/>
  <c r="AO172" i="84" s="1"/>
  <c r="AN172" i="84"/>
  <c r="AM172" i="84"/>
  <c r="AL172" i="84"/>
  <c r="AK172" i="84"/>
  <c r="AJ172" i="84"/>
  <c r="AB172" i="84"/>
  <c r="S172" i="84"/>
  <c r="W172" i="84" s="1"/>
  <c r="AP172" i="84" s="1"/>
  <c r="K172" i="84"/>
  <c r="AQ172" i="84" s="1"/>
  <c r="F172" i="84"/>
  <c r="C172" i="84"/>
  <c r="B172" i="84"/>
  <c r="BA171" i="84"/>
  <c r="AO171" i="84"/>
  <c r="AN171" i="84"/>
  <c r="AM171" i="84"/>
  <c r="AL171" i="84"/>
  <c r="AK171" i="84"/>
  <c r="AJ171" i="84"/>
  <c r="AB171" i="84"/>
  <c r="S171" i="84"/>
  <c r="W171" i="84" s="1"/>
  <c r="K171" i="84"/>
  <c r="F171" i="84"/>
  <c r="C171" i="84"/>
  <c r="B171" i="84"/>
  <c r="BA170" i="84"/>
  <c r="AO170" i="84" s="1"/>
  <c r="AN170" i="84"/>
  <c r="AM170" i="84"/>
  <c r="AL170" i="84"/>
  <c r="AK170" i="84"/>
  <c r="AJ170" i="84"/>
  <c r="AB170" i="84"/>
  <c r="S170" i="84"/>
  <c r="W170" i="84" s="1"/>
  <c r="AP170" i="84" s="1"/>
  <c r="AQ170" i="84" s="1"/>
  <c r="K170" i="84"/>
  <c r="F170" i="84"/>
  <c r="C170" i="84"/>
  <c r="B170" i="84"/>
  <c r="BA169" i="84"/>
  <c r="AO169" i="84" s="1"/>
  <c r="AN169" i="84"/>
  <c r="AM169" i="84"/>
  <c r="AL169" i="84"/>
  <c r="AK169" i="84"/>
  <c r="AJ169" i="84"/>
  <c r="AB169" i="84"/>
  <c r="S169" i="84"/>
  <c r="W169" i="84" s="1"/>
  <c r="K169" i="84"/>
  <c r="F169" i="84"/>
  <c r="C169" i="84"/>
  <c r="B169" i="84"/>
  <c r="BA168" i="84"/>
  <c r="AO168" i="84"/>
  <c r="AN168" i="84"/>
  <c r="AM168" i="84"/>
  <c r="AL168" i="84"/>
  <c r="AK168" i="84"/>
  <c r="AJ168" i="84"/>
  <c r="AB168" i="84"/>
  <c r="S168" i="84"/>
  <c r="W168" i="84" s="1"/>
  <c r="K168" i="84"/>
  <c r="F168" i="84"/>
  <c r="C168" i="84"/>
  <c r="B168" i="84"/>
  <c r="BA167" i="84"/>
  <c r="AO167" i="84" s="1"/>
  <c r="AN167" i="84"/>
  <c r="AM167" i="84"/>
  <c r="AL167" i="84"/>
  <c r="AK167" i="84"/>
  <c r="AJ167" i="84"/>
  <c r="AB167" i="84"/>
  <c r="S167" i="84"/>
  <c r="W167" i="84" s="1"/>
  <c r="AP167" i="84" s="1"/>
  <c r="AQ167" i="84" s="1"/>
  <c r="K167" i="84"/>
  <c r="F167" i="84"/>
  <c r="C167" i="84"/>
  <c r="B167" i="84"/>
  <c r="BA166" i="84"/>
  <c r="AO166" i="84" s="1"/>
  <c r="AN166" i="84"/>
  <c r="AM166" i="84"/>
  <c r="AL166" i="84"/>
  <c r="AK166" i="84"/>
  <c r="AJ166" i="84"/>
  <c r="AB166" i="84"/>
  <c r="W166" i="84"/>
  <c r="AP166" i="84" s="1"/>
  <c r="S166" i="84"/>
  <c r="K166" i="84"/>
  <c r="AQ166" i="84" s="1"/>
  <c r="F166" i="84"/>
  <c r="C166" i="84"/>
  <c r="B166" i="84"/>
  <c r="BA165" i="84"/>
  <c r="AO165" i="84" s="1"/>
  <c r="AN165" i="84"/>
  <c r="AM165" i="84"/>
  <c r="AL165" i="84"/>
  <c r="AK165" i="84"/>
  <c r="AJ165" i="84"/>
  <c r="AB165" i="84"/>
  <c r="S165" i="84"/>
  <c r="W165" i="84" s="1"/>
  <c r="AP165" i="84" s="1"/>
  <c r="K165" i="84"/>
  <c r="F165" i="84"/>
  <c r="C165" i="84"/>
  <c r="B165" i="84"/>
  <c r="BA164" i="84"/>
  <c r="AO164" i="84" s="1"/>
  <c r="AN164" i="84"/>
  <c r="AM164" i="84"/>
  <c r="AL164" i="84"/>
  <c r="AK164" i="84"/>
  <c r="AJ164" i="84"/>
  <c r="AB164" i="84"/>
  <c r="S164" i="84"/>
  <c r="W164" i="84" s="1"/>
  <c r="AP164" i="84" s="1"/>
  <c r="K164" i="84"/>
  <c r="F164" i="84"/>
  <c r="C164" i="84"/>
  <c r="B164" i="84"/>
  <c r="BA163" i="84"/>
  <c r="AO163" i="84"/>
  <c r="AN163" i="84"/>
  <c r="AM163" i="84"/>
  <c r="AL163" i="84"/>
  <c r="AK163" i="84"/>
  <c r="AJ163" i="84"/>
  <c r="AB163" i="84"/>
  <c r="W163" i="84"/>
  <c r="S163" i="84"/>
  <c r="K163" i="84"/>
  <c r="F163" i="84"/>
  <c r="C163" i="84"/>
  <c r="B163" i="84"/>
  <c r="BA162" i="84"/>
  <c r="AO162" i="84" s="1"/>
  <c r="AN162" i="84"/>
  <c r="AM162" i="84"/>
  <c r="AL162" i="84"/>
  <c r="AK162" i="84"/>
  <c r="AJ162" i="84"/>
  <c r="AB162" i="84"/>
  <c r="S162" i="84"/>
  <c r="W162" i="84" s="1"/>
  <c r="K162" i="84"/>
  <c r="F162" i="84"/>
  <c r="C162" i="84"/>
  <c r="B162" i="84"/>
  <c r="BA161" i="84"/>
  <c r="AO161" i="84"/>
  <c r="AN161" i="84"/>
  <c r="AM161" i="84"/>
  <c r="AL161" i="84"/>
  <c r="AK161" i="84"/>
  <c r="AJ161" i="84"/>
  <c r="AB161" i="84"/>
  <c r="S161" i="84"/>
  <c r="W161" i="84" s="1"/>
  <c r="AP161" i="84" s="1"/>
  <c r="AQ161" i="84" s="1"/>
  <c r="K161" i="84"/>
  <c r="F161" i="84"/>
  <c r="C161" i="84"/>
  <c r="B161" i="84"/>
  <c r="BA160" i="84"/>
  <c r="AO160" i="84"/>
  <c r="AN160" i="84"/>
  <c r="AM160" i="84"/>
  <c r="AL160" i="84"/>
  <c r="AK160" i="84"/>
  <c r="AJ160" i="84"/>
  <c r="AB160" i="84"/>
  <c r="W160" i="84"/>
  <c r="S160" i="84"/>
  <c r="K160" i="84"/>
  <c r="F160" i="84"/>
  <c r="C160" i="84"/>
  <c r="B160" i="84"/>
  <c r="BA159" i="84"/>
  <c r="AO159" i="84" s="1"/>
  <c r="AN159" i="84"/>
  <c r="AM159" i="84"/>
  <c r="AL159" i="84"/>
  <c r="AK159" i="84"/>
  <c r="AJ159" i="84"/>
  <c r="AB159" i="84"/>
  <c r="S159" i="84"/>
  <c r="W159" i="84" s="1"/>
  <c r="AP159" i="84" s="1"/>
  <c r="K159" i="84"/>
  <c r="F159" i="84"/>
  <c r="C159" i="84"/>
  <c r="B159" i="84"/>
  <c r="BA158" i="84"/>
  <c r="AO158" i="84" s="1"/>
  <c r="AN158" i="84"/>
  <c r="AM158" i="84"/>
  <c r="AL158" i="84"/>
  <c r="AK158" i="84"/>
  <c r="AJ158" i="84"/>
  <c r="AB158" i="84"/>
  <c r="S158" i="84"/>
  <c r="W158" i="84" s="1"/>
  <c r="K158" i="84"/>
  <c r="F158" i="84"/>
  <c r="C158" i="84"/>
  <c r="B158" i="84"/>
  <c r="AO157" i="84"/>
  <c r="AN157" i="84"/>
  <c r="AM157" i="84"/>
  <c r="AL157" i="84"/>
  <c r="AK157" i="84"/>
  <c r="AJ157" i="84"/>
  <c r="AB157" i="84"/>
  <c r="S157" i="84"/>
  <c r="W157" i="84" s="1"/>
  <c r="K157" i="84"/>
  <c r="F157" i="84"/>
  <c r="C157" i="84"/>
  <c r="B157" i="84"/>
  <c r="BA156" i="84"/>
  <c r="AO156" i="84" s="1"/>
  <c r="AN156" i="84"/>
  <c r="AM156" i="84"/>
  <c r="AL156" i="84"/>
  <c r="AK156" i="84"/>
  <c r="AJ156" i="84"/>
  <c r="AB156" i="84"/>
  <c r="W156" i="84"/>
  <c r="S156" i="84"/>
  <c r="K156" i="84"/>
  <c r="F156" i="84"/>
  <c r="C156" i="84"/>
  <c r="B156" i="84"/>
  <c r="BA155" i="84"/>
  <c r="AO155" i="84" s="1"/>
  <c r="AN155" i="84"/>
  <c r="AM155" i="84"/>
  <c r="AL155" i="84"/>
  <c r="AK155" i="84"/>
  <c r="AJ155" i="84"/>
  <c r="AB155" i="84"/>
  <c r="S155" i="84"/>
  <c r="W155" i="84" s="1"/>
  <c r="K155" i="84"/>
  <c r="F155" i="84"/>
  <c r="C155" i="84"/>
  <c r="B155" i="84"/>
  <c r="BA154" i="84"/>
  <c r="AO154" i="84"/>
  <c r="AN154" i="84"/>
  <c r="AP154" i="84" s="1"/>
  <c r="AM154" i="84"/>
  <c r="AL154" i="84"/>
  <c r="AK154" i="84"/>
  <c r="AJ154" i="84"/>
  <c r="AB154" i="84"/>
  <c r="S154" i="84"/>
  <c r="W154" i="84" s="1"/>
  <c r="K154" i="84"/>
  <c r="F154" i="84"/>
  <c r="C154" i="84"/>
  <c r="B154" i="84"/>
  <c r="AO153" i="84"/>
  <c r="AN153" i="84"/>
  <c r="AM153" i="84"/>
  <c r="AL153" i="84"/>
  <c r="AK153" i="84"/>
  <c r="AJ153" i="84"/>
  <c r="AB153" i="84"/>
  <c r="S153" i="84"/>
  <c r="W153" i="84" s="1"/>
  <c r="K153" i="84"/>
  <c r="F153" i="84"/>
  <c r="C153" i="84"/>
  <c r="B153" i="84"/>
  <c r="AO152" i="84"/>
  <c r="AN152" i="84"/>
  <c r="AM152" i="84"/>
  <c r="AL152" i="84"/>
  <c r="AK152" i="84"/>
  <c r="AJ152" i="84"/>
  <c r="AB152" i="84"/>
  <c r="W152" i="84"/>
  <c r="S152" i="84"/>
  <c r="K152" i="84"/>
  <c r="F152" i="84"/>
  <c r="C152" i="84"/>
  <c r="B152" i="84"/>
  <c r="AO151" i="84"/>
  <c r="AN151" i="84"/>
  <c r="AM151" i="84"/>
  <c r="AL151" i="84"/>
  <c r="AK151" i="84"/>
  <c r="AJ151" i="84"/>
  <c r="AB151" i="84"/>
  <c r="W151" i="84"/>
  <c r="AP151" i="84" s="1"/>
  <c r="AQ151" i="84" s="1"/>
  <c r="S151" i="84"/>
  <c r="K151" i="84"/>
  <c r="F151" i="84"/>
  <c r="C151" i="84"/>
  <c r="B151" i="84"/>
  <c r="BA150" i="84"/>
  <c r="AO150" i="84" s="1"/>
  <c r="AN150" i="84"/>
  <c r="AM150" i="84"/>
  <c r="AL150" i="84"/>
  <c r="AK150" i="84"/>
  <c r="AJ150" i="84"/>
  <c r="AB150" i="84"/>
  <c r="W150" i="84"/>
  <c r="S150" i="84"/>
  <c r="K150" i="84"/>
  <c r="F150" i="84"/>
  <c r="C150" i="84"/>
  <c r="B150" i="84"/>
  <c r="BA149" i="84"/>
  <c r="AO149" i="84" s="1"/>
  <c r="AN149" i="84"/>
  <c r="AM149" i="84"/>
  <c r="AL149" i="84"/>
  <c r="AK149" i="84"/>
  <c r="AJ149" i="84"/>
  <c r="AB149" i="84"/>
  <c r="S149" i="84"/>
  <c r="W149" i="84" s="1"/>
  <c r="K149" i="84"/>
  <c r="F149" i="84"/>
  <c r="C149" i="84"/>
  <c r="B149" i="84"/>
  <c r="BA148" i="84"/>
  <c r="AO148" i="84" s="1"/>
  <c r="AN148" i="84"/>
  <c r="AM148" i="84"/>
  <c r="AL148" i="84"/>
  <c r="AK148" i="84"/>
  <c r="AJ148" i="84"/>
  <c r="AB148" i="84"/>
  <c r="S148" i="84"/>
  <c r="W148" i="84" s="1"/>
  <c r="K148" i="84"/>
  <c r="F148" i="84"/>
  <c r="C148" i="84"/>
  <c r="B148" i="84"/>
  <c r="AO147" i="84"/>
  <c r="AN147" i="84"/>
  <c r="AP147" i="84" s="1"/>
  <c r="AM147" i="84"/>
  <c r="AL147" i="84"/>
  <c r="AK147" i="84"/>
  <c r="AJ147" i="84"/>
  <c r="AB147" i="84"/>
  <c r="S147" i="84"/>
  <c r="W147" i="84" s="1"/>
  <c r="K147" i="84"/>
  <c r="F147" i="84"/>
  <c r="C147" i="84"/>
  <c r="B147" i="84"/>
  <c r="AO146" i="84"/>
  <c r="AN146" i="84"/>
  <c r="AM146" i="84"/>
  <c r="AL146" i="84"/>
  <c r="AK146" i="84"/>
  <c r="AJ146" i="84"/>
  <c r="AB146" i="84"/>
  <c r="S146" i="84"/>
  <c r="W146" i="84" s="1"/>
  <c r="K146" i="84"/>
  <c r="F146" i="84"/>
  <c r="C146" i="84"/>
  <c r="B146" i="84"/>
  <c r="AO145" i="84"/>
  <c r="AN145" i="84"/>
  <c r="AM145" i="84"/>
  <c r="AL145" i="84"/>
  <c r="AK145" i="84"/>
  <c r="AJ145" i="84"/>
  <c r="AB145" i="84"/>
  <c r="S145" i="84"/>
  <c r="W145" i="84" s="1"/>
  <c r="AP145" i="84" s="1"/>
  <c r="AQ145" i="84" s="1"/>
  <c r="K145" i="84"/>
  <c r="F145" i="84"/>
  <c r="C145" i="84"/>
  <c r="B145" i="84"/>
  <c r="AO144" i="84"/>
  <c r="AN144" i="84"/>
  <c r="AM144" i="84"/>
  <c r="AL144" i="84"/>
  <c r="AK144" i="84"/>
  <c r="AJ144" i="84"/>
  <c r="AB144" i="84"/>
  <c r="W144" i="84"/>
  <c r="AP144" i="84" s="1"/>
  <c r="AQ144" i="84" s="1"/>
  <c r="S144" i="84"/>
  <c r="K144" i="84"/>
  <c r="F144" i="84"/>
  <c r="C144" i="84"/>
  <c r="B144" i="84"/>
  <c r="BA143" i="84"/>
  <c r="AO143" i="84" s="1"/>
  <c r="AN143" i="84"/>
  <c r="AM143" i="84"/>
  <c r="AL143" i="84"/>
  <c r="AK143" i="84"/>
  <c r="AJ143" i="84"/>
  <c r="AB143" i="84"/>
  <c r="S143" i="84"/>
  <c r="W143" i="84" s="1"/>
  <c r="AP143" i="84" s="1"/>
  <c r="AQ143" i="84" s="1"/>
  <c r="K143" i="84"/>
  <c r="F143" i="84"/>
  <c r="C143" i="84"/>
  <c r="B143" i="84"/>
  <c r="BA142" i="84"/>
  <c r="AO142" i="84" s="1"/>
  <c r="AN142" i="84"/>
  <c r="AM142" i="84"/>
  <c r="AL142" i="84"/>
  <c r="AK142" i="84"/>
  <c r="AJ142" i="84"/>
  <c r="AB142" i="84"/>
  <c r="S142" i="84"/>
  <c r="W142" i="84" s="1"/>
  <c r="K142" i="84"/>
  <c r="F142" i="84"/>
  <c r="C142" i="84"/>
  <c r="B142" i="84"/>
  <c r="BA141" i="84"/>
  <c r="AO141" i="84" s="1"/>
  <c r="AN141" i="84"/>
  <c r="AM141" i="84"/>
  <c r="AL141" i="84"/>
  <c r="AK141" i="84"/>
  <c r="AJ141" i="84"/>
  <c r="AB141" i="84"/>
  <c r="W141" i="84"/>
  <c r="AP141" i="84" s="1"/>
  <c r="S141" i="84"/>
  <c r="K141" i="84"/>
  <c r="F141" i="84"/>
  <c r="C141" i="84"/>
  <c r="B141" i="84"/>
  <c r="BA140" i="84"/>
  <c r="AO140" i="84" s="1"/>
  <c r="AN140" i="84"/>
  <c r="AM140" i="84"/>
  <c r="AL140" i="84"/>
  <c r="AK140" i="84"/>
  <c r="AJ140" i="84"/>
  <c r="AB140" i="84"/>
  <c r="S140" i="84"/>
  <c r="W140" i="84" s="1"/>
  <c r="K140" i="84"/>
  <c r="F140" i="84"/>
  <c r="C140" i="84"/>
  <c r="B140" i="84"/>
  <c r="BA139" i="84"/>
  <c r="AO139" i="84"/>
  <c r="AN139" i="84"/>
  <c r="AM139" i="84"/>
  <c r="AL139" i="84"/>
  <c r="AK139" i="84"/>
  <c r="AJ139" i="84"/>
  <c r="AB139" i="84"/>
  <c r="S139" i="84"/>
  <c r="W139" i="84" s="1"/>
  <c r="K139" i="84"/>
  <c r="F139" i="84"/>
  <c r="C139" i="84"/>
  <c r="B139" i="84"/>
  <c r="BA138" i="84"/>
  <c r="AO138" i="84"/>
  <c r="AN138" i="84"/>
  <c r="AM138" i="84"/>
  <c r="AL138" i="84"/>
  <c r="AK138" i="84"/>
  <c r="AJ138" i="84"/>
  <c r="AB138" i="84"/>
  <c r="W138" i="84"/>
  <c r="AP138" i="84" s="1"/>
  <c r="S138" i="84"/>
  <c r="K138" i="84"/>
  <c r="F138" i="84"/>
  <c r="C138" i="84"/>
  <c r="B138" i="84"/>
  <c r="BA137" i="84"/>
  <c r="AO137" i="84"/>
  <c r="AN137" i="84"/>
  <c r="AM137" i="84"/>
  <c r="AL137" i="84"/>
  <c r="AK137" i="84"/>
  <c r="AJ137" i="84"/>
  <c r="AB137" i="84"/>
  <c r="S137" i="84"/>
  <c r="W137" i="84" s="1"/>
  <c r="AP137" i="84" s="1"/>
  <c r="K137" i="84"/>
  <c r="AQ137" i="84" s="1"/>
  <c r="F137" i="84"/>
  <c r="C137" i="84"/>
  <c r="B137" i="84"/>
  <c r="BA136" i="84"/>
  <c r="AO136" i="84"/>
  <c r="AN136" i="84"/>
  <c r="AM136" i="84"/>
  <c r="AL136" i="84"/>
  <c r="AK136" i="84"/>
  <c r="AJ136" i="84"/>
  <c r="AB136" i="84"/>
  <c r="S136" i="84"/>
  <c r="W136" i="84" s="1"/>
  <c r="AP136" i="84" s="1"/>
  <c r="AQ136" i="84" s="1"/>
  <c r="K136" i="84"/>
  <c r="F136" i="84"/>
  <c r="C136" i="84"/>
  <c r="B136" i="84"/>
  <c r="BA135" i="84"/>
  <c r="AO135" i="84" s="1"/>
  <c r="AN135" i="84"/>
  <c r="AM135" i="84"/>
  <c r="AL135" i="84"/>
  <c r="AK135" i="84"/>
  <c r="AJ135" i="84"/>
  <c r="AB135" i="84"/>
  <c r="W135" i="84"/>
  <c r="AP135" i="84" s="1"/>
  <c r="AQ135" i="84" s="1"/>
  <c r="S135" i="84"/>
  <c r="K135" i="84"/>
  <c r="F135" i="84"/>
  <c r="C135" i="84"/>
  <c r="B135" i="84"/>
  <c r="BA134" i="84"/>
  <c r="AO134" i="84" s="1"/>
  <c r="AN134" i="84"/>
  <c r="AM134" i="84"/>
  <c r="AL134" i="84"/>
  <c r="AK134" i="84"/>
  <c r="AJ134" i="84"/>
  <c r="AB134" i="84"/>
  <c r="S134" i="84"/>
  <c r="W134" i="84" s="1"/>
  <c r="K134" i="84"/>
  <c r="F134" i="84"/>
  <c r="C134" i="84"/>
  <c r="B134" i="84"/>
  <c r="BA133" i="84"/>
  <c r="AO133" i="84" s="1"/>
  <c r="AN133" i="84"/>
  <c r="AM133" i="84"/>
  <c r="AL133" i="84"/>
  <c r="AK133" i="84"/>
  <c r="AJ133" i="84"/>
  <c r="AB133" i="84"/>
  <c r="S133" i="84"/>
  <c r="W133" i="84" s="1"/>
  <c r="AP133" i="84" s="1"/>
  <c r="K133" i="84"/>
  <c r="F133" i="84"/>
  <c r="C133" i="84"/>
  <c r="B133" i="84"/>
  <c r="BA132" i="84"/>
  <c r="AO132" i="84" s="1"/>
  <c r="AN132" i="84"/>
  <c r="AM132" i="84"/>
  <c r="AL132" i="84"/>
  <c r="AK132" i="84"/>
  <c r="AJ132" i="84"/>
  <c r="AB132" i="84"/>
  <c r="S132" i="84"/>
  <c r="W132" i="84" s="1"/>
  <c r="K132" i="84"/>
  <c r="F132" i="84"/>
  <c r="C132" i="84"/>
  <c r="B132" i="84"/>
  <c r="BA131" i="84"/>
  <c r="AO131" i="84"/>
  <c r="AN131" i="84"/>
  <c r="AM131" i="84"/>
  <c r="AL131" i="84"/>
  <c r="AK131" i="84"/>
  <c r="AJ131" i="84"/>
  <c r="AB131" i="84"/>
  <c r="W131" i="84"/>
  <c r="S131" i="84"/>
  <c r="K131" i="84"/>
  <c r="F131" i="84"/>
  <c r="C131" i="84"/>
  <c r="B131" i="84"/>
  <c r="BA130" i="84"/>
  <c r="AO130" i="84" s="1"/>
  <c r="AN130" i="84"/>
  <c r="AM130" i="84"/>
  <c r="AL130" i="84"/>
  <c r="AK130" i="84"/>
  <c r="AJ130" i="84"/>
  <c r="AB130" i="84"/>
  <c r="S130" i="84"/>
  <c r="W130" i="84" s="1"/>
  <c r="AP130" i="84" s="1"/>
  <c r="AQ130" i="84" s="1"/>
  <c r="K130" i="84"/>
  <c r="F130" i="84"/>
  <c r="C130" i="84"/>
  <c r="B130" i="84"/>
  <c r="BA129" i="84"/>
  <c r="AO129" i="84" s="1"/>
  <c r="AN129" i="84"/>
  <c r="AM129" i="84"/>
  <c r="AL129" i="84"/>
  <c r="AK129" i="84"/>
  <c r="AJ129" i="84"/>
  <c r="AB129" i="84"/>
  <c r="W129" i="84"/>
  <c r="S129" i="84"/>
  <c r="K129" i="84"/>
  <c r="F129" i="84"/>
  <c r="C129" i="84"/>
  <c r="B129" i="84"/>
  <c r="BA128" i="84"/>
  <c r="AO128" i="84"/>
  <c r="AN128" i="84"/>
  <c r="AM128" i="84"/>
  <c r="AL128" i="84"/>
  <c r="AK128" i="84"/>
  <c r="AJ128" i="84"/>
  <c r="AB128" i="84"/>
  <c r="S128" i="84"/>
  <c r="W128" i="84" s="1"/>
  <c r="K128" i="84"/>
  <c r="F128" i="84"/>
  <c r="C128" i="84"/>
  <c r="B128" i="84"/>
  <c r="BA127" i="84"/>
  <c r="AP127" i="84"/>
  <c r="AQ127" i="84" s="1"/>
  <c r="AO127" i="84"/>
  <c r="AN127" i="84"/>
  <c r="AM127" i="84"/>
  <c r="AL127" i="84"/>
  <c r="AK127" i="84"/>
  <c r="AJ127" i="84"/>
  <c r="AB127" i="84"/>
  <c r="S127" i="84"/>
  <c r="W127" i="84" s="1"/>
  <c r="K127" i="84"/>
  <c r="F127" i="84"/>
  <c r="C127" i="84"/>
  <c r="B127" i="84"/>
  <c r="BA126" i="84"/>
  <c r="AO126" i="84" s="1"/>
  <c r="AN126" i="84"/>
  <c r="AM126" i="84"/>
  <c r="AL126" i="84"/>
  <c r="AK126" i="84"/>
  <c r="AJ126" i="84"/>
  <c r="AB126" i="84"/>
  <c r="S126" i="84"/>
  <c r="W126" i="84" s="1"/>
  <c r="AP126" i="84" s="1"/>
  <c r="AQ126" i="84" s="1"/>
  <c r="K126" i="84"/>
  <c r="F126" i="84"/>
  <c r="C126" i="84"/>
  <c r="B126" i="84"/>
  <c r="BA125" i="84"/>
  <c r="AO125" i="84" s="1"/>
  <c r="AN125" i="84"/>
  <c r="AM125" i="84"/>
  <c r="AL125" i="84"/>
  <c r="AK125" i="84"/>
  <c r="AJ125" i="84"/>
  <c r="AB125" i="84"/>
  <c r="W125" i="84"/>
  <c r="AP125" i="84" s="1"/>
  <c r="S125" i="84"/>
  <c r="K125" i="84"/>
  <c r="AQ125" i="84" s="1"/>
  <c r="F125" i="84"/>
  <c r="C125" i="84"/>
  <c r="B125" i="84"/>
  <c r="BA124" i="84"/>
  <c r="AO124" i="84" s="1"/>
  <c r="AN124" i="84"/>
  <c r="AM124" i="84"/>
  <c r="AL124" i="84"/>
  <c r="AK124" i="84"/>
  <c r="AJ124" i="84"/>
  <c r="AB124" i="84"/>
  <c r="S124" i="84"/>
  <c r="W124" i="84" s="1"/>
  <c r="AP124" i="84" s="1"/>
  <c r="K124" i="84"/>
  <c r="F124" i="84"/>
  <c r="C124" i="84"/>
  <c r="B124" i="84"/>
  <c r="BA123" i="84"/>
  <c r="AO123" i="84"/>
  <c r="AN123" i="84"/>
  <c r="AM123" i="84"/>
  <c r="AL123" i="84"/>
  <c r="AK123" i="84"/>
  <c r="AJ123" i="84"/>
  <c r="AB123" i="84"/>
  <c r="S123" i="84"/>
  <c r="W123" i="84" s="1"/>
  <c r="AP123" i="84" s="1"/>
  <c r="AQ123" i="84" s="1"/>
  <c r="K123" i="84"/>
  <c r="F123" i="84"/>
  <c r="C123" i="84"/>
  <c r="B123" i="84"/>
  <c r="BA122" i="84"/>
  <c r="AO122" i="84" s="1"/>
  <c r="AN122" i="84"/>
  <c r="AM122" i="84"/>
  <c r="AL122" i="84"/>
  <c r="AK122" i="84"/>
  <c r="AJ122" i="84"/>
  <c r="AB122" i="84"/>
  <c r="W122" i="84"/>
  <c r="S122" i="84"/>
  <c r="K122" i="84"/>
  <c r="F122" i="84"/>
  <c r="C122" i="84"/>
  <c r="B122" i="84"/>
  <c r="BA121" i="84"/>
  <c r="AO121" i="84" s="1"/>
  <c r="AN121" i="84"/>
  <c r="AM121" i="84"/>
  <c r="AL121" i="84"/>
  <c r="AK121" i="84"/>
  <c r="AJ121" i="84"/>
  <c r="AB121" i="84"/>
  <c r="S121" i="84"/>
  <c r="W121" i="84" s="1"/>
  <c r="K121" i="84"/>
  <c r="F121" i="84"/>
  <c r="C121" i="84"/>
  <c r="B121" i="84"/>
  <c r="BA120" i="84"/>
  <c r="AO120" i="84" s="1"/>
  <c r="AN120" i="84"/>
  <c r="AM120" i="84"/>
  <c r="AL120" i="84"/>
  <c r="AK120" i="84"/>
  <c r="AJ120" i="84"/>
  <c r="AB120" i="84"/>
  <c r="W120" i="84"/>
  <c r="S120" i="84"/>
  <c r="K120" i="84"/>
  <c r="F120" i="84"/>
  <c r="C120" i="84"/>
  <c r="B120" i="84"/>
  <c r="BA119" i="84"/>
  <c r="AO119" i="84" s="1"/>
  <c r="AN119" i="84"/>
  <c r="AM119" i="84"/>
  <c r="AL119" i="84"/>
  <c r="AK119" i="84"/>
  <c r="AJ119" i="84"/>
  <c r="AB119" i="84"/>
  <c r="S119" i="84"/>
  <c r="W119" i="84" s="1"/>
  <c r="AP119" i="84" s="1"/>
  <c r="K119" i="84"/>
  <c r="AQ119" i="84" s="1"/>
  <c r="F119" i="84"/>
  <c r="C119" i="84"/>
  <c r="B119" i="84"/>
  <c r="BA118" i="84"/>
  <c r="AO118" i="84"/>
  <c r="AN118" i="84"/>
  <c r="AM118" i="84"/>
  <c r="AL118" i="84"/>
  <c r="AK118" i="84"/>
  <c r="AJ118" i="84"/>
  <c r="AB118" i="84"/>
  <c r="S118" i="84"/>
  <c r="W118" i="84" s="1"/>
  <c r="AP118" i="84" s="1"/>
  <c r="AQ118" i="84" s="1"/>
  <c r="K118" i="84"/>
  <c r="F118" i="84"/>
  <c r="C118" i="84"/>
  <c r="B118" i="84"/>
  <c r="BA117" i="84"/>
  <c r="AO117" i="84" s="1"/>
  <c r="AN117" i="84"/>
  <c r="AM117" i="84"/>
  <c r="AL117" i="84"/>
  <c r="AK117" i="84"/>
  <c r="AJ117" i="84"/>
  <c r="AB117" i="84"/>
  <c r="S117" i="84"/>
  <c r="W117" i="84" s="1"/>
  <c r="AP117" i="84" s="1"/>
  <c r="K117" i="84"/>
  <c r="F117" i="84"/>
  <c r="C117" i="84"/>
  <c r="B117" i="84"/>
  <c r="BA116" i="84"/>
  <c r="AO116" i="84"/>
  <c r="AN116" i="84"/>
  <c r="AM116" i="84"/>
  <c r="AL116" i="84"/>
  <c r="AK116" i="84"/>
  <c r="AJ116" i="84"/>
  <c r="AB116" i="84"/>
  <c r="S116" i="84"/>
  <c r="W116" i="84" s="1"/>
  <c r="AP116" i="84" s="1"/>
  <c r="K116" i="84"/>
  <c r="F116" i="84"/>
  <c r="C116" i="84"/>
  <c r="B116" i="84"/>
  <c r="BA115" i="84"/>
  <c r="AO115" i="84"/>
  <c r="AN115" i="84"/>
  <c r="AM115" i="84"/>
  <c r="AL115" i="84"/>
  <c r="AK115" i="84"/>
  <c r="AJ115" i="84"/>
  <c r="AB115" i="84"/>
  <c r="S115" i="84"/>
  <c r="W115" i="84" s="1"/>
  <c r="K115" i="84"/>
  <c r="F115" i="84"/>
  <c r="C115" i="84"/>
  <c r="B115" i="84"/>
  <c r="BA114" i="84"/>
  <c r="AO114" i="84" s="1"/>
  <c r="AN114" i="84"/>
  <c r="AM114" i="84"/>
  <c r="AL114" i="84"/>
  <c r="AK114" i="84"/>
  <c r="AJ114" i="84"/>
  <c r="AB114" i="84"/>
  <c r="W114" i="84"/>
  <c r="S114" i="84"/>
  <c r="K114" i="84"/>
  <c r="F114" i="84"/>
  <c r="C114" i="84"/>
  <c r="B114" i="84"/>
  <c r="BA113" i="84"/>
  <c r="AO113" i="84" s="1"/>
  <c r="AN113" i="84"/>
  <c r="AM113" i="84"/>
  <c r="AL113" i="84"/>
  <c r="AK113" i="84"/>
  <c r="AJ113" i="84"/>
  <c r="AB113" i="84"/>
  <c r="S113" i="84"/>
  <c r="W113" i="84" s="1"/>
  <c r="AP113" i="84" s="1"/>
  <c r="K113" i="84"/>
  <c r="F113" i="84"/>
  <c r="C113" i="84"/>
  <c r="B113" i="84"/>
  <c r="BA112" i="84"/>
  <c r="AO112" i="84" s="1"/>
  <c r="AN112" i="84"/>
  <c r="AM112" i="84"/>
  <c r="AL112" i="84"/>
  <c r="AK112" i="84"/>
  <c r="AJ112" i="84"/>
  <c r="AB112" i="84"/>
  <c r="S112" i="84"/>
  <c r="W112" i="84" s="1"/>
  <c r="AP112" i="84" s="1"/>
  <c r="AQ112" i="84" s="1"/>
  <c r="K112" i="84"/>
  <c r="F112" i="84"/>
  <c r="C112" i="84"/>
  <c r="B112" i="84"/>
  <c r="BA111" i="84"/>
  <c r="AO111" i="84"/>
  <c r="AN111" i="84"/>
  <c r="AM111" i="84"/>
  <c r="AL111" i="84"/>
  <c r="AK111" i="84"/>
  <c r="AJ111" i="84"/>
  <c r="AB111" i="84"/>
  <c r="W111" i="84"/>
  <c r="AP111" i="84" s="1"/>
  <c r="AQ111" i="84" s="1"/>
  <c r="S111" i="84"/>
  <c r="K111" i="84"/>
  <c r="F111" i="84"/>
  <c r="C111" i="84"/>
  <c r="B111" i="84"/>
  <c r="BA110" i="84"/>
  <c r="AO110" i="84" s="1"/>
  <c r="AN110" i="84"/>
  <c r="AM110" i="84"/>
  <c r="AL110" i="84"/>
  <c r="AK110" i="84"/>
  <c r="AJ110" i="84"/>
  <c r="AB110" i="84"/>
  <c r="S110" i="84"/>
  <c r="W110" i="84" s="1"/>
  <c r="K110" i="84"/>
  <c r="F110" i="84"/>
  <c r="C110" i="84"/>
  <c r="B110" i="84"/>
  <c r="BA109" i="84"/>
  <c r="AO109" i="84" s="1"/>
  <c r="AN109" i="84"/>
  <c r="AM109" i="84"/>
  <c r="AL109" i="84"/>
  <c r="AK109" i="84"/>
  <c r="AJ109" i="84"/>
  <c r="AB109" i="84"/>
  <c r="S109" i="84"/>
  <c r="W109" i="84" s="1"/>
  <c r="AP109" i="84" s="1"/>
  <c r="AQ109" i="84" s="1"/>
  <c r="K109" i="84"/>
  <c r="F109" i="84"/>
  <c r="C109" i="84"/>
  <c r="B109" i="84"/>
  <c r="BA108" i="84"/>
  <c r="AO108" i="84" s="1"/>
  <c r="AN108" i="84"/>
  <c r="AM108" i="84"/>
  <c r="AL108" i="84"/>
  <c r="AK108" i="84"/>
  <c r="AJ108" i="84"/>
  <c r="AB108" i="84"/>
  <c r="W108" i="84"/>
  <c r="AP108" i="84" s="1"/>
  <c r="S108" i="84"/>
  <c r="K108" i="84"/>
  <c r="F108" i="84"/>
  <c r="C108" i="84"/>
  <c r="B108" i="84"/>
  <c r="BA107" i="84"/>
  <c r="AO107" i="84" s="1"/>
  <c r="AN107" i="84"/>
  <c r="AM107" i="84"/>
  <c r="AL107" i="84"/>
  <c r="AK107" i="84"/>
  <c r="AJ107" i="84"/>
  <c r="AB107" i="84"/>
  <c r="S107" i="84"/>
  <c r="W107" i="84" s="1"/>
  <c r="AP107" i="84" s="1"/>
  <c r="AQ107" i="84" s="1"/>
  <c r="K107" i="84"/>
  <c r="F107" i="84"/>
  <c r="C107" i="84"/>
  <c r="B107" i="84"/>
  <c r="BA106" i="84"/>
  <c r="AO106" i="84" s="1"/>
  <c r="AN106" i="84"/>
  <c r="AM106" i="84"/>
  <c r="AL106" i="84"/>
  <c r="AK106" i="84"/>
  <c r="AJ106" i="84"/>
  <c r="AB106" i="84"/>
  <c r="S106" i="84"/>
  <c r="W106" i="84" s="1"/>
  <c r="K106" i="84"/>
  <c r="F106" i="84"/>
  <c r="C106" i="84"/>
  <c r="B106" i="84"/>
  <c r="BA105" i="84"/>
  <c r="AO105" i="84"/>
  <c r="AN105" i="84"/>
  <c r="AM105" i="84"/>
  <c r="AL105" i="84"/>
  <c r="AK105" i="84"/>
  <c r="AJ105" i="84"/>
  <c r="AB105" i="84"/>
  <c r="W105" i="84"/>
  <c r="S105" i="84"/>
  <c r="K105" i="84"/>
  <c r="F105" i="84"/>
  <c r="C105" i="84"/>
  <c r="B105" i="84"/>
  <c r="BA104" i="84"/>
  <c r="AO104" i="84" s="1"/>
  <c r="AN104" i="84"/>
  <c r="AM104" i="84"/>
  <c r="AL104" i="84"/>
  <c r="AK104" i="84"/>
  <c r="AJ104" i="84"/>
  <c r="AB104" i="84"/>
  <c r="W104" i="84"/>
  <c r="S104" i="84"/>
  <c r="K104" i="84"/>
  <c r="F104" i="84"/>
  <c r="C104" i="84"/>
  <c r="B104" i="84"/>
  <c r="BA103" i="84"/>
  <c r="AO103" i="84"/>
  <c r="AN103" i="84"/>
  <c r="AM103" i="84"/>
  <c r="AL103" i="84"/>
  <c r="AK103" i="84"/>
  <c r="AJ103" i="84"/>
  <c r="AB103" i="84"/>
  <c r="S103" i="84"/>
  <c r="W103" i="84" s="1"/>
  <c r="K103" i="84"/>
  <c r="F103" i="84"/>
  <c r="C103" i="84"/>
  <c r="B103" i="84"/>
  <c r="BA102" i="84"/>
  <c r="AO102" i="84" s="1"/>
  <c r="AN102" i="84"/>
  <c r="AM102" i="84"/>
  <c r="AL102" i="84"/>
  <c r="AK102" i="84"/>
  <c r="AJ102" i="84"/>
  <c r="AB102" i="84"/>
  <c r="S102" i="84"/>
  <c r="W102" i="84" s="1"/>
  <c r="AP102" i="84" s="1"/>
  <c r="AQ102" i="84" s="1"/>
  <c r="K102" i="84"/>
  <c r="F102" i="84"/>
  <c r="C102" i="84"/>
  <c r="B102" i="84"/>
  <c r="BA101" i="84"/>
  <c r="AO101" i="84" s="1"/>
  <c r="AN101" i="84"/>
  <c r="AM101" i="84"/>
  <c r="AL101" i="84"/>
  <c r="AK101" i="84"/>
  <c r="AJ101" i="84"/>
  <c r="AB101" i="84"/>
  <c r="S101" i="84"/>
  <c r="W101" i="84" s="1"/>
  <c r="AP101" i="84" s="1"/>
  <c r="K101" i="84"/>
  <c r="F101" i="84"/>
  <c r="C101" i="84"/>
  <c r="B101" i="84"/>
  <c r="BA100" i="84"/>
  <c r="AO100" i="84"/>
  <c r="AN100" i="84"/>
  <c r="AM100" i="84"/>
  <c r="AL100" i="84"/>
  <c r="AK100" i="84"/>
  <c r="AJ100" i="84"/>
  <c r="AB100" i="84"/>
  <c r="S100" i="84"/>
  <c r="W100" i="84" s="1"/>
  <c r="K100" i="84"/>
  <c r="F100" i="84"/>
  <c r="C100" i="84"/>
  <c r="B100" i="84"/>
  <c r="BA99" i="84"/>
  <c r="AO99" i="84" s="1"/>
  <c r="AN99" i="84"/>
  <c r="AM99" i="84"/>
  <c r="AL99" i="84"/>
  <c r="AK99" i="84"/>
  <c r="AJ99" i="84"/>
  <c r="AB99" i="84"/>
  <c r="S99" i="84"/>
  <c r="W99" i="84" s="1"/>
  <c r="K99" i="84"/>
  <c r="F99" i="84"/>
  <c r="C99" i="84"/>
  <c r="B99" i="84"/>
  <c r="BA98" i="84"/>
  <c r="AO98" i="84" s="1"/>
  <c r="AN98" i="84"/>
  <c r="AM98" i="84"/>
  <c r="AL98" i="84"/>
  <c r="AK98" i="84"/>
  <c r="AJ98" i="84"/>
  <c r="AB98" i="84"/>
  <c r="W98" i="84"/>
  <c r="S98" i="84"/>
  <c r="K98" i="84"/>
  <c r="F98" i="84"/>
  <c r="C98" i="84"/>
  <c r="B98" i="84"/>
  <c r="BA97" i="84"/>
  <c r="AO97" i="84"/>
  <c r="AN97" i="84"/>
  <c r="AM97" i="84"/>
  <c r="AL97" i="84"/>
  <c r="AK97" i="84"/>
  <c r="AJ97" i="84"/>
  <c r="AB97" i="84"/>
  <c r="S97" i="84"/>
  <c r="W97" i="84" s="1"/>
  <c r="AP97" i="84" s="1"/>
  <c r="AQ97" i="84" s="1"/>
  <c r="K97" i="84"/>
  <c r="F97" i="84"/>
  <c r="C97" i="84"/>
  <c r="B97" i="84"/>
  <c r="BA96" i="84"/>
  <c r="AO96" i="84" s="1"/>
  <c r="AN96" i="84"/>
  <c r="AM96" i="84"/>
  <c r="AL96" i="84"/>
  <c r="AK96" i="84"/>
  <c r="AJ96" i="84"/>
  <c r="AB96" i="84"/>
  <c r="W96" i="84"/>
  <c r="S96" i="84"/>
  <c r="K96" i="84"/>
  <c r="F96" i="84"/>
  <c r="C96" i="84"/>
  <c r="B96" i="84"/>
  <c r="BA95" i="84"/>
  <c r="AO95" i="84" s="1"/>
  <c r="AN95" i="84"/>
  <c r="AM95" i="84"/>
  <c r="AL95" i="84"/>
  <c r="AK95" i="84"/>
  <c r="AJ95" i="84"/>
  <c r="AB95" i="84"/>
  <c r="W95" i="84"/>
  <c r="S95" i="84"/>
  <c r="K95" i="84"/>
  <c r="F95" i="84"/>
  <c r="C95" i="84"/>
  <c r="B95" i="84"/>
  <c r="BA94" i="84"/>
  <c r="AO94" i="84" s="1"/>
  <c r="AN94" i="84"/>
  <c r="AM94" i="84"/>
  <c r="AL94" i="84"/>
  <c r="AK94" i="84"/>
  <c r="AJ94" i="84"/>
  <c r="AB94" i="84"/>
  <c r="S94" i="84"/>
  <c r="W94" i="84" s="1"/>
  <c r="K94" i="84"/>
  <c r="F94" i="84"/>
  <c r="C94" i="84"/>
  <c r="B94" i="84"/>
  <c r="BA93" i="84"/>
  <c r="AO93" i="84" s="1"/>
  <c r="AN93" i="84"/>
  <c r="AM93" i="84"/>
  <c r="AL93" i="84"/>
  <c r="AK93" i="84"/>
  <c r="AJ93" i="84"/>
  <c r="AB93" i="84"/>
  <c r="S93" i="84"/>
  <c r="W93" i="84" s="1"/>
  <c r="K93" i="84"/>
  <c r="F93" i="84"/>
  <c r="C93" i="84"/>
  <c r="B93" i="84"/>
  <c r="BA92" i="84"/>
  <c r="AO92" i="84" s="1"/>
  <c r="AN92" i="84"/>
  <c r="AM92" i="84"/>
  <c r="AL92" i="84"/>
  <c r="AK92" i="84"/>
  <c r="AJ92" i="84"/>
  <c r="AB92" i="84"/>
  <c r="S92" i="84"/>
  <c r="W92" i="84" s="1"/>
  <c r="K92" i="84"/>
  <c r="F92" i="84"/>
  <c r="C92" i="84"/>
  <c r="B92" i="84"/>
  <c r="BA91" i="84"/>
  <c r="AO91" i="84"/>
  <c r="AN91" i="84"/>
  <c r="AM91" i="84"/>
  <c r="AL91" i="84"/>
  <c r="AK91" i="84"/>
  <c r="AJ91" i="84"/>
  <c r="AB91" i="84"/>
  <c r="S91" i="84"/>
  <c r="W91" i="84" s="1"/>
  <c r="K91" i="84"/>
  <c r="F91" i="84"/>
  <c r="C91" i="84"/>
  <c r="B91" i="84"/>
  <c r="BA90" i="84"/>
  <c r="AO90" i="84" s="1"/>
  <c r="AN90" i="84"/>
  <c r="AM90" i="84"/>
  <c r="AL90" i="84"/>
  <c r="AK90" i="84"/>
  <c r="AJ90" i="84"/>
  <c r="AB90" i="84"/>
  <c r="S90" i="84"/>
  <c r="W90" i="84" s="1"/>
  <c r="AP90" i="84" s="1"/>
  <c r="K90" i="84"/>
  <c r="F90" i="84"/>
  <c r="C90" i="84"/>
  <c r="B90" i="84"/>
  <c r="BA89" i="84"/>
  <c r="AO89" i="84" s="1"/>
  <c r="AN89" i="84"/>
  <c r="AM89" i="84"/>
  <c r="AL89" i="84"/>
  <c r="AK89" i="84"/>
  <c r="AJ89" i="84"/>
  <c r="AB89" i="84"/>
  <c r="W89" i="84"/>
  <c r="AP89" i="84" s="1"/>
  <c r="S89" i="84"/>
  <c r="K89" i="84"/>
  <c r="F89" i="84"/>
  <c r="C89" i="84"/>
  <c r="B89" i="84"/>
  <c r="BA88" i="84"/>
  <c r="AO88" i="84" s="1"/>
  <c r="AN88" i="84"/>
  <c r="AM88" i="84"/>
  <c r="AL88" i="84"/>
  <c r="AK88" i="84"/>
  <c r="AJ88" i="84"/>
  <c r="AB88" i="84"/>
  <c r="S88" i="84"/>
  <c r="W88" i="84" s="1"/>
  <c r="AP88" i="84" s="1"/>
  <c r="K88" i="84"/>
  <c r="F88" i="84"/>
  <c r="C88" i="84"/>
  <c r="B88" i="84"/>
  <c r="BA87" i="84"/>
  <c r="AO87" i="84"/>
  <c r="AN87" i="84"/>
  <c r="AM87" i="84"/>
  <c r="AL87" i="84"/>
  <c r="AK87" i="84"/>
  <c r="AJ87" i="84"/>
  <c r="AB87" i="84"/>
  <c r="W87" i="84"/>
  <c r="AP87" i="84" s="1"/>
  <c r="S87" i="84"/>
  <c r="K87" i="84"/>
  <c r="F87" i="84"/>
  <c r="C87" i="84"/>
  <c r="B87" i="84"/>
  <c r="BA86" i="84"/>
  <c r="AO86" i="84" s="1"/>
  <c r="AN86" i="84"/>
  <c r="AM86" i="84"/>
  <c r="AL86" i="84"/>
  <c r="AK86" i="84"/>
  <c r="AJ86" i="84"/>
  <c r="AB86" i="84"/>
  <c r="W86" i="84"/>
  <c r="S86" i="84"/>
  <c r="K86" i="84"/>
  <c r="F86" i="84"/>
  <c r="C86" i="84"/>
  <c r="B86" i="84"/>
  <c r="BA85" i="84"/>
  <c r="AO85" i="84"/>
  <c r="AN85" i="84"/>
  <c r="AM85" i="84"/>
  <c r="AL85" i="84"/>
  <c r="AK85" i="84"/>
  <c r="AJ85" i="84"/>
  <c r="AB85" i="84"/>
  <c r="S85" i="84"/>
  <c r="W85" i="84" s="1"/>
  <c r="K85" i="84"/>
  <c r="F85" i="84"/>
  <c r="C85" i="84"/>
  <c r="B85" i="84"/>
  <c r="BA84" i="84"/>
  <c r="AO84" i="84" s="1"/>
  <c r="AN84" i="84"/>
  <c r="AM84" i="84"/>
  <c r="AL84" i="84"/>
  <c r="AK84" i="84"/>
  <c r="AJ84" i="84"/>
  <c r="AB84" i="84"/>
  <c r="S84" i="84"/>
  <c r="W84" i="84" s="1"/>
  <c r="AP84" i="84" s="1"/>
  <c r="K84" i="84"/>
  <c r="F84" i="84"/>
  <c r="C84" i="84"/>
  <c r="B84" i="84"/>
  <c r="BA83" i="84"/>
  <c r="AO83" i="84"/>
  <c r="AN83" i="84"/>
  <c r="AM83" i="84"/>
  <c r="AL83" i="84"/>
  <c r="AK83" i="84"/>
  <c r="AJ83" i="84"/>
  <c r="AB83" i="84"/>
  <c r="S83" i="84"/>
  <c r="W83" i="84" s="1"/>
  <c r="AP83" i="84" s="1"/>
  <c r="K83" i="84"/>
  <c r="F83" i="84"/>
  <c r="C83" i="84"/>
  <c r="B83" i="84"/>
  <c r="BA82" i="84"/>
  <c r="AO82" i="84" s="1"/>
  <c r="AN82" i="84"/>
  <c r="AM82" i="84"/>
  <c r="AL82" i="84"/>
  <c r="AK82" i="84"/>
  <c r="AJ82" i="84"/>
  <c r="AB82" i="84"/>
  <c r="S82" i="84"/>
  <c r="W82" i="84" s="1"/>
  <c r="AP82" i="84" s="1"/>
  <c r="AQ82" i="84" s="1"/>
  <c r="K82" i="84"/>
  <c r="F82" i="84"/>
  <c r="C82" i="84"/>
  <c r="B82" i="84"/>
  <c r="BA81" i="84"/>
  <c r="AO81" i="84" s="1"/>
  <c r="AN81" i="84"/>
  <c r="AM81" i="84"/>
  <c r="AL81" i="84"/>
  <c r="AK81" i="84"/>
  <c r="AJ81" i="84"/>
  <c r="AB81" i="84"/>
  <c r="S81" i="84"/>
  <c r="W81" i="84" s="1"/>
  <c r="K81" i="84"/>
  <c r="F81" i="84"/>
  <c r="C81" i="84"/>
  <c r="B81" i="84"/>
  <c r="BA80" i="84"/>
  <c r="AO80" i="84"/>
  <c r="AN80" i="84"/>
  <c r="AM80" i="84"/>
  <c r="AL80" i="84"/>
  <c r="AK80" i="84"/>
  <c r="AJ80" i="84"/>
  <c r="AB80" i="84"/>
  <c r="W80" i="84"/>
  <c r="S80" i="84"/>
  <c r="K80" i="84"/>
  <c r="F80" i="84"/>
  <c r="C80" i="84"/>
  <c r="B80" i="84"/>
  <c r="BA79" i="84"/>
  <c r="AO79" i="84" s="1"/>
  <c r="AN79" i="84"/>
  <c r="AM79" i="84"/>
  <c r="AL79" i="84"/>
  <c r="AK79" i="84"/>
  <c r="AJ79" i="84"/>
  <c r="AB79" i="84"/>
  <c r="S79" i="84"/>
  <c r="W79" i="84" s="1"/>
  <c r="K79" i="84"/>
  <c r="F79" i="84"/>
  <c r="C79" i="84"/>
  <c r="B79" i="84"/>
  <c r="BA78" i="84"/>
  <c r="AO78" i="84" s="1"/>
  <c r="AN78" i="84"/>
  <c r="AM78" i="84"/>
  <c r="AL78" i="84"/>
  <c r="AK78" i="84"/>
  <c r="AJ78" i="84"/>
  <c r="AB78" i="84"/>
  <c r="S78" i="84"/>
  <c r="W78" i="84" s="1"/>
  <c r="K78" i="84"/>
  <c r="F78" i="84"/>
  <c r="C78" i="84"/>
  <c r="B78" i="84"/>
  <c r="BA77" i="84"/>
  <c r="AO77" i="84" s="1"/>
  <c r="AN77" i="84"/>
  <c r="AM77" i="84"/>
  <c r="AL77" i="84"/>
  <c r="AK77" i="84"/>
  <c r="AJ77" i="84"/>
  <c r="AB77" i="84"/>
  <c r="S77" i="84"/>
  <c r="W77" i="84" s="1"/>
  <c r="AP77" i="84" s="1"/>
  <c r="AQ77" i="84" s="1"/>
  <c r="K77" i="84"/>
  <c r="F77" i="84"/>
  <c r="C77" i="84"/>
  <c r="B77" i="84"/>
  <c r="BA76" i="84"/>
  <c r="AO76" i="84" s="1"/>
  <c r="AN76" i="84"/>
  <c r="AM76" i="84"/>
  <c r="AL76" i="84"/>
  <c r="AK76" i="84"/>
  <c r="AJ76" i="84"/>
  <c r="AB76" i="84"/>
  <c r="S76" i="84"/>
  <c r="W76" i="84" s="1"/>
  <c r="AP76" i="84" s="1"/>
  <c r="AQ76" i="84" s="1"/>
  <c r="K76" i="84"/>
  <c r="F76" i="84"/>
  <c r="C76" i="84"/>
  <c r="B76" i="84"/>
  <c r="BA75" i="84"/>
  <c r="AO75" i="84"/>
  <c r="AN75" i="84"/>
  <c r="AM75" i="84"/>
  <c r="AL75" i="84"/>
  <c r="AK75" i="84"/>
  <c r="AJ75" i="84"/>
  <c r="AB75" i="84"/>
  <c r="S75" i="84"/>
  <c r="W75" i="84" s="1"/>
  <c r="K75" i="84"/>
  <c r="F75" i="84"/>
  <c r="C75" i="84"/>
  <c r="B75" i="84"/>
  <c r="BA74" i="84"/>
  <c r="AO74" i="84" s="1"/>
  <c r="AN74" i="84"/>
  <c r="AM74" i="84"/>
  <c r="AL74" i="84"/>
  <c r="AK74" i="84"/>
  <c r="AJ74" i="84"/>
  <c r="AB74" i="84"/>
  <c r="S74" i="84"/>
  <c r="W74" i="84" s="1"/>
  <c r="K74" i="84"/>
  <c r="F74" i="84"/>
  <c r="C74" i="84"/>
  <c r="B74" i="84"/>
  <c r="BA73" i="84"/>
  <c r="AO73" i="84" s="1"/>
  <c r="AN73" i="84"/>
  <c r="AM73" i="84"/>
  <c r="AL73" i="84"/>
  <c r="AK73" i="84"/>
  <c r="AJ73" i="84"/>
  <c r="AB73" i="84"/>
  <c r="S73" i="84"/>
  <c r="W73" i="84" s="1"/>
  <c r="K73" i="84"/>
  <c r="F73" i="84"/>
  <c r="C73" i="84"/>
  <c r="B73" i="84"/>
  <c r="BA72" i="84"/>
  <c r="AO72" i="84" s="1"/>
  <c r="AN72" i="84"/>
  <c r="AM72" i="84"/>
  <c r="AL72" i="84"/>
  <c r="AK72" i="84"/>
  <c r="AJ72" i="84"/>
  <c r="AB72" i="84"/>
  <c r="W72" i="84"/>
  <c r="S72" i="84"/>
  <c r="K72" i="84"/>
  <c r="F72" i="84"/>
  <c r="C72" i="84"/>
  <c r="B72" i="84"/>
  <c r="BA71" i="84"/>
  <c r="AO71" i="84" s="1"/>
  <c r="AN71" i="84"/>
  <c r="AM71" i="84"/>
  <c r="AL71" i="84"/>
  <c r="AK71" i="84"/>
  <c r="AJ71" i="84"/>
  <c r="AB71" i="84"/>
  <c r="S71" i="84"/>
  <c r="W71" i="84" s="1"/>
  <c r="AP71" i="84" s="1"/>
  <c r="AQ71" i="84" s="1"/>
  <c r="K71" i="84"/>
  <c r="F71" i="84"/>
  <c r="C71" i="84"/>
  <c r="B71" i="84"/>
  <c r="BA70" i="84"/>
  <c r="AO70" i="84"/>
  <c r="AN70" i="84"/>
  <c r="AM70" i="84"/>
  <c r="AL70" i="84"/>
  <c r="AK70" i="84"/>
  <c r="AJ70" i="84"/>
  <c r="AB70" i="84"/>
  <c r="W70" i="84"/>
  <c r="AP70" i="84" s="1"/>
  <c r="S70" i="84"/>
  <c r="K70" i="84"/>
  <c r="F70" i="84"/>
  <c r="C70" i="84"/>
  <c r="B70" i="84"/>
  <c r="BA69" i="84"/>
  <c r="AO69" i="84"/>
  <c r="AN69" i="84"/>
  <c r="AM69" i="84"/>
  <c r="AL69" i="84"/>
  <c r="AK69" i="84"/>
  <c r="AJ69" i="84"/>
  <c r="AB69" i="84"/>
  <c r="S69" i="84"/>
  <c r="W69" i="84" s="1"/>
  <c r="K69" i="84"/>
  <c r="F69" i="84"/>
  <c r="C69" i="84"/>
  <c r="B69" i="84"/>
  <c r="BA68" i="84"/>
  <c r="AO68" i="84"/>
  <c r="AN68" i="84"/>
  <c r="AM68" i="84"/>
  <c r="AL68" i="84"/>
  <c r="AK68" i="84"/>
  <c r="AJ68" i="84"/>
  <c r="AB68" i="84"/>
  <c r="S68" i="84"/>
  <c r="W68" i="84" s="1"/>
  <c r="K68" i="84"/>
  <c r="F68" i="84"/>
  <c r="C68" i="84"/>
  <c r="B68" i="84"/>
  <c r="BA67" i="84"/>
  <c r="AO67" i="84"/>
  <c r="AN67" i="84"/>
  <c r="AM67" i="84"/>
  <c r="AL67" i="84"/>
  <c r="AK67" i="84"/>
  <c r="AJ67" i="84"/>
  <c r="AB67" i="84"/>
  <c r="S67" i="84"/>
  <c r="W67" i="84" s="1"/>
  <c r="K67" i="84"/>
  <c r="F67" i="84"/>
  <c r="C67" i="84"/>
  <c r="B67" i="84"/>
  <c r="BA66" i="84"/>
  <c r="AO66" i="84" s="1"/>
  <c r="AN66" i="84"/>
  <c r="AM66" i="84"/>
  <c r="AL66" i="84"/>
  <c r="AK66" i="84"/>
  <c r="AJ66" i="84"/>
  <c r="AB66" i="84"/>
  <c r="W66" i="84"/>
  <c r="S66" i="84"/>
  <c r="K66" i="84"/>
  <c r="F66" i="84"/>
  <c r="C66" i="84"/>
  <c r="B66" i="84"/>
  <c r="BA65" i="84"/>
  <c r="AO65" i="84" s="1"/>
  <c r="AN65" i="84"/>
  <c r="AM65" i="84"/>
  <c r="AL65" i="84"/>
  <c r="AK65" i="84"/>
  <c r="AJ65" i="84"/>
  <c r="AB65" i="84"/>
  <c r="S65" i="84"/>
  <c r="W65" i="84" s="1"/>
  <c r="AP65" i="84" s="1"/>
  <c r="K65" i="84"/>
  <c r="F65" i="84"/>
  <c r="C65" i="84"/>
  <c r="B65" i="84"/>
  <c r="BA64" i="84"/>
  <c r="AO64" i="84"/>
  <c r="AN64" i="84"/>
  <c r="AM64" i="84"/>
  <c r="AL64" i="84"/>
  <c r="AK64" i="84"/>
  <c r="AJ64" i="84"/>
  <c r="AB64" i="84"/>
  <c r="S64" i="84"/>
  <c r="W64" i="84" s="1"/>
  <c r="AP64" i="84" s="1"/>
  <c r="AQ64" i="84" s="1"/>
  <c r="K64" i="84"/>
  <c r="F64" i="84"/>
  <c r="C64" i="84"/>
  <c r="B64" i="84"/>
  <c r="BA63" i="84"/>
  <c r="AO63" i="84"/>
  <c r="AN63" i="84"/>
  <c r="AM63" i="84"/>
  <c r="AL63" i="84"/>
  <c r="AK63" i="84"/>
  <c r="AJ63" i="84"/>
  <c r="AB63" i="84"/>
  <c r="S63" i="84"/>
  <c r="W63" i="84" s="1"/>
  <c r="K63" i="84"/>
  <c r="F63" i="84"/>
  <c r="C63" i="84"/>
  <c r="B63" i="84"/>
  <c r="BA62" i="84"/>
  <c r="AO62" i="84"/>
  <c r="AN62" i="84"/>
  <c r="AM62" i="84"/>
  <c r="AL62" i="84"/>
  <c r="AK62" i="84"/>
  <c r="AJ62" i="84"/>
  <c r="AB62" i="84"/>
  <c r="W62" i="84"/>
  <c r="AP62" i="84" s="1"/>
  <c r="AQ62" i="84" s="1"/>
  <c r="S62" i="84"/>
  <c r="K62" i="84"/>
  <c r="F62" i="84"/>
  <c r="C62" i="84"/>
  <c r="B62" i="84"/>
  <c r="BA61" i="84"/>
  <c r="AO61" i="84" s="1"/>
  <c r="AN61" i="84"/>
  <c r="AM61" i="84"/>
  <c r="AL61" i="84"/>
  <c r="AK61" i="84"/>
  <c r="AJ61" i="84"/>
  <c r="AB61" i="84"/>
  <c r="S61" i="84"/>
  <c r="W61" i="84" s="1"/>
  <c r="K61" i="84"/>
  <c r="F61" i="84"/>
  <c r="C61" i="84"/>
  <c r="B61" i="84"/>
  <c r="BA60" i="84"/>
  <c r="AO60" i="84"/>
  <c r="AN60" i="84"/>
  <c r="AM60" i="84"/>
  <c r="AL60" i="84"/>
  <c r="AK60" i="84"/>
  <c r="AJ60" i="84"/>
  <c r="AB60" i="84"/>
  <c r="S60" i="84"/>
  <c r="W60" i="84" s="1"/>
  <c r="K60" i="84"/>
  <c r="F60" i="84"/>
  <c r="C60" i="84"/>
  <c r="B60" i="84"/>
  <c r="BA59" i="84"/>
  <c r="AO59" i="84" s="1"/>
  <c r="AN59" i="84"/>
  <c r="AM59" i="84"/>
  <c r="AL59" i="84"/>
  <c r="AK59" i="84"/>
  <c r="AJ59" i="84"/>
  <c r="AB59" i="84"/>
  <c r="S59" i="84"/>
  <c r="W59" i="84" s="1"/>
  <c r="AP59" i="84" s="1"/>
  <c r="AQ59" i="84" s="1"/>
  <c r="K59" i="84"/>
  <c r="F59" i="84"/>
  <c r="C59" i="84"/>
  <c r="B59" i="84"/>
  <c r="BA58" i="84"/>
  <c r="AO58" i="84"/>
  <c r="AN58" i="84"/>
  <c r="AM58" i="84"/>
  <c r="AL58" i="84"/>
  <c r="AK58" i="84"/>
  <c r="AJ58" i="84"/>
  <c r="AB58" i="84"/>
  <c r="W58" i="84"/>
  <c r="AP58" i="84" s="1"/>
  <c r="AQ58" i="84" s="1"/>
  <c r="S58" i="84"/>
  <c r="K58" i="84"/>
  <c r="F58" i="84"/>
  <c r="C58" i="84"/>
  <c r="B58" i="84"/>
  <c r="BA57" i="84"/>
  <c r="AO57" i="84" s="1"/>
  <c r="AN57" i="84"/>
  <c r="AM57" i="84"/>
  <c r="AL57" i="84"/>
  <c r="AK57" i="84"/>
  <c r="AJ57" i="84"/>
  <c r="AB57" i="84"/>
  <c r="S57" i="84"/>
  <c r="W57" i="84" s="1"/>
  <c r="K57" i="84"/>
  <c r="F57" i="84"/>
  <c r="C57" i="84"/>
  <c r="B57" i="84"/>
  <c r="BA56" i="84"/>
  <c r="AO56" i="84"/>
  <c r="AN56" i="84"/>
  <c r="AM56" i="84"/>
  <c r="AL56" i="84"/>
  <c r="AK56" i="84"/>
  <c r="AJ56" i="84"/>
  <c r="AB56" i="84"/>
  <c r="S56" i="84"/>
  <c r="W56" i="84" s="1"/>
  <c r="K56" i="84"/>
  <c r="F56" i="84"/>
  <c r="C56" i="84"/>
  <c r="B56" i="84"/>
  <c r="BA55" i="84"/>
  <c r="AO55" i="84"/>
  <c r="AN55" i="84"/>
  <c r="AM55" i="84"/>
  <c r="AL55" i="84"/>
  <c r="AK55" i="84"/>
  <c r="AJ55" i="84"/>
  <c r="AB55" i="84"/>
  <c r="W55" i="84"/>
  <c r="S55" i="84"/>
  <c r="K55" i="84"/>
  <c r="F55" i="84"/>
  <c r="C55" i="84"/>
  <c r="B55" i="84"/>
  <c r="BA54" i="84"/>
  <c r="AO54" i="84" s="1"/>
  <c r="AN54" i="84"/>
  <c r="AM54" i="84"/>
  <c r="AL54" i="84"/>
  <c r="AK54" i="84"/>
  <c r="AJ54" i="84"/>
  <c r="AB54" i="84"/>
  <c r="W54" i="84"/>
  <c r="AP54" i="84" s="1"/>
  <c r="AQ54" i="84" s="1"/>
  <c r="S54" i="84"/>
  <c r="K54" i="84"/>
  <c r="F54" i="84"/>
  <c r="C54" i="84"/>
  <c r="B54" i="84"/>
  <c r="BA53" i="84"/>
  <c r="AO53" i="84"/>
  <c r="AN53" i="84"/>
  <c r="AM53" i="84"/>
  <c r="AL53" i="84"/>
  <c r="AK53" i="84"/>
  <c r="AJ53" i="84"/>
  <c r="AB53" i="84"/>
  <c r="S53" i="84"/>
  <c r="W53" i="84" s="1"/>
  <c r="AP53" i="84" s="1"/>
  <c r="K53" i="84"/>
  <c r="F53" i="84"/>
  <c r="C53" i="84"/>
  <c r="B53" i="84"/>
  <c r="BA52" i="84"/>
  <c r="AO52" i="84"/>
  <c r="AN52" i="84"/>
  <c r="AM52" i="84"/>
  <c r="AL52" i="84"/>
  <c r="AK52" i="84"/>
  <c r="AJ52" i="84"/>
  <c r="AB52" i="84"/>
  <c r="S52" i="84"/>
  <c r="W52" i="84" s="1"/>
  <c r="K52" i="84"/>
  <c r="F52" i="84"/>
  <c r="C52" i="84"/>
  <c r="B52" i="84"/>
  <c r="BA51" i="84"/>
  <c r="AO51" i="84"/>
  <c r="AN51" i="84"/>
  <c r="AM51" i="84"/>
  <c r="AL51" i="84"/>
  <c r="AK51" i="84"/>
  <c r="AJ51" i="84"/>
  <c r="AB51" i="84"/>
  <c r="S51" i="84"/>
  <c r="W51" i="84" s="1"/>
  <c r="K51" i="84"/>
  <c r="F51" i="84"/>
  <c r="C51" i="84"/>
  <c r="B51" i="84"/>
  <c r="BA50" i="84"/>
  <c r="AO50" i="84" s="1"/>
  <c r="AN50" i="84"/>
  <c r="AM50" i="84"/>
  <c r="AL50" i="84"/>
  <c r="AK50" i="84"/>
  <c r="AJ50" i="84"/>
  <c r="AB50" i="84"/>
  <c r="S50" i="84"/>
  <c r="W50" i="84" s="1"/>
  <c r="K50" i="84"/>
  <c r="F50" i="84"/>
  <c r="C50" i="84"/>
  <c r="B50" i="84"/>
  <c r="BA49" i="84"/>
  <c r="AO49" i="84" s="1"/>
  <c r="AN49" i="84"/>
  <c r="AM49" i="84"/>
  <c r="AL49" i="84"/>
  <c r="AK49" i="84"/>
  <c r="AJ49" i="84"/>
  <c r="AB49" i="84"/>
  <c r="S49" i="84"/>
  <c r="W49" i="84" s="1"/>
  <c r="AP49" i="84" s="1"/>
  <c r="AQ49" i="84" s="1"/>
  <c r="K49" i="84"/>
  <c r="F49" i="84"/>
  <c r="C49" i="84"/>
  <c r="B49" i="84"/>
  <c r="BA48" i="84"/>
  <c r="AO48" i="84"/>
  <c r="AN48" i="84"/>
  <c r="AM48" i="84"/>
  <c r="AL48" i="84"/>
  <c r="AK48" i="84"/>
  <c r="AJ48" i="84"/>
  <c r="AB48" i="84"/>
  <c r="W48" i="84"/>
  <c r="S48" i="84"/>
  <c r="K48" i="84"/>
  <c r="F48" i="84"/>
  <c r="C48" i="84"/>
  <c r="B48" i="84"/>
  <c r="BA47" i="84"/>
  <c r="AO47" i="84" s="1"/>
  <c r="AN47" i="84"/>
  <c r="AM47" i="84"/>
  <c r="AL47" i="84"/>
  <c r="AK47" i="84"/>
  <c r="AJ47" i="84"/>
  <c r="AB47" i="84"/>
  <c r="S47" i="84"/>
  <c r="W47" i="84" s="1"/>
  <c r="AP47" i="84" s="1"/>
  <c r="AQ47" i="84" s="1"/>
  <c r="K47" i="84"/>
  <c r="F47" i="84"/>
  <c r="C47" i="84"/>
  <c r="B47" i="84"/>
  <c r="BA46" i="84"/>
  <c r="AO46" i="84"/>
  <c r="AN46" i="84"/>
  <c r="AM46" i="84"/>
  <c r="AL46" i="84"/>
  <c r="AK46" i="84"/>
  <c r="AJ46" i="84"/>
  <c r="AB46" i="84"/>
  <c r="S46" i="84"/>
  <c r="W46" i="84" s="1"/>
  <c r="AP46" i="84" s="1"/>
  <c r="AQ46" i="84" s="1"/>
  <c r="K46" i="84"/>
  <c r="F46" i="84"/>
  <c r="C46" i="84"/>
  <c r="B46" i="84"/>
  <c r="BA45" i="84"/>
  <c r="AO45" i="84" s="1"/>
  <c r="AN45" i="84"/>
  <c r="AM45" i="84"/>
  <c r="AL45" i="84"/>
  <c r="AK45" i="84"/>
  <c r="AJ45" i="84"/>
  <c r="AB45" i="84"/>
  <c r="S45" i="84"/>
  <c r="W45" i="84" s="1"/>
  <c r="K45" i="84"/>
  <c r="F45" i="84"/>
  <c r="C45" i="84"/>
  <c r="B45" i="84"/>
  <c r="BA44" i="84"/>
  <c r="AO44" i="84"/>
  <c r="AN44" i="84"/>
  <c r="AM44" i="84"/>
  <c r="AL44" i="84"/>
  <c r="AK44" i="84"/>
  <c r="AJ44" i="84"/>
  <c r="AB44" i="84"/>
  <c r="S44" i="84"/>
  <c r="W44" i="84" s="1"/>
  <c r="AP44" i="84" s="1"/>
  <c r="K44" i="84"/>
  <c r="F44" i="84"/>
  <c r="C44" i="84"/>
  <c r="B44" i="84"/>
  <c r="BA43" i="84"/>
  <c r="AO43" i="84" s="1"/>
  <c r="AN43" i="84"/>
  <c r="AM43" i="84"/>
  <c r="AL43" i="84"/>
  <c r="AK43" i="84"/>
  <c r="AJ43" i="84"/>
  <c r="AB43" i="84"/>
  <c r="S43" i="84"/>
  <c r="W43" i="84" s="1"/>
  <c r="AP43" i="84" s="1"/>
  <c r="AQ43" i="84" s="1"/>
  <c r="K43" i="84"/>
  <c r="F43" i="84"/>
  <c r="C43" i="84"/>
  <c r="B43" i="84"/>
  <c r="BA42" i="84"/>
  <c r="AO42" i="84"/>
  <c r="AN42" i="84"/>
  <c r="AM42" i="84"/>
  <c r="AL42" i="84"/>
  <c r="AK42" i="84"/>
  <c r="AJ42" i="84"/>
  <c r="AB42" i="84"/>
  <c r="S42" i="84"/>
  <c r="W42" i="84" s="1"/>
  <c r="AP42" i="84" s="1"/>
  <c r="AQ42" i="84" s="1"/>
  <c r="K42" i="84"/>
  <c r="F42" i="84"/>
  <c r="C42" i="84"/>
  <c r="B42" i="84"/>
  <c r="BA41" i="84"/>
  <c r="AO41" i="84" s="1"/>
  <c r="AN41" i="84"/>
  <c r="AM41" i="84"/>
  <c r="AL41" i="84"/>
  <c r="AK41" i="84"/>
  <c r="AJ41" i="84"/>
  <c r="AB41" i="84"/>
  <c r="W41" i="84"/>
  <c r="S41" i="84"/>
  <c r="K41" i="84"/>
  <c r="F41" i="84"/>
  <c r="C41" i="84"/>
  <c r="B41" i="84"/>
  <c r="BA40" i="84"/>
  <c r="AO40" i="84" s="1"/>
  <c r="AN40" i="84"/>
  <c r="AM40" i="84"/>
  <c r="AL40" i="84"/>
  <c r="AK40" i="84"/>
  <c r="AJ40" i="84"/>
  <c r="AB40" i="84"/>
  <c r="W40" i="84"/>
  <c r="S40" i="84"/>
  <c r="K40" i="84"/>
  <c r="BA39" i="84"/>
  <c r="AO39" i="84" s="1"/>
  <c r="AN39" i="84"/>
  <c r="AM39" i="84"/>
  <c r="AL39" i="84"/>
  <c r="AK39" i="84"/>
  <c r="AJ39" i="84"/>
  <c r="AB39" i="84"/>
  <c r="S39" i="84"/>
  <c r="W39" i="84" s="1"/>
  <c r="K39" i="84"/>
  <c r="BA38" i="84"/>
  <c r="AO38" i="84" s="1"/>
  <c r="AN38" i="84"/>
  <c r="AM38" i="84"/>
  <c r="AL38" i="84"/>
  <c r="AK38" i="84"/>
  <c r="AJ38" i="84"/>
  <c r="AB38" i="84"/>
  <c r="S38" i="84"/>
  <c r="W38" i="84" s="1"/>
  <c r="K38" i="84"/>
  <c r="BA37" i="84"/>
  <c r="AO37" i="84" s="1"/>
  <c r="AN37" i="84"/>
  <c r="AM37" i="84"/>
  <c r="AL37" i="84"/>
  <c r="AK37" i="84"/>
  <c r="AJ37" i="84"/>
  <c r="AB37" i="84"/>
  <c r="W37" i="84"/>
  <c r="AP37" i="84" s="1"/>
  <c r="S37" i="84"/>
  <c r="K37" i="84"/>
  <c r="F37" i="84"/>
  <c r="C37" i="84"/>
  <c r="B37" i="84"/>
  <c r="BA36" i="84"/>
  <c r="AO36" i="84" s="1"/>
  <c r="AN36" i="84"/>
  <c r="AM36" i="84"/>
  <c r="AL36" i="84"/>
  <c r="AK36" i="84"/>
  <c r="AJ36" i="84"/>
  <c r="AB36" i="84"/>
  <c r="S36" i="84"/>
  <c r="W36" i="84" s="1"/>
  <c r="AP36" i="84" s="1"/>
  <c r="K36" i="84"/>
  <c r="BA35" i="84"/>
  <c r="AO35" i="84"/>
  <c r="AN35" i="84"/>
  <c r="AM35" i="84"/>
  <c r="AL35" i="84"/>
  <c r="AK35" i="84"/>
  <c r="AJ35" i="84"/>
  <c r="AB35" i="84"/>
  <c r="S35" i="84"/>
  <c r="W35" i="84" s="1"/>
  <c r="K35" i="84"/>
  <c r="BA34" i="84"/>
  <c r="AO34" i="84" s="1"/>
  <c r="AN34" i="84"/>
  <c r="AM34" i="84"/>
  <c r="AL34" i="84"/>
  <c r="AK34" i="84"/>
  <c r="AJ34" i="84"/>
  <c r="AB34" i="84"/>
  <c r="S34" i="84"/>
  <c r="W34" i="84" s="1"/>
  <c r="AP34" i="84" s="1"/>
  <c r="K34" i="84"/>
  <c r="F34" i="84"/>
  <c r="C34" i="84"/>
  <c r="B34" i="84"/>
  <c r="BA33" i="84"/>
  <c r="AO33" i="84" s="1"/>
  <c r="AN33" i="84"/>
  <c r="AM33" i="84"/>
  <c r="AL33" i="84"/>
  <c r="AK33" i="84"/>
  <c r="AJ33" i="84"/>
  <c r="AB33" i="84"/>
  <c r="S33" i="84"/>
  <c r="W33" i="84" s="1"/>
  <c r="AP33" i="84" s="1"/>
  <c r="K33" i="84"/>
  <c r="F33" i="84"/>
  <c r="C33" i="84"/>
  <c r="B33" i="84"/>
  <c r="BA32" i="84"/>
  <c r="AO32" i="84" s="1"/>
  <c r="AN32" i="84"/>
  <c r="AM32" i="84"/>
  <c r="AL32" i="84"/>
  <c r="AK32" i="84"/>
  <c r="AJ32" i="84"/>
  <c r="AB32" i="84"/>
  <c r="S32" i="84"/>
  <c r="W32" i="84" s="1"/>
  <c r="K32" i="84"/>
  <c r="F32" i="84"/>
  <c r="C32" i="84"/>
  <c r="B32" i="84"/>
  <c r="BA31" i="84"/>
  <c r="AO31" i="84" s="1"/>
  <c r="AN31" i="84"/>
  <c r="AM31" i="84"/>
  <c r="AL31" i="84"/>
  <c r="AK31" i="84"/>
  <c r="AJ31" i="84"/>
  <c r="AB31" i="84"/>
  <c r="S31" i="84"/>
  <c r="W31" i="84" s="1"/>
  <c r="K31" i="84"/>
  <c r="F31" i="84"/>
  <c r="C31" i="84"/>
  <c r="B31" i="84"/>
  <c r="BA30" i="84"/>
  <c r="AO30" i="84" s="1"/>
  <c r="AN30" i="84"/>
  <c r="AM30" i="84"/>
  <c r="AL30" i="84"/>
  <c r="AK30" i="84"/>
  <c r="AJ30" i="84"/>
  <c r="AB30" i="84"/>
  <c r="S30" i="84"/>
  <c r="W30" i="84" s="1"/>
  <c r="K30" i="84"/>
  <c r="F30" i="84"/>
  <c r="C30" i="84"/>
  <c r="B30" i="84"/>
  <c r="BA29" i="84"/>
  <c r="AO29" i="84" s="1"/>
  <c r="AN29" i="84"/>
  <c r="AM29" i="84"/>
  <c r="AL29" i="84"/>
  <c r="AK29" i="84"/>
  <c r="AJ29" i="84"/>
  <c r="AB29" i="84"/>
  <c r="S29" i="84"/>
  <c r="W29" i="84" s="1"/>
  <c r="AP29" i="84" s="1"/>
  <c r="K29" i="84"/>
  <c r="F29" i="84"/>
  <c r="C29" i="84"/>
  <c r="B29" i="84"/>
  <c r="BA28" i="84"/>
  <c r="AO28" i="84" s="1"/>
  <c r="AN28" i="84"/>
  <c r="AM28" i="84"/>
  <c r="AL28" i="84"/>
  <c r="AK28" i="84"/>
  <c r="AJ28" i="84"/>
  <c r="AB28" i="84"/>
  <c r="W28" i="84"/>
  <c r="S28" i="84"/>
  <c r="K28" i="84"/>
  <c r="F28" i="84"/>
  <c r="C28" i="84"/>
  <c r="B28" i="84"/>
  <c r="BA27" i="84"/>
  <c r="AO27" i="84" s="1"/>
  <c r="AN27" i="84"/>
  <c r="AM27" i="84"/>
  <c r="AL27" i="84"/>
  <c r="AK27" i="84"/>
  <c r="AJ27" i="84"/>
  <c r="AB27" i="84"/>
  <c r="W27" i="84"/>
  <c r="AP27" i="84" s="1"/>
  <c r="AQ27" i="84" s="1"/>
  <c r="S27" i="84"/>
  <c r="K27" i="84"/>
  <c r="F27" i="84"/>
  <c r="C27" i="84"/>
  <c r="B27" i="84"/>
  <c r="BA26" i="84"/>
  <c r="AO26" i="84" s="1"/>
  <c r="AN26" i="84"/>
  <c r="AM26" i="84"/>
  <c r="AL26" i="84"/>
  <c r="AK26" i="84"/>
  <c r="AJ26" i="84"/>
  <c r="AB26" i="84"/>
  <c r="S26" i="84"/>
  <c r="W26" i="84" s="1"/>
  <c r="K26" i="84"/>
  <c r="F26" i="84"/>
  <c r="C26" i="84"/>
  <c r="B26" i="84"/>
  <c r="BA25" i="84"/>
  <c r="AO25" i="84" s="1"/>
  <c r="AN25" i="84"/>
  <c r="AM25" i="84"/>
  <c r="AL25" i="84"/>
  <c r="AK25" i="84"/>
  <c r="AJ25" i="84"/>
  <c r="AB25" i="84"/>
  <c r="S25" i="84"/>
  <c r="W25" i="84" s="1"/>
  <c r="K25" i="84"/>
  <c r="F25" i="84"/>
  <c r="C25" i="84"/>
  <c r="B25" i="84"/>
  <c r="BA24" i="84"/>
  <c r="AO24" i="84" s="1"/>
  <c r="AN24" i="84"/>
  <c r="AM24" i="84"/>
  <c r="AL24" i="84"/>
  <c r="AK24" i="84"/>
  <c r="AJ24" i="84"/>
  <c r="AB24" i="84"/>
  <c r="S24" i="84"/>
  <c r="W24" i="84" s="1"/>
  <c r="AP24" i="84" s="1"/>
  <c r="K24" i="84"/>
  <c r="F24" i="84"/>
  <c r="C24" i="84"/>
  <c r="B24" i="84"/>
  <c r="BA23" i="84"/>
  <c r="AO23" i="84" s="1"/>
  <c r="AN23" i="84"/>
  <c r="AM23" i="84"/>
  <c r="AL23" i="84"/>
  <c r="AK23" i="84"/>
  <c r="AJ23" i="84"/>
  <c r="AB23" i="84"/>
  <c r="W23" i="84"/>
  <c r="AP23" i="84" s="1"/>
  <c r="AQ23" i="84" s="1"/>
  <c r="S23" i="84"/>
  <c r="K23" i="84"/>
  <c r="F23" i="84"/>
  <c r="C23" i="84"/>
  <c r="B23" i="84"/>
  <c r="BA22" i="84"/>
  <c r="AO22" i="84" s="1"/>
  <c r="AN22" i="84"/>
  <c r="AM22" i="84"/>
  <c r="AL22" i="84"/>
  <c r="AK22" i="84"/>
  <c r="AJ22" i="84"/>
  <c r="AB22" i="84"/>
  <c r="S22" i="84"/>
  <c r="W22" i="84" s="1"/>
  <c r="AP22" i="84" s="1"/>
  <c r="K22" i="84"/>
  <c r="F22" i="84"/>
  <c r="C22" i="84"/>
  <c r="B22" i="84"/>
  <c r="BA21" i="84"/>
  <c r="AO21" i="84" s="1"/>
  <c r="AN21" i="84"/>
  <c r="AM21" i="84"/>
  <c r="AL21" i="84"/>
  <c r="AK21" i="84"/>
  <c r="AJ21" i="84"/>
  <c r="AB21" i="84"/>
  <c r="S21" i="84"/>
  <c r="W21" i="84" s="1"/>
  <c r="K21" i="84"/>
  <c r="F21" i="84"/>
  <c r="C21" i="84"/>
  <c r="B21" i="84"/>
  <c r="BA20" i="84"/>
  <c r="AO20" i="84"/>
  <c r="AN20" i="84"/>
  <c r="AM20" i="84"/>
  <c r="AL20" i="84"/>
  <c r="AK20" i="84"/>
  <c r="AJ20" i="84"/>
  <c r="AB20" i="84"/>
  <c r="S20" i="84"/>
  <c r="W20" i="84" s="1"/>
  <c r="K20" i="84"/>
  <c r="AQ20" i="84" s="1"/>
  <c r="F20" i="84"/>
  <c r="C20" i="84"/>
  <c r="B20" i="84"/>
  <c r="BA19" i="84"/>
  <c r="AO19" i="84" s="1"/>
  <c r="AN19" i="84"/>
  <c r="AM19" i="84"/>
  <c r="AL19" i="84"/>
  <c r="AK19" i="84"/>
  <c r="AJ19" i="84"/>
  <c r="AB19" i="84"/>
  <c r="S19" i="84"/>
  <c r="W19" i="84" s="1"/>
  <c r="K19" i="84"/>
  <c r="F19" i="84"/>
  <c r="C19" i="84"/>
  <c r="B19" i="84"/>
  <c r="BA18" i="84"/>
  <c r="AO18" i="84"/>
  <c r="AN18" i="84"/>
  <c r="AM18" i="84"/>
  <c r="AL18" i="84"/>
  <c r="AK18" i="84"/>
  <c r="AJ18" i="84"/>
  <c r="AB18" i="84"/>
  <c r="S18" i="84"/>
  <c r="W18" i="84" s="1"/>
  <c r="K18" i="84"/>
  <c r="F18" i="84"/>
  <c r="C18" i="84"/>
  <c r="B18" i="84"/>
  <c r="BA17" i="84"/>
  <c r="AO17" i="84" s="1"/>
  <c r="AN17" i="84"/>
  <c r="AM17" i="84"/>
  <c r="AL17" i="84"/>
  <c r="AK17" i="84"/>
  <c r="AJ17" i="84"/>
  <c r="AB17" i="84"/>
  <c r="S17" i="84"/>
  <c r="W17" i="84" s="1"/>
  <c r="K17" i="84"/>
  <c r="F17" i="84"/>
  <c r="C17" i="84"/>
  <c r="B17" i="84"/>
  <c r="BA16" i="84"/>
  <c r="AO16" i="84" s="1"/>
  <c r="AN16" i="84"/>
  <c r="AM16" i="84"/>
  <c r="AL16" i="84"/>
  <c r="AK16" i="84"/>
  <c r="AJ16" i="84"/>
  <c r="AB16" i="84"/>
  <c r="S16" i="84"/>
  <c r="W16" i="84" s="1"/>
  <c r="K16" i="84"/>
  <c r="F16" i="84"/>
  <c r="C16" i="84"/>
  <c r="B16" i="84"/>
  <c r="BA15" i="84"/>
  <c r="AO15" i="84" s="1"/>
  <c r="AN15" i="84"/>
  <c r="AM15" i="84"/>
  <c r="AL15" i="84"/>
  <c r="AK15" i="84"/>
  <c r="AJ15" i="84"/>
  <c r="AB15" i="84"/>
  <c r="S15" i="84"/>
  <c r="W15" i="84" s="1"/>
  <c r="K15" i="84"/>
  <c r="F15" i="84"/>
  <c r="C15" i="84"/>
  <c r="B15" i="84"/>
  <c r="BA14" i="84"/>
  <c r="AO14" i="84"/>
  <c r="AN14" i="84"/>
  <c r="AM14" i="84"/>
  <c r="AL14" i="84"/>
  <c r="AK14" i="84"/>
  <c r="AJ14" i="84"/>
  <c r="AB14" i="84"/>
  <c r="S14" i="84"/>
  <c r="W14" i="84" s="1"/>
  <c r="K14" i="84"/>
  <c r="F14" i="84"/>
  <c r="C14" i="84"/>
  <c r="B14" i="84"/>
  <c r="BA13" i="84"/>
  <c r="AO13" i="84" s="1"/>
  <c r="AN13" i="84"/>
  <c r="AM13" i="84"/>
  <c r="AL13" i="84"/>
  <c r="AK13" i="84"/>
  <c r="AJ13" i="84"/>
  <c r="AB13" i="84"/>
  <c r="S13" i="84"/>
  <c r="W13" i="84" s="1"/>
  <c r="K13" i="84"/>
  <c r="F13" i="84"/>
  <c r="C13" i="84"/>
  <c r="B13" i="84"/>
  <c r="AO12" i="84"/>
  <c r="AN12" i="84"/>
  <c r="AP12" i="84" s="1"/>
  <c r="AM12" i="84"/>
  <c r="AL12" i="84"/>
  <c r="AK12" i="84"/>
  <c r="K12" i="84"/>
  <c r="F12" i="84"/>
  <c r="C12" i="84"/>
  <c r="B12" i="84"/>
  <c r="BA11" i="84"/>
  <c r="AO11" i="84" s="1"/>
  <c r="AN11" i="84"/>
  <c r="AM11" i="84"/>
  <c r="AL11" i="84"/>
  <c r="AK11" i="84"/>
  <c r="AJ11" i="84"/>
  <c r="AB11" i="84"/>
  <c r="W11" i="84"/>
  <c r="S11" i="84"/>
  <c r="K11" i="84"/>
  <c r="F11" i="84"/>
  <c r="C11" i="84"/>
  <c r="B11" i="84"/>
  <c r="BA10" i="84"/>
  <c r="AO10" i="84" s="1"/>
  <c r="AN10" i="84"/>
  <c r="AM10" i="84"/>
  <c r="AL10" i="84"/>
  <c r="AK10" i="84"/>
  <c r="AJ10" i="84"/>
  <c r="AB10" i="84"/>
  <c r="S10" i="84"/>
  <c r="W10" i="84" s="1"/>
  <c r="AP10" i="84" s="1"/>
  <c r="K10" i="84"/>
  <c r="F10" i="84"/>
  <c r="C10" i="84"/>
  <c r="B10" i="84"/>
  <c r="BA9" i="84"/>
  <c r="AO9" i="84" s="1"/>
  <c r="AN9" i="84"/>
  <c r="AM9" i="84"/>
  <c r="AL9" i="84"/>
  <c r="AK9" i="84"/>
  <c r="AJ9" i="84"/>
  <c r="AB9" i="84"/>
  <c r="W9" i="84"/>
  <c r="S9" i="84"/>
  <c r="K9" i="84"/>
  <c r="F9" i="84"/>
  <c r="C9" i="84"/>
  <c r="B9" i="84"/>
  <c r="BA8" i="84"/>
  <c r="AO8" i="84"/>
  <c r="AN8" i="84"/>
  <c r="AM8" i="84"/>
  <c r="AL8" i="84"/>
  <c r="AK8" i="84"/>
  <c r="AJ8" i="84"/>
  <c r="AB8" i="84"/>
  <c r="S8" i="84"/>
  <c r="W8" i="84" s="1"/>
  <c r="K8" i="84"/>
  <c r="F8" i="84"/>
  <c r="C8" i="84"/>
  <c r="B8" i="84"/>
  <c r="BA7" i="84"/>
  <c r="AO7" i="84" s="1"/>
  <c r="AN7" i="84"/>
  <c r="AM7" i="84"/>
  <c r="AL7" i="84"/>
  <c r="AK7" i="84"/>
  <c r="AJ7" i="84"/>
  <c r="AB7" i="84"/>
  <c r="S7" i="84"/>
  <c r="W7" i="84" s="1"/>
  <c r="K7" i="84"/>
  <c r="F7" i="84"/>
  <c r="C7" i="84"/>
  <c r="B7" i="84"/>
  <c r="BA6" i="84"/>
  <c r="AO6" i="84" s="1"/>
  <c r="AN6" i="84"/>
  <c r="AM6" i="84"/>
  <c r="AL6" i="84"/>
  <c r="AK6" i="84"/>
  <c r="AJ6" i="84"/>
  <c r="AB6" i="84"/>
  <c r="S6" i="84"/>
  <c r="W6" i="84" s="1"/>
  <c r="K6" i="84"/>
  <c r="F6" i="84"/>
  <c r="C6" i="84"/>
  <c r="B6" i="84"/>
  <c r="BA5" i="84"/>
  <c r="AO5" i="84" s="1"/>
  <c r="AN5" i="84"/>
  <c r="AM5" i="84"/>
  <c r="AL5" i="84"/>
  <c r="AK5" i="84"/>
  <c r="AJ5" i="84"/>
  <c r="AB5" i="84"/>
  <c r="S5" i="84"/>
  <c r="W5" i="84" s="1"/>
  <c r="K5" i="84"/>
  <c r="F5" i="84"/>
  <c r="C5" i="84"/>
  <c r="B5" i="84"/>
  <c r="BA4" i="84"/>
  <c r="AO4" i="84"/>
  <c r="AN4" i="84"/>
  <c r="AM4" i="84"/>
  <c r="AL4" i="84"/>
  <c r="AK4" i="84"/>
  <c r="AJ4" i="84"/>
  <c r="AB4" i="84"/>
  <c r="S4" i="84"/>
  <c r="W4" i="84" s="1"/>
  <c r="AP4" i="84" s="1"/>
  <c r="K4" i="84"/>
  <c r="F4" i="84"/>
  <c r="C4" i="84"/>
  <c r="B4" i="84"/>
  <c r="K742" i="83"/>
  <c r="F742" i="83"/>
  <c r="C742" i="83"/>
  <c r="B742" i="83"/>
  <c r="K741" i="83"/>
  <c r="F741" i="83"/>
  <c r="C741" i="83"/>
  <c r="B741" i="83"/>
  <c r="K740" i="83"/>
  <c r="F740" i="83"/>
  <c r="C740" i="83"/>
  <c r="B740" i="83"/>
  <c r="K739" i="83"/>
  <c r="F739" i="83"/>
  <c r="C739" i="83"/>
  <c r="B739" i="83"/>
  <c r="K738" i="83"/>
  <c r="F738" i="83"/>
  <c r="C738" i="83"/>
  <c r="B738" i="83"/>
  <c r="K737" i="83"/>
  <c r="F737" i="83"/>
  <c r="C737" i="83"/>
  <c r="B737" i="83"/>
  <c r="K736" i="83"/>
  <c r="F736" i="83"/>
  <c r="C736" i="83"/>
  <c r="B736" i="83"/>
  <c r="K735" i="83"/>
  <c r="F735" i="83"/>
  <c r="C735" i="83"/>
  <c r="B735" i="83"/>
  <c r="K734" i="83"/>
  <c r="F734" i="83"/>
  <c r="C734" i="83"/>
  <c r="B734" i="83"/>
  <c r="K733" i="83"/>
  <c r="F733" i="83"/>
  <c r="C733" i="83"/>
  <c r="B733" i="83"/>
  <c r="K732" i="83"/>
  <c r="F732" i="83"/>
  <c r="C732" i="83"/>
  <c r="B732" i="83"/>
  <c r="K731" i="83"/>
  <c r="F731" i="83"/>
  <c r="C731" i="83"/>
  <c r="B731" i="83"/>
  <c r="K730" i="83"/>
  <c r="F730" i="83"/>
  <c r="C730" i="83"/>
  <c r="B730" i="83"/>
  <c r="K729" i="83"/>
  <c r="F729" i="83"/>
  <c r="C729" i="83"/>
  <c r="B729" i="83"/>
  <c r="K728" i="83"/>
  <c r="F728" i="83"/>
  <c r="C728" i="83"/>
  <c r="B728" i="83"/>
  <c r="K727" i="83"/>
  <c r="F727" i="83"/>
  <c r="C727" i="83"/>
  <c r="B727" i="83"/>
  <c r="K726" i="83"/>
  <c r="F726" i="83"/>
  <c r="C726" i="83"/>
  <c r="B726" i="83"/>
  <c r="K725" i="83"/>
  <c r="F725" i="83"/>
  <c r="C725" i="83"/>
  <c r="B725" i="83"/>
  <c r="K724" i="83"/>
  <c r="F724" i="83"/>
  <c r="C724" i="83"/>
  <c r="B724" i="83"/>
  <c r="K723" i="83"/>
  <c r="F723" i="83"/>
  <c r="C723" i="83"/>
  <c r="B723" i="83"/>
  <c r="K722" i="83"/>
  <c r="F722" i="83"/>
  <c r="C722" i="83"/>
  <c r="B722" i="83"/>
  <c r="K721" i="83"/>
  <c r="F721" i="83"/>
  <c r="C721" i="83"/>
  <c r="B721" i="83"/>
  <c r="K720" i="83"/>
  <c r="F720" i="83"/>
  <c r="C720" i="83"/>
  <c r="B720" i="83"/>
  <c r="K719" i="83"/>
  <c r="F719" i="83"/>
  <c r="C719" i="83"/>
  <c r="B719" i="83"/>
  <c r="K718" i="83"/>
  <c r="F718" i="83"/>
  <c r="C718" i="83"/>
  <c r="B718" i="83"/>
  <c r="K717" i="83"/>
  <c r="F717" i="83"/>
  <c r="C717" i="83"/>
  <c r="B717" i="83"/>
  <c r="K716" i="83"/>
  <c r="F716" i="83"/>
  <c r="C716" i="83"/>
  <c r="B716" i="83"/>
  <c r="K715" i="83"/>
  <c r="F715" i="83"/>
  <c r="C715" i="83"/>
  <c r="B715" i="83"/>
  <c r="K714" i="83"/>
  <c r="F714" i="83"/>
  <c r="C714" i="83"/>
  <c r="B714" i="83"/>
  <c r="K713" i="83"/>
  <c r="F713" i="83"/>
  <c r="C713" i="83"/>
  <c r="B713" i="83"/>
  <c r="K712" i="83"/>
  <c r="F712" i="83"/>
  <c r="C712" i="83"/>
  <c r="B712" i="83"/>
  <c r="K711" i="83"/>
  <c r="F711" i="83"/>
  <c r="C711" i="83"/>
  <c r="B711" i="83"/>
  <c r="K710" i="83"/>
  <c r="F710" i="83"/>
  <c r="C710" i="83"/>
  <c r="B710" i="83"/>
  <c r="K709" i="83"/>
  <c r="F709" i="83"/>
  <c r="C709" i="83"/>
  <c r="B709" i="83"/>
  <c r="K708" i="83"/>
  <c r="F708" i="83"/>
  <c r="C708" i="83"/>
  <c r="B708" i="83"/>
  <c r="K707" i="83"/>
  <c r="F707" i="83"/>
  <c r="C707" i="83"/>
  <c r="B707" i="83"/>
  <c r="K706" i="83"/>
  <c r="F706" i="83"/>
  <c r="C706" i="83"/>
  <c r="B706" i="83"/>
  <c r="K705" i="83"/>
  <c r="F705" i="83"/>
  <c r="C705" i="83"/>
  <c r="B705" i="83"/>
  <c r="K704" i="83"/>
  <c r="F704" i="83"/>
  <c r="C704" i="83"/>
  <c r="B704" i="83"/>
  <c r="K703" i="83"/>
  <c r="F703" i="83"/>
  <c r="C703" i="83"/>
  <c r="B703" i="83"/>
  <c r="K702" i="83"/>
  <c r="F702" i="83"/>
  <c r="C702" i="83"/>
  <c r="B702" i="83"/>
  <c r="K701" i="83"/>
  <c r="F701" i="83"/>
  <c r="C701" i="83"/>
  <c r="B701" i="83"/>
  <c r="K700" i="83"/>
  <c r="F700" i="83"/>
  <c r="C700" i="83"/>
  <c r="B700" i="83"/>
  <c r="K699" i="83"/>
  <c r="F699" i="83"/>
  <c r="C699" i="83"/>
  <c r="B699" i="83"/>
  <c r="K698" i="83"/>
  <c r="F698" i="83"/>
  <c r="C698" i="83"/>
  <c r="B698" i="83"/>
  <c r="N697" i="83"/>
  <c r="M697" i="83"/>
  <c r="L697" i="83"/>
  <c r="K697" i="83"/>
  <c r="F697" i="83"/>
  <c r="C697" i="83"/>
  <c r="B697" i="83"/>
  <c r="K696" i="83"/>
  <c r="F696" i="83"/>
  <c r="C696" i="83"/>
  <c r="B696" i="83"/>
  <c r="K695" i="83"/>
  <c r="F695" i="83"/>
  <c r="C695" i="83"/>
  <c r="B695" i="83"/>
  <c r="K694" i="83"/>
  <c r="F694" i="83"/>
  <c r="C694" i="83"/>
  <c r="B694" i="83"/>
  <c r="K693" i="83"/>
  <c r="F693" i="83"/>
  <c r="C693" i="83"/>
  <c r="B693" i="83"/>
  <c r="K692" i="83"/>
  <c r="F692" i="83"/>
  <c r="C692" i="83"/>
  <c r="B692" i="83"/>
  <c r="K691" i="83"/>
  <c r="F691" i="83"/>
  <c r="C691" i="83"/>
  <c r="B691" i="83"/>
  <c r="K690" i="83"/>
  <c r="F690" i="83"/>
  <c r="C690" i="83"/>
  <c r="B690" i="83"/>
  <c r="K689" i="83"/>
  <c r="F689" i="83"/>
  <c r="C689" i="83"/>
  <c r="B689" i="83"/>
  <c r="K688" i="83"/>
  <c r="F688" i="83"/>
  <c r="C688" i="83"/>
  <c r="B688" i="83"/>
  <c r="K687" i="83"/>
  <c r="F687" i="83"/>
  <c r="C687" i="83"/>
  <c r="B687" i="83"/>
  <c r="K686" i="83"/>
  <c r="F686" i="83"/>
  <c r="C686" i="83"/>
  <c r="B686" i="83"/>
  <c r="K685" i="83"/>
  <c r="F685" i="83"/>
  <c r="C685" i="83"/>
  <c r="B685" i="83"/>
  <c r="K684" i="83"/>
  <c r="F684" i="83"/>
  <c r="C684" i="83"/>
  <c r="B684" i="83"/>
  <c r="K683" i="83"/>
  <c r="F683" i="83"/>
  <c r="C683" i="83"/>
  <c r="B683" i="83"/>
  <c r="K682" i="83"/>
  <c r="F682" i="83"/>
  <c r="C682" i="83"/>
  <c r="B682" i="83"/>
  <c r="K681" i="83"/>
  <c r="F681" i="83"/>
  <c r="C681" i="83"/>
  <c r="B681" i="83"/>
  <c r="K680" i="83"/>
  <c r="F680" i="83"/>
  <c r="C680" i="83"/>
  <c r="B680" i="83"/>
  <c r="K679" i="83"/>
  <c r="F679" i="83"/>
  <c r="C679" i="83"/>
  <c r="B679" i="83"/>
  <c r="K678" i="83"/>
  <c r="F678" i="83"/>
  <c r="C678" i="83"/>
  <c r="B678" i="83"/>
  <c r="K677" i="83"/>
  <c r="F677" i="83"/>
  <c r="C677" i="83"/>
  <c r="B677" i="83"/>
  <c r="K676" i="83"/>
  <c r="F676" i="83"/>
  <c r="C676" i="83"/>
  <c r="B676" i="83"/>
  <c r="K675" i="83"/>
  <c r="F675" i="83"/>
  <c r="C675" i="83"/>
  <c r="B675" i="83"/>
  <c r="K674" i="83"/>
  <c r="F674" i="83"/>
  <c r="C674" i="83"/>
  <c r="B674" i="83"/>
  <c r="K673" i="83"/>
  <c r="F673" i="83"/>
  <c r="C673" i="83"/>
  <c r="B673" i="83"/>
  <c r="K672" i="83"/>
  <c r="F672" i="83"/>
  <c r="C672" i="83"/>
  <c r="B672" i="83"/>
  <c r="K671" i="83"/>
  <c r="F671" i="83"/>
  <c r="C671" i="83"/>
  <c r="B671" i="83"/>
  <c r="K670" i="83"/>
  <c r="F670" i="83"/>
  <c r="C670" i="83"/>
  <c r="B670" i="83"/>
  <c r="K669" i="83"/>
  <c r="F669" i="83"/>
  <c r="C669" i="83"/>
  <c r="B669" i="83"/>
  <c r="K668" i="83"/>
  <c r="F668" i="83"/>
  <c r="C668" i="83"/>
  <c r="B668" i="83"/>
  <c r="K667" i="83"/>
  <c r="F667" i="83"/>
  <c r="C667" i="83"/>
  <c r="B667" i="83"/>
  <c r="K666" i="83"/>
  <c r="F666" i="83"/>
  <c r="C666" i="83"/>
  <c r="B666" i="83"/>
  <c r="K665" i="83"/>
  <c r="F665" i="83"/>
  <c r="C665" i="83"/>
  <c r="B665" i="83"/>
  <c r="F664" i="83"/>
  <c r="C664" i="83"/>
  <c r="B664" i="83"/>
  <c r="F663" i="83"/>
  <c r="C663" i="83"/>
  <c r="B663" i="83"/>
  <c r="K662" i="83"/>
  <c r="F662" i="83"/>
  <c r="C662" i="83"/>
  <c r="B662" i="83"/>
  <c r="K661" i="83"/>
  <c r="F661" i="83"/>
  <c r="C661" i="83"/>
  <c r="B661" i="83"/>
  <c r="K660" i="83"/>
  <c r="F660" i="83"/>
  <c r="C660" i="83"/>
  <c r="B660" i="83"/>
  <c r="K659" i="83"/>
  <c r="F659" i="83"/>
  <c r="C659" i="83"/>
  <c r="B659" i="83"/>
  <c r="K658" i="83"/>
  <c r="F658" i="83"/>
  <c r="C658" i="83"/>
  <c r="B658" i="83"/>
  <c r="K657" i="83"/>
  <c r="F657" i="83"/>
  <c r="C657" i="83"/>
  <c r="B657" i="83"/>
  <c r="K656" i="83"/>
  <c r="F656" i="83"/>
  <c r="C656" i="83"/>
  <c r="B656" i="83"/>
  <c r="K655" i="83"/>
  <c r="F655" i="83"/>
  <c r="C655" i="83"/>
  <c r="B655" i="83"/>
  <c r="K654" i="83"/>
  <c r="F654" i="83"/>
  <c r="C654" i="83"/>
  <c r="B654" i="83"/>
  <c r="K653" i="83"/>
  <c r="F653" i="83"/>
  <c r="C653" i="83"/>
  <c r="B653" i="83"/>
  <c r="K652" i="83"/>
  <c r="F652" i="83"/>
  <c r="C652" i="83"/>
  <c r="B652" i="83"/>
  <c r="K651" i="83"/>
  <c r="F651" i="83"/>
  <c r="C651" i="83"/>
  <c r="B651" i="83"/>
  <c r="K650" i="83"/>
  <c r="F650" i="83"/>
  <c r="C650" i="83"/>
  <c r="B650" i="83"/>
  <c r="K649" i="83"/>
  <c r="F649" i="83"/>
  <c r="C649" i="83"/>
  <c r="B649" i="83"/>
  <c r="K648" i="83"/>
  <c r="F648" i="83"/>
  <c r="C648" i="83"/>
  <c r="B648" i="83"/>
  <c r="K647" i="83"/>
  <c r="F647" i="83"/>
  <c r="C647" i="83"/>
  <c r="B647" i="83"/>
  <c r="K646" i="83"/>
  <c r="F646" i="83"/>
  <c r="C646" i="83"/>
  <c r="B646" i="83"/>
  <c r="K645" i="83"/>
  <c r="F645" i="83"/>
  <c r="C645" i="83"/>
  <c r="B645" i="83"/>
  <c r="K644" i="83"/>
  <c r="F644" i="83"/>
  <c r="C644" i="83"/>
  <c r="B644" i="83"/>
  <c r="K643" i="83"/>
  <c r="F643" i="83"/>
  <c r="C643" i="83"/>
  <c r="B643" i="83"/>
  <c r="K642" i="83"/>
  <c r="F642" i="83"/>
  <c r="C642" i="83"/>
  <c r="B642" i="83"/>
  <c r="K641" i="83"/>
  <c r="F641" i="83"/>
  <c r="C641" i="83"/>
  <c r="B641" i="83"/>
  <c r="K640" i="83"/>
  <c r="F640" i="83"/>
  <c r="C640" i="83"/>
  <c r="B640" i="83"/>
  <c r="K639" i="83"/>
  <c r="F639" i="83"/>
  <c r="C639" i="83"/>
  <c r="B639" i="83"/>
  <c r="K638" i="83"/>
  <c r="F638" i="83"/>
  <c r="C638" i="83"/>
  <c r="B638" i="83"/>
  <c r="K637" i="83"/>
  <c r="F637" i="83"/>
  <c r="C637" i="83"/>
  <c r="B637" i="83"/>
  <c r="K636" i="83"/>
  <c r="F636" i="83"/>
  <c r="C636" i="83"/>
  <c r="B636" i="83"/>
  <c r="K635" i="83"/>
  <c r="F635" i="83"/>
  <c r="C635" i="83"/>
  <c r="B635" i="83"/>
  <c r="K634" i="83"/>
  <c r="F634" i="83"/>
  <c r="C634" i="83"/>
  <c r="B634" i="83"/>
  <c r="K633" i="83"/>
  <c r="F633" i="83"/>
  <c r="C633" i="83"/>
  <c r="B633" i="83"/>
  <c r="K632" i="83"/>
  <c r="F632" i="83"/>
  <c r="C632" i="83"/>
  <c r="B632" i="83"/>
  <c r="K631" i="83"/>
  <c r="F631" i="83"/>
  <c r="C631" i="83"/>
  <c r="B631" i="83"/>
  <c r="K630" i="83"/>
  <c r="F630" i="83"/>
  <c r="C630" i="83"/>
  <c r="B630" i="83"/>
  <c r="K629" i="83"/>
  <c r="F629" i="83"/>
  <c r="C629" i="83"/>
  <c r="B629" i="83"/>
  <c r="K628" i="83"/>
  <c r="F628" i="83"/>
  <c r="C628" i="83"/>
  <c r="B628" i="83"/>
  <c r="K627" i="83"/>
  <c r="F627" i="83"/>
  <c r="C627" i="83"/>
  <c r="B627" i="83"/>
  <c r="K626" i="83"/>
  <c r="F626" i="83"/>
  <c r="C626" i="83"/>
  <c r="B626" i="83"/>
  <c r="K625" i="83"/>
  <c r="F625" i="83"/>
  <c r="C625" i="83"/>
  <c r="B625" i="83"/>
  <c r="K624" i="83"/>
  <c r="F624" i="83"/>
  <c r="C624" i="83"/>
  <c r="B624" i="83"/>
  <c r="K623" i="83"/>
  <c r="F623" i="83"/>
  <c r="C623" i="83"/>
  <c r="B623" i="83"/>
  <c r="K622" i="83"/>
  <c r="F622" i="83"/>
  <c r="C622" i="83"/>
  <c r="B622" i="83"/>
  <c r="K621" i="83"/>
  <c r="F621" i="83"/>
  <c r="C621" i="83"/>
  <c r="B621" i="83"/>
  <c r="K620" i="83"/>
  <c r="F620" i="83"/>
  <c r="C620" i="83"/>
  <c r="B620" i="83"/>
  <c r="K619" i="83"/>
  <c r="F619" i="83"/>
  <c r="C619" i="83"/>
  <c r="B619" i="83"/>
  <c r="K618" i="83"/>
  <c r="F618" i="83"/>
  <c r="C618" i="83"/>
  <c r="B618" i="83"/>
  <c r="K617" i="83"/>
  <c r="F617" i="83"/>
  <c r="C617" i="83"/>
  <c r="B617" i="83"/>
  <c r="K616" i="83"/>
  <c r="F616" i="83"/>
  <c r="C616" i="83"/>
  <c r="B616" i="83"/>
  <c r="K615" i="83"/>
  <c r="F615" i="83"/>
  <c r="C615" i="83"/>
  <c r="B615" i="83"/>
  <c r="K614" i="83"/>
  <c r="F614" i="83"/>
  <c r="C614" i="83"/>
  <c r="B614" i="83"/>
  <c r="K613" i="83"/>
  <c r="F613" i="83"/>
  <c r="C613" i="83"/>
  <c r="B613" i="83"/>
  <c r="K612" i="83"/>
  <c r="F612" i="83"/>
  <c r="C612" i="83"/>
  <c r="B612" i="83"/>
  <c r="K611" i="83"/>
  <c r="F611" i="83"/>
  <c r="C611" i="83"/>
  <c r="B611" i="83"/>
  <c r="K610" i="83"/>
  <c r="F610" i="83"/>
  <c r="C610" i="83"/>
  <c r="B610" i="83"/>
  <c r="K609" i="83"/>
  <c r="F609" i="83"/>
  <c r="C609" i="83"/>
  <c r="K608" i="83"/>
  <c r="F608" i="83"/>
  <c r="C608" i="83"/>
  <c r="B608" i="83"/>
  <c r="K607" i="83"/>
  <c r="F607" i="83"/>
  <c r="C607" i="83"/>
  <c r="B607" i="83"/>
  <c r="K606" i="83"/>
  <c r="F606" i="83"/>
  <c r="C606" i="83"/>
  <c r="B606" i="83"/>
  <c r="K605" i="83"/>
  <c r="F605" i="83"/>
  <c r="C605" i="83"/>
  <c r="B605" i="83"/>
  <c r="K604" i="83"/>
  <c r="F604" i="83"/>
  <c r="C604" i="83"/>
  <c r="B604" i="83"/>
  <c r="K603" i="83"/>
  <c r="F603" i="83"/>
  <c r="C603" i="83"/>
  <c r="B603" i="83"/>
  <c r="K602" i="83"/>
  <c r="F602" i="83"/>
  <c r="C602" i="83"/>
  <c r="B602" i="83"/>
  <c r="K601" i="83"/>
  <c r="F601" i="83"/>
  <c r="C601" i="83"/>
  <c r="B601" i="83"/>
  <c r="K600" i="83"/>
  <c r="F600" i="83"/>
  <c r="C600" i="83"/>
  <c r="B600" i="83"/>
  <c r="K599" i="83"/>
  <c r="F599" i="83"/>
  <c r="C599" i="83"/>
  <c r="B599" i="83"/>
  <c r="K598" i="83"/>
  <c r="F598" i="83"/>
  <c r="C598" i="83"/>
  <c r="B598" i="83"/>
  <c r="K597" i="83"/>
  <c r="F597" i="83"/>
  <c r="C597" i="83"/>
  <c r="B597" i="83"/>
  <c r="K596" i="83"/>
  <c r="F596" i="83"/>
  <c r="C596" i="83"/>
  <c r="B596" i="83"/>
  <c r="K595" i="83"/>
  <c r="F595" i="83"/>
  <c r="C595" i="83"/>
  <c r="B595" i="83"/>
  <c r="K594" i="83"/>
  <c r="F594" i="83"/>
  <c r="C594" i="83"/>
  <c r="B594" i="83"/>
  <c r="K593" i="83"/>
  <c r="F593" i="83"/>
  <c r="C593" i="83"/>
  <c r="B593" i="83"/>
  <c r="K592" i="83"/>
  <c r="F592" i="83"/>
  <c r="C592" i="83"/>
  <c r="B592" i="83"/>
  <c r="K591" i="83"/>
  <c r="F591" i="83"/>
  <c r="C591" i="83"/>
  <c r="B591" i="83"/>
  <c r="K590" i="83"/>
  <c r="F590" i="83"/>
  <c r="C590" i="83"/>
  <c r="B590" i="83"/>
  <c r="F589" i="83"/>
  <c r="C589" i="83"/>
  <c r="B589" i="83"/>
  <c r="K588" i="83"/>
  <c r="F588" i="83"/>
  <c r="C588" i="83"/>
  <c r="B588" i="83"/>
  <c r="F587" i="83"/>
  <c r="C587" i="83"/>
  <c r="B587" i="83"/>
  <c r="K586" i="83"/>
  <c r="F586" i="83"/>
  <c r="C586" i="83"/>
  <c r="B586" i="83"/>
  <c r="K585" i="83"/>
  <c r="F585" i="83"/>
  <c r="C585" i="83"/>
  <c r="B585" i="83"/>
  <c r="K584" i="83"/>
  <c r="F584" i="83"/>
  <c r="C584" i="83"/>
  <c r="B584" i="83"/>
  <c r="K583" i="83"/>
  <c r="F583" i="83"/>
  <c r="C583" i="83"/>
  <c r="B583" i="83"/>
  <c r="K582" i="83"/>
  <c r="F582" i="83"/>
  <c r="C582" i="83"/>
  <c r="B582" i="83"/>
  <c r="K581" i="83"/>
  <c r="F581" i="83"/>
  <c r="C581" i="83"/>
  <c r="B581" i="83"/>
  <c r="K580" i="83"/>
  <c r="F580" i="83"/>
  <c r="C580" i="83"/>
  <c r="B580" i="83"/>
  <c r="K579" i="83"/>
  <c r="F579" i="83"/>
  <c r="C579" i="83"/>
  <c r="B579" i="83"/>
  <c r="K578" i="83"/>
  <c r="F578" i="83"/>
  <c r="C578" i="83"/>
  <c r="B578" i="83"/>
  <c r="K577" i="83"/>
  <c r="F577" i="83"/>
  <c r="C577" i="83"/>
  <c r="B577" i="83"/>
  <c r="K576" i="83"/>
  <c r="F576" i="83"/>
  <c r="C576" i="83"/>
  <c r="B576" i="83"/>
  <c r="K575" i="83"/>
  <c r="F575" i="83"/>
  <c r="C575" i="83"/>
  <c r="B575" i="83"/>
  <c r="K574" i="83"/>
  <c r="F574" i="83"/>
  <c r="C574" i="83"/>
  <c r="B574" i="83"/>
  <c r="K573" i="83"/>
  <c r="F573" i="83"/>
  <c r="C573" i="83"/>
  <c r="B573" i="83"/>
  <c r="K572" i="83"/>
  <c r="F572" i="83"/>
  <c r="C572" i="83"/>
  <c r="B572" i="83"/>
  <c r="K571" i="83"/>
  <c r="F571" i="83"/>
  <c r="C571" i="83"/>
  <c r="B571" i="83"/>
  <c r="K570" i="83"/>
  <c r="F570" i="83"/>
  <c r="C570" i="83"/>
  <c r="B570" i="83"/>
  <c r="K569" i="83"/>
  <c r="F569" i="83"/>
  <c r="C569" i="83"/>
  <c r="B569" i="83"/>
  <c r="K568" i="83"/>
  <c r="F568" i="83"/>
  <c r="C568" i="83"/>
  <c r="B568" i="83"/>
  <c r="K567" i="83"/>
  <c r="F567" i="83"/>
  <c r="C567" i="83"/>
  <c r="B567" i="83"/>
  <c r="K566" i="83"/>
  <c r="F566" i="83"/>
  <c r="C566" i="83"/>
  <c r="B566" i="83"/>
  <c r="K565" i="83"/>
  <c r="F565" i="83"/>
  <c r="C565" i="83"/>
  <c r="B565" i="83"/>
  <c r="K564" i="83"/>
  <c r="F564" i="83"/>
  <c r="C564" i="83"/>
  <c r="B564" i="83"/>
  <c r="K563" i="83"/>
  <c r="F563" i="83"/>
  <c r="C563" i="83"/>
  <c r="B563" i="83"/>
  <c r="K562" i="83"/>
  <c r="F562" i="83"/>
  <c r="C562" i="83"/>
  <c r="B562" i="83"/>
  <c r="K561" i="83"/>
  <c r="F561" i="83"/>
  <c r="C561" i="83"/>
  <c r="B561" i="83"/>
  <c r="K560" i="83"/>
  <c r="F560" i="83"/>
  <c r="C560" i="83"/>
  <c r="B560" i="83"/>
  <c r="K559" i="83"/>
  <c r="F559" i="83"/>
  <c r="C559" i="83"/>
  <c r="B559" i="83"/>
  <c r="K558" i="83"/>
  <c r="F558" i="83"/>
  <c r="C558" i="83"/>
  <c r="B558" i="83"/>
  <c r="K557" i="83"/>
  <c r="F557" i="83"/>
  <c r="C557" i="83"/>
  <c r="B557" i="83"/>
  <c r="K556" i="83"/>
  <c r="F556" i="83"/>
  <c r="C556" i="83"/>
  <c r="B556" i="83"/>
  <c r="K555" i="83"/>
  <c r="F555" i="83"/>
  <c r="C555" i="83"/>
  <c r="B555" i="83"/>
  <c r="K554" i="83"/>
  <c r="F554" i="83"/>
  <c r="C554" i="83"/>
  <c r="B554" i="83"/>
  <c r="K553" i="83"/>
  <c r="F553" i="83"/>
  <c r="C553" i="83"/>
  <c r="B553" i="83"/>
  <c r="K552" i="83"/>
  <c r="F552" i="83"/>
  <c r="C552" i="83"/>
  <c r="B552" i="83"/>
  <c r="K551" i="83"/>
  <c r="F551" i="83"/>
  <c r="C551" i="83"/>
  <c r="B551" i="83"/>
  <c r="K550" i="83"/>
  <c r="F550" i="83"/>
  <c r="C550" i="83"/>
  <c r="B550" i="83"/>
  <c r="K549" i="83"/>
  <c r="F549" i="83"/>
  <c r="C549" i="83"/>
  <c r="B549" i="83"/>
  <c r="K548" i="83"/>
  <c r="F548" i="83"/>
  <c r="C548" i="83"/>
  <c r="B548" i="83"/>
  <c r="K547" i="83"/>
  <c r="F547" i="83"/>
  <c r="C547" i="83"/>
  <c r="B547" i="83"/>
  <c r="K546" i="83"/>
  <c r="F546" i="83"/>
  <c r="C546" i="83"/>
  <c r="B546" i="83"/>
  <c r="K545" i="83"/>
  <c r="F545" i="83"/>
  <c r="C545" i="83"/>
  <c r="B545" i="83"/>
  <c r="K544" i="83"/>
  <c r="F544" i="83"/>
  <c r="C544" i="83"/>
  <c r="B544" i="83"/>
  <c r="K543" i="83"/>
  <c r="F543" i="83"/>
  <c r="C543" i="83"/>
  <c r="B543" i="83"/>
  <c r="K542" i="83"/>
  <c r="F542" i="83"/>
  <c r="C542" i="83"/>
  <c r="B542" i="83"/>
  <c r="K541" i="83"/>
  <c r="F541" i="83"/>
  <c r="C541" i="83"/>
  <c r="B541" i="83"/>
  <c r="K540" i="83"/>
  <c r="F540" i="83"/>
  <c r="C540" i="83"/>
  <c r="B540" i="83"/>
  <c r="K539" i="83"/>
  <c r="F539" i="83"/>
  <c r="C539" i="83"/>
  <c r="B539" i="83"/>
  <c r="K538" i="83"/>
  <c r="F538" i="83"/>
  <c r="C538" i="83"/>
  <c r="B538" i="83"/>
  <c r="K537" i="83"/>
  <c r="F537" i="83"/>
  <c r="C537" i="83"/>
  <c r="B537" i="83"/>
  <c r="K536" i="83"/>
  <c r="F536" i="83"/>
  <c r="C536" i="83"/>
  <c r="B536" i="83"/>
  <c r="K535" i="83"/>
  <c r="F535" i="83"/>
  <c r="C535" i="83"/>
  <c r="B535" i="83"/>
  <c r="K534" i="83"/>
  <c r="F534" i="83"/>
  <c r="C534" i="83"/>
  <c r="B534" i="83"/>
  <c r="K533" i="83"/>
  <c r="F533" i="83"/>
  <c r="C533" i="83"/>
  <c r="B533" i="83"/>
  <c r="K532" i="83"/>
  <c r="F532" i="83"/>
  <c r="C532" i="83"/>
  <c r="B532" i="83"/>
  <c r="K531" i="83"/>
  <c r="F531" i="83"/>
  <c r="C531" i="83"/>
  <c r="B531" i="83"/>
  <c r="K530" i="83"/>
  <c r="F530" i="83"/>
  <c r="C530" i="83"/>
  <c r="B530" i="83"/>
  <c r="K529" i="83"/>
  <c r="F529" i="83"/>
  <c r="C529" i="83"/>
  <c r="B529" i="83"/>
  <c r="K528" i="83"/>
  <c r="F528" i="83"/>
  <c r="C528" i="83"/>
  <c r="B528" i="83"/>
  <c r="K527" i="83"/>
  <c r="F527" i="83"/>
  <c r="C527" i="83"/>
  <c r="B527" i="83"/>
  <c r="K526" i="83"/>
  <c r="F526" i="83"/>
  <c r="C526" i="83"/>
  <c r="B526" i="83"/>
  <c r="K525" i="83"/>
  <c r="F525" i="83"/>
  <c r="C525" i="83"/>
  <c r="B525" i="83"/>
  <c r="K524" i="83"/>
  <c r="F524" i="83"/>
  <c r="C524" i="83"/>
  <c r="B524" i="83"/>
  <c r="K523" i="83"/>
  <c r="F523" i="83"/>
  <c r="C523" i="83"/>
  <c r="B523" i="83"/>
  <c r="K522" i="83"/>
  <c r="F522" i="83"/>
  <c r="C522" i="83"/>
  <c r="B522" i="83"/>
  <c r="K521" i="83"/>
  <c r="F521" i="83"/>
  <c r="C521" i="83"/>
  <c r="B521" i="83"/>
  <c r="K520" i="83"/>
  <c r="F520" i="83"/>
  <c r="C520" i="83"/>
  <c r="B520" i="83"/>
  <c r="K519" i="83"/>
  <c r="F519" i="83"/>
  <c r="C519" i="83"/>
  <c r="B519" i="83"/>
  <c r="K518" i="83"/>
  <c r="F518" i="83"/>
  <c r="C518" i="83"/>
  <c r="B518" i="83"/>
  <c r="K517" i="83"/>
  <c r="F517" i="83"/>
  <c r="C517" i="83"/>
  <c r="B517" i="83"/>
  <c r="K516" i="83"/>
  <c r="F516" i="83"/>
  <c r="C516" i="83"/>
  <c r="B516" i="83"/>
  <c r="K515" i="83"/>
  <c r="F515" i="83"/>
  <c r="C515" i="83"/>
  <c r="B515" i="83"/>
  <c r="K514" i="83"/>
  <c r="F514" i="83"/>
  <c r="C514" i="83"/>
  <c r="B514" i="83"/>
  <c r="K513" i="83"/>
  <c r="F513" i="83"/>
  <c r="C513" i="83"/>
  <c r="B513" i="83"/>
  <c r="K512" i="83"/>
  <c r="F512" i="83"/>
  <c r="C512" i="83"/>
  <c r="B512" i="83"/>
  <c r="K511" i="83"/>
  <c r="F511" i="83"/>
  <c r="C511" i="83"/>
  <c r="B511" i="83"/>
  <c r="K510" i="83"/>
  <c r="F510" i="83"/>
  <c r="C510" i="83"/>
  <c r="B510" i="83"/>
  <c r="K509" i="83"/>
  <c r="F509" i="83"/>
  <c r="C509" i="83"/>
  <c r="B509" i="83"/>
  <c r="K508" i="83"/>
  <c r="F508" i="83"/>
  <c r="C508" i="83"/>
  <c r="B508" i="83"/>
  <c r="K507" i="83"/>
  <c r="F507" i="83"/>
  <c r="C507" i="83"/>
  <c r="B507" i="83"/>
  <c r="K506" i="83"/>
  <c r="F506" i="83"/>
  <c r="C506" i="83"/>
  <c r="B506" i="83"/>
  <c r="K505" i="83"/>
  <c r="F505" i="83"/>
  <c r="C505" i="83"/>
  <c r="B505" i="83"/>
  <c r="K504" i="83"/>
  <c r="F504" i="83"/>
  <c r="C504" i="83"/>
  <c r="B504" i="83"/>
  <c r="K503" i="83"/>
  <c r="F503" i="83"/>
  <c r="C503" i="83"/>
  <c r="B503" i="83"/>
  <c r="K502" i="83"/>
  <c r="F502" i="83"/>
  <c r="C502" i="83"/>
  <c r="B502" i="83"/>
  <c r="K501" i="83"/>
  <c r="F501" i="83"/>
  <c r="C501" i="83"/>
  <c r="B501" i="83"/>
  <c r="K500" i="83"/>
  <c r="F500" i="83"/>
  <c r="C500" i="83"/>
  <c r="B500" i="83"/>
  <c r="K499" i="83"/>
  <c r="F499" i="83"/>
  <c r="C499" i="83"/>
  <c r="B499" i="83"/>
  <c r="K498" i="83"/>
  <c r="F498" i="83"/>
  <c r="C498" i="83"/>
  <c r="B498" i="83"/>
  <c r="K497" i="83"/>
  <c r="F497" i="83"/>
  <c r="C497" i="83"/>
  <c r="B497" i="83"/>
  <c r="K496" i="83"/>
  <c r="F496" i="83"/>
  <c r="C496" i="83"/>
  <c r="B496" i="83"/>
  <c r="K495" i="83"/>
  <c r="F495" i="83"/>
  <c r="C495" i="83"/>
  <c r="B495" i="83"/>
  <c r="K494" i="83"/>
  <c r="F494" i="83"/>
  <c r="C494" i="83"/>
  <c r="B494" i="83"/>
  <c r="K493" i="83"/>
  <c r="F493" i="83"/>
  <c r="C493" i="83"/>
  <c r="B493" i="83"/>
  <c r="K492" i="83"/>
  <c r="F492" i="83"/>
  <c r="C492" i="83"/>
  <c r="B492" i="83"/>
  <c r="K491" i="83"/>
  <c r="F491" i="83"/>
  <c r="C491" i="83"/>
  <c r="B491" i="83"/>
  <c r="K490" i="83"/>
  <c r="F490" i="83"/>
  <c r="C490" i="83"/>
  <c r="B490" i="83"/>
  <c r="K489" i="83"/>
  <c r="F489" i="83"/>
  <c r="C489" i="83"/>
  <c r="B489" i="83"/>
  <c r="K488" i="83"/>
  <c r="F488" i="83"/>
  <c r="C488" i="83"/>
  <c r="B488" i="83"/>
  <c r="K487" i="83"/>
  <c r="F487" i="83"/>
  <c r="C487" i="83"/>
  <c r="B487" i="83"/>
  <c r="K486" i="83"/>
  <c r="F486" i="83"/>
  <c r="C486" i="83"/>
  <c r="B486" i="83"/>
  <c r="K485" i="83"/>
  <c r="F485" i="83"/>
  <c r="C485" i="83"/>
  <c r="B485" i="83"/>
  <c r="K484" i="83"/>
  <c r="F484" i="83"/>
  <c r="C484" i="83"/>
  <c r="B484" i="83"/>
  <c r="K483" i="83"/>
  <c r="F483" i="83"/>
  <c r="C483" i="83"/>
  <c r="B483" i="83"/>
  <c r="K482" i="83"/>
  <c r="F482" i="83"/>
  <c r="C482" i="83"/>
  <c r="B482" i="83"/>
  <c r="K481" i="83"/>
  <c r="F481" i="83"/>
  <c r="C481" i="83"/>
  <c r="B481" i="83"/>
  <c r="K480" i="83"/>
  <c r="F480" i="83"/>
  <c r="C480" i="83"/>
  <c r="B480" i="83"/>
  <c r="K479" i="83"/>
  <c r="F479" i="83"/>
  <c r="C479" i="83"/>
  <c r="B479" i="83"/>
  <c r="K478" i="83"/>
  <c r="F478" i="83"/>
  <c r="C478" i="83"/>
  <c r="B478" i="83"/>
  <c r="K477" i="83"/>
  <c r="F477" i="83"/>
  <c r="C477" i="83"/>
  <c r="B477" i="83"/>
  <c r="K476" i="83"/>
  <c r="F476" i="83"/>
  <c r="C476" i="83"/>
  <c r="B476" i="83"/>
  <c r="K475" i="83"/>
  <c r="F475" i="83"/>
  <c r="C475" i="83"/>
  <c r="B475" i="83"/>
  <c r="K474" i="83"/>
  <c r="F474" i="83"/>
  <c r="C474" i="83"/>
  <c r="B474" i="83"/>
  <c r="K473" i="83"/>
  <c r="F473" i="83"/>
  <c r="C473" i="83"/>
  <c r="B473" i="83"/>
  <c r="K472" i="83"/>
  <c r="F472" i="83"/>
  <c r="C472" i="83"/>
  <c r="B472" i="83"/>
  <c r="K471" i="83"/>
  <c r="F471" i="83"/>
  <c r="C471" i="83"/>
  <c r="B471" i="83"/>
  <c r="K470" i="83"/>
  <c r="F470" i="83"/>
  <c r="C470" i="83"/>
  <c r="B470" i="83"/>
  <c r="K469" i="83"/>
  <c r="F469" i="83"/>
  <c r="C469" i="83"/>
  <c r="B469" i="83"/>
  <c r="K468" i="83"/>
  <c r="F468" i="83"/>
  <c r="C468" i="83"/>
  <c r="B468" i="83"/>
  <c r="K467" i="83"/>
  <c r="F467" i="83"/>
  <c r="C467" i="83"/>
  <c r="B467" i="83"/>
  <c r="K466" i="83"/>
  <c r="F466" i="83"/>
  <c r="C466" i="83"/>
  <c r="B466" i="83"/>
  <c r="K465" i="83"/>
  <c r="F465" i="83"/>
  <c r="C465" i="83"/>
  <c r="B465" i="83"/>
  <c r="K464" i="83"/>
  <c r="F464" i="83"/>
  <c r="C464" i="83"/>
  <c r="B464" i="83"/>
  <c r="K463" i="83"/>
  <c r="F463" i="83"/>
  <c r="C463" i="83"/>
  <c r="B463" i="83"/>
  <c r="K462" i="83"/>
  <c r="F462" i="83"/>
  <c r="C462" i="83"/>
  <c r="B462" i="83"/>
  <c r="K461" i="83"/>
  <c r="F461" i="83"/>
  <c r="C461" i="83"/>
  <c r="B461" i="83"/>
  <c r="K460" i="83"/>
  <c r="F460" i="83"/>
  <c r="C460" i="83"/>
  <c r="B460" i="83"/>
  <c r="K459" i="83"/>
  <c r="F459" i="83"/>
  <c r="C459" i="83"/>
  <c r="B459" i="83"/>
  <c r="K458" i="83"/>
  <c r="F458" i="83"/>
  <c r="C458" i="83"/>
  <c r="B458" i="83"/>
  <c r="K457" i="83"/>
  <c r="F457" i="83"/>
  <c r="C457" i="83"/>
  <c r="B457" i="83"/>
  <c r="K456" i="83"/>
  <c r="F456" i="83"/>
  <c r="C456" i="83"/>
  <c r="B456" i="83"/>
  <c r="K455" i="83"/>
  <c r="F455" i="83"/>
  <c r="C455" i="83"/>
  <c r="B455" i="83"/>
  <c r="K454" i="83"/>
  <c r="F454" i="83"/>
  <c r="C454" i="83"/>
  <c r="B454" i="83"/>
  <c r="K453" i="83"/>
  <c r="F453" i="83"/>
  <c r="C453" i="83"/>
  <c r="B453" i="83"/>
  <c r="K452" i="83"/>
  <c r="F452" i="83"/>
  <c r="C452" i="83"/>
  <c r="B452" i="83"/>
  <c r="K451" i="83"/>
  <c r="F451" i="83"/>
  <c r="C451" i="83"/>
  <c r="B451" i="83"/>
  <c r="K450" i="83"/>
  <c r="F450" i="83"/>
  <c r="C450" i="83"/>
  <c r="B450" i="83"/>
  <c r="K449" i="83"/>
  <c r="F449" i="83"/>
  <c r="C449" i="83"/>
  <c r="B449" i="83"/>
  <c r="K448" i="83"/>
  <c r="F448" i="83"/>
  <c r="C448" i="83"/>
  <c r="B448" i="83"/>
  <c r="K447" i="83"/>
  <c r="F447" i="83"/>
  <c r="C447" i="83"/>
  <c r="B447" i="83"/>
  <c r="K446" i="83"/>
  <c r="F446" i="83"/>
  <c r="C446" i="83"/>
  <c r="B446" i="83"/>
  <c r="K445" i="83"/>
  <c r="F445" i="83"/>
  <c r="C445" i="83"/>
  <c r="B445" i="83"/>
  <c r="K444" i="83"/>
  <c r="F444" i="83"/>
  <c r="C444" i="83"/>
  <c r="B444" i="83"/>
  <c r="K443" i="83"/>
  <c r="F443" i="83"/>
  <c r="C443" i="83"/>
  <c r="B443" i="83"/>
  <c r="K442" i="83"/>
  <c r="F442" i="83"/>
  <c r="C442" i="83"/>
  <c r="B442" i="83"/>
  <c r="K441" i="83"/>
  <c r="F441" i="83"/>
  <c r="C441" i="83"/>
  <c r="B441" i="83"/>
  <c r="K440" i="83"/>
  <c r="F440" i="83"/>
  <c r="C440" i="83"/>
  <c r="B440" i="83"/>
  <c r="K439" i="83"/>
  <c r="F439" i="83"/>
  <c r="C439" i="83"/>
  <c r="B439" i="83"/>
  <c r="K438" i="83"/>
  <c r="F438" i="83"/>
  <c r="C438" i="83"/>
  <c r="B438" i="83"/>
  <c r="K437" i="83"/>
  <c r="F437" i="83"/>
  <c r="C437" i="83"/>
  <c r="B437" i="83"/>
  <c r="K436" i="83"/>
  <c r="F436" i="83"/>
  <c r="C436" i="83"/>
  <c r="B436" i="83"/>
  <c r="K435" i="83"/>
  <c r="F435" i="83"/>
  <c r="C435" i="83"/>
  <c r="B435" i="83"/>
  <c r="K434" i="83"/>
  <c r="F434" i="83"/>
  <c r="C434" i="83"/>
  <c r="B434" i="83"/>
  <c r="K433" i="83"/>
  <c r="F433" i="83"/>
  <c r="C433" i="83"/>
  <c r="B433" i="83"/>
  <c r="K432" i="83"/>
  <c r="F432" i="83"/>
  <c r="C432" i="83"/>
  <c r="B432" i="83"/>
  <c r="K431" i="83"/>
  <c r="F431" i="83"/>
  <c r="C431" i="83"/>
  <c r="B431" i="83"/>
  <c r="K430" i="83"/>
  <c r="F430" i="83"/>
  <c r="C430" i="83"/>
  <c r="B430" i="83"/>
  <c r="K429" i="83"/>
  <c r="F429" i="83"/>
  <c r="C429" i="83"/>
  <c r="B429" i="83"/>
  <c r="K428" i="83"/>
  <c r="F428" i="83"/>
  <c r="C428" i="83"/>
  <c r="B428" i="83"/>
  <c r="K427" i="83"/>
  <c r="F427" i="83"/>
  <c r="C427" i="83"/>
  <c r="B427" i="83"/>
  <c r="K426" i="83"/>
  <c r="F426" i="83"/>
  <c r="C426" i="83"/>
  <c r="B426" i="83"/>
  <c r="K425" i="83"/>
  <c r="F425" i="83"/>
  <c r="C425" i="83"/>
  <c r="B425" i="83"/>
  <c r="K424" i="83"/>
  <c r="F424" i="83"/>
  <c r="C424" i="83"/>
  <c r="B424" i="83"/>
  <c r="K423" i="83"/>
  <c r="F423" i="83"/>
  <c r="C423" i="83"/>
  <c r="B423" i="83"/>
  <c r="K422" i="83"/>
  <c r="F422" i="83"/>
  <c r="C422" i="83"/>
  <c r="B422" i="83"/>
  <c r="K421" i="83"/>
  <c r="F421" i="83"/>
  <c r="C421" i="83"/>
  <c r="B421" i="83"/>
  <c r="K420" i="83"/>
  <c r="F420" i="83"/>
  <c r="C420" i="83"/>
  <c r="B420" i="83"/>
  <c r="K419" i="83"/>
  <c r="F419" i="83"/>
  <c r="C419" i="83"/>
  <c r="B419" i="83"/>
  <c r="K418" i="83"/>
  <c r="F418" i="83"/>
  <c r="C418" i="83"/>
  <c r="B418" i="83"/>
  <c r="K417" i="83"/>
  <c r="F417" i="83"/>
  <c r="C417" i="83"/>
  <c r="B417" i="83"/>
  <c r="K416" i="83"/>
  <c r="F416" i="83"/>
  <c r="C416" i="83"/>
  <c r="B416" i="83"/>
  <c r="K415" i="83"/>
  <c r="F415" i="83"/>
  <c r="C415" i="83"/>
  <c r="B415" i="83"/>
  <c r="K414" i="83"/>
  <c r="F414" i="83"/>
  <c r="C414" i="83"/>
  <c r="B414" i="83"/>
  <c r="K413" i="83"/>
  <c r="F413" i="83"/>
  <c r="C413" i="83"/>
  <c r="B413" i="83"/>
  <c r="K412" i="83"/>
  <c r="F412" i="83"/>
  <c r="C412" i="83"/>
  <c r="B412" i="83"/>
  <c r="K411" i="83"/>
  <c r="F411" i="83"/>
  <c r="C411" i="83"/>
  <c r="B411" i="83"/>
  <c r="K410" i="83"/>
  <c r="F410" i="83"/>
  <c r="C410" i="83"/>
  <c r="B410" i="83"/>
  <c r="K409" i="83"/>
  <c r="F409" i="83"/>
  <c r="C409" i="83"/>
  <c r="B409" i="83"/>
  <c r="K408" i="83"/>
  <c r="F408" i="83"/>
  <c r="C408" i="83"/>
  <c r="B408" i="83"/>
  <c r="F407" i="83"/>
  <c r="C407" i="83"/>
  <c r="B407" i="83"/>
  <c r="F406" i="83"/>
  <c r="C406" i="83"/>
  <c r="B406" i="83"/>
  <c r="F404" i="83"/>
  <c r="C404" i="83"/>
  <c r="B404" i="83"/>
  <c r="K403" i="83"/>
  <c r="F403" i="83"/>
  <c r="C403" i="83"/>
  <c r="B403" i="83"/>
  <c r="K402" i="83"/>
  <c r="F402" i="83"/>
  <c r="C402" i="83"/>
  <c r="B402" i="83"/>
  <c r="K401" i="83"/>
  <c r="F401" i="83"/>
  <c r="C401" i="83"/>
  <c r="B401" i="83"/>
  <c r="K400" i="83"/>
  <c r="F400" i="83"/>
  <c r="C400" i="83"/>
  <c r="B400" i="83"/>
  <c r="K399" i="83"/>
  <c r="F399" i="83"/>
  <c r="C399" i="83"/>
  <c r="B399" i="83"/>
  <c r="K398" i="83"/>
  <c r="F398" i="83"/>
  <c r="C398" i="83"/>
  <c r="B398" i="83"/>
  <c r="K397" i="83"/>
  <c r="F397" i="83"/>
  <c r="C397" i="83"/>
  <c r="B397" i="83"/>
  <c r="K396" i="83"/>
  <c r="F396" i="83"/>
  <c r="C396" i="83"/>
  <c r="B396" i="83"/>
  <c r="K395" i="83"/>
  <c r="F395" i="83"/>
  <c r="C395" i="83"/>
  <c r="B395" i="83"/>
  <c r="K394" i="83"/>
  <c r="F394" i="83"/>
  <c r="C394" i="83"/>
  <c r="B394" i="83"/>
  <c r="K393" i="83"/>
  <c r="F393" i="83"/>
  <c r="C393" i="83"/>
  <c r="B393" i="83"/>
  <c r="K392" i="83"/>
  <c r="F392" i="83"/>
  <c r="C392" i="83"/>
  <c r="B392" i="83"/>
  <c r="K391" i="83"/>
  <c r="F391" i="83"/>
  <c r="C391" i="83"/>
  <c r="B391" i="83"/>
  <c r="K390" i="83"/>
  <c r="F390" i="83"/>
  <c r="C390" i="83"/>
  <c r="B390" i="83"/>
  <c r="K389" i="83"/>
  <c r="F389" i="83"/>
  <c r="C389" i="83"/>
  <c r="B389" i="83"/>
  <c r="K388" i="83"/>
  <c r="F388" i="83"/>
  <c r="C388" i="83"/>
  <c r="B388" i="83"/>
  <c r="K387" i="83"/>
  <c r="F387" i="83"/>
  <c r="C387" i="83"/>
  <c r="B387" i="83"/>
  <c r="K386" i="83"/>
  <c r="F386" i="83"/>
  <c r="C386" i="83"/>
  <c r="B386" i="83"/>
  <c r="K385" i="83"/>
  <c r="F385" i="83"/>
  <c r="C385" i="83"/>
  <c r="B385" i="83"/>
  <c r="K384" i="83"/>
  <c r="F384" i="83"/>
  <c r="C384" i="83"/>
  <c r="B384" i="83"/>
  <c r="K383" i="83"/>
  <c r="F383" i="83"/>
  <c r="C383" i="83"/>
  <c r="B383" i="83"/>
  <c r="K382" i="83"/>
  <c r="F382" i="83"/>
  <c r="C382" i="83"/>
  <c r="B382" i="83"/>
  <c r="K381" i="83"/>
  <c r="F381" i="83"/>
  <c r="C381" i="83"/>
  <c r="B381" i="83"/>
  <c r="K380" i="83"/>
  <c r="F380" i="83"/>
  <c r="C380" i="83"/>
  <c r="B380" i="83"/>
  <c r="K379" i="83"/>
  <c r="F379" i="83"/>
  <c r="C379" i="83"/>
  <c r="B379" i="83"/>
  <c r="K378" i="83"/>
  <c r="F378" i="83"/>
  <c r="C378" i="83"/>
  <c r="B378" i="83"/>
  <c r="K377" i="83"/>
  <c r="F377" i="83"/>
  <c r="C377" i="83"/>
  <c r="B377" i="83"/>
  <c r="K376" i="83"/>
  <c r="F376" i="83"/>
  <c r="C376" i="83"/>
  <c r="B376" i="83"/>
  <c r="K375" i="83"/>
  <c r="F375" i="83"/>
  <c r="C375" i="83"/>
  <c r="B375" i="83"/>
  <c r="K374" i="83"/>
  <c r="F374" i="83"/>
  <c r="C374" i="83"/>
  <c r="B374" i="83"/>
  <c r="K373" i="83"/>
  <c r="F373" i="83"/>
  <c r="C373" i="83"/>
  <c r="B373" i="83"/>
  <c r="K372" i="83"/>
  <c r="F372" i="83"/>
  <c r="C372" i="83"/>
  <c r="B372" i="83"/>
  <c r="K371" i="83"/>
  <c r="F371" i="83"/>
  <c r="C371" i="83"/>
  <c r="B371" i="83"/>
  <c r="K370" i="83"/>
  <c r="F370" i="83"/>
  <c r="C370" i="83"/>
  <c r="B370" i="83"/>
  <c r="K369" i="83"/>
  <c r="F369" i="83"/>
  <c r="C369" i="83"/>
  <c r="B369" i="83"/>
  <c r="K368" i="83"/>
  <c r="F368" i="83"/>
  <c r="C368" i="83"/>
  <c r="B368" i="83"/>
  <c r="K367" i="83"/>
  <c r="F367" i="83"/>
  <c r="C367" i="83"/>
  <c r="B367" i="83"/>
  <c r="K366" i="83"/>
  <c r="F366" i="83"/>
  <c r="C366" i="83"/>
  <c r="B366" i="83"/>
  <c r="K365" i="83"/>
  <c r="F365" i="83"/>
  <c r="C365" i="83"/>
  <c r="B365" i="83"/>
  <c r="K364" i="83"/>
  <c r="F364" i="83"/>
  <c r="C364" i="83"/>
  <c r="B364" i="83"/>
  <c r="K363" i="83"/>
  <c r="F363" i="83"/>
  <c r="C363" i="83"/>
  <c r="B363" i="83"/>
  <c r="K362" i="83"/>
  <c r="F362" i="83"/>
  <c r="C362" i="83"/>
  <c r="B362" i="83"/>
  <c r="K361" i="83"/>
  <c r="F361" i="83"/>
  <c r="C361" i="83"/>
  <c r="B361" i="83"/>
  <c r="K360" i="83"/>
  <c r="F360" i="83"/>
  <c r="C360" i="83"/>
  <c r="B360" i="83"/>
  <c r="K359" i="83"/>
  <c r="F359" i="83"/>
  <c r="C359" i="83"/>
  <c r="B359" i="83"/>
  <c r="K358" i="83"/>
  <c r="F358" i="83"/>
  <c r="C358" i="83"/>
  <c r="B358" i="83"/>
  <c r="K357" i="83"/>
  <c r="F357" i="83"/>
  <c r="C357" i="83"/>
  <c r="B357" i="83"/>
  <c r="K356" i="83"/>
  <c r="F356" i="83"/>
  <c r="C356" i="83"/>
  <c r="B356" i="83"/>
  <c r="K355" i="83"/>
  <c r="F355" i="83"/>
  <c r="C355" i="83"/>
  <c r="B355" i="83"/>
  <c r="K354" i="83"/>
  <c r="F354" i="83"/>
  <c r="C354" i="83"/>
  <c r="B354" i="83"/>
  <c r="K353" i="83"/>
  <c r="F353" i="83"/>
  <c r="C353" i="83"/>
  <c r="B353" i="83"/>
  <c r="K352" i="83"/>
  <c r="F352" i="83"/>
  <c r="C352" i="83"/>
  <c r="B352" i="83"/>
  <c r="K351" i="83"/>
  <c r="F351" i="83"/>
  <c r="C351" i="83"/>
  <c r="B351" i="83"/>
  <c r="K350" i="83"/>
  <c r="F350" i="83"/>
  <c r="C350" i="83"/>
  <c r="B350" i="83"/>
  <c r="K349" i="83"/>
  <c r="F349" i="83"/>
  <c r="C349" i="83"/>
  <c r="B349" i="83"/>
  <c r="K348" i="83"/>
  <c r="F348" i="83"/>
  <c r="C348" i="83"/>
  <c r="B348" i="83"/>
  <c r="K347" i="83"/>
  <c r="F347" i="83"/>
  <c r="C347" i="83"/>
  <c r="B347" i="83"/>
  <c r="K346" i="83"/>
  <c r="F346" i="83"/>
  <c r="C346" i="83"/>
  <c r="B346" i="83"/>
  <c r="K345" i="83"/>
  <c r="F345" i="83"/>
  <c r="C345" i="83"/>
  <c r="B345" i="83"/>
  <c r="K344" i="83"/>
  <c r="F344" i="83"/>
  <c r="C344" i="83"/>
  <c r="B344" i="83"/>
  <c r="K343" i="83"/>
  <c r="F343" i="83"/>
  <c r="C343" i="83"/>
  <c r="B343" i="83"/>
  <c r="K342" i="83"/>
  <c r="F342" i="83"/>
  <c r="C342" i="83"/>
  <c r="B342" i="83"/>
  <c r="K341" i="83"/>
  <c r="F341" i="83"/>
  <c r="C341" i="83"/>
  <c r="B341" i="83"/>
  <c r="K340" i="83"/>
  <c r="F340" i="83"/>
  <c r="C340" i="83"/>
  <c r="B340" i="83"/>
  <c r="K339" i="83"/>
  <c r="F339" i="83"/>
  <c r="C339" i="83"/>
  <c r="B339" i="83"/>
  <c r="K338" i="83"/>
  <c r="F338" i="83"/>
  <c r="C338" i="83"/>
  <c r="B338" i="83"/>
  <c r="K337" i="83"/>
  <c r="F337" i="83"/>
  <c r="C337" i="83"/>
  <c r="B337" i="83"/>
  <c r="K336" i="83"/>
  <c r="F336" i="83"/>
  <c r="C336" i="83"/>
  <c r="B336" i="83"/>
  <c r="K335" i="83"/>
  <c r="F335" i="83"/>
  <c r="C335" i="83"/>
  <c r="B335" i="83"/>
  <c r="K334" i="83"/>
  <c r="F334" i="83"/>
  <c r="C334" i="83"/>
  <c r="B334" i="83"/>
  <c r="K333" i="83"/>
  <c r="F333" i="83"/>
  <c r="C333" i="83"/>
  <c r="B333" i="83"/>
  <c r="K332" i="83"/>
  <c r="F332" i="83"/>
  <c r="C332" i="83"/>
  <c r="B332" i="83"/>
  <c r="K331" i="83"/>
  <c r="F331" i="83"/>
  <c r="C331" i="83"/>
  <c r="B331" i="83"/>
  <c r="K330" i="83"/>
  <c r="F330" i="83"/>
  <c r="C330" i="83"/>
  <c r="B330" i="83"/>
  <c r="K329" i="83"/>
  <c r="F329" i="83"/>
  <c r="C329" i="83"/>
  <c r="B329" i="83"/>
  <c r="K328" i="83"/>
  <c r="F328" i="83"/>
  <c r="C328" i="83"/>
  <c r="B328" i="83"/>
  <c r="K327" i="83"/>
  <c r="F327" i="83"/>
  <c r="C327" i="83"/>
  <c r="B327" i="83"/>
  <c r="K326" i="83"/>
  <c r="F326" i="83"/>
  <c r="C326" i="83"/>
  <c r="B326" i="83"/>
  <c r="K325" i="83"/>
  <c r="F325" i="83"/>
  <c r="C325" i="83"/>
  <c r="B325" i="83"/>
  <c r="K324" i="83"/>
  <c r="F324" i="83"/>
  <c r="C324" i="83"/>
  <c r="B324" i="83"/>
  <c r="K323" i="83"/>
  <c r="F323" i="83"/>
  <c r="C323" i="83"/>
  <c r="B323" i="83"/>
  <c r="K322" i="83"/>
  <c r="F322" i="83"/>
  <c r="C322" i="83"/>
  <c r="B322" i="83"/>
  <c r="K321" i="83"/>
  <c r="F321" i="83"/>
  <c r="C321" i="83"/>
  <c r="B321" i="83"/>
  <c r="K320" i="83"/>
  <c r="F320" i="83"/>
  <c r="C320" i="83"/>
  <c r="B320" i="83"/>
  <c r="K319" i="83"/>
  <c r="F319" i="83"/>
  <c r="C319" i="83"/>
  <c r="B319" i="83"/>
  <c r="K318" i="83"/>
  <c r="F318" i="83"/>
  <c r="C318" i="83"/>
  <c r="B318" i="83"/>
  <c r="K317" i="83"/>
  <c r="F317" i="83"/>
  <c r="C317" i="83"/>
  <c r="B317" i="83"/>
  <c r="K316" i="83"/>
  <c r="F316" i="83"/>
  <c r="C316" i="83"/>
  <c r="B316" i="83"/>
  <c r="K315" i="83"/>
  <c r="F315" i="83"/>
  <c r="C315" i="83"/>
  <c r="B315" i="83"/>
  <c r="K314" i="83"/>
  <c r="F314" i="83"/>
  <c r="C314" i="83"/>
  <c r="B314" i="83"/>
  <c r="K313" i="83"/>
  <c r="F313" i="83"/>
  <c r="C313" i="83"/>
  <c r="B313" i="83"/>
  <c r="K312" i="83"/>
  <c r="F312" i="83"/>
  <c r="C312" i="83"/>
  <c r="B312" i="83"/>
  <c r="K311" i="83"/>
  <c r="F311" i="83"/>
  <c r="C311" i="83"/>
  <c r="B311" i="83"/>
  <c r="K310" i="83"/>
  <c r="F310" i="83"/>
  <c r="C310" i="83"/>
  <c r="B310" i="83"/>
  <c r="K309" i="83"/>
  <c r="F309" i="83"/>
  <c r="C309" i="83"/>
  <c r="B309" i="83"/>
  <c r="K308" i="83"/>
  <c r="F308" i="83"/>
  <c r="C308" i="83"/>
  <c r="B308" i="83"/>
  <c r="K307" i="83"/>
  <c r="F307" i="83"/>
  <c r="C307" i="83"/>
  <c r="B307" i="83"/>
  <c r="K306" i="83"/>
  <c r="F306" i="83"/>
  <c r="C306" i="83"/>
  <c r="B306" i="83"/>
  <c r="K305" i="83"/>
  <c r="F305" i="83"/>
  <c r="C305" i="83"/>
  <c r="B305" i="83"/>
  <c r="K304" i="83"/>
  <c r="F304" i="83"/>
  <c r="C304" i="83"/>
  <c r="B304" i="83"/>
  <c r="K303" i="83"/>
  <c r="F303" i="83"/>
  <c r="C303" i="83"/>
  <c r="B303" i="83"/>
  <c r="K302" i="83"/>
  <c r="F302" i="83"/>
  <c r="C302" i="83"/>
  <c r="B302" i="83"/>
  <c r="K301" i="83"/>
  <c r="F301" i="83"/>
  <c r="C301" i="83"/>
  <c r="B301" i="83"/>
  <c r="K300" i="83"/>
  <c r="F300" i="83"/>
  <c r="C300" i="83"/>
  <c r="B300" i="83"/>
  <c r="K299" i="83"/>
  <c r="F299" i="83"/>
  <c r="C299" i="83"/>
  <c r="B299" i="83"/>
  <c r="K298" i="83"/>
  <c r="F298" i="83"/>
  <c r="C298" i="83"/>
  <c r="B298" i="83"/>
  <c r="K297" i="83"/>
  <c r="F297" i="83"/>
  <c r="C297" i="83"/>
  <c r="B297" i="83"/>
  <c r="K296" i="83"/>
  <c r="F296" i="83"/>
  <c r="C296" i="83"/>
  <c r="B296" i="83"/>
  <c r="K295" i="83"/>
  <c r="F295" i="83"/>
  <c r="C295" i="83"/>
  <c r="B295" i="83"/>
  <c r="K294" i="83"/>
  <c r="F294" i="83"/>
  <c r="C294" i="83"/>
  <c r="B294" i="83"/>
  <c r="K293" i="83"/>
  <c r="F293" i="83"/>
  <c r="C293" i="83"/>
  <c r="B293" i="83"/>
  <c r="K292" i="83"/>
  <c r="F292" i="83"/>
  <c r="C292" i="83"/>
  <c r="B292" i="83"/>
  <c r="K291" i="83"/>
  <c r="F291" i="83"/>
  <c r="C291" i="83"/>
  <c r="B291" i="83"/>
  <c r="K290" i="83"/>
  <c r="F290" i="83"/>
  <c r="C290" i="83"/>
  <c r="B290" i="83"/>
  <c r="F289" i="83"/>
  <c r="C289" i="83"/>
  <c r="B289" i="83"/>
  <c r="K288" i="83"/>
  <c r="F288" i="83"/>
  <c r="C288" i="83"/>
  <c r="B288" i="83"/>
  <c r="K287" i="83"/>
  <c r="F287" i="83"/>
  <c r="C287" i="83"/>
  <c r="B287" i="83"/>
  <c r="K286" i="83"/>
  <c r="F286" i="83"/>
  <c r="C286" i="83"/>
  <c r="B286" i="83"/>
  <c r="K285" i="83"/>
  <c r="F285" i="83"/>
  <c r="C285" i="83"/>
  <c r="B285" i="83"/>
  <c r="K284" i="83"/>
  <c r="F284" i="83"/>
  <c r="C284" i="83"/>
  <c r="B284" i="83"/>
  <c r="K283" i="83"/>
  <c r="F283" i="83"/>
  <c r="C283" i="83"/>
  <c r="B283" i="83"/>
  <c r="K282" i="83"/>
  <c r="F282" i="83"/>
  <c r="C282" i="83"/>
  <c r="B282" i="83"/>
  <c r="K281" i="83"/>
  <c r="F281" i="83"/>
  <c r="C281" i="83"/>
  <c r="B281" i="83"/>
  <c r="K280" i="83"/>
  <c r="F280" i="83"/>
  <c r="C280" i="83"/>
  <c r="B280" i="83"/>
  <c r="K279" i="83"/>
  <c r="F279" i="83"/>
  <c r="C279" i="83"/>
  <c r="B279" i="83"/>
  <c r="K278" i="83"/>
  <c r="F278" i="83"/>
  <c r="C278" i="83"/>
  <c r="B278" i="83"/>
  <c r="K277" i="83"/>
  <c r="F277" i="83"/>
  <c r="C277" i="83"/>
  <c r="B277" i="83"/>
  <c r="K276" i="83"/>
  <c r="F276" i="83"/>
  <c r="C276" i="83"/>
  <c r="B276" i="83"/>
  <c r="K275" i="83"/>
  <c r="F275" i="83"/>
  <c r="C275" i="83"/>
  <c r="B275" i="83"/>
  <c r="K274" i="83"/>
  <c r="F274" i="83"/>
  <c r="C274" i="83"/>
  <c r="B274" i="83"/>
  <c r="K273" i="83"/>
  <c r="F273" i="83"/>
  <c r="C273" i="83"/>
  <c r="B273" i="83"/>
  <c r="K272" i="83"/>
  <c r="F272" i="83"/>
  <c r="C272" i="83"/>
  <c r="B272" i="83"/>
  <c r="K271" i="83"/>
  <c r="F271" i="83"/>
  <c r="C271" i="83"/>
  <c r="B271" i="83"/>
  <c r="K270" i="83"/>
  <c r="F270" i="83"/>
  <c r="C270" i="83"/>
  <c r="B270" i="83"/>
  <c r="K269" i="83"/>
  <c r="F269" i="83"/>
  <c r="C269" i="83"/>
  <c r="B269" i="83"/>
  <c r="K268" i="83"/>
  <c r="F268" i="83"/>
  <c r="C268" i="83"/>
  <c r="B268" i="83"/>
  <c r="K267" i="83"/>
  <c r="F267" i="83"/>
  <c r="C267" i="83"/>
  <c r="B267" i="83"/>
  <c r="K266" i="83"/>
  <c r="F266" i="83"/>
  <c r="C266" i="83"/>
  <c r="B266" i="83"/>
  <c r="K265" i="83"/>
  <c r="F265" i="83"/>
  <c r="C265" i="83"/>
  <c r="B265" i="83"/>
  <c r="K264" i="83"/>
  <c r="F264" i="83"/>
  <c r="C264" i="83"/>
  <c r="B264" i="83"/>
  <c r="K263" i="83"/>
  <c r="F263" i="83"/>
  <c r="C263" i="83"/>
  <c r="B263" i="83"/>
  <c r="K262" i="83"/>
  <c r="F262" i="83"/>
  <c r="C262" i="83"/>
  <c r="B262" i="83"/>
  <c r="K261" i="83"/>
  <c r="F261" i="83"/>
  <c r="C261" i="83"/>
  <c r="B261" i="83"/>
  <c r="K260" i="83"/>
  <c r="F260" i="83"/>
  <c r="C260" i="83"/>
  <c r="B260" i="83"/>
  <c r="K259" i="83"/>
  <c r="F259" i="83"/>
  <c r="C259" i="83"/>
  <c r="B259" i="83"/>
  <c r="K258" i="83"/>
  <c r="F258" i="83"/>
  <c r="C258" i="83"/>
  <c r="B258" i="83"/>
  <c r="K257" i="83"/>
  <c r="F257" i="83"/>
  <c r="C257" i="83"/>
  <c r="B257" i="83"/>
  <c r="K256" i="83"/>
  <c r="F256" i="83"/>
  <c r="C256" i="83"/>
  <c r="B256" i="83"/>
  <c r="K255" i="83"/>
  <c r="F255" i="83"/>
  <c r="C255" i="83"/>
  <c r="B255" i="83"/>
  <c r="K254" i="83"/>
  <c r="F254" i="83"/>
  <c r="C254" i="83"/>
  <c r="B254" i="83"/>
  <c r="K253" i="83"/>
  <c r="F253" i="83"/>
  <c r="C253" i="83"/>
  <c r="B253" i="83"/>
  <c r="K252" i="83"/>
  <c r="F252" i="83"/>
  <c r="C252" i="83"/>
  <c r="B252" i="83"/>
  <c r="K251" i="83"/>
  <c r="F251" i="83"/>
  <c r="C251" i="83"/>
  <c r="B251" i="83"/>
  <c r="K250" i="83"/>
  <c r="F250" i="83"/>
  <c r="C250" i="83"/>
  <c r="B250" i="83"/>
  <c r="K249" i="83"/>
  <c r="F249" i="83"/>
  <c r="C249" i="83"/>
  <c r="B249" i="83"/>
  <c r="K248" i="83"/>
  <c r="F248" i="83"/>
  <c r="C248" i="83"/>
  <c r="B248" i="83"/>
  <c r="K247" i="83"/>
  <c r="F247" i="83"/>
  <c r="C247" i="83"/>
  <c r="B247" i="83"/>
  <c r="K246" i="83"/>
  <c r="F246" i="83"/>
  <c r="C246" i="83"/>
  <c r="B246" i="83"/>
  <c r="K245" i="83"/>
  <c r="F245" i="83"/>
  <c r="C245" i="83"/>
  <c r="B245" i="83"/>
  <c r="K244" i="83"/>
  <c r="F244" i="83"/>
  <c r="C244" i="83"/>
  <c r="B244" i="83"/>
  <c r="K243" i="83"/>
  <c r="F243" i="83"/>
  <c r="C243" i="83"/>
  <c r="B243" i="83"/>
  <c r="K242" i="83"/>
  <c r="F242" i="83"/>
  <c r="C242" i="83"/>
  <c r="B242" i="83"/>
  <c r="K241" i="83"/>
  <c r="F241" i="83"/>
  <c r="C241" i="83"/>
  <c r="B241" i="83"/>
  <c r="K240" i="83"/>
  <c r="F240" i="83"/>
  <c r="C240" i="83"/>
  <c r="B240" i="83"/>
  <c r="K239" i="83"/>
  <c r="F239" i="83"/>
  <c r="C239" i="83"/>
  <c r="B239" i="83"/>
  <c r="K238" i="83"/>
  <c r="F238" i="83"/>
  <c r="C238" i="83"/>
  <c r="B238" i="83"/>
  <c r="K237" i="83"/>
  <c r="F237" i="83"/>
  <c r="C237" i="83"/>
  <c r="B237" i="83"/>
  <c r="K236" i="83"/>
  <c r="F236" i="83"/>
  <c r="C236" i="83"/>
  <c r="B236" i="83"/>
  <c r="K235" i="83"/>
  <c r="F235" i="83"/>
  <c r="C235" i="83"/>
  <c r="B235" i="83"/>
  <c r="K234" i="83"/>
  <c r="F234" i="83"/>
  <c r="C234" i="83"/>
  <c r="B234" i="83"/>
  <c r="K233" i="83"/>
  <c r="F233" i="83"/>
  <c r="C233" i="83"/>
  <c r="B233" i="83"/>
  <c r="K232" i="83"/>
  <c r="F232" i="83"/>
  <c r="C232" i="83"/>
  <c r="B232" i="83"/>
  <c r="K231" i="83"/>
  <c r="F231" i="83"/>
  <c r="C231" i="83"/>
  <c r="B231" i="83"/>
  <c r="K230" i="83"/>
  <c r="F230" i="83"/>
  <c r="C230" i="83"/>
  <c r="B230" i="83"/>
  <c r="K229" i="83"/>
  <c r="F229" i="83"/>
  <c r="C229" i="83"/>
  <c r="B229" i="83"/>
  <c r="K228" i="83"/>
  <c r="F228" i="83"/>
  <c r="C228" i="83"/>
  <c r="B228" i="83"/>
  <c r="K227" i="83"/>
  <c r="F227" i="83"/>
  <c r="C227" i="83"/>
  <c r="B227" i="83"/>
  <c r="K226" i="83"/>
  <c r="F226" i="83"/>
  <c r="C226" i="83"/>
  <c r="B226" i="83"/>
  <c r="K225" i="83"/>
  <c r="F225" i="83"/>
  <c r="C225" i="83"/>
  <c r="B225" i="83"/>
  <c r="K224" i="83"/>
  <c r="F224" i="83"/>
  <c r="C224" i="83"/>
  <c r="B224" i="83"/>
  <c r="K223" i="83"/>
  <c r="F223" i="83"/>
  <c r="C223" i="83"/>
  <c r="B223" i="83"/>
  <c r="K222" i="83"/>
  <c r="F222" i="83"/>
  <c r="C222" i="83"/>
  <c r="B222" i="83"/>
  <c r="K221" i="83"/>
  <c r="F221" i="83"/>
  <c r="C221" i="83"/>
  <c r="B221" i="83"/>
  <c r="K220" i="83"/>
  <c r="F220" i="83"/>
  <c r="C220" i="83"/>
  <c r="B220" i="83"/>
  <c r="K219" i="83"/>
  <c r="F219" i="83"/>
  <c r="C219" i="83"/>
  <c r="B219" i="83"/>
  <c r="K218" i="83"/>
  <c r="F218" i="83"/>
  <c r="C218" i="83"/>
  <c r="B218" i="83"/>
  <c r="K217" i="83"/>
  <c r="F217" i="83"/>
  <c r="C217" i="83"/>
  <c r="B217" i="83"/>
  <c r="K216" i="83"/>
  <c r="F216" i="83"/>
  <c r="C216" i="83"/>
  <c r="B216" i="83"/>
  <c r="K215" i="83"/>
  <c r="F215" i="83"/>
  <c r="C215" i="83"/>
  <c r="B215" i="83"/>
  <c r="K214" i="83"/>
  <c r="F214" i="83"/>
  <c r="C214" i="83"/>
  <c r="B214" i="83"/>
  <c r="K213" i="83"/>
  <c r="F213" i="83"/>
  <c r="C213" i="83"/>
  <c r="B213" i="83"/>
  <c r="K212" i="83"/>
  <c r="F212" i="83"/>
  <c r="C212" i="83"/>
  <c r="B212" i="83"/>
  <c r="K211" i="83"/>
  <c r="F211" i="83"/>
  <c r="C211" i="83"/>
  <c r="B211" i="83"/>
  <c r="K210" i="83"/>
  <c r="F210" i="83"/>
  <c r="C210" i="83"/>
  <c r="B210" i="83"/>
  <c r="K209" i="83"/>
  <c r="F209" i="83"/>
  <c r="C209" i="83"/>
  <c r="B209" i="83"/>
  <c r="K206" i="83"/>
  <c r="F206" i="83"/>
  <c r="C206" i="83"/>
  <c r="B206" i="83"/>
  <c r="K205" i="83"/>
  <c r="F205" i="83"/>
  <c r="C205" i="83"/>
  <c r="B205" i="83"/>
  <c r="K204" i="83"/>
  <c r="F204" i="83"/>
  <c r="C204" i="83"/>
  <c r="B204" i="83"/>
  <c r="K203" i="83"/>
  <c r="F203" i="83"/>
  <c r="C203" i="83"/>
  <c r="B203" i="83"/>
  <c r="K202" i="83"/>
  <c r="F202" i="83"/>
  <c r="C202" i="83"/>
  <c r="B202" i="83"/>
  <c r="K201" i="83"/>
  <c r="F201" i="83"/>
  <c r="C201" i="83"/>
  <c r="B201" i="83"/>
  <c r="K200" i="83"/>
  <c r="F200" i="83"/>
  <c r="C200" i="83"/>
  <c r="B200" i="83"/>
  <c r="K199" i="83"/>
  <c r="F199" i="83"/>
  <c r="C199" i="83"/>
  <c r="B199" i="83"/>
  <c r="K198" i="83"/>
  <c r="F198" i="83"/>
  <c r="C198" i="83"/>
  <c r="B198" i="83"/>
  <c r="K197" i="83"/>
  <c r="F197" i="83"/>
  <c r="C197" i="83"/>
  <c r="B197" i="83"/>
  <c r="K196" i="83"/>
  <c r="F196" i="83"/>
  <c r="C196" i="83"/>
  <c r="B196" i="83"/>
  <c r="K195" i="83"/>
  <c r="F195" i="83"/>
  <c r="C195" i="83"/>
  <c r="B195" i="83"/>
  <c r="K194" i="83"/>
  <c r="F194" i="83"/>
  <c r="C194" i="83"/>
  <c r="B194" i="83"/>
  <c r="K193" i="83"/>
  <c r="F193" i="83"/>
  <c r="C193" i="83"/>
  <c r="B193" i="83"/>
  <c r="K192" i="83"/>
  <c r="F192" i="83"/>
  <c r="C192" i="83"/>
  <c r="B192" i="83"/>
  <c r="K191" i="83"/>
  <c r="F191" i="83"/>
  <c r="C191" i="83"/>
  <c r="B191" i="83"/>
  <c r="K190" i="83"/>
  <c r="F190" i="83"/>
  <c r="C190" i="83"/>
  <c r="B190" i="83"/>
  <c r="K189" i="83"/>
  <c r="F189" i="83"/>
  <c r="C189" i="83"/>
  <c r="B189" i="83"/>
  <c r="K188" i="83"/>
  <c r="F188" i="83"/>
  <c r="C188" i="83"/>
  <c r="B188" i="83"/>
  <c r="K187" i="83"/>
  <c r="F187" i="83"/>
  <c r="C187" i="83"/>
  <c r="B187" i="83"/>
  <c r="K186" i="83"/>
  <c r="F186" i="83"/>
  <c r="C186" i="83"/>
  <c r="B186" i="83"/>
  <c r="K185" i="83"/>
  <c r="F185" i="83"/>
  <c r="C185" i="83"/>
  <c r="B185" i="83"/>
  <c r="K184" i="83"/>
  <c r="F184" i="83"/>
  <c r="C184" i="83"/>
  <c r="B184" i="83"/>
  <c r="K183" i="83"/>
  <c r="F183" i="83"/>
  <c r="C183" i="83"/>
  <c r="B183" i="83"/>
  <c r="K182" i="83"/>
  <c r="F182" i="83"/>
  <c r="C182" i="83"/>
  <c r="B182" i="83"/>
  <c r="K181" i="83"/>
  <c r="F181" i="83"/>
  <c r="C181" i="83"/>
  <c r="B181" i="83"/>
  <c r="K180" i="83"/>
  <c r="F180" i="83"/>
  <c r="C180" i="83"/>
  <c r="B180" i="83"/>
  <c r="K179" i="83"/>
  <c r="F179" i="83"/>
  <c r="C179" i="83"/>
  <c r="B179" i="83"/>
  <c r="K178" i="83"/>
  <c r="F178" i="83"/>
  <c r="C178" i="83"/>
  <c r="B178" i="83"/>
  <c r="K177" i="83"/>
  <c r="F177" i="83"/>
  <c r="C177" i="83"/>
  <c r="B177" i="83"/>
  <c r="K176" i="83"/>
  <c r="F176" i="83"/>
  <c r="C176" i="83"/>
  <c r="B176" i="83"/>
  <c r="K175" i="83"/>
  <c r="F175" i="83"/>
  <c r="C175" i="83"/>
  <c r="B175" i="83"/>
  <c r="K174" i="83"/>
  <c r="F174" i="83"/>
  <c r="C174" i="83"/>
  <c r="B174" i="83"/>
  <c r="K173" i="83"/>
  <c r="F173" i="83"/>
  <c r="C173" i="83"/>
  <c r="B173" i="83"/>
  <c r="K172" i="83"/>
  <c r="F172" i="83"/>
  <c r="C172" i="83"/>
  <c r="B172" i="83"/>
  <c r="K170" i="83"/>
  <c r="F170" i="83"/>
  <c r="C170" i="83"/>
  <c r="B170" i="83"/>
  <c r="K169" i="83"/>
  <c r="F169" i="83"/>
  <c r="C169" i="83"/>
  <c r="B169" i="83"/>
  <c r="K168" i="83"/>
  <c r="F168" i="83"/>
  <c r="C168" i="83"/>
  <c r="B168" i="83"/>
  <c r="K167" i="83"/>
  <c r="F167" i="83"/>
  <c r="C167" i="83"/>
  <c r="B167" i="83"/>
  <c r="K166" i="83"/>
  <c r="F166" i="83"/>
  <c r="C166" i="83"/>
  <c r="B166" i="83"/>
  <c r="K165" i="83"/>
  <c r="F165" i="83"/>
  <c r="C165" i="83"/>
  <c r="B165" i="83"/>
  <c r="K164" i="83"/>
  <c r="F164" i="83"/>
  <c r="C164" i="83"/>
  <c r="B164" i="83"/>
  <c r="K163" i="83"/>
  <c r="F163" i="83"/>
  <c r="C163" i="83"/>
  <c r="B163" i="83"/>
  <c r="K162" i="83"/>
  <c r="F162" i="83"/>
  <c r="C162" i="83"/>
  <c r="B162" i="83"/>
  <c r="K161" i="83"/>
  <c r="F161" i="83"/>
  <c r="C161" i="83"/>
  <c r="B161" i="83"/>
  <c r="K160" i="83"/>
  <c r="F160" i="83"/>
  <c r="C160" i="83"/>
  <c r="B160" i="83"/>
  <c r="K159" i="83"/>
  <c r="F159" i="83"/>
  <c r="C159" i="83"/>
  <c r="B159" i="83"/>
  <c r="K158" i="83"/>
  <c r="F158" i="83"/>
  <c r="C158" i="83"/>
  <c r="B158" i="83"/>
  <c r="F157" i="83"/>
  <c r="K156" i="83"/>
  <c r="F156" i="83"/>
  <c r="C156" i="83"/>
  <c r="B156" i="83"/>
  <c r="K155" i="83"/>
  <c r="F155" i="83"/>
  <c r="C155" i="83"/>
  <c r="B155" i="83"/>
  <c r="K154" i="83"/>
  <c r="F154" i="83"/>
  <c r="C154" i="83"/>
  <c r="B154" i="83"/>
  <c r="K153" i="83"/>
  <c r="F153" i="83"/>
  <c r="C153" i="83"/>
  <c r="B153" i="83"/>
  <c r="K152" i="83"/>
  <c r="F152" i="83"/>
  <c r="C152" i="83"/>
  <c r="B152" i="83"/>
  <c r="K151" i="83"/>
  <c r="F151" i="83"/>
  <c r="C151" i="83"/>
  <c r="B151" i="83"/>
  <c r="K150" i="83"/>
  <c r="F150" i="83"/>
  <c r="C150" i="83"/>
  <c r="B150" i="83"/>
  <c r="K149" i="83"/>
  <c r="F149" i="83"/>
  <c r="C149" i="83"/>
  <c r="B149" i="83"/>
  <c r="K148" i="83"/>
  <c r="F148" i="83"/>
  <c r="C148" i="83"/>
  <c r="B148" i="83"/>
  <c r="K147" i="83"/>
  <c r="F147" i="83"/>
  <c r="C147" i="83"/>
  <c r="B147" i="83"/>
  <c r="K146" i="83"/>
  <c r="F146" i="83"/>
  <c r="C146" i="83"/>
  <c r="B146" i="83"/>
  <c r="K145" i="83"/>
  <c r="F145" i="83"/>
  <c r="C145" i="83"/>
  <c r="B145" i="83"/>
  <c r="K144" i="83"/>
  <c r="F144" i="83"/>
  <c r="C144" i="83"/>
  <c r="B144" i="83"/>
  <c r="K143" i="83"/>
  <c r="F143" i="83"/>
  <c r="C143" i="83"/>
  <c r="B143" i="83"/>
  <c r="K142" i="83"/>
  <c r="F142" i="83"/>
  <c r="C142" i="83"/>
  <c r="B142" i="83"/>
  <c r="K141" i="83"/>
  <c r="F141" i="83"/>
  <c r="C141" i="83"/>
  <c r="B141" i="83"/>
  <c r="K140" i="83"/>
  <c r="F140" i="83"/>
  <c r="C140" i="83"/>
  <c r="B140" i="83"/>
  <c r="K139" i="83"/>
  <c r="F139" i="83"/>
  <c r="C139" i="83"/>
  <c r="B139" i="83"/>
  <c r="K138" i="83"/>
  <c r="F138" i="83"/>
  <c r="C138" i="83"/>
  <c r="B138" i="83"/>
  <c r="K137" i="83"/>
  <c r="F137" i="83"/>
  <c r="C137" i="83"/>
  <c r="B137" i="83"/>
  <c r="K136" i="83"/>
  <c r="F136" i="83"/>
  <c r="C136" i="83"/>
  <c r="B136" i="83"/>
  <c r="K135" i="83"/>
  <c r="F135" i="83"/>
  <c r="C135" i="83"/>
  <c r="B135" i="83"/>
  <c r="K134" i="83"/>
  <c r="F134" i="83"/>
  <c r="C134" i="83"/>
  <c r="B134" i="83"/>
  <c r="N133" i="83"/>
  <c r="K133" i="83"/>
  <c r="F133" i="83"/>
  <c r="C133" i="83"/>
  <c r="B133" i="83"/>
  <c r="N132" i="83"/>
  <c r="M132" i="83"/>
  <c r="L132" i="83"/>
  <c r="K132" i="83"/>
  <c r="F132" i="83"/>
  <c r="C132" i="83"/>
  <c r="B132" i="83"/>
  <c r="N131" i="83"/>
  <c r="M131" i="83"/>
  <c r="K131" i="83"/>
  <c r="F131" i="83"/>
  <c r="C131" i="83"/>
  <c r="B131" i="83"/>
  <c r="N130" i="83"/>
  <c r="M130" i="83"/>
  <c r="K130" i="83"/>
  <c r="F130" i="83"/>
  <c r="C130" i="83"/>
  <c r="B130" i="83"/>
  <c r="N129" i="83"/>
  <c r="M129" i="83"/>
  <c r="K129" i="83"/>
  <c r="F129" i="83"/>
  <c r="C129" i="83"/>
  <c r="B129" i="83"/>
  <c r="N128" i="83"/>
  <c r="M128" i="83"/>
  <c r="L128" i="83"/>
  <c r="K128" i="83"/>
  <c r="F128" i="83"/>
  <c r="C128" i="83"/>
  <c r="B128" i="83"/>
  <c r="K127" i="83"/>
  <c r="F127" i="83"/>
  <c r="C127" i="83"/>
  <c r="B127" i="83"/>
  <c r="K126" i="83"/>
  <c r="F126" i="83"/>
  <c r="C126" i="83"/>
  <c r="B126" i="83"/>
  <c r="K125" i="83"/>
  <c r="F125" i="83"/>
  <c r="C125" i="83"/>
  <c r="B125" i="83"/>
  <c r="K124" i="83"/>
  <c r="F124" i="83"/>
  <c r="C124" i="83"/>
  <c r="B124" i="83"/>
  <c r="K123" i="83"/>
  <c r="F123" i="83"/>
  <c r="C123" i="83"/>
  <c r="B123" i="83"/>
  <c r="K122" i="83"/>
  <c r="F122" i="83"/>
  <c r="C122" i="83"/>
  <c r="B122" i="83"/>
  <c r="K121" i="83"/>
  <c r="F121" i="83"/>
  <c r="C121" i="83"/>
  <c r="B121" i="83"/>
  <c r="K120" i="83"/>
  <c r="F120" i="83"/>
  <c r="C120" i="83"/>
  <c r="B120" i="83"/>
  <c r="K119" i="83"/>
  <c r="F119" i="83"/>
  <c r="C119" i="83"/>
  <c r="B119" i="83"/>
  <c r="K118" i="83"/>
  <c r="F118" i="83"/>
  <c r="C118" i="83"/>
  <c r="B118" i="83"/>
  <c r="K117" i="83"/>
  <c r="F117" i="83"/>
  <c r="C117" i="83"/>
  <c r="B117" i="83"/>
  <c r="K116" i="83"/>
  <c r="F116" i="83"/>
  <c r="C116" i="83"/>
  <c r="B116" i="83"/>
  <c r="K115" i="83"/>
  <c r="F115" i="83"/>
  <c r="C115" i="83"/>
  <c r="B115" i="83"/>
  <c r="K114" i="83"/>
  <c r="F114" i="83"/>
  <c r="C114" i="83"/>
  <c r="B114" i="83"/>
  <c r="K113" i="83"/>
  <c r="F113" i="83"/>
  <c r="C113" i="83"/>
  <c r="B113" i="83"/>
  <c r="K112" i="83"/>
  <c r="F112" i="83"/>
  <c r="C112" i="83"/>
  <c r="B112" i="83"/>
  <c r="K111" i="83"/>
  <c r="F111" i="83"/>
  <c r="C111" i="83"/>
  <c r="B111" i="83"/>
  <c r="K110" i="83"/>
  <c r="F110" i="83"/>
  <c r="C110" i="83"/>
  <c r="B110" i="83"/>
  <c r="K109" i="83"/>
  <c r="F109" i="83"/>
  <c r="C109" i="83"/>
  <c r="B109" i="83"/>
  <c r="K108" i="83"/>
  <c r="F108" i="83"/>
  <c r="C108" i="83"/>
  <c r="B108" i="83"/>
  <c r="K107" i="83"/>
  <c r="F107" i="83"/>
  <c r="C107" i="83"/>
  <c r="B107" i="83"/>
  <c r="K106" i="83"/>
  <c r="F106" i="83"/>
  <c r="C106" i="83"/>
  <c r="B106" i="83"/>
  <c r="K105" i="83"/>
  <c r="F105" i="83"/>
  <c r="C105" i="83"/>
  <c r="B105" i="83"/>
  <c r="K104" i="83"/>
  <c r="F104" i="83"/>
  <c r="C104" i="83"/>
  <c r="B104" i="83"/>
  <c r="K103" i="83"/>
  <c r="F103" i="83"/>
  <c r="C103" i="83"/>
  <c r="B103" i="83"/>
  <c r="K102" i="83"/>
  <c r="F102" i="83"/>
  <c r="C102" i="83"/>
  <c r="B102" i="83"/>
  <c r="K101" i="83"/>
  <c r="F101" i="83"/>
  <c r="C101" i="83"/>
  <c r="B101" i="83"/>
  <c r="K100" i="83"/>
  <c r="F100" i="83"/>
  <c r="C100" i="83"/>
  <c r="B100" i="83"/>
  <c r="K99" i="83"/>
  <c r="F99" i="83"/>
  <c r="C99" i="83"/>
  <c r="B99" i="83"/>
  <c r="K98" i="83"/>
  <c r="F98" i="83"/>
  <c r="C98" i="83"/>
  <c r="B98" i="83"/>
  <c r="K97" i="83"/>
  <c r="F97" i="83"/>
  <c r="C97" i="83"/>
  <c r="B97" i="83"/>
  <c r="K96" i="83"/>
  <c r="F96" i="83"/>
  <c r="C96" i="83"/>
  <c r="B96" i="83"/>
  <c r="K95" i="83"/>
  <c r="F95" i="83"/>
  <c r="C95" i="83"/>
  <c r="B95" i="83"/>
  <c r="K94" i="83"/>
  <c r="F94" i="83"/>
  <c r="C94" i="83"/>
  <c r="B94" i="83"/>
  <c r="K93" i="83"/>
  <c r="F93" i="83"/>
  <c r="C93" i="83"/>
  <c r="B93" i="83"/>
  <c r="K92" i="83"/>
  <c r="F92" i="83"/>
  <c r="C92" i="83"/>
  <c r="B92" i="83"/>
  <c r="F91" i="83"/>
  <c r="C91" i="83"/>
  <c r="B91" i="83"/>
  <c r="K90" i="83"/>
  <c r="F90" i="83"/>
  <c r="C90" i="83"/>
  <c r="B90" i="83"/>
  <c r="K89" i="83"/>
  <c r="F89" i="83"/>
  <c r="C89" i="83"/>
  <c r="B89" i="83"/>
  <c r="K88" i="83"/>
  <c r="F88" i="83"/>
  <c r="C88" i="83"/>
  <c r="B88" i="83"/>
  <c r="K87" i="83"/>
  <c r="F87" i="83"/>
  <c r="C87" i="83"/>
  <c r="B87" i="83"/>
  <c r="K86" i="83"/>
  <c r="F86" i="83"/>
  <c r="C86" i="83"/>
  <c r="B86" i="83"/>
  <c r="K85" i="83"/>
  <c r="F85" i="83"/>
  <c r="C85" i="83"/>
  <c r="B85" i="83"/>
  <c r="K84" i="83"/>
  <c r="F84" i="83"/>
  <c r="C84" i="83"/>
  <c r="B84" i="83"/>
  <c r="K83" i="83"/>
  <c r="F83" i="83"/>
  <c r="C83" i="83"/>
  <c r="B83" i="83"/>
  <c r="K82" i="83"/>
  <c r="F82" i="83"/>
  <c r="C82" i="83"/>
  <c r="B82" i="83"/>
  <c r="K81" i="83"/>
  <c r="F81" i="83"/>
  <c r="C81" i="83"/>
  <c r="B81" i="83"/>
  <c r="K80" i="83"/>
  <c r="F80" i="83"/>
  <c r="C80" i="83"/>
  <c r="B80" i="83"/>
  <c r="K79" i="83"/>
  <c r="F79" i="83"/>
  <c r="C79" i="83"/>
  <c r="B79" i="83"/>
  <c r="K78" i="83"/>
  <c r="F78" i="83"/>
  <c r="C78" i="83"/>
  <c r="B78" i="83"/>
  <c r="K77" i="83"/>
  <c r="F77" i="83"/>
  <c r="C77" i="83"/>
  <c r="B77" i="83"/>
  <c r="K76" i="83"/>
  <c r="F76" i="83"/>
  <c r="C76" i="83"/>
  <c r="B76" i="83"/>
  <c r="K75" i="83"/>
  <c r="F75" i="83"/>
  <c r="C75" i="83"/>
  <c r="B75" i="83"/>
  <c r="K74" i="83"/>
  <c r="F74" i="83"/>
  <c r="C74" i="83"/>
  <c r="B74" i="83"/>
  <c r="K73" i="83"/>
  <c r="F73" i="83"/>
  <c r="C73" i="83"/>
  <c r="B73" i="83"/>
  <c r="K72" i="83"/>
  <c r="F72" i="83"/>
  <c r="C72" i="83"/>
  <c r="B72" i="83"/>
  <c r="K71" i="83"/>
  <c r="F71" i="83"/>
  <c r="C71" i="83"/>
  <c r="B71" i="83"/>
  <c r="K70" i="83"/>
  <c r="F70" i="83"/>
  <c r="C70" i="83"/>
  <c r="B70" i="83"/>
  <c r="K69" i="83"/>
  <c r="F69" i="83"/>
  <c r="C69" i="83"/>
  <c r="B69" i="83"/>
  <c r="K68" i="83"/>
  <c r="F68" i="83"/>
  <c r="C68" i="83"/>
  <c r="B68" i="83"/>
  <c r="K67" i="83"/>
  <c r="F67" i="83"/>
  <c r="C67" i="83"/>
  <c r="B67" i="83"/>
  <c r="K66" i="83"/>
  <c r="F66" i="83"/>
  <c r="C66" i="83"/>
  <c r="B66" i="83"/>
  <c r="K65" i="83"/>
  <c r="F65" i="83"/>
  <c r="C65" i="83"/>
  <c r="B65" i="83"/>
  <c r="K64" i="83"/>
  <c r="F64" i="83"/>
  <c r="C64" i="83"/>
  <c r="B64" i="83"/>
  <c r="K63" i="83"/>
  <c r="F63" i="83"/>
  <c r="C63" i="83"/>
  <c r="B63" i="83"/>
  <c r="K62" i="83"/>
  <c r="F62" i="83"/>
  <c r="C62" i="83"/>
  <c r="B62" i="83"/>
  <c r="K61" i="83"/>
  <c r="F61" i="83"/>
  <c r="C61" i="83"/>
  <c r="B61" i="83"/>
  <c r="K60" i="83"/>
  <c r="F60" i="83"/>
  <c r="C60" i="83"/>
  <c r="B60" i="83"/>
  <c r="K59" i="83"/>
  <c r="F59" i="83"/>
  <c r="C59" i="83"/>
  <c r="B59" i="83"/>
  <c r="K58" i="83"/>
  <c r="F58" i="83"/>
  <c r="C58" i="83"/>
  <c r="B58" i="83"/>
  <c r="K57" i="83"/>
  <c r="F57" i="83"/>
  <c r="C57" i="83"/>
  <c r="B57" i="83"/>
  <c r="K56" i="83"/>
  <c r="F56" i="83"/>
  <c r="C56" i="83"/>
  <c r="B56" i="83"/>
  <c r="K55" i="83"/>
  <c r="F55" i="83"/>
  <c r="C55" i="83"/>
  <c r="B55" i="83"/>
  <c r="K54" i="83"/>
  <c r="F54" i="83"/>
  <c r="C54" i="83"/>
  <c r="B54" i="83"/>
  <c r="K53" i="83"/>
  <c r="F53" i="83"/>
  <c r="C53" i="83"/>
  <c r="B53" i="83"/>
  <c r="K52" i="83"/>
  <c r="F52" i="83"/>
  <c r="C52" i="83"/>
  <c r="B52" i="83"/>
  <c r="K51" i="83"/>
  <c r="F51" i="83"/>
  <c r="C51" i="83"/>
  <c r="B51" i="83"/>
  <c r="K50" i="83"/>
  <c r="F50" i="83"/>
  <c r="C50" i="83"/>
  <c r="B50" i="83"/>
  <c r="K49" i="83"/>
  <c r="F49" i="83"/>
  <c r="C49" i="83"/>
  <c r="B49" i="83"/>
  <c r="K48" i="83"/>
  <c r="F48" i="83"/>
  <c r="C48" i="83"/>
  <c r="B48" i="83"/>
  <c r="K47" i="83"/>
  <c r="F47" i="83"/>
  <c r="C47" i="83"/>
  <c r="B47" i="83"/>
  <c r="K46" i="83"/>
  <c r="F46" i="83"/>
  <c r="C46" i="83"/>
  <c r="B46" i="83"/>
  <c r="K45" i="83"/>
  <c r="F45" i="83"/>
  <c r="C45" i="83"/>
  <c r="B45" i="83"/>
  <c r="K44" i="83"/>
  <c r="F44" i="83"/>
  <c r="C44" i="83"/>
  <c r="B44" i="83"/>
  <c r="K43" i="83"/>
  <c r="F43" i="83"/>
  <c r="C43" i="83"/>
  <c r="B43" i="83"/>
  <c r="K42" i="83"/>
  <c r="F42" i="83"/>
  <c r="C42" i="83"/>
  <c r="B42" i="83"/>
  <c r="K41" i="83"/>
  <c r="F41" i="83"/>
  <c r="C41" i="83"/>
  <c r="B41" i="83"/>
  <c r="K40" i="83"/>
  <c r="F40" i="83"/>
  <c r="C40" i="83"/>
  <c r="B40" i="83"/>
  <c r="K39" i="83"/>
  <c r="F39" i="83"/>
  <c r="C39" i="83"/>
  <c r="B39" i="83"/>
  <c r="K38" i="83"/>
  <c r="F38" i="83"/>
  <c r="C38" i="83"/>
  <c r="B38" i="83"/>
  <c r="K37" i="83"/>
  <c r="F37" i="83"/>
  <c r="C37" i="83"/>
  <c r="B37" i="83"/>
  <c r="K36" i="83"/>
  <c r="F36" i="83"/>
  <c r="C36" i="83"/>
  <c r="B36" i="83"/>
  <c r="K35" i="83"/>
  <c r="F35" i="83"/>
  <c r="C35" i="83"/>
  <c r="B35" i="83"/>
  <c r="K34" i="83"/>
  <c r="F34" i="83"/>
  <c r="C34" i="83"/>
  <c r="B34" i="83"/>
  <c r="K33" i="83"/>
  <c r="F33" i="83"/>
  <c r="C33" i="83"/>
  <c r="B33" i="83"/>
  <c r="K32" i="83"/>
  <c r="F32" i="83"/>
  <c r="C32" i="83"/>
  <c r="B32" i="83"/>
  <c r="K31" i="83"/>
  <c r="F31" i="83"/>
  <c r="C31" i="83"/>
  <c r="B31" i="83"/>
  <c r="K30" i="83"/>
  <c r="F30" i="83"/>
  <c r="C30" i="83"/>
  <c r="B30" i="83"/>
  <c r="K29" i="83"/>
  <c r="F29" i="83"/>
  <c r="C29" i="83"/>
  <c r="B29" i="83"/>
  <c r="K28" i="83"/>
  <c r="F28" i="83"/>
  <c r="C28" i="83"/>
  <c r="B28" i="83"/>
  <c r="K27" i="83"/>
  <c r="F27" i="83"/>
  <c r="C27" i="83"/>
  <c r="B27" i="83"/>
  <c r="K26" i="83"/>
  <c r="F26" i="83"/>
  <c r="C26" i="83"/>
  <c r="B26" i="83"/>
  <c r="K25" i="83"/>
  <c r="F25" i="83"/>
  <c r="C25" i="83"/>
  <c r="B25" i="83"/>
  <c r="K24" i="83"/>
  <c r="F24" i="83"/>
  <c r="C24" i="83"/>
  <c r="B24" i="83"/>
  <c r="K23" i="83"/>
  <c r="F23" i="83"/>
  <c r="C23" i="83"/>
  <c r="B23" i="83"/>
  <c r="K22" i="83"/>
  <c r="F22" i="83"/>
  <c r="C22" i="83"/>
  <c r="B22" i="83"/>
  <c r="K21" i="83"/>
  <c r="F21" i="83"/>
  <c r="C21" i="83"/>
  <c r="B21" i="83"/>
  <c r="K20" i="83"/>
  <c r="F20" i="83"/>
  <c r="C20" i="83"/>
  <c r="B20" i="83"/>
  <c r="K19" i="83"/>
  <c r="F19" i="83"/>
  <c r="C19" i="83"/>
  <c r="B19" i="83"/>
  <c r="K18" i="83"/>
  <c r="F18" i="83"/>
  <c r="C18" i="83"/>
  <c r="B18" i="83"/>
  <c r="K17" i="83"/>
  <c r="F17" i="83"/>
  <c r="C17" i="83"/>
  <c r="B17" i="83"/>
  <c r="K16" i="83"/>
  <c r="F16" i="83"/>
  <c r="C16" i="83"/>
  <c r="B16" i="83"/>
  <c r="K15" i="83"/>
  <c r="F15" i="83"/>
  <c r="C15" i="83"/>
  <c r="B15" i="83"/>
  <c r="K14" i="83"/>
  <c r="F14" i="83"/>
  <c r="C14" i="83"/>
  <c r="B14" i="83"/>
  <c r="K13" i="83"/>
  <c r="F13" i="83"/>
  <c r="C13" i="83"/>
  <c r="B13" i="83"/>
  <c r="K12" i="83"/>
  <c r="F12" i="83"/>
  <c r="C12" i="83"/>
  <c r="B12" i="83"/>
  <c r="K11" i="83"/>
  <c r="F11" i="83"/>
  <c r="C11" i="83"/>
  <c r="B11" i="83"/>
  <c r="K10" i="83"/>
  <c r="F10" i="83"/>
  <c r="C10" i="83"/>
  <c r="B10" i="83"/>
  <c r="K9" i="83"/>
  <c r="F9" i="83"/>
  <c r="C9" i="83"/>
  <c r="B9" i="83"/>
  <c r="K8" i="83"/>
  <c r="F8" i="83"/>
  <c r="C8" i="83"/>
  <c r="B8" i="83"/>
  <c r="K7" i="83"/>
  <c r="F7" i="83"/>
  <c r="C7" i="83"/>
  <c r="B7" i="83"/>
  <c r="K6" i="83"/>
  <c r="F6" i="83"/>
  <c r="C6" i="83"/>
  <c r="B6" i="83"/>
  <c r="K5" i="83"/>
  <c r="F5" i="83"/>
  <c r="C5" i="83"/>
  <c r="B5" i="83"/>
  <c r="K4" i="83"/>
  <c r="F4" i="83"/>
  <c r="C4" i="83"/>
  <c r="B4" i="83"/>
  <c r="F3" i="83"/>
  <c r="C3" i="83"/>
  <c r="B3" i="83"/>
  <c r="P105" i="82"/>
  <c r="P100" i="82"/>
  <c r="P9" i="82"/>
  <c r="P256" i="82" s="1"/>
  <c r="S5" i="81"/>
  <c r="AQ116" i="84" l="1"/>
  <c r="AP85" i="84"/>
  <c r="AQ85" i="84" s="1"/>
  <c r="AQ214" i="84"/>
  <c r="AQ181" i="84"/>
  <c r="AP30" i="84"/>
  <c r="AP13" i="84"/>
  <c r="AP21" i="84"/>
  <c r="AP69" i="84"/>
  <c r="AQ69" i="84" s="1"/>
  <c r="AP103" i="84"/>
  <c r="AP226" i="84"/>
  <c r="AP241" i="84"/>
  <c r="AQ241" i="84" s="1"/>
  <c r="AP14" i="84"/>
  <c r="AQ14" i="84" s="1"/>
  <c r="AP15" i="84"/>
  <c r="AQ15" i="84" s="1"/>
  <c r="AP16" i="84"/>
  <c r="AP17" i="84"/>
  <c r="AP32" i="84"/>
  <c r="AP95" i="84"/>
  <c r="AQ95" i="84" s="1"/>
  <c r="AP114" i="84"/>
  <c r="AP121" i="84"/>
  <c r="AQ121" i="84" s="1"/>
  <c r="AP150" i="84"/>
  <c r="AQ150" i="84" s="1"/>
  <c r="AP158" i="84"/>
  <c r="AQ158" i="84" s="1"/>
  <c r="AP182" i="84"/>
  <c r="AQ182" i="84" s="1"/>
  <c r="AP210" i="84"/>
  <c r="AQ210" i="84" s="1"/>
  <c r="AP227" i="84"/>
  <c r="AQ227" i="84" s="1"/>
  <c r="AP228" i="84"/>
  <c r="AP229" i="84"/>
  <c r="AQ230" i="84"/>
  <c r="AQ29" i="84"/>
  <c r="AP99" i="84"/>
  <c r="AQ99" i="84" s="1"/>
  <c r="AP233" i="84"/>
  <c r="AP207" i="84"/>
  <c r="AQ207" i="84" s="1"/>
  <c r="AQ220" i="84"/>
  <c r="AP234" i="84"/>
  <c r="AQ234" i="84" s="1"/>
  <c r="AP235" i="84"/>
  <c r="AQ235" i="84" s="1"/>
  <c r="AP48" i="84"/>
  <c r="AQ48" i="84" s="1"/>
  <c r="AP131" i="84"/>
  <c r="AQ131" i="84" s="1"/>
  <c r="AP52" i="84"/>
  <c r="AQ52" i="84" s="1"/>
  <c r="AP219" i="84"/>
  <c r="AP237" i="84"/>
  <c r="AQ237" i="84" s="1"/>
  <c r="AP238" i="84"/>
  <c r="AQ238" i="84" s="1"/>
  <c r="AP239" i="84"/>
  <c r="AQ239" i="84" s="1"/>
  <c r="AP240" i="84"/>
  <c r="AQ240" i="84" s="1"/>
  <c r="AP28" i="84"/>
  <c r="AP55" i="84"/>
  <c r="AQ55" i="84" s="1"/>
  <c r="AP63" i="84"/>
  <c r="AQ63" i="84" s="1"/>
  <c r="AP96" i="84"/>
  <c r="AQ96" i="84" s="1"/>
  <c r="AP5" i="84"/>
  <c r="AQ5" i="84" s="1"/>
  <c r="AP179" i="84"/>
  <c r="AQ179" i="84" s="1"/>
  <c r="AP192" i="84"/>
  <c r="AQ36" i="84"/>
  <c r="AQ83" i="84"/>
  <c r="AQ141" i="84"/>
  <c r="AP66" i="84"/>
  <c r="AQ66" i="84" s="1"/>
  <c r="AP7" i="84"/>
  <c r="AQ7" i="84" s="1"/>
  <c r="AQ22" i="84"/>
  <c r="AP25" i="84"/>
  <c r="AQ25" i="84" s="1"/>
  <c r="AQ33" i="84"/>
  <c r="AQ159" i="84"/>
  <c r="AQ177" i="84"/>
  <c r="AP11" i="84"/>
  <c r="AQ11" i="84" s="1"/>
  <c r="AP152" i="84"/>
  <c r="AQ152" i="84" s="1"/>
  <c r="AP26" i="84"/>
  <c r="AQ34" i="84"/>
  <c r="AP35" i="84"/>
  <c r="AQ35" i="84" s="1"/>
  <c r="AP40" i="84"/>
  <c r="AQ40" i="84" s="1"/>
  <c r="AP100" i="84"/>
  <c r="AQ100" i="84" s="1"/>
  <c r="AP168" i="84"/>
  <c r="AQ168" i="84" s="1"/>
  <c r="AQ21" i="84"/>
  <c r="AQ222" i="84"/>
  <c r="AQ231" i="84"/>
  <c r="AQ232" i="84"/>
  <c r="AQ250" i="84"/>
  <c r="AQ53" i="84"/>
  <c r="AQ70" i="84"/>
  <c r="AQ101" i="84"/>
  <c r="AP129" i="84"/>
  <c r="AQ129" i="84" s="1"/>
  <c r="AP142" i="84"/>
  <c r="AQ142" i="84" s="1"/>
  <c r="AP160" i="84"/>
  <c r="AQ160" i="84" s="1"/>
  <c r="AP171" i="84"/>
  <c r="AQ171" i="84" s="1"/>
  <c r="AP200" i="84"/>
  <c r="AQ200" i="84" s="1"/>
  <c r="AQ233" i="84"/>
  <c r="AP212" i="84"/>
  <c r="AQ212" i="84" s="1"/>
  <c r="AQ224" i="84"/>
  <c r="AP223" i="84"/>
  <c r="AQ223" i="84" s="1"/>
  <c r="AP236" i="84"/>
  <c r="AQ236" i="84" s="1"/>
  <c r="AQ113" i="84"/>
  <c r="AQ44" i="84"/>
  <c r="AQ65" i="84"/>
  <c r="AQ84" i="84"/>
  <c r="AQ90" i="84"/>
  <c r="AQ103" i="84"/>
  <c r="AQ114" i="84"/>
  <c r="AP178" i="84"/>
  <c r="AQ178" i="84" s="1"/>
  <c r="AQ206" i="84"/>
  <c r="AQ225" i="84"/>
  <c r="AQ192" i="84"/>
  <c r="AQ24" i="84"/>
  <c r="AQ30" i="84"/>
  <c r="AQ183" i="84"/>
  <c r="AP78" i="84"/>
  <c r="AQ78" i="84" s="1"/>
  <c r="AP91" i="84"/>
  <c r="AQ91" i="84" s="1"/>
  <c r="AP115" i="84"/>
  <c r="AQ115" i="84" s="1"/>
  <c r="AP184" i="84"/>
  <c r="AQ184" i="84" s="1"/>
  <c r="AP189" i="84"/>
  <c r="AQ189" i="84" s="1"/>
  <c r="AP196" i="84"/>
  <c r="AQ196" i="84" s="1"/>
  <c r="AP197" i="84"/>
  <c r="AQ197" i="84" s="1"/>
  <c r="AQ17" i="84"/>
  <c r="AP60" i="84"/>
  <c r="AQ60" i="84" s="1"/>
  <c r="AP19" i="84"/>
  <c r="AQ19" i="84" s="1"/>
  <c r="AP45" i="84"/>
  <c r="AQ45" i="84" s="1"/>
  <c r="AP72" i="84"/>
  <c r="AQ72" i="84" s="1"/>
  <c r="AP79" i="84"/>
  <c r="AQ79" i="84" s="1"/>
  <c r="AQ87" i="84"/>
  <c r="AP104" i="84"/>
  <c r="AQ104" i="84" s="1"/>
  <c r="AP110" i="84"/>
  <c r="AQ110" i="84" s="1"/>
  <c r="AQ117" i="84"/>
  <c r="AP120" i="84"/>
  <c r="AQ120" i="84" s="1"/>
  <c r="AP132" i="84"/>
  <c r="AQ132" i="84" s="1"/>
  <c r="AP155" i="84"/>
  <c r="AQ155" i="84" s="1"/>
  <c r="AP162" i="84"/>
  <c r="AQ162" i="84" s="1"/>
  <c r="AQ164" i="84"/>
  <c r="AQ191" i="84"/>
  <c r="AP195" i="84"/>
  <c r="AQ195" i="84" s="1"/>
  <c r="AQ199" i="84"/>
  <c r="AQ219" i="84"/>
  <c r="AP242" i="84"/>
  <c r="AQ242" i="84" s="1"/>
  <c r="AP244" i="84"/>
  <c r="AQ244" i="84" s="1"/>
  <c r="AQ89" i="84"/>
  <c r="AQ16" i="84"/>
  <c r="AP18" i="84"/>
  <c r="AQ18" i="84" s="1"/>
  <c r="AP6" i="84"/>
  <c r="AQ6" i="84" s="1"/>
  <c r="AP9" i="84"/>
  <c r="AQ32" i="84"/>
  <c r="AP50" i="84"/>
  <c r="AQ50" i="84" s="1"/>
  <c r="AP61" i="84"/>
  <c r="AQ61" i="84" s="1"/>
  <c r="AQ26" i="84"/>
  <c r="AP31" i="84"/>
  <c r="AQ31" i="84" s="1"/>
  <c r="AP73" i="84"/>
  <c r="AQ73" i="84" s="1"/>
  <c r="AP92" i="84"/>
  <c r="AQ92" i="84" s="1"/>
  <c r="AP98" i="84"/>
  <c r="AQ98" i="84" s="1"/>
  <c r="AQ133" i="84"/>
  <c r="AQ138" i="84"/>
  <c r="AQ226" i="84"/>
  <c r="AQ245" i="84"/>
  <c r="AQ13" i="84"/>
  <c r="AQ88" i="84"/>
  <c r="AP80" i="84"/>
  <c r="AQ80" i="84" s="1"/>
  <c r="AP105" i="84"/>
  <c r="AQ105" i="84" s="1"/>
  <c r="AP156" i="84"/>
  <c r="AP157" i="84"/>
  <c r="AQ157" i="84" s="1"/>
  <c r="AP163" i="84"/>
  <c r="AQ163" i="84" s="1"/>
  <c r="AP174" i="84"/>
  <c r="AQ174" i="84" s="1"/>
  <c r="AP180" i="84"/>
  <c r="AQ180" i="84" s="1"/>
  <c r="AQ246" i="84"/>
  <c r="AQ124" i="84"/>
  <c r="AQ108" i="84"/>
  <c r="AP39" i="84"/>
  <c r="AQ39" i="84" s="1"/>
  <c r="AP56" i="84"/>
  <c r="AQ56" i="84" s="1"/>
  <c r="AP67" i="84"/>
  <c r="AQ67" i="84" s="1"/>
  <c r="AP139" i="84"/>
  <c r="AQ139" i="84" s="1"/>
  <c r="AP146" i="84"/>
  <c r="AQ146" i="84" s="1"/>
  <c r="AP41" i="84"/>
  <c r="AQ41" i="84" s="1"/>
  <c r="AP74" i="84"/>
  <c r="AQ74" i="84" s="1"/>
  <c r="AP93" i="84"/>
  <c r="AQ93" i="84" s="1"/>
  <c r="AP106" i="84"/>
  <c r="AQ106" i="84" s="1"/>
  <c r="AP122" i="84"/>
  <c r="AQ122" i="84" s="1"/>
  <c r="AP134" i="84"/>
  <c r="AQ134" i="84" s="1"/>
  <c r="AP148" i="84"/>
  <c r="AQ148" i="84" s="1"/>
  <c r="AP169" i="84"/>
  <c r="AQ169" i="84" s="1"/>
  <c r="AQ203" i="84"/>
  <c r="AQ209" i="84"/>
  <c r="AQ228" i="84"/>
  <c r="AQ229" i="84"/>
  <c r="AQ247" i="84"/>
  <c r="AQ165" i="84"/>
  <c r="AQ193" i="84"/>
  <c r="AP51" i="84"/>
  <c r="AQ51" i="84" s="1"/>
  <c r="AP86" i="84"/>
  <c r="AQ86" i="84" s="1"/>
  <c r="AP8" i="84"/>
  <c r="AQ8" i="84" s="1"/>
  <c r="AQ28" i="84"/>
  <c r="AP57" i="84"/>
  <c r="AQ57" i="84" s="1"/>
  <c r="AP68" i="84"/>
  <c r="AQ68" i="84" s="1"/>
  <c r="AP75" i="84"/>
  <c r="AQ75" i="84" s="1"/>
  <c r="AP81" i="84"/>
  <c r="AQ81" i="84" s="1"/>
  <c r="AP94" i="84"/>
  <c r="AQ94" i="84" s="1"/>
  <c r="AP128" i="84"/>
  <c r="AQ128" i="84" s="1"/>
  <c r="AP140" i="84"/>
  <c r="AQ140" i="84" s="1"/>
  <c r="AP149" i="84"/>
  <c r="AQ149" i="84" s="1"/>
  <c r="AQ175" i="84"/>
  <c r="AQ248" i="84"/>
  <c r="AQ4" i="84"/>
  <c r="AQ12" i="84"/>
  <c r="AQ37" i="84"/>
  <c r="AQ215" i="84"/>
  <c r="AP38" i="84"/>
  <c r="AQ38" i="84" s="1"/>
  <c r="AQ147" i="84"/>
  <c r="AQ9" i="84"/>
  <c r="AP153" i="84"/>
  <c r="AQ153" i="84" s="1"/>
  <c r="AQ154" i="84"/>
  <c r="AQ221" i="84"/>
  <c r="AP243" i="84"/>
  <c r="AQ243" i="84" s="1"/>
  <c r="AQ10" i="84"/>
  <c r="AQ156" i="84"/>
  <c r="BA249" i="81"/>
  <c r="AO249" i="81"/>
  <c r="AN249" i="81"/>
  <c r="AM249" i="81"/>
  <c r="AL249" i="81"/>
  <c r="AK249" i="81"/>
  <c r="AJ249" i="81"/>
  <c r="AB249" i="81"/>
  <c r="S249" i="81"/>
  <c r="W249" i="81" s="1"/>
  <c r="AP249" i="81" s="1"/>
  <c r="K249" i="81"/>
  <c r="BA248" i="81"/>
  <c r="AO248" i="81"/>
  <c r="AN248" i="81"/>
  <c r="AM248" i="81"/>
  <c r="AL248" i="81"/>
  <c r="AK248" i="81"/>
  <c r="AJ248" i="81"/>
  <c r="AB248" i="81"/>
  <c r="S248" i="81"/>
  <c r="W248" i="81" s="1"/>
  <c r="AP248" i="81" s="1"/>
  <c r="K248" i="81"/>
  <c r="AO247" i="81"/>
  <c r="AN247" i="81"/>
  <c r="AP247" i="81" s="1"/>
  <c r="AQ247" i="81" s="1"/>
  <c r="AM247" i="81"/>
  <c r="AL247" i="81"/>
  <c r="AK247" i="81"/>
  <c r="S247" i="81"/>
  <c r="BA246" i="81"/>
  <c r="AO246" i="81" s="1"/>
  <c r="AN246" i="81"/>
  <c r="AM246" i="81"/>
  <c r="AL246" i="81"/>
  <c r="AK246" i="81"/>
  <c r="AJ246" i="81"/>
  <c r="AB246" i="81"/>
  <c r="S246" i="81"/>
  <c r="W246" i="81" s="1"/>
  <c r="AP246" i="81" s="1"/>
  <c r="AQ246" i="81" s="1"/>
  <c r="K246" i="81"/>
  <c r="BA245" i="81"/>
  <c r="AO245" i="81" s="1"/>
  <c r="AN245" i="81"/>
  <c r="AM245" i="81"/>
  <c r="AL245" i="81"/>
  <c r="AK245" i="81"/>
  <c r="AJ245" i="81"/>
  <c r="AB245" i="81"/>
  <c r="S245" i="81"/>
  <c r="W245" i="81" s="1"/>
  <c r="AP245" i="81" s="1"/>
  <c r="K245" i="81"/>
  <c r="BA244" i="81"/>
  <c r="AO244" i="81"/>
  <c r="AN244" i="81"/>
  <c r="AM244" i="81"/>
  <c r="AL244" i="81"/>
  <c r="AK244" i="81"/>
  <c r="AJ244" i="81"/>
  <c r="AB244" i="81"/>
  <c r="S244" i="81"/>
  <c r="W244" i="81" s="1"/>
  <c r="AP244" i="81" s="1"/>
  <c r="K244" i="81"/>
  <c r="BA243" i="81"/>
  <c r="AO243" i="81" s="1"/>
  <c r="AN243" i="81"/>
  <c r="AM243" i="81"/>
  <c r="AL243" i="81"/>
  <c r="AK243" i="81"/>
  <c r="AJ243" i="81"/>
  <c r="AB243" i="81"/>
  <c r="W243" i="81"/>
  <c r="AP243" i="81" s="1"/>
  <c r="S243" i="81"/>
  <c r="K243" i="81"/>
  <c r="AO242" i="81"/>
  <c r="AN242" i="81"/>
  <c r="AM242" i="81"/>
  <c r="AL242" i="81"/>
  <c r="AK242" i="81"/>
  <c r="AJ242" i="81"/>
  <c r="AB242" i="81"/>
  <c r="S242" i="81"/>
  <c r="W242" i="81" s="1"/>
  <c r="AP242" i="81" s="1"/>
  <c r="K242" i="81"/>
  <c r="BA241" i="81"/>
  <c r="AO241" i="81" s="1"/>
  <c r="AN241" i="81"/>
  <c r="AM241" i="81"/>
  <c r="AL241" i="81"/>
  <c r="AK241" i="81"/>
  <c r="AJ241" i="81"/>
  <c r="AB241" i="81"/>
  <c r="S241" i="81"/>
  <c r="W241" i="81" s="1"/>
  <c r="AP241" i="81" s="1"/>
  <c r="AQ241" i="81" s="1"/>
  <c r="K241" i="81"/>
  <c r="BA240" i="81"/>
  <c r="AO240" i="81" s="1"/>
  <c r="AN240" i="81"/>
  <c r="AM240" i="81"/>
  <c r="AL240" i="81"/>
  <c r="AK240" i="81"/>
  <c r="AJ240" i="81"/>
  <c r="AB240" i="81"/>
  <c r="W240" i="81"/>
  <c r="S240" i="81"/>
  <c r="K240" i="81"/>
  <c r="BA239" i="81"/>
  <c r="AO239" i="81" s="1"/>
  <c r="AN239" i="81"/>
  <c r="AM239" i="81"/>
  <c r="AL239" i="81"/>
  <c r="AK239" i="81"/>
  <c r="AJ239" i="81"/>
  <c r="AB239" i="81"/>
  <c r="S239" i="81"/>
  <c r="W239" i="81" s="1"/>
  <c r="K239" i="81"/>
  <c r="BA238" i="81"/>
  <c r="AO238" i="81"/>
  <c r="AN238" i="81"/>
  <c r="AM238" i="81"/>
  <c r="AL238" i="81"/>
  <c r="AK238" i="81"/>
  <c r="AJ238" i="81"/>
  <c r="AB238" i="81"/>
  <c r="W238" i="81"/>
  <c r="AP238" i="81" s="1"/>
  <c r="S238" i="81"/>
  <c r="K238" i="81"/>
  <c r="AO237" i="81"/>
  <c r="AN237" i="81"/>
  <c r="AM237" i="81"/>
  <c r="AL237" i="81"/>
  <c r="AK237" i="81"/>
  <c r="AJ237" i="81"/>
  <c r="AB237" i="81"/>
  <c r="S237" i="81"/>
  <c r="W237" i="81" s="1"/>
  <c r="AP237" i="81" s="1"/>
  <c r="K237" i="81"/>
  <c r="BA236" i="81"/>
  <c r="AO236" i="81"/>
  <c r="AN236" i="81"/>
  <c r="AM236" i="81"/>
  <c r="AL236" i="81"/>
  <c r="AK236" i="81"/>
  <c r="AJ236" i="81"/>
  <c r="AB236" i="81"/>
  <c r="W236" i="81"/>
  <c r="AP236" i="81" s="1"/>
  <c r="S236" i="81"/>
  <c r="K236" i="81"/>
  <c r="BA235" i="81"/>
  <c r="AO235" i="81" s="1"/>
  <c r="AN235" i="81"/>
  <c r="AM235" i="81"/>
  <c r="AL235" i="81"/>
  <c r="AK235" i="81"/>
  <c r="AJ235" i="81"/>
  <c r="AB235" i="81"/>
  <c r="S235" i="81"/>
  <c r="W235" i="81" s="1"/>
  <c r="AP235" i="81" s="1"/>
  <c r="K235" i="81"/>
  <c r="BA234" i="81"/>
  <c r="AO234" i="81"/>
  <c r="AN234" i="81"/>
  <c r="AM234" i="81"/>
  <c r="AL234" i="81"/>
  <c r="AK234" i="81"/>
  <c r="AJ234" i="81"/>
  <c r="AB234" i="81"/>
  <c r="S234" i="81"/>
  <c r="W234" i="81" s="1"/>
  <c r="K234" i="81"/>
  <c r="BA233" i="81"/>
  <c r="AO233" i="81" s="1"/>
  <c r="AN233" i="81"/>
  <c r="AM233" i="81"/>
  <c r="AL233" i="81"/>
  <c r="AK233" i="81"/>
  <c r="AJ233" i="81"/>
  <c r="AB233" i="81"/>
  <c r="S233" i="81"/>
  <c r="W233" i="81" s="1"/>
  <c r="AP233" i="81" s="1"/>
  <c r="K233" i="81"/>
  <c r="BA232" i="81"/>
  <c r="AO232" i="81"/>
  <c r="AN232" i="81"/>
  <c r="AM232" i="81"/>
  <c r="AL232" i="81"/>
  <c r="AK232" i="81"/>
  <c r="AJ232" i="81"/>
  <c r="AB232" i="81"/>
  <c r="W232" i="81"/>
  <c r="S232" i="81"/>
  <c r="K232" i="81"/>
  <c r="BA231" i="81"/>
  <c r="AO231" i="81" s="1"/>
  <c r="AN231" i="81"/>
  <c r="AM231" i="81"/>
  <c r="AL231" i="81"/>
  <c r="AK231" i="81"/>
  <c r="AJ231" i="81"/>
  <c r="AB231" i="81"/>
  <c r="S231" i="81"/>
  <c r="W231" i="81" s="1"/>
  <c r="K231" i="81"/>
  <c r="BA230" i="81"/>
  <c r="AO230" i="81" s="1"/>
  <c r="AN230" i="81"/>
  <c r="AM230" i="81"/>
  <c r="AL230" i="81"/>
  <c r="AK230" i="81"/>
  <c r="AJ230" i="81"/>
  <c r="AB230" i="81"/>
  <c r="S230" i="81"/>
  <c r="W230" i="81" s="1"/>
  <c r="AP230" i="81" s="1"/>
  <c r="K230" i="81"/>
  <c r="BA229" i="81"/>
  <c r="AO229" i="81"/>
  <c r="AN229" i="81"/>
  <c r="AM229" i="81"/>
  <c r="AL229" i="81"/>
  <c r="AK229" i="81"/>
  <c r="AJ229" i="81"/>
  <c r="AB229" i="81"/>
  <c r="W229" i="81"/>
  <c r="AP229" i="81" s="1"/>
  <c r="S229" i="81"/>
  <c r="K229" i="81"/>
  <c r="BA228" i="81"/>
  <c r="AO228" i="81" s="1"/>
  <c r="AN228" i="81"/>
  <c r="AM228" i="81"/>
  <c r="AL228" i="81"/>
  <c r="AK228" i="81"/>
  <c r="AJ228" i="81"/>
  <c r="AB228" i="81"/>
  <c r="W228" i="81"/>
  <c r="AP228" i="81" s="1"/>
  <c r="AQ228" i="81" s="1"/>
  <c r="S228" i="81"/>
  <c r="K228" i="81"/>
  <c r="BA227" i="81"/>
  <c r="AO227" i="81" s="1"/>
  <c r="AN227" i="81"/>
  <c r="AM227" i="81"/>
  <c r="AL227" i="81"/>
  <c r="AK227" i="81"/>
  <c r="AJ227" i="81"/>
  <c r="AB227" i="81"/>
  <c r="S227" i="81"/>
  <c r="W227" i="81" s="1"/>
  <c r="K227" i="81"/>
  <c r="BA226" i="81"/>
  <c r="AO226" i="81" s="1"/>
  <c r="AN226" i="81"/>
  <c r="AM226" i="81"/>
  <c r="AL226" i="81"/>
  <c r="AK226" i="81"/>
  <c r="AJ226" i="81"/>
  <c r="AB226" i="81"/>
  <c r="S226" i="81"/>
  <c r="W226" i="81" s="1"/>
  <c r="K226" i="81"/>
  <c r="AO225" i="81"/>
  <c r="AN225" i="81"/>
  <c r="AP225" i="81" s="1"/>
  <c r="AQ225" i="81" s="1"/>
  <c r="AM225" i="81"/>
  <c r="AL225" i="81"/>
  <c r="AK225" i="81"/>
  <c r="S225" i="81"/>
  <c r="AO224" i="81"/>
  <c r="AN224" i="81"/>
  <c r="AP224" i="81" s="1"/>
  <c r="AQ224" i="81" s="1"/>
  <c r="AM224" i="81"/>
  <c r="AL224" i="81"/>
  <c r="AK224" i="81"/>
  <c r="S224" i="81"/>
  <c r="BA223" i="81"/>
  <c r="AO223" i="81"/>
  <c r="AN223" i="81"/>
  <c r="AP223" i="81" s="1"/>
  <c r="AQ223" i="81" s="1"/>
  <c r="AM223" i="81"/>
  <c r="AL223" i="81"/>
  <c r="AK223" i="81"/>
  <c r="S223" i="81"/>
  <c r="BA222" i="81"/>
  <c r="AO222" i="81"/>
  <c r="AN222" i="81"/>
  <c r="AP222" i="81" s="1"/>
  <c r="AQ222" i="81" s="1"/>
  <c r="AM222" i="81"/>
  <c r="AL222" i="81"/>
  <c r="AK222" i="81"/>
  <c r="S222" i="81"/>
  <c r="BA221" i="81"/>
  <c r="AO221" i="81" s="1"/>
  <c r="AN221" i="81"/>
  <c r="AP221" i="81" s="1"/>
  <c r="AQ221" i="81" s="1"/>
  <c r="AM221" i="81"/>
  <c r="AL221" i="81"/>
  <c r="AK221" i="81"/>
  <c r="S221" i="81"/>
  <c r="BA220" i="81"/>
  <c r="AO220" i="81"/>
  <c r="AN220" i="81"/>
  <c r="AP220" i="81" s="1"/>
  <c r="AQ220" i="81" s="1"/>
  <c r="AM220" i="81"/>
  <c r="AL220" i="81"/>
  <c r="AK220" i="81"/>
  <c r="S220" i="81"/>
  <c r="BA219" i="81"/>
  <c r="AO219" i="81" s="1"/>
  <c r="AN219" i="81"/>
  <c r="AP219" i="81" s="1"/>
  <c r="AQ219" i="81" s="1"/>
  <c r="AM219" i="81"/>
  <c r="AL219" i="81"/>
  <c r="AK219" i="81"/>
  <c r="S219" i="81"/>
  <c r="AY218" i="81"/>
  <c r="AM218" i="81" s="1"/>
  <c r="AX218" i="81"/>
  <c r="BA218" i="81" s="1"/>
  <c r="AO218" i="81" s="1"/>
  <c r="AN218" i="81"/>
  <c r="AP218" i="81" s="1"/>
  <c r="AQ218" i="81" s="1"/>
  <c r="AK218" i="81"/>
  <c r="S218" i="81"/>
  <c r="AO217" i="81"/>
  <c r="AN217" i="81"/>
  <c r="AM217" i="81"/>
  <c r="AL217" i="81"/>
  <c r="AK217" i="81"/>
  <c r="AB217" i="81"/>
  <c r="S217" i="81"/>
  <c r="W217" i="81" s="1"/>
  <c r="AP217" i="81" s="1"/>
  <c r="K217" i="81"/>
  <c r="BA216" i="81"/>
  <c r="AO216" i="81" s="1"/>
  <c r="AN216" i="81"/>
  <c r="AM216" i="81"/>
  <c r="AL216" i="81"/>
  <c r="AK216" i="81"/>
  <c r="AJ216" i="81"/>
  <c r="AB216" i="81"/>
  <c r="S216" i="81"/>
  <c r="W216" i="81" s="1"/>
  <c r="K216" i="81"/>
  <c r="BA215" i="81"/>
  <c r="AO215" i="81"/>
  <c r="AN215" i="81"/>
  <c r="AM215" i="81"/>
  <c r="AL215" i="81"/>
  <c r="AK215" i="81"/>
  <c r="AJ215" i="81"/>
  <c r="AB215" i="81"/>
  <c r="W215" i="81"/>
  <c r="S215" i="81"/>
  <c r="K215" i="81"/>
  <c r="BA214" i="81"/>
  <c r="AO214" i="81" s="1"/>
  <c r="AN214" i="81"/>
  <c r="AM214" i="81"/>
  <c r="AL214" i="81"/>
  <c r="AK214" i="81"/>
  <c r="AJ214" i="81"/>
  <c r="AB214" i="81"/>
  <c r="W214" i="81"/>
  <c r="S214" i="81"/>
  <c r="K214" i="81"/>
  <c r="BA213" i="81"/>
  <c r="AO213" i="81" s="1"/>
  <c r="AN213" i="81"/>
  <c r="AM213" i="81"/>
  <c r="AL213" i="81"/>
  <c r="AK213" i="81"/>
  <c r="AJ213" i="81"/>
  <c r="AB213" i="81"/>
  <c r="S213" i="81"/>
  <c r="W213" i="81" s="1"/>
  <c r="K213" i="81"/>
  <c r="BA212" i="81"/>
  <c r="AO212" i="81" s="1"/>
  <c r="AN212" i="81"/>
  <c r="AM212" i="81"/>
  <c r="AL212" i="81"/>
  <c r="AK212" i="81"/>
  <c r="AJ212" i="81"/>
  <c r="AB212" i="81"/>
  <c r="S212" i="81"/>
  <c r="W212" i="81" s="1"/>
  <c r="AP212" i="81" s="1"/>
  <c r="K212" i="81"/>
  <c r="BA211" i="81"/>
  <c r="AO211" i="81"/>
  <c r="AN211" i="81"/>
  <c r="AM211" i="81"/>
  <c r="AL211" i="81"/>
  <c r="AK211" i="81"/>
  <c r="AJ211" i="81"/>
  <c r="AB211" i="81"/>
  <c r="S211" i="81"/>
  <c r="W211" i="81" s="1"/>
  <c r="AP211" i="81" s="1"/>
  <c r="K211" i="81"/>
  <c r="BA210" i="81"/>
  <c r="AO210" i="81"/>
  <c r="AN210" i="81"/>
  <c r="AM210" i="81"/>
  <c r="AL210" i="81"/>
  <c r="AK210" i="81"/>
  <c r="AJ210" i="81"/>
  <c r="AB210" i="81"/>
  <c r="S210" i="81"/>
  <c r="W210" i="81" s="1"/>
  <c r="AP210" i="81" s="1"/>
  <c r="AQ210" i="81" s="1"/>
  <c r="K210" i="81"/>
  <c r="BA209" i="81"/>
  <c r="AO209" i="81" s="1"/>
  <c r="AN209" i="81"/>
  <c r="AM209" i="81"/>
  <c r="AL209" i="81"/>
  <c r="AK209" i="81"/>
  <c r="AJ209" i="81"/>
  <c r="AB209" i="81"/>
  <c r="S209" i="81"/>
  <c r="W209" i="81" s="1"/>
  <c r="K209" i="81"/>
  <c r="BA208" i="81"/>
  <c r="AO208" i="81"/>
  <c r="AN208" i="81"/>
  <c r="AM208" i="81"/>
  <c r="AL208" i="81"/>
  <c r="AK208" i="81"/>
  <c r="AJ208" i="81"/>
  <c r="AB208" i="81"/>
  <c r="S208" i="81"/>
  <c r="W208" i="81" s="1"/>
  <c r="K208" i="81"/>
  <c r="BA207" i="81"/>
  <c r="AO207" i="81"/>
  <c r="AN207" i="81"/>
  <c r="AM207" i="81"/>
  <c r="AL207" i="81"/>
  <c r="AK207" i="81"/>
  <c r="AJ207" i="81"/>
  <c r="AB207" i="81"/>
  <c r="W207" i="81"/>
  <c r="AP207" i="81" s="1"/>
  <c r="S207" i="81"/>
  <c r="K207" i="81"/>
  <c r="BA206" i="81"/>
  <c r="AO206" i="81" s="1"/>
  <c r="AN206" i="81"/>
  <c r="AM206" i="81"/>
  <c r="AL206" i="81"/>
  <c r="AK206" i="81"/>
  <c r="AJ206" i="81"/>
  <c r="AB206" i="81"/>
  <c r="S206" i="81"/>
  <c r="W206" i="81" s="1"/>
  <c r="AP206" i="81" s="1"/>
  <c r="AQ206" i="81" s="1"/>
  <c r="K206" i="81"/>
  <c r="BA205" i="81"/>
  <c r="AO205" i="81" s="1"/>
  <c r="AN205" i="81"/>
  <c r="AM205" i="81"/>
  <c r="AL205" i="81"/>
  <c r="AK205" i="81"/>
  <c r="AJ205" i="81"/>
  <c r="AB205" i="81"/>
  <c r="S205" i="81"/>
  <c r="W205" i="81" s="1"/>
  <c r="AP205" i="81" s="1"/>
  <c r="K205" i="81"/>
  <c r="BA204" i="81"/>
  <c r="AO204" i="81"/>
  <c r="AN204" i="81"/>
  <c r="AM204" i="81"/>
  <c r="AL204" i="81"/>
  <c r="AK204" i="81"/>
  <c r="AJ204" i="81"/>
  <c r="AB204" i="81"/>
  <c r="S204" i="81"/>
  <c r="W204" i="81" s="1"/>
  <c r="AP204" i="81" s="1"/>
  <c r="K204" i="81"/>
  <c r="AQ204" i="81" s="1"/>
  <c r="BA203" i="81"/>
  <c r="AO203" i="81" s="1"/>
  <c r="AN203" i="81"/>
  <c r="AM203" i="81"/>
  <c r="AL203" i="81"/>
  <c r="AK203" i="81"/>
  <c r="AJ203" i="81"/>
  <c r="AB203" i="81"/>
  <c r="S203" i="81"/>
  <c r="W203" i="81" s="1"/>
  <c r="AP203" i="81" s="1"/>
  <c r="K203" i="81"/>
  <c r="BA202" i="81"/>
  <c r="AO202" i="81" s="1"/>
  <c r="AN202" i="81"/>
  <c r="AM202" i="81"/>
  <c r="AL202" i="81"/>
  <c r="AK202" i="81"/>
  <c r="AJ202" i="81"/>
  <c r="AB202" i="81"/>
  <c r="S202" i="81"/>
  <c r="W202" i="81" s="1"/>
  <c r="AP202" i="81" s="1"/>
  <c r="AQ202" i="81" s="1"/>
  <c r="K202" i="81"/>
  <c r="BA201" i="81"/>
  <c r="AO201" i="81" s="1"/>
  <c r="AN201" i="81"/>
  <c r="AM201" i="81"/>
  <c r="AL201" i="81"/>
  <c r="AK201" i="81"/>
  <c r="AJ201" i="81"/>
  <c r="AB201" i="81"/>
  <c r="S201" i="81"/>
  <c r="W201" i="81" s="1"/>
  <c r="K201" i="81"/>
  <c r="BA200" i="81"/>
  <c r="AO200" i="81"/>
  <c r="AN200" i="81"/>
  <c r="AM200" i="81"/>
  <c r="AL200" i="81"/>
  <c r="AK200" i="81"/>
  <c r="AJ200" i="81"/>
  <c r="AB200" i="81"/>
  <c r="S200" i="81"/>
  <c r="W200" i="81" s="1"/>
  <c r="AP200" i="81" s="1"/>
  <c r="K200" i="81"/>
  <c r="BA199" i="81"/>
  <c r="AO199" i="81"/>
  <c r="AN199" i="81"/>
  <c r="AM199" i="81"/>
  <c r="AL199" i="81"/>
  <c r="AK199" i="81"/>
  <c r="AJ199" i="81"/>
  <c r="AB199" i="81"/>
  <c r="S199" i="81"/>
  <c r="W199" i="81" s="1"/>
  <c r="AP199" i="81" s="1"/>
  <c r="K199" i="81"/>
  <c r="BA198" i="81"/>
  <c r="AO198" i="81"/>
  <c r="AN198" i="81"/>
  <c r="AM198" i="81"/>
  <c r="AL198" i="81"/>
  <c r="AK198" i="81"/>
  <c r="AJ198" i="81"/>
  <c r="AB198" i="81"/>
  <c r="W198" i="81"/>
  <c r="AP198" i="81" s="1"/>
  <c r="S198" i="81"/>
  <c r="K198" i="81"/>
  <c r="BA197" i="81"/>
  <c r="AO197" i="81" s="1"/>
  <c r="AN197" i="81"/>
  <c r="AM197" i="81"/>
  <c r="AL197" i="81"/>
  <c r="AK197" i="81"/>
  <c r="AJ197" i="81"/>
  <c r="AB197" i="81"/>
  <c r="S197" i="81"/>
  <c r="W197" i="81" s="1"/>
  <c r="K197" i="81"/>
  <c r="BA196" i="81"/>
  <c r="AO196" i="81" s="1"/>
  <c r="AN196" i="81"/>
  <c r="AM196" i="81"/>
  <c r="AL196" i="81"/>
  <c r="AK196" i="81"/>
  <c r="AJ196" i="81"/>
  <c r="AB196" i="81"/>
  <c r="S196" i="81"/>
  <c r="W196" i="81" s="1"/>
  <c r="K196" i="81"/>
  <c r="BA195" i="81"/>
  <c r="AO195" i="81"/>
  <c r="AN195" i="81"/>
  <c r="AM195" i="81"/>
  <c r="AL195" i="81"/>
  <c r="AK195" i="81"/>
  <c r="AJ195" i="81"/>
  <c r="AB195" i="81"/>
  <c r="W195" i="81"/>
  <c r="S195" i="81"/>
  <c r="K195" i="81"/>
  <c r="BA194" i="81"/>
  <c r="AO194" i="81" s="1"/>
  <c r="AN194" i="81"/>
  <c r="AM194" i="81"/>
  <c r="AL194" i="81"/>
  <c r="AK194" i="81"/>
  <c r="AJ194" i="81"/>
  <c r="AB194" i="81"/>
  <c r="S194" i="81"/>
  <c r="W194" i="81" s="1"/>
  <c r="AP194" i="81" s="1"/>
  <c r="AQ194" i="81" s="1"/>
  <c r="K194" i="81"/>
  <c r="BA193" i="81"/>
  <c r="AO193" i="81" s="1"/>
  <c r="AN193" i="81"/>
  <c r="AM193" i="81"/>
  <c r="AL193" i="81"/>
  <c r="AK193" i="81"/>
  <c r="AJ193" i="81"/>
  <c r="AB193" i="81"/>
  <c r="S193" i="81"/>
  <c r="W193" i="81" s="1"/>
  <c r="AP193" i="81" s="1"/>
  <c r="K193" i="81"/>
  <c r="BA192" i="81"/>
  <c r="AO192" i="81"/>
  <c r="AN192" i="81"/>
  <c r="AM192" i="81"/>
  <c r="AL192" i="81"/>
  <c r="AK192" i="81"/>
  <c r="AJ192" i="81"/>
  <c r="AB192" i="81"/>
  <c r="S192" i="81"/>
  <c r="W192" i="81" s="1"/>
  <c r="AP192" i="81" s="1"/>
  <c r="K192" i="81"/>
  <c r="AQ192" i="81" s="1"/>
  <c r="AO191" i="81"/>
  <c r="AN191" i="81"/>
  <c r="AP191" i="81" s="1"/>
  <c r="AQ191" i="81" s="1"/>
  <c r="AM191" i="81"/>
  <c r="AL191" i="81"/>
  <c r="AK191" i="81"/>
  <c r="S191" i="81"/>
  <c r="BA190" i="81"/>
  <c r="AO190" i="81"/>
  <c r="AN190" i="81"/>
  <c r="AM190" i="81"/>
  <c r="AL190" i="81"/>
  <c r="AK190" i="81"/>
  <c r="AJ190" i="81"/>
  <c r="AB190" i="81"/>
  <c r="S190" i="81"/>
  <c r="W190" i="81" s="1"/>
  <c r="AP190" i="81" s="1"/>
  <c r="K190" i="81"/>
  <c r="BA189" i="81"/>
  <c r="AO189" i="81" s="1"/>
  <c r="AN189" i="81"/>
  <c r="AM189" i="81"/>
  <c r="AL189" i="81"/>
  <c r="AK189" i="81"/>
  <c r="AJ189" i="81"/>
  <c r="AB189" i="81"/>
  <c r="S189" i="81"/>
  <c r="W189" i="81" s="1"/>
  <c r="AP189" i="81" s="1"/>
  <c r="AQ189" i="81" s="1"/>
  <c r="K189" i="81"/>
  <c r="BA188" i="81"/>
  <c r="AO188" i="81" s="1"/>
  <c r="AN188" i="81"/>
  <c r="AM188" i="81"/>
  <c r="AL188" i="81"/>
  <c r="AK188" i="81"/>
  <c r="AJ188" i="81"/>
  <c r="AB188" i="81"/>
  <c r="S188" i="81"/>
  <c r="W188" i="81" s="1"/>
  <c r="AP188" i="81" s="1"/>
  <c r="K188" i="81"/>
  <c r="BA187" i="81"/>
  <c r="AO187" i="81"/>
  <c r="AN187" i="81"/>
  <c r="AM187" i="81"/>
  <c r="AL187" i="81"/>
  <c r="AK187" i="81"/>
  <c r="AJ187" i="81"/>
  <c r="AB187" i="81"/>
  <c r="S187" i="81"/>
  <c r="W187" i="81" s="1"/>
  <c r="AP187" i="81" s="1"/>
  <c r="K187" i="81"/>
  <c r="BA186" i="81"/>
  <c r="AO186" i="81"/>
  <c r="AN186" i="81"/>
  <c r="AM186" i="81"/>
  <c r="AL186" i="81"/>
  <c r="AK186" i="81"/>
  <c r="AJ186" i="81"/>
  <c r="AB186" i="81"/>
  <c r="S186" i="81"/>
  <c r="W186" i="81" s="1"/>
  <c r="AP186" i="81" s="1"/>
  <c r="K186" i="81"/>
  <c r="BA185" i="81"/>
  <c r="AO185" i="81"/>
  <c r="AN185" i="81"/>
  <c r="AM185" i="81"/>
  <c r="AL185" i="81"/>
  <c r="AK185" i="81"/>
  <c r="AJ185" i="81"/>
  <c r="AB185" i="81"/>
  <c r="S185" i="81"/>
  <c r="M185" i="81"/>
  <c r="W185" i="81" s="1"/>
  <c r="AP185" i="81" s="1"/>
  <c r="K185" i="81"/>
  <c r="BA184" i="81"/>
  <c r="AO184" i="81"/>
  <c r="AN184" i="81"/>
  <c r="AM184" i="81"/>
  <c r="AL184" i="81"/>
  <c r="AK184" i="81"/>
  <c r="AJ184" i="81"/>
  <c r="AB184" i="81"/>
  <c r="S184" i="81"/>
  <c r="W184" i="81" s="1"/>
  <c r="K184" i="81"/>
  <c r="BA183" i="81"/>
  <c r="AO183" i="81"/>
  <c r="AN183" i="81"/>
  <c r="AM183" i="81"/>
  <c r="AL183" i="81"/>
  <c r="AK183" i="81"/>
  <c r="AJ183" i="81"/>
  <c r="AB183" i="81"/>
  <c r="S183" i="81"/>
  <c r="W183" i="81" s="1"/>
  <c r="AP183" i="81" s="1"/>
  <c r="K183" i="81"/>
  <c r="BA182" i="81"/>
  <c r="AO182" i="81"/>
  <c r="AN182" i="81"/>
  <c r="AM182" i="81"/>
  <c r="AL182" i="81"/>
  <c r="AK182" i="81"/>
  <c r="AJ182" i="81"/>
  <c r="AB182" i="81"/>
  <c r="W182" i="81"/>
  <c r="S182" i="81"/>
  <c r="K182" i="81"/>
  <c r="BA181" i="81"/>
  <c r="AO181" i="81" s="1"/>
  <c r="AN181" i="81"/>
  <c r="AM181" i="81"/>
  <c r="AL181" i="81"/>
  <c r="AK181" i="81"/>
  <c r="AJ181" i="81"/>
  <c r="AB181" i="81"/>
  <c r="S181" i="81"/>
  <c r="W181" i="81" s="1"/>
  <c r="K181" i="81"/>
  <c r="BA180" i="81"/>
  <c r="AO180" i="81"/>
  <c r="AN180" i="81"/>
  <c r="AM180" i="81"/>
  <c r="AL180" i="81"/>
  <c r="AK180" i="81"/>
  <c r="AJ180" i="81"/>
  <c r="AB180" i="81"/>
  <c r="S180" i="81"/>
  <c r="W180" i="81" s="1"/>
  <c r="AP180" i="81" s="1"/>
  <c r="K180" i="81"/>
  <c r="BA179" i="81"/>
  <c r="AO179" i="81"/>
  <c r="AN179" i="81"/>
  <c r="AM179" i="81"/>
  <c r="AL179" i="81"/>
  <c r="AK179" i="81"/>
  <c r="AJ179" i="81"/>
  <c r="AB179" i="81"/>
  <c r="S179" i="81"/>
  <c r="W179" i="81" s="1"/>
  <c r="AP179" i="81" s="1"/>
  <c r="K179" i="81"/>
  <c r="BA178" i="81"/>
  <c r="AO178" i="81"/>
  <c r="AN178" i="81"/>
  <c r="AM178" i="81"/>
  <c r="AL178" i="81"/>
  <c r="AK178" i="81"/>
  <c r="AJ178" i="81"/>
  <c r="AB178" i="81"/>
  <c r="W178" i="81"/>
  <c r="AP178" i="81" s="1"/>
  <c r="S178" i="81"/>
  <c r="K178" i="81"/>
  <c r="BA177" i="81"/>
  <c r="AO177" i="81" s="1"/>
  <c r="AN177" i="81"/>
  <c r="AM177" i="81"/>
  <c r="AL177" i="81"/>
  <c r="AK177" i="81"/>
  <c r="AJ177" i="81"/>
  <c r="AB177" i="81"/>
  <c r="S177" i="81"/>
  <c r="W177" i="81" s="1"/>
  <c r="AP177" i="81" s="1"/>
  <c r="K177" i="81"/>
  <c r="AQ177" i="81" s="1"/>
  <c r="BA176" i="81"/>
  <c r="AO176" i="81" s="1"/>
  <c r="AN176" i="81"/>
  <c r="AM176" i="81"/>
  <c r="AL176" i="81"/>
  <c r="AK176" i="81"/>
  <c r="AJ176" i="81"/>
  <c r="AB176" i="81"/>
  <c r="S176" i="81"/>
  <c r="W176" i="81" s="1"/>
  <c r="K176" i="81"/>
  <c r="BA175" i="81"/>
  <c r="AO175" i="81"/>
  <c r="AN175" i="81"/>
  <c r="AM175" i="81"/>
  <c r="AL175" i="81"/>
  <c r="AK175" i="81"/>
  <c r="AJ175" i="81"/>
  <c r="AB175" i="81"/>
  <c r="S175" i="81"/>
  <c r="W175" i="81" s="1"/>
  <c r="K175" i="81"/>
  <c r="BA174" i="81"/>
  <c r="AO174" i="81" s="1"/>
  <c r="AN174" i="81"/>
  <c r="AM174" i="81"/>
  <c r="AL174" i="81"/>
  <c r="AK174" i="81"/>
  <c r="AJ174" i="81"/>
  <c r="AB174" i="81"/>
  <c r="S174" i="81"/>
  <c r="W174" i="81" s="1"/>
  <c r="AP174" i="81" s="1"/>
  <c r="AQ174" i="81" s="1"/>
  <c r="K174" i="81"/>
  <c r="BA173" i="81"/>
  <c r="AO173" i="81" s="1"/>
  <c r="AN173" i="81"/>
  <c r="AM173" i="81"/>
  <c r="AL173" i="81"/>
  <c r="AK173" i="81"/>
  <c r="AJ173" i="81"/>
  <c r="AB173" i="81"/>
  <c r="S173" i="81"/>
  <c r="W173" i="81" s="1"/>
  <c r="K173" i="81"/>
  <c r="BA172" i="81"/>
  <c r="AO172" i="81" s="1"/>
  <c r="AN172" i="81"/>
  <c r="AM172" i="81"/>
  <c r="AL172" i="81"/>
  <c r="AK172" i="81"/>
  <c r="AJ172" i="81"/>
  <c r="AB172" i="81"/>
  <c r="S172" i="81"/>
  <c r="W172" i="81" s="1"/>
  <c r="AP172" i="81" s="1"/>
  <c r="K172" i="81"/>
  <c r="BA171" i="81"/>
  <c r="AO171" i="81"/>
  <c r="AN171" i="81"/>
  <c r="AM171" i="81"/>
  <c r="AL171" i="81"/>
  <c r="AK171" i="81"/>
  <c r="AJ171" i="81"/>
  <c r="AB171" i="81"/>
  <c r="S171" i="81"/>
  <c r="W171" i="81" s="1"/>
  <c r="K171" i="81"/>
  <c r="BA170" i="81"/>
  <c r="AO170" i="81"/>
  <c r="AN170" i="81"/>
  <c r="AM170" i="81"/>
  <c r="AL170" i="81"/>
  <c r="AK170" i="81"/>
  <c r="AJ170" i="81"/>
  <c r="AB170" i="81"/>
  <c r="S170" i="81"/>
  <c r="W170" i="81" s="1"/>
  <c r="AP170" i="81" s="1"/>
  <c r="AQ170" i="81" s="1"/>
  <c r="K170" i="81"/>
  <c r="BA169" i="81"/>
  <c r="AO169" i="81" s="1"/>
  <c r="AN169" i="81"/>
  <c r="AM169" i="81"/>
  <c r="AL169" i="81"/>
  <c r="AK169" i="81"/>
  <c r="AJ169" i="81"/>
  <c r="AB169" i="81"/>
  <c r="S169" i="81"/>
  <c r="W169" i="81" s="1"/>
  <c r="K169" i="81"/>
  <c r="BA168" i="81"/>
  <c r="AO168" i="81"/>
  <c r="AN168" i="81"/>
  <c r="AM168" i="81"/>
  <c r="AL168" i="81"/>
  <c r="AK168" i="81"/>
  <c r="AJ168" i="81"/>
  <c r="AB168" i="81"/>
  <c r="S168" i="81"/>
  <c r="W168" i="81" s="1"/>
  <c r="K168" i="81"/>
  <c r="AP167" i="81"/>
  <c r="AQ167" i="81" s="1"/>
  <c r="AO167" i="81"/>
  <c r="AN167" i="81"/>
  <c r="AM167" i="81"/>
  <c r="AL167" i="81"/>
  <c r="AK167" i="81"/>
  <c r="S167" i="81"/>
  <c r="BA166" i="81"/>
  <c r="AO166" i="81"/>
  <c r="AN166" i="81"/>
  <c r="AM166" i="81"/>
  <c r="AL166" i="81"/>
  <c r="AK166" i="81"/>
  <c r="AJ166" i="81"/>
  <c r="AB166" i="81"/>
  <c r="S166" i="81"/>
  <c r="W166" i="81" s="1"/>
  <c r="AP166" i="81" s="1"/>
  <c r="AQ166" i="81" s="1"/>
  <c r="K166" i="81"/>
  <c r="BA165" i="81"/>
  <c r="AO165" i="81" s="1"/>
  <c r="AN165" i="81"/>
  <c r="AM165" i="81"/>
  <c r="AL165" i="81"/>
  <c r="AK165" i="81"/>
  <c r="AJ165" i="81"/>
  <c r="AB165" i="81"/>
  <c r="S165" i="81"/>
  <c r="W165" i="81" s="1"/>
  <c r="K165" i="81"/>
  <c r="BA164" i="81"/>
  <c r="AO164" i="81"/>
  <c r="AN164" i="81"/>
  <c r="AM164" i="81"/>
  <c r="AL164" i="81"/>
  <c r="AK164" i="81"/>
  <c r="AJ164" i="81"/>
  <c r="AB164" i="81"/>
  <c r="S164" i="81"/>
  <c r="W164" i="81" s="1"/>
  <c r="K164" i="81"/>
  <c r="BA163" i="81"/>
  <c r="AO163" i="81"/>
  <c r="AN163" i="81"/>
  <c r="AM163" i="81"/>
  <c r="AL163" i="81"/>
  <c r="AK163" i="81"/>
  <c r="AJ163" i="81"/>
  <c r="AB163" i="81"/>
  <c r="W163" i="81"/>
  <c r="AP163" i="81" s="1"/>
  <c r="S163" i="81"/>
  <c r="K163" i="81"/>
  <c r="BA162" i="81"/>
  <c r="AO162" i="81" s="1"/>
  <c r="AN162" i="81"/>
  <c r="AM162" i="81"/>
  <c r="AL162" i="81"/>
  <c r="AK162" i="81"/>
  <c r="AJ162" i="81"/>
  <c r="AB162" i="81"/>
  <c r="S162" i="81"/>
  <c r="W162" i="81" s="1"/>
  <c r="AP162" i="81" s="1"/>
  <c r="AQ162" i="81" s="1"/>
  <c r="K162" i="81"/>
  <c r="BA161" i="81"/>
  <c r="AO161" i="81" s="1"/>
  <c r="AN161" i="81"/>
  <c r="AM161" i="81"/>
  <c r="AL161" i="81"/>
  <c r="AK161" i="81"/>
  <c r="AJ161" i="81"/>
  <c r="AB161" i="81"/>
  <c r="S161" i="81"/>
  <c r="W161" i="81" s="1"/>
  <c r="K161" i="81"/>
  <c r="BA160" i="81"/>
  <c r="AO160" i="81"/>
  <c r="AN160" i="81"/>
  <c r="AM160" i="81"/>
  <c r="AL160" i="81"/>
  <c r="AK160" i="81"/>
  <c r="AJ160" i="81"/>
  <c r="AB160" i="81"/>
  <c r="S160" i="81"/>
  <c r="W160" i="81" s="1"/>
  <c r="K160" i="81"/>
  <c r="BA159" i="81"/>
  <c r="AO159" i="81" s="1"/>
  <c r="AN159" i="81"/>
  <c r="AM159" i="81"/>
  <c r="AL159" i="81"/>
  <c r="AK159" i="81"/>
  <c r="AJ159" i="81"/>
  <c r="AB159" i="81"/>
  <c r="S159" i="81"/>
  <c r="W159" i="81" s="1"/>
  <c r="AP159" i="81" s="1"/>
  <c r="K159" i="81"/>
  <c r="BA158" i="81"/>
  <c r="AO158" i="81"/>
  <c r="AN158" i="81"/>
  <c r="AM158" i="81"/>
  <c r="AL158" i="81"/>
  <c r="AK158" i="81"/>
  <c r="AJ158" i="81"/>
  <c r="AB158" i="81"/>
  <c r="W158" i="81"/>
  <c r="S158" i="81"/>
  <c r="K158" i="81"/>
  <c r="BA157" i="81"/>
  <c r="AO157" i="81" s="1"/>
  <c r="AN157" i="81"/>
  <c r="AM157" i="81"/>
  <c r="AL157" i="81"/>
  <c r="AK157" i="81"/>
  <c r="AJ157" i="81"/>
  <c r="AB157" i="81"/>
  <c r="S157" i="81"/>
  <c r="W157" i="81" s="1"/>
  <c r="K157" i="81"/>
  <c r="AO156" i="81"/>
  <c r="AN156" i="81"/>
  <c r="AP156" i="81" s="1"/>
  <c r="AQ156" i="81" s="1"/>
  <c r="AM156" i="81"/>
  <c r="AL156" i="81"/>
  <c r="AK156" i="81"/>
  <c r="S156" i="81"/>
  <c r="BA155" i="81"/>
  <c r="AO155" i="81"/>
  <c r="AN155" i="81"/>
  <c r="AP155" i="81" s="1"/>
  <c r="AQ155" i="81" s="1"/>
  <c r="AM155" i="81"/>
  <c r="AL155" i="81"/>
  <c r="AK155" i="81"/>
  <c r="S155" i="81"/>
  <c r="BA154" i="81"/>
  <c r="AO154" i="81"/>
  <c r="AN154" i="81"/>
  <c r="AP154" i="81" s="1"/>
  <c r="AQ154" i="81" s="1"/>
  <c r="AM154" i="81"/>
  <c r="AL154" i="81"/>
  <c r="AK154" i="81"/>
  <c r="S154" i="81"/>
  <c r="BA153" i="81"/>
  <c r="AO153" i="81" s="1"/>
  <c r="AN153" i="81"/>
  <c r="AP153" i="81" s="1"/>
  <c r="AQ153" i="81" s="1"/>
  <c r="AM153" i="81"/>
  <c r="AL153" i="81"/>
  <c r="AK153" i="81"/>
  <c r="S153" i="81"/>
  <c r="AO152" i="81"/>
  <c r="AN152" i="81"/>
  <c r="AP152" i="81" s="1"/>
  <c r="AQ152" i="81" s="1"/>
  <c r="AM152" i="81"/>
  <c r="AL152" i="81"/>
  <c r="AK152" i="81"/>
  <c r="S152" i="81"/>
  <c r="AO151" i="81"/>
  <c r="AN151" i="81"/>
  <c r="AP151" i="81" s="1"/>
  <c r="AQ151" i="81" s="1"/>
  <c r="AM151" i="81"/>
  <c r="AL151" i="81"/>
  <c r="AK151" i="81"/>
  <c r="S151" i="81"/>
  <c r="AQ150" i="81"/>
  <c r="AO150" i="81"/>
  <c r="AN150" i="81"/>
  <c r="AP150" i="81" s="1"/>
  <c r="AM150" i="81"/>
  <c r="AL150" i="81"/>
  <c r="AK150" i="81"/>
  <c r="S150" i="81"/>
  <c r="BA149" i="81"/>
  <c r="AO149" i="81" s="1"/>
  <c r="AN149" i="81"/>
  <c r="AP149" i="81" s="1"/>
  <c r="AQ149" i="81" s="1"/>
  <c r="AM149" i="81"/>
  <c r="AL149" i="81"/>
  <c r="AK149" i="81"/>
  <c r="S149" i="81"/>
  <c r="BA148" i="81"/>
  <c r="AO148" i="81" s="1"/>
  <c r="AN148" i="81"/>
  <c r="AP148" i="81" s="1"/>
  <c r="AQ148" i="81" s="1"/>
  <c r="AM148" i="81"/>
  <c r="AL148" i="81"/>
  <c r="AK148" i="81"/>
  <c r="S148" i="81"/>
  <c r="BA147" i="81"/>
  <c r="AO147" i="81" s="1"/>
  <c r="AN147" i="81"/>
  <c r="AP147" i="81" s="1"/>
  <c r="AQ147" i="81" s="1"/>
  <c r="AM147" i="81"/>
  <c r="AL147" i="81"/>
  <c r="AK147" i="81"/>
  <c r="S147" i="81"/>
  <c r="AO146" i="81"/>
  <c r="AN146" i="81"/>
  <c r="AP146" i="81" s="1"/>
  <c r="AQ146" i="81" s="1"/>
  <c r="AM146" i="81"/>
  <c r="AL146" i="81"/>
  <c r="AK146" i="81"/>
  <c r="S146" i="81"/>
  <c r="AP145" i="81"/>
  <c r="AQ145" i="81" s="1"/>
  <c r="AO145" i="81"/>
  <c r="AN145" i="81"/>
  <c r="AM145" i="81"/>
  <c r="AL145" i="81"/>
  <c r="AK145" i="81"/>
  <c r="S145" i="81"/>
  <c r="AO144" i="81"/>
  <c r="AN144" i="81"/>
  <c r="AP144" i="81" s="1"/>
  <c r="AQ144" i="81" s="1"/>
  <c r="AM144" i="81"/>
  <c r="AL144" i="81"/>
  <c r="AK144" i="81"/>
  <c r="S144" i="81"/>
  <c r="AO143" i="81"/>
  <c r="AN143" i="81"/>
  <c r="AP143" i="81" s="1"/>
  <c r="AQ143" i="81" s="1"/>
  <c r="AM143" i="81"/>
  <c r="AL143" i="81"/>
  <c r="AK143" i="81"/>
  <c r="S143" i="81"/>
  <c r="BA142" i="81"/>
  <c r="AO142" i="81"/>
  <c r="AN142" i="81"/>
  <c r="AP142" i="81" s="1"/>
  <c r="AQ142" i="81" s="1"/>
  <c r="AM142" i="81"/>
  <c r="AL142" i="81"/>
  <c r="AK142" i="81"/>
  <c r="S142" i="81"/>
  <c r="BA141" i="81"/>
  <c r="AO141" i="81" s="1"/>
  <c r="AN141" i="81"/>
  <c r="AP141" i="81" s="1"/>
  <c r="AQ141" i="81" s="1"/>
  <c r="AM141" i="81"/>
  <c r="AL141" i="81"/>
  <c r="AK141" i="81"/>
  <c r="S141" i="81"/>
  <c r="BA140" i="81"/>
  <c r="AO140" i="81"/>
  <c r="AN140" i="81"/>
  <c r="AP140" i="81" s="1"/>
  <c r="AQ140" i="81" s="1"/>
  <c r="AM140" i="81"/>
  <c r="AL140" i="81"/>
  <c r="AK140" i="81"/>
  <c r="S140" i="81"/>
  <c r="BA139" i="81"/>
  <c r="AO139" i="81"/>
  <c r="AN139" i="81"/>
  <c r="AM139" i="81"/>
  <c r="AL139" i="81"/>
  <c r="AK139" i="81"/>
  <c r="AJ139" i="81"/>
  <c r="AB139" i="81"/>
  <c r="W139" i="81"/>
  <c r="S139" i="81"/>
  <c r="K139" i="81"/>
  <c r="BA138" i="81"/>
  <c r="AO138" i="81" s="1"/>
  <c r="AN138" i="81"/>
  <c r="AM138" i="81"/>
  <c r="AL138" i="81"/>
  <c r="AK138" i="81"/>
  <c r="AJ138" i="81"/>
  <c r="AB138" i="81"/>
  <c r="S138" i="81"/>
  <c r="W138" i="81" s="1"/>
  <c r="AP138" i="81" s="1"/>
  <c r="AQ138" i="81" s="1"/>
  <c r="K138" i="81"/>
  <c r="BA137" i="81"/>
  <c r="AO137" i="81" s="1"/>
  <c r="AN137" i="81"/>
  <c r="AM137" i="81"/>
  <c r="AL137" i="81"/>
  <c r="AK137" i="81"/>
  <c r="AJ137" i="81"/>
  <c r="AB137" i="81"/>
  <c r="S137" i="81"/>
  <c r="W137" i="81" s="1"/>
  <c r="K137" i="81"/>
  <c r="BA136" i="81"/>
  <c r="AO136" i="81" s="1"/>
  <c r="AN136" i="81"/>
  <c r="AM136" i="81"/>
  <c r="AL136" i="81"/>
  <c r="AK136" i="81"/>
  <c r="AJ136" i="81"/>
  <c r="AB136" i="81"/>
  <c r="S136" i="81"/>
  <c r="W136" i="81" s="1"/>
  <c r="K136" i="81"/>
  <c r="BA135" i="81"/>
  <c r="AO135" i="81" s="1"/>
  <c r="AN135" i="81"/>
  <c r="AM135" i="81"/>
  <c r="AL135" i="81"/>
  <c r="AK135" i="81"/>
  <c r="AJ135" i="81"/>
  <c r="AB135" i="81"/>
  <c r="S135" i="81"/>
  <c r="W135" i="81" s="1"/>
  <c r="AP135" i="81" s="1"/>
  <c r="K135" i="81"/>
  <c r="BA134" i="81"/>
  <c r="AO134" i="81"/>
  <c r="AN134" i="81"/>
  <c r="AM134" i="81"/>
  <c r="AL134" i="81"/>
  <c r="AK134" i="81"/>
  <c r="AJ134" i="81"/>
  <c r="AB134" i="81"/>
  <c r="S134" i="81"/>
  <c r="W134" i="81" s="1"/>
  <c r="AP134" i="81" s="1"/>
  <c r="AQ134" i="81" s="1"/>
  <c r="K134" i="81"/>
  <c r="BA133" i="81"/>
  <c r="AO133" i="81" s="1"/>
  <c r="AN133" i="81"/>
  <c r="AM133" i="81"/>
  <c r="AL133" i="81"/>
  <c r="AK133" i="81"/>
  <c r="AJ133" i="81"/>
  <c r="AB133" i="81"/>
  <c r="W133" i="81"/>
  <c r="S133" i="81"/>
  <c r="K133" i="81"/>
  <c r="BA132" i="81"/>
  <c r="AO132" i="81" s="1"/>
  <c r="AN132" i="81"/>
  <c r="AM132" i="81"/>
  <c r="AL132" i="81"/>
  <c r="AK132" i="81"/>
  <c r="AJ132" i="81"/>
  <c r="AB132" i="81"/>
  <c r="S132" i="81"/>
  <c r="W132" i="81" s="1"/>
  <c r="AP132" i="81" s="1"/>
  <c r="K132" i="81"/>
  <c r="AQ132" i="81" s="1"/>
  <c r="BA131" i="81"/>
  <c r="AO131" i="81"/>
  <c r="AN131" i="81"/>
  <c r="AM131" i="81"/>
  <c r="AL131" i="81"/>
  <c r="AK131" i="81"/>
  <c r="AJ131" i="81"/>
  <c r="AB131" i="81"/>
  <c r="W131" i="81"/>
  <c r="S131" i="81"/>
  <c r="K131" i="81"/>
  <c r="BA130" i="81"/>
  <c r="AO130" i="81" s="1"/>
  <c r="AN130" i="81"/>
  <c r="AM130" i="81"/>
  <c r="AL130" i="81"/>
  <c r="AK130" i="81"/>
  <c r="AJ130" i="81"/>
  <c r="AB130" i="81"/>
  <c r="S130" i="81"/>
  <c r="W130" i="81" s="1"/>
  <c r="AP130" i="81" s="1"/>
  <c r="AQ130" i="81" s="1"/>
  <c r="K130" i="81"/>
  <c r="BA129" i="81"/>
  <c r="AO129" i="81" s="1"/>
  <c r="AN129" i="81"/>
  <c r="AM129" i="81"/>
  <c r="AL129" i="81"/>
  <c r="AK129" i="81"/>
  <c r="AJ129" i="81"/>
  <c r="AB129" i="81"/>
  <c r="S129" i="81"/>
  <c r="W129" i="81" s="1"/>
  <c r="K129" i="81"/>
  <c r="BA128" i="81"/>
  <c r="AO128" i="81" s="1"/>
  <c r="AN128" i="81"/>
  <c r="AM128" i="81"/>
  <c r="AL128" i="81"/>
  <c r="AK128" i="81"/>
  <c r="AJ128" i="81"/>
  <c r="AB128" i="81"/>
  <c r="S128" i="81"/>
  <c r="W128" i="81" s="1"/>
  <c r="K128" i="81"/>
  <c r="BA127" i="81"/>
  <c r="AO127" i="81" s="1"/>
  <c r="AN127" i="81"/>
  <c r="AM127" i="81"/>
  <c r="AL127" i="81"/>
  <c r="AK127" i="81"/>
  <c r="AJ127" i="81"/>
  <c r="AB127" i="81"/>
  <c r="W127" i="81"/>
  <c r="AP127" i="81" s="1"/>
  <c r="S127" i="81"/>
  <c r="K127" i="81"/>
  <c r="BA126" i="81"/>
  <c r="AO126" i="81"/>
  <c r="AN126" i="81"/>
  <c r="AM126" i="81"/>
  <c r="AL126" i="81"/>
  <c r="AK126" i="81"/>
  <c r="AJ126" i="81"/>
  <c r="AB126" i="81"/>
  <c r="S126" i="81"/>
  <c r="W126" i="81" s="1"/>
  <c r="AP126" i="81" s="1"/>
  <c r="AQ126" i="81" s="1"/>
  <c r="K126" i="81"/>
  <c r="BA125" i="81"/>
  <c r="AO125" i="81" s="1"/>
  <c r="AN125" i="81"/>
  <c r="AM125" i="81"/>
  <c r="AL125" i="81"/>
  <c r="AK125" i="81"/>
  <c r="AJ125" i="81"/>
  <c r="AB125" i="81"/>
  <c r="W125" i="81"/>
  <c r="S125" i="81"/>
  <c r="K125" i="81"/>
  <c r="BA124" i="81"/>
  <c r="AO124" i="81" s="1"/>
  <c r="AN124" i="81"/>
  <c r="AM124" i="81"/>
  <c r="AL124" i="81"/>
  <c r="AK124" i="81"/>
  <c r="AJ124" i="81"/>
  <c r="AB124" i="81"/>
  <c r="S124" i="81"/>
  <c r="W124" i="81" s="1"/>
  <c r="AP124" i="81" s="1"/>
  <c r="K124" i="81"/>
  <c r="AQ124" i="81" s="1"/>
  <c r="BA123" i="81"/>
  <c r="AO123" i="81"/>
  <c r="AN123" i="81"/>
  <c r="AM123" i="81"/>
  <c r="AL123" i="81"/>
  <c r="AK123" i="81"/>
  <c r="AJ123" i="81"/>
  <c r="AB123" i="81"/>
  <c r="W123" i="81"/>
  <c r="S123" i="81"/>
  <c r="K123" i="81"/>
  <c r="AO122" i="81"/>
  <c r="AN122" i="81"/>
  <c r="AM122" i="81"/>
  <c r="AL122" i="81"/>
  <c r="AK122" i="81"/>
  <c r="AJ122" i="81"/>
  <c r="AB122" i="81"/>
  <c r="W122" i="81"/>
  <c r="AP122" i="81" s="1"/>
  <c r="S122" i="81"/>
  <c r="K122" i="81"/>
  <c r="AO121" i="81"/>
  <c r="AN121" i="81"/>
  <c r="AM121" i="81"/>
  <c r="AL121" i="81"/>
  <c r="AK121" i="81"/>
  <c r="AJ121" i="81"/>
  <c r="AB121" i="81"/>
  <c r="S121" i="81"/>
  <c r="W121" i="81" s="1"/>
  <c r="AP121" i="81" s="1"/>
  <c r="K121" i="81"/>
  <c r="AO120" i="81"/>
  <c r="AN120" i="81"/>
  <c r="AM120" i="81"/>
  <c r="AL120" i="81"/>
  <c r="AK120" i="81"/>
  <c r="AJ120" i="81"/>
  <c r="AB120" i="81"/>
  <c r="W120" i="81"/>
  <c r="AP120" i="81" s="1"/>
  <c r="S120" i="81"/>
  <c r="K120" i="81"/>
  <c r="AO119" i="81"/>
  <c r="AN119" i="81"/>
  <c r="AM119" i="81"/>
  <c r="AL119" i="81"/>
  <c r="AK119" i="81"/>
  <c r="AJ119" i="81"/>
  <c r="AB119" i="81"/>
  <c r="S119" i="81"/>
  <c r="W119" i="81" s="1"/>
  <c r="AP119" i="81" s="1"/>
  <c r="K119" i="81"/>
  <c r="AO118" i="81"/>
  <c r="AN118" i="81"/>
  <c r="AM118" i="81"/>
  <c r="AL118" i="81"/>
  <c r="AK118" i="81"/>
  <c r="AJ118" i="81"/>
  <c r="AB118" i="81"/>
  <c r="S118" i="81"/>
  <c r="W118" i="81" s="1"/>
  <c r="AP118" i="81" s="1"/>
  <c r="K118" i="81"/>
  <c r="BA117" i="81"/>
  <c r="AO117" i="81"/>
  <c r="AN117" i="81"/>
  <c r="AM117" i="81"/>
  <c r="AL117" i="81"/>
  <c r="AK117" i="81"/>
  <c r="AJ117" i="81"/>
  <c r="AB117" i="81"/>
  <c r="S117" i="81"/>
  <c r="W117" i="81" s="1"/>
  <c r="K117" i="81"/>
  <c r="BA116" i="81"/>
  <c r="AO116" i="81" s="1"/>
  <c r="AN116" i="81"/>
  <c r="AM116" i="81"/>
  <c r="AL116" i="81"/>
  <c r="AK116" i="81"/>
  <c r="AJ116" i="81"/>
  <c r="AB116" i="81"/>
  <c r="W116" i="81"/>
  <c r="AP116" i="81" s="1"/>
  <c r="S116" i="81"/>
  <c r="K116" i="81"/>
  <c r="BA115" i="81"/>
  <c r="AO115" i="81" s="1"/>
  <c r="AN115" i="81"/>
  <c r="AM115" i="81"/>
  <c r="AL115" i="81"/>
  <c r="AK115" i="81"/>
  <c r="AJ115" i="81"/>
  <c r="AB115" i="81"/>
  <c r="S115" i="81"/>
  <c r="W115" i="81" s="1"/>
  <c r="AP115" i="81" s="1"/>
  <c r="K115" i="81"/>
  <c r="AQ115" i="81" s="1"/>
  <c r="BA114" i="81"/>
  <c r="AO114" i="81"/>
  <c r="AN114" i="81"/>
  <c r="AM114" i="81"/>
  <c r="AL114" i="81"/>
  <c r="AK114" i="81"/>
  <c r="AJ114" i="81"/>
  <c r="AB114" i="81"/>
  <c r="W114" i="81"/>
  <c r="AP114" i="81" s="1"/>
  <c r="S114" i="81"/>
  <c r="K114" i="81"/>
  <c r="BA113" i="81"/>
  <c r="AO113" i="81" s="1"/>
  <c r="AN113" i="81"/>
  <c r="AM113" i="81"/>
  <c r="AL113" i="81"/>
  <c r="AK113" i="81"/>
  <c r="AJ113" i="81"/>
  <c r="AB113" i="81"/>
  <c r="W113" i="81"/>
  <c r="AP113" i="81" s="1"/>
  <c r="AQ113" i="81" s="1"/>
  <c r="S113" i="81"/>
  <c r="K113" i="81"/>
  <c r="BA112" i="81"/>
  <c r="AO112" i="81" s="1"/>
  <c r="AN112" i="81"/>
  <c r="AM112" i="81"/>
  <c r="AL112" i="81"/>
  <c r="AK112" i="81"/>
  <c r="AJ112" i="81"/>
  <c r="AB112" i="81"/>
  <c r="S112" i="81"/>
  <c r="W112" i="81" s="1"/>
  <c r="AP112" i="81" s="1"/>
  <c r="K112" i="81"/>
  <c r="BA111" i="81"/>
  <c r="AO111" i="81" s="1"/>
  <c r="AN111" i="81"/>
  <c r="AM111" i="81"/>
  <c r="AL111" i="81"/>
  <c r="AK111" i="81"/>
  <c r="AJ111" i="81"/>
  <c r="AB111" i="81"/>
  <c r="S111" i="81"/>
  <c r="W111" i="81" s="1"/>
  <c r="K111" i="81"/>
  <c r="BA110" i="81"/>
  <c r="AO110" i="81"/>
  <c r="AN110" i="81"/>
  <c r="AM110" i="81"/>
  <c r="AL110" i="81"/>
  <c r="AK110" i="81"/>
  <c r="AJ110" i="81"/>
  <c r="AB110" i="81"/>
  <c r="S110" i="81"/>
  <c r="W110" i="81" s="1"/>
  <c r="AP110" i="81" s="1"/>
  <c r="K110" i="81"/>
  <c r="BA109" i="81"/>
  <c r="AO109" i="81"/>
  <c r="AN109" i="81"/>
  <c r="AM109" i="81"/>
  <c r="AL109" i="81"/>
  <c r="AK109" i="81"/>
  <c r="AJ109" i="81"/>
  <c r="AB109" i="81"/>
  <c r="S109" i="81"/>
  <c r="W109" i="81" s="1"/>
  <c r="AP109" i="81" s="1"/>
  <c r="AQ109" i="81" s="1"/>
  <c r="K109" i="81"/>
  <c r="BA108" i="81"/>
  <c r="AO108" i="81" s="1"/>
  <c r="AN108" i="81"/>
  <c r="AM108" i="81"/>
  <c r="AL108" i="81"/>
  <c r="AK108" i="81"/>
  <c r="AJ108" i="81"/>
  <c r="AB108" i="81"/>
  <c r="W108" i="81"/>
  <c r="AP108" i="81" s="1"/>
  <c r="S108" i="81"/>
  <c r="K108" i="81"/>
  <c r="BA107" i="81"/>
  <c r="AO107" i="81" s="1"/>
  <c r="AN107" i="81"/>
  <c r="AM107" i="81"/>
  <c r="AL107" i="81"/>
  <c r="AK107" i="81"/>
  <c r="AJ107" i="81"/>
  <c r="AB107" i="81"/>
  <c r="S107" i="81"/>
  <c r="W107" i="81" s="1"/>
  <c r="AP107" i="81" s="1"/>
  <c r="K107" i="81"/>
  <c r="AQ107" i="81" s="1"/>
  <c r="BA106" i="81"/>
  <c r="AO106" i="81"/>
  <c r="AN106" i="81"/>
  <c r="AM106" i="81"/>
  <c r="AL106" i="81"/>
  <c r="AK106" i="81"/>
  <c r="AJ106" i="81"/>
  <c r="AB106" i="81"/>
  <c r="W106" i="81"/>
  <c r="AP106" i="81" s="1"/>
  <c r="S106" i="81"/>
  <c r="K106" i="81"/>
  <c r="BA105" i="81"/>
  <c r="AO105" i="81" s="1"/>
  <c r="AN105" i="81"/>
  <c r="AM105" i="81"/>
  <c r="AL105" i="81"/>
  <c r="AK105" i="81"/>
  <c r="AJ105" i="81"/>
  <c r="AB105" i="81"/>
  <c r="S105" i="81"/>
  <c r="W105" i="81" s="1"/>
  <c r="AP105" i="81" s="1"/>
  <c r="AQ105" i="81" s="1"/>
  <c r="K105" i="81"/>
  <c r="BA104" i="81"/>
  <c r="AO104" i="81" s="1"/>
  <c r="AN104" i="81"/>
  <c r="AM104" i="81"/>
  <c r="AL104" i="81"/>
  <c r="AK104" i="81"/>
  <c r="AJ104" i="81"/>
  <c r="AB104" i="81"/>
  <c r="S104" i="81"/>
  <c r="W104" i="81" s="1"/>
  <c r="AP104" i="81" s="1"/>
  <c r="K104" i="81"/>
  <c r="BA103" i="81"/>
  <c r="AO103" i="81" s="1"/>
  <c r="AN103" i="81"/>
  <c r="AP103" i="81" s="1"/>
  <c r="AQ103" i="81" s="1"/>
  <c r="AM103" i="81"/>
  <c r="AL103" i="81"/>
  <c r="AK103" i="81"/>
  <c r="S103" i="81"/>
  <c r="BA102" i="81"/>
  <c r="AO102" i="81"/>
  <c r="AN102" i="81"/>
  <c r="AM102" i="81"/>
  <c r="AL102" i="81"/>
  <c r="AK102" i="81"/>
  <c r="AJ102" i="81"/>
  <c r="AB102" i="81"/>
  <c r="W102" i="81"/>
  <c r="AP102" i="81" s="1"/>
  <c r="S102" i="81"/>
  <c r="K102" i="81"/>
  <c r="BA101" i="81"/>
  <c r="AO101" i="81" s="1"/>
  <c r="AN101" i="81"/>
  <c r="AM101" i="81"/>
  <c r="AL101" i="81"/>
  <c r="AK101" i="81"/>
  <c r="AJ101" i="81"/>
  <c r="AB101" i="81"/>
  <c r="S101" i="81"/>
  <c r="W101" i="81" s="1"/>
  <c r="AP101" i="81" s="1"/>
  <c r="AQ101" i="81" s="1"/>
  <c r="K101" i="81"/>
  <c r="BA100" i="81"/>
  <c r="AO100" i="81" s="1"/>
  <c r="AN100" i="81"/>
  <c r="AM100" i="81"/>
  <c r="AL100" i="81"/>
  <c r="AK100" i="81"/>
  <c r="AJ100" i="81"/>
  <c r="AB100" i="81"/>
  <c r="W100" i="81"/>
  <c r="S100" i="81"/>
  <c r="K100" i="81"/>
  <c r="BA99" i="81"/>
  <c r="AO99" i="81" s="1"/>
  <c r="AN99" i="81"/>
  <c r="AM99" i="81"/>
  <c r="AL99" i="81"/>
  <c r="AK99" i="81"/>
  <c r="AJ99" i="81"/>
  <c r="AB99" i="81"/>
  <c r="S99" i="81"/>
  <c r="W99" i="81" s="1"/>
  <c r="AP99" i="81" s="1"/>
  <c r="K99" i="81"/>
  <c r="BA98" i="81"/>
  <c r="AO98" i="81"/>
  <c r="AN98" i="81"/>
  <c r="AM98" i="81"/>
  <c r="AL98" i="81"/>
  <c r="AK98" i="81"/>
  <c r="AJ98" i="81"/>
  <c r="AB98" i="81"/>
  <c r="S98" i="81"/>
  <c r="W98" i="81" s="1"/>
  <c r="AP98" i="81" s="1"/>
  <c r="K98" i="81"/>
  <c r="BA97" i="81"/>
  <c r="AO97" i="81" s="1"/>
  <c r="AN97" i="81"/>
  <c r="AM97" i="81"/>
  <c r="AL97" i="81"/>
  <c r="AK97" i="81"/>
  <c r="AJ97" i="81"/>
  <c r="AB97" i="81"/>
  <c r="S97" i="81"/>
  <c r="W97" i="81" s="1"/>
  <c r="AP97" i="81" s="1"/>
  <c r="AQ97" i="81" s="1"/>
  <c r="K97" i="81"/>
  <c r="BA96" i="81"/>
  <c r="AO96" i="81" s="1"/>
  <c r="AN96" i="81"/>
  <c r="AM96" i="81"/>
  <c r="AL96" i="81"/>
  <c r="AK96" i="81"/>
  <c r="AJ96" i="81"/>
  <c r="AB96" i="81"/>
  <c r="W96" i="81"/>
  <c r="S96" i="81"/>
  <c r="K96" i="81"/>
  <c r="BA95" i="81"/>
  <c r="AO95" i="81"/>
  <c r="AN95" i="81"/>
  <c r="AM95" i="81"/>
  <c r="AL95" i="81"/>
  <c r="AK95" i="81"/>
  <c r="AJ95" i="81"/>
  <c r="AB95" i="81"/>
  <c r="S95" i="81"/>
  <c r="W95" i="81" s="1"/>
  <c r="K95" i="81"/>
  <c r="BA94" i="81"/>
  <c r="AO94" i="81"/>
  <c r="AN94" i="81"/>
  <c r="AM94" i="81"/>
  <c r="AL94" i="81"/>
  <c r="AK94" i="81"/>
  <c r="AJ94" i="81"/>
  <c r="AB94" i="81"/>
  <c r="W94" i="81"/>
  <c r="AP94" i="81" s="1"/>
  <c r="S94" i="81"/>
  <c r="K94" i="81"/>
  <c r="BA93" i="81"/>
  <c r="AO93" i="81" s="1"/>
  <c r="AN93" i="81"/>
  <c r="AM93" i="81"/>
  <c r="AL93" i="81"/>
  <c r="AK93" i="81"/>
  <c r="AJ93" i="81"/>
  <c r="AB93" i="81"/>
  <c r="S93" i="81"/>
  <c r="W93" i="81" s="1"/>
  <c r="AP93" i="81" s="1"/>
  <c r="AQ93" i="81" s="1"/>
  <c r="K93" i="81"/>
  <c r="BA92" i="81"/>
  <c r="AO92" i="81" s="1"/>
  <c r="AN92" i="81"/>
  <c r="AM92" i="81"/>
  <c r="AL92" i="81"/>
  <c r="AK92" i="81"/>
  <c r="AJ92" i="81"/>
  <c r="AB92" i="81"/>
  <c r="W92" i="81"/>
  <c r="S92" i="81"/>
  <c r="K92" i="81"/>
  <c r="BA91" i="81"/>
  <c r="AO91" i="81" s="1"/>
  <c r="AN91" i="81"/>
  <c r="AM91" i="81"/>
  <c r="AL91" i="81"/>
  <c r="AK91" i="81"/>
  <c r="AJ91" i="81"/>
  <c r="AB91" i="81"/>
  <c r="S91" i="81"/>
  <c r="W91" i="81" s="1"/>
  <c r="AP91" i="81" s="1"/>
  <c r="K91" i="81"/>
  <c r="BA90" i="81"/>
  <c r="AO90" i="81"/>
  <c r="AN90" i="81"/>
  <c r="AM90" i="81"/>
  <c r="AL90" i="81"/>
  <c r="AK90" i="81"/>
  <c r="AJ90" i="81"/>
  <c r="AB90" i="81"/>
  <c r="S90" i="81"/>
  <c r="W90" i="81" s="1"/>
  <c r="AP90" i="81" s="1"/>
  <c r="K90" i="81"/>
  <c r="BA89" i="81"/>
  <c r="AO89" i="81" s="1"/>
  <c r="AN89" i="81"/>
  <c r="AM89" i="81"/>
  <c r="AL89" i="81"/>
  <c r="AK89" i="81"/>
  <c r="AJ89" i="81"/>
  <c r="AB89" i="81"/>
  <c r="S89" i="81"/>
  <c r="W89" i="81" s="1"/>
  <c r="AP89" i="81" s="1"/>
  <c r="AQ89" i="81" s="1"/>
  <c r="K89" i="81"/>
  <c r="BA88" i="81"/>
  <c r="AO88" i="81" s="1"/>
  <c r="AN88" i="81"/>
  <c r="AM88" i="81"/>
  <c r="AL88" i="81"/>
  <c r="AK88" i="81"/>
  <c r="AJ88" i="81"/>
  <c r="AB88" i="81"/>
  <c r="S88" i="81"/>
  <c r="W88" i="81" s="1"/>
  <c r="K88" i="81"/>
  <c r="AO87" i="81"/>
  <c r="AN87" i="81"/>
  <c r="AM87" i="81"/>
  <c r="AL87" i="81"/>
  <c r="AK87" i="81"/>
  <c r="AJ87" i="81"/>
  <c r="AB87" i="81"/>
  <c r="S87" i="81"/>
  <c r="W87" i="81" s="1"/>
  <c r="K87" i="81"/>
  <c r="BA86" i="81"/>
  <c r="AO86" i="81" s="1"/>
  <c r="AN86" i="81"/>
  <c r="AM86" i="81"/>
  <c r="AL86" i="81"/>
  <c r="AK86" i="81"/>
  <c r="AJ86" i="81"/>
  <c r="AB86" i="81"/>
  <c r="S86" i="81"/>
  <c r="W86" i="81" s="1"/>
  <c r="AP86" i="81" s="1"/>
  <c r="K86" i="81"/>
  <c r="BA85" i="81"/>
  <c r="AO85" i="81" s="1"/>
  <c r="AN85" i="81"/>
  <c r="AM85" i="81"/>
  <c r="AL85" i="81"/>
  <c r="AK85" i="81"/>
  <c r="AJ85" i="81"/>
  <c r="AB85" i="81"/>
  <c r="W85" i="81"/>
  <c r="AP85" i="81" s="1"/>
  <c r="S85" i="81"/>
  <c r="K85" i="81"/>
  <c r="BA84" i="81"/>
  <c r="AO84" i="81"/>
  <c r="AN84" i="81"/>
  <c r="AM84" i="81"/>
  <c r="AL84" i="81"/>
  <c r="AK84" i="81"/>
  <c r="AJ84" i="81"/>
  <c r="AB84" i="81"/>
  <c r="S84" i="81"/>
  <c r="W84" i="81" s="1"/>
  <c r="AP84" i="81" s="1"/>
  <c r="AQ84" i="81" s="1"/>
  <c r="K84" i="81"/>
  <c r="BA83" i="81"/>
  <c r="AO83" i="81" s="1"/>
  <c r="AN83" i="81"/>
  <c r="AM83" i="81"/>
  <c r="AL83" i="81"/>
  <c r="AK83" i="81"/>
  <c r="AJ83" i="81"/>
  <c r="AB83" i="81"/>
  <c r="S83" i="81"/>
  <c r="W83" i="81" s="1"/>
  <c r="K83" i="81"/>
  <c r="BA82" i="81"/>
  <c r="AO82" i="81"/>
  <c r="AN82" i="81"/>
  <c r="AM82" i="81"/>
  <c r="AL82" i="81"/>
  <c r="AK82" i="81"/>
  <c r="AJ82" i="81"/>
  <c r="AB82" i="81"/>
  <c r="S82" i="81"/>
  <c r="W82" i="81" s="1"/>
  <c r="K82" i="81"/>
  <c r="BA81" i="81"/>
  <c r="AO81" i="81"/>
  <c r="AN81" i="81"/>
  <c r="AM81" i="81"/>
  <c r="AL81" i="81"/>
  <c r="AK81" i="81"/>
  <c r="AJ81" i="81"/>
  <c r="AB81" i="81"/>
  <c r="S81" i="81"/>
  <c r="W81" i="81" s="1"/>
  <c r="AP81" i="81" s="1"/>
  <c r="K81" i="81"/>
  <c r="BA80" i="81"/>
  <c r="AO80" i="81"/>
  <c r="AN80" i="81"/>
  <c r="AM80" i="81"/>
  <c r="AL80" i="81"/>
  <c r="AK80" i="81"/>
  <c r="AJ80" i="81"/>
  <c r="AB80" i="81"/>
  <c r="W80" i="81"/>
  <c r="AP80" i="81" s="1"/>
  <c r="AQ80" i="81" s="1"/>
  <c r="S80" i="81"/>
  <c r="K80" i="81"/>
  <c r="BA79" i="81"/>
  <c r="AO79" i="81" s="1"/>
  <c r="AN79" i="81"/>
  <c r="AM79" i="81"/>
  <c r="AL79" i="81"/>
  <c r="AK79" i="81"/>
  <c r="AJ79" i="81"/>
  <c r="AB79" i="81"/>
  <c r="S79" i="81"/>
  <c r="W79" i="81" s="1"/>
  <c r="AP79" i="81" s="1"/>
  <c r="K79" i="81"/>
  <c r="BA78" i="81"/>
  <c r="AO78" i="81" s="1"/>
  <c r="AN78" i="81"/>
  <c r="AM78" i="81"/>
  <c r="AL78" i="81"/>
  <c r="AK78" i="81"/>
  <c r="AJ78" i="81"/>
  <c r="AB78" i="81"/>
  <c r="S78" i="81"/>
  <c r="W78" i="81" s="1"/>
  <c r="AP78" i="81" s="1"/>
  <c r="K78" i="81"/>
  <c r="BA77" i="81"/>
  <c r="AO77" i="81"/>
  <c r="AN77" i="81"/>
  <c r="AM77" i="81"/>
  <c r="AL77" i="81"/>
  <c r="AK77" i="81"/>
  <c r="AJ77" i="81"/>
  <c r="AB77" i="81"/>
  <c r="S77" i="81"/>
  <c r="W77" i="81" s="1"/>
  <c r="AP77" i="81" s="1"/>
  <c r="K77" i="81"/>
  <c r="BA76" i="81"/>
  <c r="AO76" i="81" s="1"/>
  <c r="AN76" i="81"/>
  <c r="AM76" i="81"/>
  <c r="AL76" i="81"/>
  <c r="AK76" i="81"/>
  <c r="AJ76" i="81"/>
  <c r="AB76" i="81"/>
  <c r="S76" i="81"/>
  <c r="W76" i="81" s="1"/>
  <c r="AP76" i="81" s="1"/>
  <c r="AQ76" i="81" s="1"/>
  <c r="K76" i="81"/>
  <c r="BA75" i="81"/>
  <c r="AO75" i="81" s="1"/>
  <c r="AN75" i="81"/>
  <c r="AM75" i="81"/>
  <c r="AL75" i="81"/>
  <c r="AK75" i="81"/>
  <c r="AJ75" i="81"/>
  <c r="AB75" i="81"/>
  <c r="S75" i="81"/>
  <c r="W75" i="81" s="1"/>
  <c r="K75" i="81"/>
  <c r="BA74" i="81"/>
  <c r="AO74" i="81"/>
  <c r="AN74" i="81"/>
  <c r="AM74" i="81"/>
  <c r="AL74" i="81"/>
  <c r="AK74" i="81"/>
  <c r="AJ74" i="81"/>
  <c r="AB74" i="81"/>
  <c r="W74" i="81"/>
  <c r="AP74" i="81" s="1"/>
  <c r="S74" i="81"/>
  <c r="K74" i="81"/>
  <c r="AQ74" i="81" s="1"/>
  <c r="BA73" i="81"/>
  <c r="AO73" i="81"/>
  <c r="AN73" i="81"/>
  <c r="AM73" i="81"/>
  <c r="AL73" i="81"/>
  <c r="AK73" i="81"/>
  <c r="AJ73" i="81"/>
  <c r="AB73" i="81"/>
  <c r="W73" i="81"/>
  <c r="AP73" i="81" s="1"/>
  <c r="S73" i="81"/>
  <c r="K73" i="81"/>
  <c r="BA72" i="81"/>
  <c r="AO72" i="81" s="1"/>
  <c r="AN72" i="81"/>
  <c r="AM72" i="81"/>
  <c r="AL72" i="81"/>
  <c r="AK72" i="81"/>
  <c r="AJ72" i="81"/>
  <c r="AB72" i="81"/>
  <c r="S72" i="81"/>
  <c r="W72" i="81" s="1"/>
  <c r="AP72" i="81" s="1"/>
  <c r="AQ72" i="81" s="1"/>
  <c r="K72" i="81"/>
  <c r="BA71" i="81"/>
  <c r="AO71" i="81" s="1"/>
  <c r="AN71" i="81"/>
  <c r="AM71" i="81"/>
  <c r="AL71" i="81"/>
  <c r="AK71" i="81"/>
  <c r="AJ71" i="81"/>
  <c r="AB71" i="81"/>
  <c r="S71" i="81"/>
  <c r="W71" i="81" s="1"/>
  <c r="AP71" i="81" s="1"/>
  <c r="K71" i="81"/>
  <c r="BA70" i="81"/>
  <c r="AO70" i="81"/>
  <c r="AN70" i="81"/>
  <c r="AM70" i="81"/>
  <c r="AL70" i="81"/>
  <c r="AK70" i="81"/>
  <c r="AJ70" i="81"/>
  <c r="AB70" i="81"/>
  <c r="S70" i="81"/>
  <c r="W70" i="81" s="1"/>
  <c r="AP70" i="81" s="1"/>
  <c r="K70" i="81"/>
  <c r="AQ70" i="81" s="1"/>
  <c r="BA69" i="81"/>
  <c r="AO69" i="81" s="1"/>
  <c r="AN69" i="81"/>
  <c r="AM69" i="81"/>
  <c r="AL69" i="81"/>
  <c r="AK69" i="81"/>
  <c r="AJ69" i="81"/>
  <c r="AB69" i="81"/>
  <c r="S69" i="81"/>
  <c r="W69" i="81" s="1"/>
  <c r="AP69" i="81" s="1"/>
  <c r="K69" i="81"/>
  <c r="BA68" i="81"/>
  <c r="AO68" i="81" s="1"/>
  <c r="AN68" i="81"/>
  <c r="AM68" i="81"/>
  <c r="AL68" i="81"/>
  <c r="AK68" i="81"/>
  <c r="AJ68" i="81"/>
  <c r="AB68" i="81"/>
  <c r="S68" i="81"/>
  <c r="W68" i="81" s="1"/>
  <c r="AP68" i="81" s="1"/>
  <c r="AQ68" i="81" s="1"/>
  <c r="K68" i="81"/>
  <c r="BA67" i="81"/>
  <c r="AO67" i="81" s="1"/>
  <c r="AN67" i="81"/>
  <c r="AM67" i="81"/>
  <c r="AL67" i="81"/>
  <c r="AK67" i="81"/>
  <c r="AJ67" i="81"/>
  <c r="AB67" i="81"/>
  <c r="S67" i="81"/>
  <c r="W67" i="81" s="1"/>
  <c r="K67" i="81"/>
  <c r="BA66" i="81"/>
  <c r="AO66" i="81"/>
  <c r="AN66" i="81"/>
  <c r="AM66" i="81"/>
  <c r="AL66" i="81"/>
  <c r="AK66" i="81"/>
  <c r="AJ66" i="81"/>
  <c r="AB66" i="81"/>
  <c r="S66" i="81"/>
  <c r="W66" i="81" s="1"/>
  <c r="AP66" i="81" s="1"/>
  <c r="K66" i="81"/>
  <c r="BA65" i="81"/>
  <c r="AO65" i="81"/>
  <c r="AN65" i="81"/>
  <c r="AM65" i="81"/>
  <c r="AL65" i="81"/>
  <c r="AK65" i="81"/>
  <c r="AJ65" i="81"/>
  <c r="AB65" i="81"/>
  <c r="S65" i="81"/>
  <c r="W65" i="81" s="1"/>
  <c r="AP65" i="81" s="1"/>
  <c r="K65" i="81"/>
  <c r="BA64" i="81"/>
  <c r="AO64" i="81" s="1"/>
  <c r="AN64" i="81"/>
  <c r="AM64" i="81"/>
  <c r="AL64" i="81"/>
  <c r="AK64" i="81"/>
  <c r="AJ64" i="81"/>
  <c r="AB64" i="81"/>
  <c r="W64" i="81"/>
  <c r="AP64" i="81" s="1"/>
  <c r="AQ64" i="81" s="1"/>
  <c r="S64" i="81"/>
  <c r="K64" i="81"/>
  <c r="BA63" i="81"/>
  <c r="AO63" i="81" s="1"/>
  <c r="AN63" i="81"/>
  <c r="AM63" i="81"/>
  <c r="AL63" i="81"/>
  <c r="AK63" i="81"/>
  <c r="AJ63" i="81"/>
  <c r="AB63" i="81"/>
  <c r="S63" i="81"/>
  <c r="W63" i="81" s="1"/>
  <c r="K63" i="81"/>
  <c r="BA62" i="81"/>
  <c r="AO62" i="81" s="1"/>
  <c r="AN62" i="81"/>
  <c r="AM62" i="81"/>
  <c r="AL62" i="81"/>
  <c r="AK62" i="81"/>
  <c r="AJ62" i="81"/>
  <c r="AB62" i="81"/>
  <c r="S62" i="81"/>
  <c r="W62" i="81" s="1"/>
  <c r="AP62" i="81" s="1"/>
  <c r="AQ62" i="81" s="1"/>
  <c r="K62" i="81"/>
  <c r="BA61" i="81"/>
  <c r="AO61" i="81" s="1"/>
  <c r="AQ61" i="81"/>
  <c r="AN61" i="81"/>
  <c r="AM61" i="81"/>
  <c r="AL61" i="81"/>
  <c r="AK61" i="81"/>
  <c r="AJ61" i="81"/>
  <c r="AB61" i="81"/>
  <c r="S61" i="81"/>
  <c r="W61" i="81" s="1"/>
  <c r="AP61" i="81" s="1"/>
  <c r="K61" i="81"/>
  <c r="BA60" i="81"/>
  <c r="AO60" i="81" s="1"/>
  <c r="AN60" i="81"/>
  <c r="AM60" i="81"/>
  <c r="AL60" i="81"/>
  <c r="AK60" i="81"/>
  <c r="AJ60" i="81"/>
  <c r="AB60" i="81"/>
  <c r="S60" i="81"/>
  <c r="W60" i="81" s="1"/>
  <c r="K60" i="81"/>
  <c r="BA59" i="81"/>
  <c r="AO59" i="81"/>
  <c r="AN59" i="81"/>
  <c r="AM59" i="81"/>
  <c r="AL59" i="81"/>
  <c r="AK59" i="81"/>
  <c r="AJ59" i="81"/>
  <c r="AB59" i="81"/>
  <c r="S59" i="81"/>
  <c r="W59" i="81" s="1"/>
  <c r="AP59" i="81" s="1"/>
  <c r="K59" i="81"/>
  <c r="BA58" i="81"/>
  <c r="AO58" i="81" s="1"/>
  <c r="AN58" i="81"/>
  <c r="AM58" i="81"/>
  <c r="AL58" i="81"/>
  <c r="AK58" i="81"/>
  <c r="AJ58" i="81"/>
  <c r="AB58" i="81"/>
  <c r="W58" i="81"/>
  <c r="AP58" i="81" s="1"/>
  <c r="AQ58" i="81" s="1"/>
  <c r="S58" i="81"/>
  <c r="K58" i="81"/>
  <c r="BA57" i="81"/>
  <c r="AO57" i="81" s="1"/>
  <c r="AQ57" i="81"/>
  <c r="AN57" i="81"/>
  <c r="AM57" i="81"/>
  <c r="AL57" i="81"/>
  <c r="AK57" i="81"/>
  <c r="AJ57" i="81"/>
  <c r="AB57" i="81"/>
  <c r="S57" i="81"/>
  <c r="W57" i="81" s="1"/>
  <c r="AP57" i="81" s="1"/>
  <c r="K57" i="81"/>
  <c r="BA56" i="81"/>
  <c r="AO56" i="81" s="1"/>
  <c r="AN56" i="81"/>
  <c r="AM56" i="81"/>
  <c r="AL56" i="81"/>
  <c r="AK56" i="81"/>
  <c r="AJ56" i="81"/>
  <c r="AB56" i="81"/>
  <c r="S56" i="81"/>
  <c r="W56" i="81" s="1"/>
  <c r="K56" i="81"/>
  <c r="BA55" i="81"/>
  <c r="AO55" i="81"/>
  <c r="AN55" i="81"/>
  <c r="AM55" i="81"/>
  <c r="AL55" i="81"/>
  <c r="AK55" i="81"/>
  <c r="AJ55" i="81"/>
  <c r="AB55" i="81"/>
  <c r="S55" i="81"/>
  <c r="W55" i="81" s="1"/>
  <c r="K55" i="81"/>
  <c r="BA54" i="81"/>
  <c r="AO54" i="81" s="1"/>
  <c r="AN54" i="81"/>
  <c r="AM54" i="81"/>
  <c r="AL54" i="81"/>
  <c r="AK54" i="81"/>
  <c r="AJ54" i="81"/>
  <c r="AB54" i="81"/>
  <c r="W54" i="81"/>
  <c r="AP54" i="81" s="1"/>
  <c r="AQ54" i="81" s="1"/>
  <c r="S54" i="81"/>
  <c r="K54" i="81"/>
  <c r="BA53" i="81"/>
  <c r="AO53" i="81" s="1"/>
  <c r="AN53" i="81"/>
  <c r="AM53" i="81"/>
  <c r="AL53" i="81"/>
  <c r="AK53" i="81"/>
  <c r="AJ53" i="81"/>
  <c r="AB53" i="81"/>
  <c r="S53" i="81"/>
  <c r="W53" i="81" s="1"/>
  <c r="AP53" i="81" s="1"/>
  <c r="K53" i="81"/>
  <c r="AQ53" i="81" s="1"/>
  <c r="BA52" i="81"/>
  <c r="AO52" i="81" s="1"/>
  <c r="AN52" i="81"/>
  <c r="AM52" i="81"/>
  <c r="AL52" i="81"/>
  <c r="AK52" i="81"/>
  <c r="AJ52" i="81"/>
  <c r="AB52" i="81"/>
  <c r="S52" i="81"/>
  <c r="W52" i="81" s="1"/>
  <c r="K52" i="81"/>
  <c r="BA51" i="81"/>
  <c r="AO51" i="81"/>
  <c r="AN51" i="81"/>
  <c r="AM51" i="81"/>
  <c r="AL51" i="81"/>
  <c r="AK51" i="81"/>
  <c r="AJ51" i="81"/>
  <c r="AB51" i="81"/>
  <c r="S51" i="81"/>
  <c r="W51" i="81" s="1"/>
  <c r="K51" i="81"/>
  <c r="BA50" i="81"/>
  <c r="AO50" i="81" s="1"/>
  <c r="AP50" i="81"/>
  <c r="AN50" i="81"/>
  <c r="AM50" i="81"/>
  <c r="AL50" i="81"/>
  <c r="AK50" i="81"/>
  <c r="AJ50" i="81"/>
  <c r="AB50" i="81"/>
  <c r="W50" i="81"/>
  <c r="S50" i="81"/>
  <c r="K50" i="81"/>
  <c r="BA49" i="81"/>
  <c r="AO49" i="81" s="1"/>
  <c r="AQ49" i="81"/>
  <c r="AN49" i="81"/>
  <c r="AM49" i="81"/>
  <c r="AL49" i="81"/>
  <c r="AK49" i="81"/>
  <c r="AJ49" i="81"/>
  <c r="AB49" i="81"/>
  <c r="S49" i="81"/>
  <c r="W49" i="81" s="1"/>
  <c r="AP49" i="81" s="1"/>
  <c r="K49" i="81"/>
  <c r="BA48" i="81"/>
  <c r="AO48" i="81" s="1"/>
  <c r="AN48" i="81"/>
  <c r="AM48" i="81"/>
  <c r="AL48" i="81"/>
  <c r="AK48" i="81"/>
  <c r="AJ48" i="81"/>
  <c r="AB48" i="81"/>
  <c r="S48" i="81"/>
  <c r="W48" i="81" s="1"/>
  <c r="K48" i="81"/>
  <c r="BA47" i="81"/>
  <c r="AO47" i="81"/>
  <c r="AN47" i="81"/>
  <c r="AM47" i="81"/>
  <c r="AL47" i="81"/>
  <c r="AK47" i="81"/>
  <c r="AJ47" i="81"/>
  <c r="AB47" i="81"/>
  <c r="S47" i="81"/>
  <c r="W47" i="81" s="1"/>
  <c r="AP47" i="81" s="1"/>
  <c r="K47" i="81"/>
  <c r="BA46" i="81"/>
  <c r="AO46" i="81" s="1"/>
  <c r="AN46" i="81"/>
  <c r="AM46" i="81"/>
  <c r="AL46" i="81"/>
  <c r="AK46" i="81"/>
  <c r="AJ46" i="81"/>
  <c r="AB46" i="81"/>
  <c r="W46" i="81"/>
  <c r="AP46" i="81" s="1"/>
  <c r="AQ46" i="81" s="1"/>
  <c r="S46" i="81"/>
  <c r="K46" i="81"/>
  <c r="BA45" i="81"/>
  <c r="AO45" i="81" s="1"/>
  <c r="AQ45" i="81"/>
  <c r="AN45" i="81"/>
  <c r="AM45" i="81"/>
  <c r="AL45" i="81"/>
  <c r="AK45" i="81"/>
  <c r="AJ45" i="81"/>
  <c r="AB45" i="81"/>
  <c r="S45" i="81"/>
  <c r="W45" i="81" s="1"/>
  <c r="AP45" i="81" s="1"/>
  <c r="K45" i="81"/>
  <c r="BA44" i="81"/>
  <c r="AO44" i="81" s="1"/>
  <c r="AN44" i="81"/>
  <c r="AM44" i="81"/>
  <c r="AL44" i="81"/>
  <c r="AK44" i="81"/>
  <c r="AJ44" i="81"/>
  <c r="AB44" i="81"/>
  <c r="S44" i="81"/>
  <c r="W44" i="81" s="1"/>
  <c r="K44" i="81"/>
  <c r="BA43" i="81"/>
  <c r="AO43" i="81"/>
  <c r="AN43" i="81"/>
  <c r="AM43" i="81"/>
  <c r="AL43" i="81"/>
  <c r="AK43" i="81"/>
  <c r="AJ43" i="81"/>
  <c r="AB43" i="81"/>
  <c r="S43" i="81"/>
  <c r="W43" i="81" s="1"/>
  <c r="K43" i="81"/>
  <c r="BA42" i="81"/>
  <c r="AO42" i="81" s="1"/>
  <c r="AN42" i="81"/>
  <c r="AM42" i="81"/>
  <c r="AL42" i="81"/>
  <c r="AK42" i="81"/>
  <c r="AJ42" i="81"/>
  <c r="AB42" i="81"/>
  <c r="W42" i="81"/>
  <c r="AP42" i="81" s="1"/>
  <c r="AQ42" i="81" s="1"/>
  <c r="S42" i="81"/>
  <c r="K42" i="81"/>
  <c r="BA41" i="81"/>
  <c r="AO41" i="81" s="1"/>
  <c r="AN41" i="81"/>
  <c r="AM41" i="81"/>
  <c r="AL41" i="81"/>
  <c r="AK41" i="81"/>
  <c r="AJ41" i="81"/>
  <c r="AB41" i="81"/>
  <c r="S41" i="81"/>
  <c r="W41" i="81" s="1"/>
  <c r="AP41" i="81" s="1"/>
  <c r="K41" i="81"/>
  <c r="AQ41" i="81" s="1"/>
  <c r="BA40" i="81"/>
  <c r="AO40" i="81" s="1"/>
  <c r="AN40" i="81"/>
  <c r="AM40" i="81"/>
  <c r="AL40" i="81"/>
  <c r="AK40" i="81"/>
  <c r="AJ40" i="81"/>
  <c r="AB40" i="81"/>
  <c r="S40" i="81"/>
  <c r="W40" i="81" s="1"/>
  <c r="K40" i="81"/>
  <c r="BA39" i="81"/>
  <c r="AO39" i="81"/>
  <c r="AN39" i="81"/>
  <c r="AM39" i="81"/>
  <c r="AL39" i="81"/>
  <c r="AK39" i="81"/>
  <c r="AJ39" i="81"/>
  <c r="AB39" i="81"/>
  <c r="S39" i="81"/>
  <c r="W39" i="81" s="1"/>
  <c r="K39" i="81"/>
  <c r="BA38" i="81"/>
  <c r="AO38" i="81" s="1"/>
  <c r="AP38" i="81"/>
  <c r="AQ38" i="81" s="1"/>
  <c r="AN38" i="81"/>
  <c r="AM38" i="81"/>
  <c r="AL38" i="81"/>
  <c r="AK38" i="81"/>
  <c r="S38" i="81"/>
  <c r="BA37" i="81"/>
  <c r="AO37" i="81" s="1"/>
  <c r="AN37" i="81"/>
  <c r="AM37" i="81"/>
  <c r="AL37" i="81"/>
  <c r="AK37" i="81"/>
  <c r="AJ37" i="81"/>
  <c r="AB37" i="81"/>
  <c r="S37" i="81"/>
  <c r="W37" i="81" s="1"/>
  <c r="AP37" i="81" s="1"/>
  <c r="K37" i="81"/>
  <c r="AQ37" i="81" s="1"/>
  <c r="BA36" i="81"/>
  <c r="AO36" i="81" s="1"/>
  <c r="AN36" i="81"/>
  <c r="AM36" i="81"/>
  <c r="AL36" i="81"/>
  <c r="AK36" i="81"/>
  <c r="AJ36" i="81"/>
  <c r="AB36" i="81"/>
  <c r="S36" i="81"/>
  <c r="W36" i="81" s="1"/>
  <c r="K36" i="81"/>
  <c r="BA35" i="81"/>
  <c r="AO35" i="81"/>
  <c r="AN35" i="81"/>
  <c r="AM35" i="81"/>
  <c r="AL35" i="81"/>
  <c r="AK35" i="81"/>
  <c r="AJ35" i="81"/>
  <c r="AB35" i="81"/>
  <c r="S35" i="81"/>
  <c r="W35" i="81" s="1"/>
  <c r="K35" i="81"/>
  <c r="BA34" i="81"/>
  <c r="AO34" i="81" s="1"/>
  <c r="AP34" i="81"/>
  <c r="AN34" i="81"/>
  <c r="AM34" i="81"/>
  <c r="AL34" i="81"/>
  <c r="AK34" i="81"/>
  <c r="AJ34" i="81"/>
  <c r="AB34" i="81"/>
  <c r="W34" i="81"/>
  <c r="S34" i="81"/>
  <c r="K34" i="81"/>
  <c r="BA33" i="81"/>
  <c r="AO33" i="81" s="1"/>
  <c r="AN33" i="81"/>
  <c r="AM33" i="81"/>
  <c r="AL33" i="81"/>
  <c r="AK33" i="81"/>
  <c r="AJ33" i="81"/>
  <c r="AB33" i="81"/>
  <c r="S33" i="81"/>
  <c r="W33" i="81" s="1"/>
  <c r="K33" i="81"/>
  <c r="BA32" i="81"/>
  <c r="AO32" i="81" s="1"/>
  <c r="AN32" i="81"/>
  <c r="AM32" i="81"/>
  <c r="AL32" i="81"/>
  <c r="AK32" i="81"/>
  <c r="AJ32" i="81"/>
  <c r="AB32" i="81"/>
  <c r="S32" i="81"/>
  <c r="W32" i="81" s="1"/>
  <c r="K32" i="81"/>
  <c r="BA31" i="81"/>
  <c r="AO31" i="81"/>
  <c r="AN31" i="81"/>
  <c r="AM31" i="81"/>
  <c r="AL31" i="81"/>
  <c r="AK31" i="81"/>
  <c r="AJ31" i="81"/>
  <c r="AB31" i="81"/>
  <c r="S31" i="81"/>
  <c r="W31" i="81" s="1"/>
  <c r="AP31" i="81" s="1"/>
  <c r="K31" i="81"/>
  <c r="BA30" i="81"/>
  <c r="AO30" i="81" s="1"/>
  <c r="AN30" i="81"/>
  <c r="AM30" i="81"/>
  <c r="AL30" i="81"/>
  <c r="AK30" i="81"/>
  <c r="AJ30" i="81"/>
  <c r="AB30" i="81"/>
  <c r="W30" i="81"/>
  <c r="AP30" i="81" s="1"/>
  <c r="AQ30" i="81" s="1"/>
  <c r="S30" i="81"/>
  <c r="K30" i="81"/>
  <c r="BA29" i="81"/>
  <c r="AO29" i="81" s="1"/>
  <c r="AQ29" i="81"/>
  <c r="AN29" i="81"/>
  <c r="AM29" i="81"/>
  <c r="AL29" i="81"/>
  <c r="AK29" i="81"/>
  <c r="AJ29" i="81"/>
  <c r="AB29" i="81"/>
  <c r="S29" i="81"/>
  <c r="W29" i="81" s="1"/>
  <c r="AP29" i="81" s="1"/>
  <c r="K29" i="81"/>
  <c r="BA28" i="81"/>
  <c r="AO28" i="81" s="1"/>
  <c r="AN28" i="81"/>
  <c r="AM28" i="81"/>
  <c r="AL28" i="81"/>
  <c r="AK28" i="81"/>
  <c r="AJ28" i="81"/>
  <c r="AB28" i="81"/>
  <c r="S28" i="81"/>
  <c r="W28" i="81" s="1"/>
  <c r="K28" i="81"/>
  <c r="BA27" i="81"/>
  <c r="AO27" i="81"/>
  <c r="AN27" i="81"/>
  <c r="AM27" i="81"/>
  <c r="AL27" i="81"/>
  <c r="AK27" i="81"/>
  <c r="AJ27" i="81"/>
  <c r="AB27" i="81"/>
  <c r="S27" i="81"/>
  <c r="W27" i="81" s="1"/>
  <c r="K27" i="81"/>
  <c r="BA26" i="81"/>
  <c r="AO26" i="81" s="1"/>
  <c r="AN26" i="81"/>
  <c r="AM26" i="81"/>
  <c r="AL26" i="81"/>
  <c r="AK26" i="81"/>
  <c r="AJ26" i="81"/>
  <c r="AB26" i="81"/>
  <c r="W26" i="81"/>
  <c r="AP26" i="81" s="1"/>
  <c r="AQ26" i="81" s="1"/>
  <c r="S26" i="81"/>
  <c r="K26" i="81"/>
  <c r="BA25" i="81"/>
  <c r="AO25" i="81" s="1"/>
  <c r="AN25" i="81"/>
  <c r="AM25" i="81"/>
  <c r="AL25" i="81"/>
  <c r="AK25" i="81"/>
  <c r="AJ25" i="81"/>
  <c r="AB25" i="81"/>
  <c r="S25" i="81"/>
  <c r="W25" i="81" s="1"/>
  <c r="AP25" i="81" s="1"/>
  <c r="K25" i="81"/>
  <c r="AQ25" i="81" s="1"/>
  <c r="BA24" i="81"/>
  <c r="AO24" i="81" s="1"/>
  <c r="AN24" i="81"/>
  <c r="AM24" i="81"/>
  <c r="AL24" i="81"/>
  <c r="AK24" i="81"/>
  <c r="AJ24" i="81"/>
  <c r="AB24" i="81"/>
  <c r="S24" i="81"/>
  <c r="W24" i="81" s="1"/>
  <c r="K24" i="81"/>
  <c r="BA23" i="81"/>
  <c r="AO23" i="81"/>
  <c r="AN23" i="81"/>
  <c r="AM23" i="81"/>
  <c r="AL23" i="81"/>
  <c r="AK23" i="81"/>
  <c r="AJ23" i="81"/>
  <c r="AB23" i="81"/>
  <c r="S23" i="81"/>
  <c r="W23" i="81" s="1"/>
  <c r="K23" i="81"/>
  <c r="BA22" i="81"/>
  <c r="AO22" i="81" s="1"/>
  <c r="AP22" i="81"/>
  <c r="AN22" i="81"/>
  <c r="AM22" i="81"/>
  <c r="AL22" i="81"/>
  <c r="AK22" i="81"/>
  <c r="AJ22" i="81"/>
  <c r="AB22" i="81"/>
  <c r="W22" i="81"/>
  <c r="S22" i="81"/>
  <c r="K22" i="81"/>
  <c r="BA21" i="81"/>
  <c r="AO21" i="81" s="1"/>
  <c r="AN21" i="81"/>
  <c r="AM21" i="81"/>
  <c r="AL21" i="81"/>
  <c r="AK21" i="81"/>
  <c r="AJ21" i="81"/>
  <c r="AB21" i="81"/>
  <c r="S21" i="81"/>
  <c r="W21" i="81" s="1"/>
  <c r="K21" i="81"/>
  <c r="BA20" i="81"/>
  <c r="AO20" i="81" s="1"/>
  <c r="AN20" i="81"/>
  <c r="AM20" i="81"/>
  <c r="AL20" i="81"/>
  <c r="AK20" i="81"/>
  <c r="AJ20" i="81"/>
  <c r="AB20" i="81"/>
  <c r="S20" i="81"/>
  <c r="W20" i="81" s="1"/>
  <c r="AP20" i="81" s="1"/>
  <c r="K20" i="81"/>
  <c r="BA19" i="81"/>
  <c r="AO19" i="81"/>
  <c r="AN19" i="81"/>
  <c r="AM19" i="81"/>
  <c r="AL19" i="81"/>
  <c r="AK19" i="81"/>
  <c r="AJ19" i="81"/>
  <c r="AB19" i="81"/>
  <c r="S19" i="81"/>
  <c r="W19" i="81" s="1"/>
  <c r="AP19" i="81" s="1"/>
  <c r="AQ19" i="81" s="1"/>
  <c r="K19" i="81"/>
  <c r="AO18" i="81"/>
  <c r="AN18" i="81"/>
  <c r="AM18" i="81"/>
  <c r="AL18" i="81"/>
  <c r="AK18" i="81"/>
  <c r="AJ18" i="81"/>
  <c r="AB18" i="81"/>
  <c r="S18" i="81"/>
  <c r="W18" i="81" s="1"/>
  <c r="K18" i="81"/>
  <c r="AP17" i="81"/>
  <c r="AQ17" i="81" s="1"/>
  <c r="AO17" i="81"/>
  <c r="AN17" i="81"/>
  <c r="AM17" i="81"/>
  <c r="AL17" i="81"/>
  <c r="AK17" i="81"/>
  <c r="S17" i="81"/>
  <c r="AP16" i="81"/>
  <c r="AQ16" i="81" s="1"/>
  <c r="AO16" i="81"/>
  <c r="AN16" i="81"/>
  <c r="AM16" i="81"/>
  <c r="AL16" i="81"/>
  <c r="AK16" i="81"/>
  <c r="S16" i="81"/>
  <c r="AO15" i="81"/>
  <c r="AN15" i="81"/>
  <c r="AP15" i="81" s="1"/>
  <c r="AQ15" i="81" s="1"/>
  <c r="AM15" i="81"/>
  <c r="AL15" i="81"/>
  <c r="AK15" i="81"/>
  <c r="S15" i="81"/>
  <c r="BA14" i="81"/>
  <c r="AO14" i="81" s="1"/>
  <c r="AN14" i="81"/>
  <c r="AM14" i="81"/>
  <c r="AL14" i="81"/>
  <c r="AK14" i="81"/>
  <c r="AJ14" i="81"/>
  <c r="AB14" i="81"/>
  <c r="W14" i="81"/>
  <c r="AP14" i="81" s="1"/>
  <c r="AQ14" i="81" s="1"/>
  <c r="S14" i="81"/>
  <c r="K14" i="81"/>
  <c r="AP13" i="81"/>
  <c r="AQ13" i="81" s="1"/>
  <c r="AO13" i="81"/>
  <c r="AN13" i="81"/>
  <c r="AM13" i="81"/>
  <c r="AL13" i="81"/>
  <c r="AK13" i="81"/>
  <c r="S13" i="81"/>
  <c r="BA12" i="81"/>
  <c r="AO12" i="81"/>
  <c r="AN12" i="81"/>
  <c r="AM12" i="81"/>
  <c r="AL12" i="81"/>
  <c r="AK12" i="81"/>
  <c r="AJ12" i="81"/>
  <c r="AB12" i="81"/>
  <c r="S12" i="81"/>
  <c r="W12" i="81" s="1"/>
  <c r="K12" i="81"/>
  <c r="AO10" i="81"/>
  <c r="AN10" i="81"/>
  <c r="AM10" i="81"/>
  <c r="AL10" i="81"/>
  <c r="AK10" i="81"/>
  <c r="AJ10" i="81"/>
  <c r="AB10" i="81"/>
  <c r="S10" i="81"/>
  <c r="W10" i="81" s="1"/>
  <c r="K10" i="81"/>
  <c r="BA9" i="81"/>
  <c r="AO9" i="81" s="1"/>
  <c r="AN9" i="81"/>
  <c r="AM9" i="81"/>
  <c r="AL9" i="81"/>
  <c r="AK9" i="81"/>
  <c r="AJ9" i="81"/>
  <c r="AB9" i="81"/>
  <c r="W9" i="81"/>
  <c r="AP9" i="81" s="1"/>
  <c r="S9" i="81"/>
  <c r="K9" i="81"/>
  <c r="BA8" i="81"/>
  <c r="AO8" i="81" s="1"/>
  <c r="AN8" i="81"/>
  <c r="AM8" i="81"/>
  <c r="AL8" i="81"/>
  <c r="AK8" i="81"/>
  <c r="AJ8" i="81"/>
  <c r="AB8" i="81"/>
  <c r="S8" i="81"/>
  <c r="W8" i="81" s="1"/>
  <c r="AP8" i="81" s="1"/>
  <c r="K8" i="81"/>
  <c r="BA7" i="81"/>
  <c r="AO7" i="81" s="1"/>
  <c r="AN7" i="81"/>
  <c r="AM7" i="81"/>
  <c r="AL7" i="81"/>
  <c r="AK7" i="81"/>
  <c r="AJ7" i="81"/>
  <c r="AB7" i="81"/>
  <c r="S7" i="81"/>
  <c r="W7" i="81" s="1"/>
  <c r="AP7" i="81" s="1"/>
  <c r="K7" i="81"/>
  <c r="BA6" i="81"/>
  <c r="AO6" i="81"/>
  <c r="AN6" i="81"/>
  <c r="AM6" i="81"/>
  <c r="AL6" i="81"/>
  <c r="AK6" i="81"/>
  <c r="AJ6" i="81"/>
  <c r="AB6" i="81"/>
  <c r="S6" i="81"/>
  <c r="W6" i="81" s="1"/>
  <c r="AP6" i="81" s="1"/>
  <c r="AQ6" i="81" s="1"/>
  <c r="K6" i="81"/>
  <c r="BA5" i="81"/>
  <c r="AO5" i="81" s="1"/>
  <c r="AN5" i="81"/>
  <c r="AM5" i="81"/>
  <c r="AL5" i="81"/>
  <c r="AK5" i="81"/>
  <c r="AJ5" i="81"/>
  <c r="AB5" i="81"/>
  <c r="W5" i="81"/>
  <c r="K5" i="81"/>
  <c r="BA4" i="81"/>
  <c r="AJ4" i="81"/>
  <c r="AQ31" i="81" l="1"/>
  <c r="AQ47" i="81"/>
  <c r="AQ59" i="81"/>
  <c r="AQ71" i="81"/>
  <c r="AP128" i="81"/>
  <c r="AQ128" i="81" s="1"/>
  <c r="AP136" i="81"/>
  <c r="AQ136" i="81" s="1"/>
  <c r="AQ187" i="81"/>
  <c r="AQ22" i="81"/>
  <c r="AQ34" i="81"/>
  <c r="AQ50" i="81"/>
  <c r="AQ78" i="81"/>
  <c r="AQ178" i="81"/>
  <c r="AQ185" i="81"/>
  <c r="AQ198" i="81"/>
  <c r="AQ235" i="81"/>
  <c r="AQ236" i="81"/>
  <c r="AQ184" i="81"/>
  <c r="AP18" i="81"/>
  <c r="AQ18" i="81" s="1"/>
  <c r="AP35" i="81"/>
  <c r="AQ35" i="81" s="1"/>
  <c r="AP39" i="81"/>
  <c r="AQ39" i="81" s="1"/>
  <c r="AP51" i="81"/>
  <c r="AQ51" i="81" s="1"/>
  <c r="AP63" i="81"/>
  <c r="AQ63" i="81" s="1"/>
  <c r="AP160" i="81"/>
  <c r="AP171" i="81"/>
  <c r="AP184" i="81"/>
  <c r="AP234" i="81"/>
  <c r="AP12" i="81"/>
  <c r="AQ12" i="81" s="1"/>
  <c r="AQ110" i="81"/>
  <c r="AP111" i="81"/>
  <c r="AQ111" i="81" s="1"/>
  <c r="AP196" i="81"/>
  <c r="AQ196" i="81" s="1"/>
  <c r="AP216" i="81"/>
  <c r="AQ216" i="81" s="1"/>
  <c r="AP23" i="81"/>
  <c r="AQ23" i="81" s="1"/>
  <c r="AP5" i="81"/>
  <c r="AQ5" i="81" s="1"/>
  <c r="AP165" i="81"/>
  <c r="AP209" i="81"/>
  <c r="AQ209" i="81" s="1"/>
  <c r="AP226" i="81"/>
  <c r="AP33" i="81"/>
  <c r="AQ33" i="81" s="1"/>
  <c r="AP75" i="81"/>
  <c r="AQ75" i="81" s="1"/>
  <c r="AP82" i="81"/>
  <c r="AQ82" i="81" s="1"/>
  <c r="AP117" i="81"/>
  <c r="AQ117" i="81" s="1"/>
  <c r="AP158" i="81"/>
  <c r="AQ158" i="81" s="1"/>
  <c r="AP175" i="81"/>
  <c r="AP182" i="81"/>
  <c r="AQ182" i="81" s="1"/>
  <c r="AP195" i="81"/>
  <c r="AP215" i="81"/>
  <c r="AQ215" i="81" s="1"/>
  <c r="AP232" i="81"/>
  <c r="AQ232" i="81" s="1"/>
  <c r="AP240" i="81"/>
  <c r="AQ240" i="81" s="1"/>
  <c r="AP21" i="81"/>
  <c r="AQ21" i="81" s="1"/>
  <c r="AP27" i="81"/>
  <c r="AQ27" i="81" s="1"/>
  <c r="AP43" i="81"/>
  <c r="AQ43" i="81" s="1"/>
  <c r="AP55" i="81"/>
  <c r="AQ55" i="81" s="1"/>
  <c r="AP95" i="81"/>
  <c r="AP123" i="81"/>
  <c r="AP131" i="81"/>
  <c r="AP139" i="81"/>
  <c r="AP164" i="81"/>
  <c r="AP208" i="81"/>
  <c r="AQ208" i="81" s="1"/>
  <c r="AQ238" i="81"/>
  <c r="AP239" i="81"/>
  <c r="AQ239" i="81" s="1"/>
  <c r="AP214" i="81"/>
  <c r="AQ214" i="81" s="1"/>
  <c r="AQ245" i="81"/>
  <c r="AQ8" i="81"/>
  <c r="AQ7" i="81"/>
  <c r="AQ56" i="81"/>
  <c r="AQ9" i="81"/>
  <c r="AP24" i="81"/>
  <c r="AQ24" i="81" s="1"/>
  <c r="AP28" i="81"/>
  <c r="AQ28" i="81" s="1"/>
  <c r="AP32" i="81"/>
  <c r="AQ32" i="81" s="1"/>
  <c r="AP36" i="81"/>
  <c r="AQ36" i="81" s="1"/>
  <c r="AP40" i="81"/>
  <c r="AQ40" i="81" s="1"/>
  <c r="AP44" i="81"/>
  <c r="AQ44" i="81" s="1"/>
  <c r="AP48" i="81"/>
  <c r="AQ48" i="81" s="1"/>
  <c r="AP52" i="81"/>
  <c r="AQ52" i="81" s="1"/>
  <c r="AP56" i="81"/>
  <c r="AP60" i="81"/>
  <c r="AQ60" i="81"/>
  <c r="AP10" i="81"/>
  <c r="AQ10" i="81" s="1"/>
  <c r="AQ81" i="81"/>
  <c r="AQ106" i="81"/>
  <c r="AQ114" i="81"/>
  <c r="AQ121" i="81"/>
  <c r="AQ20" i="81"/>
  <c r="AQ73" i="81"/>
  <c r="AQ77" i="81"/>
  <c r="AQ120" i="81"/>
  <c r="AQ163" i="81"/>
  <c r="AQ164" i="81"/>
  <c r="AQ231" i="81"/>
  <c r="AP67" i="81"/>
  <c r="AQ67" i="81" s="1"/>
  <c r="AQ69" i="81"/>
  <c r="AP87" i="81"/>
  <c r="AQ87" i="81" s="1"/>
  <c r="AQ104" i="81"/>
  <c r="AQ108" i="81"/>
  <c r="AQ112" i="81"/>
  <c r="AQ116" i="81"/>
  <c r="AQ119" i="81"/>
  <c r="AQ123" i="81"/>
  <c r="AP125" i="81"/>
  <c r="AQ125" i="81" s="1"/>
  <c r="AQ127" i="81"/>
  <c r="AP129" i="81"/>
  <c r="AQ129" i="81" s="1"/>
  <c r="AQ131" i="81"/>
  <c r="AP133" i="81"/>
  <c r="AQ133" i="81" s="1"/>
  <c r="AQ135" i="81"/>
  <c r="AP137" i="81"/>
  <c r="AQ137" i="81" s="1"/>
  <c r="AQ139" i="81"/>
  <c r="AP161" i="81"/>
  <c r="AQ161" i="81" s="1"/>
  <c r="AQ186" i="81"/>
  <c r="AQ65" i="81"/>
  <c r="AQ66" i="81"/>
  <c r="AQ79" i="81"/>
  <c r="AP83" i="81"/>
  <c r="AQ83" i="81" s="1"/>
  <c r="AQ85" i="81"/>
  <c r="AQ86" i="81"/>
  <c r="AP88" i="81"/>
  <c r="AQ88" i="81" s="1"/>
  <c r="AQ90" i="81"/>
  <c r="AQ91" i="81"/>
  <c r="AP92" i="81"/>
  <c r="AQ92" i="81" s="1"/>
  <c r="AQ94" i="81"/>
  <c r="AQ95" i="81"/>
  <c r="AP96" i="81"/>
  <c r="AQ96" i="81" s="1"/>
  <c r="AQ98" i="81"/>
  <c r="AQ99" i="81"/>
  <c r="AP100" i="81"/>
  <c r="AQ100" i="81" s="1"/>
  <c r="AQ102" i="81"/>
  <c r="AQ118" i="81"/>
  <c r="AQ122" i="81"/>
  <c r="AP157" i="81"/>
  <c r="AQ157" i="81" s="1"/>
  <c r="AQ159" i="81"/>
  <c r="AQ160" i="81"/>
  <c r="AQ165" i="81"/>
  <c r="AQ175" i="81"/>
  <c r="AQ207" i="81"/>
  <c r="AQ242" i="81"/>
  <c r="AP169" i="81"/>
  <c r="AQ169" i="81" s="1"/>
  <c r="AP176" i="81"/>
  <c r="AQ176" i="81" s="1"/>
  <c r="AQ179" i="81"/>
  <c r="AQ180" i="81"/>
  <c r="AP181" i="81"/>
  <c r="AQ183" i="81"/>
  <c r="AP201" i="81"/>
  <c r="AQ201" i="81" s="1"/>
  <c r="AQ203" i="81"/>
  <c r="AP231" i="81"/>
  <c r="AQ233" i="81"/>
  <c r="AQ234" i="81"/>
  <c r="AQ237" i="81"/>
  <c r="AP168" i="81"/>
  <c r="AQ168" i="81" s="1"/>
  <c r="AP173" i="81"/>
  <c r="AQ173" i="81" s="1"/>
  <c r="AQ188" i="81"/>
  <c r="AP197" i="81"/>
  <c r="AQ197" i="81" s="1"/>
  <c r="AQ199" i="81"/>
  <c r="AQ200" i="81"/>
  <c r="AP213" i="81"/>
  <c r="AQ213" i="81" s="1"/>
  <c r="AP227" i="81"/>
  <c r="AQ227" i="81" s="1"/>
  <c r="AQ229" i="81"/>
  <c r="AQ230" i="81"/>
  <c r="AQ248" i="81"/>
  <c r="AQ249" i="81"/>
  <c r="AQ171" i="81"/>
  <c r="AQ172" i="81"/>
  <c r="AQ181" i="81"/>
  <c r="AQ190" i="81"/>
  <c r="AQ193" i="81"/>
  <c r="AQ195" i="81"/>
  <c r="AQ205" i="81"/>
  <c r="AQ211" i="81"/>
  <c r="AQ212" i="81"/>
  <c r="AQ217" i="81"/>
  <c r="AQ226" i="81"/>
  <c r="AQ243" i="81"/>
  <c r="AQ244" i="81"/>
  <c r="AL218" i="81"/>
  <c r="AO12" i="72" l="1"/>
  <c r="AO89" i="71"/>
  <c r="AO122" i="71"/>
  <c r="AO150" i="71"/>
  <c r="AO151" i="71"/>
  <c r="AO152" i="71"/>
  <c r="AO153" i="71"/>
  <c r="AO157" i="71"/>
  <c r="AO158" i="71"/>
  <c r="AO159" i="71"/>
  <c r="AO163" i="71"/>
  <c r="AO233" i="71"/>
  <c r="AO247" i="71"/>
  <c r="AO252" i="71"/>
  <c r="AO19" i="71"/>
  <c r="AO17" i="71"/>
  <c r="AK256" i="73"/>
  <c r="AC256" i="73"/>
  <c r="T256" i="73"/>
  <c r="X256" i="73" s="1"/>
  <c r="K256" i="73"/>
  <c r="AK255" i="73"/>
  <c r="AC255" i="73"/>
  <c r="T255" i="73"/>
  <c r="X255" i="73" s="1"/>
  <c r="K255" i="73"/>
  <c r="AK254" i="73"/>
  <c r="AC254" i="73"/>
  <c r="T254" i="73"/>
  <c r="X254" i="73" s="1"/>
  <c r="K254" i="73"/>
  <c r="AK253" i="73"/>
  <c r="AC253" i="73"/>
  <c r="T253" i="73"/>
  <c r="X253" i="73" s="1"/>
  <c r="K253" i="73"/>
  <c r="AK252" i="73"/>
  <c r="AC252" i="73"/>
  <c r="T252" i="73"/>
  <c r="X252" i="73" s="1"/>
  <c r="K252" i="73"/>
  <c r="AK251" i="73"/>
  <c r="AC251" i="73"/>
  <c r="T251" i="73"/>
  <c r="X251" i="73" s="1"/>
  <c r="K251" i="73"/>
  <c r="AK250" i="73"/>
  <c r="AC250" i="73"/>
  <c r="T250" i="73"/>
  <c r="X250" i="73" s="1"/>
  <c r="K250" i="73"/>
  <c r="AK249" i="73"/>
  <c r="AC249" i="73"/>
  <c r="T249" i="73"/>
  <c r="X249" i="73" s="1"/>
  <c r="K249" i="73"/>
  <c r="AK248" i="73"/>
  <c r="AC248" i="73"/>
  <c r="T248" i="73"/>
  <c r="X248" i="73" s="1"/>
  <c r="K248" i="73"/>
  <c r="AK247" i="73"/>
  <c r="AC247" i="73"/>
  <c r="T247" i="73"/>
  <c r="X247" i="73" s="1"/>
  <c r="K247" i="73"/>
  <c r="AK246" i="73"/>
  <c r="AC246" i="73"/>
  <c r="T246" i="73"/>
  <c r="X246" i="73" s="1"/>
  <c r="K246" i="73"/>
  <c r="AK245" i="73"/>
  <c r="AC245" i="73"/>
  <c r="T245" i="73"/>
  <c r="X245" i="73" s="1"/>
  <c r="K245" i="73"/>
  <c r="AK244" i="73"/>
  <c r="AC244" i="73"/>
  <c r="T244" i="73"/>
  <c r="X244" i="73" s="1"/>
  <c r="K244" i="73"/>
  <c r="AK243" i="73"/>
  <c r="AC243" i="73"/>
  <c r="T243" i="73"/>
  <c r="X243" i="73" s="1"/>
  <c r="K243" i="73"/>
  <c r="AK242" i="73"/>
  <c r="AC242" i="73"/>
  <c r="T242" i="73"/>
  <c r="X242" i="73" s="1"/>
  <c r="K242" i="73"/>
  <c r="AK241" i="73"/>
  <c r="AC241" i="73"/>
  <c r="T241" i="73"/>
  <c r="X241" i="73" s="1"/>
  <c r="K241" i="73"/>
  <c r="AK240" i="73"/>
  <c r="AC240" i="73"/>
  <c r="T240" i="73"/>
  <c r="X240" i="73" s="1"/>
  <c r="K240" i="73"/>
  <c r="AK239" i="73"/>
  <c r="AC239" i="73"/>
  <c r="T239" i="73"/>
  <c r="X239" i="73" s="1"/>
  <c r="K239" i="73"/>
  <c r="AK238" i="73"/>
  <c r="AC238" i="73"/>
  <c r="T238" i="73"/>
  <c r="X238" i="73" s="1"/>
  <c r="K238" i="73"/>
  <c r="AK237" i="73"/>
  <c r="AC237" i="73"/>
  <c r="T237" i="73"/>
  <c r="X237" i="73" s="1"/>
  <c r="K237" i="73"/>
  <c r="AK236" i="73"/>
  <c r="AC236" i="73"/>
  <c r="T236" i="73"/>
  <c r="X236" i="73" s="1"/>
  <c r="K236" i="73"/>
  <c r="AK235" i="73"/>
  <c r="AC235" i="73"/>
  <c r="T235" i="73"/>
  <c r="X235" i="73" s="1"/>
  <c r="K235" i="73"/>
  <c r="AK234" i="73"/>
  <c r="AC234" i="73"/>
  <c r="T234" i="73"/>
  <c r="X234" i="73" s="1"/>
  <c r="K234" i="73"/>
  <c r="AK233" i="73"/>
  <c r="AC233" i="73"/>
  <c r="T233" i="73"/>
  <c r="X233" i="73" s="1"/>
  <c r="K233" i="73"/>
  <c r="AK232" i="73"/>
  <c r="AC232" i="73"/>
  <c r="T232" i="73"/>
  <c r="X232" i="73" s="1"/>
  <c r="K232" i="73"/>
  <c r="AK231" i="73"/>
  <c r="AC231" i="73"/>
  <c r="T231" i="73"/>
  <c r="X231" i="73" s="1"/>
  <c r="K231" i="73"/>
  <c r="AK230" i="73"/>
  <c r="AC230" i="73"/>
  <c r="T230" i="73"/>
  <c r="X230" i="73" s="1"/>
  <c r="K230" i="73"/>
  <c r="AK229" i="73"/>
  <c r="AC229" i="73"/>
  <c r="T229" i="73"/>
  <c r="X229" i="73" s="1"/>
  <c r="K229" i="73"/>
  <c r="AK228" i="73"/>
  <c r="AC228" i="73"/>
  <c r="T228" i="73"/>
  <c r="X228" i="73" s="1"/>
  <c r="K228" i="73"/>
  <c r="AK227" i="73"/>
  <c r="AC227" i="73"/>
  <c r="T227" i="73"/>
  <c r="X227" i="73" s="1"/>
  <c r="K227" i="73"/>
  <c r="AK226" i="73"/>
  <c r="AC226" i="73"/>
  <c r="T226" i="73"/>
  <c r="X226" i="73" s="1"/>
  <c r="K226" i="73"/>
  <c r="AK225" i="73"/>
  <c r="AC225" i="73"/>
  <c r="T225" i="73"/>
  <c r="X225" i="73" s="1"/>
  <c r="K225" i="73"/>
  <c r="AK224" i="73"/>
  <c r="AC224" i="73"/>
  <c r="T224" i="73"/>
  <c r="X224" i="73" s="1"/>
  <c r="K224" i="73"/>
  <c r="AK223" i="73"/>
  <c r="AC223" i="73"/>
  <c r="T223" i="73"/>
  <c r="X223" i="73" s="1"/>
  <c r="K223" i="73"/>
  <c r="AK222" i="73"/>
  <c r="AC222" i="73"/>
  <c r="T222" i="73"/>
  <c r="X222" i="73" s="1"/>
  <c r="K222" i="73"/>
  <c r="AK221" i="73"/>
  <c r="AC221" i="73"/>
  <c r="T221" i="73"/>
  <c r="X221" i="73" s="1"/>
  <c r="K221" i="73"/>
  <c r="AK220" i="73"/>
  <c r="AC220" i="73"/>
  <c r="T220" i="73"/>
  <c r="X220" i="73" s="1"/>
  <c r="K220" i="73"/>
  <c r="AK219" i="73"/>
  <c r="AC219" i="73"/>
  <c r="T219" i="73"/>
  <c r="X219" i="73" s="1"/>
  <c r="K219" i="73"/>
  <c r="AK218" i="73"/>
  <c r="AC218" i="73"/>
  <c r="T218" i="73"/>
  <c r="X218" i="73" s="1"/>
  <c r="K218" i="73"/>
  <c r="AK217" i="73"/>
  <c r="AC217" i="73"/>
  <c r="T217" i="73"/>
  <c r="X217" i="73" s="1"/>
  <c r="K217" i="73"/>
  <c r="AK216" i="73"/>
  <c r="AC216" i="73"/>
  <c r="T216" i="73"/>
  <c r="X216" i="73" s="1"/>
  <c r="K216" i="73"/>
  <c r="AK215" i="73"/>
  <c r="AC215" i="73"/>
  <c r="T215" i="73"/>
  <c r="X215" i="73" s="1"/>
  <c r="K215" i="73"/>
  <c r="AK214" i="73"/>
  <c r="AC214" i="73"/>
  <c r="T214" i="73"/>
  <c r="X214" i="73" s="1"/>
  <c r="K214" i="73"/>
  <c r="AK213" i="73"/>
  <c r="AC213" i="73"/>
  <c r="T213" i="73"/>
  <c r="X213" i="73" s="1"/>
  <c r="K213" i="73"/>
  <c r="AK212" i="73"/>
  <c r="AC212" i="73"/>
  <c r="T212" i="73"/>
  <c r="X212" i="73" s="1"/>
  <c r="K212" i="73"/>
  <c r="AK211" i="73"/>
  <c r="AC211" i="73"/>
  <c r="T211" i="73"/>
  <c r="X211" i="73" s="1"/>
  <c r="K211" i="73"/>
  <c r="AK210" i="73"/>
  <c r="AC210" i="73"/>
  <c r="T210" i="73"/>
  <c r="X210" i="73" s="1"/>
  <c r="K210" i="73"/>
  <c r="AK209" i="73"/>
  <c r="AC209" i="73"/>
  <c r="T209" i="73"/>
  <c r="X209" i="73" s="1"/>
  <c r="K209" i="73"/>
  <c r="AK208" i="73"/>
  <c r="AC208" i="73"/>
  <c r="T208" i="73"/>
  <c r="X208" i="73" s="1"/>
  <c r="K208" i="73"/>
  <c r="AK207" i="73"/>
  <c r="AC207" i="73"/>
  <c r="T207" i="73"/>
  <c r="X207" i="73" s="1"/>
  <c r="K207" i="73"/>
  <c r="AK206" i="73"/>
  <c r="AC206" i="73"/>
  <c r="T206" i="73"/>
  <c r="X206" i="73" s="1"/>
  <c r="K206" i="73"/>
  <c r="AK205" i="73"/>
  <c r="AC205" i="73"/>
  <c r="T205" i="73"/>
  <c r="X205" i="73" s="1"/>
  <c r="K205" i="73"/>
  <c r="AK204" i="73"/>
  <c r="AC204" i="73"/>
  <c r="T204" i="73"/>
  <c r="X204" i="73" s="1"/>
  <c r="K204" i="73"/>
  <c r="AK203" i="73"/>
  <c r="AC203" i="73"/>
  <c r="T203" i="73"/>
  <c r="X203" i="73" s="1"/>
  <c r="K203" i="73"/>
  <c r="AK202" i="73"/>
  <c r="AC202" i="73"/>
  <c r="T202" i="73"/>
  <c r="X202" i="73" s="1"/>
  <c r="K202" i="73"/>
  <c r="AK201" i="73"/>
  <c r="AC201" i="73"/>
  <c r="T201" i="73"/>
  <c r="X201" i="73" s="1"/>
  <c r="K201" i="73"/>
  <c r="AK200" i="73"/>
  <c r="AC200" i="73"/>
  <c r="T200" i="73"/>
  <c r="X200" i="73" s="1"/>
  <c r="K200" i="73"/>
  <c r="AK199" i="73"/>
  <c r="AC199" i="73"/>
  <c r="T199" i="73"/>
  <c r="X199" i="73" s="1"/>
  <c r="K199" i="73"/>
  <c r="AK198" i="73"/>
  <c r="AC198" i="73"/>
  <c r="T198" i="73"/>
  <c r="X198" i="73" s="1"/>
  <c r="K198" i="73"/>
  <c r="AK197" i="73"/>
  <c r="AC197" i="73"/>
  <c r="T197" i="73"/>
  <c r="X197" i="73" s="1"/>
  <c r="K197" i="73"/>
  <c r="AK196" i="73"/>
  <c r="AC196" i="73"/>
  <c r="T196" i="73"/>
  <c r="X196" i="73" s="1"/>
  <c r="K196" i="73"/>
  <c r="AK195" i="73"/>
  <c r="AC195" i="73"/>
  <c r="T195" i="73"/>
  <c r="X195" i="73" s="1"/>
  <c r="K195" i="73"/>
  <c r="AK194" i="73"/>
  <c r="AC194" i="73"/>
  <c r="T194" i="73"/>
  <c r="X194" i="73" s="1"/>
  <c r="K194" i="73"/>
  <c r="AK193" i="73"/>
  <c r="AC193" i="73"/>
  <c r="T193" i="73"/>
  <c r="X193" i="73" s="1"/>
  <c r="K193" i="73"/>
  <c r="AK192" i="73"/>
  <c r="AC192" i="73"/>
  <c r="T192" i="73"/>
  <c r="X192" i="73" s="1"/>
  <c r="K192" i="73"/>
  <c r="AK191" i="73"/>
  <c r="AC191" i="73"/>
  <c r="T191" i="73"/>
  <c r="X191" i="73" s="1"/>
  <c r="K191" i="73"/>
  <c r="AK190" i="73"/>
  <c r="AC190" i="73"/>
  <c r="T190" i="73"/>
  <c r="X190" i="73" s="1"/>
  <c r="K190" i="73"/>
  <c r="AK189" i="73"/>
  <c r="AC189" i="73"/>
  <c r="T189" i="73"/>
  <c r="X189" i="73" s="1"/>
  <c r="K189" i="73"/>
  <c r="AK188" i="73"/>
  <c r="AC188" i="73"/>
  <c r="T188" i="73"/>
  <c r="X188" i="73" s="1"/>
  <c r="K188" i="73"/>
  <c r="AK187" i="73"/>
  <c r="AC187" i="73"/>
  <c r="U187" i="73"/>
  <c r="T187" i="73"/>
  <c r="K187" i="73"/>
  <c r="AK186" i="73"/>
  <c r="AC186" i="73"/>
  <c r="U186" i="73"/>
  <c r="T186" i="73"/>
  <c r="K186" i="73"/>
  <c r="AK185" i="73"/>
  <c r="AC185" i="73"/>
  <c r="U185" i="73"/>
  <c r="T185" i="73"/>
  <c r="X185" i="73" s="1"/>
  <c r="K185" i="73"/>
  <c r="H185" i="73"/>
  <c r="AK184" i="73"/>
  <c r="AC184" i="73"/>
  <c r="U184" i="73"/>
  <c r="T184" i="73"/>
  <c r="X184" i="73" s="1"/>
  <c r="K184" i="73"/>
  <c r="AK183" i="73"/>
  <c r="AC183" i="73"/>
  <c r="U183" i="73"/>
  <c r="T183" i="73"/>
  <c r="X183" i="73" s="1"/>
  <c r="K183" i="73"/>
  <c r="AK182" i="73"/>
  <c r="AC182" i="73"/>
  <c r="U182" i="73"/>
  <c r="T182" i="73"/>
  <c r="X182" i="73" s="1"/>
  <c r="K182" i="73"/>
  <c r="AK181" i="73"/>
  <c r="AC181" i="73"/>
  <c r="U181" i="73"/>
  <c r="T181" i="73"/>
  <c r="H181" i="73"/>
  <c r="K181" i="73" s="1"/>
  <c r="AK180" i="73"/>
  <c r="AC180" i="73"/>
  <c r="U180" i="73"/>
  <c r="T180" i="73"/>
  <c r="X180" i="73" s="1"/>
  <c r="H180" i="73"/>
  <c r="K180" i="73" s="1"/>
  <c r="AK179" i="73"/>
  <c r="AC179" i="73"/>
  <c r="X179" i="73"/>
  <c r="T179" i="73"/>
  <c r="K179" i="73"/>
  <c r="AK178" i="73"/>
  <c r="AC178" i="73"/>
  <c r="T178" i="73"/>
  <c r="X178" i="73" s="1"/>
  <c r="K178" i="73"/>
  <c r="AK177" i="73"/>
  <c r="AC177" i="73"/>
  <c r="T177" i="73"/>
  <c r="X177" i="73" s="1"/>
  <c r="K177" i="73"/>
  <c r="AK176" i="73"/>
  <c r="AC176" i="73"/>
  <c r="X176" i="73"/>
  <c r="T176" i="73"/>
  <c r="K176" i="73"/>
  <c r="AK175" i="73"/>
  <c r="AC175" i="73"/>
  <c r="T175" i="73"/>
  <c r="X175" i="73" s="1"/>
  <c r="K175" i="73"/>
  <c r="AK174" i="73"/>
  <c r="AC174" i="73"/>
  <c r="T174" i="73"/>
  <c r="X174" i="73" s="1"/>
  <c r="K174" i="73"/>
  <c r="AK173" i="73"/>
  <c r="AC173" i="73"/>
  <c r="X173" i="73"/>
  <c r="T173" i="73"/>
  <c r="K173" i="73"/>
  <c r="AK172" i="73"/>
  <c r="AC172" i="73"/>
  <c r="X172" i="73"/>
  <c r="T172" i="73"/>
  <c r="K172" i="73"/>
  <c r="AK171" i="73"/>
  <c r="AC171" i="73"/>
  <c r="T171" i="73"/>
  <c r="X171" i="73" s="1"/>
  <c r="K171" i="73"/>
  <c r="AK170" i="73"/>
  <c r="AC170" i="73"/>
  <c r="T170" i="73"/>
  <c r="X170" i="73" s="1"/>
  <c r="K170" i="73"/>
  <c r="AK169" i="73"/>
  <c r="AC169" i="73"/>
  <c r="X169" i="73"/>
  <c r="T169" i="73"/>
  <c r="K169" i="73"/>
  <c r="AK168" i="73"/>
  <c r="AC168" i="73"/>
  <c r="T168" i="73"/>
  <c r="X168" i="73" s="1"/>
  <c r="K168" i="73"/>
  <c r="AK167" i="73"/>
  <c r="AC167" i="73"/>
  <c r="T167" i="73"/>
  <c r="X167" i="73" s="1"/>
  <c r="K167" i="73"/>
  <c r="AK166" i="73"/>
  <c r="AC166" i="73"/>
  <c r="T166" i="73"/>
  <c r="X166" i="73" s="1"/>
  <c r="K166" i="73"/>
  <c r="AK165" i="73"/>
  <c r="AC165" i="73"/>
  <c r="T165" i="73"/>
  <c r="X165" i="73" s="1"/>
  <c r="K165" i="73"/>
  <c r="AK164" i="73"/>
  <c r="AC164" i="73"/>
  <c r="X164" i="73"/>
  <c r="T164" i="73"/>
  <c r="K164" i="73"/>
  <c r="AK163" i="73"/>
  <c r="AC163" i="73"/>
  <c r="T163" i="73"/>
  <c r="X163" i="73" s="1"/>
  <c r="K163" i="73"/>
  <c r="AK162" i="73"/>
  <c r="AC162" i="73"/>
  <c r="T162" i="73"/>
  <c r="X162" i="73" s="1"/>
  <c r="K162" i="73"/>
  <c r="AK161" i="73"/>
  <c r="AC161" i="73"/>
  <c r="U161" i="73"/>
  <c r="S161" i="73"/>
  <c r="T161" i="73" s="1"/>
  <c r="X161" i="73" s="1"/>
  <c r="H161" i="73"/>
  <c r="K161" i="73" s="1"/>
  <c r="AK160" i="73"/>
  <c r="AC160" i="73"/>
  <c r="U160" i="73"/>
  <c r="T160" i="73"/>
  <c r="S160" i="73"/>
  <c r="H160" i="73"/>
  <c r="K160" i="73" s="1"/>
  <c r="AK159" i="73"/>
  <c r="AC159" i="73"/>
  <c r="U159" i="73"/>
  <c r="S159" i="73"/>
  <c r="T159" i="73" s="1"/>
  <c r="X159" i="73" s="1"/>
  <c r="K159" i="73"/>
  <c r="H159" i="73"/>
  <c r="AK158" i="73"/>
  <c r="AC158" i="73"/>
  <c r="U158" i="73"/>
  <c r="S158" i="73"/>
  <c r="T158" i="73" s="1"/>
  <c r="X158" i="73" s="1"/>
  <c r="H158" i="73"/>
  <c r="K158" i="73" s="1"/>
  <c r="AK157" i="73"/>
  <c r="AC157" i="73"/>
  <c r="U157" i="73"/>
  <c r="S157" i="73"/>
  <c r="T157" i="73" s="1"/>
  <c r="X157" i="73" s="1"/>
  <c r="H157" i="73"/>
  <c r="K157" i="73" s="1"/>
  <c r="AK156" i="73"/>
  <c r="AC156" i="73"/>
  <c r="U156" i="73"/>
  <c r="S156" i="73"/>
  <c r="T156" i="73" s="1"/>
  <c r="X156" i="73" s="1"/>
  <c r="H156" i="73"/>
  <c r="K156" i="73" s="1"/>
  <c r="AK155" i="73"/>
  <c r="AC155" i="73"/>
  <c r="U155" i="73"/>
  <c r="X155" i="73" s="1"/>
  <c r="T155" i="73"/>
  <c r="S155" i="73"/>
  <c r="K155" i="73"/>
  <c r="H155" i="73"/>
  <c r="AK154" i="73"/>
  <c r="AC154" i="73"/>
  <c r="U154" i="73"/>
  <c r="S154" i="73"/>
  <c r="T154" i="73" s="1"/>
  <c r="H154" i="73"/>
  <c r="K154" i="73" s="1"/>
  <c r="AK153" i="73"/>
  <c r="AC153" i="73"/>
  <c r="U153" i="73"/>
  <c r="S153" i="73"/>
  <c r="T153" i="73" s="1"/>
  <c r="X153" i="73" s="1"/>
  <c r="H153" i="73"/>
  <c r="K153" i="73" s="1"/>
  <c r="AK152" i="73"/>
  <c r="AC152" i="73"/>
  <c r="U152" i="73"/>
  <c r="S152" i="73"/>
  <c r="T152" i="73" s="1"/>
  <c r="X152" i="73" s="1"/>
  <c r="H152" i="73"/>
  <c r="K152" i="73" s="1"/>
  <c r="AK151" i="73"/>
  <c r="AC151" i="73"/>
  <c r="U151" i="73"/>
  <c r="S151" i="73"/>
  <c r="T151" i="73" s="1"/>
  <c r="X151" i="73" s="1"/>
  <c r="H151" i="73"/>
  <c r="K151" i="73" s="1"/>
  <c r="AK150" i="73"/>
  <c r="AC150" i="73"/>
  <c r="U150" i="73"/>
  <c r="S150" i="73"/>
  <c r="T150" i="73" s="1"/>
  <c r="X150" i="73" s="1"/>
  <c r="K150" i="73"/>
  <c r="H150" i="73"/>
  <c r="AK149" i="73"/>
  <c r="AC149" i="73"/>
  <c r="U149" i="73"/>
  <c r="S149" i="73"/>
  <c r="T149" i="73" s="1"/>
  <c r="X149" i="73" s="1"/>
  <c r="K149" i="73"/>
  <c r="H149" i="73"/>
  <c r="AK148" i="73"/>
  <c r="AC148" i="73"/>
  <c r="U148" i="73"/>
  <c r="T148" i="73"/>
  <c r="S148" i="73"/>
  <c r="H148" i="73"/>
  <c r="K148" i="73" s="1"/>
  <c r="AK147" i="73"/>
  <c r="AC147" i="73"/>
  <c r="U147" i="73"/>
  <c r="T147" i="73"/>
  <c r="X147" i="73" s="1"/>
  <c r="S147" i="73"/>
  <c r="H147" i="73"/>
  <c r="K147" i="73" s="1"/>
  <c r="AK146" i="73"/>
  <c r="AC146" i="73"/>
  <c r="U146" i="73"/>
  <c r="S146" i="73"/>
  <c r="T146" i="73" s="1"/>
  <c r="X146" i="73" s="1"/>
  <c r="K146" i="73"/>
  <c r="H146" i="73"/>
  <c r="AK145" i="73"/>
  <c r="AC145" i="73"/>
  <c r="U145" i="73"/>
  <c r="T145" i="73"/>
  <c r="S145" i="73"/>
  <c r="M145" i="73"/>
  <c r="H145" i="73"/>
  <c r="K145" i="73" s="1"/>
  <c r="AK144" i="73"/>
  <c r="AC144" i="73"/>
  <c r="T144" i="73"/>
  <c r="X144" i="73" s="1"/>
  <c r="K144" i="73"/>
  <c r="AK143" i="73"/>
  <c r="AC143" i="73"/>
  <c r="X143" i="73"/>
  <c r="T143" i="73"/>
  <c r="K143" i="73"/>
  <c r="AK142" i="73"/>
  <c r="AC142" i="73"/>
  <c r="X142" i="73"/>
  <c r="T142" i="73"/>
  <c r="K142" i="73"/>
  <c r="AK141" i="73"/>
  <c r="AC141" i="73"/>
  <c r="T141" i="73"/>
  <c r="X141" i="73" s="1"/>
  <c r="K141" i="73"/>
  <c r="AK140" i="73"/>
  <c r="AC140" i="73"/>
  <c r="T140" i="73"/>
  <c r="X140" i="73" s="1"/>
  <c r="K140" i="73"/>
  <c r="AK139" i="73"/>
  <c r="AC139" i="73"/>
  <c r="X139" i="73"/>
  <c r="T139" i="73"/>
  <c r="K139" i="73"/>
  <c r="AK138" i="73"/>
  <c r="AC138" i="73"/>
  <c r="X138" i="73"/>
  <c r="T138" i="73"/>
  <c r="K138" i="73"/>
  <c r="AK137" i="73"/>
  <c r="AC137" i="73"/>
  <c r="T137" i="73"/>
  <c r="X137" i="73" s="1"/>
  <c r="K137" i="73"/>
  <c r="AK136" i="73"/>
  <c r="AC136" i="73"/>
  <c r="T136" i="73"/>
  <c r="X136" i="73" s="1"/>
  <c r="K136" i="73"/>
  <c r="AK135" i="73"/>
  <c r="AC135" i="73"/>
  <c r="T135" i="73"/>
  <c r="X135" i="73" s="1"/>
  <c r="K135" i="73"/>
  <c r="AK134" i="73"/>
  <c r="AC134" i="73"/>
  <c r="X134" i="73"/>
  <c r="T134" i="73"/>
  <c r="K134" i="73"/>
  <c r="AK133" i="73"/>
  <c r="AC133" i="73"/>
  <c r="T133" i="73"/>
  <c r="X133" i="73" s="1"/>
  <c r="K133" i="73"/>
  <c r="AK132" i="73"/>
  <c r="AC132" i="73"/>
  <c r="T132" i="73"/>
  <c r="X132" i="73" s="1"/>
  <c r="K132" i="73"/>
  <c r="AK131" i="73"/>
  <c r="AC131" i="73"/>
  <c r="X131" i="73"/>
  <c r="T131" i="73"/>
  <c r="K131" i="73"/>
  <c r="AK130" i="73"/>
  <c r="AC130" i="73"/>
  <c r="X130" i="73"/>
  <c r="T130" i="73"/>
  <c r="K130" i="73"/>
  <c r="AK129" i="73"/>
  <c r="AC129" i="73"/>
  <c r="T129" i="73"/>
  <c r="X129" i="73" s="1"/>
  <c r="K129" i="73"/>
  <c r="AK128" i="73"/>
  <c r="AC128" i="73"/>
  <c r="T128" i="73"/>
  <c r="X128" i="73" s="1"/>
  <c r="K128" i="73"/>
  <c r="AK127" i="73"/>
  <c r="AC127" i="73"/>
  <c r="X127" i="73"/>
  <c r="T127" i="73"/>
  <c r="K127" i="73"/>
  <c r="AK126" i="73"/>
  <c r="AC126" i="73"/>
  <c r="X126" i="73"/>
  <c r="T126" i="73"/>
  <c r="K126" i="73"/>
  <c r="AK125" i="73"/>
  <c r="AC125" i="73"/>
  <c r="T125" i="73"/>
  <c r="X125" i="73" s="1"/>
  <c r="K125" i="73"/>
  <c r="AK124" i="73"/>
  <c r="AC124" i="73"/>
  <c r="T124" i="73"/>
  <c r="X124" i="73" s="1"/>
  <c r="K124" i="73"/>
  <c r="AK123" i="73"/>
  <c r="AC123" i="73"/>
  <c r="T123" i="73"/>
  <c r="X123" i="73" s="1"/>
  <c r="K123" i="73"/>
  <c r="AK122" i="73"/>
  <c r="AC122" i="73"/>
  <c r="T122" i="73"/>
  <c r="X122" i="73" s="1"/>
  <c r="K122" i="73"/>
  <c r="AK121" i="73"/>
  <c r="AC121" i="73"/>
  <c r="T121" i="73"/>
  <c r="X121" i="73" s="1"/>
  <c r="K121" i="73"/>
  <c r="AK120" i="73"/>
  <c r="AC120" i="73"/>
  <c r="T120" i="73"/>
  <c r="X120" i="73" s="1"/>
  <c r="K120" i="73"/>
  <c r="AK119" i="73"/>
  <c r="AC119" i="73"/>
  <c r="T119" i="73"/>
  <c r="X119" i="73" s="1"/>
  <c r="K119" i="73"/>
  <c r="AK118" i="73"/>
  <c r="AC118" i="73"/>
  <c r="X118" i="73"/>
  <c r="T118" i="73"/>
  <c r="K118" i="73"/>
  <c r="AK117" i="73"/>
  <c r="AC117" i="73"/>
  <c r="T117" i="73"/>
  <c r="X117" i="73" s="1"/>
  <c r="I117" i="73"/>
  <c r="H117" i="73"/>
  <c r="K117" i="73" s="1"/>
  <c r="AK116" i="73"/>
  <c r="AC116" i="73"/>
  <c r="T116" i="73"/>
  <c r="X116" i="73" s="1"/>
  <c r="K116" i="73"/>
  <c r="H116" i="73"/>
  <c r="AK115" i="73"/>
  <c r="AC115" i="73"/>
  <c r="X115" i="73"/>
  <c r="T115" i="73"/>
  <c r="K115" i="73"/>
  <c r="AK114" i="73"/>
  <c r="AC114" i="73"/>
  <c r="T114" i="73"/>
  <c r="X114" i="73" s="1"/>
  <c r="K114" i="73"/>
  <c r="AK113" i="73"/>
  <c r="AC113" i="73"/>
  <c r="T113" i="73"/>
  <c r="X113" i="73" s="1"/>
  <c r="K113" i="73"/>
  <c r="AK112" i="73"/>
  <c r="AC112" i="73"/>
  <c r="T112" i="73"/>
  <c r="U112" i="73" s="1"/>
  <c r="X112" i="73" s="1"/>
  <c r="K112" i="73"/>
  <c r="AK111" i="73"/>
  <c r="AC111" i="73"/>
  <c r="T111" i="73"/>
  <c r="X111" i="73" s="1"/>
  <c r="K111" i="73"/>
  <c r="AK110" i="73"/>
  <c r="AC110" i="73"/>
  <c r="T110" i="73"/>
  <c r="X110" i="73" s="1"/>
  <c r="K110" i="73"/>
  <c r="AK109" i="73"/>
  <c r="AC109" i="73"/>
  <c r="T109" i="73"/>
  <c r="X109" i="73" s="1"/>
  <c r="K109" i="73"/>
  <c r="AJ108" i="73"/>
  <c r="AE108" i="73"/>
  <c r="AD108" i="73"/>
  <c r="AA108" i="73"/>
  <c r="AC108" i="73" s="1"/>
  <c r="V108" i="73"/>
  <c r="U108" i="73"/>
  <c r="X108" i="73" s="1"/>
  <c r="T108" i="73"/>
  <c r="I108" i="73"/>
  <c r="H108" i="73"/>
  <c r="K108" i="73" s="1"/>
  <c r="AJ107" i="73"/>
  <c r="AH107" i="73"/>
  <c r="AK107" i="73" s="1"/>
  <c r="AB107" i="73"/>
  <c r="AC107" i="73" s="1"/>
  <c r="V107" i="73"/>
  <c r="T107" i="73"/>
  <c r="M107" i="73"/>
  <c r="X107" i="73" s="1"/>
  <c r="K107" i="73"/>
  <c r="AK106" i="73"/>
  <c r="AC106" i="73"/>
  <c r="X106" i="73"/>
  <c r="T106" i="73"/>
  <c r="K106" i="73"/>
  <c r="AK105" i="73"/>
  <c r="AC105" i="73"/>
  <c r="T105" i="73"/>
  <c r="X105" i="73" s="1"/>
  <c r="K105" i="73"/>
  <c r="AK104" i="73"/>
  <c r="AC104" i="73"/>
  <c r="X104" i="73"/>
  <c r="T104" i="73"/>
  <c r="K104" i="73"/>
  <c r="AK103" i="73"/>
  <c r="AC103" i="73"/>
  <c r="T103" i="73"/>
  <c r="X103" i="73" s="1"/>
  <c r="K103" i="73"/>
  <c r="AK102" i="73"/>
  <c r="AC102" i="73"/>
  <c r="T102" i="73"/>
  <c r="X102" i="73" s="1"/>
  <c r="K102" i="73"/>
  <c r="AK101" i="73"/>
  <c r="AC101" i="73"/>
  <c r="T101" i="73"/>
  <c r="X101" i="73" s="1"/>
  <c r="K101" i="73"/>
  <c r="AK100" i="73"/>
  <c r="AC100" i="73"/>
  <c r="T100" i="73"/>
  <c r="X100" i="73" s="1"/>
  <c r="K100" i="73"/>
  <c r="AK99" i="73"/>
  <c r="AC99" i="73"/>
  <c r="T99" i="73"/>
  <c r="X99" i="73" s="1"/>
  <c r="K99" i="73"/>
  <c r="AK98" i="73"/>
  <c r="AC98" i="73"/>
  <c r="X98" i="73"/>
  <c r="T98" i="73"/>
  <c r="K98" i="73"/>
  <c r="AK97" i="73"/>
  <c r="AC97" i="73"/>
  <c r="T97" i="73"/>
  <c r="X97" i="73" s="1"/>
  <c r="K97" i="73"/>
  <c r="AK96" i="73"/>
  <c r="AC96" i="73"/>
  <c r="X96" i="73"/>
  <c r="T96" i="73"/>
  <c r="K96" i="73"/>
  <c r="AK95" i="73"/>
  <c r="AC95" i="73"/>
  <c r="T95" i="73"/>
  <c r="X95" i="73" s="1"/>
  <c r="K95" i="73"/>
  <c r="AK94" i="73"/>
  <c r="AC94" i="73"/>
  <c r="T94" i="73"/>
  <c r="X94" i="73" s="1"/>
  <c r="K94" i="73"/>
  <c r="AK93" i="73"/>
  <c r="AC93" i="73"/>
  <c r="T93" i="73"/>
  <c r="X93" i="73" s="1"/>
  <c r="K93" i="73"/>
  <c r="AK92" i="73"/>
  <c r="AC92" i="73"/>
  <c r="T92" i="73"/>
  <c r="X92" i="73" s="1"/>
  <c r="K92" i="73"/>
  <c r="AK91" i="73"/>
  <c r="AC91" i="73"/>
  <c r="T91" i="73"/>
  <c r="X91" i="73" s="1"/>
  <c r="K91" i="73"/>
  <c r="AK90" i="73"/>
  <c r="AC90" i="73"/>
  <c r="X90" i="73"/>
  <c r="T90" i="73"/>
  <c r="K90" i="73"/>
  <c r="AK89" i="73"/>
  <c r="AC89" i="73"/>
  <c r="T89" i="73"/>
  <c r="X89" i="73" s="1"/>
  <c r="K89" i="73"/>
  <c r="AK88" i="73"/>
  <c r="AC88" i="73"/>
  <c r="X88" i="73"/>
  <c r="T88" i="73"/>
  <c r="K88" i="73"/>
  <c r="AK87" i="73"/>
  <c r="AC87" i="73"/>
  <c r="T87" i="73"/>
  <c r="X87" i="73" s="1"/>
  <c r="K87" i="73"/>
  <c r="AK86" i="73"/>
  <c r="AC86" i="73"/>
  <c r="T86" i="73"/>
  <c r="X86" i="73" s="1"/>
  <c r="K86" i="73"/>
  <c r="AK85" i="73"/>
  <c r="AC85" i="73"/>
  <c r="T85" i="73"/>
  <c r="X85" i="73" s="1"/>
  <c r="K85" i="73"/>
  <c r="AK84" i="73"/>
  <c r="AC84" i="73"/>
  <c r="T84" i="73"/>
  <c r="X84" i="73" s="1"/>
  <c r="K84" i="73"/>
  <c r="AK83" i="73"/>
  <c r="AC83" i="73"/>
  <c r="T83" i="73"/>
  <c r="X83" i="73" s="1"/>
  <c r="K83" i="73"/>
  <c r="AK82" i="73"/>
  <c r="AC82" i="73"/>
  <c r="X82" i="73"/>
  <c r="T82" i="73"/>
  <c r="K82" i="73"/>
  <c r="AK81" i="73"/>
  <c r="AC81" i="73"/>
  <c r="T81" i="73"/>
  <c r="X81" i="73" s="1"/>
  <c r="K81" i="73"/>
  <c r="AK80" i="73"/>
  <c r="AC80" i="73"/>
  <c r="X80" i="73"/>
  <c r="T80" i="73"/>
  <c r="K80" i="73"/>
  <c r="AK79" i="73"/>
  <c r="AC79" i="73"/>
  <c r="T79" i="73"/>
  <c r="X79" i="73" s="1"/>
  <c r="K79" i="73"/>
  <c r="AK78" i="73"/>
  <c r="AC78" i="73"/>
  <c r="T78" i="73"/>
  <c r="X78" i="73" s="1"/>
  <c r="K78" i="73"/>
  <c r="AK77" i="73"/>
  <c r="AC77" i="73"/>
  <c r="T77" i="73"/>
  <c r="X77" i="73" s="1"/>
  <c r="K77" i="73"/>
  <c r="AK76" i="73"/>
  <c r="AC76" i="73"/>
  <c r="T76" i="73"/>
  <c r="X76" i="73" s="1"/>
  <c r="K76" i="73"/>
  <c r="AK75" i="73"/>
  <c r="AC75" i="73"/>
  <c r="T75" i="73"/>
  <c r="X75" i="73" s="1"/>
  <c r="K75" i="73"/>
  <c r="AK74" i="73"/>
  <c r="AC74" i="73"/>
  <c r="T74" i="73"/>
  <c r="X74" i="73" s="1"/>
  <c r="K74" i="73"/>
  <c r="AK73" i="73"/>
  <c r="AC73" i="73"/>
  <c r="T73" i="73"/>
  <c r="X73" i="73" s="1"/>
  <c r="K73" i="73"/>
  <c r="AK72" i="73"/>
  <c r="AC72" i="73"/>
  <c r="T72" i="73"/>
  <c r="X72" i="73" s="1"/>
  <c r="K72" i="73"/>
  <c r="AK71" i="73"/>
  <c r="AC71" i="73"/>
  <c r="T71" i="73"/>
  <c r="X71" i="73" s="1"/>
  <c r="K71" i="73"/>
  <c r="AK70" i="73"/>
  <c r="AC70" i="73"/>
  <c r="T70" i="73"/>
  <c r="X70" i="73" s="1"/>
  <c r="K70" i="73"/>
  <c r="AK69" i="73"/>
  <c r="AC69" i="73"/>
  <c r="T69" i="73"/>
  <c r="X69" i="73" s="1"/>
  <c r="K69" i="73"/>
  <c r="AK68" i="73"/>
  <c r="AC68" i="73"/>
  <c r="T68" i="73"/>
  <c r="X68" i="73" s="1"/>
  <c r="K68" i="73"/>
  <c r="AK67" i="73"/>
  <c r="AC67" i="73"/>
  <c r="T67" i="73"/>
  <c r="X67" i="73" s="1"/>
  <c r="K67" i="73"/>
  <c r="AK66" i="73"/>
  <c r="AC66" i="73"/>
  <c r="T66" i="73"/>
  <c r="X66" i="73" s="1"/>
  <c r="K66" i="73"/>
  <c r="AK65" i="73"/>
  <c r="AC65" i="73"/>
  <c r="T65" i="73"/>
  <c r="X65" i="73" s="1"/>
  <c r="K65" i="73"/>
  <c r="AK64" i="73"/>
  <c r="AC64" i="73"/>
  <c r="T64" i="73"/>
  <c r="X64" i="73" s="1"/>
  <c r="K64" i="73"/>
  <c r="AK63" i="73"/>
  <c r="AC63" i="73"/>
  <c r="T63" i="73"/>
  <c r="X63" i="73" s="1"/>
  <c r="K63" i="73"/>
  <c r="AK62" i="73"/>
  <c r="AC62" i="73"/>
  <c r="T62" i="73"/>
  <c r="X62" i="73" s="1"/>
  <c r="K62" i="73"/>
  <c r="AK61" i="73"/>
  <c r="AC61" i="73"/>
  <c r="T61" i="73"/>
  <c r="X61" i="73" s="1"/>
  <c r="K61" i="73"/>
  <c r="AK60" i="73"/>
  <c r="AC60" i="73"/>
  <c r="T60" i="73"/>
  <c r="X60" i="73" s="1"/>
  <c r="K60" i="73"/>
  <c r="AK59" i="73"/>
  <c r="AC59" i="73"/>
  <c r="T59" i="73"/>
  <c r="X59" i="73" s="1"/>
  <c r="K59" i="73"/>
  <c r="AK58" i="73"/>
  <c r="AC58" i="73"/>
  <c r="T58" i="73"/>
  <c r="X58" i="73" s="1"/>
  <c r="K58" i="73"/>
  <c r="AK57" i="73"/>
  <c r="AC57" i="73"/>
  <c r="T57" i="73"/>
  <c r="X57" i="73" s="1"/>
  <c r="K57" i="73"/>
  <c r="AK56" i="73"/>
  <c r="AC56" i="73"/>
  <c r="T56" i="73"/>
  <c r="X56" i="73" s="1"/>
  <c r="K56" i="73"/>
  <c r="AK55" i="73"/>
  <c r="AC55" i="73"/>
  <c r="T55" i="73"/>
  <c r="X55" i="73" s="1"/>
  <c r="K55" i="73"/>
  <c r="AK54" i="73"/>
  <c r="AC54" i="73"/>
  <c r="T54" i="73"/>
  <c r="X54" i="73" s="1"/>
  <c r="K54" i="73"/>
  <c r="AK53" i="73"/>
  <c r="AC53" i="73"/>
  <c r="T53" i="73"/>
  <c r="X53" i="73" s="1"/>
  <c r="K53" i="73"/>
  <c r="AK52" i="73"/>
  <c r="AC52" i="73"/>
  <c r="T52" i="73"/>
  <c r="X52" i="73" s="1"/>
  <c r="K52" i="73"/>
  <c r="AK51" i="73"/>
  <c r="AC51" i="73"/>
  <c r="T51" i="73"/>
  <c r="X51" i="73" s="1"/>
  <c r="K51" i="73"/>
  <c r="AK50" i="73"/>
  <c r="AC50" i="73"/>
  <c r="T50" i="73"/>
  <c r="X50" i="73" s="1"/>
  <c r="K50" i="73"/>
  <c r="AK49" i="73"/>
  <c r="AC49" i="73"/>
  <c r="T49" i="73"/>
  <c r="X49" i="73" s="1"/>
  <c r="K49" i="73"/>
  <c r="AK48" i="73"/>
  <c r="AC48" i="73"/>
  <c r="T48" i="73"/>
  <c r="X48" i="73" s="1"/>
  <c r="K48" i="73"/>
  <c r="AK47" i="73"/>
  <c r="AC47" i="73"/>
  <c r="T47" i="73"/>
  <c r="X47" i="73" s="1"/>
  <c r="K47" i="73"/>
  <c r="AK46" i="73"/>
  <c r="AC46" i="73"/>
  <c r="T46" i="73"/>
  <c r="X46" i="73" s="1"/>
  <c r="K46" i="73"/>
  <c r="AK45" i="73"/>
  <c r="AC45" i="73"/>
  <c r="T45" i="73"/>
  <c r="X45" i="73" s="1"/>
  <c r="K45" i="73"/>
  <c r="AK44" i="73"/>
  <c r="AC44" i="73"/>
  <c r="T44" i="73"/>
  <c r="X44" i="73" s="1"/>
  <c r="K44" i="73"/>
  <c r="AK43" i="73"/>
  <c r="AC43" i="73"/>
  <c r="T43" i="73"/>
  <c r="X43" i="73" s="1"/>
  <c r="K43" i="73"/>
  <c r="AK42" i="73"/>
  <c r="AC42" i="73"/>
  <c r="T42" i="73"/>
  <c r="X42" i="73" s="1"/>
  <c r="K42" i="73"/>
  <c r="AK41" i="73"/>
  <c r="AC41" i="73"/>
  <c r="T41" i="73"/>
  <c r="X41" i="73" s="1"/>
  <c r="K41" i="73"/>
  <c r="AK40" i="73"/>
  <c r="AC40" i="73"/>
  <c r="T40" i="73"/>
  <c r="X40" i="73" s="1"/>
  <c r="K40" i="73"/>
  <c r="AK39" i="73"/>
  <c r="AC39" i="73"/>
  <c r="T39" i="73"/>
  <c r="X39" i="73" s="1"/>
  <c r="K39" i="73"/>
  <c r="AK38" i="73"/>
  <c r="AC38" i="73"/>
  <c r="T38" i="73"/>
  <c r="X38" i="73" s="1"/>
  <c r="K38" i="73"/>
  <c r="AK37" i="73"/>
  <c r="AC37" i="73"/>
  <c r="X37" i="73"/>
  <c r="T37" i="73"/>
  <c r="K37" i="73"/>
  <c r="AK36" i="73"/>
  <c r="AC36" i="73"/>
  <c r="T36" i="73"/>
  <c r="X36" i="73" s="1"/>
  <c r="K36" i="73"/>
  <c r="AK35" i="73"/>
  <c r="AC35" i="73"/>
  <c r="T35" i="73"/>
  <c r="X35" i="73" s="1"/>
  <c r="K35" i="73"/>
  <c r="AK34" i="73"/>
  <c r="AC34" i="73"/>
  <c r="T34" i="73"/>
  <c r="X34" i="73" s="1"/>
  <c r="K34" i="73"/>
  <c r="AK33" i="73"/>
  <c r="AC33" i="73"/>
  <c r="T33" i="73"/>
  <c r="X33" i="73" s="1"/>
  <c r="K33" i="73"/>
  <c r="AK32" i="73"/>
  <c r="AC32" i="73"/>
  <c r="T32" i="73"/>
  <c r="X32" i="73" s="1"/>
  <c r="K32" i="73"/>
  <c r="AK31" i="73"/>
  <c r="AC31" i="73"/>
  <c r="T31" i="73"/>
  <c r="X31" i="73" s="1"/>
  <c r="K31" i="73"/>
  <c r="AK30" i="73"/>
  <c r="AC30" i="73"/>
  <c r="T30" i="73"/>
  <c r="X30" i="73" s="1"/>
  <c r="K30" i="73"/>
  <c r="AK29" i="73"/>
  <c r="AC29" i="73"/>
  <c r="X29" i="73"/>
  <c r="T29" i="73"/>
  <c r="K29" i="73"/>
  <c r="AK28" i="73"/>
  <c r="AC28" i="73"/>
  <c r="T28" i="73"/>
  <c r="X28" i="73" s="1"/>
  <c r="K28" i="73"/>
  <c r="AK27" i="73"/>
  <c r="AC27" i="73"/>
  <c r="T27" i="73"/>
  <c r="X27" i="73" s="1"/>
  <c r="K27" i="73"/>
  <c r="AK26" i="73"/>
  <c r="AC26" i="73"/>
  <c r="T26" i="73"/>
  <c r="X26" i="73" s="1"/>
  <c r="K26" i="73"/>
  <c r="AK25" i="73"/>
  <c r="AC25" i="73"/>
  <c r="T25" i="73"/>
  <c r="X25" i="73" s="1"/>
  <c r="K25" i="73"/>
  <c r="AK24" i="73"/>
  <c r="AC24" i="73"/>
  <c r="T24" i="73"/>
  <c r="X24" i="73" s="1"/>
  <c r="K24" i="73"/>
  <c r="AK23" i="73"/>
  <c r="AC23" i="73"/>
  <c r="T23" i="73"/>
  <c r="X23" i="73" s="1"/>
  <c r="K23" i="73"/>
  <c r="AK22" i="73"/>
  <c r="AC22" i="73"/>
  <c r="T22" i="73"/>
  <c r="X22" i="73" s="1"/>
  <c r="K22" i="73"/>
  <c r="AK21" i="73"/>
  <c r="AC21" i="73"/>
  <c r="X21" i="73"/>
  <c r="T21" i="73"/>
  <c r="K21" i="73"/>
  <c r="AK20" i="73"/>
  <c r="AC20" i="73"/>
  <c r="T20" i="73"/>
  <c r="X20" i="73" s="1"/>
  <c r="K20" i="73"/>
  <c r="AK19" i="73"/>
  <c r="AC19" i="73"/>
  <c r="X19" i="73"/>
  <c r="T19" i="73"/>
  <c r="K19" i="73"/>
  <c r="AK18" i="73"/>
  <c r="AC18" i="73"/>
  <c r="T18" i="73"/>
  <c r="X18" i="73" s="1"/>
  <c r="K18" i="73"/>
  <c r="AK17" i="73"/>
  <c r="AC17" i="73"/>
  <c r="T17" i="73"/>
  <c r="X17" i="73" s="1"/>
  <c r="K17" i="73"/>
  <c r="AK16" i="73"/>
  <c r="AC16" i="73"/>
  <c r="T16" i="73"/>
  <c r="X16" i="73" s="1"/>
  <c r="K16" i="73"/>
  <c r="AK15" i="73"/>
  <c r="AC15" i="73"/>
  <c r="T15" i="73"/>
  <c r="X15" i="73" s="1"/>
  <c r="K15" i="73"/>
  <c r="AK14" i="73"/>
  <c r="AC14" i="73"/>
  <c r="T14" i="73"/>
  <c r="X14" i="73" s="1"/>
  <c r="K14" i="73"/>
  <c r="AK13" i="73"/>
  <c r="AC13" i="73"/>
  <c r="X13" i="73"/>
  <c r="T13" i="73"/>
  <c r="K13" i="73"/>
  <c r="AK12" i="73"/>
  <c r="AC12" i="73"/>
  <c r="T12" i="73"/>
  <c r="X12" i="73" s="1"/>
  <c r="K12" i="73"/>
  <c r="AK11" i="73"/>
  <c r="AC11" i="73"/>
  <c r="T11" i="73"/>
  <c r="X11" i="73" s="1"/>
  <c r="K11" i="73"/>
  <c r="AK10" i="73"/>
  <c r="AC10" i="73"/>
  <c r="T10" i="73"/>
  <c r="X10" i="73" s="1"/>
  <c r="K10" i="73"/>
  <c r="AK9" i="73"/>
  <c r="AC9" i="73"/>
  <c r="T9" i="73"/>
  <c r="X9" i="73" s="1"/>
  <c r="K9" i="73"/>
  <c r="AK8" i="73"/>
  <c r="AC8" i="73"/>
  <c r="T8" i="73"/>
  <c r="X8" i="73" s="1"/>
  <c r="K8" i="73"/>
  <c r="AK7" i="73"/>
  <c r="AC7" i="73"/>
  <c r="T7" i="73"/>
  <c r="X7" i="73" s="1"/>
  <c r="K7" i="73"/>
  <c r="AK6" i="73"/>
  <c r="AC6" i="73"/>
  <c r="T6" i="73"/>
  <c r="X6" i="73" s="1"/>
  <c r="K6" i="73"/>
  <c r="AK5" i="73"/>
  <c r="AC5" i="73"/>
  <c r="T5" i="73"/>
  <c r="X5" i="73" s="1"/>
  <c r="K5" i="73"/>
  <c r="AK4" i="73"/>
  <c r="AC4" i="73"/>
  <c r="T4" i="73"/>
  <c r="X4" i="73" s="1"/>
  <c r="K4" i="73"/>
  <c r="AM256" i="72"/>
  <c r="AO256" i="72"/>
  <c r="AN256" i="72"/>
  <c r="AL256" i="72"/>
  <c r="AK256" i="72"/>
  <c r="AC256" i="72"/>
  <c r="T256" i="72"/>
  <c r="X256" i="72" s="1"/>
  <c r="AQ256" i="72" s="1"/>
  <c r="K256" i="72"/>
  <c r="AO255" i="72"/>
  <c r="BB255" i="72"/>
  <c r="AP255" i="72" s="1"/>
  <c r="AN255" i="72"/>
  <c r="AM255" i="72"/>
  <c r="AL255" i="72"/>
  <c r="AK255" i="72"/>
  <c r="AC255" i="72"/>
  <c r="X255" i="72"/>
  <c r="AQ255" i="72" s="1"/>
  <c r="T255" i="72"/>
  <c r="K255" i="72"/>
  <c r="AM254" i="72"/>
  <c r="AO254" i="72"/>
  <c r="AN254" i="72"/>
  <c r="AL254" i="72"/>
  <c r="AK254" i="72"/>
  <c r="AC254" i="72"/>
  <c r="T254" i="72"/>
  <c r="X254" i="72" s="1"/>
  <c r="K254" i="72"/>
  <c r="AO253" i="72"/>
  <c r="BB253" i="72"/>
  <c r="AP253" i="72" s="1"/>
  <c r="AN253" i="72"/>
  <c r="AM253" i="72"/>
  <c r="AL253" i="72"/>
  <c r="AK253" i="72"/>
  <c r="AC253" i="72"/>
  <c r="T253" i="72"/>
  <c r="X253" i="72" s="1"/>
  <c r="K253" i="72"/>
  <c r="AM252" i="72"/>
  <c r="AO252" i="72"/>
  <c r="AN252" i="72"/>
  <c r="AL252" i="72"/>
  <c r="AK252" i="72"/>
  <c r="AC252" i="72"/>
  <c r="T252" i="72"/>
  <c r="X252" i="72" s="1"/>
  <c r="AQ252" i="72" s="1"/>
  <c r="K252" i="72"/>
  <c r="AO251" i="72"/>
  <c r="BB251" i="72"/>
  <c r="AP251" i="72" s="1"/>
  <c r="AN251" i="72"/>
  <c r="AM251" i="72"/>
  <c r="AL251" i="72"/>
  <c r="AK251" i="72"/>
  <c r="AC251" i="72"/>
  <c r="T251" i="72"/>
  <c r="X251" i="72" s="1"/>
  <c r="K251" i="72"/>
  <c r="AM250" i="72"/>
  <c r="AO250" i="72"/>
  <c r="AN250" i="72"/>
  <c r="AL250" i="72"/>
  <c r="AK250" i="72"/>
  <c r="AC250" i="72"/>
  <c r="T250" i="72"/>
  <c r="X250" i="72" s="1"/>
  <c r="K250" i="72"/>
  <c r="AN249" i="72"/>
  <c r="AP249" i="72"/>
  <c r="AO249" i="72"/>
  <c r="AM249" i="72"/>
  <c r="AL249" i="72"/>
  <c r="AK249" i="72"/>
  <c r="AC249" i="72"/>
  <c r="T249" i="72"/>
  <c r="X249" i="72" s="1"/>
  <c r="K249" i="72"/>
  <c r="AL248" i="72"/>
  <c r="AO248" i="72"/>
  <c r="AN248" i="72"/>
  <c r="AM248" i="72"/>
  <c r="AK248" i="72"/>
  <c r="AC248" i="72"/>
  <c r="T248" i="72"/>
  <c r="X248" i="72" s="1"/>
  <c r="AQ248" i="72" s="1"/>
  <c r="K248" i="72"/>
  <c r="AN247" i="72"/>
  <c r="BB247" i="72"/>
  <c r="AP247" i="72" s="1"/>
  <c r="AO247" i="72"/>
  <c r="AM247" i="72"/>
  <c r="AL247" i="72"/>
  <c r="AK247" i="72"/>
  <c r="AC247" i="72"/>
  <c r="T247" i="72"/>
  <c r="X247" i="72" s="1"/>
  <c r="K247" i="72"/>
  <c r="AL246" i="72"/>
  <c r="AO246" i="72"/>
  <c r="AN246" i="72"/>
  <c r="AM246" i="72"/>
  <c r="AK246" i="72"/>
  <c r="AC246" i="72"/>
  <c r="T246" i="72"/>
  <c r="X246" i="72" s="1"/>
  <c r="K246" i="72"/>
  <c r="AN245" i="72"/>
  <c r="BB245" i="72"/>
  <c r="AP245" i="72" s="1"/>
  <c r="AO245" i="72"/>
  <c r="AM245" i="72"/>
  <c r="AL245" i="72"/>
  <c r="AK245" i="72"/>
  <c r="AC245" i="72"/>
  <c r="X245" i="72"/>
  <c r="T245" i="72"/>
  <c r="K245" i="72"/>
  <c r="AO244" i="72"/>
  <c r="AP244" i="72"/>
  <c r="AN244" i="72"/>
  <c r="AM244" i="72"/>
  <c r="AL244" i="72"/>
  <c r="AK244" i="72"/>
  <c r="AC244" i="72"/>
  <c r="T244" i="72"/>
  <c r="X244" i="72" s="1"/>
  <c r="K244" i="72"/>
  <c r="AM243" i="72"/>
  <c r="AO243" i="72"/>
  <c r="AN243" i="72"/>
  <c r="AL243" i="72"/>
  <c r="AK243" i="72"/>
  <c r="AC243" i="72"/>
  <c r="T243" i="72"/>
  <c r="X243" i="72" s="1"/>
  <c r="AQ243" i="72" s="1"/>
  <c r="K243" i="72"/>
  <c r="AO242" i="72"/>
  <c r="BB242" i="72"/>
  <c r="AP242" i="72" s="1"/>
  <c r="AN242" i="72"/>
  <c r="AM242" i="72"/>
  <c r="AL242" i="72"/>
  <c r="AK242" i="72"/>
  <c r="AC242" i="72"/>
  <c r="X242" i="72"/>
  <c r="AQ242" i="72" s="1"/>
  <c r="AR242" i="72" s="1"/>
  <c r="T242" i="72"/>
  <c r="K242" i="72"/>
  <c r="AM241" i="72"/>
  <c r="AO241" i="72"/>
  <c r="AN241" i="72"/>
  <c r="AL241" i="72"/>
  <c r="AK241" i="72"/>
  <c r="AC241" i="72"/>
  <c r="T241" i="72"/>
  <c r="X241" i="72" s="1"/>
  <c r="K241" i="72"/>
  <c r="AO240" i="72"/>
  <c r="BB240" i="72"/>
  <c r="AP240" i="72" s="1"/>
  <c r="AN240" i="72"/>
  <c r="AM240" i="72"/>
  <c r="AL240" i="72"/>
  <c r="AK240" i="72"/>
  <c r="AC240" i="72"/>
  <c r="T240" i="72"/>
  <c r="X240" i="72" s="1"/>
  <c r="K240" i="72"/>
  <c r="AO239" i="72"/>
  <c r="AN239" i="72"/>
  <c r="AL239" i="72"/>
  <c r="AK239" i="72"/>
  <c r="AC239" i="72"/>
  <c r="T239" i="72"/>
  <c r="X239" i="72" s="1"/>
  <c r="K239" i="72"/>
  <c r="AO238" i="72"/>
  <c r="BB238" i="72"/>
  <c r="AP238" i="72" s="1"/>
  <c r="AN238" i="72"/>
  <c r="AM238" i="72"/>
  <c r="AL238" i="72"/>
  <c r="AK238" i="72"/>
  <c r="AC238" i="72"/>
  <c r="T238" i="72"/>
  <c r="X238" i="72" s="1"/>
  <c r="K238" i="72"/>
  <c r="AO237" i="72"/>
  <c r="AN237" i="72"/>
  <c r="AL237" i="72"/>
  <c r="AK237" i="72"/>
  <c r="AC237" i="72"/>
  <c r="T237" i="72"/>
  <c r="X237" i="72" s="1"/>
  <c r="K237" i="72"/>
  <c r="AO236" i="72"/>
  <c r="BB236" i="72"/>
  <c r="AP236" i="72" s="1"/>
  <c r="AN236" i="72"/>
  <c r="AM236" i="72"/>
  <c r="AL236" i="72"/>
  <c r="AK236" i="72"/>
  <c r="AC236" i="72"/>
  <c r="T236" i="72"/>
  <c r="X236" i="72" s="1"/>
  <c r="AQ236" i="72" s="1"/>
  <c r="AR236" i="72" s="1"/>
  <c r="K236" i="72"/>
  <c r="AO235" i="72"/>
  <c r="AN235" i="72"/>
  <c r="AL235" i="72"/>
  <c r="AK235" i="72"/>
  <c r="AC235" i="72"/>
  <c r="T235" i="72"/>
  <c r="X235" i="72" s="1"/>
  <c r="AQ235" i="72" s="1"/>
  <c r="K235" i="72"/>
  <c r="AO234" i="72"/>
  <c r="BB234" i="72"/>
  <c r="AP234" i="72" s="1"/>
  <c r="AN234" i="72"/>
  <c r="AM234" i="72"/>
  <c r="AL234" i="72"/>
  <c r="AK234" i="72"/>
  <c r="AC234" i="72"/>
  <c r="T234" i="72"/>
  <c r="X234" i="72" s="1"/>
  <c r="K234" i="72"/>
  <c r="AO233" i="72"/>
  <c r="AN233" i="72"/>
  <c r="AL233" i="72"/>
  <c r="AK233" i="72"/>
  <c r="AC233" i="72"/>
  <c r="T233" i="72"/>
  <c r="X233" i="72" s="1"/>
  <c r="K233" i="72"/>
  <c r="AO232" i="72"/>
  <c r="BB232" i="72"/>
  <c r="AP232" i="72" s="1"/>
  <c r="AN232" i="72"/>
  <c r="AM232" i="72"/>
  <c r="AL232" i="72"/>
  <c r="AK232" i="72"/>
  <c r="AC232" i="72"/>
  <c r="T232" i="72"/>
  <c r="X232" i="72" s="1"/>
  <c r="K232" i="72"/>
  <c r="AL231" i="72"/>
  <c r="AP231" i="72"/>
  <c r="AO231" i="72"/>
  <c r="AN231" i="72"/>
  <c r="AM231" i="72"/>
  <c r="AK231" i="72"/>
  <c r="AC231" i="72"/>
  <c r="T231" i="72"/>
  <c r="X231" i="72" s="1"/>
  <c r="K231" i="72"/>
  <c r="AN230" i="72"/>
  <c r="BB230" i="72"/>
  <c r="AP230" i="72" s="1"/>
  <c r="AO230" i="72"/>
  <c r="AM230" i="72"/>
  <c r="AL230" i="72"/>
  <c r="AK230" i="72"/>
  <c r="AC230" i="72"/>
  <c r="T230" i="72"/>
  <c r="X230" i="72" s="1"/>
  <c r="K230" i="72"/>
  <c r="AL229" i="72"/>
  <c r="AO229" i="72"/>
  <c r="AN229" i="72"/>
  <c r="AM229" i="72"/>
  <c r="AK229" i="72"/>
  <c r="AC229" i="72"/>
  <c r="T229" i="72"/>
  <c r="X229" i="72" s="1"/>
  <c r="K229" i="72"/>
  <c r="AN228" i="72"/>
  <c r="BB228" i="72"/>
  <c r="AP228" i="72" s="1"/>
  <c r="AO228" i="72"/>
  <c r="AM228" i="72"/>
  <c r="AL228" i="72"/>
  <c r="AK228" i="72"/>
  <c r="AC228" i="72"/>
  <c r="T228" i="72"/>
  <c r="X228" i="72" s="1"/>
  <c r="K228" i="72"/>
  <c r="AL227" i="72"/>
  <c r="AO227" i="72"/>
  <c r="AN227" i="72"/>
  <c r="AM227" i="72"/>
  <c r="AK227" i="72"/>
  <c r="AC227" i="72"/>
  <c r="T227" i="72"/>
  <c r="X227" i="72" s="1"/>
  <c r="K227" i="72"/>
  <c r="AN226" i="72"/>
  <c r="BB226" i="72"/>
  <c r="AP226" i="72" s="1"/>
  <c r="AO226" i="72"/>
  <c r="AM226" i="72"/>
  <c r="AL226" i="72"/>
  <c r="AK226" i="72"/>
  <c r="AC226" i="72"/>
  <c r="T226" i="72"/>
  <c r="X226" i="72" s="1"/>
  <c r="K226" i="72"/>
  <c r="AL225" i="72"/>
  <c r="AO225" i="72"/>
  <c r="AN225" i="72"/>
  <c r="AM225" i="72"/>
  <c r="AK225" i="72"/>
  <c r="AC225" i="72"/>
  <c r="T225" i="72"/>
  <c r="X225" i="72" s="1"/>
  <c r="K225" i="72"/>
  <c r="AN224" i="72"/>
  <c r="BB224" i="72"/>
  <c r="AP224" i="72" s="1"/>
  <c r="AO224" i="72"/>
  <c r="AM224" i="72"/>
  <c r="AL224" i="72"/>
  <c r="AK224" i="72"/>
  <c r="AC224" i="72"/>
  <c r="T224" i="72"/>
  <c r="X224" i="72" s="1"/>
  <c r="AQ224" i="72" s="1"/>
  <c r="K224" i="72"/>
  <c r="AL223" i="72"/>
  <c r="AO223" i="72"/>
  <c r="AN223" i="72"/>
  <c r="AM223" i="72"/>
  <c r="AK223" i="72"/>
  <c r="AC223" i="72"/>
  <c r="T223" i="72"/>
  <c r="X223" i="72" s="1"/>
  <c r="AQ223" i="72" s="1"/>
  <c r="K223" i="72"/>
  <c r="AN222" i="72"/>
  <c r="BB222" i="72"/>
  <c r="AP222" i="72" s="1"/>
  <c r="AO222" i="72"/>
  <c r="AM222" i="72"/>
  <c r="AL222" i="72"/>
  <c r="AK222" i="72"/>
  <c r="AC222" i="72"/>
  <c r="X222" i="72"/>
  <c r="T222" i="72"/>
  <c r="K222" i="72"/>
  <c r="AL221" i="72"/>
  <c r="AO221" i="72"/>
  <c r="AN221" i="72"/>
  <c r="AM221" i="72"/>
  <c r="AK221" i="72"/>
  <c r="AC221" i="72"/>
  <c r="T221" i="72"/>
  <c r="X221" i="72" s="1"/>
  <c r="K221" i="72"/>
  <c r="AN220" i="72"/>
  <c r="BB220" i="72"/>
  <c r="AP220" i="72" s="1"/>
  <c r="AO220" i="72"/>
  <c r="AM220" i="72"/>
  <c r="AL220" i="72"/>
  <c r="AK220" i="72"/>
  <c r="AC220" i="72"/>
  <c r="T220" i="72"/>
  <c r="X220" i="72" s="1"/>
  <c r="K220" i="72"/>
  <c r="AL219" i="72"/>
  <c r="AO219" i="72"/>
  <c r="AN219" i="72"/>
  <c r="AM219" i="72"/>
  <c r="AK219" i="72"/>
  <c r="AC219" i="72"/>
  <c r="T219" i="72"/>
  <c r="X219" i="72" s="1"/>
  <c r="K219" i="72"/>
  <c r="AL218" i="72"/>
  <c r="AO218" i="72"/>
  <c r="AN218" i="72"/>
  <c r="AK218" i="72"/>
  <c r="AC218" i="72"/>
  <c r="T218" i="72"/>
  <c r="X218" i="72" s="1"/>
  <c r="AQ218" i="72" s="1"/>
  <c r="K218" i="72"/>
  <c r="AO217" i="72"/>
  <c r="AN217" i="72"/>
  <c r="BB217" i="72"/>
  <c r="AP217" i="72" s="1"/>
  <c r="AM217" i="72"/>
  <c r="AL217" i="72"/>
  <c r="AK217" i="72"/>
  <c r="AC217" i="72"/>
  <c r="T217" i="72"/>
  <c r="X217" i="72" s="1"/>
  <c r="K217" i="72"/>
  <c r="AM216" i="72"/>
  <c r="AL216" i="72"/>
  <c r="AO216" i="72"/>
  <c r="AN216" i="72"/>
  <c r="AK216" i="72"/>
  <c r="AC216" i="72"/>
  <c r="T216" i="72"/>
  <c r="X216" i="72" s="1"/>
  <c r="AQ216" i="72" s="1"/>
  <c r="K216" i="72"/>
  <c r="AO215" i="72"/>
  <c r="AN215" i="72"/>
  <c r="BB215" i="72"/>
  <c r="AP215" i="72" s="1"/>
  <c r="AM215" i="72"/>
  <c r="AL215" i="72"/>
  <c r="AK215" i="72"/>
  <c r="AC215" i="72"/>
  <c r="T215" i="72"/>
  <c r="X215" i="72" s="1"/>
  <c r="K215" i="72"/>
  <c r="AM214" i="72"/>
  <c r="AL214" i="72"/>
  <c r="AO214" i="72"/>
  <c r="AN214" i="72"/>
  <c r="AK214" i="72"/>
  <c r="AC214" i="72"/>
  <c r="T214" i="72"/>
  <c r="X214" i="72" s="1"/>
  <c r="K214" i="72"/>
  <c r="AO213" i="72"/>
  <c r="AN213" i="72"/>
  <c r="BB213" i="72"/>
  <c r="AP213" i="72" s="1"/>
  <c r="AM213" i="72"/>
  <c r="AL213" i="72"/>
  <c r="AK213" i="72"/>
  <c r="AC213" i="72"/>
  <c r="T213" i="72"/>
  <c r="X213" i="72" s="1"/>
  <c r="K213" i="72"/>
  <c r="AM212" i="72"/>
  <c r="AL212" i="72"/>
  <c r="AO212" i="72"/>
  <c r="AN212" i="72"/>
  <c r="AK212" i="72"/>
  <c r="AC212" i="72"/>
  <c r="T212" i="72"/>
  <c r="L212" i="72"/>
  <c r="K212" i="72"/>
  <c r="AO211" i="72"/>
  <c r="AL211" i="72"/>
  <c r="AN211" i="72"/>
  <c r="AM211" i="72"/>
  <c r="AK211" i="72"/>
  <c r="AC211" i="72"/>
  <c r="T211" i="72"/>
  <c r="X211" i="72" s="1"/>
  <c r="K211" i="72"/>
  <c r="AN210" i="72"/>
  <c r="AO210" i="72"/>
  <c r="AL210" i="72"/>
  <c r="AK210" i="72"/>
  <c r="AC210" i="72"/>
  <c r="T210" i="72"/>
  <c r="L210" i="72"/>
  <c r="K210" i="72"/>
  <c r="AM209" i="72"/>
  <c r="AL209" i="72"/>
  <c r="AO209" i="72"/>
  <c r="AN209" i="72"/>
  <c r="AK209" i="72"/>
  <c r="AC209" i="72"/>
  <c r="T209" i="72"/>
  <c r="X209" i="72" s="1"/>
  <c r="AQ209" i="72" s="1"/>
  <c r="K209" i="72"/>
  <c r="AO208" i="72"/>
  <c r="AN208" i="72"/>
  <c r="BB208" i="72"/>
  <c r="AP208" i="72" s="1"/>
  <c r="AM208" i="72"/>
  <c r="AL208" i="72"/>
  <c r="AK208" i="72"/>
  <c r="AC208" i="72"/>
  <c r="T208" i="72"/>
  <c r="X208" i="72" s="1"/>
  <c r="K208" i="72"/>
  <c r="AM207" i="72"/>
  <c r="AL207" i="72"/>
  <c r="AO207" i="72"/>
  <c r="AN207" i="72"/>
  <c r="AK207" i="72"/>
  <c r="AC207" i="72"/>
  <c r="T207" i="72"/>
  <c r="X207" i="72" s="1"/>
  <c r="AQ207" i="72" s="1"/>
  <c r="K207" i="72"/>
  <c r="AO206" i="72"/>
  <c r="AN206" i="72"/>
  <c r="BB206" i="72"/>
  <c r="AP206" i="72" s="1"/>
  <c r="AM206" i="72"/>
  <c r="AL206" i="72"/>
  <c r="AK206" i="72"/>
  <c r="AC206" i="72"/>
  <c r="T206" i="72"/>
  <c r="X206" i="72" s="1"/>
  <c r="K206" i="72"/>
  <c r="AM205" i="72"/>
  <c r="AL205" i="72"/>
  <c r="AO205" i="72"/>
  <c r="AN205" i="72"/>
  <c r="AK205" i="72"/>
  <c r="AC205" i="72"/>
  <c r="T205" i="72"/>
  <c r="X205" i="72" s="1"/>
  <c r="AQ205" i="72" s="1"/>
  <c r="K205" i="72"/>
  <c r="AN204" i="72"/>
  <c r="BB204" i="72"/>
  <c r="AP204" i="72" s="1"/>
  <c r="AO204" i="72"/>
  <c r="AM204" i="72"/>
  <c r="AL204" i="72"/>
  <c r="AK204" i="72"/>
  <c r="AC204" i="72"/>
  <c r="T204" i="72"/>
  <c r="X204" i="72" s="1"/>
  <c r="K204" i="72"/>
  <c r="AN203" i="72"/>
  <c r="AL203" i="72"/>
  <c r="AO203" i="72"/>
  <c r="AM203" i="72"/>
  <c r="AK203" i="72"/>
  <c r="AC203" i="72"/>
  <c r="T203" i="72"/>
  <c r="X203" i="72" s="1"/>
  <c r="AQ203" i="72" s="1"/>
  <c r="K203" i="72"/>
  <c r="AN202" i="72"/>
  <c r="BB202" i="72"/>
  <c r="AP202" i="72" s="1"/>
  <c r="AL202" i="72"/>
  <c r="AO202" i="72"/>
  <c r="AM202" i="72"/>
  <c r="AK202" i="72"/>
  <c r="AC202" i="72"/>
  <c r="T202" i="72"/>
  <c r="X202" i="72" s="1"/>
  <c r="AQ202" i="72" s="1"/>
  <c r="K202" i="72"/>
  <c r="AN201" i="72"/>
  <c r="AL201" i="72"/>
  <c r="AO201" i="72"/>
  <c r="AM201" i="72"/>
  <c r="AK201" i="72"/>
  <c r="AC201" i="72"/>
  <c r="T201" i="72"/>
  <c r="X201" i="72" s="1"/>
  <c r="AQ201" i="72" s="1"/>
  <c r="K201" i="72"/>
  <c r="AN200" i="72"/>
  <c r="BB200" i="72"/>
  <c r="AP200" i="72" s="1"/>
  <c r="AO200" i="72"/>
  <c r="AM200" i="72"/>
  <c r="AL200" i="72"/>
  <c r="AK200" i="72"/>
  <c r="AC200" i="72"/>
  <c r="T200" i="72"/>
  <c r="X200" i="72" s="1"/>
  <c r="AQ200" i="72" s="1"/>
  <c r="K200" i="72"/>
  <c r="AL199" i="72"/>
  <c r="AO199" i="72"/>
  <c r="AN199" i="72"/>
  <c r="AM199" i="72"/>
  <c r="AK199" i="72"/>
  <c r="AC199" i="72"/>
  <c r="T199" i="72"/>
  <c r="X199" i="72" s="1"/>
  <c r="K199" i="72"/>
  <c r="AN198" i="72"/>
  <c r="BB198" i="72"/>
  <c r="AP198" i="72" s="1"/>
  <c r="AO198" i="72"/>
  <c r="AM198" i="72"/>
  <c r="AL198" i="72"/>
  <c r="AK198" i="72"/>
  <c r="AC198" i="72"/>
  <c r="T198" i="72"/>
  <c r="X198" i="72" s="1"/>
  <c r="K198" i="72"/>
  <c r="AL197" i="72"/>
  <c r="AO197" i="72"/>
  <c r="AN197" i="72"/>
  <c r="AM197" i="72"/>
  <c r="AK197" i="72"/>
  <c r="AC197" i="72"/>
  <c r="T197" i="72"/>
  <c r="X197" i="72" s="1"/>
  <c r="K197" i="72"/>
  <c r="AN196" i="72"/>
  <c r="BB196" i="72"/>
  <c r="AP196" i="72" s="1"/>
  <c r="AO196" i="72"/>
  <c r="AM196" i="72"/>
  <c r="AL196" i="72"/>
  <c r="AK196" i="72"/>
  <c r="AC196" i="72"/>
  <c r="T196" i="72"/>
  <c r="X196" i="72" s="1"/>
  <c r="K196" i="72"/>
  <c r="AM195" i="72"/>
  <c r="AL195" i="72"/>
  <c r="AO195" i="72"/>
  <c r="AN195" i="72"/>
  <c r="AK195" i="72"/>
  <c r="AC195" i="72"/>
  <c r="T195" i="72"/>
  <c r="X195" i="72" s="1"/>
  <c r="AQ195" i="72" s="1"/>
  <c r="K195" i="72"/>
  <c r="AO194" i="72"/>
  <c r="AN194" i="72"/>
  <c r="BB194" i="72"/>
  <c r="AP194" i="72" s="1"/>
  <c r="AM194" i="72"/>
  <c r="AL194" i="72"/>
  <c r="AK194" i="72"/>
  <c r="AC194" i="72"/>
  <c r="T194" i="72"/>
  <c r="X194" i="72" s="1"/>
  <c r="K194" i="72"/>
  <c r="AM193" i="72"/>
  <c r="AL193" i="72"/>
  <c r="AO193" i="72"/>
  <c r="AN193" i="72"/>
  <c r="AK193" i="72"/>
  <c r="AC193" i="72"/>
  <c r="T193" i="72"/>
  <c r="X193" i="72" s="1"/>
  <c r="K193" i="72"/>
  <c r="AO192" i="72"/>
  <c r="AN192" i="72"/>
  <c r="BB192" i="72"/>
  <c r="AP192" i="72" s="1"/>
  <c r="AM192" i="72"/>
  <c r="AL192" i="72"/>
  <c r="AK192" i="72"/>
  <c r="AC192" i="72"/>
  <c r="T192" i="72"/>
  <c r="X192" i="72" s="1"/>
  <c r="K192" i="72"/>
  <c r="AM191" i="72"/>
  <c r="AL191" i="72"/>
  <c r="AO191" i="72"/>
  <c r="AN191" i="72"/>
  <c r="AK191" i="72"/>
  <c r="AC191" i="72"/>
  <c r="T191" i="72"/>
  <c r="X191" i="72" s="1"/>
  <c r="AQ191" i="72" s="1"/>
  <c r="K191" i="72"/>
  <c r="AO190" i="72"/>
  <c r="AN190" i="72"/>
  <c r="BB190" i="72"/>
  <c r="AP190" i="72" s="1"/>
  <c r="AM190" i="72"/>
  <c r="AL190" i="72"/>
  <c r="AK190" i="72"/>
  <c r="AC190" i="72"/>
  <c r="U190" i="72"/>
  <c r="T190" i="72"/>
  <c r="M190" i="72"/>
  <c r="X190" i="72" s="1"/>
  <c r="K190" i="72"/>
  <c r="AO189" i="72"/>
  <c r="AN189" i="72"/>
  <c r="BB189" i="72"/>
  <c r="AP189" i="72" s="1"/>
  <c r="AM189" i="72"/>
  <c r="AL189" i="72"/>
  <c r="AK189" i="72"/>
  <c r="AC189" i="72"/>
  <c r="U189" i="72"/>
  <c r="T189" i="72"/>
  <c r="M189" i="72"/>
  <c r="X189" i="72" s="1"/>
  <c r="K189" i="72"/>
  <c r="AO188" i="72"/>
  <c r="AN188" i="72"/>
  <c r="BB188" i="72"/>
  <c r="AP188" i="72" s="1"/>
  <c r="AL188" i="72"/>
  <c r="AK188" i="72"/>
  <c r="AC188" i="72"/>
  <c r="U188" i="72"/>
  <c r="T188" i="72"/>
  <c r="X188" i="72" s="1"/>
  <c r="M188" i="72"/>
  <c r="K188" i="72"/>
  <c r="AO187" i="72"/>
  <c r="AN187" i="72"/>
  <c r="AL187" i="72"/>
  <c r="AK187" i="72"/>
  <c r="AC187" i="72"/>
  <c r="U187" i="72"/>
  <c r="X187" i="72" s="1"/>
  <c r="AQ187" i="72" s="1"/>
  <c r="T187" i="72"/>
  <c r="H187" i="72"/>
  <c r="K187" i="72" s="1"/>
  <c r="AO186" i="72"/>
  <c r="AN186" i="72"/>
  <c r="BB186" i="72"/>
  <c r="AP186" i="72"/>
  <c r="AM186" i="72"/>
  <c r="AL186" i="72"/>
  <c r="AK186" i="72"/>
  <c r="AC186" i="72"/>
  <c r="U186" i="72"/>
  <c r="T186" i="72"/>
  <c r="H186" i="72"/>
  <c r="K186" i="72" s="1"/>
  <c r="BB185" i="72"/>
  <c r="AP185" i="72" s="1"/>
  <c r="AO185" i="72"/>
  <c r="AN185" i="72"/>
  <c r="AL185" i="72"/>
  <c r="AK185" i="72"/>
  <c r="AC185" i="72"/>
  <c r="U185" i="72"/>
  <c r="T185" i="72"/>
  <c r="X185" i="72" s="1"/>
  <c r="H185" i="72"/>
  <c r="K185" i="72" s="1"/>
  <c r="AM184" i="72"/>
  <c r="AL184" i="72"/>
  <c r="AO184" i="72"/>
  <c r="AN184" i="72"/>
  <c r="AK184" i="72"/>
  <c r="AC184" i="72"/>
  <c r="U184" i="72"/>
  <c r="T184" i="72"/>
  <c r="X184" i="72" s="1"/>
  <c r="H184" i="72"/>
  <c r="K184" i="72" s="1"/>
  <c r="AM183" i="72"/>
  <c r="AL183" i="72"/>
  <c r="AO183" i="72"/>
  <c r="AN183" i="72"/>
  <c r="AK183" i="72"/>
  <c r="AC183" i="72"/>
  <c r="U183" i="72"/>
  <c r="T183" i="72"/>
  <c r="X183" i="72" s="1"/>
  <c r="H183" i="72"/>
  <c r="K183" i="72" s="1"/>
  <c r="AM182" i="72"/>
  <c r="AL182" i="72"/>
  <c r="AO182" i="72"/>
  <c r="AN182" i="72"/>
  <c r="AK182" i="72"/>
  <c r="AC182" i="72"/>
  <c r="U182" i="72"/>
  <c r="T182" i="72"/>
  <c r="H182" i="72"/>
  <c r="K182" i="72" s="1"/>
  <c r="AM181" i="72"/>
  <c r="AL181" i="72"/>
  <c r="AO181" i="72"/>
  <c r="AN181" i="72"/>
  <c r="AK181" i="72"/>
  <c r="AC181" i="72"/>
  <c r="U181" i="72"/>
  <c r="T181" i="72"/>
  <c r="X181" i="72" s="1"/>
  <c r="AQ181" i="72" s="1"/>
  <c r="H181" i="72"/>
  <c r="K181" i="72" s="1"/>
  <c r="AM180" i="72"/>
  <c r="AL180" i="72"/>
  <c r="AO180" i="72"/>
  <c r="AN180" i="72"/>
  <c r="AK180" i="72"/>
  <c r="AC180" i="72"/>
  <c r="U180" i="72"/>
  <c r="T180" i="72"/>
  <c r="X180" i="72" s="1"/>
  <c r="H180" i="72"/>
  <c r="K180" i="72" s="1"/>
  <c r="AM179" i="72"/>
  <c r="AL179" i="72"/>
  <c r="AO179" i="72"/>
  <c r="AN179" i="72"/>
  <c r="AK179" i="72"/>
  <c r="AC179" i="72"/>
  <c r="T179" i="72"/>
  <c r="X179" i="72" s="1"/>
  <c r="AQ179" i="72" s="1"/>
  <c r="K179" i="72"/>
  <c r="AR179" i="72" s="1"/>
  <c r="AO178" i="72"/>
  <c r="AN178" i="72"/>
  <c r="BB178" i="72"/>
  <c r="AP178" i="72" s="1"/>
  <c r="AM178" i="72"/>
  <c r="AL178" i="72"/>
  <c r="AK178" i="72"/>
  <c r="AC178" i="72"/>
  <c r="T178" i="72"/>
  <c r="X178" i="72" s="1"/>
  <c r="K178" i="72"/>
  <c r="AM177" i="72"/>
  <c r="AL177" i="72"/>
  <c r="AO177" i="72"/>
  <c r="AN177" i="72"/>
  <c r="AK177" i="72"/>
  <c r="AC177" i="72"/>
  <c r="T177" i="72"/>
  <c r="X177" i="72" s="1"/>
  <c r="AQ177" i="72" s="1"/>
  <c r="K177" i="72"/>
  <c r="AO176" i="72"/>
  <c r="AN176" i="72"/>
  <c r="BB176" i="72"/>
  <c r="AP176" i="72" s="1"/>
  <c r="AM176" i="72"/>
  <c r="AL176" i="72"/>
  <c r="AK176" i="72"/>
  <c r="AC176" i="72"/>
  <c r="T176" i="72"/>
  <c r="X176" i="72" s="1"/>
  <c r="K176" i="72"/>
  <c r="AM175" i="72"/>
  <c r="AL175" i="72"/>
  <c r="AO175" i="72"/>
  <c r="AN175" i="72"/>
  <c r="AK175" i="72"/>
  <c r="AC175" i="72"/>
  <c r="T175" i="72"/>
  <c r="X175" i="72" s="1"/>
  <c r="K175" i="72"/>
  <c r="AO174" i="72"/>
  <c r="AN174" i="72"/>
  <c r="BB174" i="72"/>
  <c r="AP174" i="72" s="1"/>
  <c r="AM174" i="72"/>
  <c r="AL174" i="72"/>
  <c r="AK174" i="72"/>
  <c r="AC174" i="72"/>
  <c r="T174" i="72"/>
  <c r="X174" i="72" s="1"/>
  <c r="AQ174" i="72" s="1"/>
  <c r="AR174" i="72" s="1"/>
  <c r="K174" i="72"/>
  <c r="AM173" i="72"/>
  <c r="AL173" i="72"/>
  <c r="AO173" i="72"/>
  <c r="AN173" i="72"/>
  <c r="AK173" i="72"/>
  <c r="AC173" i="72"/>
  <c r="T173" i="72"/>
  <c r="X173" i="72" s="1"/>
  <c r="K173" i="72"/>
  <c r="AO172" i="72"/>
  <c r="AN172" i="72"/>
  <c r="BB172" i="72"/>
  <c r="AP172" i="72" s="1"/>
  <c r="AM172" i="72"/>
  <c r="AL172" i="72"/>
  <c r="AK172" i="72"/>
  <c r="AC172" i="72"/>
  <c r="T172" i="72"/>
  <c r="X172" i="72" s="1"/>
  <c r="K172" i="72"/>
  <c r="AM171" i="72"/>
  <c r="AL171" i="72"/>
  <c r="AO171" i="72"/>
  <c r="AN171" i="72"/>
  <c r="AK171" i="72"/>
  <c r="AC171" i="72"/>
  <c r="T171" i="72"/>
  <c r="X171" i="72" s="1"/>
  <c r="AQ171" i="72" s="1"/>
  <c r="K171" i="72"/>
  <c r="AO170" i="72"/>
  <c r="AN170" i="72"/>
  <c r="BB170" i="72"/>
  <c r="AP170" i="72" s="1"/>
  <c r="AM170" i="72"/>
  <c r="AL170" i="72"/>
  <c r="AK170" i="72"/>
  <c r="AC170" i="72"/>
  <c r="T170" i="72"/>
  <c r="X170" i="72" s="1"/>
  <c r="AQ170" i="72" s="1"/>
  <c r="AR170" i="72" s="1"/>
  <c r="K170" i="72"/>
  <c r="AM169" i="72"/>
  <c r="AL169" i="72"/>
  <c r="AO169" i="72"/>
  <c r="AN169" i="72"/>
  <c r="AK169" i="72"/>
  <c r="AC169" i="72"/>
  <c r="T169" i="72"/>
  <c r="X169" i="72" s="1"/>
  <c r="AQ169" i="72" s="1"/>
  <c r="K169" i="72"/>
  <c r="AN168" i="72"/>
  <c r="AM168" i="72"/>
  <c r="AP168" i="72"/>
  <c r="AO168" i="72"/>
  <c r="AL168" i="72"/>
  <c r="AK168" i="72"/>
  <c r="AC168" i="72"/>
  <c r="T168" i="72"/>
  <c r="X168" i="72" s="1"/>
  <c r="AQ168" i="72" s="1"/>
  <c r="K168" i="72"/>
  <c r="AO167" i="72"/>
  <c r="AN167" i="72"/>
  <c r="AP167" i="72"/>
  <c r="AM167" i="72"/>
  <c r="AL167" i="72"/>
  <c r="AK167" i="72"/>
  <c r="AC167" i="72"/>
  <c r="T167" i="72"/>
  <c r="X167" i="72" s="1"/>
  <c r="AQ167" i="72" s="1"/>
  <c r="K167" i="72"/>
  <c r="AO166" i="72"/>
  <c r="AM166" i="72"/>
  <c r="AL166" i="72"/>
  <c r="AP166" i="72"/>
  <c r="AN166" i="72"/>
  <c r="AK166" i="72"/>
  <c r="AC166" i="72"/>
  <c r="T166" i="72"/>
  <c r="X166" i="72" s="1"/>
  <c r="K166" i="72"/>
  <c r="AN165" i="72"/>
  <c r="AM165" i="72"/>
  <c r="AL165" i="72"/>
  <c r="AP165" i="72"/>
  <c r="AO165" i="72"/>
  <c r="AK165" i="72"/>
  <c r="AC165" i="72"/>
  <c r="T165" i="72"/>
  <c r="X165" i="72" s="1"/>
  <c r="K165" i="72"/>
  <c r="AO164" i="72"/>
  <c r="AN164" i="72"/>
  <c r="BB164" i="72"/>
  <c r="AP164" i="72" s="1"/>
  <c r="AL164" i="72"/>
  <c r="AM164" i="72"/>
  <c r="AK164" i="72"/>
  <c r="AC164" i="72"/>
  <c r="T164" i="72"/>
  <c r="X164" i="72" s="1"/>
  <c r="K164" i="72"/>
  <c r="AN163" i="72"/>
  <c r="AM163" i="72"/>
  <c r="AO163" i="72"/>
  <c r="AL163" i="72"/>
  <c r="AK163" i="72"/>
  <c r="AC163" i="72"/>
  <c r="T163" i="72"/>
  <c r="X163" i="72" s="1"/>
  <c r="AQ163" i="72" s="1"/>
  <c r="K163" i="72"/>
  <c r="AO162" i="72"/>
  <c r="BB162" i="72"/>
  <c r="AP162" i="72" s="1"/>
  <c r="AL162" i="72"/>
  <c r="AN162" i="72"/>
  <c r="AM162" i="72"/>
  <c r="AK162" i="72"/>
  <c r="AC162" i="72"/>
  <c r="T162" i="72"/>
  <c r="X162" i="72" s="1"/>
  <c r="K162" i="72"/>
  <c r="AN161" i="72"/>
  <c r="AM161" i="72"/>
  <c r="AL161" i="72"/>
  <c r="AO161" i="72"/>
  <c r="AK161" i="72"/>
  <c r="AC161" i="72"/>
  <c r="U161" i="72"/>
  <c r="S161" i="72"/>
  <c r="T161" i="72" s="1"/>
  <c r="X161" i="72" s="1"/>
  <c r="H161" i="72"/>
  <c r="K161" i="72" s="1"/>
  <c r="AN160" i="72"/>
  <c r="BB160" i="72"/>
  <c r="AP160" i="72" s="1"/>
  <c r="AO160" i="72"/>
  <c r="AL160" i="72"/>
  <c r="AK160" i="72"/>
  <c r="AC160" i="72"/>
  <c r="U160" i="72"/>
  <c r="S160" i="72"/>
  <c r="T160" i="72" s="1"/>
  <c r="H160" i="72"/>
  <c r="K160" i="72" s="1"/>
  <c r="AO159" i="72"/>
  <c r="AN159" i="72"/>
  <c r="BB159" i="72"/>
  <c r="AP159" i="72" s="1"/>
  <c r="AL159" i="72"/>
  <c r="AK159" i="72"/>
  <c r="AC159" i="72"/>
  <c r="U159" i="72"/>
  <c r="S159" i="72"/>
  <c r="T159" i="72" s="1"/>
  <c r="H159" i="72"/>
  <c r="K159" i="72" s="1"/>
  <c r="AO158" i="72"/>
  <c r="AN158" i="72"/>
  <c r="AL158" i="72"/>
  <c r="AM158" i="72"/>
  <c r="AK158" i="72"/>
  <c r="AC158" i="72"/>
  <c r="U158" i="72"/>
  <c r="S158" i="72"/>
  <c r="T158" i="72" s="1"/>
  <c r="X158" i="72" s="1"/>
  <c r="H158" i="72"/>
  <c r="K158" i="72" s="1"/>
  <c r="AO157" i="72"/>
  <c r="AM157" i="72"/>
  <c r="AL157" i="72"/>
  <c r="AN157" i="72"/>
  <c r="AK157" i="72"/>
  <c r="AC157" i="72"/>
  <c r="U157" i="72"/>
  <c r="S157" i="72"/>
  <c r="T157" i="72" s="1"/>
  <c r="X157" i="72" s="1"/>
  <c r="AQ157" i="72" s="1"/>
  <c r="H157" i="72"/>
  <c r="K157" i="72" s="1"/>
  <c r="AN156" i="72"/>
  <c r="AM156" i="72"/>
  <c r="AL156" i="72"/>
  <c r="AO156" i="72"/>
  <c r="AK156" i="72"/>
  <c r="AC156" i="72"/>
  <c r="U156" i="72"/>
  <c r="S156" i="72"/>
  <c r="T156" i="72" s="1"/>
  <c r="H156" i="72"/>
  <c r="K156" i="72" s="1"/>
  <c r="AO155" i="72"/>
  <c r="AN155" i="72"/>
  <c r="BB155" i="72"/>
  <c r="AP155" i="72" s="1"/>
  <c r="AL155" i="72"/>
  <c r="AK155" i="72"/>
  <c r="AC155" i="72"/>
  <c r="U155" i="72"/>
  <c r="S155" i="72"/>
  <c r="T155" i="72" s="1"/>
  <c r="H155" i="72"/>
  <c r="K155" i="72" s="1"/>
  <c r="AO154" i="72"/>
  <c r="AN154" i="72"/>
  <c r="AL154" i="72"/>
  <c r="AM154" i="72"/>
  <c r="AK154" i="72"/>
  <c r="AC154" i="72"/>
  <c r="U154" i="72"/>
  <c r="S154" i="72"/>
  <c r="T154" i="72" s="1"/>
  <c r="X154" i="72" s="1"/>
  <c r="H154" i="72"/>
  <c r="K154" i="72" s="1"/>
  <c r="AO153" i="72"/>
  <c r="AM153" i="72"/>
  <c r="AL153" i="72"/>
  <c r="AN153" i="72"/>
  <c r="AK153" i="72"/>
  <c r="AC153" i="72"/>
  <c r="U153" i="72"/>
  <c r="S153" i="72"/>
  <c r="T153" i="72" s="1"/>
  <c r="X153" i="72" s="1"/>
  <c r="H153" i="72"/>
  <c r="K153" i="72" s="1"/>
  <c r="AN152" i="72"/>
  <c r="AM152" i="72"/>
  <c r="AL152" i="72"/>
  <c r="AO152" i="72"/>
  <c r="AK152" i="72"/>
  <c r="AC152" i="72"/>
  <c r="U152" i="72"/>
  <c r="S152" i="72"/>
  <c r="T152" i="72" s="1"/>
  <c r="H152" i="72"/>
  <c r="K152" i="72" s="1"/>
  <c r="AN151" i="72"/>
  <c r="AM151" i="72"/>
  <c r="AL151" i="72"/>
  <c r="AP151" i="72"/>
  <c r="AO151" i="72"/>
  <c r="AK151" i="72"/>
  <c r="AC151" i="72"/>
  <c r="U151" i="72"/>
  <c r="S151" i="72"/>
  <c r="T151" i="72" s="1"/>
  <c r="X151" i="72" s="1"/>
  <c r="AQ151" i="72" s="1"/>
  <c r="H151" i="72"/>
  <c r="K151" i="72" s="1"/>
  <c r="AN150" i="72"/>
  <c r="AM150" i="72"/>
  <c r="AL150" i="72"/>
  <c r="AP150" i="72"/>
  <c r="AO150" i="72"/>
  <c r="AK150" i="72"/>
  <c r="AC150" i="72"/>
  <c r="U150" i="72"/>
  <c r="S150" i="72"/>
  <c r="T150" i="72" s="1"/>
  <c r="X150" i="72" s="1"/>
  <c r="AQ150" i="72" s="1"/>
  <c r="H150" i="72"/>
  <c r="K150" i="72" s="1"/>
  <c r="AO149" i="72"/>
  <c r="AN149" i="72"/>
  <c r="BB149" i="72"/>
  <c r="AP149" i="72" s="1"/>
  <c r="AL149" i="72"/>
  <c r="AK149" i="72"/>
  <c r="AC149" i="72"/>
  <c r="U149" i="72"/>
  <c r="S149" i="72"/>
  <c r="T149" i="72" s="1"/>
  <c r="H149" i="72"/>
  <c r="K149" i="72" s="1"/>
  <c r="AO148" i="72"/>
  <c r="AN148" i="72"/>
  <c r="AM148" i="72"/>
  <c r="AP148" i="72"/>
  <c r="AL148" i="72"/>
  <c r="AK148" i="72"/>
  <c r="AC148" i="72"/>
  <c r="U148" i="72"/>
  <c r="S148" i="72"/>
  <c r="T148" i="72" s="1"/>
  <c r="H148" i="72"/>
  <c r="K148" i="72" s="1"/>
  <c r="AO147" i="72"/>
  <c r="AN147" i="72"/>
  <c r="AM147" i="72"/>
  <c r="AP147" i="72"/>
  <c r="AL147" i="72"/>
  <c r="AK147" i="72"/>
  <c r="AC147" i="72"/>
  <c r="U147" i="72"/>
  <c r="S147" i="72"/>
  <c r="T147" i="72" s="1"/>
  <c r="H147" i="72"/>
  <c r="K147" i="72" s="1"/>
  <c r="AO146" i="72"/>
  <c r="AN146" i="72"/>
  <c r="AM146" i="72"/>
  <c r="AP146" i="72"/>
  <c r="AL146" i="72"/>
  <c r="AK146" i="72"/>
  <c r="AC146" i="72"/>
  <c r="U146" i="72"/>
  <c r="S146" i="72"/>
  <c r="T146" i="72" s="1"/>
  <c r="L146" i="72"/>
  <c r="H146" i="72"/>
  <c r="K146" i="72" s="1"/>
  <c r="AO145" i="72"/>
  <c r="AN145" i="72"/>
  <c r="AL145" i="72"/>
  <c r="AP145" i="72"/>
  <c r="AM145" i="72"/>
  <c r="AK145" i="72"/>
  <c r="AC145" i="72"/>
  <c r="U145" i="72"/>
  <c r="S145" i="72"/>
  <c r="T145" i="72" s="1"/>
  <c r="H145" i="72"/>
  <c r="K145" i="72" s="1"/>
  <c r="AO144" i="72"/>
  <c r="AM144" i="72"/>
  <c r="AL144" i="72"/>
  <c r="AN144" i="72"/>
  <c r="AK144" i="72"/>
  <c r="AC144" i="72"/>
  <c r="T144" i="72"/>
  <c r="X144" i="72" s="1"/>
  <c r="K144" i="72"/>
  <c r="AO143" i="72"/>
  <c r="AN143" i="72"/>
  <c r="BB143" i="72"/>
  <c r="AP143" i="72" s="1"/>
  <c r="AL143" i="72"/>
  <c r="AK143" i="72"/>
  <c r="AC143" i="72"/>
  <c r="T143" i="72"/>
  <c r="X143" i="72" s="1"/>
  <c r="K143" i="72"/>
  <c r="AO142" i="72"/>
  <c r="AM142" i="72"/>
  <c r="AL142" i="72"/>
  <c r="AN142" i="72"/>
  <c r="AK142" i="72"/>
  <c r="AC142" i="72"/>
  <c r="T142" i="72"/>
  <c r="X142" i="72" s="1"/>
  <c r="K142" i="72"/>
  <c r="AO141" i="72"/>
  <c r="AN141" i="72"/>
  <c r="BB141" i="72"/>
  <c r="AP141" i="72" s="1"/>
  <c r="AL141" i="72"/>
  <c r="AK141" i="72"/>
  <c r="AC141" i="72"/>
  <c r="T141" i="72"/>
  <c r="X141" i="72" s="1"/>
  <c r="K141" i="72"/>
  <c r="AO140" i="72"/>
  <c r="AM140" i="72"/>
  <c r="AL140" i="72"/>
  <c r="AN140" i="72"/>
  <c r="AK140" i="72"/>
  <c r="AC140" i="72"/>
  <c r="T140" i="72"/>
  <c r="X140" i="72" s="1"/>
  <c r="K140" i="72"/>
  <c r="AO139" i="72"/>
  <c r="AN139" i="72"/>
  <c r="BB139" i="72"/>
  <c r="AP139" i="72" s="1"/>
  <c r="AL139" i="72"/>
  <c r="AK139" i="72"/>
  <c r="AC139" i="72"/>
  <c r="T139" i="72"/>
  <c r="X139" i="72" s="1"/>
  <c r="K139" i="72"/>
  <c r="AO138" i="72"/>
  <c r="AM138" i="72"/>
  <c r="AL138" i="72"/>
  <c r="AN138" i="72"/>
  <c r="AK138" i="72"/>
  <c r="AC138" i="72"/>
  <c r="T138" i="72"/>
  <c r="X138" i="72" s="1"/>
  <c r="K138" i="72"/>
  <c r="AO137" i="72"/>
  <c r="AN137" i="72"/>
  <c r="BB137" i="72"/>
  <c r="AP137" i="72" s="1"/>
  <c r="AL137" i="72"/>
  <c r="AK137" i="72"/>
  <c r="AC137" i="72"/>
  <c r="T137" i="72"/>
  <c r="X137" i="72" s="1"/>
  <c r="K137" i="72"/>
  <c r="AO136" i="72"/>
  <c r="AM136" i="72"/>
  <c r="AL136" i="72"/>
  <c r="AN136" i="72"/>
  <c r="AK136" i="72"/>
  <c r="AC136" i="72"/>
  <c r="T136" i="72"/>
  <c r="X136" i="72" s="1"/>
  <c r="K136" i="72"/>
  <c r="AO135" i="72"/>
  <c r="AN135" i="72"/>
  <c r="BB135" i="72"/>
  <c r="AP135" i="72" s="1"/>
  <c r="AL135" i="72"/>
  <c r="AK135" i="72"/>
  <c r="AC135" i="72"/>
  <c r="T135" i="72"/>
  <c r="X135" i="72" s="1"/>
  <c r="K135" i="72"/>
  <c r="AO134" i="72"/>
  <c r="AM134" i="72"/>
  <c r="AL134" i="72"/>
  <c r="AN134" i="72"/>
  <c r="AK134" i="72"/>
  <c r="AC134" i="72"/>
  <c r="T134" i="72"/>
  <c r="X134" i="72" s="1"/>
  <c r="K134" i="72"/>
  <c r="AO133" i="72"/>
  <c r="AN133" i="72"/>
  <c r="BB133" i="72"/>
  <c r="AP133" i="72" s="1"/>
  <c r="AL133" i="72"/>
  <c r="AK133" i="72"/>
  <c r="AC133" i="72"/>
  <c r="T133" i="72"/>
  <c r="X133" i="72" s="1"/>
  <c r="K133" i="72"/>
  <c r="AO132" i="72"/>
  <c r="AM132" i="72"/>
  <c r="AL132" i="72"/>
  <c r="AN132" i="72"/>
  <c r="AK132" i="72"/>
  <c r="AC132" i="72"/>
  <c r="T132" i="72"/>
  <c r="X132" i="72" s="1"/>
  <c r="K132" i="72"/>
  <c r="AO131" i="72"/>
  <c r="AN131" i="72"/>
  <c r="BB131" i="72"/>
  <c r="AP131" i="72" s="1"/>
  <c r="AL131" i="72"/>
  <c r="AK131" i="72"/>
  <c r="AC131" i="72"/>
  <c r="T131" i="72"/>
  <c r="X131" i="72" s="1"/>
  <c r="K131" i="72"/>
  <c r="AO130" i="72"/>
  <c r="AM130" i="72"/>
  <c r="AL130" i="72"/>
  <c r="AN130" i="72"/>
  <c r="AK130" i="72"/>
  <c r="AC130" i="72"/>
  <c r="T130" i="72"/>
  <c r="X130" i="72" s="1"/>
  <c r="K130" i="72"/>
  <c r="AO129" i="72"/>
  <c r="AN129" i="72"/>
  <c r="BB129" i="72"/>
  <c r="AP129" i="72" s="1"/>
  <c r="AL129" i="72"/>
  <c r="AK129" i="72"/>
  <c r="AC129" i="72"/>
  <c r="T129" i="72"/>
  <c r="X129" i="72" s="1"/>
  <c r="K129" i="72"/>
  <c r="AO128" i="72"/>
  <c r="AM128" i="72"/>
  <c r="AL128" i="72"/>
  <c r="AN128" i="72"/>
  <c r="AK128" i="72"/>
  <c r="AC128" i="72"/>
  <c r="T128" i="72"/>
  <c r="X128" i="72" s="1"/>
  <c r="K128" i="72"/>
  <c r="AO127" i="72"/>
  <c r="AN127" i="72"/>
  <c r="BB127" i="72"/>
  <c r="AP127" i="72" s="1"/>
  <c r="AL127" i="72"/>
  <c r="AK127" i="72"/>
  <c r="AC127" i="72"/>
  <c r="T127" i="72"/>
  <c r="X127" i="72" s="1"/>
  <c r="K127" i="72"/>
  <c r="AO126" i="72"/>
  <c r="AM126" i="72"/>
  <c r="AL126" i="72"/>
  <c r="AN126" i="72"/>
  <c r="AK126" i="72"/>
  <c r="AC126" i="72"/>
  <c r="T126" i="72"/>
  <c r="X126" i="72" s="1"/>
  <c r="K126" i="72"/>
  <c r="AO125" i="72"/>
  <c r="AN125" i="72"/>
  <c r="BB125" i="72"/>
  <c r="AP125" i="72" s="1"/>
  <c r="AL125" i="72"/>
  <c r="AK125" i="72"/>
  <c r="AC125" i="72"/>
  <c r="T125" i="72"/>
  <c r="X125" i="72" s="1"/>
  <c r="K125" i="72"/>
  <c r="AO124" i="72"/>
  <c r="AM124" i="72"/>
  <c r="AL124" i="72"/>
  <c r="AN124" i="72"/>
  <c r="AK124" i="72"/>
  <c r="AC124" i="72"/>
  <c r="T124" i="72"/>
  <c r="X124" i="72" s="1"/>
  <c r="K124" i="72"/>
  <c r="AO123" i="72"/>
  <c r="AN123" i="72"/>
  <c r="BB123" i="72"/>
  <c r="AP123" i="72" s="1"/>
  <c r="AL123" i="72"/>
  <c r="AK123" i="72"/>
  <c r="AC123" i="72"/>
  <c r="T123" i="72"/>
  <c r="X123" i="72" s="1"/>
  <c r="K123" i="72"/>
  <c r="AO122" i="72"/>
  <c r="AM122" i="72"/>
  <c r="AL122" i="72"/>
  <c r="AN122" i="72"/>
  <c r="AK122" i="72"/>
  <c r="AC122" i="72"/>
  <c r="T122" i="72"/>
  <c r="X122" i="72" s="1"/>
  <c r="K122" i="72"/>
  <c r="AO121" i="72"/>
  <c r="AN121" i="72"/>
  <c r="BB121" i="72"/>
  <c r="AP121" i="72" s="1"/>
  <c r="AL121" i="72"/>
  <c r="AK121" i="72"/>
  <c r="AC121" i="72"/>
  <c r="T121" i="72"/>
  <c r="X121" i="72" s="1"/>
  <c r="K121" i="72"/>
  <c r="AO120" i="72"/>
  <c r="AN120" i="72"/>
  <c r="AL120" i="72"/>
  <c r="AP120" i="72"/>
  <c r="AM120" i="72"/>
  <c r="AK120" i="72"/>
  <c r="AC120" i="72"/>
  <c r="T120" i="72"/>
  <c r="X120" i="72" s="1"/>
  <c r="K120" i="72"/>
  <c r="AN119" i="72"/>
  <c r="AM119" i="72"/>
  <c r="AL119" i="72"/>
  <c r="AO119" i="72"/>
  <c r="AK119" i="72"/>
  <c r="AC119" i="72"/>
  <c r="T119" i="72"/>
  <c r="X119" i="72" s="1"/>
  <c r="K119" i="72"/>
  <c r="AO118" i="72"/>
  <c r="AN118" i="72"/>
  <c r="BB118" i="72"/>
  <c r="AP118" i="72" s="1"/>
  <c r="AL118" i="72"/>
  <c r="AM118" i="72"/>
  <c r="AK118" i="72"/>
  <c r="AC118" i="72"/>
  <c r="T118" i="72"/>
  <c r="X118" i="72" s="1"/>
  <c r="K118" i="72"/>
  <c r="AN117" i="72"/>
  <c r="AM117" i="72"/>
  <c r="AL117" i="72"/>
  <c r="AO117" i="72"/>
  <c r="AK117" i="72"/>
  <c r="AC117" i="72"/>
  <c r="T117" i="72"/>
  <c r="X117" i="72" s="1"/>
  <c r="I117" i="72"/>
  <c r="H117" i="72"/>
  <c r="AN116" i="72"/>
  <c r="AM116" i="72"/>
  <c r="AL116" i="72"/>
  <c r="AO116" i="72"/>
  <c r="AK116" i="72"/>
  <c r="AC116" i="72"/>
  <c r="T116" i="72"/>
  <c r="X116" i="72" s="1"/>
  <c r="K116" i="72"/>
  <c r="AO115" i="72"/>
  <c r="AN115" i="72"/>
  <c r="AL115" i="72"/>
  <c r="AM115" i="72"/>
  <c r="AK115" i="72"/>
  <c r="AC115" i="72"/>
  <c r="T115" i="72"/>
  <c r="X115" i="72" s="1"/>
  <c r="K115" i="72"/>
  <c r="AO114" i="72"/>
  <c r="AM114" i="72"/>
  <c r="AL114" i="72"/>
  <c r="AP114" i="72"/>
  <c r="AN114" i="72"/>
  <c r="AK114" i="72"/>
  <c r="AC114" i="72"/>
  <c r="T114" i="72"/>
  <c r="X114" i="72" s="1"/>
  <c r="K114" i="72"/>
  <c r="AO113" i="72"/>
  <c r="AN113" i="72"/>
  <c r="BB113" i="72"/>
  <c r="AP113" i="72" s="1"/>
  <c r="AL113" i="72"/>
  <c r="AK113" i="72"/>
  <c r="AC113" i="72"/>
  <c r="T113" i="72"/>
  <c r="X113" i="72" s="1"/>
  <c r="K113" i="72"/>
  <c r="AO112" i="72"/>
  <c r="AM112" i="72"/>
  <c r="AL112" i="72"/>
  <c r="AN112" i="72"/>
  <c r="AC112" i="72"/>
  <c r="AJ112" i="72" s="1"/>
  <c r="AK112" i="72" s="1"/>
  <c r="S112" i="72"/>
  <c r="K112" i="72"/>
  <c r="AN111" i="72"/>
  <c r="AM111" i="72"/>
  <c r="AL111" i="72"/>
  <c r="AO111" i="72"/>
  <c r="AK111" i="72"/>
  <c r="AC111" i="72"/>
  <c r="T111" i="72"/>
  <c r="X111" i="72" s="1"/>
  <c r="K111" i="72"/>
  <c r="AO110" i="72"/>
  <c r="AN110" i="72"/>
  <c r="AL110" i="72"/>
  <c r="AM110" i="72"/>
  <c r="AK110" i="72"/>
  <c r="AC110" i="72"/>
  <c r="T110" i="72"/>
  <c r="X110" i="72" s="1"/>
  <c r="K110" i="72"/>
  <c r="AN109" i="72"/>
  <c r="AM109" i="72"/>
  <c r="AL109" i="72"/>
  <c r="AO109" i="72"/>
  <c r="AK109" i="72"/>
  <c r="AC109" i="72"/>
  <c r="T109" i="72"/>
  <c r="X109" i="72" s="1"/>
  <c r="K109" i="72"/>
  <c r="AO108" i="72"/>
  <c r="AN108" i="72"/>
  <c r="AL108" i="72"/>
  <c r="AM108" i="72"/>
  <c r="AJ108" i="72"/>
  <c r="AE108" i="72"/>
  <c r="AD108" i="72"/>
  <c r="AA108" i="72"/>
  <c r="AC108" i="72" s="1"/>
  <c r="U108" i="72"/>
  <c r="T108" i="72"/>
  <c r="X108" i="72" s="1"/>
  <c r="AQ108" i="72" s="1"/>
  <c r="H108" i="72"/>
  <c r="K108" i="72" s="1"/>
  <c r="AO107" i="72"/>
  <c r="AN107" i="72"/>
  <c r="AL107" i="72"/>
  <c r="AM107" i="72"/>
  <c r="AJ107" i="72"/>
  <c r="AH107" i="72"/>
  <c r="AB107" i="72"/>
  <c r="AC107" i="72" s="1"/>
  <c r="W107" i="72"/>
  <c r="V107" i="72"/>
  <c r="T107" i="72"/>
  <c r="H107" i="72"/>
  <c r="K107" i="72" s="1"/>
  <c r="AO106" i="72"/>
  <c r="AN106" i="72"/>
  <c r="AL106" i="72"/>
  <c r="AM106" i="72"/>
  <c r="AK106" i="72"/>
  <c r="AC106" i="72"/>
  <c r="T106" i="72"/>
  <c r="X106" i="72" s="1"/>
  <c r="K106" i="72"/>
  <c r="AN105" i="72"/>
  <c r="AM105" i="72"/>
  <c r="AL105" i="72"/>
  <c r="AO105" i="72"/>
  <c r="AK105" i="72"/>
  <c r="AC105" i="72"/>
  <c r="T105" i="72"/>
  <c r="X105" i="72" s="1"/>
  <c r="K105" i="72"/>
  <c r="AO104" i="72"/>
  <c r="AN104" i="72"/>
  <c r="AM104" i="72"/>
  <c r="AP104" i="72"/>
  <c r="AL104" i="72"/>
  <c r="AK104" i="72"/>
  <c r="AC104" i="72"/>
  <c r="T104" i="72"/>
  <c r="X104" i="72" s="1"/>
  <c r="K104" i="72"/>
  <c r="AO103" i="72"/>
  <c r="AM103" i="72"/>
  <c r="AL103" i="72"/>
  <c r="AN103" i="72"/>
  <c r="AK103" i="72"/>
  <c r="AC103" i="72"/>
  <c r="T103" i="72"/>
  <c r="X103" i="72" s="1"/>
  <c r="K103" i="72"/>
  <c r="AO102" i="72"/>
  <c r="AN102" i="72"/>
  <c r="AL102" i="72"/>
  <c r="AK102" i="72"/>
  <c r="AC102" i="72"/>
  <c r="T102" i="72"/>
  <c r="X102" i="72" s="1"/>
  <c r="K102" i="72"/>
  <c r="AO101" i="72"/>
  <c r="AM101" i="72"/>
  <c r="AL101" i="72"/>
  <c r="AN101" i="72"/>
  <c r="AK101" i="72"/>
  <c r="AC101" i="72"/>
  <c r="T101" i="72"/>
  <c r="X101" i="72" s="1"/>
  <c r="K101" i="72"/>
  <c r="AO100" i="72"/>
  <c r="AN100" i="72"/>
  <c r="BB100" i="72"/>
  <c r="AP100" i="72" s="1"/>
  <c r="AM100" i="72"/>
  <c r="AL100" i="72"/>
  <c r="AK100" i="72"/>
  <c r="AC100" i="72"/>
  <c r="T100" i="72"/>
  <c r="X100" i="72" s="1"/>
  <c r="K100" i="72"/>
  <c r="AO99" i="72"/>
  <c r="AM99" i="72"/>
  <c r="AL99" i="72"/>
  <c r="AN99" i="72"/>
  <c r="AK99" i="72"/>
  <c r="AC99" i="72"/>
  <c r="T99" i="72"/>
  <c r="X99" i="72" s="1"/>
  <c r="K99" i="72"/>
  <c r="AO98" i="72"/>
  <c r="AN98" i="72"/>
  <c r="BB98" i="72"/>
  <c r="AP98" i="72" s="1"/>
  <c r="AM98" i="72"/>
  <c r="AL98" i="72"/>
  <c r="AK98" i="72"/>
  <c r="AC98" i="72"/>
  <c r="T98" i="72"/>
  <c r="X98" i="72" s="1"/>
  <c r="K98" i="72"/>
  <c r="AO97" i="72"/>
  <c r="AM97" i="72"/>
  <c r="BB97" i="72"/>
  <c r="AP97" i="72" s="1"/>
  <c r="AN97" i="72"/>
  <c r="AL97" i="72"/>
  <c r="AK97" i="72"/>
  <c r="AC97" i="72"/>
  <c r="T97" i="72"/>
  <c r="X97" i="72" s="1"/>
  <c r="K97" i="72"/>
  <c r="AO96" i="72"/>
  <c r="AN96" i="72"/>
  <c r="BB96" i="72"/>
  <c r="AP96" i="72"/>
  <c r="AL96" i="72"/>
  <c r="AK96" i="72"/>
  <c r="AC96" i="72"/>
  <c r="T96" i="72"/>
  <c r="X96" i="72" s="1"/>
  <c r="K96" i="72"/>
  <c r="AO95" i="72"/>
  <c r="BB95" i="72"/>
  <c r="AP95" i="72" s="1"/>
  <c r="AN95" i="72"/>
  <c r="AM95" i="72"/>
  <c r="AL95" i="72"/>
  <c r="AK95" i="72"/>
  <c r="AC95" i="72"/>
  <c r="T95" i="72"/>
  <c r="X95" i="72" s="1"/>
  <c r="K95" i="72"/>
  <c r="AO94" i="72"/>
  <c r="AM94" i="72"/>
  <c r="AL94" i="72"/>
  <c r="AN94" i="72"/>
  <c r="AK94" i="72"/>
  <c r="AC94" i="72"/>
  <c r="T94" i="72"/>
  <c r="X94" i="72" s="1"/>
  <c r="AQ94" i="72" s="1"/>
  <c r="K94" i="72"/>
  <c r="AO93" i="72"/>
  <c r="AN93" i="72"/>
  <c r="BB93" i="72"/>
  <c r="AP93" i="72" s="1"/>
  <c r="AL93" i="72"/>
  <c r="AK93" i="72"/>
  <c r="AC93" i="72"/>
  <c r="T93" i="72"/>
  <c r="X93" i="72" s="1"/>
  <c r="K93" i="72"/>
  <c r="AO92" i="72"/>
  <c r="AM92" i="72"/>
  <c r="AL92" i="72"/>
  <c r="AN92" i="72"/>
  <c r="AK92" i="72"/>
  <c r="AC92" i="72"/>
  <c r="T92" i="72"/>
  <c r="X92" i="72" s="1"/>
  <c r="AQ92" i="72" s="1"/>
  <c r="K92" i="72"/>
  <c r="AO91" i="72"/>
  <c r="AN91" i="72"/>
  <c r="BB91" i="72"/>
  <c r="AP91" i="72" s="1"/>
  <c r="AL91" i="72"/>
  <c r="AK91" i="72"/>
  <c r="AC91" i="72"/>
  <c r="T91" i="72"/>
  <c r="X91" i="72" s="1"/>
  <c r="K91" i="72"/>
  <c r="AO90" i="72"/>
  <c r="AL90" i="72"/>
  <c r="AN90" i="72"/>
  <c r="AM90" i="72"/>
  <c r="AK90" i="72"/>
  <c r="AC90" i="72"/>
  <c r="T90" i="72"/>
  <c r="X90" i="72" s="1"/>
  <c r="AQ90" i="72" s="1"/>
  <c r="K90" i="72"/>
  <c r="AN89" i="72"/>
  <c r="BB89" i="72"/>
  <c r="AP89" i="72" s="1"/>
  <c r="AO89" i="72"/>
  <c r="AL89" i="72"/>
  <c r="AK89" i="72"/>
  <c r="AC89" i="72"/>
  <c r="T89" i="72"/>
  <c r="X89" i="72" s="1"/>
  <c r="K89" i="72"/>
  <c r="AO88" i="72"/>
  <c r="AN88" i="72"/>
  <c r="AP88" i="72"/>
  <c r="AM88" i="72"/>
  <c r="AL88" i="72"/>
  <c r="AK88" i="72"/>
  <c r="AC88" i="72"/>
  <c r="T88" i="72"/>
  <c r="X88" i="72" s="1"/>
  <c r="K88" i="72"/>
  <c r="AM87" i="72"/>
  <c r="AL87" i="72"/>
  <c r="AO87" i="72"/>
  <c r="AN87" i="72"/>
  <c r="AK87" i="72"/>
  <c r="AC87" i="72"/>
  <c r="T87" i="72"/>
  <c r="X87" i="72" s="1"/>
  <c r="AQ87" i="72" s="1"/>
  <c r="K87" i="72"/>
  <c r="AO86" i="72"/>
  <c r="AN86" i="72"/>
  <c r="BB86" i="72"/>
  <c r="AP86" i="72" s="1"/>
  <c r="AM86" i="72"/>
  <c r="AL86" i="72"/>
  <c r="AK86" i="72"/>
  <c r="AC86" i="72"/>
  <c r="T86" i="72"/>
  <c r="X86" i="72" s="1"/>
  <c r="K86" i="72"/>
  <c r="AM85" i="72"/>
  <c r="AL85" i="72"/>
  <c r="AO85" i="72"/>
  <c r="AN85" i="72"/>
  <c r="AK85" i="72"/>
  <c r="AC85" i="72"/>
  <c r="T85" i="72"/>
  <c r="X85" i="72" s="1"/>
  <c r="AQ85" i="72" s="1"/>
  <c r="K85" i="72"/>
  <c r="AO84" i="72"/>
  <c r="AN84" i="72"/>
  <c r="BB84" i="72"/>
  <c r="AP84" i="72" s="1"/>
  <c r="AM84" i="72"/>
  <c r="AL84" i="72"/>
  <c r="AK84" i="72"/>
  <c r="AC84" i="72"/>
  <c r="T84" i="72"/>
  <c r="X84" i="72" s="1"/>
  <c r="K84" i="72"/>
  <c r="AM83" i="72"/>
  <c r="AL83" i="72"/>
  <c r="AO83" i="72"/>
  <c r="AN83" i="72"/>
  <c r="AK83" i="72"/>
  <c r="AC83" i="72"/>
  <c r="T83" i="72"/>
  <c r="X83" i="72" s="1"/>
  <c r="AQ83" i="72" s="1"/>
  <c r="K83" i="72"/>
  <c r="AO82" i="72"/>
  <c r="AN82" i="72"/>
  <c r="BB82" i="72"/>
  <c r="AP82" i="72" s="1"/>
  <c r="AM82" i="72"/>
  <c r="AL82" i="72"/>
  <c r="AK82" i="72"/>
  <c r="AC82" i="72"/>
  <c r="T82" i="72"/>
  <c r="X82" i="72" s="1"/>
  <c r="K82" i="72"/>
  <c r="AM81" i="72"/>
  <c r="AL81" i="72"/>
  <c r="AO81" i="72"/>
  <c r="AN81" i="72"/>
  <c r="AK81" i="72"/>
  <c r="AC81" i="72"/>
  <c r="T81" i="72"/>
  <c r="X81" i="72" s="1"/>
  <c r="K81" i="72"/>
  <c r="AO80" i="72"/>
  <c r="AN80" i="72"/>
  <c r="BB80" i="72"/>
  <c r="AP80" i="72" s="1"/>
  <c r="AM80" i="72"/>
  <c r="AL80" i="72"/>
  <c r="AK80" i="72"/>
  <c r="AC80" i="72"/>
  <c r="T80" i="72"/>
  <c r="X80" i="72" s="1"/>
  <c r="K80" i="72"/>
  <c r="AM79" i="72"/>
  <c r="AL79" i="72"/>
  <c r="AO79" i="72"/>
  <c r="AN79" i="72"/>
  <c r="AK79" i="72"/>
  <c r="AC79" i="72"/>
  <c r="T79" i="72"/>
  <c r="X79" i="72" s="1"/>
  <c r="AQ79" i="72" s="1"/>
  <c r="K79" i="72"/>
  <c r="AO78" i="72"/>
  <c r="AN78" i="72"/>
  <c r="BB78" i="72"/>
  <c r="AP78" i="72" s="1"/>
  <c r="AM78" i="72"/>
  <c r="AL78" i="72"/>
  <c r="AK78" i="72"/>
  <c r="AC78" i="72"/>
  <c r="T78" i="72"/>
  <c r="X78" i="72" s="1"/>
  <c r="K78" i="72"/>
  <c r="AM77" i="72"/>
  <c r="AL77" i="72"/>
  <c r="AO77" i="72"/>
  <c r="AN77" i="72"/>
  <c r="AK77" i="72"/>
  <c r="AC77" i="72"/>
  <c r="T77" i="72"/>
  <c r="X77" i="72" s="1"/>
  <c r="AQ77" i="72" s="1"/>
  <c r="K77" i="72"/>
  <c r="AO76" i="72"/>
  <c r="AN76" i="72"/>
  <c r="BB76" i="72"/>
  <c r="AP76" i="72" s="1"/>
  <c r="AM76" i="72"/>
  <c r="AL76" i="72"/>
  <c r="AK76" i="72"/>
  <c r="AC76" i="72"/>
  <c r="T76" i="72"/>
  <c r="X76" i="72" s="1"/>
  <c r="K76" i="72"/>
  <c r="AM75" i="72"/>
  <c r="AL75" i="72"/>
  <c r="AO75" i="72"/>
  <c r="AN75" i="72"/>
  <c r="AK75" i="72"/>
  <c r="AC75" i="72"/>
  <c r="T75" i="72"/>
  <c r="X75" i="72" s="1"/>
  <c r="AQ75" i="72" s="1"/>
  <c r="K75" i="72"/>
  <c r="AO74" i="72"/>
  <c r="AN74" i="72"/>
  <c r="BB74" i="72"/>
  <c r="AP74" i="72" s="1"/>
  <c r="AM74" i="72"/>
  <c r="AL74" i="72"/>
  <c r="AK74" i="72"/>
  <c r="AC74" i="72"/>
  <c r="T74" i="72"/>
  <c r="X74" i="72" s="1"/>
  <c r="AQ74" i="72" s="1"/>
  <c r="AR74" i="72" s="1"/>
  <c r="K74" i="72"/>
  <c r="AM73" i="72"/>
  <c r="AL73" i="72"/>
  <c r="AO73" i="72"/>
  <c r="AN73" i="72"/>
  <c r="AK73" i="72"/>
  <c r="AC73" i="72"/>
  <c r="T73" i="72"/>
  <c r="X73" i="72" s="1"/>
  <c r="AQ73" i="72" s="1"/>
  <c r="K73" i="72"/>
  <c r="AO72" i="72"/>
  <c r="AN72" i="72"/>
  <c r="BB72" i="72"/>
  <c r="AP72" i="72" s="1"/>
  <c r="AM72" i="72"/>
  <c r="AL72" i="72"/>
  <c r="AK72" i="72"/>
  <c r="AC72" i="72"/>
  <c r="T72" i="72"/>
  <c r="X72" i="72" s="1"/>
  <c r="K72" i="72"/>
  <c r="AM71" i="72"/>
  <c r="AL71" i="72"/>
  <c r="AO71" i="72"/>
  <c r="AN71" i="72"/>
  <c r="AK71" i="72"/>
  <c r="AC71" i="72"/>
  <c r="T71" i="72"/>
  <c r="X71" i="72" s="1"/>
  <c r="K71" i="72"/>
  <c r="AO70" i="72"/>
  <c r="AN70" i="72"/>
  <c r="BB70" i="72"/>
  <c r="AP70" i="72" s="1"/>
  <c r="AM70" i="72"/>
  <c r="AL70" i="72"/>
  <c r="AK70" i="72"/>
  <c r="AC70" i="72"/>
  <c r="T70" i="72"/>
  <c r="X70" i="72" s="1"/>
  <c r="K70" i="72"/>
  <c r="AM69" i="72"/>
  <c r="AL69" i="72"/>
  <c r="AO69" i="72"/>
  <c r="AN69" i="72"/>
  <c r="AK69" i="72"/>
  <c r="AC69" i="72"/>
  <c r="T69" i="72"/>
  <c r="X69" i="72" s="1"/>
  <c r="AQ69" i="72" s="1"/>
  <c r="K69" i="72"/>
  <c r="AO68" i="72"/>
  <c r="AN68" i="72"/>
  <c r="BB68" i="72"/>
  <c r="AP68" i="72" s="1"/>
  <c r="AM68" i="72"/>
  <c r="AL68" i="72"/>
  <c r="AK68" i="72"/>
  <c r="AC68" i="72"/>
  <c r="T68" i="72"/>
  <c r="X68" i="72" s="1"/>
  <c r="K68" i="72"/>
  <c r="AM67" i="72"/>
  <c r="AL67" i="72"/>
  <c r="AO67" i="72"/>
  <c r="AN67" i="72"/>
  <c r="AK67" i="72"/>
  <c r="AC67" i="72"/>
  <c r="T67" i="72"/>
  <c r="X67" i="72" s="1"/>
  <c r="AQ67" i="72" s="1"/>
  <c r="K67" i="72"/>
  <c r="AO66" i="72"/>
  <c r="AN66" i="72"/>
  <c r="BB66" i="72"/>
  <c r="AP66" i="72" s="1"/>
  <c r="AM66" i="72"/>
  <c r="AL66" i="72"/>
  <c r="AK66" i="72"/>
  <c r="AC66" i="72"/>
  <c r="T66" i="72"/>
  <c r="X66" i="72" s="1"/>
  <c r="AQ66" i="72" s="1"/>
  <c r="K66" i="72"/>
  <c r="AM65" i="72"/>
  <c r="AL65" i="72"/>
  <c r="AO65" i="72"/>
  <c r="AN65" i="72"/>
  <c r="AK65" i="72"/>
  <c r="AC65" i="72"/>
  <c r="T65" i="72"/>
  <c r="X65" i="72" s="1"/>
  <c r="AQ65" i="72" s="1"/>
  <c r="K65" i="72"/>
  <c r="AO64" i="72"/>
  <c r="AN64" i="72"/>
  <c r="BB64" i="72"/>
  <c r="AP64" i="72" s="1"/>
  <c r="AM64" i="72"/>
  <c r="AL64" i="72"/>
  <c r="AK64" i="72"/>
  <c r="AC64" i="72"/>
  <c r="T64" i="72"/>
  <c r="X64" i="72" s="1"/>
  <c r="K64" i="72"/>
  <c r="AM63" i="72"/>
  <c r="AL63" i="72"/>
  <c r="AO63" i="72"/>
  <c r="AN63" i="72"/>
  <c r="AK63" i="72"/>
  <c r="AC63" i="72"/>
  <c r="T63" i="72"/>
  <c r="X63" i="72" s="1"/>
  <c r="AQ63" i="72" s="1"/>
  <c r="K63" i="72"/>
  <c r="AO62" i="72"/>
  <c r="AN62" i="72"/>
  <c r="BB62" i="72"/>
  <c r="AP62" i="72" s="1"/>
  <c r="AM62" i="72"/>
  <c r="AL62" i="72"/>
  <c r="AK62" i="72"/>
  <c r="AC62" i="72"/>
  <c r="T62" i="72"/>
  <c r="X62" i="72" s="1"/>
  <c r="K62" i="72"/>
  <c r="AM61" i="72"/>
  <c r="AL61" i="72"/>
  <c r="AO61" i="72"/>
  <c r="AN61" i="72"/>
  <c r="AK61" i="72"/>
  <c r="AC61" i="72"/>
  <c r="T61" i="72"/>
  <c r="X61" i="72" s="1"/>
  <c r="AQ61" i="72" s="1"/>
  <c r="K61" i="72"/>
  <c r="AO60" i="72"/>
  <c r="AN60" i="72"/>
  <c r="BB60" i="72"/>
  <c r="AP60" i="72" s="1"/>
  <c r="AM60" i="72"/>
  <c r="AL60" i="72"/>
  <c r="AK60" i="72"/>
  <c r="AC60" i="72"/>
  <c r="T60" i="72"/>
  <c r="X60" i="72" s="1"/>
  <c r="K60" i="72"/>
  <c r="AM59" i="72"/>
  <c r="AL59" i="72"/>
  <c r="AO59" i="72"/>
  <c r="AN59" i="72"/>
  <c r="AK59" i="72"/>
  <c r="AC59" i="72"/>
  <c r="T59" i="72"/>
  <c r="X59" i="72" s="1"/>
  <c r="AQ59" i="72" s="1"/>
  <c r="K59" i="72"/>
  <c r="AO58" i="72"/>
  <c r="AN58" i="72"/>
  <c r="BB58" i="72"/>
  <c r="AP58" i="72" s="1"/>
  <c r="AM58" i="72"/>
  <c r="AL58" i="72"/>
  <c r="AK58" i="72"/>
  <c r="AC58" i="72"/>
  <c r="T58" i="72"/>
  <c r="X58" i="72" s="1"/>
  <c r="AQ58" i="72" s="1"/>
  <c r="AR58" i="72" s="1"/>
  <c r="K58" i="72"/>
  <c r="AM57" i="72"/>
  <c r="AL57" i="72"/>
  <c r="AO57" i="72"/>
  <c r="AN57" i="72"/>
  <c r="AK57" i="72"/>
  <c r="AC57" i="72"/>
  <c r="T57" i="72"/>
  <c r="X57" i="72" s="1"/>
  <c r="K57" i="72"/>
  <c r="AO56" i="72"/>
  <c r="AN56" i="72"/>
  <c r="BB56" i="72"/>
  <c r="AP56" i="72" s="1"/>
  <c r="AM56" i="72"/>
  <c r="AL56" i="72"/>
  <c r="AK56" i="72"/>
  <c r="AC56" i="72"/>
  <c r="T56" i="72"/>
  <c r="X56" i="72" s="1"/>
  <c r="AQ56" i="72" s="1"/>
  <c r="K56" i="72"/>
  <c r="AM55" i="72"/>
  <c r="AL55" i="72"/>
  <c r="AO55" i="72"/>
  <c r="AN55" i="72"/>
  <c r="AK55" i="72"/>
  <c r="AC55" i="72"/>
  <c r="T55" i="72"/>
  <c r="X55" i="72" s="1"/>
  <c r="AQ55" i="72" s="1"/>
  <c r="K55" i="72"/>
  <c r="AO54" i="72"/>
  <c r="AN54" i="72"/>
  <c r="BB54" i="72"/>
  <c r="AP54" i="72" s="1"/>
  <c r="AM54" i="72"/>
  <c r="AL54" i="72"/>
  <c r="AK54" i="72"/>
  <c r="AC54" i="72"/>
  <c r="T54" i="72"/>
  <c r="X54" i="72" s="1"/>
  <c r="K54" i="72"/>
  <c r="AM53" i="72"/>
  <c r="AL53" i="72"/>
  <c r="AO53" i="72"/>
  <c r="AN53" i="72"/>
  <c r="AK53" i="72"/>
  <c r="AC53" i="72"/>
  <c r="T53" i="72"/>
  <c r="X53" i="72" s="1"/>
  <c r="K53" i="72"/>
  <c r="AO52" i="72"/>
  <c r="AN52" i="72"/>
  <c r="BB52" i="72"/>
  <c r="AP52" i="72" s="1"/>
  <c r="AM52" i="72"/>
  <c r="AL52" i="72"/>
  <c r="AK52" i="72"/>
  <c r="AC52" i="72"/>
  <c r="T52" i="72"/>
  <c r="X52" i="72" s="1"/>
  <c r="K52" i="72"/>
  <c r="AM51" i="72"/>
  <c r="AL51" i="72"/>
  <c r="AO51" i="72"/>
  <c r="AN51" i="72"/>
  <c r="AK51" i="72"/>
  <c r="AC51" i="72"/>
  <c r="T51" i="72"/>
  <c r="X51" i="72" s="1"/>
  <c r="AQ51" i="72" s="1"/>
  <c r="K51" i="72"/>
  <c r="AO50" i="72"/>
  <c r="AN50" i="72"/>
  <c r="BB50" i="72"/>
  <c r="AP50" i="72" s="1"/>
  <c r="AM50" i="72"/>
  <c r="AL50" i="72"/>
  <c r="AK50" i="72"/>
  <c r="AC50" i="72"/>
  <c r="T50" i="72"/>
  <c r="X50" i="72" s="1"/>
  <c r="AQ50" i="72" s="1"/>
  <c r="AR50" i="72" s="1"/>
  <c r="K50" i="72"/>
  <c r="AM49" i="72"/>
  <c r="AL49" i="72"/>
  <c r="AO49" i="72"/>
  <c r="AN49" i="72"/>
  <c r="AK49" i="72"/>
  <c r="AC49" i="72"/>
  <c r="T49" i="72"/>
  <c r="X49" i="72" s="1"/>
  <c r="AQ49" i="72" s="1"/>
  <c r="K49" i="72"/>
  <c r="AO48" i="72"/>
  <c r="AN48" i="72"/>
  <c r="BB48" i="72"/>
  <c r="AP48" i="72" s="1"/>
  <c r="AM48" i="72"/>
  <c r="AL48" i="72"/>
  <c r="AK48" i="72"/>
  <c r="AC48" i="72"/>
  <c r="T48" i="72"/>
  <c r="X48" i="72" s="1"/>
  <c r="K48" i="72"/>
  <c r="AM47" i="72"/>
  <c r="AL47" i="72"/>
  <c r="AO47" i="72"/>
  <c r="AN47" i="72"/>
  <c r="AK47" i="72"/>
  <c r="AC47" i="72"/>
  <c r="T47" i="72"/>
  <c r="X47" i="72" s="1"/>
  <c r="AQ47" i="72" s="1"/>
  <c r="K47" i="72"/>
  <c r="AO46" i="72"/>
  <c r="AN46" i="72"/>
  <c r="BB46" i="72"/>
  <c r="AP46" i="72" s="1"/>
  <c r="AM46" i="72"/>
  <c r="AL46" i="72"/>
  <c r="AK46" i="72"/>
  <c r="AC46" i="72"/>
  <c r="T46" i="72"/>
  <c r="X46" i="72" s="1"/>
  <c r="K46" i="72"/>
  <c r="AM45" i="72"/>
  <c r="AL45" i="72"/>
  <c r="AO45" i="72"/>
  <c r="AN45" i="72"/>
  <c r="AK45" i="72"/>
  <c r="AC45" i="72"/>
  <c r="T45" i="72"/>
  <c r="X45" i="72" s="1"/>
  <c r="AQ45" i="72" s="1"/>
  <c r="K45" i="72"/>
  <c r="AO44" i="72"/>
  <c r="AN44" i="72"/>
  <c r="BB44" i="72"/>
  <c r="AP44" i="72" s="1"/>
  <c r="AM44" i="72"/>
  <c r="AL44" i="72"/>
  <c r="AK44" i="72"/>
  <c r="AC44" i="72"/>
  <c r="T44" i="72"/>
  <c r="X44" i="72" s="1"/>
  <c r="AQ44" i="72" s="1"/>
  <c r="AR44" i="72" s="1"/>
  <c r="K44" i="72"/>
  <c r="AO43" i="72"/>
  <c r="AM43" i="72"/>
  <c r="AL43" i="72"/>
  <c r="AN43" i="72"/>
  <c r="AK43" i="72"/>
  <c r="AC43" i="72"/>
  <c r="T43" i="72"/>
  <c r="X43" i="72" s="1"/>
  <c r="K43" i="72"/>
  <c r="AO42" i="72"/>
  <c r="BB42" i="72"/>
  <c r="AP42" i="72" s="1"/>
  <c r="AN42" i="72"/>
  <c r="AM42" i="72"/>
  <c r="AL42" i="72"/>
  <c r="AK42" i="72"/>
  <c r="AC42" i="72"/>
  <c r="T42" i="72"/>
  <c r="X42" i="72" s="1"/>
  <c r="AQ42" i="72" s="1"/>
  <c r="K42" i="72"/>
  <c r="AM41" i="72"/>
  <c r="AL41" i="72"/>
  <c r="AO41" i="72"/>
  <c r="AN41" i="72"/>
  <c r="AK41" i="72"/>
  <c r="AC41" i="72"/>
  <c r="T41" i="72"/>
  <c r="X41" i="72" s="1"/>
  <c r="K41" i="72"/>
  <c r="AO40" i="72"/>
  <c r="AN40" i="72"/>
  <c r="BB40" i="72"/>
  <c r="AP40" i="72" s="1"/>
  <c r="AM40" i="72"/>
  <c r="AL40" i="72"/>
  <c r="AK40" i="72"/>
  <c r="AC40" i="72"/>
  <c r="T40" i="72"/>
  <c r="X40" i="72" s="1"/>
  <c r="K40" i="72"/>
  <c r="AO39" i="72"/>
  <c r="AM39" i="72"/>
  <c r="BB39" i="72"/>
  <c r="AP39" i="72" s="1"/>
  <c r="AN39" i="72"/>
  <c r="AK39" i="72"/>
  <c r="AC39" i="72"/>
  <c r="T39" i="72"/>
  <c r="X39" i="72" s="1"/>
  <c r="K39" i="72"/>
  <c r="AO38" i="72"/>
  <c r="AN38" i="72"/>
  <c r="BB38" i="72"/>
  <c r="AP38" i="72" s="1"/>
  <c r="AL38" i="72"/>
  <c r="AK38" i="72"/>
  <c r="AC38" i="72"/>
  <c r="T38" i="72"/>
  <c r="X38" i="72" s="1"/>
  <c r="K38" i="72"/>
  <c r="AO37" i="72"/>
  <c r="AM37" i="72"/>
  <c r="AN37" i="72"/>
  <c r="AL37" i="72"/>
  <c r="AK37" i="72"/>
  <c r="AC37" i="72"/>
  <c r="T37" i="72"/>
  <c r="X37" i="72" s="1"/>
  <c r="K37" i="72"/>
  <c r="AO36" i="72"/>
  <c r="BB36" i="72"/>
  <c r="AP36" i="72"/>
  <c r="AN36" i="72"/>
  <c r="AL36" i="72"/>
  <c r="AK36" i="72"/>
  <c r="AC36" i="72"/>
  <c r="T36" i="72"/>
  <c r="X36" i="72" s="1"/>
  <c r="K36" i="72"/>
  <c r="AM35" i="72"/>
  <c r="AO35" i="72"/>
  <c r="AN35" i="72"/>
  <c r="AL35" i="72"/>
  <c r="AK35" i="72"/>
  <c r="AC35" i="72"/>
  <c r="T35" i="72"/>
  <c r="X35" i="72" s="1"/>
  <c r="K35" i="72"/>
  <c r="AO34" i="72"/>
  <c r="BB34" i="72"/>
  <c r="AP34" i="72" s="1"/>
  <c r="AN34" i="72"/>
  <c r="AM34" i="72"/>
  <c r="AL34" i="72"/>
  <c r="AK34" i="72"/>
  <c r="AC34" i="72"/>
  <c r="T34" i="72"/>
  <c r="X34" i="72" s="1"/>
  <c r="AQ34" i="72" s="1"/>
  <c r="AR34" i="72" s="1"/>
  <c r="K34" i="72"/>
  <c r="AM33" i="72"/>
  <c r="AL33" i="72"/>
  <c r="AO33" i="72"/>
  <c r="AN33" i="72"/>
  <c r="AK33" i="72"/>
  <c r="AC33" i="72"/>
  <c r="T33" i="72"/>
  <c r="X33" i="72" s="1"/>
  <c r="K33" i="72"/>
  <c r="AO32" i="72"/>
  <c r="AN32" i="72"/>
  <c r="BB32" i="72"/>
  <c r="AP32" i="72" s="1"/>
  <c r="AM32" i="72"/>
  <c r="AL32" i="72"/>
  <c r="AK32" i="72"/>
  <c r="AC32" i="72"/>
  <c r="T32" i="72"/>
  <c r="X32" i="72" s="1"/>
  <c r="K32" i="72"/>
  <c r="AL31" i="72"/>
  <c r="AO31" i="72"/>
  <c r="AN31" i="72"/>
  <c r="AM31" i="72"/>
  <c r="AK31" i="72"/>
  <c r="AC31" i="72"/>
  <c r="T31" i="72"/>
  <c r="X31" i="72" s="1"/>
  <c r="AQ31" i="72" s="1"/>
  <c r="K31" i="72"/>
  <c r="AN30" i="72"/>
  <c r="BB30" i="72"/>
  <c r="AP30" i="72" s="1"/>
  <c r="AO30" i="72"/>
  <c r="AM30" i="72"/>
  <c r="AL30" i="72"/>
  <c r="AK30" i="72"/>
  <c r="AC30" i="72"/>
  <c r="T30" i="72"/>
  <c r="X30" i="72" s="1"/>
  <c r="K30" i="72"/>
  <c r="AL29" i="72"/>
  <c r="AO29" i="72"/>
  <c r="AN29" i="72"/>
  <c r="AM29" i="72"/>
  <c r="AK29" i="72"/>
  <c r="AC29" i="72"/>
  <c r="T29" i="72"/>
  <c r="X29" i="72" s="1"/>
  <c r="K29" i="72"/>
  <c r="AN28" i="72"/>
  <c r="BB28" i="72"/>
  <c r="AP28" i="72" s="1"/>
  <c r="AO28" i="72"/>
  <c r="AM28" i="72"/>
  <c r="AL28" i="72"/>
  <c r="AK28" i="72"/>
  <c r="AC28" i="72"/>
  <c r="T28" i="72"/>
  <c r="X28" i="72" s="1"/>
  <c r="AQ28" i="72" s="1"/>
  <c r="K28" i="72"/>
  <c r="AL27" i="72"/>
  <c r="AO27" i="72"/>
  <c r="AN27" i="72"/>
  <c r="AM27" i="72"/>
  <c r="AK27" i="72"/>
  <c r="AC27" i="72"/>
  <c r="T27" i="72"/>
  <c r="X27" i="72" s="1"/>
  <c r="K27" i="72"/>
  <c r="AN26" i="72"/>
  <c r="BB26" i="72"/>
  <c r="AP26" i="72" s="1"/>
  <c r="AO26" i="72"/>
  <c r="AM26" i="72"/>
  <c r="AL26" i="72"/>
  <c r="AK26" i="72"/>
  <c r="AC26" i="72"/>
  <c r="T26" i="72"/>
  <c r="X26" i="72" s="1"/>
  <c r="K26" i="72"/>
  <c r="AL25" i="72"/>
  <c r="AO25" i="72"/>
  <c r="AN25" i="72"/>
  <c r="AM25" i="72"/>
  <c r="AK25" i="72"/>
  <c r="AC25" i="72"/>
  <c r="T25" i="72"/>
  <c r="X25" i="72" s="1"/>
  <c r="K25" i="72"/>
  <c r="AN24" i="72"/>
  <c r="BB24" i="72"/>
  <c r="AP24" i="72" s="1"/>
  <c r="AO24" i="72"/>
  <c r="AM24" i="72"/>
  <c r="AL24" i="72"/>
  <c r="AK24" i="72"/>
  <c r="AC24" i="72"/>
  <c r="T24" i="72"/>
  <c r="X24" i="72" s="1"/>
  <c r="K24" i="72"/>
  <c r="AL23" i="72"/>
  <c r="AO23" i="72"/>
  <c r="AN23" i="72"/>
  <c r="AM23" i="72"/>
  <c r="AK23" i="72"/>
  <c r="AC23" i="72"/>
  <c r="T23" i="72"/>
  <c r="X23" i="72" s="1"/>
  <c r="K23" i="72"/>
  <c r="AN22" i="72"/>
  <c r="BB22" i="72"/>
  <c r="AP22" i="72" s="1"/>
  <c r="AO22" i="72"/>
  <c r="AM22" i="72"/>
  <c r="AL22" i="72"/>
  <c r="AK22" i="72"/>
  <c r="AC22" i="72"/>
  <c r="T22" i="72"/>
  <c r="X22" i="72" s="1"/>
  <c r="K22" i="72"/>
  <c r="AL21" i="72"/>
  <c r="AO21" i="72"/>
  <c r="AN21" i="72"/>
  <c r="AM21" i="72"/>
  <c r="AK21" i="72"/>
  <c r="AC21" i="72"/>
  <c r="T21" i="72"/>
  <c r="X21" i="72" s="1"/>
  <c r="K21" i="72"/>
  <c r="AN20" i="72"/>
  <c r="BB20" i="72"/>
  <c r="AP20" i="72" s="1"/>
  <c r="AO20" i="72"/>
  <c r="AM20" i="72"/>
  <c r="AL20" i="72"/>
  <c r="AK20" i="72"/>
  <c r="AC20" i="72"/>
  <c r="T20" i="72"/>
  <c r="X20" i="72" s="1"/>
  <c r="AQ20" i="72" s="1"/>
  <c r="K20" i="72"/>
  <c r="AO19" i="72"/>
  <c r="AP19" i="72"/>
  <c r="AN19" i="72"/>
  <c r="AM19" i="72"/>
  <c r="AL19" i="72"/>
  <c r="AK19" i="72"/>
  <c r="AC19" i="72"/>
  <c r="T19" i="72"/>
  <c r="X19" i="72" s="1"/>
  <c r="K19" i="72"/>
  <c r="AM18" i="72"/>
  <c r="AO18" i="72"/>
  <c r="AN18" i="72"/>
  <c r="AL18" i="72"/>
  <c r="AK18" i="72"/>
  <c r="AC18" i="72"/>
  <c r="T18" i="72"/>
  <c r="X18" i="72" s="1"/>
  <c r="K18" i="72"/>
  <c r="AN17" i="72"/>
  <c r="AP17" i="72"/>
  <c r="AO17" i="72"/>
  <c r="AM17" i="72"/>
  <c r="AL17" i="72"/>
  <c r="AK17" i="72"/>
  <c r="AC17" i="72"/>
  <c r="T17" i="72"/>
  <c r="X17" i="72" s="1"/>
  <c r="AQ17" i="72" s="1"/>
  <c r="K17" i="72"/>
  <c r="AL16" i="72"/>
  <c r="AO16" i="72"/>
  <c r="AN16" i="72"/>
  <c r="AM16" i="72"/>
  <c r="AK16" i="72"/>
  <c r="AC16" i="72"/>
  <c r="T16" i="72"/>
  <c r="X16" i="72" s="1"/>
  <c r="K16" i="72"/>
  <c r="AN15" i="72"/>
  <c r="BB15" i="72"/>
  <c r="AP15" i="72" s="1"/>
  <c r="AO15" i="72"/>
  <c r="AM15" i="72"/>
  <c r="AL15" i="72"/>
  <c r="AK15" i="72"/>
  <c r="AC15" i="72"/>
  <c r="T15" i="72"/>
  <c r="X15" i="72" s="1"/>
  <c r="AQ15" i="72" s="1"/>
  <c r="K15" i="72"/>
  <c r="AL14" i="72"/>
  <c r="AO14" i="72"/>
  <c r="AN14" i="72"/>
  <c r="AM14" i="72"/>
  <c r="AK14" i="72"/>
  <c r="AC14" i="72"/>
  <c r="T14" i="72"/>
  <c r="X14" i="72" s="1"/>
  <c r="AQ14" i="72" s="1"/>
  <c r="K14" i="72"/>
  <c r="AN13" i="72"/>
  <c r="BB13" i="72"/>
  <c r="AP13" i="72" s="1"/>
  <c r="AO13" i="72"/>
  <c r="AM13" i="72"/>
  <c r="AL13" i="72"/>
  <c r="AK13" i="72"/>
  <c r="AC13" i="72"/>
  <c r="T13" i="72"/>
  <c r="X13" i="72" s="1"/>
  <c r="K13" i="72"/>
  <c r="AL12" i="72"/>
  <c r="AN12" i="72"/>
  <c r="AM12" i="72"/>
  <c r="AK12" i="72"/>
  <c r="AC12" i="72"/>
  <c r="T12" i="72"/>
  <c r="X12" i="72" s="1"/>
  <c r="AQ12" i="72" s="1"/>
  <c r="K12" i="72"/>
  <c r="AN11" i="72"/>
  <c r="BB11" i="72"/>
  <c r="AP11" i="72" s="1"/>
  <c r="AO11" i="72"/>
  <c r="AM11" i="72"/>
  <c r="AL11" i="72"/>
  <c r="AK11" i="72"/>
  <c r="AC11" i="72"/>
  <c r="T11" i="72"/>
  <c r="X11" i="72" s="1"/>
  <c r="K11" i="72"/>
  <c r="AL10" i="72"/>
  <c r="AO10" i="72"/>
  <c r="AN10" i="72"/>
  <c r="AM10" i="72"/>
  <c r="AK10" i="72"/>
  <c r="AC10" i="72"/>
  <c r="T10" i="72"/>
  <c r="X10" i="72" s="1"/>
  <c r="K10" i="72"/>
  <c r="AN9" i="72"/>
  <c r="BB9" i="72"/>
  <c r="AP9" i="72" s="1"/>
  <c r="AO9" i="72"/>
  <c r="AM9" i="72"/>
  <c r="AL9" i="72"/>
  <c r="AK9" i="72"/>
  <c r="AC9" i="72"/>
  <c r="X9" i="72"/>
  <c r="AQ9" i="72" s="1"/>
  <c r="T9" i="72"/>
  <c r="K9" i="72"/>
  <c r="AL8" i="72"/>
  <c r="AO8" i="72"/>
  <c r="AN8" i="72"/>
  <c r="AM8" i="72"/>
  <c r="AK8" i="72"/>
  <c r="AC8" i="72"/>
  <c r="T8" i="72"/>
  <c r="X8" i="72" s="1"/>
  <c r="K8" i="72"/>
  <c r="AN7" i="72"/>
  <c r="BB7" i="72"/>
  <c r="AP7" i="72" s="1"/>
  <c r="AO7" i="72"/>
  <c r="AM7" i="72"/>
  <c r="AL7" i="72"/>
  <c r="AK7" i="72"/>
  <c r="AC7" i="72"/>
  <c r="T7" i="72"/>
  <c r="X7" i="72" s="1"/>
  <c r="AQ7" i="72" s="1"/>
  <c r="K7" i="72"/>
  <c r="AO6" i="72"/>
  <c r="AL6" i="72"/>
  <c r="AN6" i="72"/>
  <c r="AM6" i="72"/>
  <c r="AK6" i="72"/>
  <c r="AC6" i="72"/>
  <c r="T6" i="72"/>
  <c r="X6" i="72" s="1"/>
  <c r="AQ6" i="72" s="1"/>
  <c r="AR6" i="72" s="1"/>
  <c r="K6" i="72"/>
  <c r="AN5" i="72"/>
  <c r="BB5" i="72"/>
  <c r="AP5" i="72" s="1"/>
  <c r="AO5" i="72"/>
  <c r="AL5" i="72"/>
  <c r="AK5" i="72"/>
  <c r="AC5" i="72"/>
  <c r="T5" i="72"/>
  <c r="X5" i="72" s="1"/>
  <c r="K5" i="72"/>
  <c r="AO4" i="72"/>
  <c r="AL4" i="72"/>
  <c r="AN4" i="72"/>
  <c r="AM4" i="72"/>
  <c r="AK4" i="72"/>
  <c r="AC4" i="72"/>
  <c r="T4" i="72"/>
  <c r="X4" i="72" s="1"/>
  <c r="K4" i="72"/>
  <c r="BA259" i="71"/>
  <c r="AO259" i="71" s="1"/>
  <c r="AN259" i="71"/>
  <c r="AM259" i="71"/>
  <c r="AL259" i="71"/>
  <c r="AK259" i="71"/>
  <c r="AJ259" i="71"/>
  <c r="AB259" i="71"/>
  <c r="S259" i="71"/>
  <c r="W259" i="71" s="1"/>
  <c r="K259" i="71"/>
  <c r="BA258" i="71"/>
  <c r="AO258" i="71" s="1"/>
  <c r="AN258" i="71"/>
  <c r="AM258" i="71"/>
  <c r="AL258" i="71"/>
  <c r="AK258" i="71"/>
  <c r="AJ258" i="71"/>
  <c r="AB258" i="71"/>
  <c r="S258" i="71"/>
  <c r="W258" i="71" s="1"/>
  <c r="K258" i="71"/>
  <c r="BA257" i="71"/>
  <c r="AO257" i="71" s="1"/>
  <c r="AN257" i="71"/>
  <c r="AM257" i="71"/>
  <c r="AL257" i="71"/>
  <c r="AK257" i="71"/>
  <c r="AI257" i="71"/>
  <c r="AJ257" i="71" s="1"/>
  <c r="AB257" i="71"/>
  <c r="S257" i="71"/>
  <c r="W257" i="71" s="1"/>
  <c r="K257" i="71"/>
  <c r="BA256" i="71"/>
  <c r="AO256" i="71" s="1"/>
  <c r="AN256" i="71"/>
  <c r="AM256" i="71"/>
  <c r="AL256" i="71"/>
  <c r="AK256" i="71"/>
  <c r="AJ256" i="71"/>
  <c r="AB256" i="71"/>
  <c r="S256" i="71"/>
  <c r="W256" i="71" s="1"/>
  <c r="K256" i="71"/>
  <c r="BA255" i="71"/>
  <c r="AO255" i="71" s="1"/>
  <c r="AN255" i="71"/>
  <c r="AM255" i="71"/>
  <c r="AL255" i="71"/>
  <c r="AK255" i="71"/>
  <c r="AJ255" i="71"/>
  <c r="AB255" i="71"/>
  <c r="S255" i="71"/>
  <c r="W255" i="71" s="1"/>
  <c r="K255" i="71"/>
  <c r="BA254" i="71"/>
  <c r="AO254" i="71" s="1"/>
  <c r="AN254" i="71"/>
  <c r="AM254" i="71"/>
  <c r="AL254" i="71"/>
  <c r="AK254" i="71"/>
  <c r="AJ254" i="71"/>
  <c r="AB254" i="71"/>
  <c r="S254" i="71"/>
  <c r="W254" i="71" s="1"/>
  <c r="K254" i="71"/>
  <c r="BA253" i="71"/>
  <c r="AO253" i="71" s="1"/>
  <c r="AN253" i="71"/>
  <c r="AM253" i="71"/>
  <c r="AL253" i="71"/>
  <c r="AK253" i="71"/>
  <c r="AJ253" i="71"/>
  <c r="AB253" i="71"/>
  <c r="S253" i="71"/>
  <c r="W253" i="71" s="1"/>
  <c r="K253" i="71"/>
  <c r="AN252" i="71"/>
  <c r="AM252" i="71"/>
  <c r="AL252" i="71"/>
  <c r="AK252" i="71"/>
  <c r="AJ252" i="71"/>
  <c r="AB252" i="71"/>
  <c r="S252" i="71"/>
  <c r="W252" i="71" s="1"/>
  <c r="K252" i="71"/>
  <c r="BA251" i="71"/>
  <c r="AO251" i="71" s="1"/>
  <c r="AN251" i="71"/>
  <c r="AM251" i="71"/>
  <c r="AL251" i="71"/>
  <c r="AK251" i="71"/>
  <c r="AJ251" i="71"/>
  <c r="AB251" i="71"/>
  <c r="S251" i="71"/>
  <c r="W251" i="71" s="1"/>
  <c r="K251" i="71"/>
  <c r="BA250" i="71"/>
  <c r="AO250" i="71" s="1"/>
  <c r="AN250" i="71"/>
  <c r="AM250" i="71"/>
  <c r="AL250" i="71"/>
  <c r="AK250" i="71"/>
  <c r="AJ250" i="71"/>
  <c r="AB250" i="71"/>
  <c r="S250" i="71"/>
  <c r="W250" i="71" s="1"/>
  <c r="K250" i="71"/>
  <c r="BA249" i="71"/>
  <c r="AO249" i="71" s="1"/>
  <c r="AN249" i="71"/>
  <c r="AM249" i="71"/>
  <c r="AL249" i="71"/>
  <c r="AK249" i="71"/>
  <c r="AJ249" i="71"/>
  <c r="AB249" i="71"/>
  <c r="S249" i="71"/>
  <c r="W249" i="71" s="1"/>
  <c r="K249" i="71"/>
  <c r="BA248" i="71"/>
  <c r="AO248" i="71" s="1"/>
  <c r="AN248" i="71"/>
  <c r="AM248" i="71"/>
  <c r="AL248" i="71"/>
  <c r="AK248" i="71"/>
  <c r="AJ248" i="71"/>
  <c r="AB248" i="71"/>
  <c r="S248" i="71"/>
  <c r="W248" i="71" s="1"/>
  <c r="K248" i="71"/>
  <c r="AN247" i="71"/>
  <c r="AM247" i="71"/>
  <c r="AL247" i="71"/>
  <c r="AK247" i="71"/>
  <c r="AJ247" i="71"/>
  <c r="AB247" i="71"/>
  <c r="S247" i="71"/>
  <c r="W247" i="71" s="1"/>
  <c r="K247" i="71"/>
  <c r="BA246" i="71"/>
  <c r="AO246" i="71" s="1"/>
  <c r="AN246" i="71"/>
  <c r="AM246" i="71"/>
  <c r="AL246" i="71"/>
  <c r="AK246" i="71"/>
  <c r="AJ246" i="71"/>
  <c r="AB246" i="71"/>
  <c r="S246" i="71"/>
  <c r="W246" i="71" s="1"/>
  <c r="K246" i="71"/>
  <c r="BA245" i="71"/>
  <c r="AO245" i="71" s="1"/>
  <c r="AN245" i="71"/>
  <c r="AM245" i="71"/>
  <c r="AL245" i="71"/>
  <c r="AK245" i="71"/>
  <c r="AJ245" i="71"/>
  <c r="AB245" i="71"/>
  <c r="S245" i="71"/>
  <c r="W245" i="71" s="1"/>
  <c r="K245" i="71"/>
  <c r="BA244" i="71"/>
  <c r="AO244" i="71" s="1"/>
  <c r="AN244" i="71"/>
  <c r="AM244" i="71"/>
  <c r="AL244" i="71"/>
  <c r="AK244" i="71"/>
  <c r="AJ244" i="71"/>
  <c r="AB244" i="71"/>
  <c r="S244" i="71"/>
  <c r="W244" i="71" s="1"/>
  <c r="K244" i="71"/>
  <c r="BA243" i="71"/>
  <c r="AO243" i="71" s="1"/>
  <c r="AN243" i="71"/>
  <c r="AM243" i="71"/>
  <c r="AL243" i="71"/>
  <c r="AK243" i="71"/>
  <c r="AJ243" i="71"/>
  <c r="AB243" i="71"/>
  <c r="S243" i="71"/>
  <c r="W243" i="71" s="1"/>
  <c r="K243" i="71"/>
  <c r="BA242" i="71"/>
  <c r="AO242" i="71" s="1"/>
  <c r="AN242" i="71"/>
  <c r="AM242" i="71"/>
  <c r="AL242" i="71"/>
  <c r="AK242" i="71"/>
  <c r="AJ242" i="71"/>
  <c r="AB242" i="71"/>
  <c r="S242" i="71"/>
  <c r="W242" i="71" s="1"/>
  <c r="K242" i="71"/>
  <c r="BA241" i="71"/>
  <c r="AO241" i="71" s="1"/>
  <c r="AN241" i="71"/>
  <c r="AM241" i="71"/>
  <c r="AL241" i="71"/>
  <c r="AK241" i="71"/>
  <c r="AJ241" i="71"/>
  <c r="AB241" i="71"/>
  <c r="S241" i="71"/>
  <c r="W241" i="71" s="1"/>
  <c r="K241" i="71"/>
  <c r="BA240" i="71"/>
  <c r="AO240" i="71" s="1"/>
  <c r="AN240" i="71"/>
  <c r="AM240" i="71"/>
  <c r="AL240" i="71"/>
  <c r="AK240" i="71"/>
  <c r="AJ240" i="71"/>
  <c r="AB240" i="71"/>
  <c r="S240" i="71"/>
  <c r="W240" i="71" s="1"/>
  <c r="K240" i="71"/>
  <c r="BA239" i="71"/>
  <c r="AO239" i="71" s="1"/>
  <c r="AN239" i="71"/>
  <c r="AM239" i="71"/>
  <c r="AL239" i="71"/>
  <c r="AK239" i="71"/>
  <c r="AJ239" i="71"/>
  <c r="AB239" i="71"/>
  <c r="S239" i="71"/>
  <c r="W239" i="71" s="1"/>
  <c r="K239" i="71"/>
  <c r="BA238" i="71"/>
  <c r="AO238" i="71" s="1"/>
  <c r="AN238" i="71"/>
  <c r="AM238" i="71"/>
  <c r="AL238" i="71"/>
  <c r="AK238" i="71"/>
  <c r="AJ238" i="71"/>
  <c r="AB238" i="71"/>
  <c r="S238" i="71"/>
  <c r="W238" i="71" s="1"/>
  <c r="K238" i="71"/>
  <c r="BA237" i="71"/>
  <c r="AO237" i="71" s="1"/>
  <c r="AN237" i="71"/>
  <c r="AM237" i="71"/>
  <c r="AL237" i="71"/>
  <c r="AK237" i="71"/>
  <c r="AJ237" i="71"/>
  <c r="AB237" i="71"/>
  <c r="S237" i="71"/>
  <c r="W237" i="71" s="1"/>
  <c r="K237" i="71"/>
  <c r="BA236" i="71"/>
  <c r="AO236" i="71" s="1"/>
  <c r="AN236" i="71"/>
  <c r="AM236" i="71"/>
  <c r="AL236" i="71"/>
  <c r="AK236" i="71"/>
  <c r="AJ236" i="71"/>
  <c r="AB236" i="71"/>
  <c r="S236" i="71"/>
  <c r="W236" i="71" s="1"/>
  <c r="K236" i="71"/>
  <c r="BA235" i="71"/>
  <c r="AO235" i="71" s="1"/>
  <c r="AN235" i="71"/>
  <c r="AM235" i="71"/>
  <c r="AL235" i="71"/>
  <c r="AK235" i="71"/>
  <c r="AJ235" i="71"/>
  <c r="AB235" i="71"/>
  <c r="S235" i="71"/>
  <c r="W235" i="71" s="1"/>
  <c r="K235" i="71"/>
  <c r="BA234" i="71"/>
  <c r="AO234" i="71" s="1"/>
  <c r="AN234" i="71"/>
  <c r="AM234" i="71"/>
  <c r="AL234" i="71"/>
  <c r="AK234" i="71"/>
  <c r="AJ234" i="71"/>
  <c r="AB234" i="71"/>
  <c r="S234" i="71"/>
  <c r="W234" i="71" s="1"/>
  <c r="K234" i="71"/>
  <c r="AN233" i="71"/>
  <c r="AM233" i="71"/>
  <c r="AL233" i="71"/>
  <c r="AK233" i="71"/>
  <c r="AJ233" i="71"/>
  <c r="AB233" i="71"/>
  <c r="S233" i="71"/>
  <c r="W233" i="71" s="1"/>
  <c r="K233" i="71"/>
  <c r="BA232" i="71"/>
  <c r="AO232" i="71" s="1"/>
  <c r="AN232" i="71"/>
  <c r="AM232" i="71"/>
  <c r="AL232" i="71"/>
  <c r="AK232" i="71"/>
  <c r="AJ232" i="71"/>
  <c r="AB232" i="71"/>
  <c r="S232" i="71"/>
  <c r="W232" i="71" s="1"/>
  <c r="K232" i="71"/>
  <c r="BA231" i="71"/>
  <c r="AO231" i="71" s="1"/>
  <c r="AN231" i="71"/>
  <c r="AM231" i="71"/>
  <c r="AL231" i="71"/>
  <c r="AK231" i="71"/>
  <c r="AJ231" i="71"/>
  <c r="AB231" i="71"/>
  <c r="S231" i="71"/>
  <c r="W231" i="71" s="1"/>
  <c r="K231" i="71"/>
  <c r="BA230" i="71"/>
  <c r="AO230" i="71" s="1"/>
  <c r="AN230" i="71"/>
  <c r="AM230" i="71"/>
  <c r="AL230" i="71"/>
  <c r="AK230" i="71"/>
  <c r="AJ230" i="71"/>
  <c r="AB230" i="71"/>
  <c r="S230" i="71"/>
  <c r="W230" i="71" s="1"/>
  <c r="K230" i="71"/>
  <c r="BA229" i="71"/>
  <c r="AO229" i="71" s="1"/>
  <c r="AN229" i="71"/>
  <c r="AM229" i="71"/>
  <c r="AL229" i="71"/>
  <c r="AK229" i="71"/>
  <c r="AJ229" i="71"/>
  <c r="AB229" i="71"/>
  <c r="S229" i="71"/>
  <c r="W229" i="71" s="1"/>
  <c r="K229" i="71"/>
  <c r="BA228" i="71"/>
  <c r="AO228" i="71" s="1"/>
  <c r="AN228" i="71"/>
  <c r="AM228" i="71"/>
  <c r="AL228" i="71"/>
  <c r="AK228" i="71"/>
  <c r="AJ228" i="71"/>
  <c r="AB228" i="71"/>
  <c r="S228" i="71"/>
  <c r="W228" i="71" s="1"/>
  <c r="K228" i="71"/>
  <c r="BA227" i="71"/>
  <c r="AO227" i="71" s="1"/>
  <c r="AN227" i="71"/>
  <c r="AM227" i="71"/>
  <c r="AL227" i="71"/>
  <c r="AK227" i="71"/>
  <c r="AJ227" i="71"/>
  <c r="AB227" i="71"/>
  <c r="S227" i="71"/>
  <c r="W227" i="71" s="1"/>
  <c r="K227" i="71"/>
  <c r="BA226" i="71"/>
  <c r="AO226" i="71" s="1"/>
  <c r="AN226" i="71"/>
  <c r="AM226" i="71"/>
  <c r="AL226" i="71"/>
  <c r="AK226" i="71"/>
  <c r="AJ226" i="71"/>
  <c r="AA226" i="71"/>
  <c r="AB226" i="71" s="1"/>
  <c r="S226" i="71"/>
  <c r="W226" i="71" s="1"/>
  <c r="K226" i="71"/>
  <c r="BA225" i="71"/>
  <c r="AO225" i="71" s="1"/>
  <c r="AN225" i="71"/>
  <c r="AM225" i="71"/>
  <c r="AL225" i="71"/>
  <c r="AK225" i="71"/>
  <c r="AJ225" i="71"/>
  <c r="AA225" i="71"/>
  <c r="AB225" i="71" s="1"/>
  <c r="S225" i="71"/>
  <c r="W225" i="71" s="1"/>
  <c r="K225" i="71"/>
  <c r="BA224" i="71"/>
  <c r="AO224" i="71" s="1"/>
  <c r="AN224" i="71"/>
  <c r="AM224" i="71"/>
  <c r="AL224" i="71"/>
  <c r="AK224" i="71"/>
  <c r="AJ224" i="71"/>
  <c r="AA224" i="71"/>
  <c r="AB224" i="71" s="1"/>
  <c r="S224" i="71"/>
  <c r="W224" i="71" s="1"/>
  <c r="AP224" i="71" s="1"/>
  <c r="K224" i="71"/>
  <c r="BA223" i="71"/>
  <c r="AO223" i="71" s="1"/>
  <c r="AN223" i="71"/>
  <c r="AM223" i="71"/>
  <c r="AL223" i="71"/>
  <c r="AK223" i="71"/>
  <c r="AJ223" i="71"/>
  <c r="AA223" i="71"/>
  <c r="AB223" i="71" s="1"/>
  <c r="S223" i="71"/>
  <c r="W223" i="71" s="1"/>
  <c r="K223" i="71"/>
  <c r="BA222" i="71"/>
  <c r="AO222" i="71" s="1"/>
  <c r="AN222" i="71"/>
  <c r="AM222" i="71"/>
  <c r="AL222" i="71"/>
  <c r="AK222" i="71"/>
  <c r="AJ222" i="71"/>
  <c r="AA222" i="71"/>
  <c r="AB222" i="71" s="1"/>
  <c r="S222" i="71"/>
  <c r="W222" i="71" s="1"/>
  <c r="K222" i="71"/>
  <c r="BA221" i="71"/>
  <c r="AO221" i="71" s="1"/>
  <c r="AN221" i="71"/>
  <c r="AM221" i="71"/>
  <c r="AL221" i="71"/>
  <c r="AK221" i="71"/>
  <c r="AJ221" i="71"/>
  <c r="AA221" i="71"/>
  <c r="AB221" i="71" s="1"/>
  <c r="S221" i="71"/>
  <c r="W221" i="71" s="1"/>
  <c r="K221" i="71"/>
  <c r="BA220" i="71"/>
  <c r="AO220" i="71" s="1"/>
  <c r="AN220" i="71"/>
  <c r="AM220" i="71"/>
  <c r="AL220" i="71"/>
  <c r="AK220" i="71"/>
  <c r="AJ220" i="71"/>
  <c r="AA220" i="71"/>
  <c r="AB220" i="71" s="1"/>
  <c r="S220" i="71"/>
  <c r="W220" i="71" s="1"/>
  <c r="K220" i="71"/>
  <c r="BA219" i="71"/>
  <c r="AO219" i="71" s="1"/>
  <c r="AN219" i="71"/>
  <c r="AM219" i="71"/>
  <c r="AL219" i="71"/>
  <c r="AK219" i="71"/>
  <c r="AJ219" i="71"/>
  <c r="AA219" i="71"/>
  <c r="AB219" i="71" s="1"/>
  <c r="S219" i="71"/>
  <c r="W219" i="71" s="1"/>
  <c r="K219" i="71"/>
  <c r="BA218" i="71"/>
  <c r="AO218" i="71" s="1"/>
  <c r="AN218" i="71"/>
  <c r="AM218" i="71"/>
  <c r="AL218" i="71"/>
  <c r="AK218" i="71"/>
  <c r="AJ218" i="71"/>
  <c r="AA218" i="71"/>
  <c r="AB218" i="71" s="1"/>
  <c r="S218" i="71"/>
  <c r="W218" i="71" s="1"/>
  <c r="K218" i="71"/>
  <c r="BA217" i="71"/>
  <c r="AO217" i="71" s="1"/>
  <c r="AN217" i="71"/>
  <c r="AM217" i="71"/>
  <c r="AL217" i="71"/>
  <c r="AK217" i="71"/>
  <c r="AJ217" i="71"/>
  <c r="AA217" i="71"/>
  <c r="AB217" i="71" s="1"/>
  <c r="S217" i="71"/>
  <c r="W217" i="71" s="1"/>
  <c r="K217" i="71"/>
  <c r="BA216" i="71"/>
  <c r="AO216" i="71" s="1"/>
  <c r="AN216" i="71"/>
  <c r="AM216" i="71"/>
  <c r="AL216" i="71"/>
  <c r="AK216" i="71"/>
  <c r="AJ216" i="71"/>
  <c r="AA216" i="71"/>
  <c r="AB216" i="71" s="1"/>
  <c r="S216" i="71"/>
  <c r="W216" i="71" s="1"/>
  <c r="K216" i="71"/>
  <c r="BA215" i="71"/>
  <c r="AO215" i="71" s="1"/>
  <c r="AN215" i="71"/>
  <c r="AM215" i="71"/>
  <c r="AL215" i="71"/>
  <c r="AK215" i="71"/>
  <c r="AJ215" i="71"/>
  <c r="AA215" i="71"/>
  <c r="AB215" i="71" s="1"/>
  <c r="S215" i="71"/>
  <c r="W215" i="71" s="1"/>
  <c r="K215" i="71"/>
  <c r="BA214" i="71"/>
  <c r="AO214" i="71" s="1"/>
  <c r="AN214" i="71"/>
  <c r="AM214" i="71"/>
  <c r="AL214" i="71"/>
  <c r="AK214" i="71"/>
  <c r="AJ214" i="71"/>
  <c r="AA214" i="71"/>
  <c r="AB214" i="71" s="1"/>
  <c r="S214" i="71"/>
  <c r="W214" i="71" s="1"/>
  <c r="K214" i="71"/>
  <c r="BA213" i="71"/>
  <c r="AO213" i="71" s="1"/>
  <c r="AN213" i="71"/>
  <c r="AM213" i="71"/>
  <c r="AL213" i="71"/>
  <c r="AK213" i="71"/>
  <c r="AJ213" i="71"/>
  <c r="AA213" i="71"/>
  <c r="AB213" i="71" s="1"/>
  <c r="S213" i="71"/>
  <c r="W213" i="71" s="1"/>
  <c r="K213" i="71"/>
  <c r="BA212" i="71"/>
  <c r="AO212" i="71" s="1"/>
  <c r="AN212" i="71"/>
  <c r="AM212" i="71"/>
  <c r="AL212" i="71"/>
  <c r="AK212" i="71"/>
  <c r="AJ212" i="71"/>
  <c r="AA212" i="71"/>
  <c r="AB212" i="71" s="1"/>
  <c r="S212" i="71"/>
  <c r="W212" i="71" s="1"/>
  <c r="K212" i="71"/>
  <c r="BA211" i="71"/>
  <c r="AO211" i="71" s="1"/>
  <c r="AN211" i="71"/>
  <c r="AM211" i="71"/>
  <c r="AL211" i="71"/>
  <c r="AK211" i="71"/>
  <c r="AJ211" i="71"/>
  <c r="AA211" i="71"/>
  <c r="AB211" i="71" s="1"/>
  <c r="S211" i="71"/>
  <c r="W211" i="71" s="1"/>
  <c r="K211" i="71"/>
  <c r="BA210" i="71"/>
  <c r="AO210" i="71" s="1"/>
  <c r="AN210" i="71"/>
  <c r="AM210" i="71"/>
  <c r="AL210" i="71"/>
  <c r="AK210" i="71"/>
  <c r="AJ210" i="71"/>
  <c r="AA210" i="71"/>
  <c r="AB210" i="71" s="1"/>
  <c r="S210" i="71"/>
  <c r="W210" i="71" s="1"/>
  <c r="K210" i="71"/>
  <c r="BA209" i="71"/>
  <c r="AO209" i="71" s="1"/>
  <c r="AN209" i="71"/>
  <c r="AM209" i="71"/>
  <c r="AL209" i="71"/>
  <c r="AK209" i="71"/>
  <c r="AJ209" i="71"/>
  <c r="AA209" i="71"/>
  <c r="AB209" i="71" s="1"/>
  <c r="S209" i="71"/>
  <c r="W209" i="71" s="1"/>
  <c r="K209" i="71"/>
  <c r="BA208" i="71"/>
  <c r="AO208" i="71" s="1"/>
  <c r="AN208" i="71"/>
  <c r="AM208" i="71"/>
  <c r="AL208" i="71"/>
  <c r="AK208" i="71"/>
  <c r="AJ208" i="71"/>
  <c r="AA208" i="71"/>
  <c r="AB208" i="71" s="1"/>
  <c r="S208" i="71"/>
  <c r="W208" i="71" s="1"/>
  <c r="K208" i="71"/>
  <c r="BA207" i="71"/>
  <c r="AO207" i="71" s="1"/>
  <c r="AN207" i="71"/>
  <c r="AM207" i="71"/>
  <c r="AL207" i="71"/>
  <c r="AK207" i="71"/>
  <c r="AJ207" i="71"/>
  <c r="AA207" i="71"/>
  <c r="AB207" i="71" s="1"/>
  <c r="S207" i="71"/>
  <c r="W207" i="71" s="1"/>
  <c r="K207" i="71"/>
  <c r="BA206" i="71"/>
  <c r="AO206" i="71" s="1"/>
  <c r="AN206" i="71"/>
  <c r="AM206" i="71"/>
  <c r="AL206" i="71"/>
  <c r="AK206" i="71"/>
  <c r="AJ206" i="71"/>
  <c r="AA206" i="71"/>
  <c r="AB206" i="71" s="1"/>
  <c r="S206" i="71"/>
  <c r="L206" i="71"/>
  <c r="K206" i="71"/>
  <c r="BA205" i="71"/>
  <c r="AO205" i="71" s="1"/>
  <c r="AN205" i="71"/>
  <c r="AM205" i="71"/>
  <c r="AL205" i="71"/>
  <c r="AK205" i="71"/>
  <c r="AJ205" i="71"/>
  <c r="AA205" i="71"/>
  <c r="AB205" i="71" s="1"/>
  <c r="S205" i="71"/>
  <c r="L205" i="71"/>
  <c r="K205" i="71"/>
  <c r="BA204" i="71"/>
  <c r="AO204" i="71" s="1"/>
  <c r="AN204" i="71"/>
  <c r="AM204" i="71"/>
  <c r="AL204" i="71"/>
  <c r="AK204" i="71"/>
  <c r="AJ204" i="71"/>
  <c r="AA204" i="71"/>
  <c r="AB204" i="71" s="1"/>
  <c r="S204" i="71"/>
  <c r="L204" i="71"/>
  <c r="K204" i="71"/>
  <c r="BA203" i="71"/>
  <c r="AO203" i="71" s="1"/>
  <c r="AN203" i="71"/>
  <c r="AM203" i="71"/>
  <c r="AL203" i="71"/>
  <c r="AK203" i="71"/>
  <c r="AJ203" i="71"/>
  <c r="AA203" i="71"/>
  <c r="AB203" i="71" s="1"/>
  <c r="S203" i="71"/>
  <c r="W203" i="71" s="1"/>
  <c r="K203" i="71"/>
  <c r="BA202" i="71"/>
  <c r="AO202" i="71" s="1"/>
  <c r="AN202" i="71"/>
  <c r="AM202" i="71"/>
  <c r="AL202" i="71"/>
  <c r="AK202" i="71"/>
  <c r="AJ202" i="71"/>
  <c r="AA202" i="71"/>
  <c r="AB202" i="71" s="1"/>
  <c r="S202" i="71"/>
  <c r="W202" i="71" s="1"/>
  <c r="K202" i="71"/>
  <c r="BA201" i="71"/>
  <c r="AO201" i="71" s="1"/>
  <c r="AN201" i="71"/>
  <c r="AM201" i="71"/>
  <c r="AL201" i="71"/>
  <c r="AK201" i="71"/>
  <c r="AJ201" i="71"/>
  <c r="AB201" i="71"/>
  <c r="S201" i="71"/>
  <c r="W201" i="71" s="1"/>
  <c r="K201" i="71"/>
  <c r="BA200" i="71"/>
  <c r="AO200" i="71" s="1"/>
  <c r="AN200" i="71"/>
  <c r="AM200" i="71"/>
  <c r="AL200" i="71"/>
  <c r="AK200" i="71"/>
  <c r="AJ200" i="71"/>
  <c r="AB200" i="71"/>
  <c r="S200" i="71"/>
  <c r="W200" i="71" s="1"/>
  <c r="K200" i="71"/>
  <c r="BA199" i="71"/>
  <c r="AO199" i="71" s="1"/>
  <c r="AN199" i="71"/>
  <c r="AM199" i="71"/>
  <c r="AL199" i="71"/>
  <c r="AK199" i="71"/>
  <c r="AJ199" i="71"/>
  <c r="AB199" i="71"/>
  <c r="S199" i="71"/>
  <c r="W199" i="71" s="1"/>
  <c r="K199" i="71"/>
  <c r="BA198" i="71"/>
  <c r="AO198" i="71" s="1"/>
  <c r="AN198" i="71"/>
  <c r="AM198" i="71"/>
  <c r="AL198" i="71"/>
  <c r="AK198" i="71"/>
  <c r="AJ198" i="71"/>
  <c r="AB198" i="71"/>
  <c r="S198" i="71"/>
  <c r="W198" i="71" s="1"/>
  <c r="K198" i="71"/>
  <c r="BA197" i="71"/>
  <c r="AO197" i="71" s="1"/>
  <c r="AN197" i="71"/>
  <c r="AM197" i="71"/>
  <c r="AL197" i="71"/>
  <c r="AK197" i="71"/>
  <c r="AJ197" i="71"/>
  <c r="AB197" i="71"/>
  <c r="S197" i="71"/>
  <c r="W197" i="71" s="1"/>
  <c r="K197" i="71"/>
  <c r="BA196" i="71"/>
  <c r="AO196" i="71" s="1"/>
  <c r="AN196" i="71"/>
  <c r="AM196" i="71"/>
  <c r="AL196" i="71"/>
  <c r="AK196" i="71"/>
  <c r="AJ196" i="71"/>
  <c r="AB196" i="71"/>
  <c r="S196" i="71"/>
  <c r="W196" i="71" s="1"/>
  <c r="K196" i="71"/>
  <c r="BA195" i="71"/>
  <c r="AO195" i="71" s="1"/>
  <c r="AN195" i="71"/>
  <c r="AM195" i="71"/>
  <c r="AL195" i="71"/>
  <c r="AK195" i="71"/>
  <c r="AJ195" i="71"/>
  <c r="AB195" i="71"/>
  <c r="S195" i="71"/>
  <c r="W195" i="71" s="1"/>
  <c r="K195" i="71"/>
  <c r="BA194" i="71"/>
  <c r="AO194" i="71" s="1"/>
  <c r="AN194" i="71"/>
  <c r="AM194" i="71"/>
  <c r="AL194" i="71"/>
  <c r="AK194" i="71"/>
  <c r="AJ194" i="71"/>
  <c r="AB194" i="71"/>
  <c r="S194" i="71"/>
  <c r="W194" i="71" s="1"/>
  <c r="K194" i="71"/>
  <c r="BA193" i="71"/>
  <c r="AO193" i="71" s="1"/>
  <c r="AN193" i="71"/>
  <c r="AM193" i="71"/>
  <c r="AL193" i="71"/>
  <c r="AK193" i="71"/>
  <c r="AJ193" i="71"/>
  <c r="AB193" i="71"/>
  <c r="S193" i="71"/>
  <c r="W193" i="71" s="1"/>
  <c r="K193" i="71"/>
  <c r="BA192" i="71"/>
  <c r="AO192" i="71" s="1"/>
  <c r="AN192" i="71"/>
  <c r="AM192" i="71"/>
  <c r="AL192" i="71"/>
  <c r="AK192" i="71"/>
  <c r="AJ192" i="71"/>
  <c r="AB192" i="71"/>
  <c r="T192" i="71"/>
  <c r="S192" i="71"/>
  <c r="M192" i="71"/>
  <c r="K192" i="71"/>
  <c r="BA191" i="71"/>
  <c r="AO191" i="71" s="1"/>
  <c r="AN191" i="71"/>
  <c r="AM191" i="71"/>
  <c r="AL191" i="71"/>
  <c r="AK191" i="71"/>
  <c r="AJ191" i="71"/>
  <c r="AB191" i="71"/>
  <c r="T191" i="71"/>
  <c r="S191" i="71"/>
  <c r="M191" i="71"/>
  <c r="K191" i="71"/>
  <c r="BA190" i="71"/>
  <c r="AO190" i="71" s="1"/>
  <c r="AN190" i="71"/>
  <c r="AM190" i="71"/>
  <c r="AL190" i="71"/>
  <c r="AK190" i="71"/>
  <c r="AJ190" i="71"/>
  <c r="AB190" i="71"/>
  <c r="T190" i="71"/>
  <c r="S190" i="71"/>
  <c r="M190" i="71"/>
  <c r="K190" i="71"/>
  <c r="BA189" i="71"/>
  <c r="AO189" i="71" s="1"/>
  <c r="AN189" i="71"/>
  <c r="AM189" i="71"/>
  <c r="AL189" i="71"/>
  <c r="AK189" i="71"/>
  <c r="AJ189" i="71"/>
  <c r="AB189" i="71"/>
  <c r="T189" i="71"/>
  <c r="S189" i="71"/>
  <c r="H189" i="71"/>
  <c r="K189" i="71" s="1"/>
  <c r="BA188" i="71"/>
  <c r="AO188" i="71" s="1"/>
  <c r="AN188" i="71"/>
  <c r="AM188" i="71"/>
  <c r="AL188" i="71"/>
  <c r="AK188" i="71"/>
  <c r="AJ188" i="71"/>
  <c r="AB188" i="71"/>
  <c r="T188" i="71"/>
  <c r="S188" i="71"/>
  <c r="K188" i="71"/>
  <c r="H188" i="71"/>
  <c r="BA187" i="71"/>
  <c r="AO187" i="71" s="1"/>
  <c r="AN187" i="71"/>
  <c r="AM187" i="71"/>
  <c r="AL187" i="71"/>
  <c r="AK187" i="71"/>
  <c r="AJ187" i="71"/>
  <c r="AB187" i="71"/>
  <c r="T187" i="71"/>
  <c r="S187" i="71"/>
  <c r="H187" i="71"/>
  <c r="K187" i="71" s="1"/>
  <c r="BA186" i="71"/>
  <c r="AO186" i="71" s="1"/>
  <c r="AN186" i="71"/>
  <c r="AM186" i="71"/>
  <c r="AL186" i="71"/>
  <c r="AK186" i="71"/>
  <c r="AJ186" i="71"/>
  <c r="AB186" i="71"/>
  <c r="T186" i="71"/>
  <c r="S186" i="71"/>
  <c r="H186" i="71"/>
  <c r="K186" i="71" s="1"/>
  <c r="BA185" i="71"/>
  <c r="AO185" i="71" s="1"/>
  <c r="AN185" i="71"/>
  <c r="AM185" i="71"/>
  <c r="AL185" i="71"/>
  <c r="AK185" i="71"/>
  <c r="AJ185" i="71"/>
  <c r="AB185" i="71"/>
  <c r="T185" i="71"/>
  <c r="S185" i="71"/>
  <c r="H185" i="71"/>
  <c r="K185" i="71" s="1"/>
  <c r="BA184" i="71"/>
  <c r="AO184" i="71" s="1"/>
  <c r="AN184" i="71"/>
  <c r="AM184" i="71"/>
  <c r="AL184" i="71"/>
  <c r="AK184" i="71"/>
  <c r="AJ184" i="71"/>
  <c r="AB184" i="71"/>
  <c r="T184" i="71"/>
  <c r="S184" i="71"/>
  <c r="K184" i="71"/>
  <c r="H184" i="71"/>
  <c r="BA183" i="71"/>
  <c r="AO183" i="71" s="1"/>
  <c r="AN183" i="71"/>
  <c r="AM183" i="71"/>
  <c r="AL183" i="71"/>
  <c r="AK183" i="71"/>
  <c r="AJ183" i="71"/>
  <c r="AB183" i="71"/>
  <c r="T183" i="71"/>
  <c r="S183" i="71"/>
  <c r="H183" i="71"/>
  <c r="K183" i="71" s="1"/>
  <c r="BA182" i="71"/>
  <c r="AO182" i="71" s="1"/>
  <c r="AN182" i="71"/>
  <c r="AM182" i="71"/>
  <c r="AL182" i="71"/>
  <c r="AK182" i="71"/>
  <c r="AJ182" i="71"/>
  <c r="AB182" i="71"/>
  <c r="T182" i="71"/>
  <c r="S182" i="71"/>
  <c r="H182" i="71"/>
  <c r="K182" i="71" s="1"/>
  <c r="BA181" i="71"/>
  <c r="AO181" i="71" s="1"/>
  <c r="AN181" i="71"/>
  <c r="AM181" i="71"/>
  <c r="AL181" i="71"/>
  <c r="AK181" i="71"/>
  <c r="AJ181" i="71"/>
  <c r="AB181" i="71"/>
  <c r="T181" i="71"/>
  <c r="S181" i="71"/>
  <c r="M181" i="71"/>
  <c r="K181" i="71"/>
  <c r="BA180" i="71"/>
  <c r="AO180" i="71" s="1"/>
  <c r="AN180" i="71"/>
  <c r="AM180" i="71"/>
  <c r="AL180" i="71"/>
  <c r="AK180" i="71"/>
  <c r="AJ180" i="71"/>
  <c r="AB180" i="71"/>
  <c r="T180" i="71"/>
  <c r="S180" i="71"/>
  <c r="M180" i="71"/>
  <c r="K180" i="71"/>
  <c r="BA179" i="71"/>
  <c r="AO179" i="71" s="1"/>
  <c r="AN179" i="71"/>
  <c r="AM179" i="71"/>
  <c r="AL179" i="71"/>
  <c r="AK179" i="71"/>
  <c r="AJ179" i="71"/>
  <c r="AB179" i="71"/>
  <c r="T179" i="71"/>
  <c r="S179" i="71"/>
  <c r="M179" i="71"/>
  <c r="K179" i="71"/>
  <c r="BA178" i="71"/>
  <c r="AO178" i="71" s="1"/>
  <c r="AN178" i="71"/>
  <c r="AM178" i="71"/>
  <c r="AL178" i="71"/>
  <c r="AK178" i="71"/>
  <c r="AJ178" i="71"/>
  <c r="AB178" i="71"/>
  <c r="T178" i="71"/>
  <c r="S178" i="71"/>
  <c r="M178" i="71"/>
  <c r="J178" i="71"/>
  <c r="K178" i="71" s="1"/>
  <c r="BA177" i="71"/>
  <c r="AO177" i="71" s="1"/>
  <c r="AN177" i="71"/>
  <c r="AM177" i="71"/>
  <c r="AL177" i="71"/>
  <c r="AK177" i="71"/>
  <c r="AJ177" i="71"/>
  <c r="AB177" i="71"/>
  <c r="T177" i="71"/>
  <c r="S177" i="71"/>
  <c r="M177" i="71"/>
  <c r="K177" i="71"/>
  <c r="BA176" i="71"/>
  <c r="AO176" i="71" s="1"/>
  <c r="AN176" i="71"/>
  <c r="AM176" i="71"/>
  <c r="AL176" i="71"/>
  <c r="AK176" i="71"/>
  <c r="AJ176" i="71"/>
  <c r="AB176" i="71"/>
  <c r="T176" i="71"/>
  <c r="S176" i="71"/>
  <c r="M176" i="71"/>
  <c r="K176" i="71"/>
  <c r="BA175" i="71"/>
  <c r="AO175" i="71" s="1"/>
  <c r="AN175" i="71"/>
  <c r="AM175" i="71"/>
  <c r="AL175" i="71"/>
  <c r="AK175" i="71"/>
  <c r="AJ175" i="71"/>
  <c r="AB175" i="71"/>
  <c r="S175" i="71"/>
  <c r="W175" i="71" s="1"/>
  <c r="K175" i="71"/>
  <c r="BA174" i="71"/>
  <c r="AO174" i="71" s="1"/>
  <c r="AN174" i="71"/>
  <c r="AM174" i="71"/>
  <c r="AL174" i="71"/>
  <c r="AK174" i="71"/>
  <c r="AJ174" i="71"/>
  <c r="AB174" i="71"/>
  <c r="S174" i="71"/>
  <c r="W174" i="71" s="1"/>
  <c r="K174" i="71"/>
  <c r="BA173" i="71"/>
  <c r="AO173" i="71" s="1"/>
  <c r="AN173" i="71"/>
  <c r="AM173" i="71"/>
  <c r="AL173" i="71"/>
  <c r="AK173" i="71"/>
  <c r="AJ173" i="71"/>
  <c r="AB173" i="71"/>
  <c r="T173" i="71"/>
  <c r="S173" i="71"/>
  <c r="K173" i="71"/>
  <c r="BA172" i="71"/>
  <c r="AO172" i="71" s="1"/>
  <c r="AN172" i="71"/>
  <c r="AM172" i="71"/>
  <c r="AL172" i="71"/>
  <c r="AK172" i="71"/>
  <c r="AJ172" i="71"/>
  <c r="AB172" i="71"/>
  <c r="S172" i="71"/>
  <c r="W172" i="71" s="1"/>
  <c r="K172" i="71"/>
  <c r="BA171" i="71"/>
  <c r="AO171" i="71" s="1"/>
  <c r="AN171" i="71"/>
  <c r="AM171" i="71"/>
  <c r="AL171" i="71"/>
  <c r="AK171" i="71"/>
  <c r="AJ171" i="71"/>
  <c r="AB171" i="71"/>
  <c r="T171" i="71"/>
  <c r="W171" i="71" s="1"/>
  <c r="S171" i="71"/>
  <c r="K171" i="71"/>
  <c r="BA170" i="71"/>
  <c r="AO170" i="71" s="1"/>
  <c r="AN170" i="71"/>
  <c r="AM170" i="71"/>
  <c r="AL170" i="71"/>
  <c r="AK170" i="71"/>
  <c r="AJ170" i="71"/>
  <c r="AB170" i="71"/>
  <c r="T170" i="71"/>
  <c r="S170" i="71"/>
  <c r="K170" i="71"/>
  <c r="BA169" i="71"/>
  <c r="AO169" i="71" s="1"/>
  <c r="AN169" i="71"/>
  <c r="AM169" i="71"/>
  <c r="AL169" i="71"/>
  <c r="AK169" i="71"/>
  <c r="AJ169" i="71"/>
  <c r="AB169" i="71"/>
  <c r="T169" i="71"/>
  <c r="S169" i="71"/>
  <c r="K169" i="71"/>
  <c r="BA168" i="71"/>
  <c r="AO168" i="71" s="1"/>
  <c r="AN168" i="71"/>
  <c r="AM168" i="71"/>
  <c r="AL168" i="71"/>
  <c r="AK168" i="71"/>
  <c r="AJ168" i="71"/>
  <c r="AB168" i="71"/>
  <c r="T168" i="71"/>
  <c r="S168" i="71"/>
  <c r="K168" i="71"/>
  <c r="BA167" i="71"/>
  <c r="AO167" i="71" s="1"/>
  <c r="AN167" i="71"/>
  <c r="AM167" i="71"/>
  <c r="AL167" i="71"/>
  <c r="AK167" i="71"/>
  <c r="AJ167" i="71"/>
  <c r="AB167" i="71"/>
  <c r="T167" i="71"/>
  <c r="S167" i="71"/>
  <c r="W167" i="71" s="1"/>
  <c r="K167" i="71"/>
  <c r="BA166" i="71"/>
  <c r="AO166" i="71" s="1"/>
  <c r="AN166" i="71"/>
  <c r="AM166" i="71"/>
  <c r="AL166" i="71"/>
  <c r="AK166" i="71"/>
  <c r="AJ166" i="71"/>
  <c r="AB166" i="71"/>
  <c r="T166" i="71"/>
  <c r="S166" i="71"/>
  <c r="K166" i="71"/>
  <c r="BA165" i="71"/>
  <c r="AO165" i="71" s="1"/>
  <c r="AN165" i="71"/>
  <c r="AM165" i="71"/>
  <c r="AL165" i="71"/>
  <c r="AK165" i="71"/>
  <c r="AJ165" i="71"/>
  <c r="AB165" i="71"/>
  <c r="T165" i="71"/>
  <c r="S165" i="71"/>
  <c r="K165" i="71"/>
  <c r="BA164" i="71"/>
  <c r="AO164" i="71" s="1"/>
  <c r="AN164" i="71"/>
  <c r="AM164" i="71"/>
  <c r="AL164" i="71"/>
  <c r="AK164" i="71"/>
  <c r="AJ164" i="71"/>
  <c r="AB164" i="71"/>
  <c r="T164" i="71"/>
  <c r="S164" i="71"/>
  <c r="K164" i="71"/>
  <c r="AN163" i="71"/>
  <c r="AM163" i="71"/>
  <c r="AL163" i="71"/>
  <c r="AK163" i="71"/>
  <c r="AJ163" i="71"/>
  <c r="AB163" i="71"/>
  <c r="T163" i="71"/>
  <c r="R163" i="71"/>
  <c r="S163" i="71" s="1"/>
  <c r="H163" i="71"/>
  <c r="K163" i="71" s="1"/>
  <c r="BA162" i="71"/>
  <c r="AO162" i="71" s="1"/>
  <c r="AN162" i="71"/>
  <c r="AM162" i="71"/>
  <c r="AL162" i="71"/>
  <c r="AK162" i="71"/>
  <c r="AJ162" i="71"/>
  <c r="AB162" i="71"/>
  <c r="T162" i="71"/>
  <c r="R162" i="71"/>
  <c r="S162" i="71" s="1"/>
  <c r="H162" i="71"/>
  <c r="K162" i="71" s="1"/>
  <c r="BA161" i="71"/>
  <c r="AO161" i="71" s="1"/>
  <c r="AN161" i="71"/>
  <c r="AM161" i="71"/>
  <c r="AL161" i="71"/>
  <c r="AK161" i="71"/>
  <c r="AJ161" i="71"/>
  <c r="AB161" i="71"/>
  <c r="T161" i="71"/>
  <c r="R161" i="71"/>
  <c r="S161" i="71" s="1"/>
  <c r="H161" i="71"/>
  <c r="K161" i="71" s="1"/>
  <c r="BA160" i="71"/>
  <c r="AO160" i="71" s="1"/>
  <c r="AN160" i="71"/>
  <c r="AM160" i="71"/>
  <c r="AL160" i="71"/>
  <c r="AK160" i="71"/>
  <c r="AJ160" i="71"/>
  <c r="AB160" i="71"/>
  <c r="T160" i="71"/>
  <c r="R160" i="71"/>
  <c r="S160" i="71" s="1"/>
  <c r="W160" i="71" s="1"/>
  <c r="H160" i="71"/>
  <c r="K160" i="71" s="1"/>
  <c r="AN159" i="71"/>
  <c r="AM159" i="71"/>
  <c r="AL159" i="71"/>
  <c r="AK159" i="71"/>
  <c r="AJ159" i="71"/>
  <c r="AB159" i="71"/>
  <c r="T159" i="71"/>
  <c r="R159" i="71"/>
  <c r="S159" i="71" s="1"/>
  <c r="W159" i="71" s="1"/>
  <c r="H159" i="71"/>
  <c r="K159" i="71" s="1"/>
  <c r="AN158" i="71"/>
  <c r="AM158" i="71"/>
  <c r="AL158" i="71"/>
  <c r="AK158" i="71"/>
  <c r="AJ158" i="71"/>
  <c r="AB158" i="71"/>
  <c r="T158" i="71"/>
  <c r="R158" i="71"/>
  <c r="S158" i="71" s="1"/>
  <c r="W158" i="71" s="1"/>
  <c r="H158" i="71"/>
  <c r="K158" i="71" s="1"/>
  <c r="AN157" i="71"/>
  <c r="AM157" i="71"/>
  <c r="AL157" i="71"/>
  <c r="AK157" i="71"/>
  <c r="AJ157" i="71"/>
  <c r="AB157" i="71"/>
  <c r="T157" i="71"/>
  <c r="R157" i="71"/>
  <c r="S157" i="71" s="1"/>
  <c r="W157" i="71" s="1"/>
  <c r="H157" i="71"/>
  <c r="K157" i="71" s="1"/>
  <c r="BA156" i="71"/>
  <c r="AO156" i="71" s="1"/>
  <c r="AN156" i="71"/>
  <c r="AM156" i="71"/>
  <c r="AL156" i="71"/>
  <c r="AK156" i="71"/>
  <c r="AJ156" i="71"/>
  <c r="AB156" i="71"/>
  <c r="T156" i="71"/>
  <c r="R156" i="71"/>
  <c r="S156" i="71" s="1"/>
  <c r="H156" i="71"/>
  <c r="K156" i="71" s="1"/>
  <c r="BA155" i="71"/>
  <c r="AO155" i="71" s="1"/>
  <c r="AN155" i="71"/>
  <c r="AM155" i="71"/>
  <c r="AL155" i="71"/>
  <c r="AK155" i="71"/>
  <c r="AJ155" i="71"/>
  <c r="AB155" i="71"/>
  <c r="T155" i="71"/>
  <c r="R155" i="71"/>
  <c r="S155" i="71" s="1"/>
  <c r="H155" i="71"/>
  <c r="K155" i="71" s="1"/>
  <c r="BA154" i="71"/>
  <c r="AO154" i="71" s="1"/>
  <c r="AN154" i="71"/>
  <c r="AM154" i="71"/>
  <c r="AL154" i="71"/>
  <c r="AK154" i="71"/>
  <c r="AJ154" i="71"/>
  <c r="AB154" i="71"/>
  <c r="T154" i="71"/>
  <c r="R154" i="71"/>
  <c r="S154" i="71" s="1"/>
  <c r="H154" i="71"/>
  <c r="K154" i="71" s="1"/>
  <c r="AN153" i="71"/>
  <c r="AM153" i="71"/>
  <c r="AL153" i="71"/>
  <c r="AK153" i="71"/>
  <c r="AJ153" i="71"/>
  <c r="AB153" i="71"/>
  <c r="T153" i="71"/>
  <c r="R153" i="71"/>
  <c r="S153" i="71" s="1"/>
  <c r="W153" i="71" s="1"/>
  <c r="H153" i="71"/>
  <c r="K153" i="71" s="1"/>
  <c r="AN152" i="71"/>
  <c r="AM152" i="71"/>
  <c r="AL152" i="71"/>
  <c r="AK152" i="71"/>
  <c r="AJ152" i="71"/>
  <c r="AB152" i="71"/>
  <c r="T152" i="71"/>
  <c r="R152" i="71"/>
  <c r="S152" i="71" s="1"/>
  <c r="H152" i="71"/>
  <c r="K152" i="71" s="1"/>
  <c r="AN151" i="71"/>
  <c r="AM151" i="71"/>
  <c r="AL151" i="71"/>
  <c r="AK151" i="71"/>
  <c r="AJ151" i="71"/>
  <c r="AB151" i="71"/>
  <c r="T151" i="71"/>
  <c r="R151" i="71"/>
  <c r="S151" i="71" s="1"/>
  <c r="W151" i="71" s="1"/>
  <c r="H151" i="71"/>
  <c r="K151" i="71" s="1"/>
  <c r="AN150" i="71"/>
  <c r="AM150" i="71"/>
  <c r="AL150" i="71"/>
  <c r="AK150" i="71"/>
  <c r="AJ150" i="71"/>
  <c r="AB150" i="71"/>
  <c r="T150" i="71"/>
  <c r="R150" i="71"/>
  <c r="S150" i="71" s="1"/>
  <c r="H150" i="71"/>
  <c r="K150" i="71" s="1"/>
  <c r="BA149" i="71"/>
  <c r="AO149" i="71" s="1"/>
  <c r="AN149" i="71"/>
  <c r="AM149" i="71"/>
  <c r="AL149" i="71"/>
  <c r="AK149" i="71"/>
  <c r="AJ149" i="71"/>
  <c r="AB149" i="71"/>
  <c r="T149" i="71"/>
  <c r="R149" i="71"/>
  <c r="S149" i="71" s="1"/>
  <c r="H149" i="71"/>
  <c r="K149" i="71" s="1"/>
  <c r="BA148" i="71"/>
  <c r="AO148" i="71" s="1"/>
  <c r="AN148" i="71"/>
  <c r="AM148" i="71"/>
  <c r="AL148" i="71"/>
  <c r="AK148" i="71"/>
  <c r="AJ148" i="71"/>
  <c r="AB148" i="71"/>
  <c r="T148" i="71"/>
  <c r="R148" i="71"/>
  <c r="S148" i="71" s="1"/>
  <c r="O148" i="71"/>
  <c r="H148" i="71"/>
  <c r="K148" i="71" s="1"/>
  <c r="BA147" i="71"/>
  <c r="AO147" i="71" s="1"/>
  <c r="AN147" i="71"/>
  <c r="AM147" i="71"/>
  <c r="AL147" i="71"/>
  <c r="AK147" i="71"/>
  <c r="AJ147" i="71"/>
  <c r="AB147" i="71"/>
  <c r="T147" i="71"/>
  <c r="R147" i="71"/>
  <c r="S147" i="71" s="1"/>
  <c r="L147" i="71"/>
  <c r="H147" i="71"/>
  <c r="K147" i="71" s="1"/>
  <c r="BA146" i="71"/>
  <c r="AO146" i="71" s="1"/>
  <c r="AN146" i="71"/>
  <c r="AM146" i="71"/>
  <c r="AL146" i="71"/>
  <c r="AK146" i="71"/>
  <c r="AJ146" i="71"/>
  <c r="AB146" i="71"/>
  <c r="T146" i="71"/>
  <c r="S146" i="71"/>
  <c r="K146" i="71"/>
  <c r="BA145" i="71"/>
  <c r="AO145" i="71" s="1"/>
  <c r="AN145" i="71"/>
  <c r="AM145" i="71"/>
  <c r="AL145" i="71"/>
  <c r="AK145" i="71"/>
  <c r="AJ145" i="71"/>
  <c r="AB145" i="71"/>
  <c r="T145" i="71"/>
  <c r="S145" i="71"/>
  <c r="K145" i="71"/>
  <c r="BA144" i="71"/>
  <c r="AO144" i="71" s="1"/>
  <c r="AN144" i="71"/>
  <c r="AM144" i="71"/>
  <c r="AL144" i="71"/>
  <c r="AK144" i="71"/>
  <c r="AJ144" i="71"/>
  <c r="AB144" i="71"/>
  <c r="T144" i="71"/>
  <c r="S144" i="71"/>
  <c r="K144" i="71"/>
  <c r="BA143" i="71"/>
  <c r="AO143" i="71" s="1"/>
  <c r="AN143" i="71"/>
  <c r="AM143" i="71"/>
  <c r="AL143" i="71"/>
  <c r="AK143" i="71"/>
  <c r="AJ143" i="71"/>
  <c r="AB143" i="71"/>
  <c r="T143" i="71"/>
  <c r="S143" i="71"/>
  <c r="K143" i="71"/>
  <c r="BA142" i="71"/>
  <c r="AO142" i="71" s="1"/>
  <c r="AN142" i="71"/>
  <c r="AM142" i="71"/>
  <c r="AL142" i="71"/>
  <c r="AK142" i="71"/>
  <c r="AJ142" i="71"/>
  <c r="AB142" i="71"/>
  <c r="T142" i="71"/>
  <c r="S142" i="71"/>
  <c r="K142" i="71"/>
  <c r="BA141" i="71"/>
  <c r="AO141" i="71" s="1"/>
  <c r="AN141" i="71"/>
  <c r="AM141" i="71"/>
  <c r="AL141" i="71"/>
  <c r="AK141" i="71"/>
  <c r="AJ141" i="71"/>
  <c r="AB141" i="71"/>
  <c r="T141" i="71"/>
  <c r="S141" i="71"/>
  <c r="K141" i="71"/>
  <c r="BA140" i="71"/>
  <c r="AO140" i="71" s="1"/>
  <c r="AN140" i="71"/>
  <c r="AM140" i="71"/>
  <c r="AL140" i="71"/>
  <c r="AK140" i="71"/>
  <c r="AJ140" i="71"/>
  <c r="AB140" i="71"/>
  <c r="T140" i="71"/>
  <c r="S140" i="71"/>
  <c r="K140" i="71"/>
  <c r="BA139" i="71"/>
  <c r="AO139" i="71" s="1"/>
  <c r="AN139" i="71"/>
  <c r="AM139" i="71"/>
  <c r="AL139" i="71"/>
  <c r="AK139" i="71"/>
  <c r="AJ139" i="71"/>
  <c r="AB139" i="71"/>
  <c r="T139" i="71"/>
  <c r="S139" i="71"/>
  <c r="J139" i="71"/>
  <c r="K139" i="71" s="1"/>
  <c r="BA138" i="71"/>
  <c r="AO138" i="71" s="1"/>
  <c r="AN138" i="71"/>
  <c r="AM138" i="71"/>
  <c r="AL138" i="71"/>
  <c r="AK138" i="71"/>
  <c r="AJ138" i="71"/>
  <c r="AB138" i="71"/>
  <c r="T138" i="71"/>
  <c r="S138" i="71"/>
  <c r="J138" i="71"/>
  <c r="K138" i="71" s="1"/>
  <c r="BA137" i="71"/>
  <c r="AO137" i="71" s="1"/>
  <c r="AN137" i="71"/>
  <c r="AM137" i="71"/>
  <c r="AL137" i="71"/>
  <c r="AK137" i="71"/>
  <c r="AJ137" i="71"/>
  <c r="AB137" i="71"/>
  <c r="T137" i="71"/>
  <c r="S137" i="71"/>
  <c r="K137" i="71"/>
  <c r="BA136" i="71"/>
  <c r="AO136" i="71" s="1"/>
  <c r="AN136" i="71"/>
  <c r="AM136" i="71"/>
  <c r="AL136" i="71"/>
  <c r="AK136" i="71"/>
  <c r="AJ136" i="71"/>
  <c r="AB136" i="71"/>
  <c r="T136" i="71"/>
  <c r="S136" i="71"/>
  <c r="K136" i="71"/>
  <c r="BA135" i="71"/>
  <c r="AO135" i="71" s="1"/>
  <c r="AN135" i="71"/>
  <c r="AM135" i="71"/>
  <c r="AL135" i="71"/>
  <c r="AK135" i="71"/>
  <c r="AJ135" i="71"/>
  <c r="AB135" i="71"/>
  <c r="T135" i="71"/>
  <c r="S135" i="71"/>
  <c r="K135" i="71"/>
  <c r="BA134" i="71"/>
  <c r="AO134" i="71" s="1"/>
  <c r="AN134" i="71"/>
  <c r="AM134" i="71"/>
  <c r="AL134" i="71"/>
  <c r="AK134" i="71"/>
  <c r="AJ134" i="71"/>
  <c r="AB134" i="71"/>
  <c r="T134" i="71"/>
  <c r="S134" i="71"/>
  <c r="K134" i="71"/>
  <c r="J134" i="71"/>
  <c r="BA133" i="71"/>
  <c r="AO133" i="71" s="1"/>
  <c r="AN133" i="71"/>
  <c r="AM133" i="71"/>
  <c r="AL133" i="71"/>
  <c r="AK133" i="71"/>
  <c r="AJ133" i="71"/>
  <c r="AB133" i="71"/>
  <c r="T133" i="71"/>
  <c r="S133" i="71"/>
  <c r="W133" i="71" s="1"/>
  <c r="K133" i="71"/>
  <c r="BA132" i="71"/>
  <c r="AO132" i="71" s="1"/>
  <c r="AN132" i="71"/>
  <c r="AM132" i="71"/>
  <c r="AL132" i="71"/>
  <c r="AK132" i="71"/>
  <c r="AJ132" i="71"/>
  <c r="AB132" i="71"/>
  <c r="T132" i="71"/>
  <c r="S132" i="71"/>
  <c r="K132" i="71"/>
  <c r="BA131" i="71"/>
  <c r="AO131" i="71" s="1"/>
  <c r="AN131" i="71"/>
  <c r="AM131" i="71"/>
  <c r="AL131" i="71"/>
  <c r="AK131" i="71"/>
  <c r="AJ131" i="71"/>
  <c r="AB131" i="71"/>
  <c r="W131" i="71"/>
  <c r="T131" i="71"/>
  <c r="S131" i="71"/>
  <c r="K131" i="71"/>
  <c r="BA130" i="71"/>
  <c r="AO130" i="71" s="1"/>
  <c r="AN130" i="71"/>
  <c r="AM130" i="71"/>
  <c r="AL130" i="71"/>
  <c r="AK130" i="71"/>
  <c r="AJ130" i="71"/>
  <c r="AB130" i="71"/>
  <c r="T130" i="71"/>
  <c r="S130" i="71"/>
  <c r="K130" i="71"/>
  <c r="BA129" i="71"/>
  <c r="AO129" i="71" s="1"/>
  <c r="AN129" i="71"/>
  <c r="AM129" i="71"/>
  <c r="AL129" i="71"/>
  <c r="AK129" i="71"/>
  <c r="AJ129" i="71"/>
  <c r="AB129" i="71"/>
  <c r="S129" i="71"/>
  <c r="W129" i="71" s="1"/>
  <c r="K129" i="71"/>
  <c r="BA128" i="71"/>
  <c r="AO128" i="71" s="1"/>
  <c r="AN128" i="71"/>
  <c r="AM128" i="71"/>
  <c r="AL128" i="71"/>
  <c r="AK128" i="71"/>
  <c r="AJ128" i="71"/>
  <c r="AB128" i="71"/>
  <c r="S128" i="71"/>
  <c r="W128" i="71" s="1"/>
  <c r="K128" i="71"/>
  <c r="BA127" i="71"/>
  <c r="AO127" i="71" s="1"/>
  <c r="AN127" i="71"/>
  <c r="AM127" i="71"/>
  <c r="AL127" i="71"/>
  <c r="AK127" i="71"/>
  <c r="AJ127" i="71"/>
  <c r="AB127" i="71"/>
  <c r="S127" i="71"/>
  <c r="W127" i="71" s="1"/>
  <c r="K127" i="71"/>
  <c r="BA126" i="71"/>
  <c r="AO126" i="71" s="1"/>
  <c r="AN126" i="71"/>
  <c r="AM126" i="71"/>
  <c r="AL126" i="71"/>
  <c r="AK126" i="71"/>
  <c r="AJ126" i="71"/>
  <c r="AB126" i="71"/>
  <c r="S126" i="71"/>
  <c r="W126" i="71" s="1"/>
  <c r="K126" i="71"/>
  <c r="BA125" i="71"/>
  <c r="AO125" i="71" s="1"/>
  <c r="AN125" i="71"/>
  <c r="AM125" i="71"/>
  <c r="AL125" i="71"/>
  <c r="AK125" i="71"/>
  <c r="AJ125" i="71"/>
  <c r="AB125" i="71"/>
  <c r="S125" i="71"/>
  <c r="W125" i="71" s="1"/>
  <c r="K125" i="71"/>
  <c r="BA124" i="71"/>
  <c r="AO124" i="71" s="1"/>
  <c r="AN124" i="71"/>
  <c r="AM124" i="71"/>
  <c r="AL124" i="71"/>
  <c r="AK124" i="71"/>
  <c r="AJ124" i="71"/>
  <c r="AB124" i="71"/>
  <c r="S124" i="71"/>
  <c r="W124" i="71" s="1"/>
  <c r="K124" i="71"/>
  <c r="BA123" i="71"/>
  <c r="AO123" i="71" s="1"/>
  <c r="AN123" i="71"/>
  <c r="AM123" i="71"/>
  <c r="AL123" i="71"/>
  <c r="AK123" i="71"/>
  <c r="AJ123" i="71"/>
  <c r="AB123" i="71"/>
  <c r="S123" i="71"/>
  <c r="W123" i="71" s="1"/>
  <c r="K123" i="71"/>
  <c r="AN122" i="71"/>
  <c r="AM122" i="71"/>
  <c r="AL122" i="71"/>
  <c r="AK122" i="71"/>
  <c r="AJ122" i="71"/>
  <c r="AB122" i="71"/>
  <c r="S122" i="71"/>
  <c r="W122" i="71" s="1"/>
  <c r="K122" i="71"/>
  <c r="BA121" i="71"/>
  <c r="AO121" i="71" s="1"/>
  <c r="AN121" i="71"/>
  <c r="AM121" i="71"/>
  <c r="AL121" i="71"/>
  <c r="AK121" i="71"/>
  <c r="AJ121" i="71"/>
  <c r="AB121" i="71"/>
  <c r="S121" i="71"/>
  <c r="W121" i="71" s="1"/>
  <c r="K121" i="71"/>
  <c r="BA120" i="71"/>
  <c r="AO120" i="71" s="1"/>
  <c r="AN120" i="71"/>
  <c r="AM120" i="71"/>
  <c r="AL120" i="71"/>
  <c r="AK120" i="71"/>
  <c r="AJ120" i="71"/>
  <c r="AB120" i="71"/>
  <c r="S120" i="71"/>
  <c r="W120" i="71" s="1"/>
  <c r="K120" i="71"/>
  <c r="BA119" i="71"/>
  <c r="AO119" i="71" s="1"/>
  <c r="AN119" i="71"/>
  <c r="AM119" i="71"/>
  <c r="AL119" i="71"/>
  <c r="AK119" i="71"/>
  <c r="AJ119" i="71"/>
  <c r="AB119" i="71"/>
  <c r="S119" i="71"/>
  <c r="W119" i="71" s="1"/>
  <c r="K119" i="71"/>
  <c r="BA118" i="71"/>
  <c r="AO118" i="71" s="1"/>
  <c r="AN118" i="71"/>
  <c r="AM118" i="71"/>
  <c r="AL118" i="71"/>
  <c r="AK118" i="71"/>
  <c r="AJ118" i="71"/>
  <c r="AB118" i="71"/>
  <c r="S118" i="71"/>
  <c r="W118" i="71" s="1"/>
  <c r="K118" i="71"/>
  <c r="BA117" i="71"/>
  <c r="AO117" i="71" s="1"/>
  <c r="AN117" i="71"/>
  <c r="AM117" i="71"/>
  <c r="AL117" i="71"/>
  <c r="AK117" i="71"/>
  <c r="AJ117" i="71"/>
  <c r="AB117" i="71"/>
  <c r="U117" i="71"/>
  <c r="T117" i="71"/>
  <c r="S117" i="71"/>
  <c r="J117" i="71"/>
  <c r="H117" i="71"/>
  <c r="K117" i="71" s="1"/>
  <c r="BA116" i="71"/>
  <c r="AO116" i="71" s="1"/>
  <c r="AN116" i="71"/>
  <c r="AM116" i="71"/>
  <c r="AL116" i="71"/>
  <c r="AK116" i="71"/>
  <c r="AJ116" i="71"/>
  <c r="AB116" i="71"/>
  <c r="S116" i="71"/>
  <c r="W116" i="71" s="1"/>
  <c r="K116" i="71"/>
  <c r="BA115" i="71"/>
  <c r="AO115" i="71" s="1"/>
  <c r="AN115" i="71"/>
  <c r="AM115" i="71"/>
  <c r="AL115" i="71"/>
  <c r="AK115" i="71"/>
  <c r="AJ115" i="71"/>
  <c r="AB115" i="71"/>
  <c r="S115" i="71"/>
  <c r="W115" i="71" s="1"/>
  <c r="K115" i="71"/>
  <c r="BA114" i="71"/>
  <c r="AO114" i="71" s="1"/>
  <c r="AN114" i="71"/>
  <c r="AP114" i="71" s="1"/>
  <c r="AM114" i="71"/>
  <c r="AL114" i="71"/>
  <c r="AK114" i="71"/>
  <c r="K114" i="71"/>
  <c r="BA113" i="71"/>
  <c r="AO113" i="71" s="1"/>
  <c r="AN113" i="71"/>
  <c r="AM113" i="71"/>
  <c r="AL113" i="71"/>
  <c r="AK113" i="71"/>
  <c r="AJ113" i="71"/>
  <c r="AB113" i="71"/>
  <c r="S113" i="71"/>
  <c r="W113" i="71" s="1"/>
  <c r="K113" i="71"/>
  <c r="BA112" i="71"/>
  <c r="AO112" i="71" s="1"/>
  <c r="AN112" i="71"/>
  <c r="AM112" i="71"/>
  <c r="AL112" i="71"/>
  <c r="AK112" i="71"/>
  <c r="AJ112" i="71"/>
  <c r="AB112" i="71"/>
  <c r="S112" i="71"/>
  <c r="W112" i="71" s="1"/>
  <c r="K112" i="71"/>
  <c r="BA111" i="71"/>
  <c r="AO111" i="71" s="1"/>
  <c r="AN111" i="71"/>
  <c r="AM111" i="71"/>
  <c r="AL111" i="71"/>
  <c r="AK111" i="71"/>
  <c r="AJ111" i="71"/>
  <c r="AB111" i="71"/>
  <c r="S111" i="71"/>
  <c r="W111" i="71" s="1"/>
  <c r="K111" i="71"/>
  <c r="BA110" i="71"/>
  <c r="AO110" i="71" s="1"/>
  <c r="AN110" i="71"/>
  <c r="AM110" i="71"/>
  <c r="AL110" i="71"/>
  <c r="AK110" i="71"/>
  <c r="AJ110" i="71"/>
  <c r="AB110" i="71"/>
  <c r="S110" i="71"/>
  <c r="W110" i="71" s="1"/>
  <c r="K110" i="71"/>
  <c r="BA109" i="71"/>
  <c r="AO109" i="71" s="1"/>
  <c r="AN109" i="71"/>
  <c r="AM109" i="71"/>
  <c r="AL109" i="71"/>
  <c r="AK109" i="71"/>
  <c r="AJ109" i="71"/>
  <c r="AB109" i="71"/>
  <c r="S109" i="71"/>
  <c r="W109" i="71" s="1"/>
  <c r="K109" i="71"/>
  <c r="BA108" i="71"/>
  <c r="AO108" i="71" s="1"/>
  <c r="AN108" i="71"/>
  <c r="AM108" i="71"/>
  <c r="AL108" i="71"/>
  <c r="AK108" i="71"/>
  <c r="AI108" i="71"/>
  <c r="AG108" i="71"/>
  <c r="AA108" i="71"/>
  <c r="AB108" i="71" s="1"/>
  <c r="V108" i="71"/>
  <c r="U108" i="71"/>
  <c r="S108" i="71"/>
  <c r="K108" i="71"/>
  <c r="BB107" i="71"/>
  <c r="BA107" i="71"/>
  <c r="AO107" i="71" s="1"/>
  <c r="AN107" i="71"/>
  <c r="AM107" i="71"/>
  <c r="AL107" i="71"/>
  <c r="AK107" i="71"/>
  <c r="AJ107" i="71"/>
  <c r="AB107" i="71"/>
  <c r="S107" i="71"/>
  <c r="W107" i="71" s="1"/>
  <c r="K107" i="71"/>
  <c r="BA106" i="71"/>
  <c r="AO106" i="71" s="1"/>
  <c r="AN106" i="71"/>
  <c r="AM106" i="71"/>
  <c r="AL106" i="71"/>
  <c r="AK106" i="71"/>
  <c r="AJ106" i="71"/>
  <c r="AB106" i="71"/>
  <c r="S106" i="71"/>
  <c r="W106" i="71" s="1"/>
  <c r="K106" i="71"/>
  <c r="BA105" i="71"/>
  <c r="AO105" i="71" s="1"/>
  <c r="AN105" i="71"/>
  <c r="AM105" i="71"/>
  <c r="AL105" i="71"/>
  <c r="AK105" i="71"/>
  <c r="AJ105" i="71"/>
  <c r="AB105" i="71"/>
  <c r="S105" i="71"/>
  <c r="W105" i="71" s="1"/>
  <c r="K105" i="71"/>
  <c r="BA104" i="71"/>
  <c r="AO104" i="71" s="1"/>
  <c r="AN104" i="71"/>
  <c r="AM104" i="71"/>
  <c r="AL104" i="71"/>
  <c r="AK104" i="71"/>
  <c r="AJ104" i="71"/>
  <c r="AB104" i="71"/>
  <c r="S104" i="71"/>
  <c r="W104" i="71" s="1"/>
  <c r="K104" i="71"/>
  <c r="BA103" i="71"/>
  <c r="AO103" i="71" s="1"/>
  <c r="AN103" i="71"/>
  <c r="AM103" i="71"/>
  <c r="AL103" i="71"/>
  <c r="AK103" i="71"/>
  <c r="AJ103" i="71"/>
  <c r="AB103" i="71"/>
  <c r="S103" i="71"/>
  <c r="W103" i="71" s="1"/>
  <c r="K103" i="71"/>
  <c r="BA102" i="71"/>
  <c r="AO102" i="71" s="1"/>
  <c r="AN102" i="71"/>
  <c r="AM102" i="71"/>
  <c r="AL102" i="71"/>
  <c r="AK102" i="71"/>
  <c r="AJ102" i="71"/>
  <c r="AB102" i="71"/>
  <c r="S102" i="71"/>
  <c r="W102" i="71" s="1"/>
  <c r="K102" i="71"/>
  <c r="BA101" i="71"/>
  <c r="AO101" i="71" s="1"/>
  <c r="AN101" i="71"/>
  <c r="AM101" i="71"/>
  <c r="AL101" i="71"/>
  <c r="AK101" i="71"/>
  <c r="AJ101" i="71"/>
  <c r="AB101" i="71"/>
  <c r="S101" i="71"/>
  <c r="W101" i="71" s="1"/>
  <c r="K101" i="71"/>
  <c r="BA100" i="71"/>
  <c r="AO100" i="71" s="1"/>
  <c r="AN100" i="71"/>
  <c r="AM100" i="71"/>
  <c r="AL100" i="71"/>
  <c r="AK100" i="71"/>
  <c r="AJ100" i="71"/>
  <c r="AB100" i="71"/>
  <c r="S100" i="71"/>
  <c r="W100" i="71" s="1"/>
  <c r="K100" i="71"/>
  <c r="BA99" i="71"/>
  <c r="AO99" i="71" s="1"/>
  <c r="AN99" i="71"/>
  <c r="AM99" i="71"/>
  <c r="AL99" i="71"/>
  <c r="AK99" i="71"/>
  <c r="AJ99" i="71"/>
  <c r="AB99" i="71"/>
  <c r="S99" i="71"/>
  <c r="W99" i="71" s="1"/>
  <c r="K99" i="71"/>
  <c r="BA98" i="71"/>
  <c r="AO98" i="71" s="1"/>
  <c r="AN98" i="71"/>
  <c r="AM98" i="71"/>
  <c r="AL98" i="71"/>
  <c r="AK98" i="71"/>
  <c r="AJ98" i="71"/>
  <c r="AB98" i="71"/>
  <c r="S98" i="71"/>
  <c r="W98" i="71" s="1"/>
  <c r="K98" i="71"/>
  <c r="BA97" i="71"/>
  <c r="AO97" i="71" s="1"/>
  <c r="AN97" i="71"/>
  <c r="AM97" i="71"/>
  <c r="AL97" i="71"/>
  <c r="AK97" i="71"/>
  <c r="AJ97" i="71"/>
  <c r="AB97" i="71"/>
  <c r="S97" i="71"/>
  <c r="W97" i="71" s="1"/>
  <c r="K97" i="71"/>
  <c r="BA96" i="71"/>
  <c r="AO96" i="71" s="1"/>
  <c r="AN96" i="71"/>
  <c r="AM96" i="71"/>
  <c r="AL96" i="71"/>
  <c r="AK96" i="71"/>
  <c r="AJ96" i="71"/>
  <c r="AB96" i="71"/>
  <c r="S96" i="71"/>
  <c r="W96" i="71" s="1"/>
  <c r="K96" i="71"/>
  <c r="BA95" i="71"/>
  <c r="AO95" i="71" s="1"/>
  <c r="AN95" i="71"/>
  <c r="AM95" i="71"/>
  <c r="AL95" i="71"/>
  <c r="AK95" i="71"/>
  <c r="AJ95" i="71"/>
  <c r="AB95" i="71"/>
  <c r="S95" i="71"/>
  <c r="W95" i="71" s="1"/>
  <c r="K95" i="71"/>
  <c r="BA94" i="71"/>
  <c r="AO94" i="71" s="1"/>
  <c r="AN94" i="71"/>
  <c r="AM94" i="71"/>
  <c r="AL94" i="71"/>
  <c r="AK94" i="71"/>
  <c r="AJ94" i="71"/>
  <c r="AB94" i="71"/>
  <c r="S94" i="71"/>
  <c r="W94" i="71" s="1"/>
  <c r="K94" i="71"/>
  <c r="BA93" i="71"/>
  <c r="AO93" i="71" s="1"/>
  <c r="AN93" i="71"/>
  <c r="AM93" i="71"/>
  <c r="AL93" i="71"/>
  <c r="AK93" i="71"/>
  <c r="AJ93" i="71"/>
  <c r="AB93" i="71"/>
  <c r="S93" i="71"/>
  <c r="W93" i="71" s="1"/>
  <c r="K93" i="71"/>
  <c r="BA92" i="71"/>
  <c r="AO92" i="71" s="1"/>
  <c r="AN92" i="71"/>
  <c r="AM92" i="71"/>
  <c r="AL92" i="71"/>
  <c r="AK92" i="71"/>
  <c r="AJ92" i="71"/>
  <c r="AB92" i="71"/>
  <c r="S92" i="71"/>
  <c r="W92" i="71" s="1"/>
  <c r="K92" i="71"/>
  <c r="BA91" i="71"/>
  <c r="AO91" i="71" s="1"/>
  <c r="AN91" i="71"/>
  <c r="AM91" i="71"/>
  <c r="AL91" i="71"/>
  <c r="AK91" i="71"/>
  <c r="AJ91" i="71"/>
  <c r="AB91" i="71"/>
  <c r="S91" i="71"/>
  <c r="W91" i="71" s="1"/>
  <c r="K91" i="71"/>
  <c r="BA90" i="71"/>
  <c r="AO90" i="71" s="1"/>
  <c r="AN90" i="71"/>
  <c r="AM90" i="71"/>
  <c r="AL90" i="71"/>
  <c r="AK90" i="71"/>
  <c r="AJ90" i="71"/>
  <c r="AB90" i="71"/>
  <c r="S90" i="71"/>
  <c r="W90" i="71" s="1"/>
  <c r="K90" i="71"/>
  <c r="AN89" i="71"/>
  <c r="AM89" i="71"/>
  <c r="AL89" i="71"/>
  <c r="AK89" i="71"/>
  <c r="AJ89" i="71"/>
  <c r="AB89" i="71"/>
  <c r="S89" i="71"/>
  <c r="W89" i="71" s="1"/>
  <c r="K89" i="71"/>
  <c r="BA88" i="71"/>
  <c r="AO88" i="71" s="1"/>
  <c r="AN88" i="71"/>
  <c r="AM88" i="71"/>
  <c r="AL88" i="71"/>
  <c r="AK88" i="71"/>
  <c r="AJ88" i="71"/>
  <c r="AB88" i="71"/>
  <c r="S88" i="71"/>
  <c r="W88" i="71" s="1"/>
  <c r="K88" i="71"/>
  <c r="BA87" i="71"/>
  <c r="AO87" i="71" s="1"/>
  <c r="AN87" i="71"/>
  <c r="AM87" i="71"/>
  <c r="AL87" i="71"/>
  <c r="AK87" i="71"/>
  <c r="AJ87" i="71"/>
  <c r="AB87" i="71"/>
  <c r="S87" i="71"/>
  <c r="W87" i="71" s="1"/>
  <c r="K87" i="71"/>
  <c r="BA86" i="71"/>
  <c r="AO86" i="71" s="1"/>
  <c r="AN86" i="71"/>
  <c r="AM86" i="71"/>
  <c r="AL86" i="71"/>
  <c r="AK86" i="71"/>
  <c r="AJ86" i="71"/>
  <c r="AB86" i="71"/>
  <c r="S86" i="71"/>
  <c r="W86" i="71" s="1"/>
  <c r="K86" i="71"/>
  <c r="BA85" i="71"/>
  <c r="AO85" i="71" s="1"/>
  <c r="AN85" i="71"/>
  <c r="AM85" i="71"/>
  <c r="AL85" i="71"/>
  <c r="AK85" i="71"/>
  <c r="AJ85" i="71"/>
  <c r="AB85" i="71"/>
  <c r="S85" i="71"/>
  <c r="W85" i="71" s="1"/>
  <c r="K85" i="71"/>
  <c r="BA84" i="71"/>
  <c r="AO84" i="71" s="1"/>
  <c r="AN84" i="71"/>
  <c r="AM84" i="71"/>
  <c r="AL84" i="71"/>
  <c r="AK84" i="71"/>
  <c r="AJ84" i="71"/>
  <c r="AB84" i="71"/>
  <c r="S84" i="71"/>
  <c r="W84" i="71" s="1"/>
  <c r="K84" i="71"/>
  <c r="BA83" i="71"/>
  <c r="AO83" i="71" s="1"/>
  <c r="AN83" i="71"/>
  <c r="AM83" i="71"/>
  <c r="AL83" i="71"/>
  <c r="AK83" i="71"/>
  <c r="AJ83" i="71"/>
  <c r="AB83" i="71"/>
  <c r="S83" i="71"/>
  <c r="W83" i="71" s="1"/>
  <c r="K83" i="71"/>
  <c r="BA82" i="71"/>
  <c r="AO82" i="71" s="1"/>
  <c r="AN82" i="71"/>
  <c r="AM82" i="71"/>
  <c r="AL82" i="71"/>
  <c r="AK82" i="71"/>
  <c r="AJ82" i="71"/>
  <c r="AB82" i="71"/>
  <c r="S82" i="71"/>
  <c r="W82" i="71" s="1"/>
  <c r="K82" i="71"/>
  <c r="BA81" i="71"/>
  <c r="AO81" i="71" s="1"/>
  <c r="AN81" i="71"/>
  <c r="AM81" i="71"/>
  <c r="AL81" i="71"/>
  <c r="AK81" i="71"/>
  <c r="AJ81" i="71"/>
  <c r="AB81" i="71"/>
  <c r="S81" i="71"/>
  <c r="W81" i="71" s="1"/>
  <c r="K81" i="71"/>
  <c r="BA80" i="71"/>
  <c r="AO80" i="71" s="1"/>
  <c r="AN80" i="71"/>
  <c r="AM80" i="71"/>
  <c r="AL80" i="71"/>
  <c r="AK80" i="71"/>
  <c r="AJ80" i="71"/>
  <c r="AB80" i="71"/>
  <c r="S80" i="71"/>
  <c r="W80" i="71" s="1"/>
  <c r="K80" i="71"/>
  <c r="BA79" i="71"/>
  <c r="AO79" i="71" s="1"/>
  <c r="AN79" i="71"/>
  <c r="AM79" i="71"/>
  <c r="AL79" i="71"/>
  <c r="AK79" i="71"/>
  <c r="AJ79" i="71"/>
  <c r="AB79" i="71"/>
  <c r="S79" i="71"/>
  <c r="W79" i="71" s="1"/>
  <c r="K79" i="71"/>
  <c r="BA78" i="71"/>
  <c r="AO78" i="71" s="1"/>
  <c r="AN78" i="71"/>
  <c r="AM78" i="71"/>
  <c r="AL78" i="71"/>
  <c r="AK78" i="71"/>
  <c r="AJ78" i="71"/>
  <c r="AB78" i="71"/>
  <c r="S78" i="71"/>
  <c r="W78" i="71" s="1"/>
  <c r="K78" i="71"/>
  <c r="BA77" i="71"/>
  <c r="AO77" i="71" s="1"/>
  <c r="AN77" i="71"/>
  <c r="AM77" i="71"/>
  <c r="AL77" i="71"/>
  <c r="AK77" i="71"/>
  <c r="AJ77" i="71"/>
  <c r="AB77" i="71"/>
  <c r="S77" i="71"/>
  <c r="W77" i="71" s="1"/>
  <c r="K77" i="71"/>
  <c r="BA76" i="71"/>
  <c r="AO76" i="71" s="1"/>
  <c r="AN76" i="71"/>
  <c r="AM76" i="71"/>
  <c r="AL76" i="71"/>
  <c r="AK76" i="71"/>
  <c r="AJ76" i="71"/>
  <c r="AB76" i="71"/>
  <c r="S76" i="71"/>
  <c r="W76" i="71" s="1"/>
  <c r="K76" i="71"/>
  <c r="BA75" i="71"/>
  <c r="AO75" i="71" s="1"/>
  <c r="AN75" i="71"/>
  <c r="AM75" i="71"/>
  <c r="AL75" i="71"/>
  <c r="AK75" i="71"/>
  <c r="AJ75" i="71"/>
  <c r="AB75" i="71"/>
  <c r="S75" i="71"/>
  <c r="W75" i="71" s="1"/>
  <c r="K75" i="71"/>
  <c r="BA74" i="71"/>
  <c r="AO74" i="71" s="1"/>
  <c r="AN74" i="71"/>
  <c r="AM74" i="71"/>
  <c r="AL74" i="71"/>
  <c r="AK74" i="71"/>
  <c r="AJ74" i="71"/>
  <c r="AB74" i="71"/>
  <c r="S74" i="71"/>
  <c r="W74" i="71" s="1"/>
  <c r="K74" i="71"/>
  <c r="BA73" i="71"/>
  <c r="AO73" i="71" s="1"/>
  <c r="AN73" i="71"/>
  <c r="AM73" i="71"/>
  <c r="AL73" i="71"/>
  <c r="AK73" i="71"/>
  <c r="AJ73" i="71"/>
  <c r="AB73" i="71"/>
  <c r="S73" i="71"/>
  <c r="W73" i="71" s="1"/>
  <c r="K73" i="71"/>
  <c r="BA72" i="71"/>
  <c r="AO72" i="71" s="1"/>
  <c r="AN72" i="71"/>
  <c r="AM72" i="71"/>
  <c r="AL72" i="71"/>
  <c r="AK72" i="71"/>
  <c r="AJ72" i="71"/>
  <c r="AB72" i="71"/>
  <c r="S72" i="71"/>
  <c r="W72" i="71" s="1"/>
  <c r="K72" i="71"/>
  <c r="BA71" i="71"/>
  <c r="AO71" i="71" s="1"/>
  <c r="AN71" i="71"/>
  <c r="AM71" i="71"/>
  <c r="AL71" i="71"/>
  <c r="AK71" i="71"/>
  <c r="AJ71" i="71"/>
  <c r="AB71" i="71"/>
  <c r="S71" i="71"/>
  <c r="W71" i="71" s="1"/>
  <c r="K71" i="71"/>
  <c r="BA70" i="71"/>
  <c r="AO70" i="71" s="1"/>
  <c r="AN70" i="71"/>
  <c r="AM70" i="71"/>
  <c r="AL70" i="71"/>
  <c r="AK70" i="71"/>
  <c r="AJ70" i="71"/>
  <c r="AB70" i="71"/>
  <c r="S70" i="71"/>
  <c r="W70" i="71" s="1"/>
  <c r="K70" i="71"/>
  <c r="BA69" i="71"/>
  <c r="AO69" i="71" s="1"/>
  <c r="AN69" i="71"/>
  <c r="AM69" i="71"/>
  <c r="AL69" i="71"/>
  <c r="AK69" i="71"/>
  <c r="AJ69" i="71"/>
  <c r="AB69" i="71"/>
  <c r="S69" i="71"/>
  <c r="W69" i="71" s="1"/>
  <c r="K69" i="71"/>
  <c r="BA68" i="71"/>
  <c r="AO68" i="71" s="1"/>
  <c r="AN68" i="71"/>
  <c r="AM68" i="71"/>
  <c r="AL68" i="71"/>
  <c r="AK68" i="71"/>
  <c r="AJ68" i="71"/>
  <c r="AB68" i="71"/>
  <c r="S68" i="71"/>
  <c r="W68" i="71" s="1"/>
  <c r="K68" i="71"/>
  <c r="BA67" i="71"/>
  <c r="AO67" i="71" s="1"/>
  <c r="AN67" i="71"/>
  <c r="AM67" i="71"/>
  <c r="AL67" i="71"/>
  <c r="AK67" i="71"/>
  <c r="AJ67" i="71"/>
  <c r="AB67" i="71"/>
  <c r="S67" i="71"/>
  <c r="W67" i="71" s="1"/>
  <c r="K67" i="71"/>
  <c r="BA66" i="71"/>
  <c r="AO66" i="71" s="1"/>
  <c r="AN66" i="71"/>
  <c r="AM66" i="71"/>
  <c r="AL66" i="71"/>
  <c r="AK66" i="71"/>
  <c r="AJ66" i="71"/>
  <c r="AB66" i="71"/>
  <c r="S66" i="71"/>
  <c r="W66" i="71" s="1"/>
  <c r="K66" i="71"/>
  <c r="BA65" i="71"/>
  <c r="AO65" i="71" s="1"/>
  <c r="AN65" i="71"/>
  <c r="AM65" i="71"/>
  <c r="AL65" i="71"/>
  <c r="AK65" i="71"/>
  <c r="AJ65" i="71"/>
  <c r="AB65" i="71"/>
  <c r="S65" i="71"/>
  <c r="W65" i="71" s="1"/>
  <c r="K65" i="71"/>
  <c r="BA64" i="71"/>
  <c r="AO64" i="71" s="1"/>
  <c r="AN64" i="71"/>
  <c r="AM64" i="71"/>
  <c r="AL64" i="71"/>
  <c r="AK64" i="71"/>
  <c r="AJ64" i="71"/>
  <c r="AB64" i="71"/>
  <c r="S64" i="71"/>
  <c r="W64" i="71" s="1"/>
  <c r="K64" i="71"/>
  <c r="BA63" i="71"/>
  <c r="AO63" i="71" s="1"/>
  <c r="AN63" i="71"/>
  <c r="AM63" i="71"/>
  <c r="AL63" i="71"/>
  <c r="AK63" i="71"/>
  <c r="AJ63" i="71"/>
  <c r="AB63" i="71"/>
  <c r="S63" i="71"/>
  <c r="W63" i="71" s="1"/>
  <c r="K63" i="71"/>
  <c r="BA62" i="71"/>
  <c r="AO62" i="71" s="1"/>
  <c r="AN62" i="71"/>
  <c r="AM62" i="71"/>
  <c r="AL62" i="71"/>
  <c r="AK62" i="71"/>
  <c r="AJ62" i="71"/>
  <c r="AB62" i="71"/>
  <c r="S62" i="71"/>
  <c r="W62" i="71" s="1"/>
  <c r="K62" i="71"/>
  <c r="BA61" i="71"/>
  <c r="AO61" i="71" s="1"/>
  <c r="AN61" i="71"/>
  <c r="AM61" i="71"/>
  <c r="AL61" i="71"/>
  <c r="AK61" i="71"/>
  <c r="AJ61" i="71"/>
  <c r="AB61" i="71"/>
  <c r="S61" i="71"/>
  <c r="W61" i="71" s="1"/>
  <c r="K61" i="71"/>
  <c r="BA60" i="71"/>
  <c r="AO60" i="71" s="1"/>
  <c r="AN60" i="71"/>
  <c r="AM60" i="71"/>
  <c r="AL60" i="71"/>
  <c r="AK60" i="71"/>
  <c r="AJ60" i="71"/>
  <c r="AB60" i="71"/>
  <c r="S60" i="71"/>
  <c r="W60" i="71" s="1"/>
  <c r="K60" i="71"/>
  <c r="BA59" i="71"/>
  <c r="AO59" i="71" s="1"/>
  <c r="AN59" i="71"/>
  <c r="AM59" i="71"/>
  <c r="AL59" i="71"/>
  <c r="AK59" i="71"/>
  <c r="AJ59" i="71"/>
  <c r="AB59" i="71"/>
  <c r="S59" i="71"/>
  <c r="W59" i="71" s="1"/>
  <c r="K59" i="71"/>
  <c r="BA58" i="71"/>
  <c r="AO58" i="71" s="1"/>
  <c r="AN58" i="71"/>
  <c r="AM58" i="71"/>
  <c r="AL58" i="71"/>
  <c r="AK58" i="71"/>
  <c r="AJ58" i="71"/>
  <c r="AB58" i="71"/>
  <c r="S58" i="71"/>
  <c r="W58" i="71" s="1"/>
  <c r="K58" i="71"/>
  <c r="BA57" i="71"/>
  <c r="AO57" i="71" s="1"/>
  <c r="AN57" i="71"/>
  <c r="AM57" i="71"/>
  <c r="AL57" i="71"/>
  <c r="AK57" i="71"/>
  <c r="AJ57" i="71"/>
  <c r="AB57" i="71"/>
  <c r="S57" i="71"/>
  <c r="W57" i="71" s="1"/>
  <c r="K57" i="71"/>
  <c r="BA56" i="71"/>
  <c r="AO56" i="71" s="1"/>
  <c r="AN56" i="71"/>
  <c r="AM56" i="71"/>
  <c r="AL56" i="71"/>
  <c r="AK56" i="71"/>
  <c r="AJ56" i="71"/>
  <c r="AB56" i="71"/>
  <c r="S56" i="71"/>
  <c r="W56" i="71" s="1"/>
  <c r="K56" i="71"/>
  <c r="BA55" i="71"/>
  <c r="AO55" i="71" s="1"/>
  <c r="AN55" i="71"/>
  <c r="AM55" i="71"/>
  <c r="AL55" i="71"/>
  <c r="AK55" i="71"/>
  <c r="AJ55" i="71"/>
  <c r="AB55" i="71"/>
  <c r="S55" i="71"/>
  <c r="W55" i="71" s="1"/>
  <c r="K55" i="71"/>
  <c r="BA54" i="71"/>
  <c r="AO54" i="71" s="1"/>
  <c r="AN54" i="71"/>
  <c r="AM54" i="71"/>
  <c r="AL54" i="71"/>
  <c r="AK54" i="71"/>
  <c r="AJ54" i="71"/>
  <c r="AB54" i="71"/>
  <c r="S54" i="71"/>
  <c r="W54" i="71" s="1"/>
  <c r="K54" i="71"/>
  <c r="BA53" i="71"/>
  <c r="AO53" i="71" s="1"/>
  <c r="AN53" i="71"/>
  <c r="AM53" i="71"/>
  <c r="AL53" i="71"/>
  <c r="AK53" i="71"/>
  <c r="AJ53" i="71"/>
  <c r="AB53" i="71"/>
  <c r="S53" i="71"/>
  <c r="W53" i="71" s="1"/>
  <c r="K53" i="71"/>
  <c r="BA52" i="71"/>
  <c r="AO52" i="71" s="1"/>
  <c r="AN52" i="71"/>
  <c r="AM52" i="71"/>
  <c r="AL52" i="71"/>
  <c r="AK52" i="71"/>
  <c r="AJ52" i="71"/>
  <c r="AB52" i="71"/>
  <c r="S52" i="71"/>
  <c r="W52" i="71" s="1"/>
  <c r="K52" i="71"/>
  <c r="BA51" i="71"/>
  <c r="AO51" i="71" s="1"/>
  <c r="AN51" i="71"/>
  <c r="AM51" i="71"/>
  <c r="AL51" i="71"/>
  <c r="AK51" i="71"/>
  <c r="AJ51" i="71"/>
  <c r="AB51" i="71"/>
  <c r="S51" i="71"/>
  <c r="W51" i="71" s="1"/>
  <c r="K51" i="71"/>
  <c r="BA50" i="71"/>
  <c r="AO50" i="71" s="1"/>
  <c r="AN50" i="71"/>
  <c r="AM50" i="71"/>
  <c r="AL50" i="71"/>
  <c r="AK50" i="71"/>
  <c r="AJ50" i="71"/>
  <c r="AB50" i="71"/>
  <c r="S50" i="71"/>
  <c r="W50" i="71" s="1"/>
  <c r="K50" i="71"/>
  <c r="BA49" i="71"/>
  <c r="AO49" i="71" s="1"/>
  <c r="AN49" i="71"/>
  <c r="AM49" i="71"/>
  <c r="AL49" i="71"/>
  <c r="AK49" i="71"/>
  <c r="AJ49" i="71"/>
  <c r="AB49" i="71"/>
  <c r="S49" i="71"/>
  <c r="W49" i="71" s="1"/>
  <c r="K49" i="71"/>
  <c r="BA48" i="71"/>
  <c r="AO48" i="71" s="1"/>
  <c r="AN48" i="71"/>
  <c r="AM48" i="71"/>
  <c r="AL48" i="71"/>
  <c r="AK48" i="71"/>
  <c r="AJ48" i="71"/>
  <c r="AB48" i="71"/>
  <c r="S48" i="71"/>
  <c r="W48" i="71" s="1"/>
  <c r="K48" i="71"/>
  <c r="BA47" i="71"/>
  <c r="AO47" i="71" s="1"/>
  <c r="AN47" i="71"/>
  <c r="AM47" i="71"/>
  <c r="AL47" i="71"/>
  <c r="AK47" i="71"/>
  <c r="AJ47" i="71"/>
  <c r="AB47" i="71"/>
  <c r="S47" i="71"/>
  <c r="W47" i="71" s="1"/>
  <c r="K47" i="71"/>
  <c r="BA46" i="71"/>
  <c r="AO46" i="71" s="1"/>
  <c r="AN46" i="71"/>
  <c r="AM46" i="71"/>
  <c r="AL46" i="71"/>
  <c r="AK46" i="71"/>
  <c r="AJ46" i="71"/>
  <c r="AB46" i="71"/>
  <c r="S46" i="71"/>
  <c r="W46" i="71" s="1"/>
  <c r="K46" i="71"/>
  <c r="BA45" i="71"/>
  <c r="AO45" i="71" s="1"/>
  <c r="AN45" i="71"/>
  <c r="AM45" i="71"/>
  <c r="AL45" i="71"/>
  <c r="AK45" i="71"/>
  <c r="AJ45" i="71"/>
  <c r="AB45" i="71"/>
  <c r="S45" i="71"/>
  <c r="W45" i="71" s="1"/>
  <c r="K45" i="71"/>
  <c r="BA44" i="71"/>
  <c r="AO44" i="71" s="1"/>
  <c r="AN44" i="71"/>
  <c r="AM44" i="71"/>
  <c r="AL44" i="71"/>
  <c r="AK44" i="71"/>
  <c r="AJ44" i="71"/>
  <c r="AB44" i="71"/>
  <c r="S44" i="71"/>
  <c r="W44" i="71" s="1"/>
  <c r="K44" i="71"/>
  <c r="BA43" i="71"/>
  <c r="AO43" i="71" s="1"/>
  <c r="AN43" i="71"/>
  <c r="AM43" i="71"/>
  <c r="AL43" i="71"/>
  <c r="AK43" i="71"/>
  <c r="AJ43" i="71"/>
  <c r="AB43" i="71"/>
  <c r="S43" i="71"/>
  <c r="W43" i="71" s="1"/>
  <c r="K43" i="71"/>
  <c r="BA42" i="71"/>
  <c r="AO42" i="71" s="1"/>
  <c r="AN42" i="71"/>
  <c r="AM42" i="71"/>
  <c r="AL42" i="71"/>
  <c r="AK42" i="71"/>
  <c r="AJ42" i="71"/>
  <c r="AB42" i="71"/>
  <c r="S42" i="71"/>
  <c r="W42" i="71" s="1"/>
  <c r="K42" i="71"/>
  <c r="BA41" i="71"/>
  <c r="AO41" i="71" s="1"/>
  <c r="AN41" i="71"/>
  <c r="AM41" i="71"/>
  <c r="AL41" i="71"/>
  <c r="AK41" i="71"/>
  <c r="AJ41" i="71"/>
  <c r="AB41" i="71"/>
  <c r="S41" i="71"/>
  <c r="W41" i="71" s="1"/>
  <c r="K41" i="71"/>
  <c r="BA40" i="71"/>
  <c r="AO40" i="71" s="1"/>
  <c r="AN40" i="71"/>
  <c r="AM40" i="71"/>
  <c r="AL40" i="71"/>
  <c r="AK40" i="71"/>
  <c r="AJ40" i="71"/>
  <c r="AB40" i="71"/>
  <c r="S40" i="71"/>
  <c r="W40" i="71" s="1"/>
  <c r="K40" i="71"/>
  <c r="BA39" i="71"/>
  <c r="AO39" i="71" s="1"/>
  <c r="AN39" i="71"/>
  <c r="AM39" i="71"/>
  <c r="AL39" i="71"/>
  <c r="AK39" i="71"/>
  <c r="AJ39" i="71"/>
  <c r="AB39" i="71"/>
  <c r="S39" i="71"/>
  <c r="W39" i="71" s="1"/>
  <c r="K39" i="71"/>
  <c r="BA38" i="71"/>
  <c r="AO38" i="71" s="1"/>
  <c r="AN38" i="71"/>
  <c r="AM38" i="71"/>
  <c r="AL38" i="71"/>
  <c r="AK38" i="71"/>
  <c r="AJ38" i="71"/>
  <c r="AB38" i="71"/>
  <c r="S38" i="71"/>
  <c r="W38" i="71" s="1"/>
  <c r="K38" i="71"/>
  <c r="BA37" i="71"/>
  <c r="AO37" i="71" s="1"/>
  <c r="AN37" i="71"/>
  <c r="AM37" i="71"/>
  <c r="AL37" i="71"/>
  <c r="AK37" i="71"/>
  <c r="AJ37" i="71"/>
  <c r="AB37" i="71"/>
  <c r="S37" i="71"/>
  <c r="W37" i="71" s="1"/>
  <c r="K37" i="71"/>
  <c r="BA36" i="71"/>
  <c r="AO36" i="71" s="1"/>
  <c r="AN36" i="71"/>
  <c r="AM36" i="71"/>
  <c r="AL36" i="71"/>
  <c r="AK36" i="71"/>
  <c r="AJ36" i="71"/>
  <c r="AB36" i="71"/>
  <c r="S36" i="71"/>
  <c r="W36" i="71" s="1"/>
  <c r="K36" i="71"/>
  <c r="BA35" i="71"/>
  <c r="AO35" i="71" s="1"/>
  <c r="AN35" i="71"/>
  <c r="AM35" i="71"/>
  <c r="AL35" i="71"/>
  <c r="AK35" i="71"/>
  <c r="AJ35" i="71"/>
  <c r="AB35" i="71"/>
  <c r="S35" i="71"/>
  <c r="W35" i="71" s="1"/>
  <c r="K35" i="71"/>
  <c r="BA34" i="71"/>
  <c r="AO34" i="71" s="1"/>
  <c r="AN34" i="71"/>
  <c r="AM34" i="71"/>
  <c r="AL34" i="71"/>
  <c r="AK34" i="71"/>
  <c r="AJ34" i="71"/>
  <c r="AB34" i="71"/>
  <c r="S34" i="71"/>
  <c r="W34" i="71" s="1"/>
  <c r="K34" i="71"/>
  <c r="BA33" i="71"/>
  <c r="AO33" i="71" s="1"/>
  <c r="AN33" i="71"/>
  <c r="AM33" i="71"/>
  <c r="AL33" i="71"/>
  <c r="AK33" i="71"/>
  <c r="AJ33" i="71"/>
  <c r="AB33" i="71"/>
  <c r="S33" i="71"/>
  <c r="W33" i="71" s="1"/>
  <c r="K33" i="71"/>
  <c r="BA32" i="71"/>
  <c r="AO32" i="71" s="1"/>
  <c r="AN32" i="71"/>
  <c r="AM32" i="71"/>
  <c r="AL32" i="71"/>
  <c r="AK32" i="71"/>
  <c r="AJ32" i="71"/>
  <c r="AB32" i="71"/>
  <c r="S32" i="71"/>
  <c r="W32" i="71" s="1"/>
  <c r="K32" i="71"/>
  <c r="BA31" i="71"/>
  <c r="AO31" i="71" s="1"/>
  <c r="AN31" i="71"/>
  <c r="AM31" i="71"/>
  <c r="AL31" i="71"/>
  <c r="AK31" i="71"/>
  <c r="AJ31" i="71"/>
  <c r="AB31" i="71"/>
  <c r="S31" i="71"/>
  <c r="W31" i="71" s="1"/>
  <c r="K31" i="71"/>
  <c r="BA30" i="71"/>
  <c r="AO30" i="71" s="1"/>
  <c r="AN30" i="71"/>
  <c r="AM30" i="71"/>
  <c r="AL30" i="71"/>
  <c r="AK30" i="71"/>
  <c r="AJ30" i="71"/>
  <c r="AB30" i="71"/>
  <c r="S30" i="71"/>
  <c r="W30" i="71" s="1"/>
  <c r="K30" i="71"/>
  <c r="BA29" i="71"/>
  <c r="AO29" i="71" s="1"/>
  <c r="AN29" i="71"/>
  <c r="AM29" i="71"/>
  <c r="AL29" i="71"/>
  <c r="AK29" i="71"/>
  <c r="AJ29" i="71"/>
  <c r="AB29" i="71"/>
  <c r="S29" i="71"/>
  <c r="W29" i="71" s="1"/>
  <c r="K29" i="71"/>
  <c r="BA28" i="71"/>
  <c r="AO28" i="71" s="1"/>
  <c r="AN28" i="71"/>
  <c r="AM28" i="71"/>
  <c r="AL28" i="71"/>
  <c r="AK28" i="71"/>
  <c r="AJ28" i="71"/>
  <c r="AB28" i="71"/>
  <c r="S28" i="71"/>
  <c r="W28" i="71" s="1"/>
  <c r="K28" i="71"/>
  <c r="BA27" i="71"/>
  <c r="AO27" i="71" s="1"/>
  <c r="AN27" i="71"/>
  <c r="AM27" i="71"/>
  <c r="AL27" i="71"/>
  <c r="AK27" i="71"/>
  <c r="AJ27" i="71"/>
  <c r="AB27" i="71"/>
  <c r="S27" i="71"/>
  <c r="W27" i="71" s="1"/>
  <c r="K27" i="71"/>
  <c r="BA26" i="71"/>
  <c r="AO26" i="71" s="1"/>
  <c r="AN26" i="71"/>
  <c r="AM26" i="71"/>
  <c r="AL26" i="71"/>
  <c r="AK26" i="71"/>
  <c r="AJ26" i="71"/>
  <c r="AB26" i="71"/>
  <c r="S26" i="71"/>
  <c r="W26" i="71" s="1"/>
  <c r="K26" i="71"/>
  <c r="BA25" i="71"/>
  <c r="AO25" i="71" s="1"/>
  <c r="AN25" i="71"/>
  <c r="AM25" i="71"/>
  <c r="AL25" i="71"/>
  <c r="AK25" i="71"/>
  <c r="AJ25" i="71"/>
  <c r="AB25" i="71"/>
  <c r="S25" i="71"/>
  <c r="W25" i="71" s="1"/>
  <c r="K25" i="71"/>
  <c r="BA24" i="71"/>
  <c r="AO24" i="71" s="1"/>
  <c r="AN24" i="71"/>
  <c r="AM24" i="71"/>
  <c r="AL24" i="71"/>
  <c r="AK24" i="71"/>
  <c r="AJ24" i="71"/>
  <c r="AB24" i="71"/>
  <c r="S24" i="71"/>
  <c r="W24" i="71" s="1"/>
  <c r="K24" i="71"/>
  <c r="BA23" i="71"/>
  <c r="AO23" i="71" s="1"/>
  <c r="AN23" i="71"/>
  <c r="AM23" i="71"/>
  <c r="AL23" i="71"/>
  <c r="AK23" i="71"/>
  <c r="AJ23" i="71"/>
  <c r="AB23" i="71"/>
  <c r="S23" i="71"/>
  <c r="W23" i="71" s="1"/>
  <c r="K23" i="71"/>
  <c r="BA22" i="71"/>
  <c r="AO22" i="71" s="1"/>
  <c r="AN22" i="71"/>
  <c r="AM22" i="71"/>
  <c r="AL22" i="71"/>
  <c r="AK22" i="71"/>
  <c r="AJ22" i="71"/>
  <c r="AB22" i="71"/>
  <c r="S22" i="71"/>
  <c r="W22" i="71" s="1"/>
  <c r="K22" i="71"/>
  <c r="BA21" i="71"/>
  <c r="AO21" i="71" s="1"/>
  <c r="AN21" i="71"/>
  <c r="AM21" i="71"/>
  <c r="AL21" i="71"/>
  <c r="AK21" i="71"/>
  <c r="AJ21" i="71"/>
  <c r="AB21" i="71"/>
  <c r="S21" i="71"/>
  <c r="W21" i="71" s="1"/>
  <c r="K21" i="71"/>
  <c r="BA20" i="71"/>
  <c r="AO20" i="71" s="1"/>
  <c r="AN20" i="71"/>
  <c r="AM20" i="71"/>
  <c r="AL20" i="71"/>
  <c r="AK20" i="71"/>
  <c r="AJ20" i="71"/>
  <c r="AB20" i="71"/>
  <c r="S20" i="71"/>
  <c r="W20" i="71" s="1"/>
  <c r="K20" i="71"/>
  <c r="AQ19" i="71"/>
  <c r="AB19" i="71"/>
  <c r="W19" i="71"/>
  <c r="BA18" i="71"/>
  <c r="AO18" i="71" s="1"/>
  <c r="AN18" i="71"/>
  <c r="AM18" i="71"/>
  <c r="AL18" i="71"/>
  <c r="AK18" i="71"/>
  <c r="AJ18" i="71"/>
  <c r="AB18" i="71"/>
  <c r="S18" i="71"/>
  <c r="W18" i="71" s="1"/>
  <c r="K18" i="71"/>
  <c r="AN17" i="71"/>
  <c r="AM17" i="71"/>
  <c r="AL17" i="71"/>
  <c r="AK17" i="71"/>
  <c r="AJ17" i="71"/>
  <c r="AB17" i="71"/>
  <c r="S17" i="71"/>
  <c r="W17" i="71" s="1"/>
  <c r="K17" i="71"/>
  <c r="BA16" i="71"/>
  <c r="AO16" i="71" s="1"/>
  <c r="AN16" i="71"/>
  <c r="AM16" i="71"/>
  <c r="AL16" i="71"/>
  <c r="AK16" i="71"/>
  <c r="AJ16" i="71"/>
  <c r="AB16" i="71"/>
  <c r="S16" i="71"/>
  <c r="W16" i="71" s="1"/>
  <c r="K16" i="71"/>
  <c r="BA15" i="71"/>
  <c r="AO15" i="71" s="1"/>
  <c r="AN15" i="71"/>
  <c r="AM15" i="71"/>
  <c r="AL15" i="71"/>
  <c r="AK15" i="71"/>
  <c r="AJ15" i="71"/>
  <c r="AB15" i="71"/>
  <c r="S15" i="71"/>
  <c r="W15" i="71" s="1"/>
  <c r="K15" i="71"/>
  <c r="BA14" i="71"/>
  <c r="AO14" i="71" s="1"/>
  <c r="AN14" i="71"/>
  <c r="AM14" i="71"/>
  <c r="AL14" i="71"/>
  <c r="AK14" i="71"/>
  <c r="AJ14" i="71"/>
  <c r="AB14" i="71"/>
  <c r="S14" i="71"/>
  <c r="W14" i="71" s="1"/>
  <c r="K14" i="71"/>
  <c r="BA13" i="71"/>
  <c r="AO13" i="71" s="1"/>
  <c r="AJ13" i="71"/>
  <c r="AB13" i="71"/>
  <c r="S13" i="71"/>
  <c r="W13" i="71" s="1"/>
  <c r="AP13" i="71" s="1"/>
  <c r="K13" i="71"/>
  <c r="BA12" i="71"/>
  <c r="AO12" i="71" s="1"/>
  <c r="AN12" i="71"/>
  <c r="AM12" i="71"/>
  <c r="AL12" i="71"/>
  <c r="AK12" i="71"/>
  <c r="AJ12" i="71"/>
  <c r="AB12" i="71"/>
  <c r="S12" i="71"/>
  <c r="W12" i="71" s="1"/>
  <c r="K12" i="71"/>
  <c r="BA11" i="71"/>
  <c r="AO11" i="71" s="1"/>
  <c r="AN11" i="71"/>
  <c r="AM11" i="71"/>
  <c r="AL11" i="71"/>
  <c r="AK11" i="71"/>
  <c r="AJ11" i="71"/>
  <c r="AB11" i="71"/>
  <c r="S11" i="71"/>
  <c r="W11" i="71" s="1"/>
  <c r="K11" i="71"/>
  <c r="BA10" i="71"/>
  <c r="AO10" i="71" s="1"/>
  <c r="AN10" i="71"/>
  <c r="AM10" i="71"/>
  <c r="AL10" i="71"/>
  <c r="AK10" i="71"/>
  <c r="AJ10" i="71"/>
  <c r="AB10" i="71"/>
  <c r="S10" i="71"/>
  <c r="W10" i="71" s="1"/>
  <c r="K10" i="71"/>
  <c r="BA9" i="71"/>
  <c r="AO9" i="71" s="1"/>
  <c r="AN9" i="71"/>
  <c r="AM9" i="71"/>
  <c r="AL9" i="71"/>
  <c r="AK9" i="71"/>
  <c r="AJ9" i="71"/>
  <c r="AB9" i="71"/>
  <c r="T9" i="71"/>
  <c r="S9" i="71"/>
  <c r="K9" i="71"/>
  <c r="BA8" i="71"/>
  <c r="AO8" i="71" s="1"/>
  <c r="AN8" i="71"/>
  <c r="AM8" i="71"/>
  <c r="AL8" i="71"/>
  <c r="AK8" i="71"/>
  <c r="AJ8" i="71"/>
  <c r="AB8" i="71"/>
  <c r="T8" i="71"/>
  <c r="S8" i="71"/>
  <c r="K8" i="71"/>
  <c r="BA7" i="71"/>
  <c r="AO7" i="71" s="1"/>
  <c r="AN7" i="71"/>
  <c r="AM7" i="71"/>
  <c r="AL7" i="71"/>
  <c r="AK7" i="71"/>
  <c r="AJ7" i="71"/>
  <c r="AB7" i="71"/>
  <c r="T7" i="71"/>
  <c r="S7" i="71"/>
  <c r="K7" i="71"/>
  <c r="BA6" i="71"/>
  <c r="AO6" i="71" s="1"/>
  <c r="AN6" i="71"/>
  <c r="AM6" i="71"/>
  <c r="AL6" i="71"/>
  <c r="AK6" i="71"/>
  <c r="AJ6" i="71"/>
  <c r="AB6" i="71"/>
  <c r="T6" i="71"/>
  <c r="S6" i="71"/>
  <c r="W6" i="71" s="1"/>
  <c r="K6" i="71"/>
  <c r="BA5" i="71"/>
  <c r="AO5" i="71" s="1"/>
  <c r="AN5" i="71"/>
  <c r="AM5" i="71"/>
  <c r="AL5" i="71"/>
  <c r="AK5" i="71"/>
  <c r="AJ5" i="71"/>
  <c r="AB5" i="71"/>
  <c r="T5" i="71"/>
  <c r="S5" i="71"/>
  <c r="K5" i="71"/>
  <c r="BA4" i="71"/>
  <c r="AO4" i="71" s="1"/>
  <c r="AN4" i="71"/>
  <c r="AM4" i="71"/>
  <c r="AL4" i="71"/>
  <c r="AK4" i="71"/>
  <c r="AJ4" i="71"/>
  <c r="AB4" i="71"/>
  <c r="S4" i="71"/>
  <c r="W4" i="71" s="1"/>
  <c r="K4" i="71"/>
  <c r="AR66" i="72" l="1"/>
  <c r="AR90" i="72"/>
  <c r="AR167" i="72"/>
  <c r="W162" i="71"/>
  <c r="AR181" i="72"/>
  <c r="AQ234" i="72"/>
  <c r="AR234" i="72" s="1"/>
  <c r="AR255" i="72"/>
  <c r="W146" i="71"/>
  <c r="AP146" i="71" s="1"/>
  <c r="AQ146" i="71" s="1"/>
  <c r="AQ198" i="72"/>
  <c r="X154" i="73"/>
  <c r="X187" i="73"/>
  <c r="W145" i="71"/>
  <c r="AP145" i="71" s="1"/>
  <c r="AQ145" i="71" s="1"/>
  <c r="AQ82" i="72"/>
  <c r="AR82" i="72" s="1"/>
  <c r="AQ89" i="72"/>
  <c r="AQ173" i="72"/>
  <c r="AQ194" i="72"/>
  <c r="AR194" i="72" s="1"/>
  <c r="AQ40" i="72"/>
  <c r="AR40" i="72" s="1"/>
  <c r="AQ116" i="72"/>
  <c r="AQ208" i="72"/>
  <c r="AR208" i="72" s="1"/>
  <c r="AP78" i="71"/>
  <c r="AQ78" i="71" s="1"/>
  <c r="W144" i="71"/>
  <c r="W155" i="71"/>
  <c r="AQ26" i="72"/>
  <c r="AR57" i="72"/>
  <c r="AQ5" i="72"/>
  <c r="AQ57" i="72"/>
  <c r="AQ71" i="72"/>
  <c r="AQ161" i="72"/>
  <c r="X181" i="73"/>
  <c r="AQ53" i="72"/>
  <c r="AQ81" i="72"/>
  <c r="AR81" i="72" s="1"/>
  <c r="AR168" i="72"/>
  <c r="AQ193" i="72"/>
  <c r="AQ214" i="72"/>
  <c r="AR175" i="72"/>
  <c r="AQ25" i="72"/>
  <c r="AR25" i="72" s="1"/>
  <c r="AR171" i="72"/>
  <c r="AQ175" i="72"/>
  <c r="X210" i="72"/>
  <c r="AQ210" i="72" s="1"/>
  <c r="X186" i="73"/>
  <c r="W142" i="71"/>
  <c r="AP229" i="71"/>
  <c r="AQ229" i="71" s="1"/>
  <c r="AP258" i="71"/>
  <c r="AQ258" i="71" s="1"/>
  <c r="AP210" i="71"/>
  <c r="AQ210" i="71" s="1"/>
  <c r="AP14" i="71"/>
  <c r="AQ14" i="71" s="1"/>
  <c r="AP100" i="71"/>
  <c r="AP103" i="71"/>
  <c r="AQ103" i="71" s="1"/>
  <c r="AP151" i="71"/>
  <c r="AQ151" i="71" s="1"/>
  <c r="AP160" i="71"/>
  <c r="AQ160" i="71" s="1"/>
  <c r="AP198" i="71"/>
  <c r="AQ198" i="71" s="1"/>
  <c r="AP220" i="71"/>
  <c r="AQ220" i="71" s="1"/>
  <c r="AP233" i="71"/>
  <c r="AP237" i="71"/>
  <c r="AQ237" i="71" s="1"/>
  <c r="AP244" i="71"/>
  <c r="AP248" i="71"/>
  <c r="AQ248" i="71" s="1"/>
  <c r="AP253" i="71"/>
  <c r="AQ253" i="71" s="1"/>
  <c r="AP256" i="71"/>
  <c r="AQ256" i="71" s="1"/>
  <c r="AP34" i="71"/>
  <c r="AP42" i="71"/>
  <c r="AQ42" i="71" s="1"/>
  <c r="AP50" i="71"/>
  <c r="AQ50" i="71" s="1"/>
  <c r="AP54" i="71"/>
  <c r="AQ54" i="71" s="1"/>
  <c r="AP58" i="71"/>
  <c r="AP66" i="71"/>
  <c r="AQ66" i="71" s="1"/>
  <c r="AP86" i="71"/>
  <c r="AQ86" i="71" s="1"/>
  <c r="AP91" i="71"/>
  <c r="AQ91" i="71" s="1"/>
  <c r="AP116" i="71"/>
  <c r="AP144" i="71"/>
  <c r="AQ144" i="71" s="1"/>
  <c r="AP155" i="71"/>
  <c r="AQ155" i="71" s="1"/>
  <c r="AP157" i="71"/>
  <c r="AQ157" i="71" s="1"/>
  <c r="AP167" i="71"/>
  <c r="W173" i="71"/>
  <c r="AP173" i="71" s="1"/>
  <c r="AQ173" i="71" s="1"/>
  <c r="AP195" i="71"/>
  <c r="AQ195" i="71" s="1"/>
  <c r="AP203" i="71"/>
  <c r="AQ203" i="71" s="1"/>
  <c r="AP221" i="71"/>
  <c r="AQ221" i="71" s="1"/>
  <c r="AP238" i="71"/>
  <c r="AQ238" i="71" s="1"/>
  <c r="AP245" i="71"/>
  <c r="AQ245" i="71" s="1"/>
  <c r="AP40" i="71"/>
  <c r="AQ40" i="71" s="1"/>
  <c r="AP92" i="71"/>
  <c r="AP95" i="71"/>
  <c r="AQ95" i="71" s="1"/>
  <c r="AP118" i="71"/>
  <c r="AQ118" i="71" s="1"/>
  <c r="AP133" i="71"/>
  <c r="AQ133" i="71" s="1"/>
  <c r="AP153" i="71"/>
  <c r="AQ153" i="71" s="1"/>
  <c r="AP171" i="71"/>
  <c r="AP213" i="71"/>
  <c r="AQ213" i="71" s="1"/>
  <c r="AP239" i="71"/>
  <c r="AQ239" i="71" s="1"/>
  <c r="AP250" i="71"/>
  <c r="AP254" i="71"/>
  <c r="AQ254" i="71" s="1"/>
  <c r="AP6" i="71"/>
  <c r="AQ6" i="71" s="1"/>
  <c r="AP55" i="71"/>
  <c r="AP70" i="71"/>
  <c r="AQ70" i="71" s="1"/>
  <c r="AP17" i="71"/>
  <c r="AQ17" i="71" s="1"/>
  <c r="AP20" i="71"/>
  <c r="AQ20" i="71" s="1"/>
  <c r="AP36" i="71"/>
  <c r="AP44" i="71"/>
  <c r="AQ44" i="71" s="1"/>
  <c r="AP52" i="71"/>
  <c r="AQ52" i="71" s="1"/>
  <c r="AP60" i="71"/>
  <c r="AQ60" i="71" s="1"/>
  <c r="AP84" i="71"/>
  <c r="AQ84" i="71" s="1"/>
  <c r="AP112" i="71"/>
  <c r="AQ112" i="71" s="1"/>
  <c r="AP121" i="71"/>
  <c r="AP126" i="71"/>
  <c r="AQ126" i="71" s="1"/>
  <c r="AP131" i="71"/>
  <c r="AP159" i="71"/>
  <c r="AQ159" i="71" s="1"/>
  <c r="AP201" i="71"/>
  <c r="AQ201" i="71" s="1"/>
  <c r="AP209" i="71"/>
  <c r="AQ209" i="71" s="1"/>
  <c r="AP219" i="71"/>
  <c r="AP236" i="71"/>
  <c r="AQ236" i="71" s="1"/>
  <c r="AP243" i="71"/>
  <c r="AQ243" i="71" s="1"/>
  <c r="AP259" i="71"/>
  <c r="AQ259" i="71" s="1"/>
  <c r="AQ226" i="72"/>
  <c r="AR243" i="72"/>
  <c r="AQ245" i="72"/>
  <c r="AQ32" i="72"/>
  <c r="AR32" i="72" s="1"/>
  <c r="AQ52" i="72"/>
  <c r="AR52" i="72" s="1"/>
  <c r="AQ62" i="72"/>
  <c r="AR62" i="72" s="1"/>
  <c r="AQ70" i="72"/>
  <c r="AR70" i="72" s="1"/>
  <c r="AQ78" i="72"/>
  <c r="AR78" i="72" s="1"/>
  <c r="AK108" i="72"/>
  <c r="AQ111" i="72"/>
  <c r="AR111" i="72" s="1"/>
  <c r="AQ120" i="72"/>
  <c r="AR120" i="72" s="1"/>
  <c r="AQ164" i="72"/>
  <c r="AR164" i="72" s="1"/>
  <c r="AQ213" i="72"/>
  <c r="AR213" i="72" s="1"/>
  <c r="AQ154" i="72"/>
  <c r="AQ86" i="72"/>
  <c r="AR86" i="72" s="1"/>
  <c r="V112" i="72"/>
  <c r="AQ119" i="72"/>
  <c r="AR119" i="72" s="1"/>
  <c r="AQ18" i="72"/>
  <c r="AR18" i="72" s="1"/>
  <c r="AQ23" i="72"/>
  <c r="AR23" i="72" s="1"/>
  <c r="AR45" i="72"/>
  <c r="AR49" i="72"/>
  <c r="AQ98" i="72"/>
  <c r="AR98" i="72" s="1"/>
  <c r="AK107" i="72"/>
  <c r="K117" i="72"/>
  <c r="X152" i="72"/>
  <c r="AQ152" i="72" s="1"/>
  <c r="X156" i="72"/>
  <c r="AQ156" i="72" s="1"/>
  <c r="X160" i="72"/>
  <c r="AQ160" i="72" s="1"/>
  <c r="AR160" i="72" s="1"/>
  <c r="X182" i="72"/>
  <c r="AQ221" i="72"/>
  <c r="AR221" i="72" s="1"/>
  <c r="AQ46" i="72"/>
  <c r="AR46" i="72" s="1"/>
  <c r="AR71" i="72"/>
  <c r="AR79" i="72"/>
  <c r="AR87" i="72"/>
  <c r="AR92" i="72"/>
  <c r="AR94" i="72"/>
  <c r="AQ95" i="72"/>
  <c r="AR95" i="72" s="1"/>
  <c r="T112" i="72"/>
  <c r="X147" i="72"/>
  <c r="X149" i="72"/>
  <c r="AQ149" i="72" s="1"/>
  <c r="AR149" i="72" s="1"/>
  <c r="AR150" i="72"/>
  <c r="X155" i="72"/>
  <c r="AQ155" i="72" s="1"/>
  <c r="AR155" i="72" s="1"/>
  <c r="AR156" i="72"/>
  <c r="AR161" i="72"/>
  <c r="AR163" i="72"/>
  <c r="AR169" i="72"/>
  <c r="AR218" i="72"/>
  <c r="AQ237" i="72"/>
  <c r="AR237" i="72" s="1"/>
  <c r="AQ36" i="72"/>
  <c r="AR36" i="72" s="1"/>
  <c r="AQ38" i="72"/>
  <c r="AR38" i="72" s="1"/>
  <c r="AR42" i="72"/>
  <c r="AR56" i="72"/>
  <c r="AQ60" i="72"/>
  <c r="AR60" i="72" s="1"/>
  <c r="AQ103" i="72"/>
  <c r="AR103" i="72" s="1"/>
  <c r="X107" i="72"/>
  <c r="AQ107" i="72" s="1"/>
  <c r="AR107" i="72" s="1"/>
  <c r="AQ113" i="72"/>
  <c r="AR113" i="72" s="1"/>
  <c r="AQ121" i="72"/>
  <c r="AR121" i="72" s="1"/>
  <c r="AQ123" i="72"/>
  <c r="AR123" i="72" s="1"/>
  <c r="AQ125" i="72"/>
  <c r="AR125" i="72" s="1"/>
  <c r="AQ127" i="72"/>
  <c r="AR127" i="72" s="1"/>
  <c r="AQ129" i="72"/>
  <c r="AR129" i="72" s="1"/>
  <c r="AQ131" i="72"/>
  <c r="AR131" i="72" s="1"/>
  <c r="AQ133" i="72"/>
  <c r="AR133" i="72" s="1"/>
  <c r="AQ135" i="72"/>
  <c r="AR135" i="72" s="1"/>
  <c r="AQ137" i="72"/>
  <c r="AR137" i="72" s="1"/>
  <c r="AQ139" i="72"/>
  <c r="AR139" i="72" s="1"/>
  <c r="AQ141" i="72"/>
  <c r="AR141" i="72" s="1"/>
  <c r="AQ143" i="72"/>
  <c r="AR143" i="72" s="1"/>
  <c r="AQ192" i="72"/>
  <c r="AR192" i="72" s="1"/>
  <c r="AR201" i="72"/>
  <c r="AQ206" i="72"/>
  <c r="AR206" i="72" s="1"/>
  <c r="AQ217" i="72"/>
  <c r="AR217" i="72" s="1"/>
  <c r="AR51" i="72"/>
  <c r="AQ54" i="72"/>
  <c r="AR54" i="72" s="1"/>
  <c r="X145" i="72"/>
  <c r="AQ145" i="72" s="1"/>
  <c r="X148" i="72"/>
  <c r="AQ148" i="72" s="1"/>
  <c r="AR148" i="72" s="1"/>
  <c r="X159" i="72"/>
  <c r="AQ159" i="72" s="1"/>
  <c r="AR159" i="72" s="1"/>
  <c r="AQ178" i="72"/>
  <c r="AR178" i="72" s="1"/>
  <c r="X186" i="72"/>
  <c r="AQ186" i="72" s="1"/>
  <c r="AR186" i="72" s="1"/>
  <c r="AR193" i="72"/>
  <c r="X212" i="72"/>
  <c r="X145" i="73"/>
  <c r="AK108" i="73"/>
  <c r="X148" i="73"/>
  <c r="X160" i="73"/>
  <c r="AQ162" i="72"/>
  <c r="AR162" i="72" s="1"/>
  <c r="AQ165" i="72"/>
  <c r="AR5" i="72"/>
  <c r="AQ10" i="72"/>
  <c r="AQ13" i="72"/>
  <c r="AR13" i="72" s="1"/>
  <c r="AQ21" i="72"/>
  <c r="AR21" i="72" s="1"/>
  <c r="AQ24" i="72"/>
  <c r="AR24" i="72" s="1"/>
  <c r="AQ29" i="72"/>
  <c r="AR29" i="72" s="1"/>
  <c r="AQ64" i="72"/>
  <c r="AR64" i="72" s="1"/>
  <c r="AR65" i="72"/>
  <c r="AQ68" i="72"/>
  <c r="AR68" i="72" s="1"/>
  <c r="AQ72" i="72"/>
  <c r="AR72" i="72" s="1"/>
  <c r="AR73" i="72"/>
  <c r="AQ76" i="72"/>
  <c r="AR76" i="72" s="1"/>
  <c r="AQ80" i="72"/>
  <c r="AR80" i="72" s="1"/>
  <c r="AQ84" i="72"/>
  <c r="AR84" i="72" s="1"/>
  <c r="AR89" i="72"/>
  <c r="AQ101" i="72"/>
  <c r="AR101" i="72" s="1"/>
  <c r="AQ102" i="72"/>
  <c r="AR102" i="72" s="1"/>
  <c r="AQ118" i="72"/>
  <c r="AR118" i="72" s="1"/>
  <c r="AR157" i="72"/>
  <c r="AQ166" i="72"/>
  <c r="AR166" i="72" s="1"/>
  <c r="AQ172" i="72"/>
  <c r="AR172" i="72" s="1"/>
  <c r="AQ176" i="72"/>
  <c r="AR176" i="72" s="1"/>
  <c r="AR177" i="72"/>
  <c r="AQ189" i="72"/>
  <c r="AR189" i="72" s="1"/>
  <c r="AQ190" i="72"/>
  <c r="AR190" i="72" s="1"/>
  <c r="AR191" i="72"/>
  <c r="AQ196" i="72"/>
  <c r="AQ215" i="72"/>
  <c r="AR215" i="72" s="1"/>
  <c r="AR216" i="72"/>
  <c r="AQ220" i="72"/>
  <c r="AR220" i="72" s="1"/>
  <c r="AQ222" i="72"/>
  <c r="AR222" i="72" s="1"/>
  <c r="AR223" i="72"/>
  <c r="AQ230" i="72"/>
  <c r="AR230" i="72" s="1"/>
  <c r="AQ232" i="72"/>
  <c r="AR232" i="72" s="1"/>
  <c r="AQ239" i="72"/>
  <c r="AR239" i="72" s="1"/>
  <c r="AQ246" i="72"/>
  <c r="AR246" i="72" s="1"/>
  <c r="AQ249" i="72"/>
  <c r="AQ48" i="72"/>
  <c r="AR48" i="72" s="1"/>
  <c r="AQ96" i="72"/>
  <c r="AR96" i="72" s="1"/>
  <c r="AQ100" i="72"/>
  <c r="AR100" i="72" s="1"/>
  <c r="AQ104" i="72"/>
  <c r="AR104" i="72" s="1"/>
  <c r="AQ114" i="72"/>
  <c r="AR114" i="72" s="1"/>
  <c r="AQ117" i="72"/>
  <c r="AQ153" i="72"/>
  <c r="AR153" i="72" s="1"/>
  <c r="AQ158" i="72"/>
  <c r="AR158" i="72" s="1"/>
  <c r="AQ4" i="72"/>
  <c r="AR4" i="72" s="1"/>
  <c r="AR7" i="72"/>
  <c r="AQ8" i="72"/>
  <c r="AR8" i="72" s="1"/>
  <c r="AQ11" i="72"/>
  <c r="AR11" i="72" s="1"/>
  <c r="AR12" i="72"/>
  <c r="AR15" i="72"/>
  <c r="AQ16" i="72"/>
  <c r="AR16" i="72" s="1"/>
  <c r="AQ22" i="72"/>
  <c r="AR22" i="72" s="1"/>
  <c r="AR26" i="72"/>
  <c r="AQ27" i="72"/>
  <c r="AR27" i="72" s="1"/>
  <c r="AQ30" i="72"/>
  <c r="AR30" i="72" s="1"/>
  <c r="AR31" i="72"/>
  <c r="AR59" i="72"/>
  <c r="AQ106" i="72"/>
  <c r="AR106" i="72" s="1"/>
  <c r="AQ110" i="72"/>
  <c r="AR110" i="72" s="1"/>
  <c r="AQ180" i="72"/>
  <c r="AR180" i="72" s="1"/>
  <c r="AQ182" i="72"/>
  <c r="AR182" i="72" s="1"/>
  <c r="AQ184" i="72"/>
  <c r="AR184" i="72" s="1"/>
  <c r="AQ188" i="72"/>
  <c r="AR188" i="72" s="1"/>
  <c r="AQ204" i="72"/>
  <c r="AR204" i="72" s="1"/>
  <c r="AR205" i="72"/>
  <c r="AQ225" i="72"/>
  <c r="AR225" i="72" s="1"/>
  <c r="AQ228" i="72"/>
  <c r="AR228" i="72" s="1"/>
  <c r="AQ233" i="72"/>
  <c r="AR233" i="72" s="1"/>
  <c r="AR235" i="72"/>
  <c r="AQ241" i="72"/>
  <c r="AR241" i="72" s="1"/>
  <c r="AQ247" i="72"/>
  <c r="AR247" i="72" s="1"/>
  <c r="AQ250" i="72"/>
  <c r="AR250" i="72" s="1"/>
  <c r="AQ254" i="72"/>
  <c r="AR254" i="72" s="1"/>
  <c r="AR9" i="72"/>
  <c r="AR17" i="72"/>
  <c r="AQ19" i="72"/>
  <c r="AR19" i="72" s="1"/>
  <c r="AR20" i="72"/>
  <c r="AR28" i="72"/>
  <c r="AR10" i="72"/>
  <c r="AR14" i="72"/>
  <c r="BB18" i="72"/>
  <c r="AP18" i="72" s="1"/>
  <c r="AQ33" i="72"/>
  <c r="AR33" i="72" s="1"/>
  <c r="BB33" i="72"/>
  <c r="AP33" i="72" s="1"/>
  <c r="AL39" i="72"/>
  <c r="AQ41" i="72"/>
  <c r="AR41" i="72" s="1"/>
  <c r="BB41" i="72"/>
  <c r="AP41" i="72" s="1"/>
  <c r="BB45" i="72"/>
  <c r="AP45" i="72" s="1"/>
  <c r="BB53" i="72"/>
  <c r="AP53" i="72" s="1"/>
  <c r="BB61" i="72"/>
  <c r="AP61" i="72" s="1"/>
  <c r="BB8" i="72"/>
  <c r="AP8" i="72" s="1"/>
  <c r="BB10" i="72"/>
  <c r="AP10" i="72" s="1"/>
  <c r="BB12" i="72"/>
  <c r="AP12" i="72" s="1"/>
  <c r="BB14" i="72"/>
  <c r="AP14" i="72" s="1"/>
  <c r="BB16" i="72"/>
  <c r="AP16" i="72" s="1"/>
  <c r="BB21" i="72"/>
  <c r="AP21" i="72" s="1"/>
  <c r="BB23" i="72"/>
  <c r="AP23" i="72" s="1"/>
  <c r="BB25" i="72"/>
  <c r="AP25" i="72" s="1"/>
  <c r="BB27" i="72"/>
  <c r="AP27" i="72" s="1"/>
  <c r="BB29" i="72"/>
  <c r="AP29" i="72" s="1"/>
  <c r="BB31" i="72"/>
  <c r="AP31" i="72" s="1"/>
  <c r="AQ39" i="72"/>
  <c r="AR39" i="72" s="1"/>
  <c r="BB43" i="72"/>
  <c r="AP43" i="72" s="1"/>
  <c r="BB47" i="72"/>
  <c r="AP47" i="72" s="1"/>
  <c r="BB55" i="72"/>
  <c r="AP55" i="72" s="1"/>
  <c r="BB63" i="72"/>
  <c r="AP63" i="72" s="1"/>
  <c r="AQ91" i="72"/>
  <c r="AR91" i="72" s="1"/>
  <c r="AQ93" i="72"/>
  <c r="AR93" i="72" s="1"/>
  <c r="BB4" i="72"/>
  <c r="AP4" i="72" s="1"/>
  <c r="AM5" i="72"/>
  <c r="BB6" i="72"/>
  <c r="AP6" i="72" s="1"/>
  <c r="AQ37" i="72"/>
  <c r="AR37" i="72" s="1"/>
  <c r="BB37" i="72"/>
  <c r="AP37" i="72" s="1"/>
  <c r="AM38" i="72"/>
  <c r="BB49" i="72"/>
  <c r="AP49" i="72" s="1"/>
  <c r="AR53" i="72"/>
  <c r="BB57" i="72"/>
  <c r="AP57" i="72" s="1"/>
  <c r="AR61" i="72"/>
  <c r="AR69" i="72"/>
  <c r="AR77" i="72"/>
  <c r="AR85" i="72"/>
  <c r="AQ88" i="72"/>
  <c r="AR88" i="72" s="1"/>
  <c r="AQ35" i="72"/>
  <c r="AR35" i="72" s="1"/>
  <c r="BB35" i="72"/>
  <c r="AP35" i="72" s="1"/>
  <c r="AM36" i="72"/>
  <c r="AQ43" i="72"/>
  <c r="AR43" i="72" s="1"/>
  <c r="AR47" i="72"/>
  <c r="BB51" i="72"/>
  <c r="AP51" i="72" s="1"/>
  <c r="AR55" i="72"/>
  <c r="BB59" i="72"/>
  <c r="AP59" i="72" s="1"/>
  <c r="AR63" i="72"/>
  <c r="AR67" i="72"/>
  <c r="AR75" i="72"/>
  <c r="AR83" i="72"/>
  <c r="BB65" i="72"/>
  <c r="AP65" i="72" s="1"/>
  <c r="BB67" i="72"/>
  <c r="AP67" i="72" s="1"/>
  <c r="BB69" i="72"/>
  <c r="AP69" i="72" s="1"/>
  <c r="BB71" i="72"/>
  <c r="AP71" i="72" s="1"/>
  <c r="BB73" i="72"/>
  <c r="AP73" i="72" s="1"/>
  <c r="BB75" i="72"/>
  <c r="AP75" i="72" s="1"/>
  <c r="BB77" i="72"/>
  <c r="AP77" i="72" s="1"/>
  <c r="BB79" i="72"/>
  <c r="AP79" i="72" s="1"/>
  <c r="BB81" i="72"/>
  <c r="AP81" i="72" s="1"/>
  <c r="BB83" i="72"/>
  <c r="AP83" i="72" s="1"/>
  <c r="BB85" i="72"/>
  <c r="AP85" i="72" s="1"/>
  <c r="BB87" i="72"/>
  <c r="AP87" i="72" s="1"/>
  <c r="BB99" i="72"/>
  <c r="AP99" i="72" s="1"/>
  <c r="AM89" i="72"/>
  <c r="BB90" i="72"/>
  <c r="AP90" i="72" s="1"/>
  <c r="AM91" i="72"/>
  <c r="BB92" i="72"/>
  <c r="AP92" i="72" s="1"/>
  <c r="AM93" i="72"/>
  <c r="BB94" i="72"/>
  <c r="AP94" i="72" s="1"/>
  <c r="AQ97" i="72"/>
  <c r="AR97" i="72" s="1"/>
  <c r="AQ105" i="72"/>
  <c r="AR105" i="72" s="1"/>
  <c r="BB105" i="72"/>
  <c r="AP105" i="72" s="1"/>
  <c r="AR108" i="72"/>
  <c r="AQ109" i="72"/>
  <c r="AR109" i="72" s="1"/>
  <c r="AQ122" i="72"/>
  <c r="AR122" i="72" s="1"/>
  <c r="AQ124" i="72"/>
  <c r="AR124" i="72" s="1"/>
  <c r="AQ126" i="72"/>
  <c r="AR126" i="72" s="1"/>
  <c r="AQ128" i="72"/>
  <c r="AR128" i="72" s="1"/>
  <c r="AQ130" i="72"/>
  <c r="AR130" i="72" s="1"/>
  <c r="AQ132" i="72"/>
  <c r="AR132" i="72" s="1"/>
  <c r="AQ134" i="72"/>
  <c r="AR134" i="72" s="1"/>
  <c r="AQ136" i="72"/>
  <c r="AR136" i="72" s="1"/>
  <c r="AQ138" i="72"/>
  <c r="AR138" i="72" s="1"/>
  <c r="AQ140" i="72"/>
  <c r="AR140" i="72" s="1"/>
  <c r="AQ142" i="72"/>
  <c r="AR142" i="72" s="1"/>
  <c r="AQ144" i="72"/>
  <c r="AR144" i="72" s="1"/>
  <c r="X146" i="72"/>
  <c r="AQ146" i="72" s="1"/>
  <c r="AR146" i="72" s="1"/>
  <c r="AR151" i="72"/>
  <c r="AM96" i="72"/>
  <c r="AQ99" i="72"/>
  <c r="AR99" i="72" s="1"/>
  <c r="BB102" i="72"/>
  <c r="AP102" i="72" s="1"/>
  <c r="AM102" i="72"/>
  <c r="AQ115" i="72"/>
  <c r="AR115" i="72" s="1"/>
  <c r="AQ147" i="72"/>
  <c r="AR147" i="72" s="1"/>
  <c r="AR152" i="72"/>
  <c r="AR154" i="72"/>
  <c r="AR116" i="72"/>
  <c r="AR117" i="72"/>
  <c r="AR145" i="72"/>
  <c r="BB109" i="72"/>
  <c r="AP109" i="72" s="1"/>
  <c r="BB111" i="72"/>
  <c r="AP111" i="72" s="1"/>
  <c r="BB116" i="72"/>
  <c r="AP116" i="72" s="1"/>
  <c r="BB117" i="72"/>
  <c r="AP117" i="72" s="1"/>
  <c r="BB119" i="72"/>
  <c r="AP119" i="72" s="1"/>
  <c r="BB152" i="72"/>
  <c r="AP152" i="72" s="1"/>
  <c r="BB156" i="72"/>
  <c r="AP156" i="72" s="1"/>
  <c r="BB161" i="72"/>
  <c r="AP161" i="72" s="1"/>
  <c r="BB171" i="72"/>
  <c r="AP171" i="72" s="1"/>
  <c r="BB179" i="72"/>
  <c r="AP179" i="72" s="1"/>
  <c r="BB181" i="72"/>
  <c r="AP181" i="72" s="1"/>
  <c r="BB183" i="72"/>
  <c r="AP183" i="72" s="1"/>
  <c r="BB207" i="72"/>
  <c r="AP207" i="72" s="1"/>
  <c r="BB212" i="72"/>
  <c r="AP212" i="72" s="1"/>
  <c r="BB218" i="72"/>
  <c r="AP218" i="72" s="1"/>
  <c r="AM218" i="72"/>
  <c r="BB101" i="72"/>
  <c r="AP101" i="72" s="1"/>
  <c r="BB103" i="72"/>
  <c r="AP103" i="72" s="1"/>
  <c r="BB112" i="72"/>
  <c r="AP112" i="72" s="1"/>
  <c r="AM113" i="72"/>
  <c r="AM121" i="72"/>
  <c r="BB122" i="72"/>
  <c r="AP122" i="72" s="1"/>
  <c r="AM123" i="72"/>
  <c r="BB124" i="72"/>
  <c r="AP124" i="72" s="1"/>
  <c r="AM125" i="72"/>
  <c r="BB126" i="72"/>
  <c r="AP126" i="72" s="1"/>
  <c r="AM127" i="72"/>
  <c r="BB128" i="72"/>
  <c r="AP128" i="72" s="1"/>
  <c r="AM129" i="72"/>
  <c r="BB130" i="72"/>
  <c r="AP130" i="72" s="1"/>
  <c r="AM131" i="72"/>
  <c r="BB132" i="72"/>
  <c r="AP132" i="72" s="1"/>
  <c r="AM133" i="72"/>
  <c r="BB134" i="72"/>
  <c r="AP134" i="72" s="1"/>
  <c r="AM135" i="72"/>
  <c r="BB136" i="72"/>
  <c r="AP136" i="72" s="1"/>
  <c r="AM137" i="72"/>
  <c r="BB138" i="72"/>
  <c r="AP138" i="72" s="1"/>
  <c r="AM139" i="72"/>
  <c r="BB140" i="72"/>
  <c r="AP140" i="72" s="1"/>
  <c r="AM141" i="72"/>
  <c r="BB142" i="72"/>
  <c r="AP142" i="72" s="1"/>
  <c r="AM143" i="72"/>
  <c r="BB144" i="72"/>
  <c r="AP144" i="72" s="1"/>
  <c r="AM149" i="72"/>
  <c r="BB153" i="72"/>
  <c r="AP153" i="72" s="1"/>
  <c r="AM155" i="72"/>
  <c r="BB157" i="72"/>
  <c r="AP157" i="72" s="1"/>
  <c r="AM159" i="72"/>
  <c r="BB173" i="72"/>
  <c r="AP173" i="72" s="1"/>
  <c r="BB199" i="72"/>
  <c r="AP199" i="72" s="1"/>
  <c r="BB210" i="72"/>
  <c r="AP210" i="72" s="1"/>
  <c r="AM210" i="72"/>
  <c r="BB106" i="72"/>
  <c r="AP106" i="72" s="1"/>
  <c r="BB107" i="72"/>
  <c r="AP107" i="72" s="1"/>
  <c r="BB108" i="72"/>
  <c r="AP108" i="72" s="1"/>
  <c r="BB110" i="72"/>
  <c r="AP110" i="72" s="1"/>
  <c r="BB115" i="72"/>
  <c r="AP115" i="72" s="1"/>
  <c r="BB154" i="72"/>
  <c r="AP154" i="72" s="1"/>
  <c r="BB158" i="72"/>
  <c r="AP158" i="72" s="1"/>
  <c r="AM160" i="72"/>
  <c r="BB175" i="72"/>
  <c r="AP175" i="72" s="1"/>
  <c r="BB180" i="72"/>
  <c r="AP180" i="72" s="1"/>
  <c r="BB182" i="72"/>
  <c r="AP182" i="72" s="1"/>
  <c r="AQ183" i="72"/>
  <c r="AR183" i="72" s="1"/>
  <c r="BB184" i="72"/>
  <c r="AP184" i="72" s="1"/>
  <c r="AQ185" i="72"/>
  <c r="AR185" i="72" s="1"/>
  <c r="AR187" i="72"/>
  <c r="BB197" i="72"/>
  <c r="AP197" i="72" s="1"/>
  <c r="BB163" i="72"/>
  <c r="AP163" i="72" s="1"/>
  <c r="AR165" i="72"/>
  <c r="BB169" i="72"/>
  <c r="AP169" i="72" s="1"/>
  <c r="AR173" i="72"/>
  <c r="BB177" i="72"/>
  <c r="AP177" i="72" s="1"/>
  <c r="BB187" i="72"/>
  <c r="AP187" i="72" s="1"/>
  <c r="AM187" i="72"/>
  <c r="AM188" i="72"/>
  <c r="BB195" i="72"/>
  <c r="AP195" i="72" s="1"/>
  <c r="AR202" i="72"/>
  <c r="BB203" i="72"/>
  <c r="AP203" i="72" s="1"/>
  <c r="BB209" i="72"/>
  <c r="AP209" i="72" s="1"/>
  <c r="BB214" i="72"/>
  <c r="AP214" i="72" s="1"/>
  <c r="AM185" i="72"/>
  <c r="BB191" i="72"/>
  <c r="AP191" i="72" s="1"/>
  <c r="AR195" i="72"/>
  <c r="AR196" i="72"/>
  <c r="AQ197" i="72"/>
  <c r="AR197" i="72" s="1"/>
  <c r="AR198" i="72"/>
  <c r="AQ199" i="72"/>
  <c r="AR199" i="72" s="1"/>
  <c r="AR200" i="72"/>
  <c r="AR203" i="72"/>
  <c r="AR207" i="72"/>
  <c r="AQ211" i="72"/>
  <c r="AR211" i="72" s="1"/>
  <c r="AQ212" i="72"/>
  <c r="AR212" i="72" s="1"/>
  <c r="BB216" i="72"/>
  <c r="AP216" i="72" s="1"/>
  <c r="BB193" i="72"/>
  <c r="AP193" i="72" s="1"/>
  <c r="BB201" i="72"/>
  <c r="AP201" i="72" s="1"/>
  <c r="BB205" i="72"/>
  <c r="AP205" i="72" s="1"/>
  <c r="AR209" i="72"/>
  <c r="AR210" i="72"/>
  <c r="AR214" i="72"/>
  <c r="AM233" i="72"/>
  <c r="BB233" i="72"/>
  <c r="AP233" i="72" s="1"/>
  <c r="AQ238" i="72"/>
  <c r="AR238" i="72" s="1"/>
  <c r="BB211" i="72"/>
  <c r="AP211" i="72" s="1"/>
  <c r="AR224" i="72"/>
  <c r="AR226" i="72"/>
  <c r="AQ227" i="72"/>
  <c r="AR227" i="72" s="1"/>
  <c r="AQ229" i="72"/>
  <c r="AR229" i="72" s="1"/>
  <c r="AQ231" i="72"/>
  <c r="AR231" i="72" s="1"/>
  <c r="AM239" i="72"/>
  <c r="BB239" i="72"/>
  <c r="AP239" i="72" s="1"/>
  <c r="AR248" i="72"/>
  <c r="AR252" i="72"/>
  <c r="BB219" i="72"/>
  <c r="AP219" i="72" s="1"/>
  <c r="AM237" i="72"/>
  <c r="BB237" i="72"/>
  <c r="AP237" i="72" s="1"/>
  <c r="AQ244" i="72"/>
  <c r="AR244" i="72" s="1"/>
  <c r="AR245" i="72"/>
  <c r="AR249" i="72"/>
  <c r="AQ251" i="72"/>
  <c r="AR251" i="72" s="1"/>
  <c r="AQ219" i="72"/>
  <c r="AR219" i="72" s="1"/>
  <c r="BB221" i="72"/>
  <c r="AP221" i="72" s="1"/>
  <c r="BB223" i="72"/>
  <c r="AP223" i="72" s="1"/>
  <c r="BB225" i="72"/>
  <c r="AP225" i="72" s="1"/>
  <c r="BB227" i="72"/>
  <c r="AP227" i="72" s="1"/>
  <c r="BB229" i="72"/>
  <c r="AP229" i="72" s="1"/>
  <c r="AM235" i="72"/>
  <c r="BB235" i="72"/>
  <c r="AP235" i="72" s="1"/>
  <c r="AQ240" i="72"/>
  <c r="AR240" i="72" s="1"/>
  <c r="AQ253" i="72"/>
  <c r="AR253" i="72" s="1"/>
  <c r="AR256" i="72"/>
  <c r="BB241" i="72"/>
  <c r="AP241" i="72" s="1"/>
  <c r="BB243" i="72"/>
  <c r="AP243" i="72" s="1"/>
  <c r="BB250" i="72"/>
  <c r="AP250" i="72" s="1"/>
  <c r="BB252" i="72"/>
  <c r="AP252" i="72" s="1"/>
  <c r="BB254" i="72"/>
  <c r="AP254" i="72" s="1"/>
  <c r="BB256" i="72"/>
  <c r="AP256" i="72" s="1"/>
  <c r="BB246" i="72"/>
  <c r="AP246" i="72" s="1"/>
  <c r="BB248" i="72"/>
  <c r="AP248" i="72" s="1"/>
  <c r="AP16" i="71"/>
  <c r="AQ16" i="71" s="1"/>
  <c r="AP124" i="71"/>
  <c r="AQ124" i="71" s="1"/>
  <c r="AP127" i="71"/>
  <c r="AQ127" i="71" s="1"/>
  <c r="W138" i="71"/>
  <c r="AP138" i="71" s="1"/>
  <c r="AQ138" i="71" s="1"/>
  <c r="W148" i="71"/>
  <c r="AP148" i="71" s="1"/>
  <c r="W149" i="71"/>
  <c r="AP149" i="71" s="1"/>
  <c r="AQ149" i="71" s="1"/>
  <c r="AP194" i="71"/>
  <c r="AQ194" i="71" s="1"/>
  <c r="AP208" i="71"/>
  <c r="AQ208" i="71" s="1"/>
  <c r="AP212" i="71"/>
  <c r="AP4" i="71"/>
  <c r="AQ4" i="71" s="1"/>
  <c r="AP21" i="71"/>
  <c r="AQ21" i="71" s="1"/>
  <c r="W7" i="71"/>
  <c r="AP7" i="71" s="1"/>
  <c r="AQ7" i="71" s="1"/>
  <c r="W8" i="71"/>
  <c r="AP8" i="71" s="1"/>
  <c r="AQ8" i="71" s="1"/>
  <c r="AQ34" i="71"/>
  <c r="AQ36" i="71"/>
  <c r="AQ58" i="71"/>
  <c r="W137" i="71"/>
  <c r="AP137" i="71" s="1"/>
  <c r="AQ137" i="71" s="1"/>
  <c r="W141" i="71"/>
  <c r="AP141" i="71" s="1"/>
  <c r="AQ141" i="71" s="1"/>
  <c r="W152" i="71"/>
  <c r="AP152" i="71" s="1"/>
  <c r="AQ152" i="71" s="1"/>
  <c r="W168" i="71"/>
  <c r="AP168" i="71" s="1"/>
  <c r="AQ168" i="71" s="1"/>
  <c r="W192" i="71"/>
  <c r="AP192" i="71" s="1"/>
  <c r="AQ192" i="71" s="1"/>
  <c r="AP79" i="71"/>
  <c r="AP89" i="71"/>
  <c r="AQ89" i="71" s="1"/>
  <c r="AP97" i="71"/>
  <c r="AQ97" i="71" s="1"/>
  <c r="AP105" i="71"/>
  <c r="AQ105" i="71" s="1"/>
  <c r="AP120" i="71"/>
  <c r="AP71" i="71"/>
  <c r="AQ71" i="71" s="1"/>
  <c r="AP74" i="71"/>
  <c r="AQ74" i="71" s="1"/>
  <c r="AP24" i="71"/>
  <c r="AQ24" i="71" s="1"/>
  <c r="AP30" i="71"/>
  <c r="AQ30" i="71" s="1"/>
  <c r="AP32" i="71"/>
  <c r="AQ32" i="71" s="1"/>
  <c r="AP38" i="71"/>
  <c r="AQ38" i="71" s="1"/>
  <c r="AP46" i="71"/>
  <c r="AQ46" i="71" s="1"/>
  <c r="AP48" i="71"/>
  <c r="AQ48" i="71" s="1"/>
  <c r="AP56" i="71"/>
  <c r="AQ56" i="71" s="1"/>
  <c r="AP62" i="71"/>
  <c r="AQ62" i="71" s="1"/>
  <c r="AP64" i="71"/>
  <c r="AQ64" i="71" s="1"/>
  <c r="AP107" i="71"/>
  <c r="AQ107" i="71" s="1"/>
  <c r="AJ108" i="71"/>
  <c r="AP119" i="71"/>
  <c r="AQ119" i="71" s="1"/>
  <c r="AP122" i="71"/>
  <c r="W130" i="71"/>
  <c r="AP130" i="71" s="1"/>
  <c r="AQ130" i="71" s="1"/>
  <c r="W139" i="71"/>
  <c r="AP139" i="71" s="1"/>
  <c r="AQ139" i="71" s="1"/>
  <c r="W150" i="71"/>
  <c r="AP150" i="71" s="1"/>
  <c r="AQ150" i="71" s="1"/>
  <c r="W154" i="71"/>
  <c r="AP154" i="71" s="1"/>
  <c r="AQ154" i="71" s="1"/>
  <c r="AP172" i="71"/>
  <c r="AQ172" i="71" s="1"/>
  <c r="AP175" i="71"/>
  <c r="AQ175" i="71" s="1"/>
  <c r="AP230" i="71"/>
  <c r="AQ230" i="71" s="1"/>
  <c r="AP10" i="71"/>
  <c r="AQ10" i="71" s="1"/>
  <c r="AP26" i="71"/>
  <c r="AQ26" i="71" s="1"/>
  <c r="AP29" i="71"/>
  <c r="AQ29" i="71" s="1"/>
  <c r="AP37" i="71"/>
  <c r="AQ37" i="71" s="1"/>
  <c r="AP49" i="71"/>
  <c r="AQ49" i="71" s="1"/>
  <c r="AP53" i="71"/>
  <c r="AQ53" i="71" s="1"/>
  <c r="AP69" i="71"/>
  <c r="AQ69" i="71" s="1"/>
  <c r="AP72" i="71"/>
  <c r="AQ72" i="71" s="1"/>
  <c r="AP80" i="71"/>
  <c r="AQ80" i="71" s="1"/>
  <c r="AP99" i="71"/>
  <c r="AQ99" i="71" s="1"/>
  <c r="AP125" i="71"/>
  <c r="AQ125" i="71" s="1"/>
  <c r="AP128" i="71"/>
  <c r="AQ128" i="71" s="1"/>
  <c r="AP142" i="71"/>
  <c r="AQ142" i="71" s="1"/>
  <c r="AP162" i="71"/>
  <c r="AQ162" i="71" s="1"/>
  <c r="AP33" i="71"/>
  <c r="AQ33" i="71" s="1"/>
  <c r="AP41" i="71"/>
  <c r="AQ41" i="71" s="1"/>
  <c r="AP45" i="71"/>
  <c r="AQ45" i="71" s="1"/>
  <c r="AP88" i="71"/>
  <c r="AQ88" i="71" s="1"/>
  <c r="AP12" i="71"/>
  <c r="AQ12" i="71" s="1"/>
  <c r="AP15" i="71"/>
  <c r="AP22" i="71"/>
  <c r="AQ22" i="71" s="1"/>
  <c r="AP25" i="71"/>
  <c r="AQ25" i="71" s="1"/>
  <c r="AP28" i="71"/>
  <c r="AQ28" i="71" s="1"/>
  <c r="AP61" i="71"/>
  <c r="AQ61" i="71" s="1"/>
  <c r="AP68" i="71"/>
  <c r="AQ68" i="71" s="1"/>
  <c r="AP76" i="71"/>
  <c r="AQ76" i="71" s="1"/>
  <c r="AP82" i="71"/>
  <c r="AQ82" i="71" s="1"/>
  <c r="AP93" i="71"/>
  <c r="AQ93" i="71" s="1"/>
  <c r="AP101" i="71"/>
  <c r="AQ101" i="71" s="1"/>
  <c r="AP110" i="71"/>
  <c r="AQ110" i="71" s="1"/>
  <c r="W205" i="71"/>
  <c r="AP205" i="71" s="1"/>
  <c r="AQ205" i="71" s="1"/>
  <c r="AQ114" i="71"/>
  <c r="AP123" i="71"/>
  <c r="AQ123" i="71" s="1"/>
  <c r="W132" i="71"/>
  <c r="AP132" i="71" s="1"/>
  <c r="AQ132" i="71" s="1"/>
  <c r="W135" i="71"/>
  <c r="AP135" i="71" s="1"/>
  <c r="AQ135" i="71" s="1"/>
  <c r="W136" i="71"/>
  <c r="AP136" i="71" s="1"/>
  <c r="W161" i="71"/>
  <c r="AP161" i="71" s="1"/>
  <c r="AQ161" i="71" s="1"/>
  <c r="AQ167" i="71"/>
  <c r="AP174" i="71"/>
  <c r="AQ174" i="71" s="1"/>
  <c r="AP193" i="71"/>
  <c r="AQ193" i="71" s="1"/>
  <c r="AP197" i="71"/>
  <c r="AQ197" i="71" s="1"/>
  <c r="W206" i="71"/>
  <c r="AP206" i="71" s="1"/>
  <c r="AQ206" i="71" s="1"/>
  <c r="AP207" i="71"/>
  <c r="AQ207" i="71" s="1"/>
  <c r="AP217" i="71"/>
  <c r="AQ217" i="71" s="1"/>
  <c r="AP228" i="71"/>
  <c r="AQ228" i="71" s="1"/>
  <c r="AP232" i="71"/>
  <c r="AQ232" i="71" s="1"/>
  <c r="AP199" i="71"/>
  <c r="AQ199" i="71" s="1"/>
  <c r="AP211" i="71"/>
  <c r="AQ211" i="71" s="1"/>
  <c r="AP216" i="71"/>
  <c r="AQ216" i="71" s="1"/>
  <c r="AQ224" i="71"/>
  <c r="AP227" i="71"/>
  <c r="AQ227" i="71" s="1"/>
  <c r="AP231" i="71"/>
  <c r="AQ231" i="71" s="1"/>
  <c r="AP235" i="71"/>
  <c r="AQ235" i="71" s="1"/>
  <c r="AP241" i="71"/>
  <c r="AQ241" i="71" s="1"/>
  <c r="AP246" i="71"/>
  <c r="AQ246" i="71" s="1"/>
  <c r="AP247" i="71"/>
  <c r="AQ247" i="71" s="1"/>
  <c r="AP252" i="71"/>
  <c r="AQ252" i="71" s="1"/>
  <c r="AP63" i="71"/>
  <c r="AQ63" i="71" s="1"/>
  <c r="AP77" i="71"/>
  <c r="AQ77" i="71" s="1"/>
  <c r="AP90" i="71"/>
  <c r="AQ90" i="71" s="1"/>
  <c r="AP98" i="71"/>
  <c r="AQ98" i="71" s="1"/>
  <c r="AQ131" i="71"/>
  <c r="AQ136" i="71"/>
  <c r="W140" i="71"/>
  <c r="AP140" i="71" s="1"/>
  <c r="AQ140" i="71" s="1"/>
  <c r="W143" i="71"/>
  <c r="AP143" i="71" s="1"/>
  <c r="W164" i="71"/>
  <c r="AP164" i="71" s="1"/>
  <c r="AQ164" i="71" s="1"/>
  <c r="W165" i="71"/>
  <c r="AP165" i="71" s="1"/>
  <c r="AQ165" i="71" s="1"/>
  <c r="W166" i="71"/>
  <c r="AP166" i="71" s="1"/>
  <c r="AQ166" i="71" s="1"/>
  <c r="W169" i="71"/>
  <c r="AP169" i="71" s="1"/>
  <c r="AQ169" i="71" s="1"/>
  <c r="W170" i="71"/>
  <c r="AP170" i="71" s="1"/>
  <c r="AQ170" i="71" s="1"/>
  <c r="W178" i="71"/>
  <c r="AP178" i="71" s="1"/>
  <c r="AQ178" i="71" s="1"/>
  <c r="W179" i="71"/>
  <c r="W180" i="71"/>
  <c r="AP180" i="71" s="1"/>
  <c r="AQ180" i="71" s="1"/>
  <c r="W190" i="71"/>
  <c r="AP190" i="71" s="1"/>
  <c r="AQ190" i="71" s="1"/>
  <c r="AP202" i="71"/>
  <c r="AQ202" i="71" s="1"/>
  <c r="W204" i="71"/>
  <c r="AP204" i="71" s="1"/>
  <c r="AQ204" i="71" s="1"/>
  <c r="AP225" i="71"/>
  <c r="AQ225" i="71" s="1"/>
  <c r="AP57" i="71"/>
  <c r="AQ57" i="71" s="1"/>
  <c r="AP65" i="71"/>
  <c r="AQ65" i="71" s="1"/>
  <c r="AP73" i="71"/>
  <c r="AP81" i="71"/>
  <c r="AQ81" i="71" s="1"/>
  <c r="AP96" i="71"/>
  <c r="AQ96" i="71" s="1"/>
  <c r="AP104" i="71"/>
  <c r="AQ104" i="71" s="1"/>
  <c r="AP106" i="71"/>
  <c r="W108" i="71"/>
  <c r="AP108" i="71" s="1"/>
  <c r="AQ108" i="71" s="1"/>
  <c r="AQ120" i="71"/>
  <c r="AQ122" i="71"/>
  <c r="AP11" i="71"/>
  <c r="AQ11" i="71" s="1"/>
  <c r="AP18" i="71"/>
  <c r="AQ18" i="71" s="1"/>
  <c r="AP23" i="71"/>
  <c r="AQ23" i="71" s="1"/>
  <c r="AP27" i="71"/>
  <c r="AQ27" i="71" s="1"/>
  <c r="AP31" i="71"/>
  <c r="AQ31" i="71" s="1"/>
  <c r="AP35" i="71"/>
  <c r="AQ35" i="71" s="1"/>
  <c r="AP39" i="71"/>
  <c r="AQ39" i="71" s="1"/>
  <c r="AP43" i="71"/>
  <c r="AQ43" i="71" s="1"/>
  <c r="AP47" i="71"/>
  <c r="AQ47" i="71" s="1"/>
  <c r="AP51" i="71"/>
  <c r="AQ51" i="71" s="1"/>
  <c r="AP59" i="71"/>
  <c r="AQ59" i="71" s="1"/>
  <c r="AP67" i="71"/>
  <c r="AQ67" i="71" s="1"/>
  <c r="AP75" i="71"/>
  <c r="AQ75" i="71" s="1"/>
  <c r="AP83" i="71"/>
  <c r="AQ83" i="71" s="1"/>
  <c r="AP85" i="71"/>
  <c r="AQ85" i="71" s="1"/>
  <c r="AP87" i="71"/>
  <c r="AQ87" i="71" s="1"/>
  <c r="AQ92" i="71"/>
  <c r="AP94" i="71"/>
  <c r="AQ94" i="71" s="1"/>
  <c r="AQ100" i="71"/>
  <c r="AP102" i="71"/>
  <c r="AQ102" i="71" s="1"/>
  <c r="AP109" i="71"/>
  <c r="AQ109" i="71" s="1"/>
  <c r="AP111" i="71"/>
  <c r="AQ111" i="71" s="1"/>
  <c r="AP113" i="71"/>
  <c r="AQ113" i="71" s="1"/>
  <c r="AP115" i="71"/>
  <c r="AQ115" i="71" s="1"/>
  <c r="W117" i="71"/>
  <c r="AP117" i="71" s="1"/>
  <c r="AQ117" i="71" s="1"/>
  <c r="AQ121" i="71"/>
  <c r="AQ73" i="71"/>
  <c r="W5" i="71"/>
  <c r="AP5" i="71" s="1"/>
  <c r="AQ5" i="71" s="1"/>
  <c r="W9" i="71"/>
  <c r="AP9" i="71" s="1"/>
  <c r="AQ9" i="71" s="1"/>
  <c r="AQ13" i="71"/>
  <c r="AQ15" i="71"/>
  <c r="AQ55" i="71"/>
  <c r="AQ79" i="71"/>
  <c r="AQ106" i="71"/>
  <c r="AQ116" i="71"/>
  <c r="W147" i="71"/>
  <c r="AP147" i="71" s="1"/>
  <c r="AQ147" i="71" s="1"/>
  <c r="AP158" i="71"/>
  <c r="AQ171" i="71"/>
  <c r="W176" i="71"/>
  <c r="AP176" i="71" s="1"/>
  <c r="AQ176" i="71" s="1"/>
  <c r="AP179" i="71"/>
  <c r="AQ179" i="71" s="1"/>
  <c r="AP129" i="71"/>
  <c r="AQ129" i="71" s="1"/>
  <c r="W134" i="71"/>
  <c r="AP134" i="71" s="1"/>
  <c r="AQ134" i="71" s="1"/>
  <c r="AQ143" i="71"/>
  <c r="W156" i="71"/>
  <c r="AP156" i="71" s="1"/>
  <c r="AQ156" i="71" s="1"/>
  <c r="W163" i="71"/>
  <c r="AP163" i="71" s="1"/>
  <c r="AQ163" i="71" s="1"/>
  <c r="W177" i="71"/>
  <c r="AP177" i="71" s="1"/>
  <c r="AQ177" i="71" s="1"/>
  <c r="AQ148" i="71"/>
  <c r="AQ158" i="71"/>
  <c r="AQ250" i="71"/>
  <c r="W182" i="71"/>
  <c r="AP182" i="71" s="1"/>
  <c r="AQ182" i="71" s="1"/>
  <c r="W184" i="71"/>
  <c r="AP184" i="71" s="1"/>
  <c r="AQ184" i="71" s="1"/>
  <c r="W186" i="71"/>
  <c r="AP186" i="71" s="1"/>
  <c r="AQ186" i="71" s="1"/>
  <c r="W188" i="71"/>
  <c r="AP188" i="71" s="1"/>
  <c r="AQ188" i="71" s="1"/>
  <c r="AP214" i="71"/>
  <c r="AQ214" i="71" s="1"/>
  <c r="AP222" i="71"/>
  <c r="AQ222" i="71" s="1"/>
  <c r="W181" i="71"/>
  <c r="AP181" i="71" s="1"/>
  <c r="AQ181" i="71" s="1"/>
  <c r="W191" i="71"/>
  <c r="AP191" i="71" s="1"/>
  <c r="AQ191" i="71" s="1"/>
  <c r="AP196" i="71"/>
  <c r="AQ196" i="71" s="1"/>
  <c r="AP200" i="71"/>
  <c r="AQ200" i="71" s="1"/>
  <c r="AQ212" i="71"/>
  <c r="AP215" i="71"/>
  <c r="AQ215" i="71" s="1"/>
  <c r="AQ219" i="71"/>
  <c r="AP223" i="71"/>
  <c r="AQ223" i="71" s="1"/>
  <c r="AQ233" i="71"/>
  <c r="AP240" i="71"/>
  <c r="AQ240" i="71" s="1"/>
  <c r="AP249" i="71"/>
  <c r="AQ249" i="71" s="1"/>
  <c r="AP251" i="71"/>
  <c r="AQ251" i="71" s="1"/>
  <c r="AP255" i="71"/>
  <c r="AQ255" i="71" s="1"/>
  <c r="W183" i="71"/>
  <c r="AP183" i="71" s="1"/>
  <c r="AQ183" i="71" s="1"/>
  <c r="W185" i="71"/>
  <c r="AP185" i="71" s="1"/>
  <c r="AQ185" i="71" s="1"/>
  <c r="W187" i="71"/>
  <c r="AP187" i="71" s="1"/>
  <c r="AQ187" i="71" s="1"/>
  <c r="W189" i="71"/>
  <c r="AP189" i="71" s="1"/>
  <c r="AQ189" i="71" s="1"/>
  <c r="AP218" i="71"/>
  <c r="AQ218" i="71" s="1"/>
  <c r="AP226" i="71"/>
  <c r="AQ226" i="71" s="1"/>
  <c r="AP234" i="71"/>
  <c r="AQ234" i="71" s="1"/>
  <c r="AP242" i="71"/>
  <c r="AQ242" i="71" s="1"/>
  <c r="AQ244" i="71"/>
  <c r="AP257" i="71"/>
  <c r="AQ257" i="71" s="1"/>
  <c r="X112" i="72" l="1"/>
  <c r="AQ112" i="72" s="1"/>
  <c r="AR112" i="72" s="1"/>
  <c r="G250" i="25"/>
  <c r="G16" i="25"/>
  <c r="G171" i="25"/>
</calcChain>
</file>

<file path=xl/sharedStrings.xml><?xml version="1.0" encoding="utf-8"?>
<sst xmlns="http://schemas.openxmlformats.org/spreadsheetml/2006/main" count="36658" uniqueCount="2812">
  <si>
    <t>DB_No</t>
    <phoneticPr fontId="7"/>
  </si>
  <si>
    <t>施設No</t>
    <rPh sb="0" eb="2">
      <t>シセツ</t>
    </rPh>
    <phoneticPr fontId="7"/>
  </si>
  <si>
    <t>設置年</t>
    <rPh sb="0" eb="2">
      <t>セッチ</t>
    </rPh>
    <rPh sb="2" eb="3">
      <t>トシ</t>
    </rPh>
    <phoneticPr fontId="8"/>
  </si>
  <si>
    <t>事業概要</t>
    <rPh sb="0" eb="2">
      <t>ジギョウ</t>
    </rPh>
    <rPh sb="2" eb="4">
      <t>ガイヨウ</t>
    </rPh>
    <phoneticPr fontId="9"/>
  </si>
  <si>
    <t>財産区分</t>
    <rPh sb="0" eb="2">
      <t>ザイサン</t>
    </rPh>
    <rPh sb="2" eb="4">
      <t>クブン</t>
    </rPh>
    <phoneticPr fontId="8"/>
  </si>
  <si>
    <t>施設大分類</t>
    <phoneticPr fontId="8"/>
  </si>
  <si>
    <t>施設中分類</t>
    <phoneticPr fontId="8"/>
  </si>
  <si>
    <t>施設形態</t>
    <rPh sb="0" eb="2">
      <t>シセツ</t>
    </rPh>
    <rPh sb="2" eb="4">
      <t>ケイタイ</t>
    </rPh>
    <phoneticPr fontId="7"/>
  </si>
  <si>
    <t>代表建築年</t>
    <rPh sb="0" eb="2">
      <t>ダイヒョウ</t>
    </rPh>
    <rPh sb="2" eb="4">
      <t>ケンチク</t>
    </rPh>
    <rPh sb="4" eb="5">
      <t>ネン</t>
    </rPh>
    <phoneticPr fontId="9"/>
  </si>
  <si>
    <t>併設施設</t>
    <rPh sb="0" eb="2">
      <t>ヘイセツ</t>
    </rPh>
    <rPh sb="2" eb="4">
      <t>シセツ</t>
    </rPh>
    <phoneticPr fontId="7"/>
  </si>
  <si>
    <t>敷地面積</t>
    <rPh sb="0" eb="2">
      <t>シキチ</t>
    </rPh>
    <rPh sb="2" eb="4">
      <t>メンセキ</t>
    </rPh>
    <phoneticPr fontId="7"/>
  </si>
  <si>
    <t>延床面積</t>
    <rPh sb="0" eb="1">
      <t>ノベ</t>
    </rPh>
    <rPh sb="1" eb="2">
      <t>ユカ</t>
    </rPh>
    <rPh sb="2" eb="4">
      <t>メンセキ</t>
    </rPh>
    <phoneticPr fontId="7"/>
  </si>
  <si>
    <t>敷地所有</t>
    <rPh sb="0" eb="2">
      <t>シキチ</t>
    </rPh>
    <rPh sb="2" eb="4">
      <t>ショユウ</t>
    </rPh>
    <phoneticPr fontId="9"/>
  </si>
  <si>
    <t>敷地借入先</t>
    <rPh sb="0" eb="2">
      <t>シキチ</t>
    </rPh>
    <rPh sb="2" eb="3">
      <t>カ</t>
    </rPh>
    <rPh sb="3" eb="4">
      <t>イ</t>
    </rPh>
    <rPh sb="4" eb="5">
      <t>サキ</t>
    </rPh>
    <phoneticPr fontId="9"/>
  </si>
  <si>
    <t>建物所有</t>
    <rPh sb="0" eb="2">
      <t>タテモノ</t>
    </rPh>
    <rPh sb="2" eb="4">
      <t>ショユウ</t>
    </rPh>
    <phoneticPr fontId="9"/>
  </si>
  <si>
    <t>建物借入先</t>
    <rPh sb="0" eb="2">
      <t>タテモノ</t>
    </rPh>
    <rPh sb="2" eb="3">
      <t>カ</t>
    </rPh>
    <rPh sb="3" eb="4">
      <t>イ</t>
    </rPh>
    <rPh sb="4" eb="5">
      <t>サキ</t>
    </rPh>
    <phoneticPr fontId="9"/>
  </si>
  <si>
    <t>住所</t>
    <rPh sb="0" eb="2">
      <t>ジュウショ</t>
    </rPh>
    <phoneticPr fontId="8"/>
  </si>
  <si>
    <t>用途地域</t>
    <rPh sb="0" eb="2">
      <t>ヨウト</t>
    </rPh>
    <rPh sb="2" eb="4">
      <t>チイキ</t>
    </rPh>
    <phoneticPr fontId="8"/>
  </si>
  <si>
    <t>特別用途地区</t>
    <rPh sb="0" eb="2">
      <t>トクベツ</t>
    </rPh>
    <rPh sb="2" eb="4">
      <t>ヨウト</t>
    </rPh>
    <rPh sb="4" eb="6">
      <t>チク</t>
    </rPh>
    <phoneticPr fontId="8"/>
  </si>
  <si>
    <t>高度地区</t>
    <rPh sb="0" eb="2">
      <t>コウド</t>
    </rPh>
    <rPh sb="2" eb="4">
      <t>チク</t>
    </rPh>
    <phoneticPr fontId="8"/>
  </si>
  <si>
    <t>防火・準防火地域</t>
    <rPh sb="0" eb="2">
      <t>ボウカ</t>
    </rPh>
    <rPh sb="3" eb="4">
      <t>ジュン</t>
    </rPh>
    <rPh sb="4" eb="6">
      <t>ボウカ</t>
    </rPh>
    <rPh sb="6" eb="8">
      <t>チイキ</t>
    </rPh>
    <phoneticPr fontId="8"/>
  </si>
  <si>
    <t>建蔽率</t>
    <rPh sb="0" eb="3">
      <t>ケンペイリツ</t>
    </rPh>
    <phoneticPr fontId="8"/>
  </si>
  <si>
    <t>容積率</t>
    <rPh sb="0" eb="2">
      <t>ヨウセキ</t>
    </rPh>
    <rPh sb="2" eb="3">
      <t>リツ</t>
    </rPh>
    <phoneticPr fontId="8"/>
  </si>
  <si>
    <t>避難洪水</t>
    <rPh sb="0" eb="2">
      <t>ヒナン</t>
    </rPh>
    <rPh sb="2" eb="4">
      <t>コウズイ</t>
    </rPh>
    <phoneticPr fontId="8"/>
  </si>
  <si>
    <t>避難土砂</t>
    <rPh sb="0" eb="2">
      <t>ヒナン</t>
    </rPh>
    <rPh sb="2" eb="4">
      <t>ドシャ</t>
    </rPh>
    <phoneticPr fontId="7"/>
  </si>
  <si>
    <t>避難地震</t>
    <rPh sb="0" eb="2">
      <t>ヒナン</t>
    </rPh>
    <rPh sb="2" eb="4">
      <t>ジシン</t>
    </rPh>
    <phoneticPr fontId="7"/>
  </si>
  <si>
    <t>避難火事</t>
    <rPh sb="0" eb="2">
      <t>ヒナン</t>
    </rPh>
    <rPh sb="2" eb="4">
      <t>カジ</t>
    </rPh>
    <phoneticPr fontId="7"/>
  </si>
  <si>
    <t>選挙投票所</t>
    <phoneticPr fontId="8"/>
  </si>
  <si>
    <t>投票所番号</t>
    <rPh sb="0" eb="2">
      <t>トウヒョウ</t>
    </rPh>
    <rPh sb="2" eb="3">
      <t>ジョ</t>
    </rPh>
    <rPh sb="3" eb="5">
      <t>バンゴウ</t>
    </rPh>
    <phoneticPr fontId="7"/>
  </si>
  <si>
    <t>スロープ</t>
    <phoneticPr fontId="8"/>
  </si>
  <si>
    <t>インターホン</t>
    <phoneticPr fontId="8"/>
  </si>
  <si>
    <t>便所</t>
    <rPh sb="0" eb="2">
      <t>ベンジョ</t>
    </rPh>
    <phoneticPr fontId="8"/>
  </si>
  <si>
    <t>エンジンドア</t>
    <phoneticPr fontId="8"/>
  </si>
  <si>
    <t>点字ブロック</t>
    <rPh sb="0" eb="2">
      <t>テンジ</t>
    </rPh>
    <phoneticPr fontId="8"/>
  </si>
  <si>
    <t>手すり</t>
    <rPh sb="0" eb="1">
      <t>テ</t>
    </rPh>
    <phoneticPr fontId="8"/>
  </si>
  <si>
    <t>福祉条例適合</t>
    <rPh sb="0" eb="2">
      <t>フクシ</t>
    </rPh>
    <rPh sb="2" eb="4">
      <t>ジョウレイ</t>
    </rPh>
    <rPh sb="4" eb="6">
      <t>テキゴウ</t>
    </rPh>
    <phoneticPr fontId="9"/>
  </si>
  <si>
    <t>設置根拠法令・条例</t>
    <rPh sb="0" eb="2">
      <t>セッチ</t>
    </rPh>
    <rPh sb="2" eb="4">
      <t>コンキョ</t>
    </rPh>
    <rPh sb="4" eb="6">
      <t>ホウレイ</t>
    </rPh>
    <rPh sb="7" eb="9">
      <t>ジョウレイ</t>
    </rPh>
    <phoneticPr fontId="8"/>
  </si>
  <si>
    <t>その他規制</t>
    <rPh sb="2" eb="3">
      <t>タ</t>
    </rPh>
    <rPh sb="3" eb="5">
      <t>キセイ</t>
    </rPh>
    <phoneticPr fontId="8"/>
  </si>
  <si>
    <t>管理形態</t>
    <rPh sb="0" eb="2">
      <t>カンリ</t>
    </rPh>
    <rPh sb="2" eb="4">
      <t>ケイタイ</t>
    </rPh>
    <phoneticPr fontId="10"/>
  </si>
  <si>
    <t>指定期間（始）</t>
    <rPh sb="0" eb="2">
      <t>シテイ</t>
    </rPh>
    <rPh sb="2" eb="4">
      <t>キカン</t>
    </rPh>
    <rPh sb="5" eb="6">
      <t>ハジ</t>
    </rPh>
    <phoneticPr fontId="7"/>
  </si>
  <si>
    <t>指定期間（終）</t>
    <rPh sb="0" eb="2">
      <t>シテイ</t>
    </rPh>
    <rPh sb="2" eb="4">
      <t>キカン</t>
    </rPh>
    <rPh sb="5" eb="6">
      <t>オ</t>
    </rPh>
    <phoneticPr fontId="7"/>
  </si>
  <si>
    <t>委託先、指定管理者</t>
    <rPh sb="0" eb="2">
      <t>イタク</t>
    </rPh>
    <rPh sb="2" eb="3">
      <t>サキ</t>
    </rPh>
    <rPh sb="4" eb="6">
      <t>シテイ</t>
    </rPh>
    <rPh sb="6" eb="9">
      <t>カンリシャ</t>
    </rPh>
    <phoneticPr fontId="10"/>
  </si>
  <si>
    <t>管理者指定方法</t>
    <rPh sb="0" eb="3">
      <t>カンリシャ</t>
    </rPh>
    <rPh sb="3" eb="5">
      <t>シテイ</t>
    </rPh>
    <rPh sb="5" eb="7">
      <t>ホウホウ</t>
    </rPh>
    <phoneticPr fontId="11"/>
  </si>
  <si>
    <t>開館時間</t>
    <rPh sb="0" eb="1">
      <t>ヒラ</t>
    </rPh>
    <rPh sb="1" eb="2">
      <t>ヤカタ</t>
    </rPh>
    <rPh sb="2" eb="4">
      <t>ジカン</t>
    </rPh>
    <phoneticPr fontId="7"/>
  </si>
  <si>
    <t>休館日</t>
    <rPh sb="0" eb="3">
      <t>キュウカンビ</t>
    </rPh>
    <phoneticPr fontId="8"/>
  </si>
  <si>
    <t>主要室</t>
    <rPh sb="0" eb="2">
      <t>シュヨウ</t>
    </rPh>
    <rPh sb="2" eb="3">
      <t>シツ</t>
    </rPh>
    <phoneticPr fontId="8"/>
  </si>
  <si>
    <t>小学校区</t>
    <phoneticPr fontId="9"/>
  </si>
  <si>
    <t>所管課</t>
    <rPh sb="0" eb="2">
      <t>ショカン</t>
    </rPh>
    <rPh sb="2" eb="3">
      <t>カ</t>
    </rPh>
    <phoneticPr fontId="7"/>
  </si>
  <si>
    <t>所管部</t>
    <rPh sb="0" eb="2">
      <t>ショカン</t>
    </rPh>
    <rPh sb="2" eb="3">
      <t>ブ</t>
    </rPh>
    <phoneticPr fontId="7"/>
  </si>
  <si>
    <t>駐車場台数</t>
    <rPh sb="0" eb="3">
      <t>チュウシャジョウ</t>
    </rPh>
    <rPh sb="3" eb="5">
      <t>ダイスウ</t>
    </rPh>
    <phoneticPr fontId="8"/>
  </si>
  <si>
    <t>備考</t>
    <rPh sb="0" eb="2">
      <t>ビコウ</t>
    </rPh>
    <phoneticPr fontId="9"/>
  </si>
  <si>
    <t>001</t>
  </si>
  <si>
    <t>0282</t>
  </si>
  <si>
    <t>市役所本庁舎</t>
  </si>
  <si>
    <t>総務部</t>
  </si>
  <si>
    <t>総務部総務室管財課</t>
  </si>
  <si>
    <t>060</t>
  </si>
  <si>
    <t>伊丹市千僧1丁目1番地</t>
  </si>
  <si>
    <t>行政財産</t>
  </si>
  <si>
    <t>01行政系施設</t>
  </si>
  <si>
    <t>01庁舎等施設</t>
  </si>
  <si>
    <t>地方自治法</t>
  </si>
  <si>
    <t>1972</t>
  </si>
  <si>
    <t>○</t>
  </si>
  <si>
    <t>02稲野小</t>
  </si>
  <si>
    <t>複合</t>
  </si>
  <si>
    <t>―</t>
  </si>
  <si>
    <t>0</t>
  </si>
  <si>
    <t>市有</t>
  </si>
  <si>
    <t>市の行政事務の中核施設であり、各種の行政サービスを提供する場所として設置。</t>
  </si>
  <si>
    <t>第2種住居</t>
  </si>
  <si>
    <t>60</t>
  </si>
  <si>
    <t>200</t>
  </si>
  <si>
    <t>３種</t>
  </si>
  <si>
    <t>直営</t>
  </si>
  <si>
    <t>002</t>
  </si>
  <si>
    <t>0001</t>
  </si>
  <si>
    <t>神津支所</t>
  </si>
  <si>
    <t>市民自治部</t>
  </si>
  <si>
    <t>市民自治部まちづくり室市民課</t>
  </si>
  <si>
    <t>183</t>
  </si>
  <si>
    <t>伊丹市森本1丁目8番地22</t>
  </si>
  <si>
    <t>伊丹市役所支所設置条例</t>
  </si>
  <si>
    <t>1969</t>
  </si>
  <si>
    <t>2016</t>
  </si>
  <si>
    <t>04神津小</t>
  </si>
  <si>
    <t>工業</t>
  </si>
  <si>
    <t>9:00～17:30</t>
  </si>
  <si>
    <t>003</t>
  </si>
  <si>
    <t>0002</t>
  </si>
  <si>
    <t>北支所</t>
  </si>
  <si>
    <t>伊丹市北野4丁目30番地</t>
  </si>
  <si>
    <t>2004</t>
  </si>
  <si>
    <t>07天神川小</t>
  </si>
  <si>
    <t>北部学習センター,図書館北分館</t>
  </si>
  <si>
    <t>第1種住居</t>
  </si>
  <si>
    <t>004</t>
  </si>
  <si>
    <t>0003</t>
  </si>
  <si>
    <t>西分室</t>
  </si>
  <si>
    <t>2011</t>
  </si>
  <si>
    <t>16池尻小</t>
  </si>
  <si>
    <t>民地</t>
  </si>
  <si>
    <t>005</t>
  </si>
  <si>
    <t>0004</t>
  </si>
  <si>
    <t>南分室</t>
  </si>
  <si>
    <t>伊丹市御願塚3丁目8-11</t>
  </si>
  <si>
    <t>1971</t>
  </si>
  <si>
    <t>03南小</t>
  </si>
  <si>
    <t>南センター</t>
  </si>
  <si>
    <t>第1種低層住居専用</t>
  </si>
  <si>
    <t>50</t>
  </si>
  <si>
    <t>100</t>
  </si>
  <si>
    <t>１種</t>
  </si>
  <si>
    <t>006</t>
  </si>
  <si>
    <t>0005</t>
  </si>
  <si>
    <t>野間分室</t>
  </si>
  <si>
    <t>伊丹市野間北4丁目4-28</t>
  </si>
  <si>
    <t>1977</t>
  </si>
  <si>
    <t>12昆陽里小</t>
  </si>
  <si>
    <t>野間笠松センター</t>
  </si>
  <si>
    <t>第2種中高層住居専用</t>
  </si>
  <si>
    <t>２種</t>
  </si>
  <si>
    <t>007</t>
  </si>
  <si>
    <t>0403</t>
  </si>
  <si>
    <t>消費生活センター</t>
  </si>
  <si>
    <t>市民自治部まちづくり室消費生活センター</t>
  </si>
  <si>
    <t>180</t>
  </si>
  <si>
    <t>伊丹市宮ノ前2丁目2番2号</t>
  </si>
  <si>
    <t>消費者安全法,伊丹市立消費生活センター条例</t>
  </si>
  <si>
    <t>2001</t>
  </si>
  <si>
    <t>01伊丹小</t>
  </si>
  <si>
    <t>商業</t>
  </si>
  <si>
    <t>80</t>
  </si>
  <si>
    <t>400</t>
  </si>
  <si>
    <t>準防火</t>
  </si>
  <si>
    <t>高度利用地区、駐車場整備地区</t>
  </si>
  <si>
    <t>008</t>
  </si>
  <si>
    <t>0414</t>
  </si>
  <si>
    <t>保健センター</t>
  </si>
  <si>
    <t>健康福祉部</t>
  </si>
  <si>
    <t>健康福祉部保健医療推進室健康政策課</t>
  </si>
  <si>
    <t>325</t>
  </si>
  <si>
    <t>02啓発施設</t>
  </si>
  <si>
    <t>伊丹市立保健センター条例</t>
  </si>
  <si>
    <t>1985</t>
  </si>
  <si>
    <t>市民の生涯にわたる健康づくりの拠点として、総合的な保健サービスと市民による健康づくり活動の場を提供。</t>
  </si>
  <si>
    <t>009</t>
  </si>
  <si>
    <t>市民自治部共生推進室同和・人権推進課</t>
  </si>
  <si>
    <t>210</t>
  </si>
  <si>
    <t>1970</t>
  </si>
  <si>
    <t>14鈴原小</t>
  </si>
  <si>
    <t>単独</t>
  </si>
  <si>
    <t>公募</t>
  </si>
  <si>
    <t>010</t>
  </si>
  <si>
    <t>0338</t>
  </si>
  <si>
    <t>人権啓発センター(人権センター・児童館)</t>
  </si>
  <si>
    <t>市民自治部共生推進室人権啓発センター</t>
  </si>
  <si>
    <t>220</t>
  </si>
  <si>
    <t>伊丹市堀池2丁目2番20号</t>
  </si>
  <si>
    <t>伊丹市立人権啓発センター条例</t>
  </si>
  <si>
    <t>1974</t>
  </si>
  <si>
    <t>13摂陽小</t>
  </si>
  <si>
    <t>10</t>
  </si>
  <si>
    <t>堀池センター</t>
  </si>
  <si>
    <t>第1種中高層住居専用</t>
  </si>
  <si>
    <t>9:00～21:00（児童館の土は～17:30）</t>
  </si>
  <si>
    <t>多目的室,ふれあいｻﾛﾝ,料理実習室,教養室,ﾊﾟｿｺﾝﾙｰﾑ,休養室,児童館・ｽﾀｯﾌﾙｰﾑ,学習室,保育室,会議室,集会室など</t>
  </si>
  <si>
    <t>011</t>
  </si>
  <si>
    <t>1091</t>
  </si>
  <si>
    <t>総合教育センター</t>
  </si>
  <si>
    <t>教育委員会</t>
  </si>
  <si>
    <t>教育委員会学校教育部学校教育室総合教育センター</t>
  </si>
  <si>
    <t>648</t>
  </si>
  <si>
    <t>伊丹市立総合教育センター条例</t>
  </si>
  <si>
    <t>1994</t>
  </si>
  <si>
    <t>9:00～21:00(土：9:00～17:00)</t>
  </si>
  <si>
    <t>研修室１・２,講座室,多目的室</t>
  </si>
  <si>
    <t>012</t>
  </si>
  <si>
    <t>0021</t>
  </si>
  <si>
    <t>市民まちづくりプラザ</t>
  </si>
  <si>
    <t>市民自治部まちづくり室まちづくり推進課</t>
  </si>
  <si>
    <t>170</t>
  </si>
  <si>
    <t>私有財産</t>
  </si>
  <si>
    <t>伊丹市立市民まちづくりプラザ条例</t>
  </si>
  <si>
    <t>市民の参画と協働によるまちづくり活動の推進。</t>
  </si>
  <si>
    <t>013</t>
  </si>
  <si>
    <t>0901</t>
  </si>
  <si>
    <t>消防局</t>
  </si>
  <si>
    <t>消防局消防総務課</t>
  </si>
  <si>
    <t>748</t>
  </si>
  <si>
    <t>伊丹市昆陽1丁目1番1号</t>
  </si>
  <si>
    <t>03消防施設</t>
  </si>
  <si>
    <t>消防組織法、伊丹市消防本部および消防署の設置等に関する条例</t>
  </si>
  <si>
    <t>伊丹市消防本部および消防署の設置等に関する条例に基づき設置される市の消防本部。西消防署を併設し、市西部地域を管轄し、管内に2つの出張所を配置。</t>
  </si>
  <si>
    <t>準住居</t>
  </si>
  <si>
    <t>014</t>
  </si>
  <si>
    <t>0902</t>
  </si>
  <si>
    <t>東消防署</t>
  </si>
  <si>
    <t>伊丹市北本町2丁目133番地</t>
  </si>
  <si>
    <t>1984</t>
  </si>
  <si>
    <t>伊丹市の東部地域を管轄する消防署。管内に2つの出張所を配置。</t>
  </si>
  <si>
    <t>近隣商業</t>
  </si>
  <si>
    <t>300</t>
  </si>
  <si>
    <t>015</t>
  </si>
  <si>
    <t>0906</t>
  </si>
  <si>
    <t>池尻出張所</t>
  </si>
  <si>
    <t>伊丹市池尻3丁目55番地</t>
  </si>
  <si>
    <t>消防組織法、伊丹市消防署の組織等に関する規程</t>
  </si>
  <si>
    <t>警防隊を設置し、管内の災害の警戒防御・火災原因等調査・地水利管理・消防訓練・各種願届・自主防災組織等の育成指導を行う。</t>
  </si>
  <si>
    <t>016</t>
  </si>
  <si>
    <t>0903</t>
  </si>
  <si>
    <t>神津出張所</t>
  </si>
  <si>
    <t>伊丹市森本2丁目142番1号</t>
  </si>
  <si>
    <t>017</t>
  </si>
  <si>
    <t>0907</t>
  </si>
  <si>
    <t>南野出張所</t>
  </si>
  <si>
    <t>伊丹市南鈴原2丁目１番地</t>
  </si>
  <si>
    <t>警防隊、救急隊を設置し、管内の災害の警戒防御・火災原因等調査・地水利管理・消防訓練・各種願届・自主防災組織等の育成指導、また救急業務・救急法普及・救急技術訓練を行う。</t>
  </si>
  <si>
    <t>018</t>
  </si>
  <si>
    <t>0904</t>
  </si>
  <si>
    <t>荒牧出張所</t>
  </si>
  <si>
    <t>伊丹市北野1丁目9番地</t>
  </si>
  <si>
    <t>1987</t>
  </si>
  <si>
    <t>019</t>
  </si>
  <si>
    <t>0913</t>
  </si>
  <si>
    <t>内台分団車庫</t>
  </si>
  <si>
    <t>伊丹市伊丹7丁目3番39号</t>
  </si>
  <si>
    <t>消防組織法、伊丹市消防団規則</t>
  </si>
  <si>
    <t>2014</t>
  </si>
  <si>
    <t>10有岡小</t>
  </si>
  <si>
    <t>消防団の地域における消防活動を支援するための防災拠点施設。ポンプ車などの消防設備を配備。</t>
  </si>
  <si>
    <t>020</t>
  </si>
  <si>
    <t>0908</t>
  </si>
  <si>
    <t>池尻分団車庫</t>
  </si>
  <si>
    <t>伊丹市池尻6丁目163番地</t>
  </si>
  <si>
    <t>1999</t>
  </si>
  <si>
    <t>021</t>
  </si>
  <si>
    <t>0909</t>
  </si>
  <si>
    <t>中野分団車庫</t>
  </si>
  <si>
    <t>伊丹市中野西2丁目137番地</t>
  </si>
  <si>
    <t>06桜台小</t>
  </si>
  <si>
    <t>022</t>
  </si>
  <si>
    <t>0912</t>
  </si>
  <si>
    <t>東野分団車庫</t>
  </si>
  <si>
    <t>伊丹市東野5丁目74番地</t>
  </si>
  <si>
    <t>15荻野小</t>
  </si>
  <si>
    <t>023</t>
  </si>
  <si>
    <t>0914</t>
  </si>
  <si>
    <t>大鹿分団車庫</t>
  </si>
  <si>
    <t>伊丹市大鹿3丁目51番3号</t>
  </si>
  <si>
    <t>2005</t>
  </si>
  <si>
    <t>05緑丘小</t>
  </si>
  <si>
    <t>大鹿交流センター</t>
  </si>
  <si>
    <t>024</t>
  </si>
  <si>
    <t>0911</t>
  </si>
  <si>
    <t>下河原分団車庫</t>
  </si>
  <si>
    <t>伊丹市下河原2丁目11番63号</t>
  </si>
  <si>
    <t>2007</t>
  </si>
  <si>
    <t>準工業</t>
  </si>
  <si>
    <t>025</t>
  </si>
  <si>
    <t>0204</t>
  </si>
  <si>
    <t>北河原センター</t>
  </si>
  <si>
    <t>伊丹市北河原2丁目8番6号</t>
  </si>
  <si>
    <t>02集会施設</t>
  </si>
  <si>
    <t>01共同利用施設</t>
  </si>
  <si>
    <t>伊丹市共同利用施設等条例,公共用飛行場周辺における航空機騒音による障害の防止等に関する法律</t>
  </si>
  <si>
    <t>37</t>
  </si>
  <si>
    <t>地域の集会や活動に利用される地域利用型のコミュニティ施設。</t>
  </si>
  <si>
    <t>大規模集客施設立地規制</t>
  </si>
  <si>
    <t>北河原センター管理運営委員会</t>
  </si>
  <si>
    <t>非公募</t>
  </si>
  <si>
    <t>9:00～21:00</t>
  </si>
  <si>
    <t>026</t>
  </si>
  <si>
    <t>0211</t>
  </si>
  <si>
    <t>西台センター</t>
  </si>
  <si>
    <t>1973</t>
  </si>
  <si>
    <t>会議室,休養室</t>
  </si>
  <si>
    <t>027</t>
  </si>
  <si>
    <t>0226</t>
  </si>
  <si>
    <t>くすのきセンター</t>
  </si>
  <si>
    <t>1975</t>
  </si>
  <si>
    <t>１階集会室,２階休養室１,２階休養室２,２階学習室</t>
  </si>
  <si>
    <t>028</t>
  </si>
  <si>
    <t>0228</t>
  </si>
  <si>
    <t>当田藤ﾉ木センター</t>
  </si>
  <si>
    <t>伊丹市藤ﾉ木3丁目5番1号</t>
  </si>
  <si>
    <t>1976</t>
  </si>
  <si>
    <t>当田藤ノ木センター管理運営委員会</t>
  </si>
  <si>
    <t>１階集会室,２階休養室</t>
  </si>
  <si>
    <t>029</t>
  </si>
  <si>
    <t>0243</t>
  </si>
  <si>
    <t>あじさいセンター</t>
  </si>
  <si>
    <t>1981</t>
  </si>
  <si>
    <t>１階学習室,１階休養室,２階集会室</t>
  </si>
  <si>
    <t>030</t>
  </si>
  <si>
    <t>0257</t>
  </si>
  <si>
    <t>中央コミュニティセンター</t>
  </si>
  <si>
    <t>031</t>
  </si>
  <si>
    <t>0267</t>
  </si>
  <si>
    <t>1990</t>
  </si>
  <si>
    <t>集会室,休養室</t>
  </si>
  <si>
    <t>032</t>
  </si>
  <si>
    <t>0237</t>
  </si>
  <si>
    <t>昆陽池センター</t>
  </si>
  <si>
    <t>市民自治部環境政策室公園課</t>
  </si>
  <si>
    <t>240</t>
  </si>
  <si>
    <t>1979</t>
  </si>
  <si>
    <t>公園来園者の休憩の場として利用される施設。</t>
  </si>
  <si>
    <t>昆陽池風致地区</t>
  </si>
  <si>
    <t>集会室,休養室,展望室,展示室</t>
  </si>
  <si>
    <t>033</t>
  </si>
  <si>
    <t>0254</t>
  </si>
  <si>
    <t>昆陽センター</t>
  </si>
  <si>
    <t>伊丹市昆陽4丁目127番地</t>
  </si>
  <si>
    <t>33</t>
  </si>
  <si>
    <t>昆陽センター管理運営委員会</t>
  </si>
  <si>
    <t>１階集会室,２階休養室,２階学習室</t>
  </si>
  <si>
    <t>034</t>
  </si>
  <si>
    <t>0255</t>
  </si>
  <si>
    <t>千僧堂ﾉ前センター</t>
  </si>
  <si>
    <t>伊丹市千僧6丁目103番地の6</t>
  </si>
  <si>
    <t>千僧堂の前センター管理運営委員会</t>
  </si>
  <si>
    <t>035</t>
  </si>
  <si>
    <t>0260</t>
  </si>
  <si>
    <t>第2種低層住居専用</t>
  </si>
  <si>
    <t>150</t>
  </si>
  <si>
    <t>036</t>
  </si>
  <si>
    <t>0207</t>
  </si>
  <si>
    <t>伊丹市御願塚3丁目8番11号</t>
  </si>
  <si>
    <t>037</t>
  </si>
  <si>
    <t>0221</t>
  </si>
  <si>
    <t>稲野東センター</t>
  </si>
  <si>
    <t>伊丹市稲野町2丁目44番地の4</t>
  </si>
  <si>
    <t>稲野東センター管理運営委員会</t>
  </si>
  <si>
    <t>038</t>
  </si>
  <si>
    <t>0233</t>
  </si>
  <si>
    <t>稲野センター</t>
  </si>
  <si>
    <t>伊丹市稲野町4丁目46番地</t>
  </si>
  <si>
    <t>13</t>
  </si>
  <si>
    <t>稲野センター管理運営委員会</t>
  </si>
  <si>
    <t>039</t>
  </si>
  <si>
    <t>0242</t>
  </si>
  <si>
    <t>若菱柏木センター</t>
  </si>
  <si>
    <t>伊丹市若菱町2丁目3番地</t>
  </si>
  <si>
    <t>14</t>
  </si>
  <si>
    <t>若菱柏木センター管理運営委員会</t>
  </si>
  <si>
    <t>040</t>
  </si>
  <si>
    <t>0246</t>
  </si>
  <si>
    <t>平松会館</t>
  </si>
  <si>
    <t>伊丹市平松5丁目1番2号</t>
  </si>
  <si>
    <t>1982</t>
  </si>
  <si>
    <t>平松会館管理運営委員会</t>
  </si>
  <si>
    <t>041</t>
  </si>
  <si>
    <t>0262</t>
  </si>
  <si>
    <t>コミュニティセンター梅ﾉ木</t>
  </si>
  <si>
    <t>伊丹市梅ノ木2丁目3番21号</t>
  </si>
  <si>
    <t>6</t>
  </si>
  <si>
    <t>コミュニティセンター梅ノ木管理運営委員会</t>
  </si>
  <si>
    <t>集会室,和室</t>
  </si>
  <si>
    <t>042</t>
  </si>
  <si>
    <t>0201</t>
  </si>
  <si>
    <t>神津交流センター</t>
  </si>
  <si>
    <t>伊丹市共同利用施設等条例</t>
  </si>
  <si>
    <t>特定非営利活動法人 わくわくステーション神津</t>
  </si>
  <si>
    <t>１階児童館,２階会議室,２階多目的ホール,２階学習室,２階ふれあい室</t>
  </si>
  <si>
    <t>043</t>
  </si>
  <si>
    <t>0209</t>
  </si>
  <si>
    <t>西桑津センター</t>
  </si>
  <si>
    <t>伊丹市桑津2丁目1番22号</t>
  </si>
  <si>
    <t>43</t>
  </si>
  <si>
    <t>西桑津センター管理運営委員会</t>
  </si>
  <si>
    <t>１階会議室,１階和室,２階休養室</t>
  </si>
  <si>
    <t>044</t>
  </si>
  <si>
    <t>0214</t>
  </si>
  <si>
    <t>岩屋センター</t>
  </si>
  <si>
    <t>伊丹市岩屋1丁目5番42号</t>
  </si>
  <si>
    <t>42</t>
  </si>
  <si>
    <t>岩屋センター管理運営委員会</t>
  </si>
  <si>
    <t>１階集会室１,１階集会室２,２階和室１,２階和室２,２階学習室</t>
  </si>
  <si>
    <t>045</t>
  </si>
  <si>
    <t>0216</t>
  </si>
  <si>
    <t>森本センター</t>
  </si>
  <si>
    <t>伊丹市森本2丁目196番地の1</t>
  </si>
  <si>
    <t>森本センター管理運営委員会</t>
  </si>
  <si>
    <t>１階会議室,１階休養室</t>
  </si>
  <si>
    <t>046</t>
  </si>
  <si>
    <t>0225</t>
  </si>
  <si>
    <t>口酒井センター</t>
  </si>
  <si>
    <t>伊丹市口酒井1丁目3番39号</t>
  </si>
  <si>
    <t>高齢者憩いのｾﾝﾀｰ</t>
  </si>
  <si>
    <t>口酒井センター管理運営委員会</t>
  </si>
  <si>
    <t>１階集会室１,１階集会室２,２階休養室１,２階休養室２,２階学習室</t>
  </si>
  <si>
    <t>047</t>
  </si>
  <si>
    <t>0250</t>
  </si>
  <si>
    <t>いながわセンター</t>
  </si>
  <si>
    <t>伊丹市森本1丁目1番地の4</t>
  </si>
  <si>
    <t>1983</t>
  </si>
  <si>
    <t>いながわセンター管理運営委員会</t>
  </si>
  <si>
    <t>集会室,学習室,休養室</t>
  </si>
  <si>
    <t>048</t>
  </si>
  <si>
    <t>0271</t>
  </si>
  <si>
    <t>長山センター</t>
  </si>
  <si>
    <t>伊丹市森本6丁目129番地</t>
  </si>
  <si>
    <t>1996</t>
  </si>
  <si>
    <t>長山センター管理運営委員会</t>
  </si>
  <si>
    <t>049</t>
  </si>
  <si>
    <t>0272</t>
  </si>
  <si>
    <t>上須古センター</t>
  </si>
  <si>
    <t>伊丹市森本7丁目31番地</t>
  </si>
  <si>
    <t>上須古センター管理運営委員会</t>
  </si>
  <si>
    <t>050</t>
  </si>
  <si>
    <t>0205</t>
  </si>
  <si>
    <t>下河原センター</t>
  </si>
  <si>
    <t>伊丹市下河原1丁目9番22号</t>
  </si>
  <si>
    <t>下河原センター管理運営委員会</t>
  </si>
  <si>
    <t>１階会議室,２階休養室</t>
  </si>
  <si>
    <t>051</t>
  </si>
  <si>
    <t>0238</t>
  </si>
  <si>
    <t>春日丘センター</t>
  </si>
  <si>
    <t>伊丹市春日丘2丁目60番地の3</t>
  </si>
  <si>
    <t>2006</t>
  </si>
  <si>
    <t>春日丘センター管理運営委員会</t>
  </si>
  <si>
    <t>集会室１,集会室２</t>
  </si>
  <si>
    <t>052</t>
  </si>
  <si>
    <t>0268</t>
  </si>
  <si>
    <t>北伊丹センター</t>
  </si>
  <si>
    <t>伊丹市北伊丹7丁目29番地の1</t>
  </si>
  <si>
    <t>景観条例・多田街道都市景観形成道路地区</t>
  </si>
  <si>
    <t>北伊丹センター管理運営委員会</t>
  </si>
  <si>
    <t>053</t>
  </si>
  <si>
    <t>0273</t>
  </si>
  <si>
    <t>北村センター</t>
  </si>
  <si>
    <t>伊丹市北園1丁目13番地</t>
  </si>
  <si>
    <t>北保育所,北村交流センター</t>
  </si>
  <si>
    <t>準住居,第2種中高層住居専用</t>
  </si>
  <si>
    <t>２・３種</t>
  </si>
  <si>
    <t>北村センター管理運営委員会</t>
  </si>
  <si>
    <t>２階和室,２階集会室,２階学習室</t>
  </si>
  <si>
    <t>054</t>
  </si>
  <si>
    <t>0274</t>
  </si>
  <si>
    <t>北村交流センター</t>
  </si>
  <si>
    <t>伊丹市北園1丁目21番地の1</t>
  </si>
  <si>
    <t>2000</t>
  </si>
  <si>
    <t>36</t>
  </si>
  <si>
    <t>北保育所,北村センター</t>
  </si>
  <si>
    <t>２階集会室</t>
  </si>
  <si>
    <t>055</t>
  </si>
  <si>
    <t>0275</t>
  </si>
  <si>
    <t>伊丹市大鹿3丁目51番地の3</t>
  </si>
  <si>
    <t>21</t>
  </si>
  <si>
    <t>景観条例・旧西国街道都市景観形成道路地区</t>
  </si>
  <si>
    <t>集会室１,集会室２,和室</t>
  </si>
  <si>
    <t>056</t>
  </si>
  <si>
    <t>057</t>
  </si>
  <si>
    <t>0251</t>
  </si>
  <si>
    <t>西野福祉会館</t>
  </si>
  <si>
    <t>伊丹市西野2丁目251番地</t>
  </si>
  <si>
    <t>29</t>
  </si>
  <si>
    <t>地区計画（西野地区）</t>
  </si>
  <si>
    <t>西野福祉会館管理運営委員会</t>
  </si>
  <si>
    <t>058</t>
  </si>
  <si>
    <t>0266</t>
  </si>
  <si>
    <t>中野北センター</t>
  </si>
  <si>
    <t>伊丹市中野北2丁目10番19号</t>
  </si>
  <si>
    <t>51</t>
  </si>
  <si>
    <t>中野北センター管理運営委員会</t>
  </si>
  <si>
    <t>059</t>
  </si>
  <si>
    <t>0269</t>
  </si>
  <si>
    <t>中野西センター</t>
  </si>
  <si>
    <t>伊丹市中野西1丁目147番地</t>
  </si>
  <si>
    <t>中野西センター管理運営委員会</t>
  </si>
  <si>
    <t>0202</t>
  </si>
  <si>
    <t>北センター</t>
  </si>
  <si>
    <t>伊丹市北野1丁目13番地</t>
  </si>
  <si>
    <t>北センター管理運営委員会</t>
  </si>
  <si>
    <t>061</t>
  </si>
  <si>
    <t>0213</t>
  </si>
  <si>
    <t>北野センター</t>
  </si>
  <si>
    <t>伊丹市北野5丁目61番地</t>
  </si>
  <si>
    <t>40</t>
  </si>
  <si>
    <t>北野センター管理運営委員会</t>
  </si>
  <si>
    <t>062</t>
  </si>
  <si>
    <t>0229</t>
  </si>
  <si>
    <t>桑田センター</t>
  </si>
  <si>
    <t>伊丹市荒牧南3丁目16番20号</t>
  </si>
  <si>
    <t>桑田センター管理運営委員会</t>
  </si>
  <si>
    <t>063</t>
  </si>
  <si>
    <t>0230</t>
  </si>
  <si>
    <t>荒牧センター</t>
  </si>
  <si>
    <t>伊丹市荒牧5丁目2番15号</t>
  </si>
  <si>
    <t>25</t>
  </si>
  <si>
    <t>荒牧センター管理運営委員会</t>
  </si>
  <si>
    <t>064</t>
  </si>
  <si>
    <t>0258</t>
  </si>
  <si>
    <t>鶴田センター</t>
  </si>
  <si>
    <t>伊丹市荒牧6丁目20番29号</t>
  </si>
  <si>
    <t>54</t>
  </si>
  <si>
    <t>鶴田センター管理運営委員会</t>
  </si>
  <si>
    <t>１階集会室,１階保育室,１階休養室,２階学習室</t>
  </si>
  <si>
    <t>065</t>
  </si>
  <si>
    <t>0219</t>
  </si>
  <si>
    <t>あすなろセンター</t>
  </si>
  <si>
    <t>伊丹市車塚1丁目32番地</t>
  </si>
  <si>
    <t>08笹原小</t>
  </si>
  <si>
    <t>あすなろセンター管理運営委員会</t>
  </si>
  <si>
    <t>066</t>
  </si>
  <si>
    <t>0240</t>
  </si>
  <si>
    <t>安堂寺センター</t>
  </si>
  <si>
    <t>伊丹市安堂寺町4丁目49番地の2</t>
  </si>
  <si>
    <t>1980</t>
  </si>
  <si>
    <t>15</t>
  </si>
  <si>
    <t>地区計画（阪急住宅地区）</t>
  </si>
  <si>
    <t>安堂寺センター管理運営委員会</t>
  </si>
  <si>
    <t>067</t>
  </si>
  <si>
    <t>0244</t>
  </si>
  <si>
    <t>南野センター</t>
  </si>
  <si>
    <t>伊丹市南野北1丁目3番41号</t>
  </si>
  <si>
    <t>南野センター管理運営委員会</t>
  </si>
  <si>
    <t>068</t>
  </si>
  <si>
    <t>0249</t>
  </si>
  <si>
    <t>車塚センター</t>
  </si>
  <si>
    <t>伊丹市車塚2丁目6番地</t>
  </si>
  <si>
    <t>車塚センター管理運営委員会</t>
  </si>
  <si>
    <t>069</t>
  </si>
  <si>
    <t>09瑞穂小</t>
  </si>
  <si>
    <t>23</t>
  </si>
  <si>
    <t>070</t>
  </si>
  <si>
    <t>0208</t>
  </si>
  <si>
    <t>071</t>
  </si>
  <si>
    <t>0215</t>
  </si>
  <si>
    <t>広畑センター</t>
  </si>
  <si>
    <t>伊丹市広畑3丁目4番地</t>
  </si>
  <si>
    <t>34</t>
  </si>
  <si>
    <t>広畑センター管理運営委員会</t>
  </si>
  <si>
    <t>0224</t>
  </si>
  <si>
    <t>瑞穂センター</t>
  </si>
  <si>
    <t>伊丹市瑞穂町4丁目25番地</t>
  </si>
  <si>
    <t>22</t>
  </si>
  <si>
    <t>瑞穂センター管理運営委員会</t>
  </si>
  <si>
    <t>073</t>
  </si>
  <si>
    <t>0264</t>
  </si>
  <si>
    <t>東野センター</t>
  </si>
  <si>
    <t>1989</t>
  </si>
  <si>
    <t>東野センター管理運営委員会</t>
  </si>
  <si>
    <t>074</t>
  </si>
  <si>
    <t>0223</t>
  </si>
  <si>
    <t>有岡センター</t>
  </si>
  <si>
    <t>伊丹市伊丹5丁目3番15号</t>
  </si>
  <si>
    <t>3</t>
  </si>
  <si>
    <t>景観条例、旧大坂道都市景観形成道路地区</t>
  </si>
  <si>
    <t>有岡センター管理運営委員会</t>
  </si>
  <si>
    <t>075</t>
  </si>
  <si>
    <t>0241</t>
  </si>
  <si>
    <t>東有岡センター</t>
  </si>
  <si>
    <t>55</t>
  </si>
  <si>
    <t>東有岡センター管理運営委員会</t>
  </si>
  <si>
    <t>076</t>
  </si>
  <si>
    <t>0247</t>
  </si>
  <si>
    <t>植松会場</t>
  </si>
  <si>
    <t>伊丹市伊丹6丁目6番5号</t>
  </si>
  <si>
    <t>4</t>
  </si>
  <si>
    <t>植松会場管理運営委員会</t>
  </si>
  <si>
    <t>077</t>
  </si>
  <si>
    <t>0231</t>
  </si>
  <si>
    <t>若竹センター</t>
  </si>
  <si>
    <t>伊丹市奥畑2丁目147番地</t>
  </si>
  <si>
    <t>11花里小</t>
  </si>
  <si>
    <t>若竹センター管理運営委員会</t>
  </si>
  <si>
    <t>078</t>
  </si>
  <si>
    <t>0239</t>
  </si>
  <si>
    <t>池尻南センター</t>
  </si>
  <si>
    <t>伊丹市池尻1丁目199番地</t>
  </si>
  <si>
    <t>53</t>
  </si>
  <si>
    <t>池尻南センター管理運営委員会</t>
  </si>
  <si>
    <t>079</t>
  </si>
  <si>
    <t>0234</t>
  </si>
  <si>
    <t>伊丹市野間北4丁目4番28号</t>
  </si>
  <si>
    <t>16</t>
  </si>
  <si>
    <t>野間笠松センター管理運営委員会</t>
  </si>
  <si>
    <t>１階集会室,２階休養室１,２階休養室２</t>
  </si>
  <si>
    <t>080</t>
  </si>
  <si>
    <t>0253</t>
  </si>
  <si>
    <t>山田西在センター</t>
  </si>
  <si>
    <t>伊丹市山田5丁目8番23号</t>
  </si>
  <si>
    <t>地区計画（昆陽里地区）</t>
  </si>
  <si>
    <t>山田西在センター管理運営委員会</t>
  </si>
  <si>
    <t>081</t>
  </si>
  <si>
    <t>0261</t>
  </si>
  <si>
    <t>寺本東センター</t>
  </si>
  <si>
    <t>伊丹市寺本1丁目100番地</t>
  </si>
  <si>
    <t>寺本東センター管理運営委員会</t>
  </si>
  <si>
    <t>082</t>
  </si>
  <si>
    <t>0263</t>
  </si>
  <si>
    <t>山田東センター</t>
  </si>
  <si>
    <t>伊丹市山田2丁目4番18号</t>
  </si>
  <si>
    <t>1988</t>
  </si>
  <si>
    <t>山田東センター管理運営委員会</t>
  </si>
  <si>
    <t>083</t>
  </si>
  <si>
    <t>0217</t>
  </si>
  <si>
    <t>人権啓発ｾﾝﾀｰ</t>
  </si>
  <si>
    <t>084</t>
  </si>
  <si>
    <t>0232</t>
  </si>
  <si>
    <t>美鈴センター</t>
  </si>
  <si>
    <t>伊丹市美鈴町4丁目22番地の4</t>
  </si>
  <si>
    <t>美鈴センター管理運営委員会</t>
  </si>
  <si>
    <t>085</t>
  </si>
  <si>
    <t>0245</t>
  </si>
  <si>
    <t>よつばセンター</t>
  </si>
  <si>
    <t>伊丹市昆陽東6丁目3番28号</t>
  </si>
  <si>
    <t>8</t>
  </si>
  <si>
    <t>よつばセンター管理運営委員会</t>
  </si>
  <si>
    <t>086</t>
  </si>
  <si>
    <t>0252</t>
  </si>
  <si>
    <t>せつようセンター</t>
  </si>
  <si>
    <t>伊丹市昆陽南3丁目3番6号</t>
  </si>
  <si>
    <t>9</t>
  </si>
  <si>
    <t>せつようセンター管理運営委員会</t>
  </si>
  <si>
    <t>集会室,休養室,学習室</t>
  </si>
  <si>
    <t>087</t>
  </si>
  <si>
    <t>0210</t>
  </si>
  <si>
    <t>ゆうかりセンター</t>
  </si>
  <si>
    <t>088</t>
  </si>
  <si>
    <t>0218</t>
  </si>
  <si>
    <t>南菱センター</t>
  </si>
  <si>
    <t>089</t>
  </si>
  <si>
    <t>0236</t>
  </si>
  <si>
    <t>さつきセンター</t>
  </si>
  <si>
    <t>090</t>
  </si>
  <si>
    <t>0212</t>
  </si>
  <si>
    <t>大野センター</t>
  </si>
  <si>
    <t>伊丹市大野3丁目5番地</t>
  </si>
  <si>
    <t>44</t>
  </si>
  <si>
    <t>大野センター管理運営委員会</t>
  </si>
  <si>
    <t>集会室,会議室</t>
  </si>
  <si>
    <t>091</t>
  </si>
  <si>
    <t>0220</t>
  </si>
  <si>
    <t>荻野センター</t>
  </si>
  <si>
    <t>伊丹市荻野3丁目73番地</t>
  </si>
  <si>
    <t>荻野センター管理運営委員会</t>
  </si>
  <si>
    <t>092</t>
  </si>
  <si>
    <t>0235</t>
  </si>
  <si>
    <t>西野センター</t>
  </si>
  <si>
    <t>伊丹市西野3丁目76番地</t>
  </si>
  <si>
    <t>47</t>
  </si>
  <si>
    <t>西野センター管理運営委員会</t>
  </si>
  <si>
    <t>093</t>
  </si>
  <si>
    <t>0248</t>
  </si>
  <si>
    <t>池尻文化センター</t>
  </si>
  <si>
    <t>伊丹市池尻6丁目172番地の1</t>
  </si>
  <si>
    <t>30</t>
  </si>
  <si>
    <t>地区計画（池尻地区）</t>
  </si>
  <si>
    <t>池尻文化センター管理運営委員会</t>
  </si>
  <si>
    <t>094</t>
  </si>
  <si>
    <t>0270</t>
  </si>
  <si>
    <t>武庫川センター</t>
  </si>
  <si>
    <t>伊丹市西野5丁目300番地</t>
  </si>
  <si>
    <t>1992</t>
  </si>
  <si>
    <t>武庫川センター管理運営委員会</t>
  </si>
  <si>
    <t>095</t>
  </si>
  <si>
    <t>0222</t>
  </si>
  <si>
    <t>鴻池センター</t>
  </si>
  <si>
    <t>伊丹市鴻池6丁目6番19号</t>
  </si>
  <si>
    <t>17鴻池小</t>
  </si>
  <si>
    <t>26</t>
  </si>
  <si>
    <t>地区計画（鴻池地区）</t>
  </si>
  <si>
    <t>鴻池センター管理運営委員会</t>
  </si>
  <si>
    <t>096</t>
  </si>
  <si>
    <t>097</t>
  </si>
  <si>
    <t>0256</t>
  </si>
  <si>
    <t>瑞原センター</t>
  </si>
  <si>
    <t>伊丹市瑞原3丁目63番地</t>
  </si>
  <si>
    <t>瑞原センター管理運営委員会</t>
  </si>
  <si>
    <t>098</t>
  </si>
  <si>
    <t>0259</t>
  </si>
  <si>
    <t>中野東センター</t>
  </si>
  <si>
    <t>中野東センター管理運営委員会</t>
  </si>
  <si>
    <t>099</t>
  </si>
  <si>
    <t>0265</t>
  </si>
  <si>
    <t>南荻野センター</t>
  </si>
  <si>
    <t>伊丹市荻野西1丁目1番13号</t>
  </si>
  <si>
    <t>南荻野センター管理運営委員会</t>
  </si>
  <si>
    <t>1075</t>
  </si>
  <si>
    <t>中央公民館</t>
  </si>
  <si>
    <t>教育委員会生涯学習部公民館</t>
  </si>
  <si>
    <t>683</t>
  </si>
  <si>
    <t>03文化・社会教育系施設</t>
  </si>
  <si>
    <t>01多目的施設</t>
  </si>
  <si>
    <t>社会教育法,伊丹市立公民館条例</t>
  </si>
  <si>
    <t>市民の教養の向上、健康の増進、情操の純化を図り、生活文化の振興、社会福祉の増進に寄与することを目的とした施設。</t>
  </si>
  <si>
    <t>101</t>
  </si>
  <si>
    <t>1086</t>
  </si>
  <si>
    <t>生涯学習センター</t>
  </si>
  <si>
    <t>教育委員会生涯学習部社会教育課</t>
  </si>
  <si>
    <t>668</t>
  </si>
  <si>
    <t>伊丹市南野2丁目3番25号</t>
  </si>
  <si>
    <t>社会教育法,伊丹市立生涯学習センター条例</t>
  </si>
  <si>
    <t>市民の生涯学習を推進し、あわせて市民の教養、文化の発展と健康の増進を図ることを目的とした施設。</t>
  </si>
  <si>
    <t>第1種住居,第1種・2種中高層住居専用</t>
  </si>
  <si>
    <t>9:00～21:00(日、祝：900～17:00)</t>
  </si>
  <si>
    <t>102</t>
  </si>
  <si>
    <t>9405</t>
  </si>
  <si>
    <t>北部学習センター</t>
  </si>
  <si>
    <t>社会教育法,伊丹市立北部学習センター条例</t>
  </si>
  <si>
    <t>市民の生涯学習を推進し、あわせて市民の教養、文化の発展及び児童の健全育成を図ることを目的とした施設。</t>
  </si>
  <si>
    <t>9:00～21:00(日、祝：9:00～17:00)</t>
  </si>
  <si>
    <t>103</t>
  </si>
  <si>
    <t>0502</t>
  </si>
  <si>
    <t>労働福祉会館・青少年センター</t>
  </si>
  <si>
    <t>都市活力部</t>
  </si>
  <si>
    <t>都市活力部産業振興室商工労働課</t>
  </si>
  <si>
    <t>455</t>
  </si>
  <si>
    <t>伊丹市昆陽池2丁目1番地</t>
  </si>
  <si>
    <t>伊丹市立労働福祉会館条例,伊丹市青少年センター条例</t>
  </si>
  <si>
    <t>勤労市民の福祉の向上を図るとともに、青少年の健全な育成と福祉の増進を図るための各種の事業を積極的に推進することを目的とした施設。</t>
  </si>
  <si>
    <t>9:00～22:00</t>
  </si>
  <si>
    <t>104</t>
  </si>
  <si>
    <t>0702</t>
  </si>
  <si>
    <t>伊丹商工会議所</t>
  </si>
  <si>
    <t>ﾏﾙﾁﾒﾃﾞｨｱﾎｰﾙ,会議・研修室A～C</t>
  </si>
  <si>
    <t>105</t>
  </si>
  <si>
    <t>0280</t>
  </si>
  <si>
    <t>都市活力部産業振興室文化振興課</t>
  </si>
  <si>
    <t>428</t>
  </si>
  <si>
    <t>伊丹市宮ノ前1丁目1番3号</t>
  </si>
  <si>
    <t>伊丹市立文化会館条例</t>
  </si>
  <si>
    <t>1998</t>
  </si>
  <si>
    <t>市民の芸術、文化活動を推進し、文化の発展を図ることを目的とした施設。</t>
  </si>
  <si>
    <t>駐車場整備地区、景観条例、伊丹郷町地区</t>
  </si>
  <si>
    <t>106</t>
  </si>
  <si>
    <t>0286</t>
  </si>
  <si>
    <t>伊丹市宮ノ前1丁目3番30号</t>
  </si>
  <si>
    <t>伊丹市立音楽ホール条例</t>
  </si>
  <si>
    <t>1991</t>
  </si>
  <si>
    <t>音楽を中心とした文化事業の振興を図り，文化の発展に資することを目的とした施設。</t>
  </si>
  <si>
    <t>駐車場整備地区、高度利用地区、景観条例、伊丹郷町地区</t>
  </si>
  <si>
    <t>107</t>
  </si>
  <si>
    <t>0287</t>
  </si>
  <si>
    <t>伊丹市伊丹2丁目4番1号</t>
  </si>
  <si>
    <t>伊丹市立演劇ホール条例</t>
  </si>
  <si>
    <t>市民の自由な創造活動を促進し，文化の発展に資することを目的とした施設。</t>
  </si>
  <si>
    <t>駐車場整備地区、高度利用地区、景観条例、伊丹郷町地区、伊丹酒蔵通り都市景観形成道路地区</t>
  </si>
  <si>
    <t>ｲﾍﾞﾝﾄﾎｰﾙ,ｶﾙﾁｬｰﾙｰﾑA・B</t>
  </si>
  <si>
    <t>108</t>
  </si>
  <si>
    <t>1074</t>
  </si>
  <si>
    <t>博物館</t>
  </si>
  <si>
    <t>教育委員会生涯学習部博物館</t>
  </si>
  <si>
    <t>693</t>
  </si>
  <si>
    <t>02展覧施設</t>
  </si>
  <si>
    <t>109</t>
  </si>
  <si>
    <t>1073</t>
  </si>
  <si>
    <t>博物館神津資料室</t>
  </si>
  <si>
    <t>伊丹市桑津3丁目1番28号</t>
  </si>
  <si>
    <t>110</t>
  </si>
  <si>
    <t>0852</t>
  </si>
  <si>
    <t>伊丹市昆虫館</t>
  </si>
  <si>
    <t>市民自治部環境政策室みどり自然課</t>
  </si>
  <si>
    <t>245</t>
  </si>
  <si>
    <t>伊丹市昆陽池3丁目1番地</t>
  </si>
  <si>
    <t>都市公園、昆陽池風致地区、鳥獣保護区</t>
  </si>
  <si>
    <t>第１・２展示室,特別展示室,ﾁｮｳ温室,映像ﾎｰﾙ,ｴﾝﾄﾗﾝｽﾎｰﾙ,学習室</t>
  </si>
  <si>
    <t>111</t>
  </si>
  <si>
    <t>0855</t>
  </si>
  <si>
    <t>みどりのプラザ</t>
  </si>
  <si>
    <t>伊丹市荒牧6丁目4番12号</t>
  </si>
  <si>
    <t xml:space="preserve">伊丹市立みどりのプラザ条例 </t>
  </si>
  <si>
    <t>緑化啓発や園芸等の振興による緑豊かなまちづくりを推進するために設けられた施設。</t>
  </si>
  <si>
    <t>地区計画（荒牧地区）</t>
  </si>
  <si>
    <t>特定非営利法人　荒牧みどり推進協議会</t>
  </si>
  <si>
    <t>112</t>
  </si>
  <si>
    <t>0340</t>
  </si>
  <si>
    <t>こども文化科学館</t>
  </si>
  <si>
    <t>こども未来部こども室こども若者企画課</t>
  </si>
  <si>
    <t>345</t>
  </si>
  <si>
    <t>伊丹市桑津3丁目1-36</t>
  </si>
  <si>
    <t>伊丹市立こども文化科学館条例</t>
  </si>
  <si>
    <t>教育，文化および科学に関する知識の普及と啓発を図ることにより，児童の健全な成長を促し，青少年の創造性を培うとともに，市民の教養の向上と情操のかん養に寄与することを目的とした施設。</t>
  </si>
  <si>
    <t>9:00～17:15</t>
  </si>
  <si>
    <t>113</t>
  </si>
  <si>
    <t>0501</t>
  </si>
  <si>
    <t>観光物産ギャラリー</t>
  </si>
  <si>
    <t>都市活力部産業振興室まちなかにぎわい課</t>
  </si>
  <si>
    <t>424</t>
  </si>
  <si>
    <t>伊丹市東有岡1丁目6番地2</t>
  </si>
  <si>
    <t>伊丹市立観光物産ギャラリー条例</t>
  </si>
  <si>
    <t>年末年始</t>
  </si>
  <si>
    <t>114</t>
  </si>
  <si>
    <t>1085</t>
  </si>
  <si>
    <t>美術館</t>
  </si>
  <si>
    <t>工芸センター</t>
  </si>
  <si>
    <t>10:00～18:00</t>
  </si>
  <si>
    <t>115</t>
  </si>
  <si>
    <t>1084</t>
  </si>
  <si>
    <t>柿衞文庫</t>
  </si>
  <si>
    <t>116</t>
  </si>
  <si>
    <t>0701</t>
  </si>
  <si>
    <t>117</t>
  </si>
  <si>
    <t>0288</t>
  </si>
  <si>
    <t>伊丹郷町館</t>
  </si>
  <si>
    <t>1995</t>
  </si>
  <si>
    <t>118</t>
  </si>
  <si>
    <t>1096</t>
  </si>
  <si>
    <t>図書館（ことば蔵）</t>
  </si>
  <si>
    <t>教育委員会生涯学習部図書館</t>
  </si>
  <si>
    <t>688</t>
  </si>
  <si>
    <t>伊丹市宮ノ前3丁目7番4号</t>
  </si>
  <si>
    <t>03図書館</t>
  </si>
  <si>
    <t>図書館法、伊丹市立図書館条例</t>
  </si>
  <si>
    <t>1951</t>
  </si>
  <si>
    <t>2012</t>
  </si>
  <si>
    <t>図書館法の規定に基づき、図書、記録その他必要な資料を収集・整理・保存し、市民の利用に供し、その教養、調査研究、レクリエーション等に資することを目的とする施設。</t>
  </si>
  <si>
    <t>多目的室１,多目的室２,会議室１,会議室２,交流ﾌﾛｱ,ｷﾞｬﾗﾘｰ</t>
  </si>
  <si>
    <t>119</t>
  </si>
  <si>
    <t>1093</t>
  </si>
  <si>
    <t>図書館南分館</t>
  </si>
  <si>
    <t>生涯学習センター,ﾃﾞｲｻｰﾋﾞｽ</t>
  </si>
  <si>
    <t>伊丹市立図書館条例に基づき設置された分館。</t>
  </si>
  <si>
    <t>第2種住居,第1種・2種中高層住居専用</t>
  </si>
  <si>
    <t>120</t>
  </si>
  <si>
    <t>1094</t>
  </si>
  <si>
    <t>図書館北分館</t>
  </si>
  <si>
    <t>北部学習センター,北支所</t>
  </si>
  <si>
    <t>121</t>
  </si>
  <si>
    <t>1095</t>
  </si>
  <si>
    <t>図書館西分室</t>
  </si>
  <si>
    <t>伊丹市池尻4丁目1番地1</t>
  </si>
  <si>
    <t>-</t>
  </si>
  <si>
    <t>イオンモール伊丹昆陽店</t>
  </si>
  <si>
    <t>伊丹市立図書館条例に基づき設置された分室。</t>
  </si>
  <si>
    <t>10:00～19:00</t>
  </si>
  <si>
    <t>122</t>
  </si>
  <si>
    <t>1097</t>
  </si>
  <si>
    <t>図書館神津分館</t>
  </si>
  <si>
    <t>9:30～19:00（土,日,祝・休：9:30～17:00)</t>
  </si>
  <si>
    <t>123</t>
  </si>
  <si>
    <t>1021</t>
  </si>
  <si>
    <t>伊丹小学校</t>
  </si>
  <si>
    <t>教育委員会管理部</t>
  </si>
  <si>
    <t>618</t>
  </si>
  <si>
    <t>伊丹市船原1丁目1番1号</t>
  </si>
  <si>
    <t>04学校教育施設</t>
  </si>
  <si>
    <t>01小学校</t>
  </si>
  <si>
    <t>学校教育法,伊丹市立小学校，中学校および特別支援学校設置条例</t>
  </si>
  <si>
    <t>1873</t>
  </si>
  <si>
    <t>19</t>
  </si>
  <si>
    <t>伊丹児童くらぶ,自転車駐車場</t>
  </si>
  <si>
    <t xml:space="preserve">学校教育法に基づく義務教育施設として、心身の発達に応じて、義務教育として行われる普通教育のうち基礎的なものを施すことを目的とする施設。 </t>
  </si>
  <si>
    <t>8:00～21:00</t>
  </si>
  <si>
    <t>土,日,祝,夏季・冬季・春季休業期間</t>
  </si>
  <si>
    <t>事務室,職員室,校長室,保健室,職員控室,普通教室,特別教室,多目的室,その他管理諸室,講堂兼体育館</t>
  </si>
  <si>
    <t>124</t>
  </si>
  <si>
    <t>1022</t>
  </si>
  <si>
    <t>稲野小学校</t>
  </si>
  <si>
    <t>伊丹市昆陽1丁目175番地</t>
  </si>
  <si>
    <t>1875</t>
  </si>
  <si>
    <t>1963</t>
  </si>
  <si>
    <t>125</t>
  </si>
  <si>
    <t>1023</t>
  </si>
  <si>
    <t>南小学校</t>
  </si>
  <si>
    <t>伊丹市御願塚2丁目6番1号</t>
  </si>
  <si>
    <t>1945</t>
  </si>
  <si>
    <t>1965</t>
  </si>
  <si>
    <t>12</t>
  </si>
  <si>
    <t>南児童くらぶ</t>
  </si>
  <si>
    <t>126</t>
  </si>
  <si>
    <t>1024</t>
  </si>
  <si>
    <t>神津小学校</t>
  </si>
  <si>
    <t>伊丹市森本1丁目8番地の1</t>
  </si>
  <si>
    <t>39</t>
  </si>
  <si>
    <t>神津児童くらぶ</t>
  </si>
  <si>
    <t>127</t>
  </si>
  <si>
    <t>1025</t>
  </si>
  <si>
    <t>緑丘小学校</t>
  </si>
  <si>
    <t>伊丹市高台2丁目14番地</t>
  </si>
  <si>
    <t>1955</t>
  </si>
  <si>
    <t>1964</t>
  </si>
  <si>
    <t>緑丘児童くらぶ</t>
  </si>
  <si>
    <t>128</t>
  </si>
  <si>
    <t>1026</t>
  </si>
  <si>
    <t>桜台小学校</t>
  </si>
  <si>
    <t>伊丹市中野西4丁目100番地</t>
  </si>
  <si>
    <t>1956</t>
  </si>
  <si>
    <t>桜台児童くらぶ</t>
  </si>
  <si>
    <t>129</t>
  </si>
  <si>
    <t>1027</t>
  </si>
  <si>
    <t>天神川小学校</t>
  </si>
  <si>
    <t>伊丹市荒牧南3丁目17番12号</t>
  </si>
  <si>
    <t>1957</t>
  </si>
  <si>
    <t>天神川児童くらぶ</t>
  </si>
  <si>
    <t>130</t>
  </si>
  <si>
    <t>1028</t>
  </si>
  <si>
    <t>笹原小学校</t>
  </si>
  <si>
    <t>伊丹市南野6丁目5番33号</t>
  </si>
  <si>
    <t>1967</t>
  </si>
  <si>
    <t>48</t>
  </si>
  <si>
    <t>笹原児童くらぶ</t>
  </si>
  <si>
    <t>131</t>
  </si>
  <si>
    <t>1029</t>
  </si>
  <si>
    <t>瑞穂小学校</t>
  </si>
  <si>
    <t>伊丹市瑞穂町3丁目50番地の1</t>
  </si>
  <si>
    <t>瑞穂児童くらぶ</t>
  </si>
  <si>
    <t>132</t>
  </si>
  <si>
    <t>1030</t>
  </si>
  <si>
    <t>有岡小学校</t>
  </si>
  <si>
    <t>伊丹市伊丹7丁目1番1号</t>
  </si>
  <si>
    <t>有岡児童くらぶ</t>
  </si>
  <si>
    <t>133</t>
  </si>
  <si>
    <t>1031</t>
  </si>
  <si>
    <t>花里小学校</t>
  </si>
  <si>
    <t>伊丹市寺本3丁目135番地</t>
  </si>
  <si>
    <t>花里児童くらぶ</t>
  </si>
  <si>
    <t>134</t>
  </si>
  <si>
    <t>1032</t>
  </si>
  <si>
    <t>昆陽里小学校</t>
  </si>
  <si>
    <t>伊丹市山田2丁目1番2号</t>
  </si>
  <si>
    <t>昆陽里児童くらぶ</t>
  </si>
  <si>
    <t>135</t>
  </si>
  <si>
    <t>1033</t>
  </si>
  <si>
    <t>摂陽小学校</t>
  </si>
  <si>
    <t>伊丹市昆陽南2丁目1番55号</t>
  </si>
  <si>
    <t>摂陽児童くらぶ</t>
  </si>
  <si>
    <t>136</t>
  </si>
  <si>
    <t>1034</t>
  </si>
  <si>
    <t>鈴原小学校</t>
  </si>
  <si>
    <t>伊丹市御願塚6丁目3番1号</t>
  </si>
  <si>
    <t>鈴原児童くらぶ</t>
  </si>
  <si>
    <t>137</t>
  </si>
  <si>
    <t>1035</t>
  </si>
  <si>
    <t>荻野小学校</t>
  </si>
  <si>
    <t>伊丹市荻野2丁目11番地</t>
  </si>
  <si>
    <t>荻野児童くらぶ</t>
  </si>
  <si>
    <t>138</t>
  </si>
  <si>
    <t>1036</t>
  </si>
  <si>
    <t>池尻小学校</t>
  </si>
  <si>
    <t>伊丹市池尻6丁目221番地</t>
  </si>
  <si>
    <t>池尻児童くらぶ</t>
  </si>
  <si>
    <t>139</t>
  </si>
  <si>
    <t>1037</t>
  </si>
  <si>
    <t>鴻池小学校</t>
  </si>
  <si>
    <t>伊丹市鴻池4丁目4番5号</t>
  </si>
  <si>
    <t>鴻池児童くらぶ</t>
  </si>
  <si>
    <t>140</t>
  </si>
  <si>
    <t>0360</t>
  </si>
  <si>
    <t>伊丹児童くらぶ</t>
  </si>
  <si>
    <t>こども未来部こども室こども家庭課</t>
  </si>
  <si>
    <t>390</t>
  </si>
  <si>
    <t>児童福祉法、伊丹市立児童くらぶ条例</t>
  </si>
  <si>
    <t>2013</t>
  </si>
  <si>
    <t xml:space="preserve">保護者の就労、病気その他の理由により、放課後、家庭において適切な保育を受けられない児童を保育することを目的とする施設。 </t>
  </si>
  <si>
    <t>141</t>
  </si>
  <si>
    <t>0361</t>
  </si>
  <si>
    <t>稲野児童くらぶ</t>
  </si>
  <si>
    <t>142</t>
  </si>
  <si>
    <t>0362</t>
  </si>
  <si>
    <t>143</t>
  </si>
  <si>
    <t>0363</t>
  </si>
  <si>
    <t>144</t>
  </si>
  <si>
    <t>0364</t>
  </si>
  <si>
    <t>145</t>
  </si>
  <si>
    <t>0365</t>
  </si>
  <si>
    <t>146</t>
  </si>
  <si>
    <t>0366</t>
  </si>
  <si>
    <t>147</t>
  </si>
  <si>
    <t>0367</t>
  </si>
  <si>
    <t>148</t>
  </si>
  <si>
    <t>0368</t>
  </si>
  <si>
    <t>2010</t>
  </si>
  <si>
    <t>149</t>
  </si>
  <si>
    <t>0369</t>
  </si>
  <si>
    <t>2008</t>
  </si>
  <si>
    <t>0370</t>
  </si>
  <si>
    <t>床面積は花里小で計上</t>
  </si>
  <si>
    <t>151</t>
  </si>
  <si>
    <t>0371</t>
  </si>
  <si>
    <t>床面積は昆陽里小で計上</t>
  </si>
  <si>
    <t>152</t>
  </si>
  <si>
    <t>0372</t>
  </si>
  <si>
    <t>床面積は摂陽小で計上</t>
  </si>
  <si>
    <t>153</t>
  </si>
  <si>
    <t>0373</t>
  </si>
  <si>
    <t>床面積は鈴原小で計上</t>
  </si>
  <si>
    <t>154</t>
  </si>
  <si>
    <t>0374</t>
  </si>
  <si>
    <t>155</t>
  </si>
  <si>
    <t>0375</t>
  </si>
  <si>
    <t>床面積は池尻小で計上</t>
  </si>
  <si>
    <t>156</t>
  </si>
  <si>
    <t>0376</t>
  </si>
  <si>
    <t>床面積は鴻池小で計上</t>
  </si>
  <si>
    <t>157</t>
  </si>
  <si>
    <t>1041</t>
  </si>
  <si>
    <t>東中学校</t>
  </si>
  <si>
    <t>伊丹市高台2丁目54番地</t>
  </si>
  <si>
    <t>02中学校</t>
  </si>
  <si>
    <t>1947</t>
  </si>
  <si>
    <t>1962</t>
  </si>
  <si>
    <t xml:space="preserve">学校教育法に基づく義務教育施設として、小学校における教育の基礎の上に、心身の発達に応じて、義務教育として行われる普通教育を施すことを目的とする施設。 </t>
  </si>
  <si>
    <t>事務室,職員室,校長室,保健室,職員控室,普通教室,特別教室,多目的室,その他管理諸室,講堂兼体育館,格技室</t>
  </si>
  <si>
    <t>158</t>
  </si>
  <si>
    <t>1042</t>
  </si>
  <si>
    <t>西中学校</t>
  </si>
  <si>
    <t>伊丹市昆陽東4丁目2番5号</t>
  </si>
  <si>
    <t>1961</t>
  </si>
  <si>
    <t>159</t>
  </si>
  <si>
    <t>1043</t>
  </si>
  <si>
    <t>南中学校</t>
  </si>
  <si>
    <t>伊丹市南町2丁目4番1号</t>
  </si>
  <si>
    <t>5</t>
  </si>
  <si>
    <t>160</t>
  </si>
  <si>
    <t>1044</t>
  </si>
  <si>
    <t>北中学校</t>
  </si>
  <si>
    <t>伊丹市清水4丁目3番1号</t>
  </si>
  <si>
    <t>20</t>
  </si>
  <si>
    <t>161</t>
  </si>
  <si>
    <t>1045</t>
  </si>
  <si>
    <t>天王寺川中学校</t>
  </si>
  <si>
    <t>伊丹市鴻池3丁目4番28号</t>
  </si>
  <si>
    <t>162</t>
  </si>
  <si>
    <t>1046</t>
  </si>
  <si>
    <t>松崎中学校</t>
  </si>
  <si>
    <t>伊丹市山田2丁目1番1号</t>
  </si>
  <si>
    <t>17</t>
  </si>
  <si>
    <t>163</t>
  </si>
  <si>
    <t>1047</t>
  </si>
  <si>
    <t>荒牧中学校</t>
  </si>
  <si>
    <t>伊丹市荒牧5丁目2番18号</t>
  </si>
  <si>
    <t>164</t>
  </si>
  <si>
    <t>1048</t>
  </si>
  <si>
    <t>笹原中学校</t>
  </si>
  <si>
    <t>伊丹市南野北2丁目7番4号</t>
  </si>
  <si>
    <t>165</t>
  </si>
  <si>
    <t>1061</t>
  </si>
  <si>
    <t>市立伊丹高等学校</t>
  </si>
  <si>
    <t>伊丹市行基町4丁目1番地</t>
  </si>
  <si>
    <t>学校教育法,伊丹市立高等学校設置条例</t>
  </si>
  <si>
    <t>1948</t>
  </si>
  <si>
    <t>学校教育法に基づき、中学校における教育の基礎の上に、心身の発達及び進路に応じて、高度な普通教育及び専門教育を施すことを目的とする施設。</t>
  </si>
  <si>
    <t>事務室,職員室,校長室,保健室,技能員室,普通教室,特別教室,多目的室,その他管理諸室,卓球場,柔道場,剣道場,講堂兼体育館,部室</t>
  </si>
  <si>
    <t>166</t>
  </si>
  <si>
    <t>1071</t>
  </si>
  <si>
    <t>伊丹特別支援学校</t>
  </si>
  <si>
    <t>伊丹市鴻池1丁目8番6号</t>
  </si>
  <si>
    <t xml:space="preserve">視覚・聴覚・知的障害者、肢体不自由者又は病弱者に対して、幼、小、中又は高校に準ずる教育を施すとともに、障害による学習上又は生活上の困難を克服し自立を図るために必要な知識技能を授けることを目的とする施設。 </t>
  </si>
  <si>
    <t>事務室,職員室,校長室,保健室,技能員室,普通教室,特別教室,調理室,多目的室,その他管理諸室,ｱｸﾃｨﾌﾞﾙｰﾑ,講堂兼屋体</t>
  </si>
  <si>
    <t>167</t>
  </si>
  <si>
    <t>1078</t>
  </si>
  <si>
    <t>伊丹市立学校給食センター</t>
  </si>
  <si>
    <t>教育委員会学校教育部学校給食センター</t>
  </si>
  <si>
    <t>658</t>
  </si>
  <si>
    <t>伊丹市鴻池3丁目4番5号</t>
  </si>
  <si>
    <t>地方教育行政の組織及び運営に関する法律、伊丹市立学校給食センター設置条例</t>
  </si>
  <si>
    <t>児童の体位向上および健康の増進を図ることを目的に設置。</t>
  </si>
  <si>
    <t>8:00～16:45</t>
  </si>
  <si>
    <t>土,日,祝,年末年始</t>
  </si>
  <si>
    <t>調理室（揚物・焼物室含む）,下処理室,洗浄室,ｺﾝﾃﾅｰ消毒室</t>
  </si>
  <si>
    <t>168</t>
  </si>
  <si>
    <t>0301</t>
  </si>
  <si>
    <t>中央保育所</t>
  </si>
  <si>
    <t>こども未来部こども室保育課</t>
  </si>
  <si>
    <t>355</t>
  </si>
  <si>
    <t>伊丹市行基町1丁目50</t>
  </si>
  <si>
    <t>05子育て支援施設</t>
  </si>
  <si>
    <t>01保育所</t>
  </si>
  <si>
    <t>児童福祉法,伊丹市保育所条例</t>
  </si>
  <si>
    <t>保護者が就労または病気であるなどの理由により乳幼児を保育することができない場合に、児童福祉の観点から保護者に代わって保育することを目的として設置する施設。</t>
  </si>
  <si>
    <t>7:00～19:00</t>
  </si>
  <si>
    <t>日,祝,年末年始</t>
  </si>
  <si>
    <t>事務室,医務室,調理室,調乳室,沐浴室,遊戯室,談話室,休養室,保育室（8）</t>
  </si>
  <si>
    <t>169</t>
  </si>
  <si>
    <t>0302</t>
  </si>
  <si>
    <t>西保育所</t>
  </si>
  <si>
    <t>第1種・2種中高層住居専用</t>
  </si>
  <si>
    <t>0303</t>
  </si>
  <si>
    <t>神津こども園</t>
  </si>
  <si>
    <t>伊丹市森本1丁目8番25号</t>
  </si>
  <si>
    <t>1968</t>
  </si>
  <si>
    <t>職員室,相談室,子育て支援室,多目的室,ﾗﾝﾁﾙｰﾑ,保健室,調理室,沐浴室,遊戯室,休憩室,保育室（8）</t>
  </si>
  <si>
    <t>171</t>
  </si>
  <si>
    <t>0305</t>
  </si>
  <si>
    <t>北保育所</t>
  </si>
  <si>
    <t>北村センター,北村交流センター</t>
  </si>
  <si>
    <t>事務室,調理室,沐浴室,遊戯室,更衣室,保育室（9）</t>
  </si>
  <si>
    <t>173</t>
  </si>
  <si>
    <t>174</t>
  </si>
  <si>
    <t>0307</t>
  </si>
  <si>
    <t>ひかり保育園</t>
  </si>
  <si>
    <t>伊丹市堀池3丁目7番26号</t>
  </si>
  <si>
    <t>事務室,職員室,調理室,調乳室,沐浴室,遊戯室,休養室,保育室（6）</t>
  </si>
  <si>
    <t>175</t>
  </si>
  <si>
    <t>0308</t>
  </si>
  <si>
    <t>荻野保育所</t>
  </si>
  <si>
    <t>伊丹市荻野8丁目33番5号</t>
  </si>
  <si>
    <t>176</t>
  </si>
  <si>
    <t>1001</t>
  </si>
  <si>
    <t>伊丹幼稚園</t>
  </si>
  <si>
    <t>02幼稚園</t>
  </si>
  <si>
    <t>学校教育法,伊丹市立幼稚園設置条例</t>
  </si>
  <si>
    <t>1946</t>
  </si>
  <si>
    <t>義務教育及びその後の教育の基礎を培うものとして、幼児を保育し、幼児の健やかな成長のために適当な環境を与えて、その心身の発達を助長することを目的とした施設。</t>
  </si>
  <si>
    <t>8:40～13:45（施設開放は～21:00）</t>
  </si>
  <si>
    <t>職員室,保健室,保育室,多目的室,遊戯室</t>
  </si>
  <si>
    <t>177</t>
  </si>
  <si>
    <t>178</t>
  </si>
  <si>
    <t>179</t>
  </si>
  <si>
    <t>182</t>
  </si>
  <si>
    <t>1009</t>
  </si>
  <si>
    <t>みずほ幼稚園</t>
  </si>
  <si>
    <t>伊丹市瑞穂町3丁目46番地</t>
  </si>
  <si>
    <t>184</t>
  </si>
  <si>
    <t>1010</t>
  </si>
  <si>
    <t>ありおか幼稚園</t>
  </si>
  <si>
    <t>伊丹市伊丹7丁目1番30号</t>
  </si>
  <si>
    <t>185</t>
  </si>
  <si>
    <t>186</t>
  </si>
  <si>
    <t>1012</t>
  </si>
  <si>
    <t>こやのさと幼稚園</t>
  </si>
  <si>
    <t>職員室,保健室,保育室,遊戯室</t>
  </si>
  <si>
    <t>187</t>
  </si>
  <si>
    <t>1013</t>
  </si>
  <si>
    <t>せつよう幼稚園</t>
  </si>
  <si>
    <t>188</t>
  </si>
  <si>
    <t>189</t>
  </si>
  <si>
    <t>1015</t>
  </si>
  <si>
    <t>おぎの幼稚園</t>
  </si>
  <si>
    <t>伊丹市大野2丁目159番地</t>
  </si>
  <si>
    <t>190</t>
  </si>
  <si>
    <t>1016</t>
  </si>
  <si>
    <t>いけじり幼稚園</t>
  </si>
  <si>
    <t>伊丹市池尻6丁目231番地</t>
  </si>
  <si>
    <t>191</t>
  </si>
  <si>
    <t>1017</t>
  </si>
  <si>
    <t>こうのいけ幼稚園</t>
  </si>
  <si>
    <t>伊丹市鴻池4丁目4番4号</t>
  </si>
  <si>
    <t>192</t>
  </si>
  <si>
    <t>0350</t>
  </si>
  <si>
    <t>地域福祉総合センター</t>
  </si>
  <si>
    <t>健康福祉部地域福祉室地域・高年福祉課</t>
  </si>
  <si>
    <t>285</t>
  </si>
  <si>
    <t>伊丹市広畑3丁目1番地</t>
  </si>
  <si>
    <t>06福祉施設</t>
  </si>
  <si>
    <t>01地域福祉・高齢者施設</t>
  </si>
  <si>
    <t>伊丹市立地域福祉総合センター条例</t>
  </si>
  <si>
    <t>介護や子育てなど身近な福祉課題に取り組む地域団体や住民が他の団体や行政と連携し、安心して暮らせる地域社会づくりを目指す地域福祉の拠点施設。</t>
  </si>
  <si>
    <t>伊丹市社会福祉協議会</t>
  </si>
  <si>
    <t>9:00～21:00(土,日,祝9:00～17:00)</t>
  </si>
  <si>
    <t>調理実習室,会議室１～３,人材養成室</t>
  </si>
  <si>
    <t>193</t>
  </si>
  <si>
    <t>0337</t>
  </si>
  <si>
    <t>サンシティホール</t>
  </si>
  <si>
    <t>伊丹市中野西1丁目148番地の1</t>
  </si>
  <si>
    <t>伊丹市立サンシティホール条例</t>
  </si>
  <si>
    <t>高齢者をはじめとする市民の文化，教養ならびに福祉の向上を図る。</t>
  </si>
  <si>
    <t>公益社団法人伊丹市シルバー人材センター</t>
  </si>
  <si>
    <t>9:00～21:00（日,祝9:00～17:30）</t>
  </si>
  <si>
    <t>火,年末年始</t>
  </si>
  <si>
    <t>多目的ﾎｰﾙ,講座室(1)(2),絵画工芸室,音楽室,多目的室(1)(2),会議室</t>
  </si>
  <si>
    <t>194</t>
  </si>
  <si>
    <t>0347</t>
  </si>
  <si>
    <t>神津福祉センター</t>
  </si>
  <si>
    <t>伊丹市森本1丁目8番地19号</t>
  </si>
  <si>
    <t>伊丹市立神津福祉センター条例</t>
  </si>
  <si>
    <t>特別養護老人ホーム「ケイ・メゾン・ときめき」</t>
  </si>
  <si>
    <t>区分所有</t>
  </si>
  <si>
    <t>社会福祉法人「協同の苑」</t>
  </si>
  <si>
    <t>講座室,音楽ﾄﾚｰﾆﾝｸﾞ室,和室,趣味活動室</t>
  </si>
  <si>
    <t>195</t>
  </si>
  <si>
    <t>0321</t>
  </si>
  <si>
    <t>高齢者憩のセンター</t>
  </si>
  <si>
    <t>伊丹市高齢者憩のセンター条例</t>
  </si>
  <si>
    <t>高齢者に対し，教養の向上，レクリエーション等のための場を提供することにより，高齢者の心身の健康増進を図る。</t>
  </si>
  <si>
    <t>集会室,娯楽室</t>
  </si>
  <si>
    <t>196</t>
  </si>
  <si>
    <t>0344</t>
  </si>
  <si>
    <t>ふれあいセンター</t>
  </si>
  <si>
    <t>伊丹市昆陽南3丁目8番21号</t>
  </si>
  <si>
    <t>高齢者が憩い、健康体操等を通して体の機能維持・回復（介護予防）を図り、一人ひとりの人権を大切にするふれあい交流の場</t>
  </si>
  <si>
    <t>1階：16:00～23:00　2階：9:00～17:30</t>
  </si>
  <si>
    <t>1階：火,1/1,4　2階：火,土,年末年始</t>
  </si>
  <si>
    <t>197</t>
  </si>
  <si>
    <t>0319</t>
  </si>
  <si>
    <t>障害者福祉センター</t>
  </si>
  <si>
    <t>健康福祉部地域福祉室障害福祉課</t>
  </si>
  <si>
    <t>伊丹市昆陽池2丁目10番地</t>
  </si>
  <si>
    <t>02障がい者(児)・発達支援施設</t>
  </si>
  <si>
    <t>伊丹市立障害者福祉センター条例</t>
  </si>
  <si>
    <t>障がいのある人への各種相談、各種会合等のための部屋の提供、健康の増進、教養の向上、ｽﾎﾟｰﾂ・ﾚｸﾘｴｰｼｮﾝなどの保健・余暇活動、市民交流等の啓発活動、障がい者関係のボランティアの育成、機能訓練などのサービスを提供。</t>
  </si>
  <si>
    <t>社会福祉法人伊丹市社会福祉協議会</t>
  </si>
  <si>
    <t>9:00～21:00(日,祝9:00～17:30)</t>
  </si>
  <si>
    <t>月,年末年始,祝日の翌日</t>
  </si>
  <si>
    <t>大広間,研修室,多目的室,ﾌﾟｰﾙ,会議室,和室,浴室</t>
  </si>
  <si>
    <t>198</t>
  </si>
  <si>
    <t>0354</t>
  </si>
  <si>
    <t>障害者デイサービスセンター</t>
  </si>
  <si>
    <t>伊丹市立障害者デイサービスセンター条例</t>
  </si>
  <si>
    <t>在宅の障がい者の健康の推進及びその自立と社会参加の促進を図ることを目的とした施設。</t>
  </si>
  <si>
    <t>ﾃﾞｲﾙｰﾑ１～３</t>
  </si>
  <si>
    <t>199</t>
  </si>
  <si>
    <t>8:30～17:00</t>
  </si>
  <si>
    <t>201</t>
  </si>
  <si>
    <t>202</t>
  </si>
  <si>
    <t>0312</t>
  </si>
  <si>
    <t>こども発達支援センター</t>
  </si>
  <si>
    <t>伊丹市千僧1丁目47番2号</t>
  </si>
  <si>
    <t>伊丹市立こども発達支援センター条例</t>
  </si>
  <si>
    <t>障害のある児童又はその疑いのある児童（以下「障害児」という。）に対し，その発達段階に応じて日常生活のための指導，訓練，医療等の支援を総合的に提供するとともに，その保護者に対し相談を行うことにより，障害児の健やかな育成を図る。</t>
  </si>
  <si>
    <t>203</t>
  </si>
  <si>
    <t>0822</t>
  </si>
  <si>
    <t>長尾住宅</t>
  </si>
  <si>
    <t>都市活力部都市整備室住宅政策課</t>
  </si>
  <si>
    <t>454</t>
  </si>
  <si>
    <t>伊丹市北野1丁目80番地</t>
  </si>
  <si>
    <t>07住宅施設</t>
  </si>
  <si>
    <t>01市営住宅</t>
  </si>
  <si>
    <t>公営住宅法,伊丹市営住宅条例</t>
  </si>
  <si>
    <t>1997</t>
  </si>
  <si>
    <t>健康で文化的な生活を営むに足りる住宅を整備し、住宅に困窮する低額所得者に対して低廉な家賃で賃貸または転貸することにより、国民生活の安定と社会福祉の増進に寄与することを目的とする施設。</t>
  </si>
  <si>
    <t>近隣商業,第1種住居</t>
  </si>
  <si>
    <t>204</t>
  </si>
  <si>
    <t>0827</t>
  </si>
  <si>
    <t>鴻池南住宅</t>
  </si>
  <si>
    <t>伊丹市鴻池3丁目9番3</t>
  </si>
  <si>
    <t>地区計画</t>
  </si>
  <si>
    <t>205</t>
  </si>
  <si>
    <t>0806</t>
  </si>
  <si>
    <t>玉田団地</t>
  </si>
  <si>
    <t>伊丹市中野東1丁目4番地</t>
  </si>
  <si>
    <t>206</t>
  </si>
  <si>
    <t>0804</t>
  </si>
  <si>
    <t>荒牧第７団地</t>
  </si>
  <si>
    <t>207</t>
  </si>
  <si>
    <t>0803</t>
  </si>
  <si>
    <t>荒牧第６団地</t>
  </si>
  <si>
    <t>208</t>
  </si>
  <si>
    <t>0807</t>
  </si>
  <si>
    <t>山道団地</t>
  </si>
  <si>
    <t>伊丹市南野北1丁目1番1</t>
  </si>
  <si>
    <t>209</t>
  </si>
  <si>
    <t>0810</t>
  </si>
  <si>
    <t>荻野団地</t>
  </si>
  <si>
    <t>伊丹市荒牧南4丁目15番</t>
  </si>
  <si>
    <t>0808</t>
  </si>
  <si>
    <t>天神川団地</t>
  </si>
  <si>
    <t>211</t>
  </si>
  <si>
    <t>0813</t>
  </si>
  <si>
    <t>中曽根団地</t>
  </si>
  <si>
    <t>伊丹市南野北6丁目2番1</t>
  </si>
  <si>
    <t>212</t>
  </si>
  <si>
    <t>0809</t>
  </si>
  <si>
    <t>天神川第２団地</t>
  </si>
  <si>
    <t>伊丹市中野西1丁目75番地</t>
  </si>
  <si>
    <t>213</t>
  </si>
  <si>
    <t>0805</t>
  </si>
  <si>
    <t>荒牧第８団地</t>
  </si>
  <si>
    <t>214</t>
  </si>
  <si>
    <t>215</t>
  </si>
  <si>
    <t>216</t>
  </si>
  <si>
    <t>0814</t>
  </si>
  <si>
    <t>緑団地</t>
  </si>
  <si>
    <t>伊丹市堀池4丁目6番1</t>
  </si>
  <si>
    <t>217</t>
  </si>
  <si>
    <t>0815</t>
  </si>
  <si>
    <t>新光明団地</t>
  </si>
  <si>
    <t>伊丹市北本町2丁目193番地</t>
  </si>
  <si>
    <t>第2種中高層住居専用・準住居</t>
  </si>
  <si>
    <t>218</t>
  </si>
  <si>
    <t>0816</t>
  </si>
  <si>
    <t>堀池団地</t>
  </si>
  <si>
    <t>伊丹市堀池2丁目5番1</t>
  </si>
  <si>
    <t>219</t>
  </si>
  <si>
    <t>0817</t>
  </si>
  <si>
    <t>鶴田団地</t>
  </si>
  <si>
    <t>伊丹市荒牧6丁目21番1</t>
  </si>
  <si>
    <t>0818</t>
  </si>
  <si>
    <t>北野団地</t>
  </si>
  <si>
    <t>伊丹市北野5丁目44番地</t>
  </si>
  <si>
    <t>221</t>
  </si>
  <si>
    <t>0819</t>
  </si>
  <si>
    <t>荻野北団地</t>
  </si>
  <si>
    <t>伊丹市荻野8丁目62番地</t>
  </si>
  <si>
    <t>222</t>
  </si>
  <si>
    <t>0820</t>
  </si>
  <si>
    <t>シルバーハイツ桃源荘</t>
  </si>
  <si>
    <t>伊丹市中野西3丁目20番地</t>
  </si>
  <si>
    <t>223</t>
  </si>
  <si>
    <t>0821</t>
  </si>
  <si>
    <t>荒牧御影団地</t>
  </si>
  <si>
    <t>伊丹市荒牧5丁目16番26</t>
  </si>
  <si>
    <t>224</t>
  </si>
  <si>
    <t>0824</t>
  </si>
  <si>
    <t>新田中野住宅</t>
  </si>
  <si>
    <t>伊丹市中野東2丁目92番地の1</t>
  </si>
  <si>
    <t>225</t>
  </si>
  <si>
    <t>0830</t>
  </si>
  <si>
    <t>北野第１住宅</t>
  </si>
  <si>
    <t>伊丹市北野4丁目40番地</t>
  </si>
  <si>
    <t>226</t>
  </si>
  <si>
    <t>0831</t>
  </si>
  <si>
    <t>北野第２住宅</t>
  </si>
  <si>
    <t>伊丹市北野3丁目48番地1</t>
  </si>
  <si>
    <t>227</t>
  </si>
  <si>
    <t>0801</t>
  </si>
  <si>
    <t>平松住宅</t>
  </si>
  <si>
    <t>伊丹市平松3丁目3番7</t>
  </si>
  <si>
    <t>2002</t>
  </si>
  <si>
    <t>228</t>
  </si>
  <si>
    <t>0832</t>
  </si>
  <si>
    <t>桑津住宅</t>
  </si>
  <si>
    <t>伊丹市桑津4丁目1番1</t>
  </si>
  <si>
    <t>230</t>
  </si>
  <si>
    <t>0845</t>
  </si>
  <si>
    <t>北池尻団地</t>
  </si>
  <si>
    <t>伊丹市池尻6丁目237番地</t>
  </si>
  <si>
    <t>231</t>
  </si>
  <si>
    <t>0851</t>
  </si>
  <si>
    <t>昆陽池公園施設</t>
  </si>
  <si>
    <t>伊丹市昆陽池2丁目99番地</t>
  </si>
  <si>
    <t>08公園施設</t>
  </si>
  <si>
    <t>01公園施設</t>
  </si>
  <si>
    <t>昆陽池公園の維持管理、運営を行うための管理事務所。</t>
  </si>
  <si>
    <t>事務室,風呂,ﾄｲﾚ</t>
  </si>
  <si>
    <t>232</t>
  </si>
  <si>
    <t>0854</t>
  </si>
  <si>
    <t>荒牧バラ公園施設</t>
  </si>
  <si>
    <t>伊丹市荒牧6丁目5</t>
  </si>
  <si>
    <t>都市公園法</t>
  </si>
  <si>
    <t>9:00～17:00</t>
  </si>
  <si>
    <t>５月中旬～６月中旬、10月中旬～11月中旬以外</t>
  </si>
  <si>
    <t>地下ﾎｰﾙ</t>
  </si>
  <si>
    <t>233</t>
  </si>
  <si>
    <t>0867</t>
  </si>
  <si>
    <t>荒牧第三公園施設</t>
  </si>
  <si>
    <t>伊丹市荒牧3丁目16番42号</t>
  </si>
  <si>
    <t>荒牧第三公園内に設置される体験学習施設。</t>
  </si>
  <si>
    <t>委託</t>
  </si>
  <si>
    <t>荒牧第三公園体験学習施設及び日本庭園管理運営委員会</t>
  </si>
  <si>
    <t>事務室,集会室,ﾄｲﾚ</t>
  </si>
  <si>
    <t>234</t>
  </si>
  <si>
    <t>0868</t>
  </si>
  <si>
    <t>十六名公園施設</t>
  </si>
  <si>
    <t>伊丹市西野1丁目地内</t>
  </si>
  <si>
    <t>公園や市内各避難所での避難生活、救護活動に必要な資機材や物品等を備蓄することを目的として設置。食料品、毛布、衛生用品、テント・シート等を保管。</t>
  </si>
  <si>
    <t>備蓄倉庫、トイレ</t>
  </si>
  <si>
    <t>235</t>
  </si>
  <si>
    <t>0870</t>
  </si>
  <si>
    <t>大阪国際空港周辺緑地</t>
  </si>
  <si>
    <t>伊丹市森本7丁目1-1</t>
  </si>
  <si>
    <t>大阪国際空港の周辺対策・周辺整備の一環として、空港と周辺地域との調和を図り地域の憩いの場を確保するため、国・県・市が共同で整備した利用緑地。</t>
  </si>
  <si>
    <t>体験学習施設、展望施設、管理棟</t>
  </si>
  <si>
    <t>236</t>
  </si>
  <si>
    <t>0858</t>
  </si>
  <si>
    <t>昆陽南公園施設</t>
  </si>
  <si>
    <t>伊丹市山田1丁目6番1号</t>
  </si>
  <si>
    <t>2003</t>
  </si>
  <si>
    <t>昆陽南公園内に設置される体験学習施設。</t>
  </si>
  <si>
    <t>第1種、第2種中高層住居専用</t>
  </si>
  <si>
    <t>昆陽南公園運営委員会</t>
  </si>
  <si>
    <t>事務室、集会室、トイレ</t>
  </si>
  <si>
    <t>237</t>
  </si>
  <si>
    <t>0877</t>
  </si>
  <si>
    <t>笹原公園施設</t>
  </si>
  <si>
    <t>伊丹市車塚1丁目32-1</t>
  </si>
  <si>
    <t>238</t>
  </si>
  <si>
    <t>0289</t>
  </si>
  <si>
    <t>伊丹市公館（鴻臚館）</t>
  </si>
  <si>
    <t>総合政策部</t>
  </si>
  <si>
    <t>総合政策部秘書課</t>
  </si>
  <si>
    <t>伊丹市公館管理規則</t>
  </si>
  <si>
    <t>風致地区</t>
  </si>
  <si>
    <t>立札席,広間,茶室</t>
  </si>
  <si>
    <t>239</t>
  </si>
  <si>
    <t>0341</t>
  </si>
  <si>
    <t>遺族会館</t>
  </si>
  <si>
    <t>9901</t>
  </si>
  <si>
    <t>伊丹スポーツセンター</t>
  </si>
  <si>
    <t>教育委員会生涯学習部スポーツ振興課</t>
  </si>
  <si>
    <t>678</t>
  </si>
  <si>
    <t>伊丹市鴻池1丁目1番1号</t>
  </si>
  <si>
    <t>09ｽﾎﾟｰﾂ・ﾚｸﾘｴｰｼｮﾝ施設</t>
  </si>
  <si>
    <t>01ｽﾎﾟｰﾂ・ﾚｸﾘｴｰｼｮﾝ施設</t>
  </si>
  <si>
    <t>体育・ｽﾎﾟｰﾂの振興に関する事業を行い、伊丹市を中心とする地域住民の心身の健全な発達及び豊かな地域社会の発展に寄与することを目的とした施設。</t>
  </si>
  <si>
    <t>7:00～21:00</t>
  </si>
  <si>
    <t>12/28～1/4</t>
  </si>
  <si>
    <t>241</t>
  </si>
  <si>
    <t>1080</t>
  </si>
  <si>
    <t>市民の体育、スポーツおよびﾚｸﾘｴｰｼｮﾝの振興と心身の健全な発達を図ることにより、市民福祉の増進に寄与することを目的とした施設。</t>
  </si>
  <si>
    <t>第1種低層住居専用,準住居</t>
  </si>
  <si>
    <t>50,60</t>
  </si>
  <si>
    <t>100.,200</t>
  </si>
  <si>
    <t>１・３種</t>
  </si>
  <si>
    <t>火（祝のときは翌日）,年末年始</t>
  </si>
  <si>
    <t>242</t>
  </si>
  <si>
    <t>1082</t>
  </si>
  <si>
    <t>ローラースケート場</t>
  </si>
  <si>
    <t>伊丹市北伊丹8丁目230番地の1</t>
  </si>
  <si>
    <t>伊丹市ローラースケート協会</t>
  </si>
  <si>
    <t>243</t>
  </si>
  <si>
    <t>1083</t>
  </si>
  <si>
    <t>稲野公園運動施設</t>
  </si>
  <si>
    <t>伊丹市稲野町2丁目3番地の2</t>
  </si>
  <si>
    <t>伊丹市立体育施設条例</t>
  </si>
  <si>
    <t>244</t>
  </si>
  <si>
    <t>99市外</t>
  </si>
  <si>
    <t>24時間</t>
  </si>
  <si>
    <t>0896</t>
  </si>
  <si>
    <t>JR伊丹駅前駐車場</t>
  </si>
  <si>
    <t>都市交通部</t>
  </si>
  <si>
    <t>都市交通部交通政策室都市安全企画課</t>
  </si>
  <si>
    <t>480</t>
  </si>
  <si>
    <t>10その他施設</t>
  </si>
  <si>
    <t>01駐車場・駐輪場</t>
  </si>
  <si>
    <t>伊丹市立駐車場条例</t>
  </si>
  <si>
    <t>自動車を利用する市民の利便を図ることを目的とした施設。</t>
  </si>
  <si>
    <t>商業地域</t>
  </si>
  <si>
    <t>7:00～23:00</t>
  </si>
  <si>
    <t>246</t>
  </si>
  <si>
    <t>0898</t>
  </si>
  <si>
    <t>アリオ地下駐車場</t>
  </si>
  <si>
    <t>247</t>
  </si>
  <si>
    <t>0897</t>
  </si>
  <si>
    <t>宮ノ前地区地下駐車場</t>
  </si>
  <si>
    <t>248</t>
  </si>
  <si>
    <t>0881</t>
  </si>
  <si>
    <t>船原自転車駐車場</t>
  </si>
  <si>
    <t>伊丹市自転車駐車場条例</t>
  </si>
  <si>
    <t>自転車を利用する市民の利便を図ることを目的とした施設。</t>
  </si>
  <si>
    <t>第二種中高層住居専用地域</t>
  </si>
  <si>
    <t>4:30～0:45</t>
  </si>
  <si>
    <t>249</t>
  </si>
  <si>
    <t>0882</t>
  </si>
  <si>
    <t>西台自転車駐車場</t>
  </si>
  <si>
    <t>250</t>
  </si>
  <si>
    <t>0884</t>
  </si>
  <si>
    <t>平松自転車駐車場</t>
  </si>
  <si>
    <t>251</t>
  </si>
  <si>
    <t>0885</t>
  </si>
  <si>
    <t>252</t>
  </si>
  <si>
    <t>0886</t>
  </si>
  <si>
    <t>253</t>
  </si>
  <si>
    <t>0887</t>
  </si>
  <si>
    <t>東有岡自転車駐車場</t>
  </si>
  <si>
    <t>工業地域</t>
  </si>
  <si>
    <t>254</t>
  </si>
  <si>
    <t>0888</t>
  </si>
  <si>
    <t>255</t>
  </si>
  <si>
    <t>0890</t>
  </si>
  <si>
    <t>近隣商業地域</t>
  </si>
  <si>
    <t>256</t>
  </si>
  <si>
    <t>0891</t>
  </si>
  <si>
    <t>阪急伊丹駅前地下自転車駐車場</t>
  </si>
  <si>
    <t>600</t>
  </si>
  <si>
    <t>257</t>
  </si>
  <si>
    <t>0019</t>
  </si>
  <si>
    <t>準住居地域</t>
  </si>
  <si>
    <t>自転車80台,原付等20台</t>
  </si>
  <si>
    <t>258</t>
  </si>
  <si>
    <t>0297</t>
  </si>
  <si>
    <t>藤ノ木自転車保管返還所</t>
  </si>
  <si>
    <t>伊丹市藤ノ木2丁目108</t>
  </si>
  <si>
    <t>伊丹市自転車の安全利用の促進及び自転車等の駐車対策の推進に関する条例</t>
  </si>
  <si>
    <t>準工業地域</t>
  </si>
  <si>
    <t>259</t>
  </si>
  <si>
    <t>0404</t>
  </si>
  <si>
    <t>環境クリーンセンター</t>
  </si>
  <si>
    <t>市民自治部環境クリーンセンター</t>
  </si>
  <si>
    <t>伊丹市岩屋2丁目2番8号</t>
  </si>
  <si>
    <t>02その他</t>
  </si>
  <si>
    <t>廃棄物の処理及び清掃に関する法律</t>
  </si>
  <si>
    <t>ごみやし尿の収集、ごみの減量や資源化に関する事業計画等の立案を行う。</t>
  </si>
  <si>
    <t>260</t>
  </si>
  <si>
    <t>0405</t>
  </si>
  <si>
    <t>市営斎場</t>
  </si>
  <si>
    <t>市民自治部環境政策室生活環境課</t>
  </si>
  <si>
    <t>伊丹市船原2丁目4番20号</t>
  </si>
  <si>
    <t>伊丹市営斎場条例</t>
  </si>
  <si>
    <t>火葬および葬儀に関する施設の提供を行う。</t>
  </si>
  <si>
    <t>株式会社　五輪</t>
  </si>
  <si>
    <t>9601</t>
  </si>
  <si>
    <t>都市活力部産業振興室農業政策課</t>
  </si>
  <si>
    <t>460</t>
  </si>
  <si>
    <t>伊丹市北本町3丁目50番地</t>
  </si>
  <si>
    <t>生鮮食料品等の取引の適正化とその生産および流通の円滑化を図り，もって市民等の生活の安定に資することを目的とする。</t>
  </si>
  <si>
    <t>0704</t>
  </si>
  <si>
    <t>イベント倉庫</t>
  </si>
  <si>
    <t>伊丹市北伊丹2丁目74</t>
  </si>
  <si>
    <t>9711</t>
  </si>
  <si>
    <t>阪神北広域こども急病センター</t>
  </si>
  <si>
    <t>健康福祉部保健医療推進室地域医療推進課</t>
  </si>
  <si>
    <t>330</t>
  </si>
  <si>
    <t>伊丹市昆陽池2丁目10</t>
  </si>
  <si>
    <t>阪神北広域こども急病センター条例</t>
  </si>
  <si>
    <t>休日及び夜間において、伊丹市、宝塚市、川西市及び猪名川町の小児の患者に対して応急の診療を行う施設。</t>
  </si>
  <si>
    <t>公益財団法人　阪神北広域救急医療財団</t>
  </si>
  <si>
    <t>平日：20:00～翌7:00,土：15:00～翌7:00,日祝：9:00～翌7:00</t>
  </si>
  <si>
    <t>9701</t>
  </si>
  <si>
    <t>伊丹病院</t>
  </si>
  <si>
    <t>838</t>
  </si>
  <si>
    <t>伊丹市昆陽池1丁目100番地</t>
  </si>
  <si>
    <t>11公営企業施設</t>
  </si>
  <si>
    <t>01病院施設</t>
  </si>
  <si>
    <t>伊丹市病院事業の設置等に関する条例</t>
  </si>
  <si>
    <t>地域の中核病院として急性期医療を担う。</t>
  </si>
  <si>
    <t>第2種中高層住居専用,第2種住居</t>
  </si>
  <si>
    <t>9501</t>
  </si>
  <si>
    <t>上下水道局</t>
  </si>
  <si>
    <t>上下水道局経営企画室経営企画課</t>
  </si>
  <si>
    <t>819</t>
  </si>
  <si>
    <t>02上下水道施設</t>
  </si>
  <si>
    <t>9502</t>
  </si>
  <si>
    <t>千僧浄水場</t>
  </si>
  <si>
    <t>上下水道局整備保全室浄水課</t>
  </si>
  <si>
    <t>834</t>
  </si>
  <si>
    <t>武庫川、猪名川、淀川の水を水源として浄水し、市内各戸へ水道水を供給する施設。</t>
  </si>
  <si>
    <t>北村水源地</t>
  </si>
  <si>
    <t>伊丹市北伊丹5丁目13番地</t>
  </si>
  <si>
    <t>猪名川の水を取水するための施設。</t>
  </si>
  <si>
    <t>武庫川水源地</t>
  </si>
  <si>
    <t>武庫川の水を取水するための施設。</t>
  </si>
  <si>
    <t>0857</t>
  </si>
  <si>
    <t>金岡雨水貯留管関連管理棟</t>
  </si>
  <si>
    <t>上下水道局整備保全室管理課</t>
  </si>
  <si>
    <t>831</t>
  </si>
  <si>
    <t>伊丹市御願塚6丁目1番2号</t>
  </si>
  <si>
    <t>下水道法,伊丹市下水道条例</t>
  </si>
  <si>
    <t>金岡雨水幹線（排水面積470ヘクタール）が溢れるのを防止することを目的に設置された貯留管を管理する施設。</t>
  </si>
  <si>
    <t>0874</t>
  </si>
  <si>
    <t>西野雨水ポンプ場</t>
  </si>
  <si>
    <t>伊丹市西野1丁目305-2番</t>
  </si>
  <si>
    <t>0875</t>
  </si>
  <si>
    <t>中野東雨水ポンプ場</t>
  </si>
  <si>
    <t>伊丹市中野東1丁目47-5</t>
  </si>
  <si>
    <t>0869</t>
  </si>
  <si>
    <t>三平雨水ポンプ場</t>
  </si>
  <si>
    <t>伊丹市東有岡5丁目47-10</t>
  </si>
  <si>
    <t>0871</t>
  </si>
  <si>
    <t>渕雨水ポンプ場</t>
  </si>
  <si>
    <t>伊丹市森本1丁目98-8</t>
  </si>
  <si>
    <t>0876</t>
  </si>
  <si>
    <t>鶴田雨水ポンプ場</t>
  </si>
  <si>
    <t>伊丹市岩屋2丁目3番24号</t>
  </si>
  <si>
    <t>0873</t>
  </si>
  <si>
    <t>北河原雨水ポンプ場</t>
  </si>
  <si>
    <t>伊丹市北本町1丁目207番地</t>
  </si>
  <si>
    <t>9801</t>
  </si>
  <si>
    <t>交通局</t>
  </si>
  <si>
    <t>798</t>
  </si>
  <si>
    <t>03交通施設</t>
  </si>
  <si>
    <t>日本管財株式会社</t>
    <rPh sb="0" eb="2">
      <t>ニホン</t>
    </rPh>
    <rPh sb="2" eb="4">
      <t>カンザイ</t>
    </rPh>
    <rPh sb="4" eb="6">
      <t>カブシキ</t>
    </rPh>
    <rPh sb="6" eb="8">
      <t>カイシャ</t>
    </rPh>
    <phoneticPr fontId="5"/>
  </si>
  <si>
    <t>名称等</t>
    <rPh sb="0" eb="2">
      <t>メイショウ</t>
    </rPh>
    <rPh sb="2" eb="3">
      <t>トウ</t>
    </rPh>
    <phoneticPr fontId="9"/>
  </si>
  <si>
    <t>基本情報</t>
    <rPh sb="0" eb="2">
      <t>キホン</t>
    </rPh>
    <rPh sb="2" eb="4">
      <t>ジョウホウ</t>
    </rPh>
    <phoneticPr fontId="9"/>
  </si>
  <si>
    <t>耐震状況</t>
    <rPh sb="0" eb="2">
      <t>タイシン</t>
    </rPh>
    <rPh sb="2" eb="4">
      <t>ジョウキョウ</t>
    </rPh>
    <phoneticPr fontId="9"/>
  </si>
  <si>
    <t>改修状況</t>
    <rPh sb="0" eb="2">
      <t>カイシュウ</t>
    </rPh>
    <rPh sb="2" eb="4">
      <t>ジョウキョウ</t>
    </rPh>
    <phoneticPr fontId="9"/>
  </si>
  <si>
    <t>老朽度状況</t>
    <rPh sb="0" eb="2">
      <t>ロウキュウ</t>
    </rPh>
    <rPh sb="2" eb="3">
      <t>ド</t>
    </rPh>
    <rPh sb="3" eb="5">
      <t>ジョウキョウ</t>
    </rPh>
    <phoneticPr fontId="9"/>
  </si>
  <si>
    <t>施設の所管</t>
    <rPh sb="0" eb="2">
      <t>シセツ</t>
    </rPh>
    <rPh sb="3" eb="5">
      <t>ショカン</t>
    </rPh>
    <phoneticPr fontId="9"/>
  </si>
  <si>
    <t>建物枝番号</t>
    <rPh sb="0" eb="2">
      <t>タテモノ</t>
    </rPh>
    <rPh sb="2" eb="3">
      <t>エダ</t>
    </rPh>
    <rPh sb="3" eb="5">
      <t>バンゴウ</t>
    </rPh>
    <phoneticPr fontId="7"/>
  </si>
  <si>
    <t>建物名</t>
    <rPh sb="0" eb="2">
      <t>タテモノ</t>
    </rPh>
    <rPh sb="2" eb="3">
      <t>メイ</t>
    </rPh>
    <phoneticPr fontId="9"/>
  </si>
  <si>
    <t>建築年</t>
    <rPh sb="0" eb="2">
      <t>ケンチク</t>
    </rPh>
    <rPh sb="2" eb="3">
      <t>ネン</t>
    </rPh>
    <phoneticPr fontId="9"/>
  </si>
  <si>
    <t>月</t>
    <rPh sb="0" eb="1">
      <t>ツキ</t>
    </rPh>
    <phoneticPr fontId="9"/>
  </si>
  <si>
    <t>築後年</t>
    <rPh sb="0" eb="1">
      <t>チク</t>
    </rPh>
    <rPh sb="1" eb="3">
      <t>コウネン</t>
    </rPh>
    <rPh sb="2" eb="3">
      <t>ネン</t>
    </rPh>
    <phoneticPr fontId="9"/>
  </si>
  <si>
    <t>建築面積</t>
    <rPh sb="0" eb="2">
      <t>ケンチク</t>
    </rPh>
    <rPh sb="2" eb="4">
      <t>メンセキ</t>
    </rPh>
    <phoneticPr fontId="9"/>
  </si>
  <si>
    <t>延床面積
(建物全体)</t>
    <rPh sb="0" eb="1">
      <t>ノベ</t>
    </rPh>
    <rPh sb="1" eb="4">
      <t>ユカメンセキ</t>
    </rPh>
    <rPh sb="6" eb="8">
      <t>タテモノ</t>
    </rPh>
    <rPh sb="8" eb="10">
      <t>ゼンタイ</t>
    </rPh>
    <phoneticPr fontId="9"/>
  </si>
  <si>
    <t>施設形態</t>
    <rPh sb="0" eb="2">
      <t>シセツ</t>
    </rPh>
    <rPh sb="2" eb="4">
      <t>ケイタイ</t>
    </rPh>
    <phoneticPr fontId="9"/>
  </si>
  <si>
    <t>構造</t>
    <rPh sb="0" eb="2">
      <t>コウゾウ</t>
    </rPh>
    <phoneticPr fontId="9"/>
  </si>
  <si>
    <t>地上階数</t>
    <rPh sb="0" eb="2">
      <t>チジョウ</t>
    </rPh>
    <rPh sb="2" eb="4">
      <t>カイスウ</t>
    </rPh>
    <phoneticPr fontId="15"/>
  </si>
  <si>
    <t>地下階数</t>
    <rPh sb="0" eb="2">
      <t>チカ</t>
    </rPh>
    <rPh sb="2" eb="4">
      <t>カイスウ</t>
    </rPh>
    <phoneticPr fontId="15"/>
  </si>
  <si>
    <t>基準(新・旧)</t>
    <rPh sb="0" eb="2">
      <t>キジュン</t>
    </rPh>
    <rPh sb="3" eb="4">
      <t>シン</t>
    </rPh>
    <rPh sb="5" eb="6">
      <t>キュウ</t>
    </rPh>
    <phoneticPr fontId="9"/>
  </si>
  <si>
    <t>診断有無</t>
    <rPh sb="0" eb="2">
      <t>シンダン</t>
    </rPh>
    <rPh sb="2" eb="4">
      <t>ウム</t>
    </rPh>
    <phoneticPr fontId="9"/>
  </si>
  <si>
    <t>耐震性ありor補強済</t>
    <rPh sb="0" eb="3">
      <t>タイシンセイ</t>
    </rPh>
    <rPh sb="7" eb="9">
      <t>ホキョウ</t>
    </rPh>
    <rPh sb="9" eb="10">
      <t>ズ</t>
    </rPh>
    <phoneticPr fontId="9"/>
  </si>
  <si>
    <t>改修年</t>
    <rPh sb="0" eb="2">
      <t>カイシュウ</t>
    </rPh>
    <rPh sb="2" eb="3">
      <t>ネン</t>
    </rPh>
    <phoneticPr fontId="9"/>
  </si>
  <si>
    <t>大規模改修実施年</t>
    <rPh sb="0" eb="3">
      <t>ダイキボ</t>
    </rPh>
    <rPh sb="3" eb="5">
      <t>カイシュウ</t>
    </rPh>
    <rPh sb="5" eb="7">
      <t>ジッシ</t>
    </rPh>
    <rPh sb="7" eb="8">
      <t>ネン</t>
    </rPh>
    <phoneticPr fontId="9"/>
  </si>
  <si>
    <t>法定耐用年数</t>
    <rPh sb="0" eb="2">
      <t>ホウテイ</t>
    </rPh>
    <rPh sb="2" eb="4">
      <t>タイヨウ</t>
    </rPh>
    <rPh sb="4" eb="6">
      <t>ネンスウ</t>
    </rPh>
    <phoneticPr fontId="9"/>
  </si>
  <si>
    <t>建築躯体</t>
    <rPh sb="0" eb="2">
      <t>ケンチク</t>
    </rPh>
    <rPh sb="2" eb="4">
      <t>クタイ</t>
    </rPh>
    <phoneticPr fontId="9"/>
  </si>
  <si>
    <t>屋根屋上</t>
    <rPh sb="0" eb="2">
      <t>ヤネ</t>
    </rPh>
    <rPh sb="2" eb="4">
      <t>オクジョウ</t>
    </rPh>
    <phoneticPr fontId="9"/>
  </si>
  <si>
    <t>外壁</t>
    <rPh sb="0" eb="2">
      <t>ガイヘキ</t>
    </rPh>
    <phoneticPr fontId="9"/>
  </si>
  <si>
    <t>電気設備</t>
    <rPh sb="0" eb="2">
      <t>デンキ</t>
    </rPh>
    <rPh sb="2" eb="4">
      <t>セツビ</t>
    </rPh>
    <phoneticPr fontId="9"/>
  </si>
  <si>
    <t>照明</t>
    <rPh sb="0" eb="2">
      <t>ショウメイ</t>
    </rPh>
    <phoneticPr fontId="9"/>
  </si>
  <si>
    <t>空調設備</t>
    <rPh sb="0" eb="2">
      <t>クウチョウ</t>
    </rPh>
    <rPh sb="2" eb="4">
      <t>セツビ</t>
    </rPh>
    <phoneticPr fontId="9"/>
  </si>
  <si>
    <t>給水管</t>
    <rPh sb="0" eb="3">
      <t>キュウスイカン</t>
    </rPh>
    <phoneticPr fontId="9"/>
  </si>
  <si>
    <t>衛生設備</t>
    <rPh sb="0" eb="2">
      <t>エイセイ</t>
    </rPh>
    <rPh sb="2" eb="4">
      <t>セツビ</t>
    </rPh>
    <phoneticPr fontId="9"/>
  </si>
  <si>
    <t>総合判定</t>
    <rPh sb="0" eb="2">
      <t>ソウゴウ</t>
    </rPh>
    <rPh sb="2" eb="4">
      <t>ハンテイ</t>
    </rPh>
    <phoneticPr fontId="9"/>
  </si>
  <si>
    <t>老朽化率</t>
    <rPh sb="0" eb="2">
      <t>ロウキュウ</t>
    </rPh>
    <rPh sb="2" eb="3">
      <t>カ</t>
    </rPh>
    <rPh sb="3" eb="4">
      <t>リツ</t>
    </rPh>
    <phoneticPr fontId="9"/>
  </si>
  <si>
    <t>総量対象コード</t>
    <rPh sb="0" eb="2">
      <t>ソウリョウ</t>
    </rPh>
    <rPh sb="2" eb="4">
      <t>タイショウ</t>
    </rPh>
    <phoneticPr fontId="9"/>
  </si>
  <si>
    <t>01</t>
  </si>
  <si>
    <t>RC</t>
  </si>
  <si>
    <t>旧</t>
  </si>
  <si>
    <t>済</t>
  </si>
  <si>
    <t>未</t>
  </si>
  <si>
    <t>C</t>
  </si>
  <si>
    <t>D</t>
  </si>
  <si>
    <t>A</t>
  </si>
  <si>
    <t>00対象</t>
    <rPh sb="2" eb="4">
      <t>タイショウ</t>
    </rPh>
    <phoneticPr fontId="9"/>
  </si>
  <si>
    <t>02</t>
  </si>
  <si>
    <t>東館（防災ｾﾝﾀｰ）</t>
  </si>
  <si>
    <t>03</t>
  </si>
  <si>
    <t>駐車場</t>
  </si>
  <si>
    <t>新</t>
  </si>
  <si>
    <t>複合</t>
    <rPh sb="0" eb="2">
      <t>フクゴウ</t>
    </rPh>
    <phoneticPr fontId="9"/>
  </si>
  <si>
    <t>北部学習ｾﾝﾀｰ</t>
  </si>
  <si>
    <t>B</t>
  </si>
  <si>
    <t>05対象外</t>
    <rPh sb="2" eb="4">
      <t>タイショウ</t>
    </rPh>
    <rPh sb="4" eb="5">
      <t>ガイ</t>
    </rPh>
    <phoneticPr fontId="9"/>
  </si>
  <si>
    <t>南ｾﾝﾀｰ</t>
  </si>
  <si>
    <t>野間笠松ｾﾝﾀｰ</t>
  </si>
  <si>
    <t>伊丹商工ﾌﾟﾗｻﾞ</t>
  </si>
  <si>
    <t>04</t>
  </si>
  <si>
    <t>控室</t>
  </si>
  <si>
    <t>S</t>
  </si>
  <si>
    <t>03対象外</t>
    <rPh sb="2" eb="4">
      <t>タイショウ</t>
    </rPh>
    <rPh sb="4" eb="5">
      <t>ガイ</t>
    </rPh>
    <phoneticPr fontId="9"/>
  </si>
  <si>
    <t>自転車置き場</t>
  </si>
  <si>
    <t>01対象外</t>
    <rPh sb="2" eb="4">
      <t>タイショウ</t>
    </rPh>
    <rPh sb="4" eb="5">
      <t>ガイ</t>
    </rPh>
    <phoneticPr fontId="9"/>
  </si>
  <si>
    <t>ガレージ</t>
  </si>
  <si>
    <t>総合教育ｾﾝﾀｰ</t>
  </si>
  <si>
    <t>ポンプ室</t>
  </si>
  <si>
    <t>局舎</t>
  </si>
  <si>
    <t>庁舎</t>
  </si>
  <si>
    <t>機械室</t>
  </si>
  <si>
    <t>倉庫</t>
  </si>
  <si>
    <t>W</t>
  </si>
  <si>
    <t>自転車置場</t>
  </si>
  <si>
    <t>出張所</t>
  </si>
  <si>
    <t>CB</t>
  </si>
  <si>
    <t>自転車置場他</t>
  </si>
  <si>
    <t>上屋</t>
  </si>
  <si>
    <t>05</t>
  </si>
  <si>
    <t>車庫</t>
  </si>
  <si>
    <t>集会所</t>
  </si>
  <si>
    <t>管理棟</t>
  </si>
  <si>
    <t>生涯学習ｾﾝﾀｰ</t>
  </si>
  <si>
    <t>労働福祉会館</t>
  </si>
  <si>
    <t>文化会館</t>
  </si>
  <si>
    <t>SRC</t>
  </si>
  <si>
    <t>音楽ﾎｰﾙ</t>
  </si>
  <si>
    <t>演劇ﾎｰﾙ</t>
  </si>
  <si>
    <t>昆虫館</t>
  </si>
  <si>
    <t>みどりのﾌﾟﾗｻﾞ</t>
  </si>
  <si>
    <t>ﾌﾟﾗﾈﾀﾘｳﾑ</t>
  </si>
  <si>
    <t>観光物産ｷﾞｬﾗﾘｰ</t>
  </si>
  <si>
    <t>旧岡田家住宅</t>
  </si>
  <si>
    <t>旧石橋家住宅</t>
  </si>
  <si>
    <t>図書館</t>
  </si>
  <si>
    <t>神津交流ｾﾝﾀｰ</t>
  </si>
  <si>
    <t>校舎1</t>
  </si>
  <si>
    <t>校舎2</t>
  </si>
  <si>
    <t>校舎3</t>
  </si>
  <si>
    <t>校舎4</t>
  </si>
  <si>
    <t>体育館棟</t>
  </si>
  <si>
    <t>06</t>
  </si>
  <si>
    <t>EV</t>
  </si>
  <si>
    <t>07</t>
  </si>
  <si>
    <t>08</t>
  </si>
  <si>
    <t>09</t>
  </si>
  <si>
    <t>校舎5</t>
  </si>
  <si>
    <t>体育館</t>
  </si>
  <si>
    <t>食堂</t>
  </si>
  <si>
    <t>渡廊下</t>
  </si>
  <si>
    <t>11</t>
  </si>
  <si>
    <t>プール付属室</t>
  </si>
  <si>
    <t>下足室</t>
  </si>
  <si>
    <t>便所</t>
  </si>
  <si>
    <t>クラブ</t>
  </si>
  <si>
    <t>玄関</t>
  </si>
  <si>
    <t>部室</t>
  </si>
  <si>
    <t>挌技棟</t>
  </si>
  <si>
    <t>格技棟</t>
  </si>
  <si>
    <t>下足棟</t>
  </si>
  <si>
    <t>部室棟</t>
  </si>
  <si>
    <t>校舎6</t>
  </si>
  <si>
    <t>校舎7</t>
  </si>
  <si>
    <t>校舎8</t>
  </si>
  <si>
    <t>調理場（第1）</t>
  </si>
  <si>
    <t>駐輪場（第1）</t>
  </si>
  <si>
    <t>厨芥処理（第1）</t>
  </si>
  <si>
    <t>排水処理（第1）</t>
  </si>
  <si>
    <t>ガス遮断装置（第1）</t>
  </si>
  <si>
    <t>調理場（第2）</t>
  </si>
  <si>
    <t>駐輪場（第2）</t>
  </si>
  <si>
    <t>厨芥処理（第2）</t>
  </si>
  <si>
    <t>空き缶置場（第2）</t>
  </si>
  <si>
    <t>保育所</t>
  </si>
  <si>
    <t>園舎</t>
  </si>
  <si>
    <t>園舎１</t>
  </si>
  <si>
    <t>園舎２</t>
  </si>
  <si>
    <t>遊戯室</t>
  </si>
  <si>
    <t>園舎３</t>
  </si>
  <si>
    <t>福祉総合ｾﾝﾀｰ</t>
  </si>
  <si>
    <t>ｻﾝｼﾃｨﾎｰﾙ</t>
  </si>
  <si>
    <t>神津福祉ｾﾝﾀｰ</t>
  </si>
  <si>
    <t>高齢者憩のｾﾝﾀｰ</t>
  </si>
  <si>
    <t>ふれあいｾﾝﾀｰ</t>
  </si>
  <si>
    <t>本館棟</t>
  </si>
  <si>
    <t>プール棟</t>
  </si>
  <si>
    <t>車寄せ</t>
  </si>
  <si>
    <t>ﾃﾞｲｻｰﾋﾞｽｾﾝﾀｰ</t>
  </si>
  <si>
    <t>1号館</t>
  </si>
  <si>
    <t>2号館</t>
  </si>
  <si>
    <t>3号館</t>
  </si>
  <si>
    <t>5号館</t>
  </si>
  <si>
    <t>6号館</t>
  </si>
  <si>
    <t>7号館</t>
  </si>
  <si>
    <t>8号館</t>
  </si>
  <si>
    <t>9号館</t>
  </si>
  <si>
    <t>集会室</t>
  </si>
  <si>
    <t>受水槽ポンプ室</t>
  </si>
  <si>
    <t>浄化槽ポンプ室</t>
  </si>
  <si>
    <t>物置</t>
  </si>
  <si>
    <t>18</t>
  </si>
  <si>
    <t>3号館自転車置場</t>
  </si>
  <si>
    <t>3・5号館自転車置場</t>
  </si>
  <si>
    <t>自転車置場2箇所</t>
  </si>
  <si>
    <t>24</t>
  </si>
  <si>
    <t>7号棟自転車置場</t>
  </si>
  <si>
    <t>8号棟自転車置場</t>
  </si>
  <si>
    <t>27</t>
  </si>
  <si>
    <t>管理用倉庫</t>
  </si>
  <si>
    <t>28</t>
  </si>
  <si>
    <t>駐輪場</t>
  </si>
  <si>
    <t>4号館</t>
  </si>
  <si>
    <t>10号館</t>
  </si>
  <si>
    <t>自転車置場(1; 2; 3; 4号館)</t>
  </si>
  <si>
    <t>自転車置場(5; 6号館)</t>
  </si>
  <si>
    <t>自転車置場(7号館)</t>
  </si>
  <si>
    <t>自転車置場(8号館)</t>
  </si>
  <si>
    <t>自転車置場(10号館)</t>
  </si>
  <si>
    <t>1号館自転車置場</t>
  </si>
  <si>
    <t>04対象外</t>
    <rPh sb="2" eb="4">
      <t>タイショウ</t>
    </rPh>
    <rPh sb="4" eb="5">
      <t>ガイ</t>
    </rPh>
    <phoneticPr fontId="9"/>
  </si>
  <si>
    <t>プロパンボンベ室</t>
  </si>
  <si>
    <t>プロパン庫</t>
  </si>
  <si>
    <t>ｼﾙﾊﾞｰﾊｲﾂ桃源荘</t>
  </si>
  <si>
    <t>電気室</t>
  </si>
  <si>
    <t>設備棟</t>
  </si>
  <si>
    <t>管理事務所</t>
  </si>
  <si>
    <t>危険物倉庫</t>
  </si>
  <si>
    <t>作業場</t>
  </si>
  <si>
    <t>公衆便所</t>
  </si>
  <si>
    <t>作業員用詰所・売店</t>
  </si>
  <si>
    <t>ボート収納倉庫</t>
  </si>
  <si>
    <t>餌切場</t>
  </si>
  <si>
    <t>便益施設</t>
  </si>
  <si>
    <t>作業員用事務所</t>
  </si>
  <si>
    <t>公園管理事務所内プレハブ倉庫</t>
  </si>
  <si>
    <t>多目的トイレ</t>
  </si>
  <si>
    <t>発券所</t>
  </si>
  <si>
    <t>便所（南側）</t>
  </si>
  <si>
    <t>便所（北側）</t>
  </si>
  <si>
    <t>レストハウス</t>
  </si>
  <si>
    <t>簡易上屋</t>
  </si>
  <si>
    <t>体験学習施設</t>
  </si>
  <si>
    <t>ﾊﾟｰｸｾﾝﾀｰ</t>
  </si>
  <si>
    <t>倉庫・ﾄｲﾚ</t>
  </si>
  <si>
    <t>東屋</t>
  </si>
  <si>
    <t>ｼｪﾙﾀｰ</t>
  </si>
  <si>
    <t>展望施設</t>
  </si>
  <si>
    <t>便所2</t>
  </si>
  <si>
    <t>便所3</t>
  </si>
  <si>
    <t>温室</t>
  </si>
  <si>
    <t>トイレ</t>
  </si>
  <si>
    <t>南管理倉庫</t>
  </si>
  <si>
    <t>備蓄倉庫</t>
  </si>
  <si>
    <t>鴻臚館</t>
  </si>
  <si>
    <t>ﾌﾟｰﾙ</t>
  </si>
  <si>
    <t>ｸﾗﾌﾞﾊｳｽ</t>
  </si>
  <si>
    <t>野球場</t>
  </si>
  <si>
    <t>陸上競技場</t>
  </si>
  <si>
    <t>し尿公共下水放流施設</t>
  </si>
  <si>
    <t>S,RC</t>
  </si>
  <si>
    <t>雨かっぱ掛棟</t>
  </si>
  <si>
    <t>車庫(A)</t>
  </si>
  <si>
    <t>車庫(B)</t>
  </si>
  <si>
    <t>車庫(C)</t>
  </si>
  <si>
    <t>車庫(D)</t>
  </si>
  <si>
    <t>車庫(E)</t>
  </si>
  <si>
    <t>車庫(F)</t>
  </si>
  <si>
    <t>倉庫(A)</t>
  </si>
  <si>
    <t>倉庫(B)</t>
  </si>
  <si>
    <t>倉庫(C)</t>
  </si>
  <si>
    <t>倉庫(D)</t>
  </si>
  <si>
    <t>倉庫(E)</t>
  </si>
  <si>
    <t>警備員詰所</t>
  </si>
  <si>
    <t>警備員詰所物置</t>
  </si>
  <si>
    <t>屋外便所</t>
  </si>
  <si>
    <t>ブレハブA</t>
  </si>
  <si>
    <t>ブレハブB</t>
  </si>
  <si>
    <t>斎場</t>
  </si>
  <si>
    <t>急病ｾﾝﾀｰ</t>
  </si>
  <si>
    <t>ﾏﾆﾎｰﾙﾄﾞ</t>
  </si>
  <si>
    <t>本館</t>
  </si>
  <si>
    <t>医療ガス機械室</t>
  </si>
  <si>
    <t>増築（SPD倉庫）</t>
  </si>
  <si>
    <t>増築（医局）</t>
  </si>
  <si>
    <t>増築（医局渡り廊下）</t>
  </si>
  <si>
    <t>ﾎﾟﾝﾌﾟ棟　第１ﾎﾟﾝﾌﾟ室</t>
  </si>
  <si>
    <t>ﾎﾟﾝﾌﾟ棟　第2ﾎﾟﾝﾌﾟ室</t>
  </si>
  <si>
    <t>No.1～4ろ過池棟</t>
  </si>
  <si>
    <t>ろ過池棟　渡廊下</t>
  </si>
  <si>
    <t>No.5～10ろ過池棟</t>
  </si>
  <si>
    <t>汚泥処理用倉庫・車庫棟</t>
  </si>
  <si>
    <t>排水処理棟</t>
  </si>
  <si>
    <t>次亜注入機室</t>
  </si>
  <si>
    <t>操作盤室（No.11～18）</t>
  </si>
  <si>
    <t>管理棟　北館</t>
  </si>
  <si>
    <t>管理棟　南館</t>
  </si>
  <si>
    <t>中間ﾎﾟﾝﾌﾟ棟</t>
  </si>
  <si>
    <t>ｵｿﾞﾝ処理棟</t>
  </si>
  <si>
    <t>活性炭処理棟</t>
  </si>
  <si>
    <t>空気源設備棟</t>
  </si>
  <si>
    <t>ポンプ棟</t>
  </si>
  <si>
    <t>管理情報</t>
    <rPh sb="0" eb="2">
      <t>カンリ</t>
    </rPh>
    <rPh sb="2" eb="4">
      <t>ジョウホウ</t>
    </rPh>
    <phoneticPr fontId="5"/>
  </si>
  <si>
    <t>積算根拠</t>
    <rPh sb="0" eb="2">
      <t>セキサン</t>
    </rPh>
    <rPh sb="2" eb="4">
      <t>コンキョ</t>
    </rPh>
    <phoneticPr fontId="5"/>
  </si>
  <si>
    <t>年度</t>
    <rPh sb="0" eb="2">
      <t>ネンド</t>
    </rPh>
    <phoneticPr fontId="9"/>
  </si>
  <si>
    <t>親部署</t>
    <rPh sb="0" eb="1">
      <t>オヤ</t>
    </rPh>
    <rPh sb="1" eb="3">
      <t>ブショ</t>
    </rPh>
    <phoneticPr fontId="5"/>
  </si>
  <si>
    <t>部署</t>
    <rPh sb="0" eb="2">
      <t>ブショ</t>
    </rPh>
    <phoneticPr fontId="5"/>
  </si>
  <si>
    <t>積算_市収入</t>
    <rPh sb="0" eb="2">
      <t>セキサン</t>
    </rPh>
    <rPh sb="3" eb="4">
      <t>シ</t>
    </rPh>
    <rPh sb="4" eb="6">
      <t>シュウニュウ</t>
    </rPh>
    <phoneticPr fontId="5"/>
  </si>
  <si>
    <t>積算_市支出</t>
    <rPh sb="3" eb="4">
      <t>シ</t>
    </rPh>
    <rPh sb="4" eb="6">
      <t>シシュツ</t>
    </rPh>
    <phoneticPr fontId="5"/>
  </si>
  <si>
    <t>積算_指定収入</t>
    <rPh sb="3" eb="5">
      <t>シテイ</t>
    </rPh>
    <rPh sb="5" eb="7">
      <t>シュウニュウ</t>
    </rPh>
    <phoneticPr fontId="5"/>
  </si>
  <si>
    <t>積算_指定支出</t>
    <rPh sb="3" eb="5">
      <t>シテイ</t>
    </rPh>
    <rPh sb="5" eb="7">
      <t>シシュツ</t>
    </rPh>
    <phoneticPr fontId="5"/>
  </si>
  <si>
    <t>単独</t>
    <rPh sb="0" eb="2">
      <t>タンドク</t>
    </rPh>
    <phoneticPr fontId="5"/>
  </si>
  <si>
    <t>複合</t>
    <rPh sb="0" eb="2">
      <t>フクゴウ</t>
    </rPh>
    <phoneticPr fontId="5"/>
  </si>
  <si>
    <t>延床面積
(該当部分)</t>
    <rPh sb="0" eb="1">
      <t>ノベ</t>
    </rPh>
    <rPh sb="1" eb="4">
      <t>ユカメンセキ</t>
    </rPh>
    <rPh sb="6" eb="8">
      <t>ガイトウ</t>
    </rPh>
    <rPh sb="8" eb="10">
      <t>ブブン</t>
    </rPh>
    <phoneticPr fontId="9"/>
  </si>
  <si>
    <t>③嘱託報酬
（千円）</t>
    <rPh sb="1" eb="3">
      <t>ショクタク</t>
    </rPh>
    <rPh sb="3" eb="5">
      <t>ホウシュウ</t>
    </rPh>
    <rPh sb="7" eb="8">
      <t>セン</t>
    </rPh>
    <rPh sb="8" eb="9">
      <t>エン</t>
    </rPh>
    <phoneticPr fontId="9"/>
  </si>
  <si>
    <t>④臨職賃金
（千円）</t>
    <rPh sb="1" eb="3">
      <t>リンショク</t>
    </rPh>
    <rPh sb="3" eb="5">
      <t>チンギン</t>
    </rPh>
    <phoneticPr fontId="9"/>
  </si>
  <si>
    <t>②人件費単価
(千円)</t>
    <rPh sb="1" eb="4">
      <t>ジンケンヒ</t>
    </rPh>
    <rPh sb="4" eb="6">
      <t>タンカ</t>
    </rPh>
    <rPh sb="8" eb="10">
      <t>センエン</t>
    </rPh>
    <phoneticPr fontId="5"/>
  </si>
  <si>
    <t>①職員数(人)</t>
    <rPh sb="1" eb="3">
      <t>ショクイン</t>
    </rPh>
    <rPh sb="3" eb="4">
      <t>スウ</t>
    </rPh>
    <rPh sb="5" eb="6">
      <t>ニン</t>
    </rPh>
    <phoneticPr fontId="9"/>
  </si>
  <si>
    <t>人件費</t>
    <rPh sb="0" eb="3">
      <t>ジンケンヒ</t>
    </rPh>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</si>
  <si>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</si>
  <si>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</si>
  <si>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</si>
  <si>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</si>
  <si>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</si>
  <si>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</si>
  <si>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</si>
  <si>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</si>
  <si>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</si>
  <si>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</si>
  <si>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</si>
  <si>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</si>
  <si>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</si>
  <si>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</si>
  <si>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</si>
  <si>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</si>
  <si>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</si>
  <si>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</si>
  <si>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</si>
  <si>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</si>
  <si>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</si>
  <si>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</si>
  <si>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</si>
  <si>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</si>
  <si>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</si>
  <si>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</si>
  <si>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t>
    <phoneticPr fontId="5"/>
  </si>
  <si>
    <t>395</t>
  </si>
  <si>
    <t>国、地方公共団体等に係る賓客の応接、市政功労者、社会的善行者等の表彰、国際友好親善事業ならびに国内および国際間の教育、文化および産業経済の発展に係る賓客の応接、市が主催する会議、催し物などの事業を行う。</t>
    <phoneticPr fontId="5"/>
  </si>
  <si>
    <t>03</t>
    <phoneticPr fontId="9"/>
  </si>
  <si>
    <t>寝所・腰掛待合棟</t>
    <phoneticPr fontId="9"/>
  </si>
  <si>
    <t>実績より</t>
    <rPh sb="0" eb="2">
      <t>ジッセキ</t>
    </rPh>
    <phoneticPr fontId="5"/>
  </si>
  <si>
    <t>警備・証明発行等に伴う経費</t>
    <rPh sb="0" eb="2">
      <t>ケイビ</t>
    </rPh>
    <rPh sb="3" eb="5">
      <t>ショウメイ</t>
    </rPh>
    <rPh sb="5" eb="7">
      <t>ハッコウ</t>
    </rPh>
    <rPh sb="7" eb="8">
      <t>トウ</t>
    </rPh>
    <rPh sb="9" eb="10">
      <t>トモナ</t>
    </rPh>
    <rPh sb="11" eb="13">
      <t>ケイヒ</t>
    </rPh>
    <phoneticPr fontId="5"/>
  </si>
  <si>
    <t>負担金・証明発行等に伴う経費</t>
    <rPh sb="0" eb="3">
      <t>フタンキン</t>
    </rPh>
    <rPh sb="4" eb="6">
      <t>ショウメイ</t>
    </rPh>
    <rPh sb="6" eb="8">
      <t>ハッコウ</t>
    </rPh>
    <rPh sb="8" eb="9">
      <t>トウ</t>
    </rPh>
    <rPh sb="10" eb="11">
      <t>トモナ</t>
    </rPh>
    <rPh sb="12" eb="14">
      <t>ケイヒ</t>
    </rPh>
    <phoneticPr fontId="5"/>
  </si>
  <si>
    <t>電気代・共益費・証明発行等に伴う経費</t>
    <rPh sb="0" eb="3">
      <t>デンキダイ</t>
    </rPh>
    <rPh sb="4" eb="7">
      <t>キョウエキヒ</t>
    </rPh>
    <rPh sb="8" eb="10">
      <t>ショウメイ</t>
    </rPh>
    <rPh sb="10" eb="12">
      <t>ハッコウ</t>
    </rPh>
    <rPh sb="12" eb="13">
      <t>トウ</t>
    </rPh>
    <rPh sb="14" eb="15">
      <t>トモナ</t>
    </rPh>
    <rPh sb="16" eb="18">
      <t>ケイヒ</t>
    </rPh>
    <phoneticPr fontId="5"/>
  </si>
  <si>
    <t>証明等発行手数料</t>
    <rPh sb="0" eb="2">
      <t>ショウメイ</t>
    </rPh>
    <rPh sb="2" eb="3">
      <t>トウ</t>
    </rPh>
    <rPh sb="3" eb="5">
      <t>ハッコウ</t>
    </rPh>
    <rPh sb="5" eb="8">
      <t>テスウリョウ</t>
    </rPh>
    <phoneticPr fontId="5"/>
  </si>
  <si>
    <t>警備・負担金・証明発行等に伴う経費</t>
    <rPh sb="0" eb="2">
      <t>ケイビ</t>
    </rPh>
    <rPh sb="3" eb="6">
      <t>フタンキン</t>
    </rPh>
    <rPh sb="7" eb="9">
      <t>ショウメイ</t>
    </rPh>
    <rPh sb="9" eb="11">
      <t>ハッコウ</t>
    </rPh>
    <rPh sb="11" eb="12">
      <t>トウ</t>
    </rPh>
    <rPh sb="13" eb="14">
      <t>トモナ</t>
    </rPh>
    <rPh sb="15" eb="17">
      <t>ケイヒ</t>
    </rPh>
    <phoneticPr fontId="5"/>
  </si>
  <si>
    <t>証明等発行手数料</t>
    <rPh sb="0" eb="3">
      <t>ショウメイトウ</t>
    </rPh>
    <rPh sb="3" eb="5">
      <t>ハッコウ</t>
    </rPh>
    <rPh sb="5" eb="8">
      <t>テスウリョウ</t>
    </rPh>
    <phoneticPr fontId="5"/>
  </si>
  <si>
    <t>S</t>
    <phoneticPr fontId="9"/>
  </si>
  <si>
    <t>昆虫その他身近な自然とのふれあいを通じた市民の自然環境学習を推進することにより，生物の多様性及び自然との共生への理解を深めるとともに，自然に関する学術文化の振興に寄与することを目的とした施設。</t>
    <phoneticPr fontId="5"/>
  </si>
  <si>
    <t>9:30～16:30</t>
    <phoneticPr fontId="5"/>
  </si>
  <si>
    <t>事務室,実習室,相談・休憩コーナー,展示・図書コーナー</t>
    <phoneticPr fontId="5"/>
  </si>
  <si>
    <t>伊丹市高齢者憩のセンター管理運営委員会</t>
    <rPh sb="0" eb="3">
      <t>イタミシ</t>
    </rPh>
    <rPh sb="3" eb="6">
      <t>コウレイシャ</t>
    </rPh>
    <rPh sb="6" eb="7">
      <t>イコイ</t>
    </rPh>
    <rPh sb="12" eb="14">
      <t>カンリ</t>
    </rPh>
    <rPh sb="14" eb="16">
      <t>ウンエイ</t>
    </rPh>
    <rPh sb="16" eb="19">
      <t>イインカイ</t>
    </rPh>
    <phoneticPr fontId="5"/>
  </si>
  <si>
    <t>2016</t>
    <phoneticPr fontId="5"/>
  </si>
  <si>
    <t>事務室,調理室,調乳室,沐浴室,遊戯室,休養室,医務室,保育室（4）</t>
    <rPh sb="24" eb="27">
      <t>イムシツ</t>
    </rPh>
    <phoneticPr fontId="5"/>
  </si>
  <si>
    <t>新</t>
    <phoneticPr fontId="9"/>
  </si>
  <si>
    <t>-</t>
    <phoneticPr fontId="9"/>
  </si>
  <si>
    <t>○</t>
    <phoneticPr fontId="9"/>
  </si>
  <si>
    <t>1996</t>
    <phoneticPr fontId="5"/>
  </si>
  <si>
    <t>1979</t>
    <phoneticPr fontId="5"/>
  </si>
  <si>
    <t>1974</t>
    <phoneticPr fontId="5"/>
  </si>
  <si>
    <t>2000</t>
    <phoneticPr fontId="5"/>
  </si>
  <si>
    <t>1971</t>
    <phoneticPr fontId="5"/>
  </si>
  <si>
    <t>1973</t>
    <phoneticPr fontId="5"/>
  </si>
  <si>
    <t>市有</t>
    <rPh sb="0" eb="2">
      <t>シユウ</t>
    </rPh>
    <phoneticPr fontId="5"/>
  </si>
  <si>
    <t>公益財団法人いたみ文化・スポーツ財団</t>
    <rPh sb="9" eb="11">
      <t>ブンカ</t>
    </rPh>
    <rPh sb="16" eb="18">
      <t>ザイダン</t>
    </rPh>
    <phoneticPr fontId="5"/>
  </si>
  <si>
    <t>公益財団法人いたみ文化・スポーツ財団</t>
    <phoneticPr fontId="5"/>
  </si>
  <si>
    <t>ﾒｲﾝﾎｰﾙ,小ﾎｰﾙ１・２,練習室１・２・３</t>
    <phoneticPr fontId="5"/>
  </si>
  <si>
    <t>公益財団法人いたみ文化・スポーツ財団</t>
  </si>
  <si>
    <t>06</t>
    <phoneticPr fontId="9"/>
  </si>
  <si>
    <t>公設市場</t>
    <phoneticPr fontId="5"/>
  </si>
  <si>
    <t>伊丹市公設市場条例</t>
    <phoneticPr fontId="5"/>
  </si>
  <si>
    <t>2014</t>
    <phoneticPr fontId="5"/>
  </si>
  <si>
    <t>5:00～17:00</t>
    <phoneticPr fontId="5"/>
  </si>
  <si>
    <t>むっくむっくルーム</t>
    <phoneticPr fontId="5"/>
  </si>
  <si>
    <t>旧</t>
    <phoneticPr fontId="5"/>
  </si>
  <si>
    <t>済</t>
    <phoneticPr fontId="5"/>
  </si>
  <si>
    <t>倉庫</t>
    <rPh sb="0" eb="2">
      <t>ソウコ</t>
    </rPh>
    <phoneticPr fontId="5"/>
  </si>
  <si>
    <t>校舎4</t>
    <rPh sb="0" eb="2">
      <t>コウシャ</t>
    </rPh>
    <phoneticPr fontId="5"/>
  </si>
  <si>
    <t>10</t>
    <phoneticPr fontId="5"/>
  </si>
  <si>
    <t>RC</t>
    <phoneticPr fontId="5"/>
  </si>
  <si>
    <t>第1種中高層住居専用,第2種住居</t>
    <phoneticPr fontId="5"/>
  </si>
  <si>
    <t>×</t>
    <phoneticPr fontId="5"/>
  </si>
  <si>
    <t>伊丹市立図書館条例に基づき設置された分館。</t>
    <rPh sb="19" eb="20">
      <t>カン</t>
    </rPh>
    <phoneticPr fontId="5"/>
  </si>
  <si>
    <t>ｲｵﾝﾓｰﾙ伊丹昆陽</t>
    <phoneticPr fontId="5"/>
  </si>
  <si>
    <t>2010</t>
    <phoneticPr fontId="5"/>
  </si>
  <si>
    <t>東野実行組合</t>
    <rPh sb="0" eb="2">
      <t>ヒガシノ</t>
    </rPh>
    <rPh sb="2" eb="4">
      <t>ジッコウ</t>
    </rPh>
    <rPh sb="4" eb="6">
      <t>クミアイ</t>
    </rPh>
    <phoneticPr fontId="5"/>
  </si>
  <si>
    <t>浄源寺</t>
    <rPh sb="0" eb="1">
      <t>キヨシ</t>
    </rPh>
    <rPh sb="1" eb="2">
      <t>ミナモト</t>
    </rPh>
    <rPh sb="2" eb="3">
      <t>デラ</t>
    </rPh>
    <phoneticPr fontId="5"/>
  </si>
  <si>
    <t>出張所増築部</t>
    <rPh sb="0" eb="2">
      <t>シュッチョウ</t>
    </rPh>
    <rPh sb="2" eb="3">
      <t>ショ</t>
    </rPh>
    <rPh sb="3" eb="5">
      <t>ゾウチク</t>
    </rPh>
    <rPh sb="5" eb="6">
      <t>ブ</t>
    </rPh>
    <phoneticPr fontId="5"/>
  </si>
  <si>
    <t>出張所増築部</t>
    <phoneticPr fontId="5"/>
  </si>
  <si>
    <t>一般乗合旅客自動車運送事業</t>
    <rPh sb="0" eb="2">
      <t>イッパン</t>
    </rPh>
    <rPh sb="2" eb="4">
      <t>ノリアイ</t>
    </rPh>
    <rPh sb="4" eb="6">
      <t>リョキャク</t>
    </rPh>
    <rPh sb="6" eb="9">
      <t>ジドウシャ</t>
    </rPh>
    <rPh sb="9" eb="11">
      <t>ウンソウ</t>
    </rPh>
    <rPh sb="11" eb="13">
      <t>ジギョウ</t>
    </rPh>
    <phoneticPr fontId="5"/>
  </si>
  <si>
    <t>無し</t>
    <rPh sb="0" eb="1">
      <t>ナシ</t>
    </rPh>
    <phoneticPr fontId="5"/>
  </si>
  <si>
    <t>土・日・祝・年末年始</t>
    <rPh sb="0" eb="1">
      <t>ツチ</t>
    </rPh>
    <rPh sb="2" eb="3">
      <t>ヒ</t>
    </rPh>
    <rPh sb="4" eb="5">
      <t>シュク</t>
    </rPh>
    <rPh sb="6" eb="8">
      <t>ネンマツ</t>
    </rPh>
    <rPh sb="8" eb="10">
      <t>ネンシ</t>
    </rPh>
    <phoneticPr fontId="5"/>
  </si>
  <si>
    <t>8：45～17：30</t>
    <phoneticPr fontId="5"/>
  </si>
  <si>
    <t>西野地区における雨水を排除し浸水被害の軽減・解消を図ることを目的として設置。</t>
    <phoneticPr fontId="5"/>
  </si>
  <si>
    <t>東有岡地区における雨水を排除し浸水被害の軽減・解消を図ることを目的として設置。</t>
    <phoneticPr fontId="5"/>
  </si>
  <si>
    <t>神津地区（桑津・森本・口酒井 約80ヘクタール）における雨水を排除し浸水被害の軽減・解消を図ることを目的として設置。</t>
    <phoneticPr fontId="5"/>
  </si>
  <si>
    <t>岩屋地区における雨水を排除し浸水被害の軽減・解消を図ることを目的として設置。</t>
    <phoneticPr fontId="5"/>
  </si>
  <si>
    <t>01伊丹小</t>
    <phoneticPr fontId="5"/>
  </si>
  <si>
    <t>北河原地区における雨水を排除し浸水被害の軽減・解消を図ることを目的として設置。</t>
    <phoneticPr fontId="5"/>
  </si>
  <si>
    <t>―</t>
    <phoneticPr fontId="5"/>
  </si>
  <si>
    <t>荻野配水池</t>
    <rPh sb="0" eb="2">
      <t>オギノ</t>
    </rPh>
    <rPh sb="2" eb="5">
      <t>ハイスイチ</t>
    </rPh>
    <phoneticPr fontId="5"/>
  </si>
  <si>
    <t>上下水道局</t>
    <phoneticPr fontId="5"/>
  </si>
  <si>
    <t>上下水道局整備保全室浄水課</t>
    <rPh sb="0" eb="2">
      <t>ジョウゲ</t>
    </rPh>
    <rPh sb="2" eb="5">
      <t>スイドウキョク</t>
    </rPh>
    <rPh sb="5" eb="7">
      <t>セイビ</t>
    </rPh>
    <rPh sb="7" eb="9">
      <t>ホゼン</t>
    </rPh>
    <rPh sb="9" eb="10">
      <t>シツ</t>
    </rPh>
    <phoneticPr fontId="5"/>
  </si>
  <si>
    <t>伊丹市荻野8丁目33番地3</t>
    <rPh sb="0" eb="3">
      <t>イタミシ</t>
    </rPh>
    <rPh sb="3" eb="5">
      <t>オギノ</t>
    </rPh>
    <rPh sb="6" eb="8">
      <t>チョウメ</t>
    </rPh>
    <rPh sb="10" eb="12">
      <t>バンチ</t>
    </rPh>
    <phoneticPr fontId="5"/>
  </si>
  <si>
    <t>行政財産</t>
    <phoneticPr fontId="5"/>
  </si>
  <si>
    <t>15荻野小</t>
    <phoneticPr fontId="5"/>
  </si>
  <si>
    <t>単独</t>
    <phoneticPr fontId="5"/>
  </si>
  <si>
    <t>市有</t>
    <phoneticPr fontId="5"/>
  </si>
  <si>
    <t>兵庫県から水道水を受水、貯留し、配水するための施設。</t>
    <rPh sb="0" eb="3">
      <t>ヒョウゴケン</t>
    </rPh>
    <rPh sb="5" eb="8">
      <t>スイドウスイ</t>
    </rPh>
    <rPh sb="9" eb="10">
      <t>ジュ</t>
    </rPh>
    <rPh sb="10" eb="11">
      <t>スイ</t>
    </rPh>
    <rPh sb="12" eb="14">
      <t>チョリュウ</t>
    </rPh>
    <rPh sb="16" eb="18">
      <t>ハイスイ</t>
    </rPh>
    <rPh sb="23" eb="25">
      <t>シセツ</t>
    </rPh>
    <phoneticPr fontId="5"/>
  </si>
  <si>
    <t>第2種中高層住居</t>
    <rPh sb="0" eb="1">
      <t>ダイ</t>
    </rPh>
    <rPh sb="2" eb="3">
      <t>シュ</t>
    </rPh>
    <rPh sb="3" eb="8">
      <t>チュウコウソウジュウキョ</t>
    </rPh>
    <phoneticPr fontId="5"/>
  </si>
  <si>
    <t>60</t>
    <phoneticPr fontId="5"/>
  </si>
  <si>
    <t>200</t>
    <phoneticPr fontId="5"/>
  </si>
  <si>
    <t>法22条区域</t>
    <rPh sb="0" eb="1">
      <t>ホウ</t>
    </rPh>
    <rPh sb="3" eb="4">
      <t>ジョウ</t>
    </rPh>
    <rPh sb="4" eb="6">
      <t>クイキ</t>
    </rPh>
    <phoneticPr fontId="5"/>
  </si>
  <si>
    <t>直営</t>
    <phoneticPr fontId="5"/>
  </si>
  <si>
    <t>荻野配水池</t>
    <rPh sb="0" eb="5">
      <t>オギノハイスイチ</t>
    </rPh>
    <phoneticPr fontId="5"/>
  </si>
  <si>
    <t>ポンプ棟</t>
    <rPh sb="3" eb="4">
      <t>トウ</t>
    </rPh>
    <phoneticPr fontId="5"/>
  </si>
  <si>
    <t>新</t>
    <phoneticPr fontId="5"/>
  </si>
  <si>
    <t>伊丹市共同利用施設等条例,地域材利用促進対策（林野庁)</t>
  </si>
  <si>
    <t/>
  </si>
  <si>
    <t>昆陽農業協同組合</t>
  </si>
  <si>
    <t>１階保育室,２階集会室</t>
    <rPh sb="8" eb="10">
      <t>シュウカイ</t>
    </rPh>
    <phoneticPr fontId="5"/>
  </si>
  <si>
    <t>１階集会室,１階学習室,１階休養室,２階休養室,２階集会室,２階実習室,２階保育室</t>
    <rPh sb="25" eb="26">
      <t>カイ</t>
    </rPh>
    <rPh sb="26" eb="29">
      <t>シュウカイシツ</t>
    </rPh>
    <rPh sb="31" eb="32">
      <t>カイ</t>
    </rPh>
    <rPh sb="32" eb="35">
      <t>ジッシュウシツ</t>
    </rPh>
    <rPh sb="37" eb="38">
      <t>カイ</t>
    </rPh>
    <rPh sb="38" eb="41">
      <t>ホイクシツ</t>
    </rPh>
    <phoneticPr fontId="5"/>
  </si>
  <si>
    <t>１階集会室１,１階集会室２,２階休養室１,２階休養室２,２階学習室</t>
    <rPh sb="2" eb="4">
      <t>シュウカイ</t>
    </rPh>
    <rPh sb="9" eb="11">
      <t>シュウカイ</t>
    </rPh>
    <rPh sb="16" eb="18">
      <t>キュウヨウ</t>
    </rPh>
    <rPh sb="18" eb="19">
      <t>シツ</t>
    </rPh>
    <rPh sb="23" eb="25">
      <t>キュウヨウ</t>
    </rPh>
    <rPh sb="25" eb="26">
      <t>シツ</t>
    </rPh>
    <phoneticPr fontId="5"/>
  </si>
  <si>
    <t>１階集会室１,１階集会室２,２階学習室,２階和室</t>
    <rPh sb="21" eb="22">
      <t>カイ</t>
    </rPh>
    <rPh sb="22" eb="24">
      <t>ワシツ</t>
    </rPh>
    <phoneticPr fontId="5"/>
  </si>
  <si>
    <t>１階集会室,２階休養室,２階学習室,２階図書室</t>
    <rPh sb="8" eb="10">
      <t>キュウヨウ</t>
    </rPh>
    <rPh sb="10" eb="11">
      <t>シツ</t>
    </rPh>
    <phoneticPr fontId="5"/>
  </si>
  <si>
    <t>１階集会室,１階学習室,２階休養室,１階調理室</t>
    <rPh sb="19" eb="20">
      <t>カイ</t>
    </rPh>
    <rPh sb="20" eb="23">
      <t>チョウリシツ</t>
    </rPh>
    <phoneticPr fontId="5"/>
  </si>
  <si>
    <t>１階集会室,２階休養室,２階学習室,１階調理室</t>
    <rPh sb="19" eb="20">
      <t>カイ</t>
    </rPh>
    <rPh sb="20" eb="23">
      <t>チョウリシツ</t>
    </rPh>
    <phoneticPr fontId="5"/>
  </si>
  <si>
    <t>１階集会室,２階休養室</t>
    <rPh sb="8" eb="10">
      <t>キュウヨウ</t>
    </rPh>
    <rPh sb="10" eb="11">
      <t>シツ</t>
    </rPh>
    <phoneticPr fontId="5"/>
  </si>
  <si>
    <t>集会室,休養室</t>
    <rPh sb="4" eb="6">
      <t>キュウヨウ</t>
    </rPh>
    <rPh sb="6" eb="7">
      <t>シツ</t>
    </rPh>
    <phoneticPr fontId="5"/>
  </si>
  <si>
    <t>伊丹市共同利用施設等条例、コミュニティ助成事業実施要綱第２の１の(２)コミュニティセンター助成事業</t>
    <rPh sb="19" eb="21">
      <t>ジョセイ</t>
    </rPh>
    <rPh sb="27" eb="28">
      <t>ダイ</t>
    </rPh>
    <phoneticPr fontId="5"/>
  </si>
  <si>
    <t>多目的ﾎｰﾙ,会議室１～３,OAﾙｰﾑ,音楽室１～３,調理室,創作室,和室</t>
    <phoneticPr fontId="5"/>
  </si>
  <si>
    <t>S</t>
    <phoneticPr fontId="5"/>
  </si>
  <si>
    <t>9:00～17:30
（診療所は9:00～16:00）</t>
  </si>
  <si>
    <t>01</t>
    <phoneticPr fontId="5"/>
  </si>
  <si>
    <t>9503</t>
    <phoneticPr fontId="5"/>
  </si>
  <si>
    <t>9504</t>
    <phoneticPr fontId="5"/>
  </si>
  <si>
    <t>9505</t>
    <phoneticPr fontId="5"/>
  </si>
  <si>
    <t>取得価額</t>
    <rPh sb="0" eb="2">
      <t>シュトク</t>
    </rPh>
    <rPh sb="2" eb="4">
      <t>カガク</t>
    </rPh>
    <phoneticPr fontId="9"/>
  </si>
  <si>
    <t>減価償却累計額</t>
    <rPh sb="0" eb="2">
      <t>ゲンカ</t>
    </rPh>
    <rPh sb="2" eb="4">
      <t>ショウキャク</t>
    </rPh>
    <rPh sb="4" eb="6">
      <t>ルイケイ</t>
    </rPh>
    <rPh sb="6" eb="7">
      <t>ガク</t>
    </rPh>
    <phoneticPr fontId="5"/>
  </si>
  <si>
    <t>残存価格</t>
    <rPh sb="0" eb="2">
      <t>ザンゾン</t>
    </rPh>
    <rPh sb="2" eb="4">
      <t>カカク</t>
    </rPh>
    <phoneticPr fontId="5"/>
  </si>
  <si>
    <t>有形固定資産減価償却率</t>
    <rPh sb="0" eb="2">
      <t>ユウケイ</t>
    </rPh>
    <rPh sb="2" eb="4">
      <t>コテイ</t>
    </rPh>
    <rPh sb="4" eb="6">
      <t>シサン</t>
    </rPh>
    <rPh sb="6" eb="8">
      <t>ゲンカ</t>
    </rPh>
    <rPh sb="8" eb="10">
      <t>ショウキャク</t>
    </rPh>
    <rPh sb="10" eb="11">
      <t>リツ</t>
    </rPh>
    <phoneticPr fontId="5"/>
  </si>
  <si>
    <t>減価償却（単位:円）</t>
    <rPh sb="0" eb="2">
      <t>ゲンカ</t>
    </rPh>
    <rPh sb="2" eb="4">
      <t>ショウキャク</t>
    </rPh>
    <rPh sb="5" eb="7">
      <t>タンイ</t>
    </rPh>
    <rPh sb="8" eb="9">
      <t>エン</t>
    </rPh>
    <phoneticPr fontId="5"/>
  </si>
  <si>
    <t>按分</t>
    <rPh sb="0" eb="2">
      <t>アンブン</t>
    </rPh>
    <phoneticPr fontId="5"/>
  </si>
  <si>
    <t>減価償却費</t>
    <rPh sb="0" eb="2">
      <t>ゲンカ</t>
    </rPh>
    <rPh sb="2" eb="4">
      <t>ショウキャク</t>
    </rPh>
    <rPh sb="4" eb="5">
      <t>ヒ</t>
    </rPh>
    <phoneticPr fontId="5"/>
  </si>
  <si>
    <t>列ラベル</t>
  </si>
  <si>
    <t>×</t>
  </si>
  <si>
    <t>(空白)</t>
  </si>
  <si>
    <t>総計</t>
  </si>
  <si>
    <t>00対象</t>
  </si>
  <si>
    <t>01対象外</t>
  </si>
  <si>
    <t>03対象外</t>
  </si>
  <si>
    <t>04対象外</t>
  </si>
  <si>
    <t>05対象外</t>
  </si>
  <si>
    <t>合計 / 延床面積</t>
  </si>
  <si>
    <t>未</t>
    <rPh sb="0" eb="1">
      <t>ミ</t>
    </rPh>
    <phoneticPr fontId="5"/>
  </si>
  <si>
    <t>-</t>
    <phoneticPr fontId="5"/>
  </si>
  <si>
    <t>旧</t>
    <rPh sb="0" eb="1">
      <t>キュウ</t>
    </rPh>
    <phoneticPr fontId="5"/>
  </si>
  <si>
    <t>行ラベル</t>
  </si>
  <si>
    <t>0-9</t>
  </si>
  <si>
    <t>10-19</t>
  </si>
  <si>
    <t>20-29</t>
  </si>
  <si>
    <t>30-39</t>
  </si>
  <si>
    <t>40-49</t>
  </si>
  <si>
    <t>中分類</t>
  </si>
  <si>
    <t>02啓発施設</t>
    <phoneticPr fontId="5"/>
  </si>
  <si>
    <t>03児童くらぶ</t>
  </si>
  <si>
    <t>03児童くらぶ</t>
    <rPh sb="2" eb="4">
      <t>ジドウ</t>
    </rPh>
    <phoneticPr fontId="5"/>
  </si>
  <si>
    <t>04その他教育施設</t>
  </si>
  <si>
    <t>04その他教育施設</t>
    <phoneticPr fontId="5"/>
  </si>
  <si>
    <t>01行政系施設</t>
    <phoneticPr fontId="5"/>
  </si>
  <si>
    <t>04学校教育施設</t>
    <phoneticPr fontId="5"/>
  </si>
  <si>
    <t>指定避難所</t>
    <rPh sb="0" eb="2">
      <t>シテイ</t>
    </rPh>
    <rPh sb="2" eb="5">
      <t>ヒナンショ</t>
    </rPh>
    <phoneticPr fontId="7"/>
  </si>
  <si>
    <t>06対象外</t>
    <rPh sb="2" eb="4">
      <t>タイショウ</t>
    </rPh>
    <rPh sb="4" eb="5">
      <t>ガイ</t>
    </rPh>
    <phoneticPr fontId="9"/>
  </si>
  <si>
    <t>こども未来部こども室こども発達支援センター</t>
  </si>
  <si>
    <t>所管課</t>
  </si>
  <si>
    <t>データの個数 / カルテ作成有無</t>
  </si>
  <si>
    <t>減価償却（単位:千円）</t>
    <rPh sb="0" eb="2">
      <t>ゲンカ</t>
    </rPh>
    <rPh sb="2" eb="4">
      <t>ショウキャク</t>
    </rPh>
    <rPh sb="5" eb="7">
      <t>タンイ</t>
    </rPh>
    <rPh sb="8" eb="9">
      <t>セン</t>
    </rPh>
    <rPh sb="9" eb="10">
      <t>エン</t>
    </rPh>
    <phoneticPr fontId="5"/>
  </si>
  <si>
    <t>市支出計</t>
    <rPh sb="0" eb="1">
      <t>シ</t>
    </rPh>
    <rPh sb="1" eb="3">
      <t>シシュツ</t>
    </rPh>
    <rPh sb="3" eb="4">
      <t>ケイ</t>
    </rPh>
    <phoneticPr fontId="5"/>
  </si>
  <si>
    <t>（減償含）</t>
    <rPh sb="1" eb="2">
      <t>ゲン</t>
    </rPh>
    <rPh sb="2" eb="3">
      <t>ショウ</t>
    </rPh>
    <rPh sb="3" eb="4">
      <t>ガン</t>
    </rPh>
    <phoneticPr fontId="5"/>
  </si>
  <si>
    <t>支出・市
総合計</t>
    <rPh sb="0" eb="2">
      <t>シシュツ</t>
    </rPh>
    <rPh sb="3" eb="4">
      <t>シ</t>
    </rPh>
    <rPh sb="5" eb="6">
      <t>ソウ</t>
    </rPh>
    <rPh sb="6" eb="8">
      <t>ゴウケイ</t>
    </rPh>
    <phoneticPr fontId="5"/>
  </si>
  <si>
    <t>市収支</t>
    <rPh sb="0" eb="1">
      <t>シ</t>
    </rPh>
    <rPh sb="1" eb="3">
      <t>シュウシ</t>
    </rPh>
    <phoneticPr fontId="5"/>
  </si>
  <si>
    <t>収支・市
総合計</t>
    <rPh sb="0" eb="2">
      <t>シュウシ</t>
    </rPh>
    <rPh sb="3" eb="4">
      <t>シ</t>
    </rPh>
    <rPh sb="5" eb="6">
      <t>ソウ</t>
    </rPh>
    <rPh sb="6" eb="8">
      <t>ゴウケイ</t>
    </rPh>
    <phoneticPr fontId="5"/>
  </si>
  <si>
    <t>住宅地区改良法,伊丹市営住宅条例</t>
    <phoneticPr fontId="5"/>
  </si>
  <si>
    <t>文化会館</t>
    <phoneticPr fontId="5"/>
  </si>
  <si>
    <t>音楽ホール</t>
  </si>
  <si>
    <t>音楽ホール</t>
    <phoneticPr fontId="5"/>
  </si>
  <si>
    <t>演劇ホール</t>
  </si>
  <si>
    <t>演劇ホール</t>
    <phoneticPr fontId="5"/>
  </si>
  <si>
    <t>06対象外</t>
  </si>
  <si>
    <t>9:00～21:00（4～10月の土日祝は7:00～21:00)</t>
    <rPh sb="15" eb="16">
      <t>ガツ</t>
    </rPh>
    <rPh sb="17" eb="19">
      <t>ドニチ</t>
    </rPh>
    <rPh sb="19" eb="20">
      <t>シュク</t>
    </rPh>
    <phoneticPr fontId="5"/>
  </si>
  <si>
    <t>伊丹市伊丹1丁目14番18号</t>
    <rPh sb="10" eb="11">
      <t>バン</t>
    </rPh>
    <rPh sb="13" eb="14">
      <t>ゴウ</t>
    </rPh>
    <phoneticPr fontId="5"/>
  </si>
  <si>
    <t>伊丹市伊丹2丁目5番5号</t>
    <rPh sb="9" eb="10">
      <t>バン</t>
    </rPh>
    <rPh sb="11" eb="12">
      <t>ゴウ</t>
    </rPh>
    <phoneticPr fontId="5"/>
  </si>
  <si>
    <t>車93台,原付等9台</t>
    <rPh sb="0" eb="1">
      <t>クルマ</t>
    </rPh>
    <rPh sb="5" eb="7">
      <t>ゲンツキ</t>
    </rPh>
    <rPh sb="7" eb="8">
      <t>トウ</t>
    </rPh>
    <rPh sb="9" eb="10">
      <t>ダイ</t>
    </rPh>
    <phoneticPr fontId="5"/>
  </si>
  <si>
    <t>伊丹市宮ノ前1丁目73番地の4</t>
    <rPh sb="11" eb="12">
      <t>バン</t>
    </rPh>
    <rPh sb="12" eb="13">
      <t>チ</t>
    </rPh>
    <phoneticPr fontId="5"/>
  </si>
  <si>
    <t>伊丹市西台3丁目9番22号</t>
    <rPh sb="9" eb="10">
      <t>バン</t>
    </rPh>
    <rPh sb="12" eb="13">
      <t>ゴウ</t>
    </rPh>
    <phoneticPr fontId="5"/>
  </si>
  <si>
    <t>JR伊丹駅前第１自転車駐車場</t>
    <rPh sb="2" eb="4">
      <t>イタミ</t>
    </rPh>
    <rPh sb="6" eb="7">
      <t>ダイ</t>
    </rPh>
    <rPh sb="8" eb="11">
      <t>ジテンシャ</t>
    </rPh>
    <rPh sb="11" eb="14">
      <t>チュウシャジョウ</t>
    </rPh>
    <phoneticPr fontId="5"/>
  </si>
  <si>
    <t>伊丹市伊丹1丁目14番9号</t>
    <rPh sb="10" eb="11">
      <t>バン</t>
    </rPh>
    <rPh sb="12" eb="13">
      <t>ゴウ</t>
    </rPh>
    <phoneticPr fontId="5"/>
  </si>
  <si>
    <t>国・ＪＲ</t>
    <rPh sb="0" eb="1">
      <t>クニ</t>
    </rPh>
    <phoneticPr fontId="5"/>
  </si>
  <si>
    <t>JR伊丹駅前第２自転車駐車場</t>
    <rPh sb="2" eb="4">
      <t>イタミ</t>
    </rPh>
    <rPh sb="4" eb="6">
      <t>エキマエ</t>
    </rPh>
    <rPh sb="6" eb="7">
      <t>ダイ</t>
    </rPh>
    <rPh sb="8" eb="11">
      <t>ジテンシャ</t>
    </rPh>
    <rPh sb="11" eb="14">
      <t>チュウシャジョウ</t>
    </rPh>
    <phoneticPr fontId="5"/>
  </si>
  <si>
    <t>伊丹市伊丹1丁目12番12号</t>
    <rPh sb="10" eb="11">
      <t>バン</t>
    </rPh>
    <rPh sb="13" eb="14">
      <t>ゴウ</t>
    </rPh>
    <phoneticPr fontId="5"/>
  </si>
  <si>
    <t>伊丹市東有岡1丁目6番地の2</t>
    <rPh sb="10" eb="12">
      <t>バンチ</t>
    </rPh>
    <phoneticPr fontId="5"/>
  </si>
  <si>
    <t>JR北伊丹駅前自転車駐車場</t>
    <rPh sb="5" eb="7">
      <t>エキマエ</t>
    </rPh>
    <phoneticPr fontId="5"/>
  </si>
  <si>
    <t>伊丹市北伊丹8丁目98番地の5</t>
    <rPh sb="11" eb="13">
      <t>バンチ</t>
    </rPh>
    <phoneticPr fontId="5"/>
  </si>
  <si>
    <t>国</t>
    <rPh sb="0" eb="1">
      <t>クニ</t>
    </rPh>
    <phoneticPr fontId="5"/>
  </si>
  <si>
    <t>JR伊丹駅前第３自転車駐車場</t>
    <rPh sb="6" eb="7">
      <t>ダイ</t>
    </rPh>
    <rPh sb="8" eb="11">
      <t>ジテンシャ</t>
    </rPh>
    <rPh sb="11" eb="14">
      <t>チュウシャジョウ</t>
    </rPh>
    <phoneticPr fontId="5"/>
  </si>
  <si>
    <t>伊丹市伊丹1丁目15番20号</t>
    <rPh sb="10" eb="11">
      <t>バン</t>
    </rPh>
    <rPh sb="13" eb="14">
      <t>ゴウ</t>
    </rPh>
    <phoneticPr fontId="5"/>
  </si>
  <si>
    <t>民地</t>
    <rPh sb="0" eb="1">
      <t>ミン</t>
    </rPh>
    <rPh sb="1" eb="2">
      <t>チ</t>
    </rPh>
    <phoneticPr fontId="5"/>
  </si>
  <si>
    <t>伊丹市西台1丁目1番43号</t>
    <rPh sb="9" eb="10">
      <t>バン</t>
    </rPh>
    <rPh sb="12" eb="13">
      <t>ゴウ</t>
    </rPh>
    <phoneticPr fontId="5"/>
  </si>
  <si>
    <t>県</t>
    <rPh sb="0" eb="1">
      <t>ケン</t>
    </rPh>
    <phoneticPr fontId="5"/>
  </si>
  <si>
    <t>自転車235台</t>
    <phoneticPr fontId="5"/>
  </si>
  <si>
    <t>ＪＲ</t>
    <phoneticPr fontId="5"/>
  </si>
  <si>
    <t>伊丹市自転車駐車場条例</t>
    <phoneticPr fontId="5"/>
  </si>
  <si>
    <t>昆陽里自転車駐車場</t>
    <phoneticPr fontId="5"/>
  </si>
  <si>
    <t>2003</t>
    <phoneticPr fontId="5"/>
  </si>
  <si>
    <t>複合</t>
    <phoneticPr fontId="5"/>
  </si>
  <si>
    <t>用途別（中分類）</t>
    <rPh sb="0" eb="2">
      <t>ヨウト</t>
    </rPh>
    <rPh sb="2" eb="3">
      <t>ベツ</t>
    </rPh>
    <rPh sb="4" eb="7">
      <t>チュウブンルイ</t>
    </rPh>
    <phoneticPr fontId="5"/>
  </si>
  <si>
    <t>用途別（大分類）</t>
    <rPh sb="0" eb="2">
      <t>ヨウト</t>
    </rPh>
    <rPh sb="2" eb="3">
      <t>ベツ</t>
    </rPh>
    <rPh sb="4" eb="7">
      <t>ダイブンルイ</t>
    </rPh>
    <phoneticPr fontId="5"/>
  </si>
  <si>
    <t>↓</t>
    <phoneticPr fontId="5"/>
  </si>
  <si>
    <t>50-59</t>
  </si>
  <si>
    <t>整備履歴（築年別整備状況）　注）廃止した施設も含まれる</t>
    <rPh sb="0" eb="2">
      <t>セイビ</t>
    </rPh>
    <rPh sb="2" eb="4">
      <t>リレキ</t>
    </rPh>
    <rPh sb="5" eb="7">
      <t>チクネン</t>
    </rPh>
    <rPh sb="7" eb="8">
      <t>ベツ</t>
    </rPh>
    <rPh sb="8" eb="10">
      <t>セイビ</t>
    </rPh>
    <rPh sb="10" eb="12">
      <t>ジョウキョウ</t>
    </rPh>
    <rPh sb="14" eb="15">
      <t>チュウ</t>
    </rPh>
    <rPh sb="16" eb="18">
      <t>ハイシ</t>
    </rPh>
    <rPh sb="20" eb="22">
      <t>シセツ</t>
    </rPh>
    <rPh sb="23" eb="24">
      <t>フク</t>
    </rPh>
    <phoneticPr fontId="5"/>
  </si>
  <si>
    <t>データの個数 / 延床面積</t>
  </si>
  <si>
    <t>耐震別（床面積）</t>
    <rPh sb="0" eb="2">
      <t>タイシン</t>
    </rPh>
    <rPh sb="2" eb="3">
      <t>ベツ</t>
    </rPh>
    <rPh sb="4" eb="7">
      <t>ユカメンセキ</t>
    </rPh>
    <phoneticPr fontId="5"/>
  </si>
  <si>
    <t>耐震別（個数）</t>
    <rPh sb="0" eb="2">
      <t>タイシン</t>
    </rPh>
    <rPh sb="2" eb="3">
      <t>ベツ</t>
    </rPh>
    <rPh sb="4" eb="6">
      <t>コスウ</t>
    </rPh>
    <phoneticPr fontId="5"/>
  </si>
  <si>
    <t>築年数別（床面積）</t>
    <rPh sb="0" eb="1">
      <t>チク</t>
    </rPh>
    <rPh sb="1" eb="3">
      <t>ネンスウ</t>
    </rPh>
    <rPh sb="3" eb="4">
      <t>ベツ</t>
    </rPh>
    <phoneticPr fontId="5"/>
  </si>
  <si>
    <t>築年数別（建物数）</t>
    <rPh sb="0" eb="1">
      <t>チク</t>
    </rPh>
    <rPh sb="1" eb="3">
      <t>ネンスウ</t>
    </rPh>
    <rPh sb="3" eb="4">
      <t>ベツ</t>
    </rPh>
    <rPh sb="5" eb="7">
      <t>タテモノ</t>
    </rPh>
    <rPh sb="7" eb="8">
      <t>スウ</t>
    </rPh>
    <phoneticPr fontId="5"/>
  </si>
  <si>
    <t>床面積に関する備考</t>
    <rPh sb="0" eb="3">
      <t>ユカメンセキ</t>
    </rPh>
    <rPh sb="4" eb="5">
      <t>カン</t>
    </rPh>
    <rPh sb="7" eb="9">
      <t>ビコウ</t>
    </rPh>
    <phoneticPr fontId="9"/>
  </si>
  <si>
    <t>9:30～20:00（土,日,祝・休：9:30～18:00)</t>
    <phoneticPr fontId="5"/>
  </si>
  <si>
    <t>9:30～19:00（土,日,祝・休：9:30～17:00)</t>
    <phoneticPr fontId="5"/>
  </si>
  <si>
    <t>月,年末年始</t>
  </si>
  <si>
    <t>月,年末年始</t>
    <phoneticPr fontId="5"/>
  </si>
  <si>
    <t>火,毎月末日,年末年始,特別整理期間（6月）</t>
    <phoneticPr fontId="5"/>
  </si>
  <si>
    <t>水,毎月末日,年末年始,特別整理期間（6月）</t>
    <phoneticPr fontId="5"/>
  </si>
  <si>
    <t>月,第1木曜,年末年始,特別整理期間（6月）</t>
    <phoneticPr fontId="5"/>
  </si>
  <si>
    <t>特定非営利活動法人まちづくりステーションきらめき</t>
    <rPh sb="5" eb="7">
      <t>カツドウ</t>
    </rPh>
    <phoneticPr fontId="5"/>
  </si>
  <si>
    <t>特定非営利活動法人まちづくりステーションきらめき</t>
    <phoneticPr fontId="5"/>
  </si>
  <si>
    <t>神津交流センター,神津支所</t>
    <rPh sb="9" eb="10">
      <t>カミ</t>
    </rPh>
    <rPh sb="10" eb="11">
      <t>ツ</t>
    </rPh>
    <rPh sb="11" eb="13">
      <t>シショ</t>
    </rPh>
    <phoneticPr fontId="5"/>
  </si>
  <si>
    <t>神津交流センター,図書館神津分館</t>
    <phoneticPr fontId="5"/>
  </si>
  <si>
    <t>水,年末年始</t>
  </si>
  <si>
    <t>年末年始（児童館は月曜,年末年始）</t>
  </si>
  <si>
    <t>日,祝,8/13～15,年末年始</t>
  </si>
  <si>
    <t>火,年末年始（12/29～翌年1/3）</t>
    <rPh sb="4" eb="6">
      <t>ネンシ</t>
    </rPh>
    <rPh sb="13" eb="15">
      <t>ヨクネン</t>
    </rPh>
    <phoneticPr fontId="5"/>
  </si>
  <si>
    <t>火（5,6,10,11月除く）,年末年始（12/29～翌年1/3）</t>
    <rPh sb="11" eb="12">
      <t>ガツ</t>
    </rPh>
    <rPh sb="12" eb="13">
      <t>ノゾ</t>
    </rPh>
    <phoneticPr fontId="5"/>
  </si>
  <si>
    <t>火,祝の振替,年末年始,番組入替期</t>
  </si>
  <si>
    <t>市民自治部環境政策室環境クリーンセンター</t>
    <rPh sb="5" eb="7">
      <t>カンキョウ</t>
    </rPh>
    <rPh sb="7" eb="9">
      <t>セイサク</t>
    </rPh>
    <rPh sb="9" eb="10">
      <t>シツ</t>
    </rPh>
    <phoneticPr fontId="5"/>
  </si>
  <si>
    <t>大・中ﾎｰﾙ,多目的ﾎｰﾙ,大・中・小和室,大会議室,会議室１～３,練習室１～３,講師控室１・２,大楽屋１・２,小楽屋１～３,楽屋事務室,ﾌﾟﾚｲﾙｰﾑ</t>
    <rPh sb="49" eb="50">
      <t>ダイ</t>
    </rPh>
    <rPh sb="50" eb="52">
      <t>ガクヤ</t>
    </rPh>
    <rPh sb="56" eb="57">
      <t>ショウ</t>
    </rPh>
    <rPh sb="57" eb="59">
      <t>ガクヤ</t>
    </rPh>
    <rPh sb="63" eb="65">
      <t>ガクヤ</t>
    </rPh>
    <rPh sb="65" eb="68">
      <t>ジムシツ</t>
    </rPh>
    <phoneticPr fontId="5"/>
  </si>
  <si>
    <t>消防局・西消防署</t>
    <rPh sb="4" eb="5">
      <t>ニシ</t>
    </rPh>
    <rPh sb="5" eb="8">
      <t>ショウボウショ</t>
    </rPh>
    <phoneticPr fontId="5"/>
  </si>
  <si>
    <t>消防局・西消防署</t>
    <rPh sb="0" eb="2">
      <t>ショウボウ</t>
    </rPh>
    <rPh sb="2" eb="3">
      <t>キョク</t>
    </rPh>
    <rPh sb="4" eb="5">
      <t>ニシ</t>
    </rPh>
    <rPh sb="5" eb="8">
      <t>ショウボウショ</t>
    </rPh>
    <phoneticPr fontId="5"/>
  </si>
  <si>
    <t>消防局管理室消防総務課</t>
    <rPh sb="3" eb="5">
      <t>カンリ</t>
    </rPh>
    <rPh sb="5" eb="6">
      <t>シツ</t>
    </rPh>
    <phoneticPr fontId="5"/>
  </si>
  <si>
    <t>8:15～19:00（平成30年度より）</t>
    <rPh sb="11" eb="13">
      <t>ヘイセイ</t>
    </rPh>
    <rPh sb="15" eb="16">
      <t>ネン</t>
    </rPh>
    <rPh sb="16" eb="17">
      <t>ド</t>
    </rPh>
    <phoneticPr fontId="5"/>
  </si>
  <si>
    <t>緑ケ丘体育館・武道館</t>
    <phoneticPr fontId="5"/>
  </si>
  <si>
    <t>観光物産事業の振興を図るため、市内企業の物産の展示および販売、産業の紹介および観光案内業務を行う施設。</t>
    <rPh sb="28" eb="30">
      <t>ハンバイ</t>
    </rPh>
    <phoneticPr fontId="5"/>
  </si>
  <si>
    <t>月,水,金,年末年始
（6月1日～8月31日は月～金）</t>
    <rPh sb="13" eb="14">
      <t>ガツ</t>
    </rPh>
    <rPh sb="15" eb="16">
      <t>ニチ</t>
    </rPh>
    <rPh sb="18" eb="19">
      <t>ガツ</t>
    </rPh>
    <rPh sb="21" eb="22">
      <t>ニチ</t>
    </rPh>
    <rPh sb="23" eb="24">
      <t>ゲツ</t>
    </rPh>
    <rPh sb="25" eb="26">
      <t>キン</t>
    </rPh>
    <phoneticPr fontId="5"/>
  </si>
  <si>
    <t>伊丹市中野東2丁目30番地の３</t>
    <rPh sb="11" eb="13">
      <t>バンチ</t>
    </rPh>
    <phoneticPr fontId="5"/>
  </si>
  <si>
    <t>松ケ丘センター</t>
    <phoneticPr fontId="5"/>
  </si>
  <si>
    <t>伊丹市桜ケ丘1丁目5番20号</t>
    <phoneticPr fontId="5"/>
  </si>
  <si>
    <t>伊丹市緑ケ丘1丁目90番地</t>
    <phoneticPr fontId="5"/>
  </si>
  <si>
    <t>住民票、戸籍、印鑑証明等の発行及び届出、登録の受付、市税、保険料、使用料等の収納、各種税務証明の発行以外に、国民健康保険、国民年金の加入受付等を行う地域住民への本庁事務補完施設</t>
    <phoneticPr fontId="5"/>
  </si>
  <si>
    <t>民間</t>
    <rPh sb="0" eb="2">
      <t>ミンカン</t>
    </rPh>
    <phoneticPr fontId="5"/>
  </si>
  <si>
    <t>市有/民地</t>
    <phoneticPr fontId="5"/>
  </si>
  <si>
    <t>市有/民地</t>
    <rPh sb="0" eb="2">
      <t>シユウ</t>
    </rPh>
    <rPh sb="3" eb="4">
      <t>ミン</t>
    </rPh>
    <rPh sb="4" eb="5">
      <t>チ</t>
    </rPh>
    <phoneticPr fontId="5"/>
  </si>
  <si>
    <t>昆陽里自転車駐車場</t>
  </si>
  <si>
    <t>埋蔵文化財センター</t>
    <rPh sb="0" eb="2">
      <t>マイゾウ</t>
    </rPh>
    <rPh sb="2" eb="5">
      <t>ブンカザイ</t>
    </rPh>
    <phoneticPr fontId="5"/>
  </si>
  <si>
    <t>伊丹機械式自転車駐車場</t>
  </si>
  <si>
    <t>2017</t>
    <phoneticPr fontId="5"/>
  </si>
  <si>
    <t>1077</t>
    <phoneticPr fontId="5"/>
  </si>
  <si>
    <t>1079</t>
    <phoneticPr fontId="5"/>
  </si>
  <si>
    <t>住民票、戸籍、印鑑証明等の発行及び届出、登録の受付、市税、保険料、使用料等の収納、各種税務証明の発行以外に、国民健康保険、国民年金の加入受付等を行う地域住民への本庁事務補完施設</t>
    <rPh sb="70" eb="71">
      <t>トウ</t>
    </rPh>
    <phoneticPr fontId="5"/>
  </si>
  <si>
    <t>伊丹市都市公園条例、伊丹市昆虫館条例</t>
    <rPh sb="0" eb="3">
      <t>イタミシ</t>
    </rPh>
    <rPh sb="3" eb="5">
      <t>トシ</t>
    </rPh>
    <rPh sb="5" eb="7">
      <t>コウエン</t>
    </rPh>
    <rPh sb="7" eb="9">
      <t>ジョウレイ</t>
    </rPh>
    <phoneticPr fontId="5"/>
  </si>
  <si>
    <t>伊丹市船原1丁目1番1号(伊丹小学校内)</t>
    <rPh sb="9" eb="10">
      <t>バン</t>
    </rPh>
    <rPh sb="11" eb="12">
      <t>ゴウ</t>
    </rPh>
    <phoneticPr fontId="5"/>
  </si>
  <si>
    <t>伊丹市平松5丁目1番1号(平松公園地下)</t>
    <rPh sb="9" eb="10">
      <t>バン</t>
    </rPh>
    <rPh sb="11" eb="12">
      <t>ゴウ</t>
    </rPh>
    <phoneticPr fontId="5"/>
  </si>
  <si>
    <t>伊丹市寺本3丁目239番地(国道171号高架下)</t>
    <rPh sb="11" eb="12">
      <t>バン</t>
    </rPh>
    <rPh sb="12" eb="13">
      <t>チ</t>
    </rPh>
    <phoneticPr fontId="5"/>
  </si>
  <si>
    <t>伊丹市広畑6丁目1番地</t>
    <rPh sb="10" eb="11">
      <t>チ</t>
    </rPh>
    <phoneticPr fontId="5"/>
  </si>
  <si>
    <t>宝塚市弥生町369番地4</t>
    <rPh sb="9" eb="11">
      <t>バンチ</t>
    </rPh>
    <phoneticPr fontId="5"/>
  </si>
  <si>
    <t>中野東地区における雨水を排除し浸水被害の軽減・解消を図ることを目的として設置。</t>
    <rPh sb="1" eb="2">
      <t>ノ</t>
    </rPh>
    <phoneticPr fontId="5"/>
  </si>
  <si>
    <t>教育委員会</t>
    <phoneticPr fontId="5"/>
  </si>
  <si>
    <t>行政財産</t>
    <rPh sb="0" eb="2">
      <t>ギョウセイ</t>
    </rPh>
    <rPh sb="2" eb="4">
      <t>ザイサン</t>
    </rPh>
    <phoneticPr fontId="5"/>
  </si>
  <si>
    <t>〇</t>
    <phoneticPr fontId="5"/>
  </si>
  <si>
    <t>9:00～17:00</t>
    <phoneticPr fontId="5"/>
  </si>
  <si>
    <t>児童福祉法,伊丹市立幼保連携型認定こども園条例</t>
    <phoneticPr fontId="5"/>
  </si>
  <si>
    <t>民地</t>
    <rPh sb="0" eb="2">
      <t>ミンチ</t>
    </rPh>
    <phoneticPr fontId="5"/>
  </si>
  <si>
    <t>第2種住居</t>
    <rPh sb="0" eb="1">
      <t>ダイ</t>
    </rPh>
    <rPh sb="2" eb="3">
      <t>シュ</t>
    </rPh>
    <rPh sb="3" eb="5">
      <t>ジュウキョ</t>
    </rPh>
    <phoneticPr fontId="5"/>
  </si>
  <si>
    <t>３種</t>
    <phoneticPr fontId="5"/>
  </si>
  <si>
    <t>伊丹市立中学校給食センター</t>
    <rPh sb="4" eb="7">
      <t>チュウガッコウ</t>
    </rPh>
    <rPh sb="7" eb="9">
      <t>キュウショク</t>
    </rPh>
    <phoneticPr fontId="5"/>
  </si>
  <si>
    <t>1018</t>
    <phoneticPr fontId="5"/>
  </si>
  <si>
    <t>1019</t>
    <phoneticPr fontId="5"/>
  </si>
  <si>
    <t>1020</t>
    <phoneticPr fontId="5"/>
  </si>
  <si>
    <t>伊丹市稲野２丁目３－５</t>
    <rPh sb="0" eb="3">
      <t>イタミシ</t>
    </rPh>
    <rPh sb="3" eb="5">
      <t>イナノ</t>
    </rPh>
    <rPh sb="6" eb="8">
      <t>チョウメ</t>
    </rPh>
    <phoneticPr fontId="5"/>
  </si>
  <si>
    <t>伊丹市中野西４丁目９１番</t>
    <rPh sb="0" eb="3">
      <t>イタミシ</t>
    </rPh>
    <rPh sb="3" eb="5">
      <t>ナカノ</t>
    </rPh>
    <rPh sb="5" eb="6">
      <t>ニシ</t>
    </rPh>
    <rPh sb="7" eb="9">
      <t>チョウメ</t>
    </rPh>
    <rPh sb="11" eb="12">
      <t>バン</t>
    </rPh>
    <phoneticPr fontId="5"/>
  </si>
  <si>
    <t>2020</t>
    <phoneticPr fontId="5"/>
  </si>
  <si>
    <t>児童福祉法,伊丹市立幼保連携型認定こども園条例</t>
  </si>
  <si>
    <t>0298</t>
    <phoneticPr fontId="5"/>
  </si>
  <si>
    <t>伊丹機械式自転車駐車場</t>
    <phoneticPr fontId="5"/>
  </si>
  <si>
    <t>都市交通部</t>
    <phoneticPr fontId="5"/>
  </si>
  <si>
    <t>伊丹2丁目377-10</t>
    <phoneticPr fontId="5"/>
  </si>
  <si>
    <t>10その他施設</t>
    <phoneticPr fontId="5"/>
  </si>
  <si>
    <t>01駐車場・駐輪場</t>
    <phoneticPr fontId="5"/>
  </si>
  <si>
    <t>2019</t>
    <phoneticPr fontId="5"/>
  </si>
  <si>
    <t>工作物のため非計上。敷地は地上権を設定。</t>
    <rPh sb="0" eb="3">
      <t>コウサクブツ</t>
    </rPh>
    <rPh sb="6" eb="7">
      <t>ヒ</t>
    </rPh>
    <rPh sb="7" eb="9">
      <t>ケイジョウ</t>
    </rPh>
    <rPh sb="10" eb="12">
      <t>シキチ</t>
    </rPh>
    <rPh sb="13" eb="16">
      <t>チジョウケン</t>
    </rPh>
    <rPh sb="17" eb="19">
      <t>セッテイ</t>
    </rPh>
    <phoneticPr fontId="5"/>
  </si>
  <si>
    <t>本泉寺</t>
    <rPh sb="0" eb="1">
      <t>ホン</t>
    </rPh>
    <rPh sb="1" eb="2">
      <t>イズミ</t>
    </rPh>
    <rPh sb="2" eb="3">
      <t>テラ</t>
    </rPh>
    <phoneticPr fontId="5"/>
  </si>
  <si>
    <t>自転車を利用する市民の利便を図ることを目的とした施設。</t>
    <phoneticPr fontId="5"/>
  </si>
  <si>
    <t>伊丹市昆陽池2丁目1番地</t>
    <phoneticPr fontId="5"/>
  </si>
  <si>
    <t>労働福祉会館・青少年センター</t>
    <phoneticPr fontId="5"/>
  </si>
  <si>
    <t>2001</t>
    <phoneticPr fontId="5"/>
  </si>
  <si>
    <t>市民まちづくりプラザ・中央公民館</t>
    <rPh sb="11" eb="13">
      <t>チュウオウ</t>
    </rPh>
    <rPh sb="13" eb="16">
      <t>コウミンカン</t>
    </rPh>
    <phoneticPr fontId="5"/>
  </si>
  <si>
    <t>市民まちづくりプラザ・労働福祉会館・青少年センター</t>
    <rPh sb="11" eb="13">
      <t>ロウドウ</t>
    </rPh>
    <rPh sb="13" eb="15">
      <t>フクシ</t>
    </rPh>
    <rPh sb="15" eb="17">
      <t>カイカン</t>
    </rPh>
    <rPh sb="18" eb="21">
      <t>セイショウネン</t>
    </rPh>
    <phoneticPr fontId="5"/>
  </si>
  <si>
    <t>第2種中高層住居専用</t>
    <phoneticPr fontId="5"/>
  </si>
  <si>
    <t>２種</t>
    <rPh sb="1" eb="2">
      <t>シュ</t>
    </rPh>
    <phoneticPr fontId="5"/>
  </si>
  <si>
    <t>0415</t>
    <phoneticPr fontId="5"/>
  </si>
  <si>
    <t>市民自治部</t>
    <phoneticPr fontId="5"/>
  </si>
  <si>
    <t>市有/民地</t>
    <rPh sb="3" eb="5">
      <t>ミンチ</t>
    </rPh>
    <phoneticPr fontId="5"/>
  </si>
  <si>
    <t>400</t>
    <phoneticPr fontId="5"/>
  </si>
  <si>
    <t>1078</t>
    <phoneticPr fontId="5"/>
  </si>
  <si>
    <t>00対象</t>
    <rPh sb="2" eb="4">
      <t>タイショウ</t>
    </rPh>
    <phoneticPr fontId="5"/>
  </si>
  <si>
    <t>園舎１</t>
    <rPh sb="0" eb="2">
      <t>エンシャ</t>
    </rPh>
    <phoneticPr fontId="5"/>
  </si>
  <si>
    <t>伊丹機械式自転車駐車場</t>
    <rPh sb="0" eb="2">
      <t>イタミ</t>
    </rPh>
    <rPh sb="2" eb="5">
      <t>キカイシキ</t>
    </rPh>
    <rPh sb="5" eb="8">
      <t>ジテンシャ</t>
    </rPh>
    <rPh sb="8" eb="11">
      <t>チュウシャジョウ</t>
    </rPh>
    <phoneticPr fontId="5"/>
  </si>
  <si>
    <t>02</t>
    <phoneticPr fontId="5"/>
  </si>
  <si>
    <t>管理棟</t>
    <rPh sb="0" eb="2">
      <t>カンリ</t>
    </rPh>
    <rPh sb="2" eb="3">
      <t>トウ</t>
    </rPh>
    <phoneticPr fontId="5"/>
  </si>
  <si>
    <t>公園管理事務所(詰所)</t>
    <rPh sb="8" eb="10">
      <t>ツメショ</t>
    </rPh>
    <phoneticPr fontId="5"/>
  </si>
  <si>
    <t>こども未来部こども文化科学館</t>
    <rPh sb="9" eb="11">
      <t>ブンカ</t>
    </rPh>
    <rPh sb="11" eb="13">
      <t>カガク</t>
    </rPh>
    <rPh sb="13" eb="14">
      <t>カン</t>
    </rPh>
    <phoneticPr fontId="5"/>
  </si>
  <si>
    <t>こども未来部子育て支援課</t>
    <rPh sb="6" eb="8">
      <t>コソダ</t>
    </rPh>
    <rPh sb="9" eb="11">
      <t>シエン</t>
    </rPh>
    <rPh sb="11" eb="12">
      <t>カ</t>
    </rPh>
    <phoneticPr fontId="5"/>
  </si>
  <si>
    <t>こども未来部幼児教育保育室教育保育課</t>
    <rPh sb="6" eb="8">
      <t>ヨウジ</t>
    </rPh>
    <rPh sb="8" eb="10">
      <t>キョウイク</t>
    </rPh>
    <rPh sb="10" eb="13">
      <t>ホイクシツ</t>
    </rPh>
    <rPh sb="13" eb="15">
      <t>キョウイク</t>
    </rPh>
    <rPh sb="15" eb="17">
      <t>ホイク</t>
    </rPh>
    <rPh sb="17" eb="18">
      <t>カ</t>
    </rPh>
    <phoneticPr fontId="5"/>
  </si>
  <si>
    <t>こども未来部幼児教育保育室こども発達支援センター</t>
    <rPh sb="6" eb="8">
      <t>ヨウジ</t>
    </rPh>
    <rPh sb="8" eb="10">
      <t>キョウイク</t>
    </rPh>
    <rPh sb="10" eb="13">
      <t>ホイクシツ</t>
    </rPh>
    <rPh sb="16" eb="18">
      <t>ハッタツ</t>
    </rPh>
    <rPh sb="18" eb="20">
      <t>シエン</t>
    </rPh>
    <phoneticPr fontId="5"/>
  </si>
  <si>
    <t>伊丹市立中学校給食センター</t>
    <rPh sb="0" eb="2">
      <t>イタミ</t>
    </rPh>
    <rPh sb="2" eb="4">
      <t>シリツ</t>
    </rPh>
    <rPh sb="4" eb="7">
      <t>チュウガッコウ</t>
    </rPh>
    <rPh sb="7" eb="9">
      <t>キュウショク</t>
    </rPh>
    <phoneticPr fontId="5"/>
  </si>
  <si>
    <t>2019</t>
  </si>
  <si>
    <t>1092</t>
    <phoneticPr fontId="5"/>
  </si>
  <si>
    <t>教育委員会こども未来部幼児教育推進課</t>
    <rPh sb="8" eb="10">
      <t>ミライ</t>
    </rPh>
    <rPh sb="10" eb="11">
      <t>ブ</t>
    </rPh>
    <rPh sb="11" eb="13">
      <t>ヨウジ</t>
    </rPh>
    <rPh sb="13" eb="15">
      <t>キョウイク</t>
    </rPh>
    <rPh sb="15" eb="17">
      <t>スイシン</t>
    </rPh>
    <rPh sb="17" eb="18">
      <t>カ</t>
    </rPh>
    <phoneticPr fontId="5"/>
  </si>
  <si>
    <t>少年愛護ｾﾝﾀｰ,阪神北少年ｻﾎﾟｰﾄｾﾝﾀｰ総合教育センター</t>
    <rPh sb="23" eb="25">
      <t>ソウゴウ</t>
    </rPh>
    <rPh sb="25" eb="27">
      <t>キョウイク</t>
    </rPh>
    <phoneticPr fontId="5"/>
  </si>
  <si>
    <t>1081</t>
    <phoneticPr fontId="5"/>
  </si>
  <si>
    <t>さくらだいこども園</t>
    <rPh sb="8" eb="9">
      <t>エン</t>
    </rPh>
    <phoneticPr fontId="5"/>
  </si>
  <si>
    <t>わかばこども園</t>
    <rPh sb="6" eb="7">
      <t>エン</t>
    </rPh>
    <phoneticPr fontId="5"/>
  </si>
  <si>
    <t>0416</t>
    <phoneticPr fontId="5"/>
  </si>
  <si>
    <t>口腔保健センター</t>
    <rPh sb="0" eb="2">
      <t>コウクウ</t>
    </rPh>
    <rPh sb="2" eb="4">
      <t>ホケン</t>
    </rPh>
    <phoneticPr fontId="5"/>
  </si>
  <si>
    <t>2020</t>
  </si>
  <si>
    <t>健康福祉部</t>
    <phoneticPr fontId="5"/>
  </si>
  <si>
    <t>行政財産</t>
    <rPh sb="0" eb="4">
      <t>ギョウセイザイサン</t>
    </rPh>
    <phoneticPr fontId="5"/>
  </si>
  <si>
    <t>都市交通部交通政策室交通政策課</t>
    <rPh sb="10" eb="15">
      <t>コウツウセイサクカ</t>
    </rPh>
    <phoneticPr fontId="5"/>
  </si>
  <si>
    <t>幼児教育センター</t>
    <rPh sb="0" eb="4">
      <t>ヨウジキョウイク</t>
    </rPh>
    <phoneticPr fontId="5"/>
  </si>
  <si>
    <t>総合教育ｾﾝﾀｰ</t>
    <rPh sb="0" eb="4">
      <t>ソウゴウキョウイク</t>
    </rPh>
    <phoneticPr fontId="5"/>
  </si>
  <si>
    <t>伊丹市立中学校給食センター</t>
    <rPh sb="0" eb="4">
      <t>イタミシリツ</t>
    </rPh>
    <rPh sb="4" eb="7">
      <t>チュウガッコウ</t>
    </rPh>
    <rPh sb="7" eb="9">
      <t>キュウショク</t>
    </rPh>
    <phoneticPr fontId="5"/>
  </si>
  <si>
    <t>調理場</t>
    <rPh sb="0" eb="3">
      <t>チョウリバ</t>
    </rPh>
    <phoneticPr fontId="5"/>
  </si>
  <si>
    <t>口腔保健センター</t>
    <rPh sb="0" eb="4">
      <t>コウクウホケン</t>
    </rPh>
    <phoneticPr fontId="5"/>
  </si>
  <si>
    <t>幼児教育ｾﾝﾀｰ</t>
    <rPh sb="0" eb="4">
      <t>ヨウジキョウイク</t>
    </rPh>
    <phoneticPr fontId="5"/>
  </si>
  <si>
    <t>こども未来部幼児教育保育室幼児教育推進課</t>
    <rPh sb="3" eb="6">
      <t>ミライブ</t>
    </rPh>
    <rPh sb="6" eb="13">
      <t>ヨウジキョウイクホイクシツ</t>
    </rPh>
    <rPh sb="13" eb="20">
      <t>ヨウジキョウイクスイシンカ</t>
    </rPh>
    <phoneticPr fontId="5"/>
  </si>
  <si>
    <t>中央公民館</t>
    <phoneticPr fontId="5"/>
  </si>
  <si>
    <t>教育委員会生涯学習部社会教育課文化財担当</t>
    <rPh sb="15" eb="20">
      <t>ブンカザイタントウ</t>
    </rPh>
    <phoneticPr fontId="5"/>
  </si>
  <si>
    <t>0332</t>
    <phoneticPr fontId="5"/>
  </si>
  <si>
    <t>教育委員会こども未来部こども若者企画課</t>
    <rPh sb="0" eb="2">
      <t>キョウイク</t>
    </rPh>
    <rPh sb="2" eb="5">
      <t>イインカイ</t>
    </rPh>
    <rPh sb="8" eb="11">
      <t>ミライブ</t>
    </rPh>
    <rPh sb="14" eb="19">
      <t>ワカモノキカクカ</t>
    </rPh>
    <phoneticPr fontId="5"/>
  </si>
  <si>
    <t>児童会館</t>
    <rPh sb="0" eb="4">
      <t>ジドウカイカン</t>
    </rPh>
    <phoneticPr fontId="5"/>
  </si>
  <si>
    <t>伊丹市立児童会館条例</t>
    <rPh sb="0" eb="4">
      <t>イタミシリツ</t>
    </rPh>
    <rPh sb="4" eb="8">
      <t>ジドウカイカン</t>
    </rPh>
    <rPh sb="8" eb="10">
      <t>ジョウレイ</t>
    </rPh>
    <phoneticPr fontId="5"/>
  </si>
  <si>
    <t>児童福祉法に基づく児童館。</t>
    <rPh sb="6" eb="7">
      <t>モト</t>
    </rPh>
    <phoneticPr fontId="5"/>
  </si>
  <si>
    <t>シダックス大新東ヒューマンサービス株式会社</t>
    <rPh sb="5" eb="8">
      <t>ダイシントウ</t>
    </rPh>
    <rPh sb="17" eb="21">
      <t>カブシキカイシャ</t>
    </rPh>
    <phoneticPr fontId="5"/>
  </si>
  <si>
    <t>公募</t>
    <rPh sb="0" eb="2">
      <t>コウボ</t>
    </rPh>
    <phoneticPr fontId="5"/>
  </si>
  <si>
    <t>児童会館</t>
    <rPh sb="0" eb="2">
      <t>ジドウ</t>
    </rPh>
    <rPh sb="2" eb="4">
      <t>カイカン</t>
    </rPh>
    <phoneticPr fontId="5"/>
  </si>
  <si>
    <t>【1階】事務所,相談室,ﾌﾟﾚｲﾙｰﾑ1・2等【2階】保育室,遊戯室,調理室等【3階】保育室,遊戯室,職員室等【4階】診療所,診察室等</t>
  </si>
  <si>
    <t>桜ケ丘コミュニティセンター</t>
  </si>
  <si>
    <t>松ケ丘センター</t>
  </si>
  <si>
    <t>東緑ケ丘センター</t>
  </si>
  <si>
    <t>中央公民館執務スペースに含まれるため、0㎡で計上</t>
    <rPh sb="0" eb="5">
      <t>チュウオウコウミンカン</t>
    </rPh>
    <rPh sb="5" eb="7">
      <t>シツム</t>
    </rPh>
    <rPh sb="12" eb="13">
      <t>フク</t>
    </rPh>
    <rPh sb="22" eb="24">
      <t>ケイジョウ</t>
    </rPh>
    <phoneticPr fontId="5"/>
  </si>
  <si>
    <t>02稲野小</t>
    <rPh sb="2" eb="4">
      <t>イナノ</t>
    </rPh>
    <rPh sb="4" eb="5">
      <t>ショウ</t>
    </rPh>
    <phoneticPr fontId="5"/>
  </si>
  <si>
    <t>労働福祉会館・青少年センター、中央公民館</t>
    <rPh sb="0" eb="6">
      <t>ロウドウフクシカイカン</t>
    </rPh>
    <rPh sb="7" eb="10">
      <t>セイショウネン</t>
    </rPh>
    <rPh sb="15" eb="19">
      <t>チュウオ</t>
    </rPh>
    <rPh sb="19" eb="20">
      <t>カン</t>
    </rPh>
    <phoneticPr fontId="5"/>
  </si>
  <si>
    <t>市有</t>
    <rPh sb="0" eb="1">
      <t>シ</t>
    </rPh>
    <rPh sb="1" eb="2">
      <t>ア</t>
    </rPh>
    <phoneticPr fontId="5"/>
  </si>
  <si>
    <t>月,年末年始</t>
    <rPh sb="0" eb="1">
      <t>ツキ</t>
    </rPh>
    <phoneticPr fontId="5"/>
  </si>
  <si>
    <t>スワンホール</t>
  </si>
  <si>
    <t>内、83㎡は普通財産</t>
    <rPh sb="0" eb="1">
      <t>ウチ</t>
    </rPh>
    <rPh sb="6" eb="10">
      <t>フツウザイサン</t>
    </rPh>
    <phoneticPr fontId="5"/>
  </si>
  <si>
    <t>カフェ</t>
  </si>
  <si>
    <t>市有/民地</t>
  </si>
  <si>
    <t>JR西日本不動産開発㈱</t>
    <rPh sb="2" eb="5">
      <t>ニシニホン</t>
    </rPh>
    <rPh sb="5" eb="10">
      <t>フドウサンカイハツ</t>
    </rPh>
    <phoneticPr fontId="5"/>
  </si>
  <si>
    <t>伊丹まち未来㈱</t>
    <rPh sb="0" eb="2">
      <t>イタミ</t>
    </rPh>
    <rPh sb="4" eb="6">
      <t>ミライ</t>
    </rPh>
    <phoneticPr fontId="5"/>
  </si>
  <si>
    <t>9:00～19:00</t>
  </si>
  <si>
    <t>12/30～1/2</t>
  </si>
  <si>
    <t>観光案内所、物産展示コーナー、カフェ</t>
    <rPh sb="0" eb="5">
      <t>カンコウアンナイショ</t>
    </rPh>
    <rPh sb="6" eb="10">
      <t>ブッサンテンジ</t>
    </rPh>
    <phoneticPr fontId="5"/>
  </si>
  <si>
    <t>土,日,年末年始</t>
  </si>
  <si>
    <t>1092</t>
  </si>
  <si>
    <t>伊丹市立幼児教育センター条例</t>
    <rPh sb="0" eb="4">
      <t>イタミシリツ</t>
    </rPh>
    <rPh sb="4" eb="6">
      <t>ヨウジ</t>
    </rPh>
    <rPh sb="6" eb="8">
      <t>キョウイク</t>
    </rPh>
    <rPh sb="12" eb="14">
      <t>ジョウレイ</t>
    </rPh>
    <phoneticPr fontId="5"/>
  </si>
  <si>
    <t>幼児教育情報の発信基地で、さまざまな課題を研究するための教育機関。就学前施設職員を対象とした研究や研修の実施、教育・保育に関する情報発信の他、様々な幼児教育に関する相談業務を実施。</t>
    <rPh sb="0" eb="2">
      <t>ヨウジ</t>
    </rPh>
    <rPh sb="33" eb="36">
      <t>シュウガクマエ</t>
    </rPh>
    <rPh sb="36" eb="38">
      <t>シセツ</t>
    </rPh>
    <rPh sb="41" eb="43">
      <t>タイショウ</t>
    </rPh>
    <rPh sb="52" eb="54">
      <t>ジッシ</t>
    </rPh>
    <rPh sb="55" eb="57">
      <t>キョウイク</t>
    </rPh>
    <rPh sb="58" eb="60">
      <t>ホイク</t>
    </rPh>
    <rPh sb="61" eb="62">
      <t>カン</t>
    </rPh>
    <rPh sb="64" eb="66">
      <t>ジョウホウ</t>
    </rPh>
    <rPh sb="66" eb="68">
      <t>ハッシン</t>
    </rPh>
    <rPh sb="69" eb="70">
      <t>ホカ</t>
    </rPh>
    <rPh sb="71" eb="73">
      <t>サマザマ</t>
    </rPh>
    <rPh sb="74" eb="76">
      <t>ヨウジ</t>
    </rPh>
    <rPh sb="76" eb="78">
      <t>キョウイク</t>
    </rPh>
    <rPh sb="79" eb="80">
      <t>カン</t>
    </rPh>
    <phoneticPr fontId="5"/>
  </si>
  <si>
    <t>研修ルーム、相談ルーム</t>
    <rPh sb="6" eb="8">
      <t>ソウダン</t>
    </rPh>
    <phoneticPr fontId="5"/>
  </si>
  <si>
    <t>教育委員会教育総務部、学校教育部、生涯学習部</t>
    <rPh sb="5" eb="7">
      <t>キョウイク</t>
    </rPh>
    <rPh sb="7" eb="9">
      <t>ソウム</t>
    </rPh>
    <rPh sb="11" eb="13">
      <t>ガッコウ</t>
    </rPh>
    <rPh sb="13" eb="15">
      <t>キョウイク</t>
    </rPh>
    <rPh sb="15" eb="16">
      <t>ブ</t>
    </rPh>
    <rPh sb="17" eb="19">
      <t>ショウガイ</t>
    </rPh>
    <rPh sb="19" eb="21">
      <t>ガクシュウ</t>
    </rPh>
    <rPh sb="21" eb="22">
      <t>ブ</t>
    </rPh>
    <phoneticPr fontId="5"/>
  </si>
  <si>
    <t>教育委員会教育総務部・こども未来部</t>
    <rPh sb="5" eb="7">
      <t>キョウイク</t>
    </rPh>
    <rPh sb="7" eb="9">
      <t>ソウム</t>
    </rPh>
    <rPh sb="14" eb="16">
      <t>ミライ</t>
    </rPh>
    <rPh sb="16" eb="17">
      <t>ブ</t>
    </rPh>
    <phoneticPr fontId="5"/>
  </si>
  <si>
    <t>伊丹市御願塚６丁目１番５号</t>
    <rPh sb="0" eb="3">
      <t>イタミシ</t>
    </rPh>
    <rPh sb="3" eb="6">
      <t>ゴガヅカ</t>
    </rPh>
    <rPh sb="7" eb="9">
      <t>チョウメ</t>
    </rPh>
    <rPh sb="10" eb="11">
      <t>バン</t>
    </rPh>
    <rPh sb="12" eb="13">
      <t>ゴウ</t>
    </rPh>
    <phoneticPr fontId="5"/>
  </si>
  <si>
    <t>14鈴原小</t>
    <rPh sb="2" eb="4">
      <t>スズハラ</t>
    </rPh>
    <rPh sb="4" eb="5">
      <t>ショウ</t>
    </rPh>
    <phoneticPr fontId="5"/>
  </si>
  <si>
    <t>第1種・2種低層住居専用</t>
    <rPh sb="5" eb="6">
      <t>シュ</t>
    </rPh>
    <phoneticPr fontId="5"/>
  </si>
  <si>
    <t>50</t>
    <phoneticPr fontId="5"/>
  </si>
  <si>
    <t>100</t>
    <phoneticPr fontId="5"/>
  </si>
  <si>
    <t>１種</t>
    <phoneticPr fontId="5"/>
  </si>
  <si>
    <t>職員室,相談室,子育て支援室,多目的室,ﾗﾝﾁﾙｰﾑ,保健室,調理室,沐浴室,遊戯室,休憩室,保育室</t>
    <phoneticPr fontId="5"/>
  </si>
  <si>
    <t>06桜台小</t>
    <rPh sb="2" eb="4">
      <t>サクラダイ</t>
    </rPh>
    <rPh sb="4" eb="5">
      <t>ショウ</t>
    </rPh>
    <phoneticPr fontId="5"/>
  </si>
  <si>
    <t>03南小</t>
    <rPh sb="2" eb="3">
      <t>ミナミ</t>
    </rPh>
    <rPh sb="3" eb="4">
      <t>ショウ</t>
    </rPh>
    <phoneticPr fontId="5"/>
  </si>
  <si>
    <t>1018</t>
  </si>
  <si>
    <t>1019</t>
  </si>
  <si>
    <t>園舎</t>
    <rPh sb="0" eb="2">
      <t>エンシャ</t>
    </rPh>
    <phoneticPr fontId="5"/>
  </si>
  <si>
    <t>園舎２</t>
    <rPh sb="0" eb="2">
      <t>エンシャ</t>
    </rPh>
    <phoneticPr fontId="5"/>
  </si>
  <si>
    <t>タイムズグループ</t>
    <phoneticPr fontId="5"/>
  </si>
  <si>
    <t>ミディ総合管理株式会社</t>
    <rPh sb="3" eb="5">
      <t>ソウゴウ</t>
    </rPh>
    <rPh sb="5" eb="7">
      <t>カンリ</t>
    </rPh>
    <rPh sb="7" eb="9">
      <t>カブシキ</t>
    </rPh>
    <rPh sb="9" eb="11">
      <t>カイシャ</t>
    </rPh>
    <phoneticPr fontId="5"/>
  </si>
  <si>
    <t>自転車459台</t>
    <phoneticPr fontId="5"/>
  </si>
  <si>
    <t>4:30～1:15</t>
    <phoneticPr fontId="5"/>
  </si>
  <si>
    <t>自転車255台</t>
    <rPh sb="0" eb="3">
      <t>ジテンシャ</t>
    </rPh>
    <rPh sb="6" eb="7">
      <t>ダイ</t>
    </rPh>
    <phoneticPr fontId="5"/>
  </si>
  <si>
    <t>駐車場（宮ノ前地下）</t>
    <rPh sb="0" eb="3">
      <t>チュウシャジョウ</t>
    </rPh>
    <phoneticPr fontId="5"/>
  </si>
  <si>
    <t>駐車場（第三街区）</t>
    <rPh sb="0" eb="3">
      <t>チュウシャジョウ</t>
    </rPh>
    <phoneticPr fontId="5"/>
  </si>
  <si>
    <t>駐車場（みやのまち地下）</t>
    <rPh sb="0" eb="3">
      <t>チュウシャジョウ</t>
    </rPh>
    <phoneticPr fontId="5"/>
  </si>
  <si>
    <t>自転車駐車場</t>
    <rPh sb="0" eb="3">
      <t>ジテンシャ</t>
    </rPh>
    <rPh sb="3" eb="6">
      <t>チュウシャジョウ</t>
    </rPh>
    <phoneticPr fontId="5"/>
  </si>
  <si>
    <t>管理事務所</t>
    <rPh sb="0" eb="2">
      <t>カンリ</t>
    </rPh>
    <rPh sb="2" eb="5">
      <t>ジムショ</t>
    </rPh>
    <phoneticPr fontId="5"/>
  </si>
  <si>
    <t>「機械設備」扱いのため、建物に該当しない</t>
    <rPh sb="1" eb="5">
      <t>キカイセツビ</t>
    </rPh>
    <rPh sb="6" eb="7">
      <t>アツカ</t>
    </rPh>
    <rPh sb="12" eb="14">
      <t>タテモノ</t>
    </rPh>
    <rPh sb="15" eb="17">
      <t>ガイトウ</t>
    </rPh>
    <phoneticPr fontId="5"/>
  </si>
  <si>
    <t>民有</t>
    <rPh sb="0" eb="2">
      <t>ミンユウ</t>
    </rPh>
    <phoneticPr fontId="5"/>
  </si>
  <si>
    <t>シダックス大新東ヒューマンサービス株式会社</t>
    <rPh sb="5" eb="8">
      <t>ダイシントウ</t>
    </rPh>
    <rPh sb="17" eb="21">
      <t>カブシキガイシャ</t>
    </rPh>
    <phoneticPr fontId="5"/>
  </si>
  <si>
    <t>公募</t>
    <phoneticPr fontId="5"/>
  </si>
  <si>
    <t>会議室, 音楽スタジオ,工芸室,創作室,和室</t>
    <rPh sb="0" eb="3">
      <t>カイギシツ</t>
    </rPh>
    <rPh sb="5" eb="7">
      <t>オンガク</t>
    </rPh>
    <rPh sb="12" eb="15">
      <t>コウゲイシツ</t>
    </rPh>
    <rPh sb="16" eb="19">
      <t>ソウサクシツ</t>
    </rPh>
    <rPh sb="20" eb="22">
      <t>ワシツ</t>
    </rPh>
    <phoneticPr fontId="5"/>
  </si>
  <si>
    <t>伊丹市北野3丁目7番2</t>
    <phoneticPr fontId="5"/>
  </si>
  <si>
    <t>図書館南分館,ﾃﾞｲｻｰﾋﾞｽｾﾝﾀｰ等</t>
    <rPh sb="19" eb="20">
      <t>トウ</t>
    </rPh>
    <phoneticPr fontId="5"/>
  </si>
  <si>
    <t>兵庫県、神戸市、阪神水道企業団</t>
    <rPh sb="0" eb="2">
      <t>ヒョウゴ</t>
    </rPh>
    <rPh sb="2" eb="3">
      <t>ケン</t>
    </rPh>
    <rPh sb="4" eb="7">
      <t>コウベシ</t>
    </rPh>
    <rPh sb="8" eb="10">
      <t>ハンシン</t>
    </rPh>
    <rPh sb="10" eb="12">
      <t>スイドウ</t>
    </rPh>
    <rPh sb="12" eb="14">
      <t>キギョウ</t>
    </rPh>
    <rPh sb="14" eb="15">
      <t>ダン</t>
    </rPh>
    <phoneticPr fontId="5"/>
  </si>
  <si>
    <t>多目的ﾎｰﾙ,ｴﾝﾄﾗﾝｽﾎｰﾙ,会議室,音楽練習室,多目的室1～3,和室,交流ﾙｰﾑ,講座室,創作室,多目的室兼調理室</t>
    <rPh sb="21" eb="23">
      <t>オンガク</t>
    </rPh>
    <rPh sb="27" eb="30">
      <t>タモクテキ</t>
    </rPh>
    <rPh sb="35" eb="37">
      <t>ワシツ</t>
    </rPh>
    <rPh sb="38" eb="40">
      <t>コウリュウ</t>
    </rPh>
    <rPh sb="52" eb="56">
      <t>タモクテキシツ</t>
    </rPh>
    <rPh sb="56" eb="57">
      <t>ケン</t>
    </rPh>
    <rPh sb="57" eb="60">
      <t>チョウリシツ</t>
    </rPh>
    <phoneticPr fontId="5"/>
  </si>
  <si>
    <t>図書館北分館,北支所</t>
    <rPh sb="5" eb="6">
      <t>カン</t>
    </rPh>
    <rPh sb="7" eb="10">
      <t>キタシショ</t>
    </rPh>
    <phoneticPr fontId="5"/>
  </si>
  <si>
    <t>株式会社　伊丹公設市場管理センター</t>
    <rPh sb="5" eb="7">
      <t>イタミ</t>
    </rPh>
    <rPh sb="7" eb="9">
      <t>コウセツ</t>
    </rPh>
    <rPh sb="9" eb="11">
      <t>イチバ</t>
    </rPh>
    <rPh sb="11" eb="13">
      <t>カンリ</t>
    </rPh>
    <phoneticPr fontId="5"/>
  </si>
  <si>
    <t>指定管理者からの納付金</t>
    <rPh sb="0" eb="2">
      <t>シテイ</t>
    </rPh>
    <rPh sb="2" eb="5">
      <t>カンリシャ</t>
    </rPh>
    <rPh sb="8" eb="11">
      <t>ノウフキン</t>
    </rPh>
    <phoneticPr fontId="5"/>
  </si>
  <si>
    <t>福祉の向上や人権啓発の住民交流の拠点となるｺﾐｭﾆﾃｨｾﾝﾀｰとして、生活上の各種相談事業や人権課題の解決のための各種事業を総合的に実施。また、児童福祉法に基づく児童厚生施設として、子どもに健全な遊びの場を提供。</t>
    <phoneticPr fontId="5"/>
  </si>
  <si>
    <t>委託</t>
    <phoneticPr fontId="5"/>
  </si>
  <si>
    <t>公益社団法人伊丹市シルバー人材センター</t>
    <rPh sb="0" eb="2">
      <t>コウエキ</t>
    </rPh>
    <rPh sb="2" eb="4">
      <t>シャダン</t>
    </rPh>
    <rPh sb="4" eb="6">
      <t>ホウジン</t>
    </rPh>
    <rPh sb="6" eb="9">
      <t>イタミシ</t>
    </rPh>
    <rPh sb="13" eb="15">
      <t>ジンザイ</t>
    </rPh>
    <phoneticPr fontId="5"/>
  </si>
  <si>
    <t>事務所</t>
  </si>
  <si>
    <t>少年愛護ｾﾝﾀｰ,阪神北少年ｻﾎﾟｰﾄｾﾝﾀｰ、
幼児教育センター</t>
    <rPh sb="25" eb="27">
      <t>ヨウジ</t>
    </rPh>
    <rPh sb="27" eb="29">
      <t>キョウイク</t>
    </rPh>
    <phoneticPr fontId="5"/>
  </si>
  <si>
    <t>9:00～21:00
(水:9：00～17:30、土：9:00～17:00)</t>
    <rPh sb="12" eb="13">
      <t>スイ</t>
    </rPh>
    <phoneticPr fontId="5"/>
  </si>
  <si>
    <t>1098</t>
    <phoneticPr fontId="5"/>
  </si>
  <si>
    <t>教育支援センターやまびこ</t>
    <rPh sb="0" eb="4">
      <t>キョウイクシエン</t>
    </rPh>
    <phoneticPr fontId="5"/>
  </si>
  <si>
    <t>伊丹市昆陽1丁目213番地</t>
    <rPh sb="0" eb="3">
      <t>イタミシ</t>
    </rPh>
    <phoneticPr fontId="5"/>
  </si>
  <si>
    <t>伊丹市立総合教育センター条例</t>
    <rPh sb="0" eb="3">
      <t>イタミシ</t>
    </rPh>
    <rPh sb="3" eb="4">
      <t>リツ</t>
    </rPh>
    <rPh sb="4" eb="6">
      <t>ソウゴウ</t>
    </rPh>
    <rPh sb="6" eb="8">
      <t>キョウイク</t>
    </rPh>
    <phoneticPr fontId="5"/>
  </si>
  <si>
    <t>稲野児童くらぶ</t>
    <rPh sb="0" eb="2">
      <t>イナノ</t>
    </rPh>
    <rPh sb="2" eb="4">
      <t>ジドウ</t>
    </rPh>
    <phoneticPr fontId="5"/>
  </si>
  <si>
    <t>市有</t>
    <rPh sb="0" eb="1">
      <t>シ</t>
    </rPh>
    <rPh sb="1" eb="2">
      <t>ユウ</t>
    </rPh>
    <phoneticPr fontId="5"/>
  </si>
  <si>
    <t>不登校の児童及び生徒の教育支援を行う。</t>
    <rPh sb="0" eb="3">
      <t>フトウコウ</t>
    </rPh>
    <rPh sb="4" eb="6">
      <t>ジドウ</t>
    </rPh>
    <rPh sb="6" eb="7">
      <t>オヨ</t>
    </rPh>
    <rPh sb="8" eb="10">
      <t>セイト</t>
    </rPh>
    <rPh sb="11" eb="13">
      <t>キョウイク</t>
    </rPh>
    <rPh sb="13" eb="15">
      <t>シエン</t>
    </rPh>
    <rPh sb="16" eb="17">
      <t>オコナ</t>
    </rPh>
    <phoneticPr fontId="5"/>
  </si>
  <si>
    <t>第1種中高層住居専用</t>
    <phoneticPr fontId="5"/>
  </si>
  <si>
    <t>9:30～15:00</t>
    <phoneticPr fontId="5"/>
  </si>
  <si>
    <t>土,日,祝,年末年始</t>
    <phoneticPr fontId="5"/>
  </si>
  <si>
    <t>教育支援センターやまびこ</t>
    <rPh sb="0" eb="2">
      <t>キョウイク</t>
    </rPh>
    <rPh sb="2" eb="4">
      <t>シエン</t>
    </rPh>
    <phoneticPr fontId="5"/>
  </si>
  <si>
    <t>稲野児童くらぶ・教育支援センター「やまびこ」</t>
    <rPh sb="0" eb="2">
      <t>イナノ</t>
    </rPh>
    <rPh sb="2" eb="4">
      <t>ジドウ</t>
    </rPh>
    <rPh sb="8" eb="10">
      <t>キョウイク</t>
    </rPh>
    <rPh sb="10" eb="12">
      <t>シエン</t>
    </rPh>
    <phoneticPr fontId="5"/>
  </si>
  <si>
    <t>指定管理料精算による戻入</t>
    <rPh sb="0" eb="2">
      <t>シテイ</t>
    </rPh>
    <rPh sb="2" eb="4">
      <t>カンリ</t>
    </rPh>
    <rPh sb="4" eb="5">
      <t>リョウ</t>
    </rPh>
    <rPh sb="5" eb="7">
      <t>セイサン</t>
    </rPh>
    <rPh sb="10" eb="12">
      <t>レイニュウ</t>
    </rPh>
    <phoneticPr fontId="5"/>
  </si>
  <si>
    <t>指定管理料</t>
    <rPh sb="0" eb="5">
      <t>シテイカンリリョウ</t>
    </rPh>
    <phoneticPr fontId="5"/>
  </si>
  <si>
    <t>指定管理料・貸室使用料・コピー料金</t>
    <rPh sb="0" eb="5">
      <t>シテイカンリリョウ</t>
    </rPh>
    <rPh sb="6" eb="11">
      <t>カシシツシヨウリョウ</t>
    </rPh>
    <rPh sb="15" eb="17">
      <t>リョウキン</t>
    </rPh>
    <phoneticPr fontId="5"/>
  </si>
  <si>
    <t>人件費・管理費・事業費</t>
    <rPh sb="0" eb="3">
      <t>ジンケンヒ</t>
    </rPh>
    <rPh sb="4" eb="7">
      <t>カンリヒ</t>
    </rPh>
    <rPh sb="8" eb="11">
      <t>ジギョウヒ</t>
    </rPh>
    <phoneticPr fontId="5"/>
  </si>
  <si>
    <t>市民自治部まちづくり室まちづくり推進課</t>
    <phoneticPr fontId="5"/>
  </si>
  <si>
    <t>2004</t>
    <phoneticPr fontId="5"/>
  </si>
  <si>
    <t>特定非営利活動法人　シンフォニー</t>
    <phoneticPr fontId="5"/>
  </si>
  <si>
    <t>9:00～18:00</t>
    <phoneticPr fontId="5"/>
  </si>
  <si>
    <t>伊丹市共同利用施設等条例,公共用飛行場周辺における航空機騒音による障害の防止等に関する法律</t>
    <phoneticPr fontId="5"/>
  </si>
  <si>
    <t>伊丹市松ケ丘1丁目64番地</t>
    <phoneticPr fontId="5"/>
  </si>
  <si>
    <t>松ケ丘センター管理運営委員会</t>
    <phoneticPr fontId="5"/>
  </si>
  <si>
    <t>伊丹市共同利用施設等条例</t>
    <phoneticPr fontId="5"/>
  </si>
  <si>
    <t>神津支所,図書館神津分館</t>
    <phoneticPr fontId="5"/>
  </si>
  <si>
    <t>北村交流センター管理運営委員会</t>
    <phoneticPr fontId="5"/>
  </si>
  <si>
    <t>大鹿交流センター管理運営委員会</t>
    <phoneticPr fontId="5"/>
  </si>
  <si>
    <t>２階休養室,２階保育室,２階ホール,３階学習室１,３階学習室２,３階学習室３,３階集会室,１階集会室</t>
    <phoneticPr fontId="5"/>
  </si>
  <si>
    <t>地区計画（瑞穂・瑞ケ丘・瑞原地区）</t>
    <phoneticPr fontId="5"/>
  </si>
  <si>
    <t>伊丹市緑ケ丘6丁目43番地の1</t>
    <phoneticPr fontId="5"/>
  </si>
  <si>
    <t>伊丹市東有岡1丁目19番地</t>
    <phoneticPr fontId="5"/>
  </si>
  <si>
    <t>法22条区域</t>
    <phoneticPr fontId="5"/>
  </si>
  <si>
    <t>工業</t>
    <phoneticPr fontId="5"/>
  </si>
  <si>
    <t>第1種住居</t>
    <phoneticPr fontId="5"/>
  </si>
  <si>
    <t>６種</t>
    <phoneticPr fontId="5"/>
  </si>
  <si>
    <t>24時間</t>
    <rPh sb="2" eb="4">
      <t>ジカン</t>
    </rPh>
    <phoneticPr fontId="5"/>
  </si>
  <si>
    <t>年中無休</t>
    <rPh sb="0" eb="2">
      <t>ネンジュウ</t>
    </rPh>
    <rPh sb="2" eb="4">
      <t>ムキュウ</t>
    </rPh>
    <phoneticPr fontId="5"/>
  </si>
  <si>
    <t>健康福祉部地域福祉室障害福祉課</t>
    <rPh sb="0" eb="5">
      <t>ケンコウフクシブ</t>
    </rPh>
    <rPh sb="5" eb="7">
      <t>チイキ</t>
    </rPh>
    <rPh sb="7" eb="9">
      <t>フクシ</t>
    </rPh>
    <rPh sb="9" eb="10">
      <t>シツ</t>
    </rPh>
    <rPh sb="10" eb="12">
      <t>ショウガイ</t>
    </rPh>
    <rPh sb="12" eb="15">
      <t>フクシカ</t>
    </rPh>
    <phoneticPr fontId="5"/>
  </si>
  <si>
    <t>伊丹市立口腔保健センター条例</t>
    <rPh sb="4" eb="6">
      <t>コウクウ</t>
    </rPh>
    <phoneticPr fontId="5"/>
  </si>
  <si>
    <t>1975</t>
    <phoneticPr fontId="5"/>
  </si>
  <si>
    <t>一般社団法人　伊丹市歯科医師会</t>
    <rPh sb="0" eb="6">
      <t>イッパンシャダンホウジン</t>
    </rPh>
    <rPh sb="7" eb="15">
      <t>イタミシシカイシカイ</t>
    </rPh>
    <phoneticPr fontId="5"/>
  </si>
  <si>
    <t>非公募</t>
    <rPh sb="0" eb="1">
      <t>ヒ</t>
    </rPh>
    <rPh sb="1" eb="3">
      <t>コウボ</t>
    </rPh>
    <phoneticPr fontId="5"/>
  </si>
  <si>
    <t>診療室1・2,医局,X線室,機械室など</t>
    <rPh sb="0" eb="3">
      <t>シンリョウシツ</t>
    </rPh>
    <rPh sb="7" eb="9">
      <t>イキョク</t>
    </rPh>
    <rPh sb="11" eb="13">
      <t>センシツ</t>
    </rPh>
    <rPh sb="14" eb="17">
      <t>キカイシツ</t>
    </rPh>
    <phoneticPr fontId="5"/>
  </si>
  <si>
    <t>健康福祉部地域福祉室障害福祉課</t>
    <rPh sb="5" eb="10">
      <t>チイキフクシシツ</t>
    </rPh>
    <rPh sb="10" eb="15">
      <t>ショウガイフクシカ</t>
    </rPh>
    <phoneticPr fontId="5"/>
  </si>
  <si>
    <t>産業に関する相談，情報の収集及び提供、講座、研究会、展示会等の開催、交流の促進、展示・研修等を行い、産業の振興を図ることを目的とした施設。</t>
    <phoneticPr fontId="5"/>
  </si>
  <si>
    <t>地方教育行政の組織及び運営に関する法律、伊丹市立学校給食センター設置条例</t>
    <phoneticPr fontId="5"/>
  </si>
  <si>
    <t>生徒の健康の増進および食育の推進を図ることを目的に設置</t>
    <rPh sb="25" eb="27">
      <t>セッチ</t>
    </rPh>
    <phoneticPr fontId="5"/>
  </si>
  <si>
    <t>準工業</t>
    <phoneticPr fontId="5"/>
  </si>
  <si>
    <t>大規模集客施設立地規制</t>
    <phoneticPr fontId="5"/>
  </si>
  <si>
    <t>調理室（揚物・焼物室含む）,下処理室,洗浄室,コンテナプール</t>
    <phoneticPr fontId="5"/>
  </si>
  <si>
    <t>施設No</t>
    <rPh sb="0" eb="2">
      <t>シセツ</t>
    </rPh>
    <phoneticPr fontId="28"/>
  </si>
  <si>
    <t>名称</t>
    <rPh sb="0" eb="2">
      <t>メイショウ</t>
    </rPh>
    <phoneticPr fontId="28"/>
  </si>
  <si>
    <t>取得価額</t>
    <rPh sb="0" eb="2">
      <t>シュトク</t>
    </rPh>
    <rPh sb="2" eb="4">
      <t>カガク</t>
    </rPh>
    <phoneticPr fontId="29"/>
  </si>
  <si>
    <t>減価償却累計額</t>
    <rPh sb="0" eb="2">
      <t>ゲンカ</t>
    </rPh>
    <rPh sb="2" eb="4">
      <t>ショウキャク</t>
    </rPh>
    <rPh sb="4" eb="6">
      <t>ルイケイ</t>
    </rPh>
    <rPh sb="6" eb="7">
      <t>ガク</t>
    </rPh>
    <phoneticPr fontId="4"/>
  </si>
  <si>
    <t>残存価格</t>
    <rPh sb="0" eb="2">
      <t>ザンゾン</t>
    </rPh>
    <rPh sb="2" eb="4">
      <t>カカク</t>
    </rPh>
    <phoneticPr fontId="4"/>
  </si>
  <si>
    <t>減価償却費</t>
    <rPh sb="0" eb="2">
      <t>ゲンカ</t>
    </rPh>
    <rPh sb="2" eb="4">
      <t>ショウキャク</t>
    </rPh>
    <rPh sb="4" eb="5">
      <t>ヒ</t>
    </rPh>
    <phoneticPr fontId="4"/>
  </si>
  <si>
    <t>有形固定資産減価償却率</t>
    <rPh sb="0" eb="2">
      <t>ユウケイ</t>
    </rPh>
    <rPh sb="2" eb="4">
      <t>コテイ</t>
    </rPh>
    <rPh sb="4" eb="6">
      <t>シサン</t>
    </rPh>
    <rPh sb="6" eb="8">
      <t>ゲンカ</t>
    </rPh>
    <rPh sb="8" eb="10">
      <t>ショウキャク</t>
    </rPh>
    <rPh sb="10" eb="11">
      <t>リツ</t>
    </rPh>
    <phoneticPr fontId="4"/>
  </si>
  <si>
    <t>0416</t>
  </si>
  <si>
    <t>口腔保健センター</t>
    <rPh sb="0" eb="4">
      <t>コウクウホケン</t>
    </rPh>
    <phoneticPr fontId="4"/>
  </si>
  <si>
    <t>0332</t>
  </si>
  <si>
    <t>児童会館</t>
    <rPh sb="0" eb="2">
      <t>ジドウ</t>
    </rPh>
    <rPh sb="2" eb="4">
      <t>カイカン</t>
    </rPh>
    <phoneticPr fontId="4"/>
  </si>
  <si>
    <t>0415</t>
  </si>
  <si>
    <t>（新）男女共同参画センター</t>
    <rPh sb="1" eb="2">
      <t>シン</t>
    </rPh>
    <rPh sb="3" eb="5">
      <t>ダンジョ</t>
    </rPh>
    <rPh sb="5" eb="7">
      <t>キョウドウ</t>
    </rPh>
    <rPh sb="7" eb="9">
      <t>サンカク</t>
    </rPh>
    <phoneticPr fontId="4"/>
  </si>
  <si>
    <t>幼児教育ｾﾝﾀｰ</t>
    <rPh sb="0" eb="4">
      <t>ヨウジキョウイク</t>
    </rPh>
    <phoneticPr fontId="4"/>
  </si>
  <si>
    <t>1098</t>
  </si>
  <si>
    <t>教育支援センターやまびこ</t>
    <rPh sb="0" eb="4">
      <t>キョウイクシエン</t>
    </rPh>
    <phoneticPr fontId="4"/>
  </si>
  <si>
    <t>消防局・西消防署</t>
    <rPh sb="0" eb="2">
      <t>ショウボウ</t>
    </rPh>
    <rPh sb="2" eb="3">
      <t>キョク</t>
    </rPh>
    <rPh sb="4" eb="5">
      <t>ニシ</t>
    </rPh>
    <rPh sb="5" eb="8">
      <t>ショウボウショ</t>
    </rPh>
    <phoneticPr fontId="4"/>
  </si>
  <si>
    <r>
      <t>産業</t>
    </r>
    <r>
      <rPr>
        <sz val="9"/>
        <color rgb="FFFF0000"/>
        <rFont val="ＭＳ Ｐゴシック"/>
        <family val="3"/>
        <charset val="128"/>
      </rPr>
      <t>振興</t>
    </r>
    <r>
      <rPr>
        <sz val="9"/>
        <rFont val="ＭＳ Ｐゴシック"/>
        <family val="3"/>
        <charset val="128"/>
      </rPr>
      <t>センター等</t>
    </r>
    <rPh sb="2" eb="4">
      <t>シンコウ</t>
    </rPh>
    <rPh sb="8" eb="9">
      <t>トウ</t>
    </rPh>
    <phoneticPr fontId="4"/>
  </si>
  <si>
    <t>1077</t>
  </si>
  <si>
    <t>埋蔵文化財事務所（埋蔵文化財センター）</t>
    <rPh sb="0" eb="5">
      <t>マイゾウブンカザイ</t>
    </rPh>
    <rPh sb="5" eb="8">
      <t>ジムショ</t>
    </rPh>
    <rPh sb="9" eb="11">
      <t>マイゾウ</t>
    </rPh>
    <rPh sb="11" eb="14">
      <t>ブンカザイ</t>
    </rPh>
    <phoneticPr fontId="4"/>
  </si>
  <si>
    <t>伊丹児童くらぶ</t>
    <rPh sb="0" eb="2">
      <t>イタミ</t>
    </rPh>
    <rPh sb="2" eb="4">
      <t>ジドウ</t>
    </rPh>
    <phoneticPr fontId="30"/>
  </si>
  <si>
    <t>稲野児童くらぶ</t>
    <rPh sb="0" eb="2">
      <t>イナノ</t>
    </rPh>
    <rPh sb="2" eb="4">
      <t>ジドウ</t>
    </rPh>
    <phoneticPr fontId="30"/>
  </si>
  <si>
    <t>南児童くらぶ</t>
    <rPh sb="0" eb="1">
      <t>ミナミ</t>
    </rPh>
    <rPh sb="1" eb="3">
      <t>ジドウ</t>
    </rPh>
    <phoneticPr fontId="30"/>
  </si>
  <si>
    <t>神津児童くらぶ</t>
    <rPh sb="0" eb="2">
      <t>カミツ</t>
    </rPh>
    <rPh sb="2" eb="4">
      <t>ジドウ</t>
    </rPh>
    <phoneticPr fontId="30"/>
  </si>
  <si>
    <t>緑丘児童くらぶ</t>
    <rPh sb="0" eb="1">
      <t>ミドリ</t>
    </rPh>
    <rPh sb="1" eb="2">
      <t>オカ</t>
    </rPh>
    <rPh sb="2" eb="4">
      <t>ジドウ</t>
    </rPh>
    <phoneticPr fontId="30"/>
  </si>
  <si>
    <t>桜台児童くらぶ</t>
    <rPh sb="2" eb="4">
      <t>ジドウ</t>
    </rPh>
    <phoneticPr fontId="30"/>
  </si>
  <si>
    <t>天神川児童くらぶ</t>
    <rPh sb="3" eb="5">
      <t>ジドウ</t>
    </rPh>
    <phoneticPr fontId="30"/>
  </si>
  <si>
    <t>笹原児童くらぶ</t>
    <rPh sb="0" eb="2">
      <t>ササハラ</t>
    </rPh>
    <rPh sb="2" eb="4">
      <t>ジドウ</t>
    </rPh>
    <phoneticPr fontId="30"/>
  </si>
  <si>
    <t>瑞穂児童くらぶ</t>
    <rPh sb="0" eb="2">
      <t>ミズホ</t>
    </rPh>
    <rPh sb="2" eb="4">
      <t>ジドウ</t>
    </rPh>
    <phoneticPr fontId="30"/>
  </si>
  <si>
    <t>有岡児童くらぶ</t>
    <rPh sb="0" eb="2">
      <t>アリオカ</t>
    </rPh>
    <rPh sb="2" eb="4">
      <t>ジドウ</t>
    </rPh>
    <phoneticPr fontId="30"/>
  </si>
  <si>
    <t>伊丹市立中学校給食センター</t>
    <rPh sb="0" eb="2">
      <t>イタミ</t>
    </rPh>
    <rPh sb="2" eb="4">
      <t>シリツ</t>
    </rPh>
    <rPh sb="4" eb="7">
      <t>チュウガッコウ</t>
    </rPh>
    <rPh sb="7" eb="9">
      <t>キュウショク</t>
    </rPh>
    <phoneticPr fontId="4"/>
  </si>
  <si>
    <t>わかばこども園</t>
    <rPh sb="6" eb="7">
      <t>エン</t>
    </rPh>
    <phoneticPr fontId="4"/>
  </si>
  <si>
    <t>さくらだいこども園</t>
    <rPh sb="8" eb="9">
      <t>エン</t>
    </rPh>
    <phoneticPr fontId="4"/>
  </si>
  <si>
    <t>1020</t>
  </si>
  <si>
    <t>（新）こばと保育所</t>
    <rPh sb="1" eb="2">
      <t>シン</t>
    </rPh>
    <rPh sb="6" eb="8">
      <t>ホイク</t>
    </rPh>
    <rPh sb="8" eb="9">
      <t>ショ</t>
    </rPh>
    <phoneticPr fontId="4"/>
  </si>
  <si>
    <t>緑ケ丘体育館・武道館</t>
  </si>
  <si>
    <t>JR伊丹駅前第１自転車駐車場</t>
    <rPh sb="2" eb="4">
      <t>イタミ</t>
    </rPh>
    <rPh sb="6" eb="7">
      <t>ダイ</t>
    </rPh>
    <rPh sb="8" eb="11">
      <t>ジテンシャ</t>
    </rPh>
    <rPh sb="11" eb="14">
      <t>チュウシャジョウ</t>
    </rPh>
    <phoneticPr fontId="4"/>
  </si>
  <si>
    <t>JR伊丹駅前第２自転車駐車場</t>
    <rPh sb="2" eb="4">
      <t>イタミ</t>
    </rPh>
    <rPh sb="4" eb="6">
      <t>エキマエ</t>
    </rPh>
    <rPh sb="6" eb="7">
      <t>ダイ</t>
    </rPh>
    <rPh sb="8" eb="11">
      <t>ジテンシャ</t>
    </rPh>
    <rPh sb="11" eb="14">
      <t>チュウシャジョウ</t>
    </rPh>
    <phoneticPr fontId="4"/>
  </si>
  <si>
    <t>JR北伊丹駅前自転車駐車場</t>
    <rPh sb="5" eb="7">
      <t>エキマエ</t>
    </rPh>
    <phoneticPr fontId="4"/>
  </si>
  <si>
    <t>JR伊丹駅前第３自転車駐車場</t>
    <rPh sb="6" eb="7">
      <t>ダイ</t>
    </rPh>
    <rPh sb="8" eb="11">
      <t>ジテンシャ</t>
    </rPh>
    <rPh sb="11" eb="14">
      <t>チュウシャジョウ</t>
    </rPh>
    <phoneticPr fontId="4"/>
  </si>
  <si>
    <t>0298</t>
  </si>
  <si>
    <t>公設市場</t>
  </si>
  <si>
    <t>9503</t>
  </si>
  <si>
    <t>9504</t>
  </si>
  <si>
    <t>9505</t>
  </si>
  <si>
    <t>荻野配水池</t>
    <rPh sb="0" eb="2">
      <t>オギノ</t>
    </rPh>
    <rPh sb="2" eb="5">
      <t>ハイスイチ</t>
    </rPh>
    <phoneticPr fontId="4"/>
  </si>
  <si>
    <t>按分しているセル</t>
    <rPh sb="0" eb="2">
      <t>アンブン</t>
    </rPh>
    <phoneticPr fontId="30"/>
  </si>
  <si>
    <t>産業振興センター等</t>
    <rPh sb="2" eb="4">
      <t>シンコウ</t>
    </rPh>
    <rPh sb="8" eb="9">
      <t>トウ</t>
    </rPh>
    <phoneticPr fontId="5"/>
  </si>
  <si>
    <t>市民自治部環境クリーンセンター</t>
    <phoneticPr fontId="5"/>
  </si>
  <si>
    <t>03こども園</t>
    <rPh sb="5" eb="6">
      <t>エン</t>
    </rPh>
    <phoneticPr fontId="5"/>
  </si>
  <si>
    <t>周壁を有しない駐輪場,あずまやその他これらに類する構造の建築物</t>
    <phoneticPr fontId="5"/>
  </si>
  <si>
    <t>物置</t>
    <rPh sb="0" eb="2">
      <t>モノオキ</t>
    </rPh>
    <phoneticPr fontId="5"/>
  </si>
  <si>
    <t>50㎡以下</t>
    <rPh sb="3" eb="5">
      <t>イカ</t>
    </rPh>
    <phoneticPr fontId="5"/>
  </si>
  <si>
    <t>テナント</t>
    <phoneticPr fontId="5"/>
  </si>
  <si>
    <t>50㎡以上だが、外壁や屋根が簡易</t>
    <rPh sb="3" eb="5">
      <t>イジョウ</t>
    </rPh>
    <rPh sb="8" eb="10">
      <t>ガイヘキ</t>
    </rPh>
    <rPh sb="11" eb="13">
      <t>ヤネ</t>
    </rPh>
    <rPh sb="14" eb="16">
      <t>カンイ</t>
    </rPh>
    <phoneticPr fontId="5"/>
  </si>
  <si>
    <t>03対象外</t>
    <rPh sb="2" eb="5">
      <t>タイショウガイ</t>
    </rPh>
    <phoneticPr fontId="9"/>
  </si>
  <si>
    <t>03対象外</t>
    <phoneticPr fontId="9"/>
  </si>
  <si>
    <t>03対象外</t>
    <rPh sb="2" eb="5">
      <t>タイショウガイ</t>
    </rPh>
    <phoneticPr fontId="5"/>
  </si>
  <si>
    <t>駐輪場</t>
    <rPh sb="0" eb="3">
      <t>チュウリンジョウ</t>
    </rPh>
    <phoneticPr fontId="5"/>
  </si>
  <si>
    <t>収蔵庫</t>
    <rPh sb="0" eb="3">
      <t>シュウゾウコ</t>
    </rPh>
    <phoneticPr fontId="5"/>
  </si>
  <si>
    <t>文化財保護法、伊丹市都市公園条例</t>
    <rPh sb="0" eb="3">
      <t>ブンカザイ</t>
    </rPh>
    <rPh sb="3" eb="6">
      <t>ホゴホウ</t>
    </rPh>
    <rPh sb="7" eb="10">
      <t>イタミシ</t>
    </rPh>
    <rPh sb="10" eb="12">
      <t>トシ</t>
    </rPh>
    <rPh sb="12" eb="14">
      <t>コウエン</t>
    </rPh>
    <rPh sb="14" eb="16">
      <t>ジョウレイ</t>
    </rPh>
    <phoneticPr fontId="5"/>
  </si>
  <si>
    <t>文化財保護法に則り、埋蔵文化財の整理・保管・活用するための事務所</t>
    <rPh sb="0" eb="3">
      <t>ブンカザイ</t>
    </rPh>
    <rPh sb="3" eb="5">
      <t>ホゴ</t>
    </rPh>
    <rPh sb="5" eb="6">
      <t>ホウ</t>
    </rPh>
    <rPh sb="7" eb="8">
      <t>ノット</t>
    </rPh>
    <rPh sb="10" eb="12">
      <t>マイゾウ</t>
    </rPh>
    <rPh sb="12" eb="15">
      <t>ブンカザイ</t>
    </rPh>
    <rPh sb="16" eb="18">
      <t>セイリ</t>
    </rPh>
    <rPh sb="19" eb="21">
      <t>ホカン</t>
    </rPh>
    <rPh sb="22" eb="24">
      <t>カツヨウ</t>
    </rPh>
    <rPh sb="29" eb="32">
      <t>ジムショ</t>
    </rPh>
    <phoneticPr fontId="5"/>
  </si>
  <si>
    <t>その他</t>
    <rPh sb="2" eb="3">
      <t>タ</t>
    </rPh>
    <phoneticPr fontId="5"/>
  </si>
  <si>
    <t>都市公園</t>
    <phoneticPr fontId="5"/>
  </si>
  <si>
    <t>土日祝日、年末年始</t>
    <rPh sb="0" eb="4">
      <t>ドニチシュクジツ</t>
    </rPh>
    <rPh sb="5" eb="9">
      <t>ネンマツネンシ</t>
    </rPh>
    <phoneticPr fontId="5"/>
  </si>
  <si>
    <t>1階：ロビー、事務室・展示室、２階：整理室・収蔵室、3階：講座室・収蔵室</t>
    <rPh sb="1" eb="2">
      <t>カイ</t>
    </rPh>
    <rPh sb="7" eb="10">
      <t>ジムシツ</t>
    </rPh>
    <rPh sb="11" eb="14">
      <t>テンジシツ</t>
    </rPh>
    <rPh sb="16" eb="17">
      <t>カイ</t>
    </rPh>
    <rPh sb="18" eb="21">
      <t>セイリシツ</t>
    </rPh>
    <rPh sb="22" eb="25">
      <t>シュウゾウシツ</t>
    </rPh>
    <rPh sb="27" eb="28">
      <t>カイ</t>
    </rPh>
    <rPh sb="29" eb="32">
      <t>コウザシツ</t>
    </rPh>
    <rPh sb="33" eb="36">
      <t>シュウゾウシツ</t>
    </rPh>
    <phoneticPr fontId="5"/>
  </si>
  <si>
    <t>伊丹市昆陽１丁目２１３番地</t>
    <rPh sb="0" eb="3">
      <t>イタミシ</t>
    </rPh>
    <rPh sb="3" eb="5">
      <t>コンヨウ</t>
    </rPh>
    <rPh sb="6" eb="8">
      <t>チョウメ</t>
    </rPh>
    <rPh sb="11" eb="13">
      <t>バンチ</t>
    </rPh>
    <phoneticPr fontId="5"/>
  </si>
  <si>
    <t>8:15～19:00（平成29年度より）</t>
    <rPh sb="11" eb="13">
      <t>ヘイセイ</t>
    </rPh>
    <rPh sb="15" eb="16">
      <t>ネン</t>
    </rPh>
    <rPh sb="16" eb="17">
      <t>ド</t>
    </rPh>
    <phoneticPr fontId="5"/>
  </si>
  <si>
    <t>床面積は神津小で計上</t>
  </si>
  <si>
    <t>床面積は緑丘小で計上</t>
  </si>
  <si>
    <t>床面積は桜台小で計上</t>
  </si>
  <si>
    <t>床面積は天神川小で計上</t>
  </si>
  <si>
    <t>52</t>
  </si>
  <si>
    <t>稲野児童くらぶ</t>
    <rPh sb="2" eb="4">
      <t>ジドウ</t>
    </rPh>
    <phoneticPr fontId="5"/>
  </si>
  <si>
    <t>神津小_校舎1</t>
  </si>
  <si>
    <t>緑丘小_校舎2</t>
  </si>
  <si>
    <t>桜台小_校舎4・5</t>
  </si>
  <si>
    <t>天神川小_校舎3</t>
  </si>
  <si>
    <t>有岡小_校舎3</t>
    <rPh sb="0" eb="2">
      <t>アリオカ</t>
    </rPh>
    <rPh sb="2" eb="3">
      <t>ショウ</t>
    </rPh>
    <rPh sb="4" eb="6">
      <t>コウシャ</t>
    </rPh>
    <phoneticPr fontId="5"/>
  </si>
  <si>
    <t>花里小_校舎2</t>
  </si>
  <si>
    <t>昆陽里小_校舎1・2</t>
  </si>
  <si>
    <t>摂陽小_校舎3</t>
  </si>
  <si>
    <t>鈴原小_校舎1</t>
  </si>
  <si>
    <t>池尻小_校舎2</t>
  </si>
  <si>
    <t>鴻池小_校舎3</t>
  </si>
  <si>
    <t>伊丹市埋蔵文化財事務所</t>
    <rPh sb="0" eb="3">
      <t>イタミシ</t>
    </rPh>
    <rPh sb="3" eb="5">
      <t>マイゾウ</t>
    </rPh>
    <rPh sb="5" eb="8">
      <t>ブンカザイ</t>
    </rPh>
    <rPh sb="8" eb="11">
      <t>ジムショ</t>
    </rPh>
    <phoneticPr fontId="5"/>
  </si>
  <si>
    <t>伊丹市埋蔵文化財事務所</t>
    <rPh sb="0" eb="3">
      <t>イタミシ</t>
    </rPh>
    <rPh sb="3" eb="8">
      <t>マイゾウブンカザイ</t>
    </rPh>
    <rPh sb="8" eb="11">
      <t>ジムショ</t>
    </rPh>
    <phoneticPr fontId="5"/>
  </si>
  <si>
    <t>平松自転車駐車場内収蔵庫</t>
    <phoneticPr fontId="5"/>
  </si>
  <si>
    <t>01対象外</t>
    <rPh sb="2" eb="5">
      <t>タイショウガイ</t>
    </rPh>
    <phoneticPr fontId="9"/>
  </si>
  <si>
    <t>伊丹市埋蔵文化財事務所（神津資料室）</t>
    <rPh sb="0" eb="3">
      <t>イタミシ</t>
    </rPh>
    <rPh sb="3" eb="8">
      <t>マイゾウブンカザイ</t>
    </rPh>
    <rPh sb="8" eb="11">
      <t>ジムショ</t>
    </rPh>
    <phoneticPr fontId="5"/>
  </si>
  <si>
    <t>産業振興センター</t>
    <rPh sb="2" eb="4">
      <t>シンコウ</t>
    </rPh>
    <phoneticPr fontId="5"/>
  </si>
  <si>
    <t>伊丹市立産業振興センター条例</t>
    <rPh sb="6" eb="8">
      <t>シンコウ</t>
    </rPh>
    <phoneticPr fontId="5"/>
  </si>
  <si>
    <t>消費生活センター、男女共同参画センター、伊丹商工会議所、伊丹まち未来㈱</t>
    <rPh sb="9" eb="15">
      <t>ダンジョ</t>
    </rPh>
    <rPh sb="20" eb="27">
      <t>イタミショウコウカイギショ</t>
    </rPh>
    <rPh sb="28" eb="30">
      <t>イタミ</t>
    </rPh>
    <rPh sb="32" eb="34">
      <t>ミライ</t>
    </rPh>
    <phoneticPr fontId="5"/>
  </si>
  <si>
    <t>行政財産/普通財産</t>
    <rPh sb="5" eb="9">
      <t>フツウザイサン</t>
    </rPh>
    <phoneticPr fontId="5"/>
  </si>
  <si>
    <t>ぎょうぎ温泉,ふれあいセンター</t>
    <phoneticPr fontId="5"/>
  </si>
  <si>
    <t>健康福祉部保健医療推進室健康政策課</t>
    <rPh sb="12" eb="14">
      <t>ケンコウ</t>
    </rPh>
    <rPh sb="14" eb="17">
      <t>セイサクカ</t>
    </rPh>
    <phoneticPr fontId="5"/>
  </si>
  <si>
    <t>伊丹市昆陽1丁目1番地2</t>
    <phoneticPr fontId="5"/>
  </si>
  <si>
    <t>水道法,伊丹市水道事業，工業用水道事業および下水道事業の設置等に関する条例,下水道法,伊丹市下水道条例</t>
    <rPh sb="22" eb="27">
      <t>ゲスイドウジギョウ</t>
    </rPh>
    <rPh sb="38" eb="42">
      <t>ゲスイドウホウ</t>
    </rPh>
    <rPh sb="43" eb="46">
      <t>イタミシ</t>
    </rPh>
    <rPh sb="46" eb="49">
      <t>ゲスイドウ</t>
    </rPh>
    <rPh sb="49" eb="51">
      <t>ジョウレイ</t>
    </rPh>
    <phoneticPr fontId="5"/>
  </si>
  <si>
    <t>水道法,伊丹市水道事業，工業用水道事業および下水道事業の設置等に関する条例</t>
    <rPh sb="22" eb="25">
      <t>ゲスイドウ</t>
    </rPh>
    <rPh sb="25" eb="27">
      <t>ジギョウ</t>
    </rPh>
    <phoneticPr fontId="5"/>
  </si>
  <si>
    <t>上下水道局整備保全室下水道課</t>
    <rPh sb="10" eb="14">
      <t>ゲスイドウカ</t>
    </rPh>
    <phoneticPr fontId="5"/>
  </si>
  <si>
    <t>総量対象</t>
    <rPh sb="0" eb="2">
      <t>ソウリョウ</t>
    </rPh>
    <rPh sb="2" eb="4">
      <t>タイショウ</t>
    </rPh>
    <phoneticPr fontId="9"/>
  </si>
  <si>
    <t>神津出張所</t>
    <phoneticPr fontId="5"/>
  </si>
  <si>
    <t>総合教育センターに含まれるため、0㎡で計上</t>
    <rPh sb="0" eb="4">
      <t>ソウゴウキョウイク</t>
    </rPh>
    <rPh sb="9" eb="10">
      <t>フク</t>
    </rPh>
    <rPh sb="19" eb="21">
      <t>ケイジョウ</t>
    </rPh>
    <phoneticPr fontId="5"/>
  </si>
  <si>
    <t>人権啓発センターに含まれるため、0㎡で計上</t>
    <rPh sb="0" eb="4">
      <t>ジンケンケイハツ</t>
    </rPh>
    <rPh sb="9" eb="10">
      <t>フク</t>
    </rPh>
    <rPh sb="19" eb="21">
      <t>ケイジョウ</t>
    </rPh>
    <phoneticPr fontId="5"/>
  </si>
  <si>
    <t>須佐男神社、御願塚農業協同組合</t>
    <rPh sb="0" eb="2">
      <t>スサ</t>
    </rPh>
    <rPh sb="2" eb="3">
      <t>オトコ</t>
    </rPh>
    <rPh sb="3" eb="5">
      <t>ジンジャ</t>
    </rPh>
    <rPh sb="6" eb="9">
      <t>ゴガヅカ</t>
    </rPh>
    <rPh sb="9" eb="11">
      <t>ノウギョウ</t>
    </rPh>
    <rPh sb="11" eb="13">
      <t>キョウドウ</t>
    </rPh>
    <rPh sb="13" eb="15">
      <t>クミアイ</t>
    </rPh>
    <phoneticPr fontId="5"/>
  </si>
  <si>
    <t>須佐男神社、御願塚農業協同組合</t>
    <phoneticPr fontId="5"/>
  </si>
  <si>
    <t>個人</t>
    <rPh sb="0" eb="2">
      <t>コジン</t>
    </rPh>
    <phoneticPr fontId="5"/>
  </si>
  <si>
    <t>兵庫県、神戸市、阪神水道企業団</t>
    <phoneticPr fontId="5"/>
  </si>
  <si>
    <t>300</t>
    <phoneticPr fontId="5"/>
  </si>
  <si>
    <t>1/1,2,臨時休場あり</t>
    <rPh sb="6" eb="8">
      <t>リンジ</t>
    </rPh>
    <rPh sb="8" eb="10">
      <t>キュウジョウ</t>
    </rPh>
    <phoneticPr fontId="5"/>
  </si>
  <si>
    <t>受水槽等</t>
    <rPh sb="0" eb="3">
      <t>ジュスイソウ</t>
    </rPh>
    <rPh sb="3" eb="4">
      <t>トウ</t>
    </rPh>
    <phoneticPr fontId="9"/>
  </si>
  <si>
    <t>使用料収入</t>
    <rPh sb="0" eb="3">
      <t>シヨウリョウ</t>
    </rPh>
    <rPh sb="3" eb="5">
      <t>シュウニュウ</t>
    </rPh>
    <phoneticPr fontId="8"/>
  </si>
  <si>
    <t>事業収入</t>
    <rPh sb="0" eb="2">
      <t>ジギョウ</t>
    </rPh>
    <rPh sb="2" eb="4">
      <t>シュウニュウ</t>
    </rPh>
    <phoneticPr fontId="9"/>
  </si>
  <si>
    <t>その他収入</t>
    <rPh sb="2" eb="3">
      <t>タ</t>
    </rPh>
    <rPh sb="3" eb="5">
      <t>シュウニュウ</t>
    </rPh>
    <phoneticPr fontId="8"/>
  </si>
  <si>
    <t>合計</t>
    <rPh sb="0" eb="2">
      <t>ゴウケイ</t>
    </rPh>
    <phoneticPr fontId="9"/>
  </si>
  <si>
    <t>人件費</t>
    <rPh sb="0" eb="3">
      <t>ジンケンヒ</t>
    </rPh>
    <phoneticPr fontId="9"/>
  </si>
  <si>
    <t>光熱水費</t>
    <rPh sb="0" eb="2">
      <t>コウネツ</t>
    </rPh>
    <rPh sb="2" eb="3">
      <t>スイ</t>
    </rPh>
    <rPh sb="3" eb="4">
      <t>ヒ</t>
    </rPh>
    <phoneticPr fontId="9"/>
  </si>
  <si>
    <t>修繕費</t>
    <rPh sb="0" eb="3">
      <t>シュウゼンヒ</t>
    </rPh>
    <phoneticPr fontId="9"/>
  </si>
  <si>
    <t>清掃等委託料</t>
    <rPh sb="0" eb="2">
      <t>セイソウ</t>
    </rPh>
    <rPh sb="2" eb="3">
      <t>トウ</t>
    </rPh>
    <rPh sb="3" eb="5">
      <t>イタク</t>
    </rPh>
    <rPh sb="5" eb="6">
      <t>リョウ</t>
    </rPh>
    <phoneticPr fontId="9"/>
  </si>
  <si>
    <t>土地・建物賃料</t>
    <rPh sb="0" eb="2">
      <t>トチ</t>
    </rPh>
    <rPh sb="3" eb="5">
      <t>タテモノ</t>
    </rPh>
    <rPh sb="5" eb="7">
      <t>チンリョウ</t>
    </rPh>
    <phoneticPr fontId="8"/>
  </si>
  <si>
    <t>事業経費</t>
    <rPh sb="0" eb="2">
      <t>ジギョウ</t>
    </rPh>
    <rPh sb="2" eb="4">
      <t>ケイヒ</t>
    </rPh>
    <phoneticPr fontId="9"/>
  </si>
  <si>
    <t>その他経費</t>
    <rPh sb="2" eb="3">
      <t>タ</t>
    </rPh>
    <rPh sb="3" eb="5">
      <t>ケイヒ</t>
    </rPh>
    <phoneticPr fontId="9"/>
  </si>
  <si>
    <t>指定管理受託収入</t>
    <rPh sb="0" eb="2">
      <t>シテイ</t>
    </rPh>
    <rPh sb="2" eb="4">
      <t>カンリ</t>
    </rPh>
    <rPh sb="4" eb="6">
      <t>ジュタク</t>
    </rPh>
    <rPh sb="6" eb="8">
      <t>シュウニュウ</t>
    </rPh>
    <phoneticPr fontId="9"/>
  </si>
  <si>
    <t>使用料収入</t>
    <rPh sb="3" eb="5">
      <t>シュウニュウ</t>
    </rPh>
    <phoneticPr fontId="5"/>
  </si>
  <si>
    <t>指定管理委託料</t>
    <rPh sb="0" eb="2">
      <t>シテイ</t>
    </rPh>
    <rPh sb="2" eb="4">
      <t>カンリ</t>
    </rPh>
    <rPh sb="4" eb="6">
      <t>イタク</t>
    </rPh>
    <rPh sb="6" eb="7">
      <t>リョウ</t>
    </rPh>
    <phoneticPr fontId="8"/>
  </si>
  <si>
    <t>指定管理委託料</t>
    <rPh sb="0" eb="4">
      <t>シテイカンリ</t>
    </rPh>
    <rPh sb="4" eb="7">
      <t>イタクリョウ</t>
    </rPh>
    <phoneticPr fontId="8"/>
  </si>
  <si>
    <t>光熱水費</t>
    <rPh sb="0" eb="4">
      <t>コウネツスイヒ</t>
    </rPh>
    <phoneticPr fontId="9"/>
  </si>
  <si>
    <t>使用料収入</t>
    <rPh sb="0" eb="3">
      <t>シヨウリョウ</t>
    </rPh>
    <rPh sb="3" eb="5">
      <t>シュウニュウ</t>
    </rPh>
    <phoneticPr fontId="5"/>
  </si>
  <si>
    <t>1075</t>
    <phoneticPr fontId="5"/>
  </si>
  <si>
    <t>備考</t>
    <rPh sb="0" eb="2">
      <t>ビコウ</t>
    </rPh>
    <phoneticPr fontId="5"/>
  </si>
  <si>
    <t>2020/4/1にスワンホール1Fに移転</t>
    <rPh sb="18" eb="20">
      <t>イテン</t>
    </rPh>
    <phoneticPr fontId="5"/>
  </si>
  <si>
    <t>火（祝日の場合翌日）、年末年始</t>
    <rPh sb="0" eb="1">
      <t>カ</t>
    </rPh>
    <rPh sb="2" eb="4">
      <t>シュクジツ</t>
    </rPh>
    <rPh sb="5" eb="7">
      <t>バアイ</t>
    </rPh>
    <rPh sb="7" eb="9">
      <t>ヨクジツ</t>
    </rPh>
    <rPh sb="11" eb="13">
      <t>ネンマツ</t>
    </rPh>
    <rPh sb="13" eb="15">
      <t>ネンシ</t>
    </rPh>
    <phoneticPr fontId="5"/>
  </si>
  <si>
    <t>年度</t>
    <rPh sb="0" eb="2">
      <t>ネンド</t>
    </rPh>
    <phoneticPr fontId="5"/>
  </si>
  <si>
    <t>市区町村</t>
    <rPh sb="0" eb="1">
      <t>シ</t>
    </rPh>
    <rPh sb="2" eb="4">
      <t>チョウソン</t>
    </rPh>
    <phoneticPr fontId="5"/>
  </si>
  <si>
    <t>施設名称</t>
    <rPh sb="0" eb="2">
      <t>シセツ</t>
    </rPh>
    <rPh sb="2" eb="4">
      <t>メイショウ</t>
    </rPh>
    <phoneticPr fontId="7"/>
  </si>
  <si>
    <t>伊丹市</t>
    <rPh sb="0" eb="3">
      <t>イタミシ</t>
    </rPh>
    <phoneticPr fontId="5"/>
  </si>
  <si>
    <t>伊丹市御願塚6丁目1-1</t>
    <rPh sb="0" eb="3">
      <t>イタミシ</t>
    </rPh>
    <rPh sb="3" eb="6">
      <t>ゴガンヅカ</t>
    </rPh>
    <rPh sb="7" eb="9">
      <t>チョウメ</t>
    </rPh>
    <phoneticPr fontId="5"/>
  </si>
  <si>
    <t>市区町村</t>
    <rPh sb="0" eb="4">
      <t>シクチョウソン</t>
    </rPh>
    <phoneticPr fontId="5"/>
  </si>
  <si>
    <t>伊丹市</t>
    <rPh sb="0" eb="2">
      <t>イタミ</t>
    </rPh>
    <rPh sb="2" eb="3">
      <t>シ</t>
    </rPh>
    <phoneticPr fontId="5"/>
  </si>
  <si>
    <t>指定管理</t>
  </si>
  <si>
    <t>指定管理</t>
    <phoneticPr fontId="5"/>
  </si>
  <si>
    <t>一部指定管理</t>
    <rPh sb="0" eb="2">
      <t>イチブ</t>
    </rPh>
    <phoneticPr fontId="5"/>
  </si>
  <si>
    <t>環境</t>
    <rPh sb="0" eb="2">
      <t>カンキョウ</t>
    </rPh>
    <phoneticPr fontId="5"/>
  </si>
  <si>
    <t>電気使用量
(kWh)</t>
    <rPh sb="0" eb="5">
      <t>デンキシヨウリョウ</t>
    </rPh>
    <phoneticPr fontId="5"/>
  </si>
  <si>
    <t>都市ガス
(㎥）</t>
    <rPh sb="0" eb="2">
      <t>トシ</t>
    </rPh>
    <phoneticPr fontId="5"/>
  </si>
  <si>
    <t>液化石油ガスLPG
（㎥）</t>
    <rPh sb="0" eb="2">
      <t>エキカ</t>
    </rPh>
    <rPh sb="2" eb="4">
      <t>セキユ</t>
    </rPh>
    <phoneticPr fontId="5"/>
  </si>
  <si>
    <t>総務部管財課</t>
    <phoneticPr fontId="5"/>
  </si>
  <si>
    <t>こばと保育所</t>
    <rPh sb="3" eb="5">
      <t>ホイク</t>
    </rPh>
    <rPh sb="5" eb="6">
      <t>ショ</t>
    </rPh>
    <phoneticPr fontId="5"/>
  </si>
  <si>
    <t>男女共同参画センター</t>
    <rPh sb="0" eb="2">
      <t>ダンジョ</t>
    </rPh>
    <rPh sb="2" eb="4">
      <t>キョウドウ</t>
    </rPh>
    <rPh sb="4" eb="6">
      <t>サンカク</t>
    </rPh>
    <phoneticPr fontId="5"/>
  </si>
  <si>
    <t>2021</t>
  </si>
  <si>
    <t>2021</t>
    <phoneticPr fontId="5"/>
  </si>
  <si>
    <t>市収入(単位：千円）</t>
    <rPh sb="0" eb="1">
      <t>シ</t>
    </rPh>
    <rPh sb="1" eb="3">
      <t>シュウニュウ</t>
    </rPh>
    <rPh sb="4" eb="6">
      <t>タンイ</t>
    </rPh>
    <rPh sb="7" eb="9">
      <t>センエン</t>
    </rPh>
    <phoneticPr fontId="5"/>
  </si>
  <si>
    <t>市支出（単位：千円）</t>
    <rPh sb="0" eb="1">
      <t>シ</t>
    </rPh>
    <rPh sb="1" eb="3">
      <t>シシュツ</t>
    </rPh>
    <rPh sb="4" eb="6">
      <t>タンイ</t>
    </rPh>
    <rPh sb="7" eb="9">
      <t>センエン</t>
    </rPh>
    <phoneticPr fontId="5"/>
  </si>
  <si>
    <t>指定管理等収入（単位：千円）</t>
    <rPh sb="0" eb="2">
      <t>シテイ</t>
    </rPh>
    <rPh sb="2" eb="4">
      <t>カンリ</t>
    </rPh>
    <rPh sb="4" eb="5">
      <t>ナド</t>
    </rPh>
    <rPh sb="5" eb="7">
      <t>シュウニュウ</t>
    </rPh>
    <rPh sb="8" eb="10">
      <t>タンイ</t>
    </rPh>
    <rPh sb="11" eb="13">
      <t>センエン</t>
    </rPh>
    <phoneticPr fontId="5"/>
  </si>
  <si>
    <t>指定管理等支出（単位：千円）</t>
    <rPh sb="0" eb="2">
      <t>シテイ</t>
    </rPh>
    <rPh sb="2" eb="4">
      <t>カンリ</t>
    </rPh>
    <rPh sb="4" eb="5">
      <t>ナド</t>
    </rPh>
    <rPh sb="5" eb="7">
      <t>シシュツ</t>
    </rPh>
    <rPh sb="8" eb="10">
      <t>タンイ</t>
    </rPh>
    <rPh sb="11" eb="13">
      <t>センエン</t>
    </rPh>
    <phoneticPr fontId="5"/>
  </si>
  <si>
    <t>単独</t>
    <rPh sb="0" eb="2">
      <t>タンドク</t>
    </rPh>
    <phoneticPr fontId="7"/>
  </si>
  <si>
    <t>03</t>
    <phoneticPr fontId="5"/>
  </si>
  <si>
    <t>06</t>
    <phoneticPr fontId="5"/>
  </si>
  <si>
    <t>07</t>
    <phoneticPr fontId="5"/>
  </si>
  <si>
    <t>05</t>
    <phoneticPr fontId="5"/>
  </si>
  <si>
    <t>③会計年度任用職員報酬
（千円）</t>
    <rPh sb="1" eb="3">
      <t>カイケイ</t>
    </rPh>
    <rPh sb="3" eb="5">
      <t>ネンド</t>
    </rPh>
    <rPh sb="5" eb="7">
      <t>ニンヨウ</t>
    </rPh>
    <rPh sb="7" eb="9">
      <t>ショクイン</t>
    </rPh>
    <rPh sb="9" eb="11">
      <t>ホウシュウ</t>
    </rPh>
    <rPh sb="13" eb="14">
      <t>セン</t>
    </rPh>
    <rPh sb="14" eb="15">
      <t>エン</t>
    </rPh>
    <phoneticPr fontId="9"/>
  </si>
  <si>
    <t>08</t>
    <phoneticPr fontId="5"/>
  </si>
  <si>
    <t>9:00～20:00</t>
  </si>
  <si>
    <t>伊丹市広畑3丁目1</t>
  </si>
  <si>
    <t>伊丹市自動車運送事業の設置に関する条例</t>
  </si>
  <si>
    <t>13.690.28</t>
  </si>
  <si>
    <t>9：00～20：00</t>
  </si>
  <si>
    <t>市民自治部環境クリーンセンター</t>
    <rPh sb="0" eb="5">
      <t>シミンジチブ</t>
    </rPh>
    <rPh sb="5" eb="7">
      <t>カンキョウ</t>
    </rPh>
    <phoneticPr fontId="5"/>
  </si>
  <si>
    <t>10:00～19:00</t>
    <phoneticPr fontId="5"/>
  </si>
  <si>
    <t>ごみ庫</t>
    <phoneticPr fontId="5"/>
  </si>
  <si>
    <t>教育委員会学校教育部中学校給食センター</t>
    <rPh sb="10" eb="13">
      <t>チュウガッコウ</t>
    </rPh>
    <phoneticPr fontId="5"/>
  </si>
  <si>
    <t>伊丹市北本町３丁目４５番１</t>
    <phoneticPr fontId="5"/>
  </si>
  <si>
    <t>教育委員会学校教育部中学校給食センター</t>
    <rPh sb="10" eb="11">
      <t>ナカ</t>
    </rPh>
    <phoneticPr fontId="5"/>
  </si>
  <si>
    <t>負担金・公印・証明発行等に伴う経費</t>
    <rPh sb="0" eb="3">
      <t>フタンキン</t>
    </rPh>
    <rPh sb="4" eb="6">
      <t>コウイン</t>
    </rPh>
    <rPh sb="7" eb="9">
      <t>ショウメイ</t>
    </rPh>
    <rPh sb="9" eb="11">
      <t>ハッコウ</t>
    </rPh>
    <rPh sb="11" eb="12">
      <t>トウ</t>
    </rPh>
    <rPh sb="13" eb="14">
      <t>トモナ</t>
    </rPh>
    <rPh sb="15" eb="17">
      <t>ケイヒ</t>
    </rPh>
    <phoneticPr fontId="5"/>
  </si>
  <si>
    <t>自動ドア等・公印・共益費・証明発行等に伴う経費</t>
    <rPh sb="0" eb="2">
      <t>ジドウ</t>
    </rPh>
    <rPh sb="4" eb="5">
      <t>トウ</t>
    </rPh>
    <rPh sb="6" eb="8">
      <t>コウイン</t>
    </rPh>
    <rPh sb="9" eb="12">
      <t>キョウエキヒ</t>
    </rPh>
    <rPh sb="13" eb="15">
      <t>ショウメイ</t>
    </rPh>
    <rPh sb="15" eb="17">
      <t>ハッコウ</t>
    </rPh>
    <rPh sb="17" eb="18">
      <t>トウ</t>
    </rPh>
    <rPh sb="19" eb="20">
      <t>トモナ</t>
    </rPh>
    <rPh sb="21" eb="23">
      <t>ケイヒ</t>
    </rPh>
    <phoneticPr fontId="5"/>
  </si>
  <si>
    <t>警備・収集運搬・証明発行等に伴う経費</t>
    <rPh sb="0" eb="2">
      <t>ケイビ</t>
    </rPh>
    <rPh sb="3" eb="5">
      <t>シュウシュウ</t>
    </rPh>
    <rPh sb="5" eb="7">
      <t>ウンパン</t>
    </rPh>
    <rPh sb="8" eb="10">
      <t>ショウメイ</t>
    </rPh>
    <rPh sb="10" eb="12">
      <t>ハッコウ</t>
    </rPh>
    <rPh sb="12" eb="13">
      <t>トウ</t>
    </rPh>
    <rPh sb="14" eb="15">
      <t>トモナ</t>
    </rPh>
    <rPh sb="16" eb="18">
      <t>ケイヒ</t>
    </rPh>
    <phoneticPr fontId="5"/>
  </si>
  <si>
    <t>事業経費347はコロナ用消耗品</t>
    <rPh sb="0" eb="2">
      <t>ジギョウ</t>
    </rPh>
    <rPh sb="2" eb="4">
      <t>ケイヒ</t>
    </rPh>
    <rPh sb="11" eb="12">
      <t>ヨウ</t>
    </rPh>
    <rPh sb="12" eb="14">
      <t>ショウモウ</t>
    </rPh>
    <rPh sb="14" eb="15">
      <t>ヒン</t>
    </rPh>
    <phoneticPr fontId="5"/>
  </si>
  <si>
    <t>9,471は改修工事設計委託料。事業経費1,385はコロナ用消耗品585,219+諸器具799,780</t>
    <rPh sb="6" eb="8">
      <t>カイシュウ</t>
    </rPh>
    <rPh sb="8" eb="10">
      <t>コウジ</t>
    </rPh>
    <rPh sb="10" eb="12">
      <t>セッケイ</t>
    </rPh>
    <rPh sb="12" eb="14">
      <t>イタク</t>
    </rPh>
    <rPh sb="14" eb="15">
      <t>リョウ</t>
    </rPh>
    <rPh sb="16" eb="18">
      <t>ジギョウ</t>
    </rPh>
    <rPh sb="18" eb="20">
      <t>ケイヒ</t>
    </rPh>
    <rPh sb="29" eb="30">
      <t>ヨウ</t>
    </rPh>
    <rPh sb="30" eb="32">
      <t>ショウモウ</t>
    </rPh>
    <rPh sb="32" eb="33">
      <t>ヒン</t>
    </rPh>
    <rPh sb="41" eb="42">
      <t>ショ</t>
    </rPh>
    <rPh sb="42" eb="44">
      <t>キグ</t>
    </rPh>
    <phoneticPr fontId="5"/>
  </si>
  <si>
    <t>管財課にて一括管理のため、当施設のみの使用量は不明</t>
    <rPh sb="0" eb="3">
      <t>カンザイカ</t>
    </rPh>
    <rPh sb="5" eb="7">
      <t>イッカツ</t>
    </rPh>
    <rPh sb="7" eb="9">
      <t>カンリ</t>
    </rPh>
    <rPh sb="13" eb="16">
      <t>トウシセツ</t>
    </rPh>
    <rPh sb="19" eb="22">
      <t>シヨウリョウ</t>
    </rPh>
    <rPh sb="23" eb="25">
      <t>フメイ</t>
    </rPh>
    <phoneticPr fontId="5"/>
  </si>
  <si>
    <t>こども文化科学館と使用料を按分しているため、当施設のみの電気使用量は不明</t>
    <rPh sb="3" eb="8">
      <t>ブンカカガクカン</t>
    </rPh>
    <rPh sb="9" eb="12">
      <t>シヨウリョウ</t>
    </rPh>
    <rPh sb="13" eb="15">
      <t>アンブン</t>
    </rPh>
    <rPh sb="22" eb="23">
      <t>トウ</t>
    </rPh>
    <rPh sb="23" eb="25">
      <t>シセツ</t>
    </rPh>
    <rPh sb="28" eb="30">
      <t>デンキ</t>
    </rPh>
    <rPh sb="30" eb="33">
      <t>シヨウリョウ</t>
    </rPh>
    <rPh sb="34" eb="36">
      <t>フメイ</t>
    </rPh>
    <phoneticPr fontId="5"/>
  </si>
  <si>
    <t>美術館に含まれる</t>
    <rPh sb="0" eb="3">
      <t>ビジュツカン</t>
    </rPh>
    <rPh sb="4" eb="5">
      <t>フク</t>
    </rPh>
    <phoneticPr fontId="5"/>
  </si>
  <si>
    <t>算数教室分は伊丹小で計上</t>
    <rPh sb="0" eb="4">
      <t>サンスウキョウシツ</t>
    </rPh>
    <rPh sb="4" eb="5">
      <t>ブン</t>
    </rPh>
    <rPh sb="6" eb="8">
      <t>イタミ</t>
    </rPh>
    <rPh sb="8" eb="9">
      <t>ショウ</t>
    </rPh>
    <rPh sb="10" eb="12">
      <t>ケイジョウ</t>
    </rPh>
    <phoneticPr fontId="5"/>
  </si>
  <si>
    <t>日,祝,お盆,年末年始,3/31</t>
    <phoneticPr fontId="5"/>
  </si>
  <si>
    <t>管理棟、管理棟下屋、D棟、トイレ、A棟、冷凍庫、C棟、ガス設備室、B棟、倉庫（南西側）、店舗兼冷凍庫</t>
    <rPh sb="0" eb="3">
      <t>カンリトウ</t>
    </rPh>
    <rPh sb="4" eb="7">
      <t>カンリトウ</t>
    </rPh>
    <rPh sb="7" eb="9">
      <t>シモヤ</t>
    </rPh>
    <rPh sb="11" eb="12">
      <t>トウ</t>
    </rPh>
    <rPh sb="18" eb="19">
      <t>トウ</t>
    </rPh>
    <rPh sb="20" eb="23">
      <t>レイトウコ</t>
    </rPh>
    <rPh sb="25" eb="26">
      <t>トウ</t>
    </rPh>
    <rPh sb="29" eb="32">
      <t>セツビシツ</t>
    </rPh>
    <rPh sb="34" eb="35">
      <t>トウ</t>
    </rPh>
    <rPh sb="36" eb="38">
      <t>ソウコ</t>
    </rPh>
    <rPh sb="39" eb="42">
      <t>ナンセイガワ</t>
    </rPh>
    <rPh sb="44" eb="46">
      <t>テンポ</t>
    </rPh>
    <rPh sb="46" eb="50">
      <t>ケンレイトウコ</t>
    </rPh>
    <phoneticPr fontId="5"/>
  </si>
  <si>
    <t>管理棟</t>
    <rPh sb="0" eb="3">
      <t>カンリトウ</t>
    </rPh>
    <phoneticPr fontId="7"/>
  </si>
  <si>
    <t>管理棟下屋</t>
    <rPh sb="0" eb="2">
      <t>カンリ</t>
    </rPh>
    <rPh sb="2" eb="3">
      <t>トウ</t>
    </rPh>
    <rPh sb="3" eb="5">
      <t>シタヤ</t>
    </rPh>
    <phoneticPr fontId="7"/>
  </si>
  <si>
    <t>便所</t>
    <rPh sb="0" eb="2">
      <t>ベンジョ</t>
    </rPh>
    <phoneticPr fontId="5"/>
  </si>
  <si>
    <t>都市交通部みどり公園室公園課</t>
    <rPh sb="0" eb="4">
      <t>トシコウツウ</t>
    </rPh>
    <rPh sb="8" eb="10">
      <t>コウエン</t>
    </rPh>
    <phoneticPr fontId="5"/>
  </si>
  <si>
    <t>荒牧バラ公園内にある３本柱からなる平和モニュメントと地下ホールで構成される施設。</t>
    <phoneticPr fontId="5"/>
  </si>
  <si>
    <t>伊丹市昆陽池3丁目2番地</t>
    <phoneticPr fontId="5"/>
  </si>
  <si>
    <t>令和4年4月1日条例廃止、市立伊丹ミュージアムに機能移転。</t>
    <rPh sb="0" eb="1">
      <t>レイ</t>
    </rPh>
    <rPh sb="1" eb="2">
      <t>ワ</t>
    </rPh>
    <rPh sb="3" eb="4">
      <t>ネン</t>
    </rPh>
    <rPh sb="5" eb="6">
      <t>ガツ</t>
    </rPh>
    <rPh sb="6" eb="8">
      <t>ツイタチ</t>
    </rPh>
    <rPh sb="8" eb="10">
      <t>ジョウレイ</t>
    </rPh>
    <rPh sb="10" eb="12">
      <t>ハイシ</t>
    </rPh>
    <rPh sb="13" eb="15">
      <t>シリツ</t>
    </rPh>
    <rPh sb="15" eb="17">
      <t>イタミ</t>
    </rPh>
    <rPh sb="24" eb="26">
      <t>キノウ</t>
    </rPh>
    <rPh sb="26" eb="28">
      <t>イテン</t>
    </rPh>
    <phoneticPr fontId="5"/>
  </si>
  <si>
    <t>令和4年4月より市立伊丹ミュージアムに統合。</t>
    <rPh sb="0" eb="1">
      <t>レイ</t>
    </rPh>
    <rPh sb="1" eb="2">
      <t>ワ</t>
    </rPh>
    <rPh sb="3" eb="4">
      <t>ネン</t>
    </rPh>
    <rPh sb="5" eb="6">
      <t>ガツ</t>
    </rPh>
    <rPh sb="8" eb="10">
      <t>シリツ</t>
    </rPh>
    <rPh sb="10" eb="12">
      <t>イタミ</t>
    </rPh>
    <rPh sb="19" eb="21">
      <t>トウゴウ</t>
    </rPh>
    <phoneticPr fontId="5"/>
  </si>
  <si>
    <t>都市交通部みどり公園室みどり自然課</t>
    <rPh sb="0" eb="4">
      <t>トシコウツウ</t>
    </rPh>
    <rPh sb="4" eb="5">
      <t>ブ</t>
    </rPh>
    <rPh sb="8" eb="10">
      <t>コウエン</t>
    </rPh>
    <phoneticPr fontId="5"/>
  </si>
  <si>
    <t>都市交通部</t>
    <rPh sb="0" eb="4">
      <t>トシコウツウ</t>
    </rPh>
    <phoneticPr fontId="5"/>
  </si>
  <si>
    <t>都市交通部みどり公園室みどり自然課</t>
    <rPh sb="0" eb="4">
      <t>トシコウツウ</t>
    </rPh>
    <rPh sb="8" eb="10">
      <t>コウエン</t>
    </rPh>
    <phoneticPr fontId="5"/>
  </si>
  <si>
    <t>都市交通部みどり公園室みどり自然課</t>
    <rPh sb="0" eb="5">
      <t>トシコウツウブ</t>
    </rPh>
    <rPh sb="8" eb="10">
      <t>コウエン</t>
    </rPh>
    <phoneticPr fontId="5"/>
  </si>
  <si>
    <t>保険料　34,546
報酬　54,500
消耗品費（感染予防対策）　691,276
負担金（昆虫館管理運営協力金）　1,565,000
電気設備改修工事　1,499,300</t>
    <phoneticPr fontId="5"/>
  </si>
  <si>
    <t>都市交通部みどり公園室みどり自然課</t>
    <rPh sb="0" eb="4">
      <t>トシコウツウ</t>
    </rPh>
    <rPh sb="8" eb="10">
      <t>コウエン</t>
    </rPh>
    <rPh sb="10" eb="11">
      <t>シツ</t>
    </rPh>
    <phoneticPr fontId="5"/>
  </si>
  <si>
    <t>公営住宅法伊丹市営住宅条例</t>
    <rPh sb="5" eb="7">
      <t>イタミ</t>
    </rPh>
    <phoneticPr fontId="5"/>
  </si>
  <si>
    <t>補強済み</t>
    <rPh sb="0" eb="2">
      <t>ホキョウ</t>
    </rPh>
    <rPh sb="2" eb="3">
      <t>ス</t>
    </rPh>
    <phoneticPr fontId="5"/>
  </si>
  <si>
    <t>R3</t>
    <phoneticPr fontId="5"/>
  </si>
  <si>
    <t>本庁舎,東館（防災ｾﾝﾀｰ）</t>
  </si>
  <si>
    <t>本庁舎</t>
  </si>
  <si>
    <t>伊丹市立男女共同参画センター条例</t>
  </si>
  <si>
    <t>〇</t>
  </si>
  <si>
    <t>複合</t>
    <rPh sb="0" eb="2">
      <t>フクゴウ</t>
    </rPh>
    <phoneticPr fontId="6"/>
  </si>
  <si>
    <t>貸室使用料</t>
    <phoneticPr fontId="5"/>
  </si>
  <si>
    <t>指定管理料・コピー料金</t>
    <rPh sb="0" eb="5">
      <t>シテイカンリリョウ</t>
    </rPh>
    <rPh sb="9" eb="11">
      <t>リョウキン</t>
    </rPh>
    <phoneticPr fontId="5"/>
  </si>
  <si>
    <t>ﾌﾟﾗﾈﾀﾘｳﾑ室,会議室,講座室,工作室</t>
  </si>
  <si>
    <t>文化ｾﾝﾀｰ</t>
  </si>
  <si>
    <t>46</t>
  </si>
  <si>
    <t>伊丹市緑ケ丘1丁目10番地の1</t>
  </si>
  <si>
    <t>ﾃﾆｽｺｰﾄ管理棟①</t>
  </si>
  <si>
    <t>ﾃﾆｽｺｰﾄ管理棟②</t>
  </si>
  <si>
    <t>事務所・武道館等</t>
  </si>
  <si>
    <t>02その他</t>
    <phoneticPr fontId="5"/>
  </si>
  <si>
    <t>1969</t>
    <phoneticPr fontId="5"/>
  </si>
  <si>
    <t>2006</t>
    <phoneticPr fontId="5"/>
  </si>
  <si>
    <t>1977</t>
    <phoneticPr fontId="5"/>
  </si>
  <si>
    <t>有岡児童くらぶ</t>
    <phoneticPr fontId="5"/>
  </si>
  <si>
    <t>2022</t>
    <phoneticPr fontId="5"/>
  </si>
  <si>
    <t>ささはらこども園</t>
    <rPh sb="7" eb="8">
      <t>エン</t>
    </rPh>
    <phoneticPr fontId="5"/>
  </si>
  <si>
    <t>08笹原小</t>
    <phoneticPr fontId="5"/>
  </si>
  <si>
    <t>日,祝,年末年始</t>
    <phoneticPr fontId="5"/>
  </si>
  <si>
    <t>伊丹市野間1丁目10番16号</t>
    <rPh sb="0" eb="3">
      <t>イタミシ</t>
    </rPh>
    <rPh sb="3" eb="5">
      <t>ノマ</t>
    </rPh>
    <rPh sb="6" eb="8">
      <t>チョウメ</t>
    </rPh>
    <rPh sb="10" eb="11">
      <t>バン</t>
    </rPh>
    <rPh sb="13" eb="14">
      <t>ゴウ</t>
    </rPh>
    <phoneticPr fontId="5"/>
  </si>
  <si>
    <t>伊丹市緑ヶ丘1丁目70番地</t>
    <rPh sb="0" eb="2">
      <t>イタミ</t>
    </rPh>
    <rPh sb="2" eb="3">
      <t>シ</t>
    </rPh>
    <rPh sb="3" eb="6">
      <t>ミドリガオカ</t>
    </rPh>
    <rPh sb="7" eb="9">
      <t>チョウメ</t>
    </rPh>
    <rPh sb="11" eb="13">
      <t>バンチ</t>
    </rPh>
    <phoneticPr fontId="5"/>
  </si>
  <si>
    <t>23</t>
    <phoneticPr fontId="5"/>
  </si>
  <si>
    <t>緑ヶ丘センター管理運営委員会</t>
    <rPh sb="0" eb="3">
      <t>ミドリガオカ</t>
    </rPh>
    <rPh sb="7" eb="9">
      <t>カンリ</t>
    </rPh>
    <rPh sb="9" eb="11">
      <t>ウンエイ</t>
    </rPh>
    <rPh sb="11" eb="14">
      <t>イインカイ</t>
    </rPh>
    <phoneticPr fontId="5"/>
  </si>
  <si>
    <t>店舗棟</t>
    <rPh sb="0" eb="3">
      <t>テンポトウ</t>
    </rPh>
    <phoneticPr fontId="7"/>
  </si>
  <si>
    <t>集会所</t>
    <phoneticPr fontId="5"/>
  </si>
  <si>
    <t>第一種致地区</t>
    <rPh sb="0" eb="3">
      <t>ダイイッシュ</t>
    </rPh>
    <phoneticPr fontId="5"/>
  </si>
  <si>
    <t>１階学習室、１階休養室、１階集会室、２階休養室、２階保育室、２階学習室、２階集会室</t>
    <rPh sb="1" eb="2">
      <t>カイ</t>
    </rPh>
    <rPh sb="2" eb="5">
      <t>ガクシュウシツ</t>
    </rPh>
    <rPh sb="7" eb="8">
      <t>カイ</t>
    </rPh>
    <rPh sb="8" eb="11">
      <t>キュウヨウシツ</t>
    </rPh>
    <rPh sb="13" eb="14">
      <t>カイ</t>
    </rPh>
    <rPh sb="14" eb="17">
      <t>シュウカイシツ</t>
    </rPh>
    <rPh sb="19" eb="20">
      <t>カイ</t>
    </rPh>
    <rPh sb="20" eb="23">
      <t>キュウヨウシツ</t>
    </rPh>
    <rPh sb="25" eb="26">
      <t>カイ</t>
    </rPh>
    <rPh sb="26" eb="29">
      <t>ホイクシツ</t>
    </rPh>
    <rPh sb="31" eb="32">
      <t>カイ</t>
    </rPh>
    <rPh sb="32" eb="35">
      <t>ガクシュウシツ</t>
    </rPh>
    <rPh sb="37" eb="38">
      <t>カイ</t>
    </rPh>
    <rPh sb="38" eb="41">
      <t>シュウカイシツ</t>
    </rPh>
    <phoneticPr fontId="5"/>
  </si>
  <si>
    <t>自転車置場②</t>
  </si>
  <si>
    <t>看護師宿舎A（さつき）</t>
  </si>
  <si>
    <t>看護師宿舎B（ハイツ）</t>
  </si>
  <si>
    <t>看護師宿舎電気室</t>
  </si>
  <si>
    <t>自転車置場③</t>
  </si>
  <si>
    <t>市立伊丹ミュージアム</t>
    <phoneticPr fontId="5"/>
  </si>
  <si>
    <t>都市活力部</t>
    <rPh sb="0" eb="2">
      <t>トシ</t>
    </rPh>
    <rPh sb="2" eb="4">
      <t>カツリョク</t>
    </rPh>
    <rPh sb="4" eb="5">
      <t>ブ</t>
    </rPh>
    <phoneticPr fontId="5"/>
  </si>
  <si>
    <t>1074</t>
    <phoneticPr fontId="5"/>
  </si>
  <si>
    <t>都市活力部</t>
    <phoneticPr fontId="5"/>
  </si>
  <si>
    <t>土地活力部産業振興室文化振興課</t>
    <rPh sb="0" eb="5">
      <t>トチカツリョクブ</t>
    </rPh>
    <rPh sb="5" eb="10">
      <t>サンギョウシンコウシツ</t>
    </rPh>
    <rPh sb="10" eb="12">
      <t>ブンカ</t>
    </rPh>
    <rPh sb="12" eb="15">
      <t>シンコウカ</t>
    </rPh>
    <phoneticPr fontId="5"/>
  </si>
  <si>
    <t>04</t>
    <phoneticPr fontId="5"/>
  </si>
  <si>
    <t>市民自治部共生推進室男女共同参画課</t>
    <rPh sb="10" eb="14">
      <t>ダンジョキョウドウ</t>
    </rPh>
    <rPh sb="14" eb="16">
      <t>サンカク</t>
    </rPh>
    <phoneticPr fontId="5"/>
  </si>
  <si>
    <t>伊丹市宮ノ前2丁目5番20号</t>
    <phoneticPr fontId="5"/>
  </si>
  <si>
    <t>市立伊丹ミュージアム条例</t>
    <phoneticPr fontId="5"/>
  </si>
  <si>
    <t>平松自転車駐車場内収蔵庫含む</t>
    <phoneticPr fontId="5"/>
  </si>
  <si>
    <t>01伊丹小</t>
    <rPh sb="2" eb="4">
      <t>イタミ</t>
    </rPh>
    <rPh sb="4" eb="5">
      <t>ショウ</t>
    </rPh>
    <phoneticPr fontId="5"/>
  </si>
  <si>
    <t>歴史，文化及び芸術に関する事業を推進することにより，市民の教養の向上並びに文化及び芸術の振興を図るとともに，まちのにぎわいの創出に寄与することを目的とした施設。</t>
    <rPh sb="72" eb="74">
      <t>モクテキ</t>
    </rPh>
    <rPh sb="77" eb="79">
      <t>シセツ</t>
    </rPh>
    <phoneticPr fontId="5"/>
  </si>
  <si>
    <t>80</t>
    <phoneticPr fontId="5"/>
  </si>
  <si>
    <t>準防火</t>
    <phoneticPr fontId="5"/>
  </si>
  <si>
    <t>駐車場整備地区、景観条例、伊丹郷町地区</t>
    <phoneticPr fontId="5"/>
  </si>
  <si>
    <t>伊丹ミュージアム運営共同事業体</t>
    <rPh sb="0" eb="2">
      <t>イタミ</t>
    </rPh>
    <rPh sb="8" eb="10">
      <t>ウンエイ</t>
    </rPh>
    <rPh sb="10" eb="12">
      <t>キョウドウ</t>
    </rPh>
    <rPh sb="12" eb="15">
      <t>ジギョウタイ</t>
    </rPh>
    <phoneticPr fontId="5"/>
  </si>
  <si>
    <t>展示室,アトリエ,収蔵庫,講座室,旧岡田家住宅・酒蔵,旧石橋家住宅</t>
    <rPh sb="0" eb="3">
      <t>テンジシツ</t>
    </rPh>
    <rPh sb="9" eb="12">
      <t>シュウゾウコ</t>
    </rPh>
    <rPh sb="13" eb="16">
      <t>コウザシツ</t>
    </rPh>
    <phoneticPr fontId="5"/>
  </si>
  <si>
    <t>令和4年4月1日条例施行。博物館、美術館、工芸センター、柿衞文庫、郷町館を統合。</t>
    <rPh sb="0" eb="2">
      <t>レイワ</t>
    </rPh>
    <rPh sb="3" eb="4">
      <t>ネン</t>
    </rPh>
    <rPh sb="5" eb="6">
      <t>ガツ</t>
    </rPh>
    <rPh sb="7" eb="8">
      <t>ニチ</t>
    </rPh>
    <rPh sb="8" eb="10">
      <t>ジョウレイ</t>
    </rPh>
    <rPh sb="10" eb="12">
      <t>シコウ</t>
    </rPh>
    <rPh sb="13" eb="16">
      <t>ハクブツカン</t>
    </rPh>
    <rPh sb="17" eb="20">
      <t>ビジュツカン</t>
    </rPh>
    <rPh sb="21" eb="23">
      <t>コウゲイ</t>
    </rPh>
    <rPh sb="33" eb="34">
      <t>サト</t>
    </rPh>
    <rPh sb="34" eb="35">
      <t>マチ</t>
    </rPh>
    <rPh sb="35" eb="36">
      <t>カン</t>
    </rPh>
    <rPh sb="37" eb="39">
      <t>トウゴウ</t>
    </rPh>
    <phoneticPr fontId="5"/>
  </si>
  <si>
    <t>市立伊丹ミュージアム</t>
    <rPh sb="0" eb="4">
      <t>シリツイタミ</t>
    </rPh>
    <phoneticPr fontId="5"/>
  </si>
  <si>
    <t>新築棟（連絡通路含）</t>
    <rPh sb="0" eb="2">
      <t>シンチク</t>
    </rPh>
    <rPh sb="2" eb="3">
      <t>トウ</t>
    </rPh>
    <rPh sb="4" eb="6">
      <t>レンラク</t>
    </rPh>
    <rPh sb="6" eb="8">
      <t>ツウロ</t>
    </rPh>
    <rPh sb="8" eb="9">
      <t>ガン</t>
    </rPh>
    <phoneticPr fontId="5"/>
  </si>
  <si>
    <t>新</t>
    <rPh sb="0" eb="1">
      <t>シン</t>
    </rPh>
    <phoneticPr fontId="5"/>
  </si>
  <si>
    <t>旧美術館・旧柿衞文庫</t>
    <rPh sb="5" eb="6">
      <t>キュウ</t>
    </rPh>
    <phoneticPr fontId="5"/>
  </si>
  <si>
    <t>事務所棟（地上）</t>
    <rPh sb="0" eb="3">
      <t>ジムショ</t>
    </rPh>
    <rPh sb="3" eb="4">
      <t>トウ</t>
    </rPh>
    <rPh sb="5" eb="7">
      <t>チジョウ</t>
    </rPh>
    <phoneticPr fontId="5"/>
  </si>
  <si>
    <t>事務所棟（地下）</t>
    <rPh sb="0" eb="2">
      <t>ジム</t>
    </rPh>
    <rPh sb="2" eb="3">
      <t>ショ</t>
    </rPh>
    <rPh sb="3" eb="4">
      <t>トウ</t>
    </rPh>
    <rPh sb="5" eb="7">
      <t>チカ</t>
    </rPh>
    <phoneticPr fontId="5"/>
  </si>
  <si>
    <t>トイレ棟他</t>
    <rPh sb="3" eb="4">
      <t>トウ</t>
    </rPh>
    <rPh sb="4" eb="5">
      <t>タ</t>
    </rPh>
    <phoneticPr fontId="5"/>
  </si>
  <si>
    <t>0276</t>
    <phoneticPr fontId="5"/>
  </si>
  <si>
    <t>1000</t>
    <phoneticPr fontId="5"/>
  </si>
  <si>
    <t>0947</t>
    <phoneticPr fontId="5"/>
  </si>
  <si>
    <t>072</t>
  </si>
  <si>
    <t>172</t>
  </si>
  <si>
    <t>181</t>
  </si>
  <si>
    <t>229</t>
  </si>
  <si>
    <t>伊丹市埋蔵文化財事務所(収蔵庫)</t>
    <rPh sb="0" eb="3">
      <t>イタミシ</t>
    </rPh>
    <rPh sb="3" eb="8">
      <t>マイゾウブンカザイ</t>
    </rPh>
    <rPh sb="8" eb="11">
      <t>ジムショ</t>
    </rPh>
    <rPh sb="12" eb="15">
      <t>シュウゾウコ</t>
    </rPh>
    <phoneticPr fontId="5"/>
  </si>
  <si>
    <t>教育委員会生涯学習部社会教育課(文化財担当)</t>
    <rPh sb="16" eb="21">
      <t>ブンカザイタントウ</t>
    </rPh>
    <phoneticPr fontId="5"/>
  </si>
  <si>
    <t>伊丹市埋蔵文化財事務所（神津収蔵庫）</t>
    <rPh sb="0" eb="3">
      <t>イタミシ</t>
    </rPh>
    <rPh sb="3" eb="8">
      <t>マイゾウブンカザイ</t>
    </rPh>
    <rPh sb="8" eb="11">
      <t>ジムショ</t>
    </rPh>
    <rPh sb="14" eb="17">
      <t>シュウゾウコ</t>
    </rPh>
    <phoneticPr fontId="5"/>
  </si>
  <si>
    <t>2017/3/31用途変更（埋蔵文化財事務所収蔵庫）</t>
    <rPh sb="9" eb="11">
      <t>ヨウト</t>
    </rPh>
    <rPh sb="11" eb="13">
      <t>ヘンコウ</t>
    </rPh>
    <rPh sb="14" eb="16">
      <t>マイゾウ</t>
    </rPh>
    <rPh sb="16" eb="19">
      <t>ブンカザイ</t>
    </rPh>
    <rPh sb="19" eb="22">
      <t>ジムショ</t>
    </rPh>
    <rPh sb="22" eb="25">
      <t>シュウゾウコ</t>
    </rPh>
    <phoneticPr fontId="5"/>
  </si>
  <si>
    <t>2001 ,2021</t>
    <phoneticPr fontId="5"/>
  </si>
  <si>
    <t>伊丹市営住宅条例</t>
    <phoneticPr fontId="5"/>
  </si>
  <si>
    <t>伊丹市埋蔵文化財事務所（神津収蔵庫）</t>
    <rPh sb="0" eb="2">
      <t>イタミ</t>
    </rPh>
    <rPh sb="2" eb="3">
      <t>シ</t>
    </rPh>
    <rPh sb="3" eb="7">
      <t>マイゾウブンカ</t>
    </rPh>
    <rPh sb="7" eb="8">
      <t>ザイ</t>
    </rPh>
    <rPh sb="8" eb="11">
      <t>ジムショ</t>
    </rPh>
    <rPh sb="14" eb="17">
      <t>シュウゾウコ</t>
    </rPh>
    <phoneticPr fontId="5"/>
  </si>
  <si>
    <t>住宅地区改良,伊丹市営住宅条例</t>
    <phoneticPr fontId="5"/>
  </si>
  <si>
    <t>水、日,祝,年末年始</t>
    <rPh sb="0" eb="1">
      <t>スイ</t>
    </rPh>
    <phoneticPr fontId="5"/>
  </si>
  <si>
    <t>60,80</t>
    <phoneticPr fontId="5"/>
  </si>
  <si>
    <t>埋蔵文化財包蔵地、伊丹市景観計画区域、駐車場整備地区</t>
    <rPh sb="0" eb="2">
      <t>マイゾウ</t>
    </rPh>
    <rPh sb="2" eb="4">
      <t>ブンカ</t>
    </rPh>
    <rPh sb="5" eb="7">
      <t>ホウゾウ</t>
    </rPh>
    <rPh sb="7" eb="8">
      <t>チ</t>
    </rPh>
    <rPh sb="9" eb="11">
      <t>イタミ</t>
    </rPh>
    <rPh sb="11" eb="12">
      <t>シ</t>
    </rPh>
    <rPh sb="12" eb="14">
      <t>ケイカン</t>
    </rPh>
    <rPh sb="14" eb="16">
      <t>ケイカク</t>
    </rPh>
    <rPh sb="16" eb="18">
      <t>クイキ</t>
    </rPh>
    <phoneticPr fontId="5"/>
  </si>
  <si>
    <t>一時的な増減のためカルテ上の延床面積は変更しない。</t>
    <phoneticPr fontId="5"/>
  </si>
  <si>
    <t>市収入（単位:千円）</t>
    <rPh sb="0" eb="1">
      <t>シ</t>
    </rPh>
    <rPh sb="1" eb="3">
      <t>シュウニュウ</t>
    </rPh>
    <phoneticPr fontId="5"/>
  </si>
  <si>
    <t>市支出（単位:千円）</t>
    <phoneticPr fontId="5"/>
  </si>
  <si>
    <t>指定管理等収入（単位:千円）</t>
    <phoneticPr fontId="5"/>
  </si>
  <si>
    <t>指定管理等支出（単位:千円）</t>
    <phoneticPr fontId="5"/>
  </si>
  <si>
    <t>指定管理等支出（単位:千円）</t>
    <rPh sb="0" eb="2">
      <t>シテイ</t>
    </rPh>
    <rPh sb="2" eb="4">
      <t>カンリ</t>
    </rPh>
    <rPh sb="4" eb="5">
      <t>ナド</t>
    </rPh>
    <rPh sb="5" eb="7">
      <t>シシュツ</t>
    </rPh>
    <phoneticPr fontId="5"/>
  </si>
  <si>
    <t>指定管理等収入（単位:千円）</t>
    <rPh sb="0" eb="2">
      <t>シテイ</t>
    </rPh>
    <rPh sb="2" eb="4">
      <t>カンリ</t>
    </rPh>
    <rPh sb="4" eb="5">
      <t>ナド</t>
    </rPh>
    <rPh sb="5" eb="7">
      <t>シュウニュウ</t>
    </rPh>
    <phoneticPr fontId="5"/>
  </si>
  <si>
    <t>市支出（単位:千円）</t>
    <rPh sb="0" eb="1">
      <t>シ</t>
    </rPh>
    <rPh sb="1" eb="3">
      <t>シシュツ</t>
    </rPh>
    <phoneticPr fontId="5"/>
  </si>
  <si>
    <r>
      <t>健康福祉部保健医療推進室</t>
    </r>
    <r>
      <rPr>
        <strike/>
        <sz val="10"/>
        <rFont val="BIZ UDPゴシック"/>
        <family val="3"/>
        <charset val="128"/>
      </rPr>
      <t>地</t>
    </r>
    <r>
      <rPr>
        <sz val="10"/>
        <rFont val="BIZ UDPゴシック"/>
        <family val="3"/>
        <charset val="128"/>
      </rPr>
      <t>健康政策課</t>
    </r>
    <rPh sb="13" eb="15">
      <t>ケンコウ</t>
    </rPh>
    <rPh sb="15" eb="18">
      <t>セイサクカ</t>
    </rPh>
    <phoneticPr fontId="5"/>
  </si>
  <si>
    <t>※灯油92,700ℓ</t>
    <rPh sb="1" eb="3">
      <t>トウユ</t>
    </rPh>
    <phoneticPr fontId="5"/>
  </si>
  <si>
    <t>0283</t>
    <phoneticPr fontId="5"/>
  </si>
  <si>
    <t>緑ヶ丘センター</t>
    <rPh sb="0" eb="3">
      <t>ミドリガオカ</t>
    </rPh>
    <phoneticPr fontId="5"/>
  </si>
  <si>
    <t>鴻池団地</t>
    <rPh sb="0" eb="2">
      <t>コウノイケ</t>
    </rPh>
    <rPh sb="2" eb="4">
      <t>ダンチ</t>
    </rPh>
    <phoneticPr fontId="5"/>
  </si>
  <si>
    <t>0846</t>
    <phoneticPr fontId="5"/>
  </si>
  <si>
    <t>261</t>
  </si>
  <si>
    <t>都市活力部まち資源室文化振興課</t>
    <rPh sb="7" eb="9">
      <t>シゲン</t>
    </rPh>
    <phoneticPr fontId="5"/>
  </si>
  <si>
    <t>反映ビット</t>
    <rPh sb="0" eb="2">
      <t>ハンエイ</t>
    </rPh>
    <phoneticPr fontId="5"/>
  </si>
  <si>
    <t>２０２２</t>
  </si>
  <si>
    <t>２０２２</t>
    <phoneticPr fontId="5"/>
  </si>
  <si>
    <t>市民自治部市民サービス室市民課</t>
    <phoneticPr fontId="5"/>
  </si>
  <si>
    <t>市民自治部まちづくり室生活環境課</t>
    <rPh sb="10" eb="11">
      <t>シツ</t>
    </rPh>
    <phoneticPr fontId="5"/>
  </si>
  <si>
    <t>市民自治部市民サービス室消費生活センター</t>
    <rPh sb="5" eb="7">
      <t>シミン</t>
    </rPh>
    <rPh sb="11" eb="12">
      <t>シツ</t>
    </rPh>
    <phoneticPr fontId="5"/>
  </si>
  <si>
    <t>市民自治部市民サービス室市民課</t>
    <rPh sb="5" eb="7">
      <t>シミン</t>
    </rPh>
    <rPh sb="11" eb="12">
      <t>シツ</t>
    </rPh>
    <phoneticPr fontId="5"/>
  </si>
  <si>
    <t>都市活力部まち資源室文化振興課</t>
    <rPh sb="7" eb="9">
      <t>シゲン</t>
    </rPh>
    <rPh sb="9" eb="10">
      <t>シツ</t>
    </rPh>
    <phoneticPr fontId="5"/>
  </si>
  <si>
    <t>都市活力部まち資源室文化振興課（文化財担当）</t>
    <rPh sb="7" eb="9">
      <t>シゲン</t>
    </rPh>
    <rPh sb="9" eb="10">
      <t>シツ</t>
    </rPh>
    <rPh sb="16" eb="19">
      <t>ブンカザイ</t>
    </rPh>
    <rPh sb="19" eb="21">
      <t>タントウ</t>
    </rPh>
    <phoneticPr fontId="5"/>
  </si>
  <si>
    <t>こども未来部こども室こども文化科学館</t>
    <rPh sb="9" eb="10">
      <t>シツ</t>
    </rPh>
    <rPh sb="13" eb="15">
      <t>ブンカ</t>
    </rPh>
    <rPh sb="15" eb="17">
      <t>カガク</t>
    </rPh>
    <rPh sb="17" eb="18">
      <t>カン</t>
    </rPh>
    <phoneticPr fontId="5"/>
  </si>
  <si>
    <t>都市活力部産業振興室空港・にぎわい課</t>
    <rPh sb="10" eb="12">
      <t>クウコウ</t>
    </rPh>
    <phoneticPr fontId="5"/>
  </si>
  <si>
    <t>緑ケ丘交流センター</t>
  </si>
  <si>
    <t>東緑ケ丘交流センター</t>
  </si>
  <si>
    <t>（新）緑ケ丘交流センター</t>
    <rPh sb="1" eb="2">
      <t>シン</t>
    </rPh>
    <phoneticPr fontId="5"/>
  </si>
  <si>
    <t>鴻池団地</t>
    <rPh sb="0" eb="4">
      <t>コウノイケダンチ</t>
    </rPh>
    <phoneticPr fontId="5"/>
  </si>
  <si>
    <t>０１</t>
    <phoneticPr fontId="5"/>
  </si>
  <si>
    <t>０２</t>
    <phoneticPr fontId="5"/>
  </si>
  <si>
    <t>1号館</t>
    <rPh sb="1" eb="3">
      <t>ゴウカン</t>
    </rPh>
    <phoneticPr fontId="5"/>
  </si>
  <si>
    <t>2号館</t>
    <phoneticPr fontId="5"/>
  </si>
  <si>
    <t>3号館</t>
    <phoneticPr fontId="5"/>
  </si>
  <si>
    <t>4号館</t>
    <phoneticPr fontId="5"/>
  </si>
  <si>
    <t>市民自治部まちづくり室生活環境課</t>
    <phoneticPr fontId="5"/>
  </si>
  <si>
    <t>伊丹市御願塚6丁目3番50号</t>
    <rPh sb="0" eb="3">
      <t>イタミシ</t>
    </rPh>
    <rPh sb="3" eb="6">
      <t>ゴガヅカ</t>
    </rPh>
    <rPh sb="7" eb="9">
      <t>チョウメ</t>
    </rPh>
    <rPh sb="10" eb="11">
      <t>バン</t>
    </rPh>
    <rPh sb="13" eb="14">
      <t>ゴウ</t>
    </rPh>
    <phoneticPr fontId="5"/>
  </si>
  <si>
    <t>２０２３</t>
    <phoneticPr fontId="5"/>
  </si>
  <si>
    <t>すずはら地区交流センター</t>
    <rPh sb="4" eb="8">
      <t>チクコウリュウ</t>
    </rPh>
    <phoneticPr fontId="5"/>
  </si>
  <si>
    <r>
      <t>健康福祉部保健医療推進室</t>
    </r>
    <r>
      <rPr>
        <sz val="10"/>
        <rFont val="BIZ UDPゴシック"/>
        <family val="3"/>
        <charset val="128"/>
      </rPr>
      <t>健康政策課</t>
    </r>
    <rPh sb="12" eb="14">
      <t>ケンコウ</t>
    </rPh>
    <rPh sb="14" eb="17">
      <t>セイサクカ</t>
    </rPh>
    <phoneticPr fontId="5"/>
  </si>
  <si>
    <t>都市活力部産業振興室空港・にぎわい課</t>
  </si>
  <si>
    <t xml:space="preserve">0846 </t>
    <phoneticPr fontId="5"/>
  </si>
  <si>
    <t>1079</t>
  </si>
  <si>
    <t>教育委員会教育総務部、学校教育部、生涯学習部</t>
  </si>
  <si>
    <t>伊丹市</t>
  </si>
  <si>
    <t>保険料　33,322
報酬　65,200
消耗品費（感染予防対策）　461,296</t>
    <phoneticPr fontId="5"/>
  </si>
  <si>
    <t>都市活力部まち資源室文化振興課（文化財担当）</t>
  </si>
  <si>
    <t>都市活力部まち資源室文化振興課</t>
  </si>
  <si>
    <t>貸室使用料</t>
  </si>
  <si>
    <t>市民自治部市民サービス室消費生活センター</t>
  </si>
  <si>
    <t>警備・収集運搬・証明発行等に伴う経費</t>
  </si>
  <si>
    <t>市民課証明発行手数料（税証明含まず）</t>
  </si>
  <si>
    <t>警備・証明発行等に伴う経費</t>
  </si>
  <si>
    <t>電気代・自動ドア等・共益費・証明発行等に伴う経費</t>
  </si>
  <si>
    <t>負担金・証明発行等に伴う経費</t>
  </si>
  <si>
    <t>すずはら地区交流センター</t>
    <rPh sb="4" eb="6">
      <t>チク</t>
    </rPh>
    <rPh sb="6" eb="8">
      <t>コウリュウ</t>
    </rPh>
    <phoneticPr fontId="5"/>
  </si>
  <si>
    <t>教育委員会こども未来部次世代育成課</t>
    <rPh sb="0" eb="5">
      <t>キョウイクイインカイ</t>
    </rPh>
    <rPh sb="8" eb="11">
      <t>ミライブ</t>
    </rPh>
    <rPh sb="11" eb="14">
      <t>ジセダイ</t>
    </rPh>
    <rPh sb="14" eb="16">
      <t>イクセイ</t>
    </rPh>
    <rPh sb="16" eb="17">
      <t>カ</t>
    </rPh>
    <phoneticPr fontId="5"/>
  </si>
  <si>
    <t>こども未来部次世代育成課</t>
  </si>
  <si>
    <t>こども未来部次世代育成課</t>
    <phoneticPr fontId="5"/>
  </si>
  <si>
    <t>教育委員会こども未来部次世代育成課</t>
    <rPh sb="0" eb="2">
      <t>キョウイク</t>
    </rPh>
    <rPh sb="2" eb="5">
      <t>イインカイ</t>
    </rPh>
    <rPh sb="8" eb="11">
      <t>ミライブ</t>
    </rPh>
    <phoneticPr fontId="5"/>
  </si>
  <si>
    <t>保健センター</t>
    <phoneticPr fontId="5"/>
  </si>
  <si>
    <t>0277</t>
    <phoneticPr fontId="5"/>
  </si>
  <si>
    <t>伊丹市鴻池1丁目7番</t>
    <rPh sb="0" eb="3">
      <t>イタミシ</t>
    </rPh>
    <rPh sb="3" eb="5">
      <t>コウノイケ</t>
    </rPh>
    <rPh sb="6" eb="8">
      <t>チョウメ</t>
    </rPh>
    <rPh sb="9" eb="10">
      <t>バン</t>
    </rPh>
    <phoneticPr fontId="5"/>
  </si>
  <si>
    <t>1972</t>
    <phoneticPr fontId="5"/>
  </si>
  <si>
    <t>17鴻池小</t>
    <rPh sb="2" eb="4">
      <t>コウノイケ</t>
    </rPh>
    <rPh sb="4" eb="5">
      <t>ショウ</t>
    </rPh>
    <phoneticPr fontId="5"/>
  </si>
  <si>
    <t>中堅所得者向けに住宅を供給することを目的とする施設。</t>
    <rPh sb="0" eb="2">
      <t>チュウケン</t>
    </rPh>
    <rPh sb="5" eb="6">
      <t>ム</t>
    </rPh>
    <rPh sb="8" eb="10">
      <t>ジュウタク</t>
    </rPh>
    <rPh sb="11" eb="13">
      <t>キョウキュウ</t>
    </rPh>
    <rPh sb="18" eb="20">
      <t>モクテキ</t>
    </rPh>
    <phoneticPr fontId="5"/>
  </si>
  <si>
    <t>野間笠松センター</t>
    <phoneticPr fontId="5"/>
  </si>
  <si>
    <t>済</t>
    <rPh sb="0" eb="1">
      <t>ス</t>
    </rPh>
    <phoneticPr fontId="5"/>
  </si>
  <si>
    <t>市役所本庁舎</t>
    <phoneticPr fontId="5"/>
  </si>
  <si>
    <t>休日応急診療所</t>
    <rPh sb="0" eb="2">
      <t>キュウジツ</t>
    </rPh>
    <rPh sb="2" eb="4">
      <t>オウキュウ</t>
    </rPh>
    <rPh sb="4" eb="7">
      <t>シンリョウショ</t>
    </rPh>
    <phoneticPr fontId="5"/>
  </si>
  <si>
    <t>保健センター・休日応急診療所・口腔保健センター</t>
    <rPh sb="0" eb="2">
      <t>ホケン</t>
    </rPh>
    <rPh sb="7" eb="9">
      <t>キュウジツ</t>
    </rPh>
    <rPh sb="9" eb="11">
      <t>オウキュウ</t>
    </rPh>
    <rPh sb="11" eb="14">
      <t>シンリョウショ</t>
    </rPh>
    <rPh sb="15" eb="17">
      <t>コウクウ</t>
    </rPh>
    <rPh sb="17" eb="19">
      <t>ホケン</t>
    </rPh>
    <phoneticPr fontId="5"/>
  </si>
  <si>
    <t>都市活力部まち資源室文化振興課（文化財担当）</t>
    <rPh sb="7" eb="9">
      <t>シゲン</t>
    </rPh>
    <phoneticPr fontId="5"/>
  </si>
  <si>
    <t>幼児教育センター</t>
    <rPh sb="0" eb="2">
      <t>ヨウジ</t>
    </rPh>
    <rPh sb="2" eb="4">
      <t>キョウイク</t>
    </rPh>
    <phoneticPr fontId="5"/>
  </si>
  <si>
    <t>緑ヶ丘センター</t>
    <phoneticPr fontId="5"/>
  </si>
  <si>
    <t>伊丹市埋蔵文化財事務所（神津収蔵庫）</t>
    <rPh sb="0" eb="2">
      <t>イタミ</t>
    </rPh>
    <rPh sb="2" eb="3">
      <t>シ</t>
    </rPh>
    <rPh sb="3" eb="5">
      <t>マイゾウ</t>
    </rPh>
    <rPh sb="5" eb="8">
      <t>ブンカザイ</t>
    </rPh>
    <rPh sb="8" eb="10">
      <t>ジム</t>
    </rPh>
    <rPh sb="10" eb="11">
      <t>ショ</t>
    </rPh>
    <rPh sb="12" eb="14">
      <t>コウヅ</t>
    </rPh>
    <rPh sb="14" eb="17">
      <t>シュウゾウコ</t>
    </rPh>
    <phoneticPr fontId="5"/>
  </si>
  <si>
    <t>いたみ総合保健センター</t>
    <rPh sb="3" eb="5">
      <t>ソウゴウ</t>
    </rPh>
    <rPh sb="5" eb="7">
      <t>ホケン</t>
    </rPh>
    <phoneticPr fontId="5"/>
  </si>
  <si>
    <t>0418</t>
    <phoneticPr fontId="5"/>
  </si>
  <si>
    <t>伊丹市休日応急診療所条例</t>
    <rPh sb="0" eb="3">
      <t>イタミシ</t>
    </rPh>
    <rPh sb="3" eb="5">
      <t>キュウジツ</t>
    </rPh>
    <rPh sb="5" eb="7">
      <t>オウキュウ</t>
    </rPh>
    <rPh sb="7" eb="10">
      <t>シンリョウショ</t>
    </rPh>
    <rPh sb="10" eb="12">
      <t>ジョウレイ</t>
    </rPh>
    <phoneticPr fontId="5"/>
  </si>
  <si>
    <t>報酬　54,500円
保険料　31,860円
消耗品費(感染予防)　393,103円
デジタルミュージアム　6,600,000円</t>
  </si>
  <si>
    <t>し尿公共下水道放流施設</t>
    <phoneticPr fontId="5"/>
  </si>
  <si>
    <t>事務室、控室、会議室、浴室、脱衣室、機械室、食堂兼研修室</t>
    <rPh sb="0" eb="3">
      <t>ジムシツ</t>
    </rPh>
    <rPh sb="24" eb="25">
      <t>ケン</t>
    </rPh>
    <rPh sb="25" eb="27">
      <t>ケンシュウ</t>
    </rPh>
    <rPh sb="27" eb="28">
      <t>シツ</t>
    </rPh>
    <phoneticPr fontId="5"/>
  </si>
  <si>
    <t>本庁舎、整備棟</t>
    <phoneticPr fontId="5"/>
  </si>
  <si>
    <t>1995</t>
    <phoneticPr fontId="5"/>
  </si>
  <si>
    <t>1990</t>
    <phoneticPr fontId="5"/>
  </si>
  <si>
    <t>伊丹小学校　体育館</t>
    <phoneticPr fontId="5"/>
  </si>
  <si>
    <t>商業地域</t>
    <phoneticPr fontId="5"/>
  </si>
  <si>
    <t>2種</t>
    <rPh sb="1" eb="2">
      <t>シュ</t>
    </rPh>
    <phoneticPr fontId="5"/>
  </si>
  <si>
    <t>3種</t>
    <rPh sb="1" eb="2">
      <t>シュ</t>
    </rPh>
    <phoneticPr fontId="5"/>
  </si>
  <si>
    <t>車38１台,原付等59台</t>
    <rPh sb="0" eb="1">
      <t>クルマ</t>
    </rPh>
    <rPh sb="6" eb="8">
      <t>ゲンツキ</t>
    </rPh>
    <rPh sb="8" eb="9">
      <t>トウ</t>
    </rPh>
    <rPh sb="11" eb="12">
      <t>ダイ</t>
    </rPh>
    <phoneticPr fontId="5"/>
  </si>
  <si>
    <t>自転車1,10６台</t>
    <phoneticPr fontId="5"/>
  </si>
  <si>
    <t>自転車7６０台,原付等５4台</t>
    <phoneticPr fontId="5"/>
  </si>
  <si>
    <t>都市交通部交通政策室交通政策課</t>
  </si>
  <si>
    <t>伊丹市千僧1丁目1番地１</t>
    <phoneticPr fontId="5"/>
  </si>
  <si>
    <t>1階2階合計（2,164.92）-大庇（75.004）-休日診療所（171.92）－口腔保健センター（182.77）-倉庫（80.73＋67.32）</t>
    <rPh sb="1" eb="2">
      <t>カイ</t>
    </rPh>
    <rPh sb="3" eb="4">
      <t>カイ</t>
    </rPh>
    <rPh sb="4" eb="6">
      <t>ゴウケイ</t>
    </rPh>
    <rPh sb="17" eb="18">
      <t>オオ</t>
    </rPh>
    <rPh sb="18" eb="19">
      <t>ヒ</t>
    </rPh>
    <rPh sb="28" eb="30">
      <t>キュウジツ</t>
    </rPh>
    <rPh sb="30" eb="33">
      <t>シンリョウジョ</t>
    </rPh>
    <rPh sb="42" eb="46">
      <t>コウクウホケン</t>
    </rPh>
    <rPh sb="59" eb="61">
      <t>ソウコ</t>
    </rPh>
    <phoneticPr fontId="5"/>
  </si>
  <si>
    <t>休日及び夜間において、高校生以上の患者に対し内科の診療を行う施設。</t>
    <rPh sb="11" eb="14">
      <t>コウコウセイ</t>
    </rPh>
    <rPh sb="14" eb="16">
      <t>イジョウ</t>
    </rPh>
    <rPh sb="17" eb="19">
      <t>カンジャ</t>
    </rPh>
    <rPh sb="20" eb="21">
      <t>タイ</t>
    </rPh>
    <rPh sb="22" eb="24">
      <t>ナイカ</t>
    </rPh>
    <rPh sb="25" eb="27">
      <t>シンリョウ</t>
    </rPh>
    <rPh sb="28" eb="29">
      <t>オコナ</t>
    </rPh>
    <rPh sb="30" eb="32">
      <t>シセツ</t>
    </rPh>
    <phoneticPr fontId="5"/>
  </si>
  <si>
    <t>土：１８:00～21：00、日祝お盆（8/13～8/15）年末年始（12/30～1/4）：9:00～12:00・18:00～21:00</t>
    <rPh sb="0" eb="1">
      <t>ド</t>
    </rPh>
    <rPh sb="14" eb="15">
      <t>ニチ</t>
    </rPh>
    <rPh sb="15" eb="16">
      <t>シュク</t>
    </rPh>
    <rPh sb="17" eb="18">
      <t>ボン</t>
    </rPh>
    <rPh sb="29" eb="31">
      <t>ネンマツ</t>
    </rPh>
    <rPh sb="31" eb="33">
      <t>ネンシ</t>
    </rPh>
    <phoneticPr fontId="5"/>
  </si>
  <si>
    <t>平日</t>
    <rPh sb="0" eb="2">
      <t>ヘイジツ</t>
    </rPh>
    <phoneticPr fontId="5"/>
  </si>
  <si>
    <t>研修室兼健診室、問診室1・2、視聴覚室、調理室1・2、多目的室1・2</t>
    <rPh sb="3" eb="4">
      <t>ケン</t>
    </rPh>
    <rPh sb="4" eb="6">
      <t>ケンシン</t>
    </rPh>
    <rPh sb="6" eb="7">
      <t>シツ</t>
    </rPh>
    <rPh sb="8" eb="10">
      <t>モンシン</t>
    </rPh>
    <rPh sb="10" eb="11">
      <t>シツ</t>
    </rPh>
    <rPh sb="15" eb="19">
      <t>シチョウカクシツ</t>
    </rPh>
    <rPh sb="20" eb="23">
      <t>チョウリシツ</t>
    </rPh>
    <rPh sb="27" eb="30">
      <t>タモクテキ</t>
    </rPh>
    <rPh sb="30" eb="31">
      <t>シツ</t>
    </rPh>
    <phoneticPr fontId="5"/>
  </si>
  <si>
    <t>診察室1・2・3、臨時待合室</t>
    <rPh sb="0" eb="2">
      <t>シンサツ</t>
    </rPh>
    <rPh sb="2" eb="3">
      <t>シツ</t>
    </rPh>
    <rPh sb="9" eb="11">
      <t>リンジ</t>
    </rPh>
    <rPh sb="11" eb="13">
      <t>マチアイ</t>
    </rPh>
    <rPh sb="13" eb="14">
      <t>シツ</t>
    </rPh>
    <phoneticPr fontId="5"/>
  </si>
  <si>
    <t>駐車場は保健センターと共同</t>
    <rPh sb="0" eb="3">
      <t>チュウシャジョウ</t>
    </rPh>
    <rPh sb="4" eb="6">
      <t>ホケン</t>
    </rPh>
    <rPh sb="11" eb="13">
      <t>キョウドウ</t>
    </rPh>
    <phoneticPr fontId="5"/>
  </si>
  <si>
    <t>新関西国際空港株式会社</t>
    <rPh sb="0" eb="3">
      <t>シンカンサイ</t>
    </rPh>
    <rPh sb="3" eb="5">
      <t>コクサイ</t>
    </rPh>
    <rPh sb="5" eb="7">
      <t>クウコウ</t>
    </rPh>
    <rPh sb="7" eb="11">
      <t>カブシキカイシャ</t>
    </rPh>
    <phoneticPr fontId="5"/>
  </si>
  <si>
    <t>日本環境マネジメント株式会社</t>
    <phoneticPr fontId="5"/>
  </si>
  <si>
    <t>負担金・証明発行等に伴う経費(共通＋レジリース）</t>
    <rPh sb="15" eb="17">
      <t>キョウツウ</t>
    </rPh>
    <phoneticPr fontId="5"/>
  </si>
  <si>
    <t>警備・証明発行等に伴う経費(共通＋レジ購入）</t>
    <rPh sb="14" eb="16">
      <t>キョウツウ</t>
    </rPh>
    <rPh sb="19" eb="21">
      <t>コウニュウ</t>
    </rPh>
    <phoneticPr fontId="5"/>
  </si>
  <si>
    <t>障害者のうち一般の歯科医院において診療が困難な者の歯科診療，歯科保健相談その他の口腔保健に関し必要な事業を行う。</t>
    <rPh sb="0" eb="3">
      <t>ショウガイシャ</t>
    </rPh>
    <rPh sb="6" eb="8">
      <t>イッパン</t>
    </rPh>
    <rPh sb="9" eb="11">
      <t>シカ</t>
    </rPh>
    <rPh sb="11" eb="13">
      <t>イイン</t>
    </rPh>
    <rPh sb="17" eb="19">
      <t>シンリョウ</t>
    </rPh>
    <rPh sb="20" eb="22">
      <t>コンナン</t>
    </rPh>
    <rPh sb="23" eb="24">
      <t>モノ</t>
    </rPh>
    <rPh sb="25" eb="27">
      <t>シカ</t>
    </rPh>
    <rPh sb="27" eb="29">
      <t>シンリョウ</t>
    </rPh>
    <rPh sb="30" eb="32">
      <t>シカ</t>
    </rPh>
    <rPh sb="32" eb="34">
      <t>ホケン</t>
    </rPh>
    <rPh sb="34" eb="36">
      <t>ソウダン</t>
    </rPh>
    <rPh sb="38" eb="39">
      <t>タ</t>
    </rPh>
    <rPh sb="40" eb="42">
      <t>コウクウ</t>
    </rPh>
    <rPh sb="42" eb="44">
      <t>ホケン</t>
    </rPh>
    <rPh sb="45" eb="46">
      <t>カン</t>
    </rPh>
    <rPh sb="47" eb="49">
      <t>ヒツヨウ</t>
    </rPh>
    <rPh sb="50" eb="52">
      <t>ジギョウ</t>
    </rPh>
    <rPh sb="53" eb="54">
      <t>オコナ</t>
    </rPh>
    <phoneticPr fontId="5"/>
  </si>
  <si>
    <t>指定管理委託料</t>
    <rPh sb="0" eb="4">
      <t>シテイカンリ</t>
    </rPh>
    <rPh sb="4" eb="7">
      <t>イタクリョウ</t>
    </rPh>
    <phoneticPr fontId="5"/>
  </si>
  <si>
    <t>診療報酬</t>
    <rPh sb="0" eb="4">
      <t>シンリョウホウシュウ</t>
    </rPh>
    <phoneticPr fontId="5"/>
  </si>
  <si>
    <t>R4</t>
    <phoneticPr fontId="5"/>
  </si>
  <si>
    <t>補強済み</t>
    <rPh sb="0" eb="2">
      <t>ホキョウ</t>
    </rPh>
    <rPh sb="2" eb="3">
      <t>ズ</t>
    </rPh>
    <phoneticPr fontId="5"/>
  </si>
  <si>
    <t>補強済み</t>
    <rPh sb="0" eb="3">
      <t>ホキョウズ</t>
    </rPh>
    <phoneticPr fontId="5"/>
  </si>
  <si>
    <t>管理運営状況報告書より</t>
    <rPh sb="0" eb="6">
      <t>カンリウンエイジョウキョウ</t>
    </rPh>
    <rPh sb="6" eb="9">
      <t>ホウコクショ</t>
    </rPh>
    <phoneticPr fontId="5"/>
  </si>
  <si>
    <t>日本環境マネジメント株式会社</t>
  </si>
  <si>
    <t>17…目的外利用分</t>
  </si>
  <si>
    <t>06福祉施設</t>
    <phoneticPr fontId="5"/>
  </si>
  <si>
    <t>池尻出張所</t>
    <phoneticPr fontId="5"/>
  </si>
  <si>
    <t>伊丹市埋蔵文化財センター</t>
    <phoneticPr fontId="5"/>
  </si>
  <si>
    <t>環境クリーンセンター</t>
    <phoneticPr fontId="5"/>
  </si>
  <si>
    <t>千僧浄水場</t>
    <phoneticPr fontId="5"/>
  </si>
  <si>
    <t>02その他</t>
    <rPh sb="4" eb="5">
      <t>ホカ</t>
    </rPh>
    <phoneticPr fontId="5"/>
  </si>
  <si>
    <t>第1種低層住居専用</t>
    <rPh sb="0" eb="1">
      <t>ダイ</t>
    </rPh>
    <rPh sb="2" eb="3">
      <t>シュ</t>
    </rPh>
    <rPh sb="3" eb="5">
      <t>テイソウ</t>
    </rPh>
    <rPh sb="5" eb="7">
      <t>ジュウキョ</t>
    </rPh>
    <rPh sb="7" eb="9">
      <t>センヨウ</t>
    </rPh>
    <phoneticPr fontId="5"/>
  </si>
  <si>
    <t>５０</t>
    <phoneticPr fontId="5"/>
  </si>
  <si>
    <t>１種</t>
    <rPh sb="1" eb="2">
      <t>シュ</t>
    </rPh>
    <phoneticPr fontId="5"/>
  </si>
  <si>
    <t>すずはら地区交流センター管理運営委員会</t>
    <phoneticPr fontId="5"/>
  </si>
  <si>
    <t>1階集会室、多目的室，2階会議室、集会室、多目的室</t>
    <rPh sb="1" eb="2">
      <t>カイ</t>
    </rPh>
    <rPh sb="2" eb="5">
      <t>シュウカイシツ</t>
    </rPh>
    <rPh sb="6" eb="9">
      <t>タモクテキ</t>
    </rPh>
    <rPh sb="9" eb="10">
      <t>シツ</t>
    </rPh>
    <rPh sb="12" eb="13">
      <t>カイ</t>
    </rPh>
    <rPh sb="13" eb="16">
      <t>カイギシツ</t>
    </rPh>
    <rPh sb="17" eb="20">
      <t>シュウカイシツ</t>
    </rPh>
    <rPh sb="21" eb="24">
      <t>タモクテキ</t>
    </rPh>
    <rPh sb="24" eb="25">
      <t>シツ</t>
    </rPh>
    <phoneticPr fontId="5"/>
  </si>
  <si>
    <t>鴻池センター</t>
    <phoneticPr fontId="5"/>
  </si>
  <si>
    <t>041４</t>
    <phoneticPr fontId="5"/>
  </si>
  <si>
    <t>都市活力部まち資源室空港・にぎわい課</t>
    <rPh sb="7" eb="9">
      <t>シゲン</t>
    </rPh>
    <rPh sb="10" eb="12">
      <t>クウコウ</t>
    </rPh>
    <phoneticPr fontId="5"/>
  </si>
  <si>
    <t>都市活力部まち資源室空港・にぎわい課</t>
    <rPh sb="7" eb="9">
      <t>シゲン</t>
    </rPh>
    <rPh sb="9" eb="10">
      <t>シツ</t>
    </rPh>
    <rPh sb="10" eb="12">
      <t>クウコウ</t>
    </rPh>
    <phoneticPr fontId="5"/>
  </si>
  <si>
    <t>産業振興センター・男女共同参画センター</t>
    <rPh sb="0" eb="2">
      <t>サンギョウ</t>
    </rPh>
    <rPh sb="2" eb="4">
      <t>シンコウ</t>
    </rPh>
    <rPh sb="9" eb="11">
      <t>ダンジョ</t>
    </rPh>
    <rPh sb="11" eb="13">
      <t>キョウドウ</t>
    </rPh>
    <rPh sb="13" eb="15">
      <t>サンカク</t>
    </rPh>
    <phoneticPr fontId="5"/>
  </si>
  <si>
    <t>消費生活相談、消費者啓発、情報の収集整理、消費者の自主活動の支援、市民課分室業務等を実施。</t>
    <rPh sb="0" eb="2">
      <t>ショウヒ</t>
    </rPh>
    <phoneticPr fontId="5"/>
  </si>
  <si>
    <t>教育情報の発信基地で、さまざまな教育課題を研究するための教育機関。教職員の研究や研修、教育関係の図書の閲覧、教育関係の図書やビデオテープの閲覧・視聴、教育に関する調査研究、講演会や講座の開催、さまざまな教育問題の相談業務を実施。</t>
    <phoneticPr fontId="5"/>
  </si>
  <si>
    <t>学習ルーム１・２、相談室、多目的室</t>
    <rPh sb="0" eb="2">
      <t>ガクシュウ</t>
    </rPh>
    <rPh sb="9" eb="12">
      <t>ソウダンシツ</t>
    </rPh>
    <phoneticPr fontId="5"/>
  </si>
  <si>
    <t>9:30～17：００</t>
    <phoneticPr fontId="5"/>
  </si>
  <si>
    <t>９：３０～12:00; 13:00～15:３０</t>
    <phoneticPr fontId="5"/>
  </si>
  <si>
    <t>車237台,原付等100台</t>
    <rPh sb="0" eb="1">
      <t>クルマ</t>
    </rPh>
    <rPh sb="6" eb="8">
      <t>ゲンツキ</t>
    </rPh>
    <rPh sb="8" eb="9">
      <t>トウ</t>
    </rPh>
    <rPh sb="12" eb="13">
      <t>ダイ</t>
    </rPh>
    <phoneticPr fontId="5"/>
  </si>
  <si>
    <t>火葬炉、汚物炉、動物炉、第１式場,第２式場,控室１,控室２,休憩室1,休憩室２</t>
    <rPh sb="0" eb="3">
      <t>カソウロ</t>
    </rPh>
    <rPh sb="4" eb="7">
      <t>オブツロ</t>
    </rPh>
    <rPh sb="8" eb="11">
      <t>ドウブツロ</t>
    </rPh>
    <rPh sb="26" eb="28">
      <t>ヒカエシツ</t>
    </rPh>
    <rPh sb="30" eb="33">
      <t>キュウケイシツ</t>
    </rPh>
    <rPh sb="35" eb="38">
      <t>キュウケイシツ</t>
    </rPh>
    <phoneticPr fontId="5"/>
  </si>
  <si>
    <t>-</t>
    <phoneticPr fontId="5"/>
  </si>
  <si>
    <t>0283</t>
  </si>
  <si>
    <t>041４</t>
  </si>
  <si>
    <t>0418</t>
  </si>
  <si>
    <t>0276</t>
  </si>
  <si>
    <t>0277</t>
  </si>
  <si>
    <t>0947</t>
  </si>
  <si>
    <t>1081</t>
  </si>
  <si>
    <t>1000</t>
  </si>
  <si>
    <t>0846</t>
  </si>
  <si>
    <t>総務部総務室管財課</t>
    <rPh sb="3" eb="6">
      <t>ソウムシツ</t>
    </rPh>
    <rPh sb="6" eb="9">
      <t>カンザイカ</t>
    </rPh>
    <phoneticPr fontId="1"/>
  </si>
  <si>
    <t>8:00～18:00(窓口業務は9:00～17:30)</t>
    <phoneticPr fontId="5"/>
  </si>
  <si>
    <t>伊丹市池尻4丁目1-1　イオンモール伊丹昆陽内</t>
    <phoneticPr fontId="5"/>
  </si>
  <si>
    <t>図書館西分室、イオン伊丹昆陽店他</t>
    <rPh sb="0" eb="3">
      <t>トショカン</t>
    </rPh>
    <rPh sb="3" eb="4">
      <t>ニシ</t>
    </rPh>
    <rPh sb="4" eb="6">
      <t>ブンシツ</t>
    </rPh>
    <rPh sb="14" eb="15">
      <t>テン</t>
    </rPh>
    <rPh sb="15" eb="16">
      <t>ホカ</t>
    </rPh>
    <phoneticPr fontId="5"/>
  </si>
  <si>
    <t>イオンリテール㈱</t>
    <phoneticPr fontId="5"/>
  </si>
  <si>
    <t>１０:00～17:30</t>
    <phoneticPr fontId="5"/>
  </si>
  <si>
    <t>伊丹市千僧1丁目1番地1</t>
    <phoneticPr fontId="5"/>
  </si>
  <si>
    <t>男女共同参画センター</t>
    <rPh sb="0" eb="2">
      <t>ダンジョ</t>
    </rPh>
    <rPh sb="2" eb="4">
      <t>キョウドウ</t>
    </rPh>
    <rPh sb="4" eb="6">
      <t>サンカク</t>
    </rPh>
    <phoneticPr fontId="1"/>
  </si>
  <si>
    <t>市民自治部共生推進室男女共同参画課</t>
    <rPh sb="10" eb="14">
      <t>ダンジョキョウドウ</t>
    </rPh>
    <rPh sb="14" eb="16">
      <t>サンカク</t>
    </rPh>
    <phoneticPr fontId="1"/>
  </si>
  <si>
    <t>伊丹市宮ノ前２丁目２番２号</t>
    <rPh sb="0" eb="3">
      <t>イタミシ</t>
    </rPh>
    <rPh sb="3" eb="4">
      <t>ミヤ</t>
    </rPh>
    <rPh sb="5" eb="6">
      <t>マエ</t>
    </rPh>
    <rPh sb="7" eb="9">
      <t>チョウメ</t>
    </rPh>
    <rPh sb="10" eb="11">
      <t>バン</t>
    </rPh>
    <rPh sb="12" eb="13">
      <t>ゴウ</t>
    </rPh>
    <phoneticPr fontId="1"/>
  </si>
  <si>
    <t>行政財産</t>
    <rPh sb="0" eb="2">
      <t>ギョウセイ</t>
    </rPh>
    <rPh sb="2" eb="4">
      <t>ザイサン</t>
    </rPh>
    <phoneticPr fontId="1"/>
  </si>
  <si>
    <t>01伊丹小</t>
    <rPh sb="2" eb="4">
      <t>イタミ</t>
    </rPh>
    <rPh sb="4" eb="5">
      <t>ショウ</t>
    </rPh>
    <phoneticPr fontId="1"/>
  </si>
  <si>
    <t>産業振興センター・消費生活センター</t>
    <rPh sb="0" eb="2">
      <t>サンギョウ</t>
    </rPh>
    <rPh sb="2" eb="4">
      <t>シンコウ</t>
    </rPh>
    <rPh sb="9" eb="11">
      <t>ショウヒ</t>
    </rPh>
    <rPh sb="11" eb="13">
      <t>セイカツ</t>
    </rPh>
    <phoneticPr fontId="1"/>
  </si>
  <si>
    <t>市有/民地</t>
    <rPh sb="0" eb="2">
      <t>シユウ</t>
    </rPh>
    <rPh sb="3" eb="4">
      <t>ミン</t>
    </rPh>
    <rPh sb="4" eb="5">
      <t>チ</t>
    </rPh>
    <phoneticPr fontId="1"/>
  </si>
  <si>
    <t>市有</t>
    <rPh sb="0" eb="2">
      <t>シユウ</t>
    </rPh>
    <phoneticPr fontId="1"/>
  </si>
  <si>
    <t>伊丹市の男女共同参画の拠点施設として、女性を始め多様な市民が、気軽に足を運び、男女共同参画に関し、学び、交流できる場を提供することにより、市民が自ら意識を変え、日々の生活の中で行動を起こして、男女の対等な社会参画と、誰もが自分らしい生き方を実現できる社会の形成を目指す</t>
    <rPh sb="0" eb="3">
      <t>イタミシ</t>
    </rPh>
    <rPh sb="4" eb="10">
      <t>ダンジョキョウドウサンカク</t>
    </rPh>
    <rPh sb="11" eb="15">
      <t>キョテンシセツ</t>
    </rPh>
    <rPh sb="19" eb="21">
      <t>ジョセイ</t>
    </rPh>
    <rPh sb="22" eb="23">
      <t>ハジ</t>
    </rPh>
    <rPh sb="24" eb="26">
      <t>タヨウ</t>
    </rPh>
    <rPh sb="27" eb="29">
      <t>シミン</t>
    </rPh>
    <rPh sb="31" eb="33">
      <t>キガル</t>
    </rPh>
    <rPh sb="34" eb="35">
      <t>アシ</t>
    </rPh>
    <rPh sb="36" eb="37">
      <t>ハコ</t>
    </rPh>
    <rPh sb="39" eb="45">
      <t>ダンジョキョウドウサンカク</t>
    </rPh>
    <rPh sb="46" eb="47">
      <t>カン</t>
    </rPh>
    <rPh sb="49" eb="50">
      <t>マナ</t>
    </rPh>
    <rPh sb="52" eb="54">
      <t>コウリュウ</t>
    </rPh>
    <rPh sb="57" eb="58">
      <t>バ</t>
    </rPh>
    <rPh sb="59" eb="61">
      <t>テイキョウ</t>
    </rPh>
    <rPh sb="69" eb="71">
      <t>シミン</t>
    </rPh>
    <rPh sb="72" eb="73">
      <t>ミズカ</t>
    </rPh>
    <rPh sb="74" eb="76">
      <t>イシキ</t>
    </rPh>
    <rPh sb="77" eb="78">
      <t>カ</t>
    </rPh>
    <rPh sb="80" eb="82">
      <t>ヒビ</t>
    </rPh>
    <rPh sb="83" eb="85">
      <t>セイカツ</t>
    </rPh>
    <rPh sb="86" eb="87">
      <t>ナカ</t>
    </rPh>
    <rPh sb="88" eb="90">
      <t>コウドウ</t>
    </rPh>
    <rPh sb="91" eb="92">
      <t>オ</t>
    </rPh>
    <rPh sb="96" eb="98">
      <t>ダンジョ</t>
    </rPh>
    <rPh sb="99" eb="101">
      <t>タイトウ</t>
    </rPh>
    <rPh sb="102" eb="106">
      <t>シャカイサンカク</t>
    </rPh>
    <rPh sb="108" eb="109">
      <t>ダレ</t>
    </rPh>
    <rPh sb="111" eb="113">
      <t>ジブン</t>
    </rPh>
    <rPh sb="116" eb="117">
      <t>イ</t>
    </rPh>
    <rPh sb="118" eb="119">
      <t>カタ</t>
    </rPh>
    <rPh sb="120" eb="122">
      <t>ジツゲン</t>
    </rPh>
    <rPh sb="125" eb="127">
      <t>シャカイ</t>
    </rPh>
    <rPh sb="128" eb="130">
      <t>ケイセイ</t>
    </rPh>
    <rPh sb="131" eb="133">
      <t>メザ</t>
    </rPh>
    <phoneticPr fontId="1"/>
  </si>
  <si>
    <t>商業</t>
    <rPh sb="0" eb="2">
      <t>ショウギョウ</t>
    </rPh>
    <phoneticPr fontId="1"/>
  </si>
  <si>
    <t>特定非営利活動法人　女性と子どものエンパワメント関西</t>
    <rPh sb="0" eb="2">
      <t>トクテイ</t>
    </rPh>
    <rPh sb="2" eb="5">
      <t>ヒエイリ</t>
    </rPh>
    <rPh sb="5" eb="9">
      <t>カツドウホウジン</t>
    </rPh>
    <rPh sb="10" eb="12">
      <t>ジョセイ</t>
    </rPh>
    <rPh sb="13" eb="14">
      <t>コ</t>
    </rPh>
    <rPh sb="24" eb="26">
      <t>カンサイ</t>
    </rPh>
    <phoneticPr fontId="1"/>
  </si>
  <si>
    <t>公募</t>
    <rPh sb="0" eb="2">
      <t>コウボ</t>
    </rPh>
    <phoneticPr fontId="1"/>
  </si>
  <si>
    <t>9：00～21：00（月～土）9：00～17：30（日）</t>
    <rPh sb="11" eb="12">
      <t>ゲツ</t>
    </rPh>
    <rPh sb="13" eb="14">
      <t>ツチ</t>
    </rPh>
    <rPh sb="26" eb="27">
      <t>ニチ</t>
    </rPh>
    <phoneticPr fontId="1"/>
  </si>
  <si>
    <t>日（第1・3日曜除く）、祝日、年末年始（12/29～1/3）</t>
    <rPh sb="2" eb="3">
      <t>ダイ</t>
    </rPh>
    <rPh sb="6" eb="8">
      <t>ニチヨウ</t>
    </rPh>
    <rPh sb="8" eb="9">
      <t>ノゾ</t>
    </rPh>
    <rPh sb="12" eb="13">
      <t>シュク</t>
    </rPh>
    <rPh sb="13" eb="14">
      <t>ヒ</t>
    </rPh>
    <rPh sb="15" eb="19">
      <t>ネンマツネンシ</t>
    </rPh>
    <phoneticPr fontId="1"/>
  </si>
  <si>
    <t>学習室1・2、プレイルーム、作業室、授乳室、相談室1・2、待合室1・2、図書・情報スペース、フリースペース、就労支援コーナー、事務所、倉庫</t>
    <rPh sb="14" eb="17">
      <t>サギョウシツ</t>
    </rPh>
    <rPh sb="18" eb="21">
      <t>ジュニュウシツ</t>
    </rPh>
    <rPh sb="29" eb="32">
      <t>マチアイシツ</t>
    </rPh>
    <rPh sb="36" eb="38">
      <t>トショ</t>
    </rPh>
    <rPh sb="39" eb="41">
      <t>ジョウホウ</t>
    </rPh>
    <rPh sb="54" eb="58">
      <t>シュウロウシエン</t>
    </rPh>
    <rPh sb="63" eb="66">
      <t>ジムショ</t>
    </rPh>
    <rPh sb="67" eb="69">
      <t>ソウコ</t>
    </rPh>
    <phoneticPr fontId="1"/>
  </si>
  <si>
    <t>日曜日：第1日曜(5月・11月は第３日曜)を除く、祝日、年末年始（12/29～1/3）</t>
    <rPh sb="0" eb="3">
      <t>ニチヨウビ</t>
    </rPh>
    <rPh sb="4" eb="5">
      <t>ダイ</t>
    </rPh>
    <rPh sb="6" eb="8">
      <t>ニチヨウ</t>
    </rPh>
    <rPh sb="10" eb="11">
      <t>ツキ</t>
    </rPh>
    <rPh sb="14" eb="15">
      <t>ツキ</t>
    </rPh>
    <rPh sb="16" eb="17">
      <t>ダイ</t>
    </rPh>
    <rPh sb="18" eb="20">
      <t>ニチヨウ</t>
    </rPh>
    <rPh sb="22" eb="23">
      <t>ノゾ</t>
    </rPh>
    <phoneticPr fontId="5"/>
  </si>
  <si>
    <t>教育委員会学校教育部総合教育センター</t>
    <phoneticPr fontId="5"/>
  </si>
  <si>
    <t>幼児教育センター</t>
    <rPh sb="0" eb="2">
      <t>ヨウジ</t>
    </rPh>
    <rPh sb="2" eb="4">
      <t>キョウイク</t>
    </rPh>
    <phoneticPr fontId="1"/>
  </si>
  <si>
    <t>教育支援センターやまびこ</t>
    <rPh sb="0" eb="4">
      <t>キョウイクシエン</t>
    </rPh>
    <phoneticPr fontId="1"/>
  </si>
  <si>
    <t>消防局・西消防署</t>
    <rPh sb="4" eb="5">
      <t>ニシ</t>
    </rPh>
    <rPh sb="5" eb="8">
      <t>ショウボウショ</t>
    </rPh>
    <phoneticPr fontId="1"/>
  </si>
  <si>
    <t>消防局</t>
    <phoneticPr fontId="5"/>
  </si>
  <si>
    <t>0278</t>
    <phoneticPr fontId="5"/>
  </si>
  <si>
    <t>いたみ交流センター</t>
    <rPh sb="3" eb="5">
      <t>コウリュウ</t>
    </rPh>
    <phoneticPr fontId="5"/>
  </si>
  <si>
    <t>伊丹市中央１丁目２番１－１号</t>
    <rPh sb="6" eb="8">
      <t>チョウメ</t>
    </rPh>
    <rPh sb="9" eb="10">
      <t>バン</t>
    </rPh>
    <rPh sb="13" eb="14">
      <t>ゴウ</t>
    </rPh>
    <phoneticPr fontId="5"/>
  </si>
  <si>
    <t>２０２５</t>
    <phoneticPr fontId="5"/>
  </si>
  <si>
    <t>１</t>
    <phoneticPr fontId="5"/>
  </si>
  <si>
    <t>商業</t>
    <rPh sb="0" eb="2">
      <t>ショウギョウ</t>
    </rPh>
    <phoneticPr fontId="5"/>
  </si>
  <si>
    <t>いたみ交流センター管理運営委員会</t>
    <rPh sb="3" eb="5">
      <t>コウリュウ</t>
    </rPh>
    <phoneticPr fontId="5"/>
  </si>
  <si>
    <t>第1・3月曜日（月曜日は祝日の場合は翌日）、年末年始</t>
    <phoneticPr fontId="5"/>
  </si>
  <si>
    <t>第1・3月曜日（月曜日は祝日の場合は翌日）、年末年始</t>
    <rPh sb="0" eb="1">
      <t>ダイ</t>
    </rPh>
    <rPh sb="4" eb="7">
      <t>ゲツヨウビ</t>
    </rPh>
    <rPh sb="8" eb="11">
      <t>ゲツヨウビ</t>
    </rPh>
    <rPh sb="12" eb="14">
      <t>シュクジツ</t>
    </rPh>
    <rPh sb="15" eb="17">
      <t>バアイ</t>
    </rPh>
    <rPh sb="18" eb="20">
      <t>ヨクジツ</t>
    </rPh>
    <rPh sb="22" eb="24">
      <t>ネンマツ</t>
    </rPh>
    <rPh sb="24" eb="26">
      <t>ネンシ</t>
    </rPh>
    <phoneticPr fontId="5"/>
  </si>
  <si>
    <t>体育館,トレーニングルーム,調理実習室,多目的室1～４,第5～11会議室,多目的ホール</t>
    <phoneticPr fontId="5"/>
  </si>
  <si>
    <t>こども未来部こども室こども文化科学館</t>
    <rPh sb="9" eb="10">
      <t>シツ</t>
    </rPh>
    <rPh sb="13" eb="15">
      <t>ブンカ</t>
    </rPh>
    <rPh sb="15" eb="17">
      <t>カガク</t>
    </rPh>
    <rPh sb="17" eb="18">
      <t>カン</t>
    </rPh>
    <phoneticPr fontId="1"/>
  </si>
  <si>
    <t>稲野児童くらぶ</t>
    <phoneticPr fontId="5"/>
  </si>
  <si>
    <t>0377</t>
    <phoneticPr fontId="5"/>
  </si>
  <si>
    <t>南児童くらぶ</t>
    <phoneticPr fontId="5"/>
  </si>
  <si>
    <t>伊丹市御願塚2丁目6番2号</t>
  </si>
  <si>
    <t>2024</t>
    <phoneticPr fontId="5"/>
  </si>
  <si>
    <t>２０２４</t>
    <phoneticPr fontId="5"/>
  </si>
  <si>
    <t>南小学校</t>
    <rPh sb="0" eb="1">
      <t>ミナミ</t>
    </rPh>
    <rPh sb="1" eb="4">
      <t>ショウガッコウ</t>
    </rPh>
    <phoneticPr fontId="5"/>
  </si>
  <si>
    <t xml:space="preserve">保護者の就労、病気その他の理由により、放課後、家庭において適切な保育を受けられない児童を保育することを目的とする施設。 </t>
    <phoneticPr fontId="5"/>
  </si>
  <si>
    <t>第１種低層住居専用</t>
    <rPh sb="0" eb="1">
      <t>ダイ</t>
    </rPh>
    <rPh sb="2" eb="3">
      <t>シュ</t>
    </rPh>
    <rPh sb="3" eb="5">
      <t>テイソウ</t>
    </rPh>
    <rPh sb="5" eb="7">
      <t>ジュウキョ</t>
    </rPh>
    <rPh sb="7" eb="9">
      <t>センヨウ</t>
    </rPh>
    <phoneticPr fontId="5"/>
  </si>
  <si>
    <t>１００</t>
    <phoneticPr fontId="5"/>
  </si>
  <si>
    <t>1種</t>
    <rPh sb="1" eb="2">
      <t>シュ</t>
    </rPh>
    <phoneticPr fontId="5"/>
  </si>
  <si>
    <t>07住宅施設</t>
    <phoneticPr fontId="5"/>
  </si>
  <si>
    <t>(R5報告)令和4年度に所有権移転されたA1棟分のみです。また指定管理による管理期間も、所有権移転日に合わせています。</t>
    <rPh sb="3" eb="5">
      <t>ホウコク</t>
    </rPh>
    <rPh sb="6" eb="8">
      <t>レイワ</t>
    </rPh>
    <rPh sb="9" eb="11">
      <t>ネンド</t>
    </rPh>
    <rPh sb="12" eb="17">
      <t>ショユウケンイテン</t>
    </rPh>
    <rPh sb="22" eb="23">
      <t>トウ</t>
    </rPh>
    <rPh sb="23" eb="24">
      <t>ブン</t>
    </rPh>
    <rPh sb="31" eb="35">
      <t>シテイカンリ</t>
    </rPh>
    <rPh sb="38" eb="40">
      <t>カンリ</t>
    </rPh>
    <rPh sb="40" eb="42">
      <t>キカン</t>
    </rPh>
    <rPh sb="44" eb="47">
      <t>ショユウケン</t>
    </rPh>
    <rPh sb="47" eb="50">
      <t>イテンビ</t>
    </rPh>
    <rPh sb="51" eb="52">
      <t>ア</t>
    </rPh>
    <phoneticPr fontId="5"/>
  </si>
  <si>
    <t>伊丹市公館（鴻臚館）</t>
    <phoneticPr fontId="5"/>
  </si>
  <si>
    <t>総合政策部経営戦略室秘書課</t>
    <rPh sb="5" eb="7">
      <t>ケイエイ</t>
    </rPh>
    <rPh sb="7" eb="10">
      <t>センリャクシツ</t>
    </rPh>
    <phoneticPr fontId="5"/>
  </si>
  <si>
    <t>伊丹スポーツセンター</t>
    <phoneticPr fontId="5"/>
  </si>
  <si>
    <t>行政財産</t>
    <rPh sb="0" eb="2">
      <t>ギョウセイ</t>
    </rPh>
    <phoneticPr fontId="1"/>
  </si>
  <si>
    <t>公益財団法人いたみ文化・スポーツ財団</t>
    <rPh sb="9" eb="11">
      <t>ブンカ</t>
    </rPh>
    <rPh sb="16" eb="18">
      <t>ザイダン</t>
    </rPh>
    <phoneticPr fontId="1"/>
  </si>
  <si>
    <t>アシックス・サンアメニティ共同体</t>
    <rPh sb="13" eb="16">
      <t>キョウドウタイ</t>
    </rPh>
    <phoneticPr fontId="1"/>
  </si>
  <si>
    <t>関西エアポート株式会社</t>
    <rPh sb="0" eb="2">
      <t>カンサイ</t>
    </rPh>
    <rPh sb="7" eb="11">
      <t>カブシキガイシャ</t>
    </rPh>
    <phoneticPr fontId="1"/>
  </si>
  <si>
    <t>13:00～日没（17:00,19:00）(土,日,祝,学校休業日：9:00～)</t>
    <rPh sb="22" eb="23">
      <t>ド</t>
    </rPh>
    <phoneticPr fontId="1"/>
  </si>
  <si>
    <t>南小学校地区まちづくり協議会</t>
    <rPh sb="1" eb="4">
      <t>ショウガッコウ</t>
    </rPh>
    <rPh sb="4" eb="6">
      <t>チク</t>
    </rPh>
    <phoneticPr fontId="1"/>
  </si>
  <si>
    <t>自転車790台,原付等89台</t>
    <phoneticPr fontId="5"/>
  </si>
  <si>
    <t>自転車484台,原付等２7台</t>
    <phoneticPr fontId="5"/>
  </si>
  <si>
    <t>自転車1,543台,原付等351台</t>
    <phoneticPr fontId="5"/>
  </si>
  <si>
    <t>自転車５91台,原付等110台</t>
    <phoneticPr fontId="5"/>
  </si>
  <si>
    <t>自転車１,070台,原付等130台</t>
    <phoneticPr fontId="5"/>
  </si>
  <si>
    <t>単独</t>
    <rPh sb="0" eb="2">
      <t>タンドク</t>
    </rPh>
    <phoneticPr fontId="1"/>
  </si>
  <si>
    <t>消費生活センター</t>
    <phoneticPr fontId="5"/>
  </si>
  <si>
    <t>複合</t>
    <rPh sb="0" eb="2">
      <t>フクゴウ</t>
    </rPh>
    <phoneticPr fontId="1"/>
  </si>
  <si>
    <t>伊丹商工プラザ</t>
    <rPh sb="0" eb="2">
      <t>イタミ</t>
    </rPh>
    <rPh sb="2" eb="4">
      <t>ショウコウ</t>
    </rPh>
    <phoneticPr fontId="1"/>
  </si>
  <si>
    <t>単独 複合</t>
    <rPh sb="0" eb="2">
      <t>タンドク</t>
    </rPh>
    <rPh sb="3" eb="5">
      <t>フクゴウ</t>
    </rPh>
    <phoneticPr fontId="5"/>
  </si>
  <si>
    <t>１０</t>
    <phoneticPr fontId="5"/>
  </si>
  <si>
    <t>階段棟</t>
    <rPh sb="0" eb="2">
      <t>カイダン</t>
    </rPh>
    <rPh sb="2" eb="3">
      <t>ムネ</t>
    </rPh>
    <phoneticPr fontId="5"/>
  </si>
  <si>
    <t>南児童くらぶ</t>
    <rPh sb="0" eb="1">
      <t>ミナミ</t>
    </rPh>
    <rPh sb="1" eb="3">
      <t>ジドウ</t>
    </rPh>
    <phoneticPr fontId="5"/>
  </si>
  <si>
    <t>１２</t>
    <phoneticPr fontId="5"/>
  </si>
  <si>
    <t>13</t>
    <phoneticPr fontId="5"/>
  </si>
  <si>
    <t>14</t>
    <phoneticPr fontId="5"/>
  </si>
  <si>
    <t>15</t>
    <phoneticPr fontId="9"/>
  </si>
  <si>
    <t>16</t>
    <phoneticPr fontId="5"/>
  </si>
  <si>
    <t>17</t>
    <phoneticPr fontId="5"/>
  </si>
  <si>
    <t>18</t>
    <phoneticPr fontId="5"/>
  </si>
  <si>
    <t>19</t>
    <phoneticPr fontId="5"/>
  </si>
  <si>
    <t>20</t>
    <phoneticPr fontId="5"/>
  </si>
  <si>
    <t>多目的トイレ</t>
    <phoneticPr fontId="5"/>
  </si>
  <si>
    <t>W</t>
    <phoneticPr fontId="5"/>
  </si>
  <si>
    <t>JR伊丹駅前第1自転車駐車場</t>
    <rPh sb="2" eb="4">
      <t>イタミ</t>
    </rPh>
    <rPh sb="4" eb="6">
      <t>エキマエ</t>
    </rPh>
    <rPh sb="6" eb="7">
      <t>ダイ</t>
    </rPh>
    <phoneticPr fontId="5"/>
  </si>
  <si>
    <t>JR伊丹駅前第2自転車駐車場</t>
    <rPh sb="2" eb="4">
      <t>イタミ</t>
    </rPh>
    <rPh sb="4" eb="6">
      <t>エキマエ</t>
    </rPh>
    <phoneticPr fontId="5"/>
  </si>
  <si>
    <t>JR伊丹駅前第3自転車駐車場</t>
    <rPh sb="2" eb="4">
      <t>イタミ</t>
    </rPh>
    <rPh sb="4" eb="6">
      <t>エキマエ</t>
    </rPh>
    <rPh sb="6" eb="7">
      <t>ダイ</t>
    </rPh>
    <phoneticPr fontId="5"/>
  </si>
  <si>
    <t>指定管理委託料</t>
    <rPh sb="0" eb="7">
      <t>シテイカンリイタクリョウ</t>
    </rPh>
    <phoneticPr fontId="5"/>
  </si>
  <si>
    <t>コミュニティセンター梅ﾉ木</t>
    <phoneticPr fontId="5"/>
  </si>
  <si>
    <t>市収入17…目的外利用分</t>
    <rPh sb="0" eb="3">
      <t>シシュウニュウ</t>
    </rPh>
    <rPh sb="6" eb="9">
      <t>モクテキガイ</t>
    </rPh>
    <rPh sb="9" eb="11">
      <t>リヨウ</t>
    </rPh>
    <rPh sb="11" eb="12">
      <t>ブン</t>
    </rPh>
    <phoneticPr fontId="5"/>
  </si>
  <si>
    <t xml:space="preserve">報酬　　65,200円
手数料　10,240円
保険料　57,266円
展示整備委託料　1,870,000円
自動車　2,686,458円
電気自動車充電設備工事　214,500円
</t>
  </si>
  <si>
    <t>行政財産目的外使用料（253291）、建物貸付料（3627705）、光熱水費実費弁償金（842763）</t>
    <rPh sb="42" eb="43">
      <t>キン</t>
    </rPh>
    <phoneticPr fontId="5"/>
  </si>
  <si>
    <t>用地借料（275500）</t>
  </si>
  <si>
    <t>指定管理施設管理運営状況報告書より抜粋</t>
  </si>
  <si>
    <t>管理運営状況報告書より</t>
    <rPh sb="0" eb="6">
      <t>カンリウンエイジョウキョウ</t>
    </rPh>
    <rPh sb="6" eb="9">
      <t>ホウコクショ</t>
    </rPh>
    <phoneticPr fontId="8"/>
  </si>
  <si>
    <t>伊丹市</t>
    <rPh sb="0" eb="2">
      <t>イタミ</t>
    </rPh>
    <rPh sb="2" eb="3">
      <t>シ</t>
    </rPh>
    <phoneticPr fontId="8"/>
  </si>
  <si>
    <t>校舎1(ﾃﾞｲｻｰﾋﾞｽ）</t>
  </si>
  <si>
    <t>単独</t>
    <rPh sb="0" eb="2">
      <t>タンドク</t>
    </rPh>
    <phoneticPr fontId="8"/>
  </si>
  <si>
    <t>00対象</t>
    <rPh sb="2" eb="4">
      <t>タイショウ</t>
    </rPh>
    <phoneticPr fontId="12"/>
  </si>
  <si>
    <t>１６５</t>
  </si>
  <si>
    <t>教育委員会教育総務部・こども未来部</t>
  </si>
  <si>
    <t>更衣室</t>
  </si>
  <si>
    <t>保育室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</si>
</sst>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
    <numFmt numFmtId="177" formatCode="#,##0.00_ "/>
    <numFmt numFmtId="178" formatCode="0_);[Red]\(0\)"/>
    <numFmt numFmtId="179" formatCode="00"/>
    <numFmt numFmtId="180" formatCode="#,##0&quot;㎡&quot;"/>
    <numFmt numFmtId="181" formatCode="0.0"/>
    <numFmt numFmtId="182" formatCode="#,##0.0"/>
    <numFmt numFmtId="183" formatCode="0.000"/>
    <numFmt numFmtId="184" formatCode="0.0000"/>
    <numFmt numFmtId="185" formatCode="0.0%"/>
    <numFmt numFmtId="186" formatCode="[&lt;=999]000;[&lt;=9999]000\-00;000\-0000"/>
    <numFmt numFmtId="187" formatCode="0.00_);[Red]\(0.00\)"/>
  </numFmts>
  <fonts count="4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9"/>
      <name val="ＭＳ Ｐゴシック"/>
      <family val="3"/>
      <charset val="128"/>
    </font>
    <font>
      <sz val="6"/>
      <name val="ＭＳ 明朝"/>
      <family val="1"/>
      <charset val="128"/>
    </font>
    <font>
      <sz val="6"/>
      <name val="ＭＳ Ｐゴシック"/>
      <family val="3"/>
      <charset val="128"/>
    </font>
    <font>
      <sz val="6"/>
      <name val="ＭＳ Ｐゴシック"/>
      <family val="3"/>
      <charset val="128"/>
      <scheme val="minor"/>
    </font>
    <font>
      <sz val="11"/>
      <name val="ＭＳ Ｐゴシック"/>
      <family val="3"/>
      <charset val="128"/>
    </font>
    <font>
      <sz val="11"/>
      <color indexed="17"/>
      <name val="ＭＳ Ｐゴシック"/>
      <family val="3"/>
      <charset val="128"/>
    </font>
    <font>
      <sz val="10"/>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indexed="10"/>
      <name val="ＭＳ Ｐゴシック"/>
      <family val="3"/>
      <charset val="128"/>
    </font>
    <font>
      <sz val="12"/>
      <name val="ＭＳ 明朝"/>
      <family val="1"/>
      <charset val="128"/>
    </font>
    <font>
      <sz val="10"/>
      <color theme="1"/>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11"/>
      <color indexed="8"/>
      <name val="ＭＳ Ｐゴシック"/>
      <family val="3"/>
      <charset val="128"/>
    </font>
    <font>
      <sz val="10"/>
      <name val="ＭＳ ゴシック"/>
      <family val="3"/>
      <charset val="128"/>
    </font>
    <font>
      <sz val="12"/>
      <name val="System"/>
      <charset val="128"/>
    </font>
    <font>
      <sz val="11"/>
      <name val="明朝"/>
      <family val="1"/>
      <charset val="128"/>
    </font>
    <font>
      <sz val="14"/>
      <name val="ＭＳ 明朝"/>
      <family val="1"/>
      <charset val="128"/>
    </font>
    <font>
      <b/>
      <sz val="11"/>
      <name val="ＭＳ Ｐゴシック"/>
      <family val="3"/>
      <charset val="128"/>
    </font>
    <font>
      <sz val="9"/>
      <color rgb="FFFF0000"/>
      <name val="ＭＳ Ｐゴシック"/>
      <family val="3"/>
      <charset val="128"/>
    </font>
    <font>
      <b/>
      <sz val="14"/>
      <color rgb="FF0000CC"/>
      <name val="ＭＳ Ｐゴシック"/>
      <family val="3"/>
      <charset val="128"/>
      <scheme val="minor"/>
    </font>
    <font>
      <sz val="11"/>
      <color theme="1"/>
      <name val="ＭＳ　Ｐゴシック"/>
      <family val="3"/>
      <charset val="128"/>
    </font>
    <font>
      <b/>
      <sz val="11"/>
      <color theme="0"/>
      <name val="游ゴシック"/>
      <family val="3"/>
      <charset val="128"/>
    </font>
    <font>
      <sz val="6"/>
      <name val="ＭＳ Ｐゴシック"/>
      <family val="2"/>
      <charset val="128"/>
    </font>
    <font>
      <sz val="11"/>
      <color rgb="FF0F0F0F"/>
      <name val="ＭＳ ゴシック"/>
      <family val="3"/>
      <charset val="128"/>
    </font>
    <font>
      <sz val="10"/>
      <name val="BIZ UDPゴシック"/>
      <family val="3"/>
      <charset val="128"/>
    </font>
    <font>
      <sz val="11"/>
      <name val="BIZ UDPゴシック"/>
      <family val="3"/>
      <charset val="128"/>
    </font>
    <font>
      <strike/>
      <sz val="10"/>
      <name val="BIZ UDPゴシック"/>
      <family val="3"/>
      <charset val="128"/>
    </font>
    <font>
      <sz val="9"/>
      <name val="BIZ UDPゴシック"/>
      <family val="3"/>
      <charset val="128"/>
    </font>
    <font>
      <b/>
      <sz val="11"/>
      <name val="BIZ UDPゴシック"/>
      <family val="3"/>
      <charset val="128"/>
    </font>
    <font>
      <sz val="9"/>
      <color theme="1"/>
      <name val="BIZ UDPゴシック"/>
      <family val="3"/>
      <charset val="128"/>
    </font>
    <font>
      <sz val="6"/>
      <name val="BIZ UDPゴシック"/>
      <family val="3"/>
      <charset val="128"/>
    </font>
    <font>
      <b/>
      <sz val="12"/>
      <name val="BIZ UDPゴシック"/>
      <family val="3"/>
      <charset val="128"/>
    </font>
    <font>
      <sz val="10"/>
      <color theme="1"/>
      <name val="BIZ UDP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7" tint="0.79998168889431442"/>
        <bgColor indexed="64"/>
      </patternFill>
    </fill>
    <fill>
      <patternFill patternType="solid">
        <fgColor theme="3" tint="0.79998168889431442"/>
        <bgColor indexed="64"/>
      </patternFill>
    </fill>
  </fills>
  <borders count="52">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top/>
      <bottom style="hair">
        <color indexed="64"/>
      </bottom>
      <diagonal/>
    </border>
    <border>
      <left/>
      <right style="hair">
        <color indexed="64"/>
      </right>
      <top/>
      <bottom/>
      <diagonal/>
    </border>
  </borders>
  <cellStyleXfs count="41">
    <xf numFmtId="0" fontId="0" fillId="0" borderId="0">
      <alignment vertical="center"/>
    </xf>
    <xf numFmtId="38" fontId="13" fillId="0" borderId="0" applyFont="0" applyFill="0" applyBorder="0" applyAlignment="0" applyProtection="0">
      <alignment vertical="center"/>
    </xf>
    <xf numFmtId="0" fontId="14" fillId="0" borderId="0">
      <alignment vertical="center"/>
    </xf>
    <xf numFmtId="0" fontId="16" fillId="0" borderId="0"/>
    <xf numFmtId="38" fontId="10" fillId="0" borderId="0" applyFont="0" applyFill="0" applyBorder="0" applyAlignment="0" applyProtection="0"/>
    <xf numFmtId="0" fontId="18" fillId="0" borderId="26">
      <alignment horizontal="justify" vertical="top" wrapText="1"/>
    </xf>
    <xf numFmtId="0" fontId="19" fillId="0" borderId="0" applyAlignment="0">
      <alignment vertical="center"/>
    </xf>
    <xf numFmtId="9" fontId="1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alignment vertical="center"/>
    </xf>
    <xf numFmtId="9" fontId="20" fillId="0" borderId="0" applyFont="0" applyFill="0" applyBorder="0" applyAlignment="0" applyProtection="0">
      <alignment vertical="center"/>
    </xf>
    <xf numFmtId="38" fontId="10" fillId="0" borderId="0" applyFont="0" applyFill="0" applyBorder="0" applyAlignment="0" applyProtection="0">
      <alignment vertical="center"/>
    </xf>
    <xf numFmtId="3" fontId="16" fillId="0" borderId="0" applyFont="0" applyFill="0" applyBorder="0" applyAlignment="0" applyProtection="0"/>
    <xf numFmtId="38" fontId="21" fillId="0" borderId="0" applyFont="0" applyFill="0" applyBorder="0" applyAlignment="0" applyProtection="0"/>
    <xf numFmtId="0" fontId="22" fillId="0" borderId="0"/>
    <xf numFmtId="0" fontId="10" fillId="0" borderId="0"/>
    <xf numFmtId="0" fontId="23" fillId="0" borderId="0"/>
    <xf numFmtId="0" fontId="13" fillId="0" borderId="0">
      <alignment vertical="center"/>
    </xf>
    <xf numFmtId="0" fontId="16" fillId="0" borderId="0"/>
    <xf numFmtId="0" fontId="14" fillId="0" borderId="0">
      <alignment vertical="center"/>
    </xf>
    <xf numFmtId="0" fontId="10" fillId="0" borderId="0"/>
    <xf numFmtId="0" fontId="10" fillId="0" borderId="0"/>
    <xf numFmtId="0" fontId="16" fillId="0" borderId="0"/>
    <xf numFmtId="0" fontId="24" fillId="0" borderId="0"/>
    <xf numFmtId="38" fontId="14" fillId="0" borderId="0" applyFont="0" applyFill="0" applyBorder="0" applyAlignment="0" applyProtection="0">
      <alignment vertical="center"/>
    </xf>
    <xf numFmtId="9" fontId="13" fillId="0" borderId="0" applyFont="0" applyFill="0" applyBorder="0" applyAlignment="0" applyProtection="0">
      <alignment vertical="center"/>
    </xf>
    <xf numFmtId="0" fontId="10" fillId="0" borderId="0"/>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896">
    <xf numFmtId="0" fontId="0" fillId="0" borderId="0" xfId="0">
      <alignment vertical="center"/>
    </xf>
    <xf numFmtId="49" fontId="12" fillId="0" borderId="0" xfId="2" applyNumberFormat="1" applyFont="1" applyAlignment="1">
      <alignment horizontal="center" vertical="center"/>
    </xf>
    <xf numFmtId="0" fontId="12" fillId="0" borderId="0" xfId="2" applyFont="1" applyAlignment="1">
      <alignment horizontal="justify" vertical="center"/>
    </xf>
    <xf numFmtId="0" fontId="12" fillId="0" borderId="0" xfId="2" applyFont="1" applyAlignment="1">
      <alignment horizontal="left" vertical="center" shrinkToFit="1"/>
    </xf>
    <xf numFmtId="0" fontId="12" fillId="0" borderId="0" xfId="2" applyFont="1" applyAlignment="1">
      <alignment horizontal="center" vertical="center"/>
    </xf>
    <xf numFmtId="178" fontId="12" fillId="0" borderId="0" xfId="2" applyNumberFormat="1" applyFont="1" applyAlignment="1">
      <alignment horizontal="center" vertical="center"/>
    </xf>
    <xf numFmtId="0" fontId="25" fillId="0" borderId="0" xfId="0" applyFont="1" applyFill="1">
      <alignment vertical="center"/>
    </xf>
    <xf numFmtId="0" fontId="6" fillId="0" borderId="0" xfId="0" applyFont="1" applyAlignment="1">
      <alignment horizontal="right" vertical="center" wrapText="1"/>
    </xf>
    <xf numFmtId="49"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0" xfId="0" applyFont="1" applyAlignment="1">
      <alignment horizontal="center" vertical="center"/>
    </xf>
    <xf numFmtId="0" fontId="6" fillId="0" borderId="0" xfId="0" applyFont="1">
      <alignment vertical="center"/>
    </xf>
    <xf numFmtId="38" fontId="6" fillId="0" borderId="0" xfId="1" applyFont="1">
      <alignment vertical="center"/>
    </xf>
    <xf numFmtId="0" fontId="6" fillId="0" borderId="0" xfId="0" applyNumberFormat="1" applyFont="1" applyAlignment="1">
      <alignment horizontal="left" vertical="center"/>
    </xf>
    <xf numFmtId="0" fontId="6" fillId="0" borderId="0" xfId="1" applyNumberFormat="1" applyFont="1" applyAlignment="1">
      <alignment horizontal="left" vertical="center"/>
    </xf>
    <xf numFmtId="0" fontId="6" fillId="0" borderId="0" xfId="0" applyFont="1" applyFill="1">
      <alignment vertical="center"/>
    </xf>
    <xf numFmtId="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0" fillId="3" borderId="0" xfId="0" applyFill="1">
      <alignment vertical="center"/>
    </xf>
    <xf numFmtId="0" fontId="0" fillId="0" borderId="0" xfId="0" applyFill="1">
      <alignment vertical="center"/>
    </xf>
    <xf numFmtId="0" fontId="0" fillId="0" borderId="0" xfId="0" pivotButton="1">
      <alignment vertical="center"/>
    </xf>
    <xf numFmtId="0" fontId="0" fillId="0" borderId="0" xfId="0" applyAlignment="1">
      <alignment horizontal="left" vertical="center"/>
    </xf>
    <xf numFmtId="0" fontId="0" fillId="3" borderId="0" xfId="0" applyFill="1" applyAlignment="1">
      <alignment horizontal="center" vertical="center"/>
    </xf>
    <xf numFmtId="0" fontId="0" fillId="0" borderId="0" xfId="0" applyAlignment="1">
      <alignment horizontal="center" vertical="center" wrapText="1"/>
    </xf>
    <xf numFmtId="0" fontId="27" fillId="0" borderId="0" xfId="0" applyFont="1">
      <alignment vertical="center"/>
    </xf>
    <xf numFmtId="0" fontId="27" fillId="0" borderId="0" xfId="0" applyFont="1"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xf>
    <xf numFmtId="0" fontId="17" fillId="0" borderId="0" xfId="0" applyFont="1">
      <alignment vertical="center"/>
    </xf>
    <xf numFmtId="0" fontId="0" fillId="0" borderId="0" xfId="0" applyAlignment="1">
      <alignment horizontal="left" vertical="center" shrinkToFit="1"/>
    </xf>
    <xf numFmtId="0" fontId="17" fillId="0" borderId="0" xfId="0" applyFont="1" applyAlignment="1">
      <alignment horizontal="center" vertical="center"/>
    </xf>
    <xf numFmtId="0" fontId="17" fillId="0" borderId="0" xfId="0" applyFont="1" applyAlignment="1">
      <alignment horizontal="center" vertical="center" wrapText="1"/>
    </xf>
    <xf numFmtId="0" fontId="0" fillId="0" borderId="0" xfId="0" applyAlignment="1">
      <alignment horizontal="center" vertical="center" shrinkToFit="1"/>
    </xf>
    <xf numFmtId="0" fontId="0" fillId="0" borderId="0" xfId="0" pivotButton="1" applyAlignment="1">
      <alignment horizontal="center" vertical="center"/>
    </xf>
    <xf numFmtId="0" fontId="0" fillId="0" borderId="0" xfId="0" pivotButton="1" applyAlignment="1">
      <alignment horizontal="left" vertical="center"/>
    </xf>
    <xf numFmtId="0" fontId="4" fillId="0" borderId="0" xfId="28">
      <alignment vertical="center"/>
    </xf>
    <xf numFmtId="38" fontId="0" fillId="0" borderId="0" xfId="29" applyFont="1">
      <alignment vertical="center"/>
    </xf>
    <xf numFmtId="185" fontId="0" fillId="0" borderId="0" xfId="30" applyNumberFormat="1" applyFont="1">
      <alignment vertical="center"/>
    </xf>
    <xf numFmtId="3" fontId="31" fillId="0" borderId="0" xfId="0" applyNumberFormat="1" applyFont="1">
      <alignment vertical="center"/>
    </xf>
    <xf numFmtId="0" fontId="4" fillId="0" borderId="0" xfId="28" quotePrefix="1">
      <alignment vertical="center"/>
    </xf>
    <xf numFmtId="49" fontId="6" fillId="0" borderId="0" xfId="0" applyNumberFormat="1" applyFont="1" applyFill="1" applyAlignment="1">
      <alignment horizontal="center" vertical="center"/>
    </xf>
    <xf numFmtId="0" fontId="6" fillId="0" borderId="0" xfId="0" applyNumberFormat="1" applyFont="1" applyAlignment="1">
      <alignment horizontal="center" vertical="center"/>
    </xf>
    <xf numFmtId="49" fontId="12" fillId="0" borderId="0" xfId="0" applyNumberFormat="1" applyFont="1" applyAlignment="1">
      <alignment horizontal="center" vertical="center"/>
    </xf>
    <xf numFmtId="49" fontId="12" fillId="0" borderId="0" xfId="0" applyNumberFormat="1" applyFont="1" applyAlignment="1">
      <alignment vertical="center" shrinkToFit="1"/>
    </xf>
    <xf numFmtId="49" fontId="12" fillId="0" borderId="0" xfId="0" applyNumberFormat="1" applyFont="1" applyAlignment="1">
      <alignment horizontal="left" vertical="center"/>
    </xf>
    <xf numFmtId="0" fontId="12" fillId="0" borderId="0" xfId="0" applyFont="1" applyAlignment="1">
      <alignment vertical="center" shrinkToFit="1"/>
    </xf>
    <xf numFmtId="0" fontId="25" fillId="4" borderId="2" xfId="0" applyFont="1" applyFill="1" applyBorder="1" applyAlignment="1">
      <alignment horizontal="left" vertical="center"/>
    </xf>
    <xf numFmtId="0" fontId="25" fillId="4" borderId="1" xfId="0" applyNumberFormat="1" applyFont="1" applyFill="1" applyBorder="1" applyAlignment="1">
      <alignment horizontal="center" vertical="center"/>
    </xf>
    <xf numFmtId="49" fontId="25" fillId="4" borderId="1" xfId="0" applyNumberFormat="1" applyFont="1" applyFill="1" applyBorder="1" applyAlignment="1">
      <alignment horizontal="center" vertical="center"/>
    </xf>
    <xf numFmtId="0" fontId="25" fillId="4" borderId="1" xfId="0" applyFont="1" applyFill="1" applyBorder="1" applyAlignment="1">
      <alignment horizontal="left" vertical="center" shrinkToFit="1"/>
    </xf>
    <xf numFmtId="0" fontId="25" fillId="4" borderId="20" xfId="0" applyFont="1" applyFill="1" applyBorder="1">
      <alignment vertical="center"/>
    </xf>
    <xf numFmtId="0" fontId="25" fillId="4" borderId="21" xfId="0" applyFont="1" applyFill="1" applyBorder="1">
      <alignment vertical="center"/>
    </xf>
    <xf numFmtId="0" fontId="25" fillId="4" borderId="22" xfId="0" applyFont="1" applyFill="1" applyBorder="1">
      <alignment vertical="center"/>
    </xf>
    <xf numFmtId="0" fontId="25" fillId="4" borderId="1" xfId="0" applyFont="1" applyFill="1" applyBorder="1">
      <alignment vertical="center"/>
    </xf>
    <xf numFmtId="38" fontId="25" fillId="4" borderId="1" xfId="1" applyFont="1" applyFill="1" applyBorder="1">
      <alignment vertical="center"/>
    </xf>
    <xf numFmtId="0" fontId="25" fillId="4" borderId="20" xfId="0" applyNumberFormat="1" applyFont="1" applyFill="1" applyBorder="1" applyAlignment="1">
      <alignment horizontal="left" vertical="center"/>
    </xf>
    <xf numFmtId="0" fontId="25" fillId="4" borderId="21" xfId="1" applyNumberFormat="1" applyFont="1" applyFill="1" applyBorder="1" applyAlignment="1">
      <alignment horizontal="left" vertical="center"/>
    </xf>
    <xf numFmtId="0" fontId="25" fillId="4" borderId="22" xfId="1" applyNumberFormat="1" applyFont="1" applyFill="1" applyBorder="1" applyAlignment="1">
      <alignment horizontal="left" vertical="center"/>
    </xf>
    <xf numFmtId="0" fontId="25" fillId="4" borderId="25" xfId="0" applyFont="1" applyFill="1" applyBorder="1">
      <alignment vertical="center"/>
    </xf>
    <xf numFmtId="38" fontId="25" fillId="4" borderId="24" xfId="1" applyFont="1" applyFill="1" applyBorder="1">
      <alignment vertical="center"/>
    </xf>
    <xf numFmtId="0" fontId="6" fillId="0" borderId="0" xfId="0" applyNumberFormat="1" applyFont="1" applyFill="1" applyAlignment="1">
      <alignment horizontal="center" vertical="center"/>
    </xf>
    <xf numFmtId="0" fontId="6" fillId="0" borderId="0" xfId="0" applyFont="1" applyFill="1" applyAlignment="1">
      <alignment horizontal="right" vertical="center" wrapText="1"/>
    </xf>
    <xf numFmtId="0" fontId="6" fillId="0" borderId="0" xfId="0" applyFont="1" applyFill="1" applyAlignment="1">
      <alignment horizontal="center" vertical="center"/>
    </xf>
    <xf numFmtId="0" fontId="32" fillId="0" borderId="0" xfId="0" applyFont="1" applyFill="1" applyAlignment="1">
      <alignment vertical="center" shrinkToFit="1"/>
    </xf>
    <xf numFmtId="185" fontId="32" fillId="0" borderId="31" xfId="26" applyNumberFormat="1" applyFont="1" applyFill="1" applyBorder="1" applyAlignment="1">
      <alignment vertical="center" shrinkToFit="1"/>
    </xf>
    <xf numFmtId="49" fontId="32" fillId="0" borderId="7" xfId="0" applyNumberFormat="1" applyFont="1" applyFill="1" applyBorder="1" applyAlignment="1">
      <alignment vertical="center" shrinkToFit="1"/>
    </xf>
    <xf numFmtId="49" fontId="32" fillId="0" borderId="8" xfId="0" applyNumberFormat="1" applyFont="1" applyFill="1" applyBorder="1" applyAlignment="1">
      <alignment vertical="center" shrinkToFit="1"/>
    </xf>
    <xf numFmtId="49" fontId="35" fillId="0" borderId="7" xfId="0" applyNumberFormat="1" applyFont="1" applyFill="1" applyBorder="1" applyAlignment="1">
      <alignment vertical="center" shrinkToFit="1"/>
    </xf>
    <xf numFmtId="0" fontId="32" fillId="0" borderId="8" xfId="3" applyFont="1" applyFill="1" applyBorder="1" applyAlignment="1">
      <alignment horizontal="left" vertical="center" shrinkToFit="1"/>
    </xf>
    <xf numFmtId="0" fontId="32" fillId="0" borderId="7" xfId="3" applyFont="1" applyFill="1" applyBorder="1" applyAlignment="1">
      <alignment horizontal="left" vertical="center" shrinkToFit="1"/>
    </xf>
    <xf numFmtId="0" fontId="35" fillId="0" borderId="7" xfId="3" applyFont="1" applyFill="1" applyBorder="1" applyAlignment="1">
      <alignment horizontal="left" vertical="center" shrinkToFit="1"/>
    </xf>
    <xf numFmtId="49" fontId="32" fillId="0" borderId="0" xfId="0" applyNumberFormat="1" applyFont="1" applyAlignment="1">
      <alignment horizontal="center" vertical="center"/>
    </xf>
    <xf numFmtId="49" fontId="32" fillId="0" borderId="0" xfId="0" applyNumberFormat="1" applyFont="1" applyAlignment="1">
      <alignment vertical="center" shrinkToFit="1"/>
    </xf>
    <xf numFmtId="49" fontId="32" fillId="0" borderId="0" xfId="0" applyNumberFormat="1" applyFont="1" applyAlignment="1">
      <alignment horizontal="left" vertical="center"/>
    </xf>
    <xf numFmtId="0" fontId="32" fillId="0" borderId="0" xfId="0" applyFont="1" applyAlignment="1">
      <alignment vertical="center" shrinkToFit="1"/>
    </xf>
    <xf numFmtId="0" fontId="36" fillId="4" borderId="2" xfId="0" applyFont="1" applyFill="1" applyBorder="1" applyAlignment="1">
      <alignment horizontal="left" vertical="center"/>
    </xf>
    <xf numFmtId="0" fontId="36" fillId="4" borderId="1" xfId="0" applyNumberFormat="1" applyFont="1" applyFill="1" applyBorder="1" applyAlignment="1">
      <alignment horizontal="center" vertical="center"/>
    </xf>
    <xf numFmtId="49" fontId="36" fillId="4" borderId="1" xfId="0" applyNumberFormat="1" applyFont="1" applyFill="1" applyBorder="1" applyAlignment="1">
      <alignment horizontal="center" vertical="center"/>
    </xf>
    <xf numFmtId="0" fontId="36" fillId="4" borderId="1" xfId="0" applyFont="1" applyFill="1" applyBorder="1" applyAlignment="1">
      <alignment horizontal="left" vertical="center" shrinkToFit="1"/>
    </xf>
    <xf numFmtId="0" fontId="36" fillId="4" borderId="20" xfId="0" applyFont="1" applyFill="1" applyBorder="1">
      <alignment vertical="center"/>
    </xf>
    <xf numFmtId="0" fontId="36" fillId="4" borderId="21" xfId="0" applyFont="1" applyFill="1" applyBorder="1">
      <alignment vertical="center"/>
    </xf>
    <xf numFmtId="0" fontId="36" fillId="4" borderId="22" xfId="0" applyFont="1" applyFill="1" applyBorder="1">
      <alignment vertical="center"/>
    </xf>
    <xf numFmtId="0" fontId="36" fillId="4" borderId="25" xfId="0" applyFont="1" applyFill="1" applyBorder="1">
      <alignment vertical="center"/>
    </xf>
    <xf numFmtId="0" fontId="36" fillId="4" borderId="1" xfId="0" applyFont="1" applyFill="1" applyBorder="1">
      <alignment vertical="center"/>
    </xf>
    <xf numFmtId="38" fontId="36" fillId="4" borderId="1" xfId="1" applyFont="1" applyFill="1" applyBorder="1">
      <alignment vertical="center"/>
    </xf>
    <xf numFmtId="38" fontId="36" fillId="4" borderId="24" xfId="1" applyFont="1" applyFill="1" applyBorder="1">
      <alignment vertical="center"/>
    </xf>
    <xf numFmtId="0" fontId="36" fillId="4" borderId="20" xfId="0" applyNumberFormat="1" applyFont="1" applyFill="1" applyBorder="1" applyAlignment="1">
      <alignment horizontal="left" vertical="center"/>
    </xf>
    <xf numFmtId="0" fontId="36" fillId="4" borderId="21" xfId="1" applyNumberFormat="1" applyFont="1" applyFill="1" applyBorder="1" applyAlignment="1">
      <alignment horizontal="left" vertical="center"/>
    </xf>
    <xf numFmtId="0" fontId="36" fillId="4" borderId="22" xfId="1" applyNumberFormat="1" applyFont="1" applyFill="1" applyBorder="1" applyAlignment="1">
      <alignment horizontal="left" vertical="center"/>
    </xf>
    <xf numFmtId="0" fontId="36" fillId="0" borderId="0" xfId="0" applyFont="1" applyFill="1">
      <alignment vertical="center"/>
    </xf>
    <xf numFmtId="0" fontId="35" fillId="2" borderId="23" xfId="0" applyFont="1" applyFill="1" applyBorder="1" applyAlignment="1">
      <alignment horizontal="center" vertical="center" wrapText="1"/>
    </xf>
    <xf numFmtId="0" fontId="35" fillId="2" borderId="18" xfId="0" applyNumberFormat="1" applyFont="1" applyFill="1" applyBorder="1" applyAlignment="1">
      <alignment horizontal="center" vertical="center" wrapText="1"/>
    </xf>
    <xf numFmtId="49" fontId="35" fillId="2" borderId="18" xfId="0" applyNumberFormat="1" applyFont="1" applyFill="1" applyBorder="1" applyAlignment="1">
      <alignment horizontal="center" vertical="center" wrapText="1"/>
    </xf>
    <xf numFmtId="0" fontId="35" fillId="2" borderId="18" xfId="0" applyFont="1" applyFill="1" applyBorder="1" applyAlignment="1">
      <alignment horizontal="center" vertical="center" shrinkToFit="1"/>
    </xf>
    <xf numFmtId="0" fontId="35" fillId="2" borderId="25" xfId="0" applyFont="1" applyFill="1" applyBorder="1" applyAlignment="1">
      <alignment horizontal="center" vertical="center" shrinkToFit="1"/>
    </xf>
    <xf numFmtId="0" fontId="35" fillId="2" borderId="18" xfId="0" applyFont="1" applyFill="1" applyBorder="1" applyAlignment="1">
      <alignment horizontal="center" vertical="center" wrapText="1"/>
    </xf>
    <xf numFmtId="0" fontId="35" fillId="2" borderId="19" xfId="0" applyFont="1" applyFill="1" applyBorder="1" applyAlignment="1">
      <alignment horizontal="center" vertical="center" wrapText="1"/>
    </xf>
    <xf numFmtId="38" fontId="35" fillId="2" borderId="18" xfId="1" applyFont="1" applyFill="1" applyBorder="1" applyAlignment="1">
      <alignment horizontal="center" vertical="center" wrapText="1"/>
    </xf>
    <xf numFmtId="0" fontId="35" fillId="2" borderId="25" xfId="0" applyFont="1" applyFill="1" applyBorder="1" applyAlignment="1">
      <alignment horizontal="center" vertical="center" wrapText="1"/>
    </xf>
    <xf numFmtId="0" fontId="35" fillId="2" borderId="23" xfId="0" applyNumberFormat="1" applyFont="1" applyFill="1" applyBorder="1" applyAlignment="1">
      <alignment horizontal="center" vertical="center" wrapText="1"/>
    </xf>
    <xf numFmtId="0" fontId="35" fillId="2" borderId="18" xfId="1" applyNumberFormat="1" applyFont="1" applyFill="1" applyBorder="1" applyAlignment="1">
      <alignment horizontal="center" vertical="center" wrapText="1"/>
    </xf>
    <xf numFmtId="0" fontId="35" fillId="2" borderId="19" xfId="1" applyNumberFormat="1" applyFont="1" applyFill="1" applyBorder="1" applyAlignment="1">
      <alignment horizontal="center" vertical="center" wrapText="1"/>
    </xf>
    <xf numFmtId="0" fontId="35" fillId="0" borderId="0" xfId="0" applyFont="1" applyFill="1" applyAlignment="1">
      <alignment vertical="center" wrapText="1"/>
    </xf>
    <xf numFmtId="49" fontId="35" fillId="0" borderId="6" xfId="3" applyNumberFormat="1" applyFont="1" applyFill="1" applyBorder="1" applyAlignment="1">
      <alignment horizontal="right" vertical="center" shrinkToFit="1"/>
    </xf>
    <xf numFmtId="0" fontId="35" fillId="0" borderId="7" xfId="3" quotePrefix="1" applyNumberFormat="1" applyFont="1" applyFill="1" applyBorder="1" applyAlignment="1">
      <alignment horizontal="center" vertical="center" shrinkToFit="1"/>
    </xf>
    <xf numFmtId="49" fontId="35" fillId="0" borderId="7" xfId="0" applyNumberFormat="1" applyFont="1" applyFill="1" applyBorder="1" applyAlignment="1">
      <alignment horizontal="center" vertical="center" shrinkToFit="1"/>
    </xf>
    <xf numFmtId="49" fontId="35" fillId="0" borderId="12" xfId="0" applyNumberFormat="1" applyFont="1" applyFill="1" applyBorder="1" applyAlignment="1">
      <alignment horizontal="center" vertical="center" shrinkToFit="1"/>
    </xf>
    <xf numFmtId="0" fontId="35" fillId="0" borderId="4" xfId="3" applyFont="1" applyFill="1" applyBorder="1" applyAlignment="1">
      <alignment horizontal="left" vertical="center" shrinkToFit="1"/>
    </xf>
    <xf numFmtId="49" fontId="35" fillId="0" borderId="15" xfId="0" applyNumberFormat="1" applyFont="1" applyFill="1" applyBorder="1" applyAlignment="1">
      <alignment vertical="center" shrinkToFit="1"/>
    </xf>
    <xf numFmtId="3" fontId="35" fillId="0" borderId="6" xfId="0" applyNumberFormat="1" applyFont="1" applyFill="1" applyBorder="1" applyAlignment="1">
      <alignment vertical="center" shrinkToFit="1"/>
    </xf>
    <xf numFmtId="3" fontId="35" fillId="0" borderId="7" xfId="0" applyNumberFormat="1" applyFont="1" applyFill="1" applyBorder="1" applyAlignment="1">
      <alignment vertical="center" shrinkToFit="1"/>
    </xf>
    <xf numFmtId="3" fontId="35" fillId="0" borderId="7" xfId="3" applyNumberFormat="1" applyFont="1" applyFill="1" applyBorder="1" applyAlignment="1">
      <alignment vertical="center" shrinkToFit="1"/>
    </xf>
    <xf numFmtId="3" fontId="35" fillId="0" borderId="8" xfId="3" applyNumberFormat="1" applyFont="1" applyFill="1" applyBorder="1" applyAlignment="1">
      <alignment vertical="center" shrinkToFit="1"/>
    </xf>
    <xf numFmtId="181" fontId="35" fillId="0" borderId="7" xfId="0" applyNumberFormat="1" applyFont="1" applyFill="1" applyBorder="1" applyAlignment="1">
      <alignment vertical="center" shrinkToFit="1"/>
    </xf>
    <xf numFmtId="38" fontId="35" fillId="0" borderId="7" xfId="1" applyFont="1" applyFill="1" applyBorder="1" applyAlignment="1">
      <alignment vertical="center" shrinkToFit="1"/>
    </xf>
    <xf numFmtId="3" fontId="35" fillId="0" borderId="15" xfId="3" applyNumberFormat="1" applyFont="1" applyFill="1" applyBorder="1" applyAlignment="1">
      <alignment vertical="center" shrinkToFit="1"/>
    </xf>
    <xf numFmtId="3" fontId="35" fillId="0" borderId="15" xfId="0" applyNumberFormat="1" applyFont="1" applyFill="1" applyBorder="1" applyAlignment="1">
      <alignment vertical="center" shrinkToFit="1"/>
    </xf>
    <xf numFmtId="0" fontId="35" fillId="0" borderId="6" xfId="0" applyNumberFormat="1" applyFont="1" applyFill="1" applyBorder="1" applyAlignment="1">
      <alignment horizontal="left" vertical="center" shrinkToFit="1"/>
    </xf>
    <xf numFmtId="0" fontId="35" fillId="0" borderId="7" xfId="1" applyNumberFormat="1" applyFont="1" applyFill="1" applyBorder="1" applyAlignment="1">
      <alignment horizontal="left" vertical="center" shrinkToFit="1"/>
    </xf>
    <xf numFmtId="0" fontId="35" fillId="0" borderId="8" xfId="1" applyNumberFormat="1" applyFont="1" applyFill="1" applyBorder="1" applyAlignment="1">
      <alignment horizontal="left" vertical="center" shrinkToFit="1"/>
    </xf>
    <xf numFmtId="0" fontId="35" fillId="0" borderId="0" xfId="0" applyFont="1" applyFill="1" applyAlignment="1">
      <alignment vertical="center" shrinkToFit="1"/>
    </xf>
    <xf numFmtId="2" fontId="35" fillId="0" borderId="7" xfId="0" applyNumberFormat="1" applyFont="1" applyFill="1" applyBorder="1" applyAlignment="1">
      <alignment vertical="center" shrinkToFit="1"/>
    </xf>
    <xf numFmtId="3" fontId="32" fillId="0" borderId="6" xfId="0" applyNumberFormat="1" applyFont="1" applyFill="1" applyBorder="1" applyAlignment="1">
      <alignment vertical="center" shrinkToFit="1"/>
    </xf>
    <xf numFmtId="3" fontId="32" fillId="0" borderId="7" xfId="3" applyNumberFormat="1" applyFont="1" applyFill="1" applyBorder="1" applyAlignment="1">
      <alignment vertical="center" shrinkToFit="1"/>
    </xf>
    <xf numFmtId="3" fontId="32" fillId="0" borderId="7" xfId="0" applyNumberFormat="1" applyFont="1" applyFill="1" applyBorder="1" applyAlignment="1">
      <alignment vertical="center" shrinkToFit="1"/>
    </xf>
    <xf numFmtId="3" fontId="32" fillId="0" borderId="15" xfId="3" applyNumberFormat="1" applyFont="1" applyFill="1" applyBorder="1" applyAlignment="1">
      <alignment vertical="center" shrinkToFit="1"/>
    </xf>
    <xf numFmtId="0" fontId="32" fillId="0" borderId="6" xfId="0" applyNumberFormat="1" applyFont="1" applyFill="1" applyBorder="1" applyAlignment="1">
      <alignment horizontal="left" vertical="center" shrinkToFit="1"/>
    </xf>
    <xf numFmtId="0" fontId="32" fillId="0" borderId="7" xfId="1" applyNumberFormat="1" applyFont="1" applyFill="1" applyBorder="1" applyAlignment="1">
      <alignment horizontal="left" vertical="center" shrinkToFit="1"/>
    </xf>
    <xf numFmtId="0" fontId="32" fillId="0" borderId="8" xfId="1" applyNumberFormat="1" applyFont="1" applyFill="1" applyBorder="1" applyAlignment="1">
      <alignment horizontal="left" vertical="center" shrinkToFit="1"/>
    </xf>
    <xf numFmtId="3" fontId="32" fillId="0" borderId="6" xfId="3" applyNumberFormat="1" applyFont="1" applyFill="1" applyBorder="1" applyAlignment="1">
      <alignment vertical="center" shrinkToFit="1"/>
    </xf>
    <xf numFmtId="0" fontId="35" fillId="0" borderId="12" xfId="3" applyFont="1" applyFill="1" applyBorder="1" applyAlignment="1">
      <alignment horizontal="left" vertical="center" shrinkToFit="1"/>
    </xf>
    <xf numFmtId="49" fontId="35" fillId="0" borderId="14" xfId="0" applyNumberFormat="1" applyFont="1" applyFill="1" applyBorder="1" applyAlignment="1">
      <alignment vertical="center" shrinkToFit="1"/>
    </xf>
    <xf numFmtId="3" fontId="35" fillId="0" borderId="16" xfId="0" applyNumberFormat="1" applyFont="1" applyFill="1" applyBorder="1" applyAlignment="1">
      <alignment vertical="center" shrinkToFit="1"/>
    </xf>
    <xf numFmtId="3" fontId="35" fillId="0" borderId="12" xfId="3" applyNumberFormat="1" applyFont="1" applyFill="1" applyBorder="1" applyAlignment="1">
      <alignment vertical="center" shrinkToFit="1"/>
    </xf>
    <xf numFmtId="3" fontId="35" fillId="0" borderId="12" xfId="0" applyNumberFormat="1" applyFont="1" applyFill="1" applyBorder="1" applyAlignment="1">
      <alignment vertical="center" shrinkToFit="1"/>
    </xf>
    <xf numFmtId="183" fontId="35" fillId="0" borderId="12" xfId="0" applyNumberFormat="1" applyFont="1" applyFill="1" applyBorder="1" applyAlignment="1">
      <alignment vertical="center" shrinkToFit="1"/>
    </xf>
    <xf numFmtId="3" fontId="35" fillId="0" borderId="14" xfId="3" applyNumberFormat="1" applyFont="1" applyFill="1" applyBorder="1" applyAlignment="1">
      <alignment vertical="center" shrinkToFit="1"/>
    </xf>
    <xf numFmtId="3" fontId="35" fillId="0" borderId="14" xfId="0" applyNumberFormat="1" applyFont="1" applyFill="1" applyBorder="1" applyAlignment="1">
      <alignment vertical="center" shrinkToFit="1"/>
    </xf>
    <xf numFmtId="0" fontId="35" fillId="0" borderId="16" xfId="0" applyNumberFormat="1" applyFont="1" applyFill="1" applyBorder="1" applyAlignment="1">
      <alignment horizontal="left" vertical="center" shrinkToFit="1"/>
    </xf>
    <xf numFmtId="0" fontId="35" fillId="0" borderId="12" xfId="1" applyNumberFormat="1" applyFont="1" applyFill="1" applyBorder="1" applyAlignment="1">
      <alignment horizontal="left" vertical="center" shrinkToFit="1"/>
    </xf>
    <xf numFmtId="0" fontId="35" fillId="0" borderId="17" xfId="1" applyNumberFormat="1" applyFont="1" applyFill="1" applyBorder="1" applyAlignment="1">
      <alignment horizontal="left" vertical="center" shrinkToFit="1"/>
    </xf>
    <xf numFmtId="183" fontId="35" fillId="0" borderId="7" xfId="0" applyNumberFormat="1" applyFont="1" applyFill="1" applyBorder="1" applyAlignment="1">
      <alignment vertical="center" shrinkToFit="1"/>
    </xf>
    <xf numFmtId="3" fontId="35" fillId="0" borderId="6" xfId="3" applyNumberFormat="1" applyFont="1" applyFill="1" applyBorder="1" applyAlignment="1">
      <alignment vertical="center" shrinkToFit="1"/>
    </xf>
    <xf numFmtId="38" fontId="35" fillId="0" borderId="15" xfId="1" applyFont="1" applyFill="1" applyBorder="1" applyAlignment="1">
      <alignment vertical="center" shrinkToFit="1"/>
    </xf>
    <xf numFmtId="0" fontId="35" fillId="0" borderId="7" xfId="0" applyFont="1" applyFill="1" applyBorder="1" applyAlignment="1">
      <alignment vertical="center" shrinkToFit="1"/>
    </xf>
    <xf numFmtId="0" fontId="35" fillId="0" borderId="6" xfId="0" applyNumberFormat="1" applyFont="1" applyFill="1" applyBorder="1" applyAlignment="1">
      <alignment horizontal="left" vertical="center" wrapText="1" shrinkToFit="1"/>
    </xf>
    <xf numFmtId="0" fontId="35" fillId="0" borderId="6" xfId="0" applyNumberFormat="1" applyFont="1" applyFill="1" applyBorder="1" applyAlignment="1">
      <alignment horizontal="right" vertical="center" shrinkToFit="1"/>
    </xf>
    <xf numFmtId="0" fontId="35" fillId="0" borderId="7" xfId="1" applyNumberFormat="1" applyFont="1" applyFill="1" applyBorder="1" applyAlignment="1">
      <alignment horizontal="right" vertical="center" shrinkToFit="1"/>
    </xf>
    <xf numFmtId="0" fontId="35" fillId="0" borderId="8" xfId="1" applyNumberFormat="1" applyFont="1" applyFill="1" applyBorder="1" applyAlignment="1">
      <alignment horizontal="right" vertical="center" shrinkToFit="1"/>
    </xf>
    <xf numFmtId="0" fontId="35" fillId="0" borderId="15" xfId="3" applyFont="1" applyFill="1" applyBorder="1" applyAlignment="1">
      <alignment horizontal="left" vertical="center" shrinkToFit="1"/>
    </xf>
    <xf numFmtId="181" fontId="35" fillId="0" borderId="7" xfId="1" applyNumberFormat="1" applyFont="1" applyFill="1" applyBorder="1" applyAlignment="1">
      <alignment vertical="center" shrinkToFit="1"/>
    </xf>
    <xf numFmtId="49" fontId="35" fillId="0" borderId="7" xfId="0" applyNumberFormat="1" applyFont="1" applyFill="1" applyBorder="1" applyAlignment="1">
      <alignment horizontal="center" vertical="center"/>
    </xf>
    <xf numFmtId="49" fontId="35" fillId="0" borderId="31" xfId="0" applyNumberFormat="1" applyFont="1" applyFill="1" applyBorder="1" applyAlignment="1">
      <alignment vertical="center" shrinkToFit="1"/>
    </xf>
    <xf numFmtId="184" fontId="35" fillId="0" borderId="7" xfId="0" applyNumberFormat="1" applyFont="1" applyFill="1" applyBorder="1" applyAlignment="1">
      <alignment vertical="center" shrinkToFit="1"/>
    </xf>
    <xf numFmtId="3" fontId="35" fillId="0" borderId="6" xfId="0" applyNumberFormat="1" applyFont="1" applyFill="1" applyBorder="1" applyAlignment="1">
      <alignment horizontal="left" vertical="center" shrinkToFit="1"/>
    </xf>
    <xf numFmtId="49" fontId="35" fillId="0" borderId="8" xfId="0" applyNumberFormat="1" applyFont="1" applyFill="1" applyBorder="1" applyAlignment="1">
      <alignment horizontal="center" vertical="center"/>
    </xf>
    <xf numFmtId="49" fontId="32" fillId="0" borderId="31" xfId="0" applyNumberFormat="1" applyFont="1" applyFill="1" applyBorder="1" applyAlignment="1">
      <alignment vertical="center" shrinkToFit="1"/>
    </xf>
    <xf numFmtId="49" fontId="32" fillId="0" borderId="15" xfId="0" applyNumberFormat="1" applyFont="1" applyFill="1" applyBorder="1" applyAlignment="1">
      <alignment vertical="center" shrinkToFit="1"/>
    </xf>
    <xf numFmtId="182" fontId="35" fillId="0" borderId="7" xfId="0" applyNumberFormat="1" applyFont="1" applyFill="1" applyBorder="1" applyAlignment="1">
      <alignment vertical="center" shrinkToFit="1"/>
    </xf>
    <xf numFmtId="49" fontId="37" fillId="0" borderId="14" xfId="0" applyNumberFormat="1" applyFont="1" applyFill="1" applyBorder="1" applyAlignment="1">
      <alignment vertical="center" shrinkToFit="1"/>
    </xf>
    <xf numFmtId="3" fontId="35" fillId="0" borderId="15" xfId="3" applyNumberFormat="1" applyFont="1" applyFill="1" applyBorder="1" applyAlignment="1">
      <alignment horizontal="center" vertical="center" shrinkToFit="1"/>
    </xf>
    <xf numFmtId="3" fontId="35" fillId="0" borderId="13" xfId="3" applyNumberFormat="1" applyFont="1" applyFill="1" applyBorder="1" applyAlignment="1">
      <alignment vertical="center" shrinkToFit="1"/>
    </xf>
    <xf numFmtId="0" fontId="35" fillId="0" borderId="0" xfId="0" applyFont="1" applyFill="1">
      <alignment vertical="center"/>
    </xf>
    <xf numFmtId="49" fontId="37" fillId="0" borderId="15" xfId="0" applyNumberFormat="1" applyFont="1" applyFill="1" applyBorder="1" applyAlignment="1">
      <alignment vertical="center" shrinkToFit="1"/>
    </xf>
    <xf numFmtId="49" fontId="35" fillId="0" borderId="9" xfId="3" applyNumberFormat="1" applyFont="1" applyFill="1" applyBorder="1" applyAlignment="1">
      <alignment horizontal="right" vertical="center" shrinkToFit="1"/>
    </xf>
    <xf numFmtId="0" fontId="35" fillId="0" borderId="10" xfId="3" quotePrefix="1" applyNumberFormat="1" applyFont="1" applyFill="1" applyBorder="1" applyAlignment="1">
      <alignment horizontal="center" vertical="center" shrinkToFit="1"/>
    </xf>
    <xf numFmtId="49" fontId="35" fillId="0" borderId="10" xfId="0" applyNumberFormat="1" applyFont="1" applyFill="1" applyBorder="1" applyAlignment="1">
      <alignment horizontal="center" vertical="center" shrinkToFit="1"/>
    </xf>
    <xf numFmtId="0" fontId="35" fillId="0" borderId="10" xfId="3" applyFont="1" applyFill="1" applyBorder="1" applyAlignment="1">
      <alignment horizontal="left" vertical="center" shrinkToFit="1"/>
    </xf>
    <xf numFmtId="49" fontId="37" fillId="0" borderId="37" xfId="0" applyNumberFormat="1" applyFont="1" applyFill="1" applyBorder="1" applyAlignment="1">
      <alignment vertical="center" shrinkToFit="1"/>
    </xf>
    <xf numFmtId="3" fontId="35" fillId="0" borderId="9" xfId="0" applyNumberFormat="1" applyFont="1" applyFill="1" applyBorder="1" applyAlignment="1">
      <alignment vertical="center" shrinkToFit="1"/>
    </xf>
    <xf numFmtId="3" fontId="35" fillId="0" borderId="10" xfId="0" applyNumberFormat="1" applyFont="1" applyFill="1" applyBorder="1" applyAlignment="1">
      <alignment vertical="center" shrinkToFit="1"/>
    </xf>
    <xf numFmtId="3" fontId="35" fillId="0" borderId="10" xfId="3" applyNumberFormat="1" applyFont="1" applyFill="1" applyBorder="1" applyAlignment="1">
      <alignment vertical="center" shrinkToFit="1"/>
    </xf>
    <xf numFmtId="3" fontId="35" fillId="0" borderId="27" xfId="3" applyNumberFormat="1" applyFont="1" applyFill="1" applyBorder="1" applyAlignment="1">
      <alignment vertical="center" shrinkToFit="1"/>
    </xf>
    <xf numFmtId="181" fontId="35" fillId="0" borderId="10" xfId="0" applyNumberFormat="1" applyFont="1" applyFill="1" applyBorder="1" applyAlignment="1">
      <alignment vertical="center" shrinkToFit="1"/>
    </xf>
    <xf numFmtId="38" fontId="35" fillId="0" borderId="10" xfId="1" applyFont="1" applyFill="1" applyBorder="1" applyAlignment="1">
      <alignment vertical="center" shrinkToFit="1"/>
    </xf>
    <xf numFmtId="3" fontId="35" fillId="0" borderId="37" xfId="3" applyNumberFormat="1" applyFont="1" applyFill="1" applyBorder="1" applyAlignment="1">
      <alignment vertical="center" shrinkToFit="1"/>
    </xf>
    <xf numFmtId="3" fontId="35" fillId="0" borderId="37" xfId="0" applyNumberFormat="1" applyFont="1" applyFill="1" applyBorder="1" applyAlignment="1">
      <alignment vertical="center" shrinkToFit="1"/>
    </xf>
    <xf numFmtId="3" fontId="35" fillId="0" borderId="37" xfId="3" applyNumberFormat="1" applyFont="1" applyFill="1" applyBorder="1" applyAlignment="1">
      <alignment horizontal="center" vertical="center" shrinkToFit="1"/>
    </xf>
    <xf numFmtId="3" fontId="35" fillId="0" borderId="36" xfId="3" applyNumberFormat="1" applyFont="1" applyFill="1" applyBorder="1" applyAlignment="1">
      <alignment vertical="center" shrinkToFit="1"/>
    </xf>
    <xf numFmtId="0" fontId="35" fillId="0" borderId="0" xfId="0" applyFont="1" applyAlignment="1">
      <alignment horizontal="right" vertical="center" wrapText="1"/>
    </xf>
    <xf numFmtId="0" fontId="35" fillId="0" borderId="0" xfId="0" applyNumberFormat="1" applyFont="1" applyAlignment="1">
      <alignment horizontal="center" vertical="center"/>
    </xf>
    <xf numFmtId="49" fontId="35" fillId="0" borderId="0" xfId="0" applyNumberFormat="1" applyFont="1" applyAlignment="1">
      <alignment horizontal="center" vertical="center"/>
    </xf>
    <xf numFmtId="0" fontId="35" fillId="0" borderId="0" xfId="0" applyFont="1" applyAlignment="1">
      <alignment horizontal="left" vertical="center" shrinkToFit="1"/>
    </xf>
    <xf numFmtId="0" fontId="35" fillId="0" borderId="0" xfId="0" applyFont="1">
      <alignment vertical="center"/>
    </xf>
    <xf numFmtId="38" fontId="35" fillId="0" borderId="0" xfId="1" applyFont="1">
      <alignment vertical="center"/>
    </xf>
    <xf numFmtId="0" fontId="35" fillId="0" borderId="0" xfId="0" applyNumberFormat="1" applyFont="1" applyAlignment="1">
      <alignment horizontal="left" vertical="center"/>
    </xf>
    <xf numFmtId="0" fontId="35" fillId="0" borderId="0" xfId="1" applyNumberFormat="1" applyFont="1" applyAlignment="1">
      <alignment horizontal="left" vertical="center"/>
    </xf>
    <xf numFmtId="0" fontId="36" fillId="4" borderId="20" xfId="0" applyFont="1" applyFill="1" applyBorder="1" applyAlignment="1">
      <alignment horizontal="center" vertical="center"/>
    </xf>
    <xf numFmtId="0" fontId="35" fillId="2" borderId="24"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5" fillId="2" borderId="2" xfId="0" applyFont="1" applyFill="1" applyBorder="1" applyAlignment="1">
      <alignment horizontal="center" vertical="center" wrapText="1"/>
    </xf>
    <xf numFmtId="185" fontId="35" fillId="0" borderId="13" xfId="26" applyNumberFormat="1" applyFont="1" applyFill="1" applyBorder="1" applyAlignment="1">
      <alignment vertical="center" shrinkToFit="1"/>
    </xf>
    <xf numFmtId="3" fontId="35" fillId="0" borderId="13" xfId="26" applyNumberFormat="1" applyFont="1" applyFill="1" applyBorder="1" applyAlignment="1">
      <alignment vertical="center" shrinkToFit="1"/>
    </xf>
    <xf numFmtId="3" fontId="35" fillId="0" borderId="31" xfId="26" applyNumberFormat="1" applyFont="1" applyFill="1" applyBorder="1" applyAlignment="1">
      <alignment vertical="center" shrinkToFit="1"/>
    </xf>
    <xf numFmtId="3" fontId="35" fillId="0" borderId="39" xfId="3" applyNumberFormat="1" applyFont="1" applyFill="1" applyBorder="1" applyAlignment="1">
      <alignment horizontal="center" vertical="center" shrinkToFit="1"/>
    </xf>
    <xf numFmtId="185" fontId="35" fillId="0" borderId="31" xfId="26" applyNumberFormat="1" applyFont="1" applyFill="1" applyBorder="1" applyAlignment="1">
      <alignment vertical="center" shrinkToFit="1"/>
    </xf>
    <xf numFmtId="3" fontId="32" fillId="0" borderId="15" xfId="0" applyNumberFormat="1" applyFont="1" applyFill="1" applyBorder="1" applyAlignment="1">
      <alignment vertical="center" shrinkToFit="1"/>
    </xf>
    <xf numFmtId="3" fontId="32" fillId="0" borderId="39" xfId="3" applyNumberFormat="1" applyFont="1" applyFill="1" applyBorder="1" applyAlignment="1">
      <alignment horizontal="center" vertical="center" shrinkToFit="1"/>
    </xf>
    <xf numFmtId="3" fontId="32" fillId="0" borderId="29" xfId="0" applyNumberFormat="1" applyFont="1" applyFill="1" applyBorder="1" applyAlignment="1">
      <alignment vertical="center" shrinkToFit="1"/>
    </xf>
    <xf numFmtId="3" fontId="32" fillId="0" borderId="30" xfId="0" applyNumberFormat="1" applyFont="1" applyFill="1" applyBorder="1" applyAlignment="1">
      <alignment vertical="center" shrinkToFit="1"/>
    </xf>
    <xf numFmtId="3" fontId="32" fillId="0" borderId="33" xfId="3" applyNumberFormat="1" applyFont="1" applyFill="1" applyBorder="1" applyAlignment="1">
      <alignment vertical="center" shrinkToFit="1"/>
    </xf>
    <xf numFmtId="3" fontId="32" fillId="0" borderId="30" xfId="3" applyNumberFormat="1" applyFont="1" applyFill="1" applyBorder="1" applyAlignment="1">
      <alignment vertical="center" shrinkToFit="1"/>
    </xf>
    <xf numFmtId="3" fontId="32" fillId="0" borderId="33" xfId="0" applyNumberFormat="1" applyFont="1" applyFill="1" applyBorder="1" applyAlignment="1">
      <alignment vertical="center" shrinkToFit="1"/>
    </xf>
    <xf numFmtId="0" fontId="32" fillId="0" borderId="29" xfId="0" applyNumberFormat="1" applyFont="1" applyFill="1" applyBorder="1" applyAlignment="1">
      <alignment horizontal="left" vertical="center" shrinkToFit="1"/>
    </xf>
    <xf numFmtId="0" fontId="32" fillId="0" borderId="30" xfId="1" applyNumberFormat="1" applyFont="1" applyFill="1" applyBorder="1" applyAlignment="1">
      <alignment horizontal="left" vertical="center" shrinkToFit="1"/>
    </xf>
    <xf numFmtId="0" fontId="32" fillId="0" borderId="32" xfId="1" applyNumberFormat="1" applyFont="1" applyFill="1" applyBorder="1" applyAlignment="1">
      <alignment horizontal="left" vertical="center" shrinkToFit="1"/>
    </xf>
    <xf numFmtId="3" fontId="32" fillId="0" borderId="46" xfId="3" applyNumberFormat="1" applyFont="1" applyFill="1" applyBorder="1" applyAlignment="1">
      <alignment horizontal="center" vertical="center" shrinkToFit="1"/>
    </xf>
    <xf numFmtId="3" fontId="35" fillId="0" borderId="44" xfId="3" applyNumberFormat="1" applyFont="1" applyFill="1" applyBorder="1" applyAlignment="1">
      <alignment horizontal="center" vertical="center" shrinkToFit="1"/>
    </xf>
    <xf numFmtId="3" fontId="35" fillId="0" borderId="6" xfId="3" applyNumberFormat="1" applyFont="1" applyFill="1" applyBorder="1" applyAlignment="1">
      <alignment horizontal="center" vertical="center" shrinkToFit="1"/>
    </xf>
    <xf numFmtId="38" fontId="35" fillId="0" borderId="6" xfId="1" applyFont="1" applyFill="1" applyBorder="1" applyAlignment="1">
      <alignment vertical="center" shrinkToFit="1"/>
    </xf>
    <xf numFmtId="3" fontId="35" fillId="0" borderId="39" xfId="0" applyNumberFormat="1" applyFont="1" applyFill="1" applyBorder="1" applyAlignment="1">
      <alignment vertical="center" shrinkToFit="1"/>
    </xf>
    <xf numFmtId="3" fontId="35" fillId="0" borderId="40" xfId="0" applyNumberFormat="1" applyFont="1" applyFill="1" applyBorder="1" applyAlignment="1">
      <alignment vertical="center" shrinkToFit="1"/>
    </xf>
    <xf numFmtId="0" fontId="32" fillId="0" borderId="15" xfId="3" applyFont="1" applyFill="1" applyBorder="1" applyAlignment="1">
      <alignment horizontal="left" vertical="center" shrinkToFit="1"/>
    </xf>
    <xf numFmtId="38" fontId="35" fillId="0" borderId="6" xfId="1" applyFont="1" applyFill="1" applyBorder="1" applyAlignment="1">
      <alignment shrinkToFit="1"/>
    </xf>
    <xf numFmtId="49" fontId="35" fillId="0" borderId="13" xfId="0" applyNumberFormat="1" applyFont="1" applyFill="1" applyBorder="1" applyAlignment="1">
      <alignment horizontal="center" vertical="center" shrinkToFit="1"/>
    </xf>
    <xf numFmtId="3" fontId="35" fillId="0" borderId="31" xfId="3" applyNumberFormat="1" applyFont="1" applyFill="1" applyBorder="1" applyAlignment="1">
      <alignment vertical="center" shrinkToFit="1"/>
    </xf>
    <xf numFmtId="3" fontId="35" fillId="0" borderId="9" xfId="3" applyNumberFormat="1" applyFont="1" applyFill="1" applyBorder="1" applyAlignment="1">
      <alignment vertical="center" shrinkToFit="1"/>
    </xf>
    <xf numFmtId="3" fontId="35" fillId="0" borderId="38" xfId="3" applyNumberFormat="1" applyFont="1" applyFill="1" applyBorder="1" applyAlignment="1">
      <alignment vertical="center" shrinkToFit="1"/>
    </xf>
    <xf numFmtId="0" fontId="35" fillId="0" borderId="9" xfId="0" applyNumberFormat="1" applyFont="1" applyFill="1" applyBorder="1" applyAlignment="1">
      <alignment horizontal="left" vertical="center" shrinkToFit="1"/>
    </xf>
    <xf numFmtId="0" fontId="35" fillId="0" borderId="10" xfId="1" applyNumberFormat="1" applyFont="1" applyFill="1" applyBorder="1" applyAlignment="1">
      <alignment horizontal="left" vertical="center" shrinkToFit="1"/>
    </xf>
    <xf numFmtId="0" fontId="35" fillId="0" borderId="27" xfId="1" applyNumberFormat="1" applyFont="1" applyFill="1" applyBorder="1" applyAlignment="1">
      <alignment horizontal="left" vertical="center" shrinkToFit="1"/>
    </xf>
    <xf numFmtId="3" fontId="35" fillId="0" borderId="45" xfId="3" applyNumberFormat="1" applyFont="1" applyFill="1" applyBorder="1" applyAlignment="1">
      <alignment horizontal="center" vertical="center" shrinkToFit="1"/>
    </xf>
    <xf numFmtId="49" fontId="35" fillId="0" borderId="21" xfId="3" applyNumberFormat="1" applyFont="1" applyFill="1" applyBorder="1" applyAlignment="1">
      <alignment horizontal="right" vertical="center" shrinkToFit="1"/>
    </xf>
    <xf numFmtId="0" fontId="35" fillId="0" borderId="0" xfId="0" applyFont="1" applyAlignment="1">
      <alignment horizontal="center" vertical="center"/>
    </xf>
    <xf numFmtId="0" fontId="36" fillId="4" borderId="2" xfId="0" applyFont="1" applyFill="1" applyBorder="1">
      <alignment vertical="center"/>
    </xf>
    <xf numFmtId="0" fontId="36" fillId="4" borderId="11" xfId="0" applyFont="1" applyFill="1" applyBorder="1">
      <alignment vertical="center"/>
    </xf>
    <xf numFmtId="0" fontId="35" fillId="2" borderId="16"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17" xfId="0" applyFont="1" applyFill="1" applyBorder="1" applyAlignment="1">
      <alignment horizontal="center" vertical="center" wrapText="1"/>
    </xf>
    <xf numFmtId="185" fontId="35" fillId="0" borderId="13" xfId="26" applyNumberFormat="1" applyFont="1" applyFill="1" applyBorder="1" applyAlignment="1">
      <alignment horizontal="right" vertical="center" shrinkToFit="1"/>
    </xf>
    <xf numFmtId="185" fontId="35" fillId="0" borderId="31" xfId="26" applyNumberFormat="1" applyFont="1" applyFill="1" applyBorder="1" applyAlignment="1">
      <alignment horizontal="right" vertical="center" shrinkToFit="1"/>
    </xf>
    <xf numFmtId="0" fontId="35" fillId="0" borderId="6" xfId="1" applyNumberFormat="1" applyFont="1" applyFill="1" applyBorder="1" applyAlignment="1">
      <alignment horizontal="left" vertical="center" shrinkToFit="1"/>
    </xf>
    <xf numFmtId="0" fontId="35" fillId="0" borderId="15" xfId="1" applyNumberFormat="1" applyFont="1" applyFill="1" applyBorder="1" applyAlignment="1">
      <alignment horizontal="left" vertical="center" shrinkToFit="1"/>
    </xf>
    <xf numFmtId="0" fontId="35" fillId="0" borderId="7" xfId="3" applyFont="1" applyFill="1" applyBorder="1" applyAlignment="1">
      <alignment horizontal="left" vertical="center" wrapText="1" shrinkToFit="1"/>
    </xf>
    <xf numFmtId="49" fontId="35" fillId="0" borderId="15" xfId="0" applyNumberFormat="1" applyFont="1" applyFill="1" applyBorder="1" applyAlignment="1">
      <alignment vertical="center" wrapText="1" shrinkToFit="1"/>
    </xf>
    <xf numFmtId="38" fontId="35" fillId="0" borderId="8" xfId="1" applyFont="1" applyFill="1" applyBorder="1" applyAlignment="1">
      <alignment vertical="center" shrinkToFit="1"/>
    </xf>
    <xf numFmtId="0" fontId="35" fillId="0" borderId="7" xfId="1" applyNumberFormat="1" applyFont="1" applyFill="1" applyBorder="1" applyAlignment="1">
      <alignment horizontal="left" vertical="center" wrapText="1" shrinkToFit="1"/>
    </xf>
    <xf numFmtId="38" fontId="35" fillId="0" borderId="6" xfId="1" applyFont="1" applyFill="1" applyBorder="1" applyAlignment="1">
      <alignment horizontal="right" vertical="center" shrinkToFit="1"/>
    </xf>
    <xf numFmtId="0" fontId="35" fillId="0" borderId="6" xfId="0" applyFont="1" applyFill="1" applyBorder="1" applyAlignment="1">
      <alignment horizontal="left" vertical="center" shrinkToFit="1"/>
    </xf>
    <xf numFmtId="38" fontId="35" fillId="0" borderId="47" xfId="1" applyFont="1" applyFill="1" applyBorder="1">
      <alignment vertical="center"/>
    </xf>
    <xf numFmtId="1" fontId="35" fillId="0" borderId="7" xfId="0" applyNumberFormat="1" applyFont="1" applyFill="1" applyBorder="1" applyAlignment="1">
      <alignment vertical="center" shrinkToFit="1"/>
    </xf>
    <xf numFmtId="49" fontId="35" fillId="0" borderId="37" xfId="0" applyNumberFormat="1" applyFont="1" applyFill="1" applyBorder="1" applyAlignment="1">
      <alignment vertical="center" shrinkToFit="1"/>
    </xf>
    <xf numFmtId="185" fontId="35" fillId="0" borderId="27" xfId="26" applyNumberFormat="1" applyFont="1" applyFill="1" applyBorder="1" applyAlignment="1">
      <alignment vertical="center" shrinkToFit="1"/>
    </xf>
    <xf numFmtId="0" fontId="35" fillId="0" borderId="0" xfId="0" applyNumberFormat="1" applyFont="1" applyFill="1" applyAlignment="1">
      <alignment horizontal="center" vertical="center"/>
    </xf>
    <xf numFmtId="49" fontId="35" fillId="0" borderId="0" xfId="0" applyNumberFormat="1" applyFont="1" applyFill="1" applyAlignment="1">
      <alignment horizontal="center" vertical="center"/>
    </xf>
    <xf numFmtId="0" fontId="35" fillId="0" borderId="0" xfId="0" applyFont="1" applyFill="1" applyAlignment="1">
      <alignment horizontal="center" vertical="center"/>
    </xf>
    <xf numFmtId="0" fontId="35" fillId="0" borderId="0" xfId="0" applyFont="1" applyFill="1" applyAlignment="1">
      <alignment horizontal="right" vertical="center" wrapText="1"/>
    </xf>
    <xf numFmtId="0" fontId="32" fillId="2" borderId="6" xfId="2" applyFont="1" applyFill="1" applyBorder="1" applyAlignment="1">
      <alignment horizontal="center" vertical="center" wrapText="1"/>
    </xf>
    <xf numFmtId="179" fontId="32" fillId="2" borderId="28" xfId="2" applyNumberFormat="1" applyFont="1" applyFill="1" applyBorder="1" applyAlignment="1">
      <alignment horizontal="center" vertical="center" wrapText="1"/>
    </xf>
    <xf numFmtId="0" fontId="32" fillId="2" borderId="28" xfId="2" applyFont="1" applyFill="1" applyBorder="1" applyAlignment="1">
      <alignment horizontal="center" vertical="center" wrapText="1"/>
    </xf>
    <xf numFmtId="0" fontId="32" fillId="2" borderId="34" xfId="2" applyFont="1" applyFill="1" applyBorder="1" applyAlignment="1">
      <alignment horizontal="center" vertical="center" wrapText="1"/>
    </xf>
    <xf numFmtId="0" fontId="32" fillId="2" borderId="28" xfId="2" applyFont="1" applyFill="1" applyBorder="1" applyAlignment="1">
      <alignment horizontal="center" vertical="center" shrinkToFit="1"/>
    </xf>
    <xf numFmtId="178" fontId="32" fillId="2" borderId="28" xfId="2" applyNumberFormat="1" applyFont="1" applyFill="1" applyBorder="1" applyAlignment="1">
      <alignment horizontal="center" vertical="center" shrinkToFit="1"/>
    </xf>
    <xf numFmtId="2" fontId="32" fillId="2" borderId="28" xfId="2" applyNumberFormat="1" applyFont="1" applyFill="1" applyBorder="1" applyAlignment="1">
      <alignment horizontal="center" vertical="center" wrapText="1"/>
    </xf>
    <xf numFmtId="178" fontId="32" fillId="2" borderId="28" xfId="2" applyNumberFormat="1" applyFont="1" applyFill="1" applyBorder="1" applyAlignment="1">
      <alignment horizontal="center" vertical="center" wrapText="1"/>
    </xf>
    <xf numFmtId="0" fontId="32" fillId="2" borderId="28" xfId="2" applyFont="1" applyFill="1" applyBorder="1" applyAlignment="1">
      <alignment horizontal="center" vertical="center"/>
    </xf>
    <xf numFmtId="0" fontId="32" fillId="2" borderId="35" xfId="2" applyFont="1" applyFill="1" applyBorder="1" applyAlignment="1">
      <alignment horizontal="center" vertical="center" wrapText="1"/>
    </xf>
    <xf numFmtId="49" fontId="32" fillId="2" borderId="35" xfId="2" applyNumberFormat="1" applyFont="1" applyFill="1" applyBorder="1" applyAlignment="1">
      <alignment horizontal="center" vertical="center" wrapText="1"/>
    </xf>
    <xf numFmtId="0" fontId="32" fillId="0" borderId="7" xfId="4" applyNumberFormat="1" applyFont="1" applyFill="1" applyBorder="1" applyAlignment="1">
      <alignment horizontal="center" vertical="center" shrinkToFit="1"/>
    </xf>
    <xf numFmtId="0" fontId="32" fillId="0" borderId="8" xfId="4" applyNumberFormat="1" applyFont="1" applyFill="1" applyBorder="1" applyAlignment="1">
      <alignment horizontal="center" vertical="center" shrinkToFit="1"/>
    </xf>
    <xf numFmtId="49" fontId="32" fillId="5" borderId="12" xfId="3" applyNumberFormat="1" applyFont="1" applyFill="1" applyBorder="1" applyAlignment="1">
      <alignment horizontal="center" vertical="center" shrinkToFit="1"/>
    </xf>
    <xf numFmtId="0" fontId="32" fillId="5" borderId="7" xfId="3" applyFont="1" applyFill="1" applyBorder="1" applyAlignment="1">
      <alignment horizontal="left" vertical="center" shrinkToFit="1"/>
    </xf>
    <xf numFmtId="0" fontId="32" fillId="5" borderId="8" xfId="3" applyFont="1" applyFill="1" applyBorder="1" applyAlignment="1">
      <alignment horizontal="left" vertical="center" shrinkToFit="1"/>
    </xf>
    <xf numFmtId="49" fontId="32" fillId="5" borderId="6" xfId="3" applyNumberFormat="1" applyFont="1" applyFill="1" applyBorder="1" applyAlignment="1">
      <alignment horizontal="center" vertical="center" shrinkToFit="1"/>
    </xf>
    <xf numFmtId="0" fontId="32" fillId="5" borderId="7" xfId="3" applyFont="1" applyFill="1" applyBorder="1" applyAlignment="1">
      <alignment horizontal="center" vertical="center"/>
    </xf>
    <xf numFmtId="178" fontId="32" fillId="5" borderId="7" xfId="3" applyNumberFormat="1" applyFont="1" applyFill="1" applyBorder="1" applyAlignment="1">
      <alignment horizontal="right" vertical="center"/>
    </xf>
    <xf numFmtId="2" fontId="32" fillId="5" borderId="7" xfId="2" applyNumberFormat="1" applyFont="1" applyFill="1" applyBorder="1">
      <alignment vertical="center"/>
    </xf>
    <xf numFmtId="178" fontId="32" fillId="5" borderId="7" xfId="3" applyNumberFormat="1" applyFont="1" applyFill="1" applyBorder="1" applyAlignment="1">
      <alignment horizontal="center" vertical="center"/>
    </xf>
    <xf numFmtId="0" fontId="32" fillId="5" borderId="7" xfId="4" applyNumberFormat="1" applyFont="1" applyFill="1" applyBorder="1" applyAlignment="1">
      <alignment horizontal="center" vertical="center" shrinkToFit="1"/>
    </xf>
    <xf numFmtId="0" fontId="32" fillId="5" borderId="8" xfId="4" applyNumberFormat="1" applyFont="1" applyFill="1" applyBorder="1" applyAlignment="1">
      <alignment horizontal="center" vertical="center" shrinkToFit="1"/>
    </xf>
    <xf numFmtId="180" fontId="32" fillId="5" borderId="6" xfId="3" applyNumberFormat="1" applyFont="1" applyFill="1" applyBorder="1" applyAlignment="1">
      <alignment horizontal="center" vertical="center"/>
    </xf>
    <xf numFmtId="180" fontId="32" fillId="5" borderId="7" xfId="3" applyNumberFormat="1" applyFont="1" applyFill="1" applyBorder="1" applyAlignment="1">
      <alignment horizontal="center" vertical="center"/>
    </xf>
    <xf numFmtId="0" fontId="32" fillId="5" borderId="8" xfId="2" applyFont="1" applyFill="1" applyBorder="1" applyAlignment="1">
      <alignment horizontal="center" vertical="center" wrapText="1"/>
    </xf>
    <xf numFmtId="0" fontId="32" fillId="5" borderId="6" xfId="2" applyFont="1" applyFill="1" applyBorder="1" applyAlignment="1">
      <alignment horizontal="center" vertical="center" shrinkToFit="1"/>
    </xf>
    <xf numFmtId="0" fontId="32" fillId="5" borderId="8" xfId="2" applyFont="1" applyFill="1" applyBorder="1" applyAlignment="1">
      <alignment horizontal="right" vertical="center" shrinkToFit="1"/>
    </xf>
    <xf numFmtId="0" fontId="32" fillId="5" borderId="6" xfId="3" applyFont="1" applyFill="1" applyBorder="1" applyAlignment="1">
      <alignment horizontal="center" vertical="center"/>
    </xf>
    <xf numFmtId="1" fontId="32" fillId="5" borderId="8" xfId="3" applyNumberFormat="1" applyFont="1" applyFill="1" applyBorder="1" applyAlignment="1">
      <alignment horizontal="center" vertical="center"/>
    </xf>
    <xf numFmtId="49" fontId="32" fillId="5" borderId="6" xfId="2" applyNumberFormat="1" applyFont="1" applyFill="1" applyBorder="1" applyAlignment="1">
      <alignment horizontal="left" vertical="center"/>
    </xf>
    <xf numFmtId="2" fontId="32" fillId="5" borderId="7" xfId="3" applyNumberFormat="1" applyFont="1" applyFill="1" applyBorder="1" applyAlignment="1">
      <alignment horizontal="right" vertical="center"/>
    </xf>
    <xf numFmtId="49" fontId="32" fillId="5" borderId="6" xfId="3" applyNumberFormat="1" applyFont="1" applyFill="1" applyBorder="1" applyAlignment="1">
      <alignment horizontal="left" vertical="center"/>
    </xf>
    <xf numFmtId="178" fontId="32" fillId="5" borderId="7" xfId="3" applyNumberFormat="1" applyFont="1" applyFill="1" applyBorder="1" applyAlignment="1">
      <alignment vertical="center"/>
    </xf>
    <xf numFmtId="0" fontId="32" fillId="5" borderId="7" xfId="2" applyFont="1" applyFill="1" applyBorder="1">
      <alignment vertical="center"/>
    </xf>
    <xf numFmtId="0" fontId="32" fillId="5" borderId="7" xfId="3" applyFont="1" applyFill="1" applyBorder="1" applyAlignment="1">
      <alignment horizontal="center" vertical="center" shrinkToFit="1"/>
    </xf>
    <xf numFmtId="0" fontId="32" fillId="0" borderId="7" xfId="4" applyNumberFormat="1" applyFont="1" applyFill="1" applyBorder="1" applyAlignment="1">
      <alignment horizontal="center" vertical="center" wrapText="1" shrinkToFit="1"/>
    </xf>
    <xf numFmtId="0" fontId="32" fillId="0" borderId="8" xfId="4" applyNumberFormat="1" applyFont="1" applyFill="1" applyBorder="1" applyAlignment="1">
      <alignment horizontal="center" vertical="center" wrapText="1" shrinkToFit="1"/>
    </xf>
    <xf numFmtId="178" fontId="32" fillId="5" borderId="7" xfId="3" applyNumberFormat="1" applyFont="1" applyFill="1" applyBorder="1" applyAlignment="1">
      <alignment horizontal="right" vertical="center" shrinkToFit="1"/>
    </xf>
    <xf numFmtId="2" fontId="32" fillId="5" borderId="7" xfId="3" applyNumberFormat="1" applyFont="1" applyFill="1" applyBorder="1" applyAlignment="1">
      <alignment horizontal="right" vertical="center" shrinkToFit="1"/>
    </xf>
    <xf numFmtId="2" fontId="32" fillId="5" borderId="7" xfId="3" applyNumberFormat="1" applyFont="1" applyFill="1" applyBorder="1" applyAlignment="1">
      <alignment vertical="center" shrinkToFit="1"/>
    </xf>
    <xf numFmtId="0" fontId="32" fillId="5" borderId="8" xfId="2" applyFont="1" applyFill="1" applyBorder="1" applyAlignment="1">
      <alignment horizontal="center" vertical="center" shrinkToFit="1"/>
    </xf>
    <xf numFmtId="49" fontId="35" fillId="0" borderId="8" xfId="0" applyNumberFormat="1" applyFont="1" applyFill="1" applyBorder="1" applyAlignment="1">
      <alignment vertical="center" shrinkToFit="1"/>
    </xf>
    <xf numFmtId="0" fontId="32" fillId="5" borderId="8" xfId="3" applyFont="1" applyFill="1" applyBorder="1" applyAlignment="1">
      <alignment horizontal="right" vertical="center"/>
    </xf>
    <xf numFmtId="0" fontId="32" fillId="5" borderId="8" xfId="3" applyFont="1" applyFill="1" applyBorder="1" applyAlignment="1">
      <alignment horizontal="center" vertical="center"/>
    </xf>
    <xf numFmtId="2" fontId="32" fillId="5" borderId="7" xfId="3" applyNumberFormat="1" applyFont="1" applyFill="1" applyBorder="1" applyAlignment="1">
      <alignment vertical="center"/>
    </xf>
    <xf numFmtId="178" fontId="32" fillId="5" borderId="7" xfId="3" applyNumberFormat="1" applyFont="1" applyFill="1" applyBorder="1" applyAlignment="1">
      <alignment vertical="center" wrapText="1"/>
    </xf>
    <xf numFmtId="178" fontId="32" fillId="5" borderId="7" xfId="3" applyNumberFormat="1" applyFont="1" applyFill="1" applyBorder="1" applyAlignment="1">
      <alignment horizontal="center" vertical="center" wrapText="1"/>
    </xf>
    <xf numFmtId="0" fontId="32" fillId="5" borderId="7" xfId="4" applyNumberFormat="1" applyFont="1" applyFill="1" applyBorder="1" applyAlignment="1">
      <alignment horizontal="center" vertical="center" wrapText="1" shrinkToFit="1"/>
    </xf>
    <xf numFmtId="0" fontId="32" fillId="5" borderId="8" xfId="4" applyNumberFormat="1" applyFont="1" applyFill="1" applyBorder="1" applyAlignment="1">
      <alignment horizontal="center" vertical="center" wrapText="1" shrinkToFit="1"/>
    </xf>
    <xf numFmtId="180" fontId="32" fillId="5" borderId="6" xfId="3" applyNumberFormat="1" applyFont="1" applyFill="1" applyBorder="1" applyAlignment="1">
      <alignment horizontal="center" vertical="center" wrapText="1"/>
    </xf>
    <xf numFmtId="180" fontId="32" fillId="5" borderId="7" xfId="3" applyNumberFormat="1" applyFont="1" applyFill="1" applyBorder="1" applyAlignment="1">
      <alignment horizontal="center" vertical="center" wrapText="1"/>
    </xf>
    <xf numFmtId="0" fontId="32" fillId="5" borderId="8" xfId="2" applyFont="1" applyFill="1" applyBorder="1" applyAlignment="1">
      <alignment horizontal="right" vertical="center" wrapText="1" shrinkToFit="1"/>
    </xf>
    <xf numFmtId="0" fontId="32" fillId="5" borderId="7" xfId="3" applyFont="1" applyFill="1" applyBorder="1" applyAlignment="1">
      <alignment horizontal="center" vertical="center" wrapText="1"/>
    </xf>
    <xf numFmtId="2" fontId="32" fillId="5" borderId="7" xfId="2" applyNumberFormat="1" applyFont="1" applyFill="1" applyBorder="1" applyAlignment="1">
      <alignment vertical="center" wrapText="1"/>
    </xf>
    <xf numFmtId="0" fontId="32" fillId="5" borderId="6" xfId="2" applyFont="1" applyFill="1" applyBorder="1" applyAlignment="1">
      <alignment horizontal="center" vertical="center" wrapText="1" shrinkToFit="1"/>
    </xf>
    <xf numFmtId="2" fontId="32" fillId="5" borderId="7" xfId="2" applyNumberFormat="1" applyFont="1" applyFill="1" applyBorder="1" applyAlignment="1">
      <alignment horizontal="right" vertical="center" wrapText="1"/>
    </xf>
    <xf numFmtId="49" fontId="32" fillId="5" borderId="8" xfId="0" applyNumberFormat="1" applyFont="1" applyFill="1" applyBorder="1" applyAlignment="1">
      <alignment vertical="center" shrinkToFit="1"/>
    </xf>
    <xf numFmtId="0" fontId="32" fillId="0" borderId="10" xfId="4" applyNumberFormat="1" applyFont="1" applyFill="1" applyBorder="1" applyAlignment="1">
      <alignment horizontal="center" vertical="center" shrinkToFit="1"/>
    </xf>
    <xf numFmtId="0" fontId="32" fillId="0" borderId="27" xfId="4" applyNumberFormat="1" applyFont="1" applyFill="1" applyBorder="1" applyAlignment="1">
      <alignment horizontal="center" vertical="center" shrinkToFit="1"/>
    </xf>
    <xf numFmtId="49" fontId="32" fillId="0" borderId="0" xfId="2" applyNumberFormat="1" applyFont="1" applyAlignment="1">
      <alignment horizontal="center" vertical="center"/>
    </xf>
    <xf numFmtId="0" fontId="32" fillId="0" borderId="0" xfId="2" applyFont="1" applyAlignment="1">
      <alignment horizontal="justify" vertical="center"/>
    </xf>
    <xf numFmtId="0" fontId="32" fillId="0" borderId="0" xfId="2" applyFont="1" applyAlignment="1">
      <alignment horizontal="left" vertical="center" shrinkToFit="1"/>
    </xf>
    <xf numFmtId="0" fontId="32" fillId="0" borderId="0" xfId="2" applyFont="1" applyAlignment="1">
      <alignment horizontal="center" vertical="center"/>
    </xf>
    <xf numFmtId="178" fontId="32" fillId="0" borderId="0" xfId="2" applyNumberFormat="1" applyFont="1" applyAlignment="1">
      <alignment horizontal="center" vertical="center"/>
    </xf>
    <xf numFmtId="186" fontId="39" fillId="4" borderId="23" xfId="2" applyNumberFormat="1" applyFont="1" applyFill="1" applyBorder="1" applyAlignment="1">
      <alignment horizontal="center" vertical="center"/>
    </xf>
    <xf numFmtId="0" fontId="39" fillId="4" borderId="24" xfId="2" applyFont="1" applyFill="1" applyBorder="1" applyAlignment="1">
      <alignment horizontal="center" vertical="center"/>
    </xf>
    <xf numFmtId="0" fontId="39" fillId="4" borderId="18" xfId="2" applyFont="1" applyFill="1" applyBorder="1" applyAlignment="1">
      <alignment horizontal="justify" vertical="center"/>
    </xf>
    <xf numFmtId="0" fontId="39" fillId="4" borderId="19" xfId="2" applyFont="1" applyFill="1" applyBorder="1" applyAlignment="1">
      <alignment horizontal="justify" vertical="center"/>
    </xf>
    <xf numFmtId="0" fontId="39" fillId="4" borderId="18" xfId="2" applyFont="1" applyFill="1" applyBorder="1" applyAlignment="1">
      <alignment horizontal="left" vertical="center" shrinkToFit="1"/>
    </xf>
    <xf numFmtId="0" fontId="32" fillId="6" borderId="0" xfId="0" applyFont="1" applyFill="1" applyAlignment="1">
      <alignment vertical="center" wrapText="1"/>
    </xf>
    <xf numFmtId="49" fontId="35" fillId="5" borderId="6" xfId="3" applyNumberFormat="1" applyFont="1" applyFill="1" applyBorder="1" applyAlignment="1">
      <alignment horizontal="right" vertical="center" shrinkToFit="1"/>
    </xf>
    <xf numFmtId="0" fontId="35" fillId="5" borderId="7" xfId="3" quotePrefix="1" applyNumberFormat="1" applyFont="1" applyFill="1" applyBorder="1" applyAlignment="1">
      <alignment horizontal="center" vertical="center" shrinkToFit="1"/>
    </xf>
    <xf numFmtId="49" fontId="35" fillId="5" borderId="7" xfId="0" applyNumberFormat="1" applyFont="1" applyFill="1" applyBorder="1" applyAlignment="1">
      <alignment horizontal="center" vertical="center" shrinkToFit="1"/>
    </xf>
    <xf numFmtId="49" fontId="35" fillId="5" borderId="12" xfId="0" applyNumberFormat="1" applyFont="1" applyFill="1" applyBorder="1" applyAlignment="1">
      <alignment horizontal="center" vertical="center" shrinkToFit="1"/>
    </xf>
    <xf numFmtId="3" fontId="35" fillId="5" borderId="8" xfId="3" applyNumberFormat="1" applyFont="1" applyFill="1" applyBorder="1" applyAlignment="1">
      <alignment vertical="center" shrinkToFit="1"/>
    </xf>
    <xf numFmtId="3" fontId="35" fillId="5" borderId="7" xfId="0" applyNumberFormat="1" applyFont="1" applyFill="1" applyBorder="1" applyAlignment="1">
      <alignment vertical="center" shrinkToFit="1"/>
    </xf>
    <xf numFmtId="3" fontId="32" fillId="0" borderId="13" xfId="0" applyNumberFormat="1" applyFont="1" applyFill="1" applyBorder="1" applyAlignment="1">
      <alignment vertical="center" shrinkToFit="1"/>
    </xf>
    <xf numFmtId="3" fontId="32" fillId="0" borderId="13" xfId="3" applyNumberFormat="1" applyFont="1" applyFill="1" applyBorder="1" applyAlignment="1">
      <alignment vertical="center" shrinkToFit="1"/>
    </xf>
    <xf numFmtId="49" fontId="35" fillId="0" borderId="12" xfId="0" applyNumberFormat="1" applyFont="1" applyFill="1" applyBorder="1" applyAlignment="1">
      <alignment vertical="center" shrinkToFit="1"/>
    </xf>
    <xf numFmtId="49" fontId="35" fillId="0" borderId="7" xfId="0" applyNumberFormat="1" applyFont="1" applyFill="1" applyBorder="1" applyAlignment="1">
      <alignment vertical="center" wrapText="1" shrinkToFit="1"/>
    </xf>
    <xf numFmtId="38" fontId="35" fillId="0" borderId="7" xfId="1" applyFont="1" applyFill="1" applyBorder="1" applyAlignment="1">
      <alignment shrinkToFit="1"/>
    </xf>
    <xf numFmtId="3" fontId="35" fillId="0" borderId="13" xfId="0" applyNumberFormat="1" applyFont="1" applyFill="1" applyBorder="1" applyAlignment="1">
      <alignment vertical="center" shrinkToFit="1"/>
    </xf>
    <xf numFmtId="38" fontId="35" fillId="0" borderId="13" xfId="1" applyFont="1" applyFill="1" applyBorder="1" applyAlignment="1">
      <alignment vertical="center" shrinkToFit="1"/>
    </xf>
    <xf numFmtId="38" fontId="35" fillId="5" borderId="8" xfId="1" applyFont="1" applyFill="1" applyBorder="1" applyAlignment="1">
      <alignment vertical="center" shrinkToFit="1"/>
    </xf>
    <xf numFmtId="3" fontId="35" fillId="0" borderId="42" xfId="3" applyNumberFormat="1" applyFont="1" applyFill="1" applyBorder="1" applyAlignment="1">
      <alignment vertical="center" shrinkToFit="1"/>
    </xf>
    <xf numFmtId="49" fontId="40" fillId="0" borderId="7" xfId="0" applyNumberFormat="1" applyFont="1" applyFill="1" applyBorder="1" applyAlignment="1">
      <alignment vertical="center" shrinkToFit="1"/>
    </xf>
    <xf numFmtId="0" fontId="35" fillId="0" borderId="31" xfId="3" applyFont="1" applyFill="1" applyBorder="1" applyAlignment="1">
      <alignment horizontal="left" vertical="center" shrinkToFit="1"/>
    </xf>
    <xf numFmtId="0" fontId="36" fillId="4" borderId="20" xfId="0" applyFont="1" applyFill="1" applyBorder="1" applyAlignment="1">
      <alignment horizontal="left" vertical="center"/>
    </xf>
    <xf numFmtId="0" fontId="32" fillId="4" borderId="3" xfId="0" applyFont="1" applyFill="1" applyBorder="1" applyAlignment="1">
      <alignment horizontal="center" vertical="center"/>
    </xf>
    <xf numFmtId="49" fontId="32" fillId="4" borderId="41" xfId="0" applyNumberFormat="1" applyFont="1" applyFill="1" applyBorder="1" applyAlignment="1">
      <alignment horizontal="center" vertical="center" wrapText="1"/>
    </xf>
    <xf numFmtId="176" fontId="32" fillId="4" borderId="41" xfId="0" applyNumberFormat="1" applyFont="1" applyFill="1" applyBorder="1" applyAlignment="1">
      <alignment horizontal="center" vertical="center" wrapText="1"/>
    </xf>
    <xf numFmtId="0" fontId="32" fillId="4" borderId="4" xfId="0" applyFont="1" applyFill="1" applyBorder="1" applyAlignment="1">
      <alignment horizontal="center" vertical="center" shrinkToFit="1"/>
    </xf>
    <xf numFmtId="0" fontId="32" fillId="4" borderId="4" xfId="0" applyFont="1" applyFill="1" applyBorder="1" applyAlignment="1">
      <alignment horizontal="center" vertical="center" wrapText="1"/>
    </xf>
    <xf numFmtId="0" fontId="32" fillId="4" borderId="4" xfId="0" applyFont="1" applyFill="1" applyBorder="1" applyAlignment="1">
      <alignment horizontal="center" vertical="center"/>
    </xf>
    <xf numFmtId="0" fontId="32" fillId="4" borderId="5" xfId="0" applyFont="1" applyFill="1" applyBorder="1" applyAlignment="1">
      <alignment horizontal="center" vertical="center"/>
    </xf>
    <xf numFmtId="0" fontId="32" fillId="4" borderId="3"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3" xfId="0" applyFont="1" applyFill="1" applyBorder="1" applyAlignment="1">
      <alignment horizontal="center" vertical="center" shrinkToFit="1"/>
    </xf>
    <xf numFmtId="0" fontId="32" fillId="4" borderId="5" xfId="0" applyFont="1" applyFill="1" applyBorder="1" applyAlignment="1">
      <alignment horizontal="center" vertical="center" shrinkToFit="1"/>
    </xf>
    <xf numFmtId="14" fontId="32" fillId="4" borderId="4" xfId="0" applyNumberFormat="1" applyFont="1" applyFill="1" applyBorder="1" applyAlignment="1">
      <alignment horizontal="center" vertical="center" shrinkToFit="1"/>
    </xf>
    <xf numFmtId="14" fontId="32" fillId="4" borderId="4" xfId="0" applyNumberFormat="1" applyFont="1" applyFill="1" applyBorder="1" applyAlignment="1">
      <alignment horizontal="center" vertical="center" wrapText="1"/>
    </xf>
    <xf numFmtId="0" fontId="32" fillId="4" borderId="4" xfId="0" applyFont="1" applyFill="1" applyBorder="1" applyAlignment="1">
      <alignment horizontal="center" vertical="center" wrapText="1" shrinkToFit="1"/>
    </xf>
    <xf numFmtId="0" fontId="32" fillId="4" borderId="5" xfId="0" applyFont="1" applyFill="1" applyBorder="1" applyAlignment="1">
      <alignment horizontal="center" vertical="center" wrapText="1" shrinkToFit="1"/>
    </xf>
    <xf numFmtId="0" fontId="39" fillId="4" borderId="18" xfId="2" applyFont="1" applyFill="1" applyBorder="1" applyAlignment="1">
      <alignment horizontal="center" vertical="center"/>
    </xf>
    <xf numFmtId="178" fontId="39" fillId="4" borderId="18" xfId="2" applyNumberFormat="1" applyFont="1" applyFill="1" applyBorder="1" applyAlignment="1">
      <alignment horizontal="center" vertical="center"/>
    </xf>
    <xf numFmtId="0" fontId="39" fillId="4" borderId="19" xfId="2" applyFont="1" applyFill="1" applyBorder="1" applyAlignment="1">
      <alignment horizontal="center" vertical="center"/>
    </xf>
    <xf numFmtId="0" fontId="39" fillId="4" borderId="23" xfId="2" applyFont="1" applyFill="1" applyBorder="1" applyAlignment="1">
      <alignment horizontal="left" vertical="center"/>
    </xf>
    <xf numFmtId="0" fontId="39" fillId="4" borderId="19" xfId="2" applyFont="1" applyFill="1" applyBorder="1" applyAlignment="1">
      <alignment horizontal="right" vertical="center"/>
    </xf>
    <xf numFmtId="0" fontId="32" fillId="4" borderId="18" xfId="2" applyFont="1" applyFill="1" applyBorder="1" applyAlignment="1">
      <alignment horizontal="center" vertical="center"/>
    </xf>
    <xf numFmtId="1" fontId="32" fillId="4" borderId="19" xfId="2" applyNumberFormat="1" applyFont="1" applyFill="1" applyBorder="1" applyAlignment="1">
      <alignment horizontal="center" vertical="center"/>
    </xf>
    <xf numFmtId="49" fontId="39" fillId="4" borderId="23" xfId="2" applyNumberFormat="1" applyFont="1" applyFill="1" applyBorder="1" applyAlignment="1">
      <alignment horizontal="left" vertical="center"/>
    </xf>
    <xf numFmtId="178" fontId="39" fillId="4" borderId="18" xfId="2" applyNumberFormat="1" applyFont="1" applyFill="1" applyBorder="1" applyAlignment="1">
      <alignment horizontal="left" vertical="center"/>
    </xf>
    <xf numFmtId="178" fontId="32" fillId="2" borderId="43" xfId="2" applyNumberFormat="1" applyFont="1" applyFill="1" applyBorder="1" applyAlignment="1">
      <alignment horizontal="left" vertical="center" wrapText="1"/>
    </xf>
    <xf numFmtId="178" fontId="32" fillId="0" borderId="0" xfId="2" applyNumberFormat="1" applyFont="1" applyAlignment="1">
      <alignment horizontal="left" vertical="center"/>
    </xf>
    <xf numFmtId="178" fontId="12" fillId="0" borderId="0" xfId="2" applyNumberFormat="1" applyFont="1" applyAlignment="1">
      <alignment horizontal="left" vertical="center"/>
    </xf>
    <xf numFmtId="49" fontId="32" fillId="5" borderId="6" xfId="3" quotePrefix="1" applyNumberFormat="1" applyFont="1" applyFill="1" applyBorder="1" applyAlignment="1">
      <alignment horizontal="center" vertical="center" shrinkToFit="1"/>
    </xf>
    <xf numFmtId="38" fontId="36" fillId="4" borderId="2" xfId="1" applyFont="1" applyFill="1" applyBorder="1">
      <alignment vertical="center"/>
    </xf>
    <xf numFmtId="38" fontId="36" fillId="4" borderId="11" xfId="1" applyFont="1" applyFill="1" applyBorder="1">
      <alignment vertical="center"/>
    </xf>
    <xf numFmtId="38" fontId="35" fillId="2" borderId="16" xfId="1" applyFont="1" applyFill="1" applyBorder="1" applyAlignment="1">
      <alignment horizontal="center" vertical="center" wrapText="1"/>
    </xf>
    <xf numFmtId="38" fontId="35" fillId="2" borderId="12" xfId="1" applyFont="1" applyFill="1" applyBorder="1" applyAlignment="1">
      <alignment horizontal="center" vertical="center" wrapText="1"/>
    </xf>
    <xf numFmtId="38" fontId="35" fillId="2" borderId="17" xfId="1" applyFont="1" applyFill="1" applyBorder="1" applyAlignment="1">
      <alignment horizontal="center" vertical="center" wrapText="1"/>
    </xf>
    <xf numFmtId="38" fontId="32" fillId="0" borderId="6" xfId="1" applyFont="1" applyFill="1" applyBorder="1" applyAlignment="1">
      <alignment vertical="center" shrinkToFit="1"/>
    </xf>
    <xf numFmtId="38" fontId="35" fillId="0" borderId="6" xfId="1" applyFont="1" applyFill="1" applyBorder="1">
      <alignment vertical="center"/>
    </xf>
    <xf numFmtId="38" fontId="35" fillId="0" borderId="7" xfId="1" applyFont="1" applyFill="1" applyBorder="1">
      <alignment vertical="center"/>
    </xf>
    <xf numFmtId="38" fontId="35" fillId="0" borderId="8" xfId="1" applyFont="1" applyFill="1" applyBorder="1">
      <alignment vertical="center"/>
    </xf>
    <xf numFmtId="38" fontId="35" fillId="0" borderId="9" xfId="1" applyFont="1" applyFill="1" applyBorder="1">
      <alignment vertical="center"/>
    </xf>
    <xf numFmtId="38" fontId="35" fillId="0" borderId="10" xfId="1" applyFont="1" applyFill="1" applyBorder="1">
      <alignment vertical="center"/>
    </xf>
    <xf numFmtId="38" fontId="35" fillId="0" borderId="27" xfId="1" applyFont="1" applyFill="1" applyBorder="1">
      <alignment vertical="center"/>
    </xf>
    <xf numFmtId="38" fontId="35" fillId="0" borderId="0" xfId="1" applyFont="1" applyFill="1">
      <alignment vertical="center"/>
    </xf>
    <xf numFmtId="38" fontId="6" fillId="0" borderId="0" xfId="1" applyFont="1" applyFill="1">
      <alignment vertical="center"/>
    </xf>
    <xf numFmtId="0" fontId="36" fillId="7" borderId="22" xfId="0" applyFont="1" applyFill="1" applyBorder="1">
      <alignment vertical="center"/>
    </xf>
    <xf numFmtId="0" fontId="36" fillId="7" borderId="21" xfId="0" applyFont="1" applyFill="1" applyBorder="1">
      <alignment vertical="center"/>
    </xf>
    <xf numFmtId="0" fontId="36" fillId="7" borderId="21" xfId="0" applyFont="1" applyFill="1" applyBorder="1" applyAlignment="1">
      <alignment horizontal="center" vertical="center"/>
    </xf>
    <xf numFmtId="0" fontId="36" fillId="7" borderId="21" xfId="0" applyFont="1" applyFill="1" applyBorder="1" applyAlignment="1">
      <alignment horizontal="left" vertical="center"/>
    </xf>
    <xf numFmtId="49" fontId="32" fillId="5" borderId="6" xfId="2" applyNumberFormat="1" applyFont="1" applyFill="1" applyBorder="1" applyAlignment="1">
      <alignment horizontal="right" vertical="center"/>
    </xf>
    <xf numFmtId="38" fontId="32" fillId="0" borderId="8" xfId="1" applyFont="1" applyFill="1" applyBorder="1" applyAlignment="1">
      <alignment horizontal="center" vertical="center"/>
    </xf>
    <xf numFmtId="1" fontId="32" fillId="2" borderId="34" xfId="2" applyNumberFormat="1" applyFont="1" applyFill="1" applyBorder="1" applyAlignment="1">
      <alignment horizontal="center" vertical="center" wrapText="1"/>
    </xf>
    <xf numFmtId="3" fontId="37" fillId="0" borderId="6" xfId="0" applyNumberFormat="1" applyFont="1" applyFill="1" applyBorder="1" applyAlignment="1">
      <alignment vertical="center" shrinkToFit="1"/>
    </xf>
    <xf numFmtId="3" fontId="37" fillId="0" borderId="7" xfId="0" applyNumberFormat="1" applyFont="1" applyFill="1" applyBorder="1" applyAlignment="1">
      <alignment vertical="center" shrinkToFit="1"/>
    </xf>
    <xf numFmtId="3" fontId="37" fillId="0" borderId="7" xfId="3" applyNumberFormat="1" applyFont="1" applyFill="1" applyBorder="1" applyAlignment="1">
      <alignment vertical="center" shrinkToFit="1"/>
    </xf>
    <xf numFmtId="181" fontId="37" fillId="0" borderId="7" xfId="0" applyNumberFormat="1" applyFont="1" applyFill="1" applyBorder="1" applyAlignment="1">
      <alignment vertical="center" shrinkToFit="1"/>
    </xf>
    <xf numFmtId="38" fontId="37" fillId="0" borderId="7" xfId="1" applyFont="1" applyFill="1" applyBorder="1" applyAlignment="1">
      <alignment vertical="center" shrinkToFit="1"/>
    </xf>
    <xf numFmtId="3" fontId="37" fillId="0" borderId="15" xfId="3" applyNumberFormat="1" applyFont="1" applyFill="1" applyBorder="1" applyAlignment="1">
      <alignment vertical="center" shrinkToFit="1"/>
    </xf>
    <xf numFmtId="3" fontId="37" fillId="0" borderId="15" xfId="0" applyNumberFormat="1" applyFont="1" applyFill="1" applyBorder="1" applyAlignment="1">
      <alignment vertical="center" shrinkToFit="1"/>
    </xf>
    <xf numFmtId="0" fontId="37" fillId="0" borderId="6" xfId="0" applyNumberFormat="1" applyFont="1" applyFill="1" applyBorder="1" applyAlignment="1">
      <alignment horizontal="left" vertical="center" shrinkToFit="1"/>
    </xf>
    <xf numFmtId="0" fontId="37" fillId="0" borderId="7" xfId="1" applyNumberFormat="1" applyFont="1" applyFill="1" applyBorder="1" applyAlignment="1">
      <alignment horizontal="left" vertical="center" shrinkToFit="1"/>
    </xf>
    <xf numFmtId="0" fontId="37" fillId="0" borderId="8" xfId="1" applyNumberFormat="1" applyFont="1" applyFill="1" applyBorder="1" applyAlignment="1">
      <alignment horizontal="left" vertical="center" shrinkToFit="1"/>
    </xf>
    <xf numFmtId="2" fontId="37" fillId="0" borderId="7" xfId="0" applyNumberFormat="1" applyFont="1" applyFill="1" applyBorder="1" applyAlignment="1">
      <alignment vertical="center" shrinkToFit="1"/>
    </xf>
    <xf numFmtId="3" fontId="40" fillId="0" borderId="6" xfId="0" applyNumberFormat="1" applyFont="1" applyFill="1" applyBorder="1" applyAlignment="1">
      <alignment vertical="center" shrinkToFit="1"/>
    </xf>
    <xf numFmtId="3" fontId="40" fillId="0" borderId="7" xfId="3" applyNumberFormat="1" applyFont="1" applyFill="1" applyBorder="1" applyAlignment="1">
      <alignment vertical="center" shrinkToFit="1"/>
    </xf>
    <xf numFmtId="3" fontId="40" fillId="0" borderId="7" xfId="0" applyNumberFormat="1" applyFont="1" applyFill="1" applyBorder="1" applyAlignment="1">
      <alignment vertical="center" shrinkToFit="1"/>
    </xf>
    <xf numFmtId="3" fontId="40" fillId="0" borderId="15" xfId="3" applyNumberFormat="1" applyFont="1" applyFill="1" applyBorder="1" applyAlignment="1">
      <alignment vertical="center" shrinkToFit="1"/>
    </xf>
    <xf numFmtId="3" fontId="40" fillId="0" borderId="15" xfId="0" applyNumberFormat="1" applyFont="1" applyFill="1" applyBorder="1" applyAlignment="1">
      <alignment vertical="center" shrinkToFit="1"/>
    </xf>
    <xf numFmtId="0" fontId="40" fillId="0" borderId="6" xfId="0" applyNumberFormat="1" applyFont="1" applyFill="1" applyBorder="1" applyAlignment="1">
      <alignment horizontal="left" vertical="center" shrinkToFit="1"/>
    </xf>
    <xf numFmtId="0" fontId="40" fillId="0" borderId="7" xfId="1" applyNumberFormat="1" applyFont="1" applyFill="1" applyBorder="1" applyAlignment="1">
      <alignment horizontal="left" vertical="center" shrinkToFit="1"/>
    </xf>
    <xf numFmtId="0" fontId="40" fillId="0" borderId="8" xfId="1" applyNumberFormat="1" applyFont="1" applyFill="1" applyBorder="1" applyAlignment="1">
      <alignment horizontal="left" vertical="center" shrinkToFit="1"/>
    </xf>
    <xf numFmtId="3" fontId="40" fillId="0" borderId="13" xfId="0" applyNumberFormat="1" applyFont="1" applyFill="1" applyBorder="1" applyAlignment="1">
      <alignment vertical="center" shrinkToFit="1"/>
    </xf>
    <xf numFmtId="3" fontId="40" fillId="0" borderId="13" xfId="3" applyNumberFormat="1" applyFont="1" applyFill="1" applyBorder="1" applyAlignment="1">
      <alignment vertical="center" shrinkToFit="1"/>
    </xf>
    <xf numFmtId="3" fontId="40" fillId="0" borderId="30" xfId="0" applyNumberFormat="1" applyFont="1" applyFill="1" applyBorder="1" applyAlignment="1">
      <alignment vertical="center" shrinkToFit="1"/>
    </xf>
    <xf numFmtId="3" fontId="40" fillId="0" borderId="33" xfId="3" applyNumberFormat="1" applyFont="1" applyFill="1" applyBorder="1" applyAlignment="1">
      <alignment vertical="center" shrinkToFit="1"/>
    </xf>
    <xf numFmtId="3" fontId="40" fillId="0" borderId="30" xfId="3" applyNumberFormat="1" applyFont="1" applyFill="1" applyBorder="1" applyAlignment="1">
      <alignment vertical="center" shrinkToFit="1"/>
    </xf>
    <xf numFmtId="3" fontId="40" fillId="0" borderId="33" xfId="0" applyNumberFormat="1" applyFont="1" applyFill="1" applyBorder="1" applyAlignment="1">
      <alignment vertical="center" shrinkToFit="1"/>
    </xf>
    <xf numFmtId="0" fontId="40" fillId="0" borderId="29" xfId="0" applyNumberFormat="1" applyFont="1" applyFill="1" applyBorder="1" applyAlignment="1">
      <alignment horizontal="left" vertical="center" shrinkToFit="1"/>
    </xf>
    <xf numFmtId="0" fontId="40" fillId="0" borderId="30" xfId="1" applyNumberFormat="1" applyFont="1" applyFill="1" applyBorder="1" applyAlignment="1">
      <alignment horizontal="left" vertical="center" shrinkToFit="1"/>
    </xf>
    <xf numFmtId="0" fontId="40" fillId="0" borderId="32" xfId="1" applyNumberFormat="1" applyFont="1" applyFill="1" applyBorder="1" applyAlignment="1">
      <alignment horizontal="left" vertical="center" shrinkToFit="1"/>
    </xf>
    <xf numFmtId="3" fontId="37" fillId="0" borderId="16" xfId="0" applyNumberFormat="1" applyFont="1" applyFill="1" applyBorder="1" applyAlignment="1">
      <alignment vertical="center" shrinkToFit="1"/>
    </xf>
    <xf numFmtId="3" fontId="37" fillId="0" borderId="42" xfId="3" applyNumberFormat="1" applyFont="1" applyFill="1" applyBorder="1" applyAlignment="1">
      <alignment vertical="center" shrinkToFit="1"/>
    </xf>
    <xf numFmtId="3" fontId="37" fillId="0" borderId="12" xfId="0" applyNumberFormat="1" applyFont="1" applyFill="1" applyBorder="1" applyAlignment="1">
      <alignment vertical="center" shrinkToFit="1"/>
    </xf>
    <xf numFmtId="3" fontId="37" fillId="0" borderId="12" xfId="3" applyNumberFormat="1" applyFont="1" applyFill="1" applyBorder="1" applyAlignment="1">
      <alignment vertical="center" shrinkToFit="1"/>
    </xf>
    <xf numFmtId="3" fontId="37" fillId="0" borderId="14" xfId="3" applyNumberFormat="1" applyFont="1" applyFill="1" applyBorder="1" applyAlignment="1">
      <alignment vertical="center" shrinkToFit="1"/>
    </xf>
    <xf numFmtId="3" fontId="37" fillId="0" borderId="14" xfId="0" applyNumberFormat="1" applyFont="1" applyFill="1" applyBorder="1" applyAlignment="1">
      <alignment vertical="center" shrinkToFit="1"/>
    </xf>
    <xf numFmtId="0" fontId="37" fillId="0" borderId="16" xfId="0" applyNumberFormat="1" applyFont="1" applyFill="1" applyBorder="1" applyAlignment="1">
      <alignment horizontal="left" vertical="center" shrinkToFit="1"/>
    </xf>
    <xf numFmtId="0" fontId="37" fillId="0" borderId="12" xfId="1" applyNumberFormat="1" applyFont="1" applyFill="1" applyBorder="1" applyAlignment="1">
      <alignment horizontal="left" vertical="center" shrinkToFit="1"/>
    </xf>
    <xf numFmtId="0" fontId="37" fillId="0" borderId="17" xfId="1" applyNumberFormat="1" applyFont="1" applyFill="1" applyBorder="1" applyAlignment="1">
      <alignment horizontal="left" vertical="center" shrinkToFit="1"/>
    </xf>
    <xf numFmtId="3" fontId="37" fillId="0" borderId="13" xfId="0" applyNumberFormat="1" applyFont="1" applyFill="1" applyBorder="1" applyAlignment="1">
      <alignment vertical="center" shrinkToFit="1"/>
    </xf>
    <xf numFmtId="3" fontId="37" fillId="0" borderId="13" xfId="3" applyNumberFormat="1" applyFont="1" applyFill="1" applyBorder="1" applyAlignment="1">
      <alignment vertical="center" shrinkToFit="1"/>
    </xf>
    <xf numFmtId="183" fontId="37" fillId="0" borderId="7" xfId="0" applyNumberFormat="1" applyFont="1" applyFill="1" applyBorder="1" applyAlignment="1">
      <alignment vertical="center" shrinkToFit="1"/>
    </xf>
    <xf numFmtId="38" fontId="37" fillId="0" borderId="15" xfId="1" applyFont="1" applyFill="1" applyBorder="1" applyAlignment="1">
      <alignment vertical="center" shrinkToFit="1"/>
    </xf>
    <xf numFmtId="183" fontId="37" fillId="0" borderId="12" xfId="0" applyNumberFormat="1" applyFont="1" applyFill="1" applyBorder="1" applyAlignment="1">
      <alignment vertical="center" shrinkToFit="1"/>
    </xf>
    <xf numFmtId="0" fontId="37" fillId="0" borderId="7" xfId="0" applyFont="1" applyFill="1" applyBorder="1" applyAlignment="1">
      <alignment vertical="center" shrinkToFit="1"/>
    </xf>
    <xf numFmtId="3" fontId="37" fillId="0" borderId="30" xfId="3" applyNumberFormat="1" applyFont="1" applyFill="1" applyBorder="1" applyAlignment="1">
      <alignment vertical="center" shrinkToFit="1"/>
    </xf>
    <xf numFmtId="182" fontId="37" fillId="0" borderId="7" xfId="0" applyNumberFormat="1" applyFont="1" applyFill="1" applyBorder="1" applyAlignment="1">
      <alignment vertical="center" shrinkToFit="1"/>
    </xf>
    <xf numFmtId="3" fontId="37" fillId="0" borderId="0" xfId="3" applyNumberFormat="1" applyFont="1" applyFill="1" applyBorder="1" applyAlignment="1">
      <alignment vertical="center" shrinkToFit="1"/>
    </xf>
    <xf numFmtId="0" fontId="37" fillId="0" borderId="7" xfId="1" applyNumberFormat="1" applyFont="1" applyFill="1" applyBorder="1" applyAlignment="1">
      <alignment horizontal="left" vertical="center" wrapText="1" shrinkToFit="1"/>
    </xf>
    <xf numFmtId="0" fontId="37" fillId="0" borderId="6" xfId="0" applyNumberFormat="1" applyFont="1" applyFill="1" applyBorder="1" applyAlignment="1">
      <alignment horizontal="left" vertical="center" wrapText="1" shrinkToFit="1"/>
    </xf>
    <xf numFmtId="0" fontId="37" fillId="0" borderId="6" xfId="0" applyNumberFormat="1" applyFont="1" applyFill="1" applyBorder="1" applyAlignment="1">
      <alignment horizontal="right" vertical="center" shrinkToFit="1"/>
    </xf>
    <xf numFmtId="0" fontId="37" fillId="0" borderId="7" xfId="1" applyNumberFormat="1" applyFont="1" applyFill="1" applyBorder="1" applyAlignment="1">
      <alignment horizontal="right" vertical="center" shrinkToFit="1"/>
    </xf>
    <xf numFmtId="0" fontId="37" fillId="0" borderId="8" xfId="1" applyNumberFormat="1" applyFont="1" applyFill="1" applyBorder="1" applyAlignment="1">
      <alignment horizontal="right" vertical="center" shrinkToFit="1"/>
    </xf>
    <xf numFmtId="3" fontId="37" fillId="0" borderId="39" xfId="0" applyNumberFormat="1" applyFont="1" applyFill="1" applyBorder="1" applyAlignment="1">
      <alignment vertical="center" shrinkToFit="1"/>
    </xf>
    <xf numFmtId="3" fontId="37" fillId="0" borderId="40" xfId="0" applyNumberFormat="1" applyFont="1" applyFill="1" applyBorder="1" applyAlignment="1">
      <alignment vertical="center" shrinkToFit="1"/>
    </xf>
    <xf numFmtId="3" fontId="37" fillId="0" borderId="6" xfId="0" applyNumberFormat="1" applyFont="1" applyBorder="1" applyAlignment="1">
      <alignment vertical="center" shrinkToFit="1"/>
    </xf>
    <xf numFmtId="3" fontId="37" fillId="0" borderId="7" xfId="0" applyNumberFormat="1" applyFont="1" applyBorder="1" applyAlignment="1">
      <alignment vertical="center" shrinkToFit="1"/>
    </xf>
    <xf numFmtId="3" fontId="37" fillId="0" borderId="13" xfId="3" applyNumberFormat="1" applyFont="1" applyBorder="1" applyAlignment="1">
      <alignment vertical="center" shrinkToFit="1"/>
    </xf>
    <xf numFmtId="2" fontId="37" fillId="0" borderId="7" xfId="0" applyNumberFormat="1" applyFont="1" applyBorder="1" applyAlignment="1">
      <alignment vertical="center" shrinkToFit="1"/>
    </xf>
    <xf numFmtId="3" fontId="37" fillId="0" borderId="7" xfId="3" applyNumberFormat="1" applyFont="1" applyBorder="1" applyAlignment="1">
      <alignment vertical="center" shrinkToFit="1"/>
    </xf>
    <xf numFmtId="3" fontId="37" fillId="0" borderId="15" xfId="3" applyNumberFormat="1" applyFont="1" applyBorder="1" applyAlignment="1">
      <alignment vertical="center" shrinkToFit="1"/>
    </xf>
    <xf numFmtId="3" fontId="37" fillId="0" borderId="15" xfId="0" applyNumberFormat="1" applyFont="1" applyBorder="1" applyAlignment="1">
      <alignment vertical="center" shrinkToFit="1"/>
    </xf>
    <xf numFmtId="0" fontId="37" fillId="0" borderId="6" xfId="0" applyFont="1" applyBorder="1" applyAlignment="1">
      <alignment horizontal="left" vertical="center" shrinkToFit="1"/>
    </xf>
    <xf numFmtId="38" fontId="37" fillId="0" borderId="6" xfId="1" applyFont="1" applyBorder="1">
      <alignment vertical="center"/>
    </xf>
    <xf numFmtId="184" fontId="37" fillId="0" borderId="7" xfId="0" applyNumberFormat="1" applyFont="1" applyFill="1" applyBorder="1" applyAlignment="1">
      <alignment vertical="center" shrinkToFit="1"/>
    </xf>
    <xf numFmtId="38" fontId="37" fillId="0" borderId="7" xfId="1" applyFont="1" applyBorder="1">
      <alignment vertical="center"/>
    </xf>
    <xf numFmtId="38" fontId="37" fillId="0" borderId="7" xfId="1" applyFont="1" applyFill="1" applyBorder="1" applyAlignment="1">
      <alignment shrinkToFit="1"/>
    </xf>
    <xf numFmtId="38" fontId="37" fillId="0" borderId="13" xfId="1" applyFont="1" applyFill="1" applyBorder="1" applyAlignment="1">
      <alignment vertical="center" shrinkToFit="1"/>
    </xf>
    <xf numFmtId="3" fontId="37" fillId="0" borderId="6" xfId="0" applyNumberFormat="1" applyFont="1" applyFill="1" applyBorder="1" applyAlignment="1">
      <alignment horizontal="left" vertical="center" shrinkToFit="1"/>
    </xf>
    <xf numFmtId="38" fontId="37" fillId="0" borderId="6" xfId="1" applyFont="1" applyFill="1" applyBorder="1" applyAlignment="1">
      <alignment vertical="center" shrinkToFit="1"/>
    </xf>
    <xf numFmtId="1" fontId="37" fillId="0" borderId="7" xfId="0" applyNumberFormat="1" applyFont="1" applyFill="1" applyBorder="1" applyAlignment="1">
      <alignment vertical="center" shrinkToFit="1"/>
    </xf>
    <xf numFmtId="0" fontId="37" fillId="0" borderId="0" xfId="0" applyFont="1">
      <alignment vertical="center"/>
    </xf>
    <xf numFmtId="0" fontId="37" fillId="0" borderId="0" xfId="0" applyFont="1" applyFill="1">
      <alignment vertical="center"/>
    </xf>
    <xf numFmtId="38" fontId="37" fillId="0" borderId="0" xfId="1" applyFont="1">
      <alignment vertical="center"/>
    </xf>
    <xf numFmtId="0" fontId="37" fillId="0" borderId="0" xfId="0" applyNumberFormat="1" applyFont="1" applyAlignment="1">
      <alignment horizontal="left" vertical="center"/>
    </xf>
    <xf numFmtId="0" fontId="37" fillId="0" borderId="0" xfId="1" applyNumberFormat="1" applyFont="1" applyAlignment="1">
      <alignment horizontal="left" vertical="center"/>
    </xf>
    <xf numFmtId="49" fontId="37" fillId="0" borderId="8" xfId="0" applyNumberFormat="1" applyFont="1" applyFill="1" applyBorder="1" applyAlignment="1">
      <alignment vertical="center" shrinkToFit="1"/>
    </xf>
    <xf numFmtId="49" fontId="37" fillId="0" borderId="7" xfId="0" applyNumberFormat="1" applyFont="1" applyFill="1" applyBorder="1" applyAlignment="1">
      <alignment vertical="center" shrinkToFit="1"/>
    </xf>
    <xf numFmtId="3" fontId="37" fillId="0" borderId="8" xfId="3" applyNumberFormat="1" applyFont="1" applyFill="1" applyBorder="1" applyAlignment="1">
      <alignment vertical="center" shrinkToFit="1"/>
    </xf>
    <xf numFmtId="38" fontId="37" fillId="0" borderId="8" xfId="1" applyFont="1" applyFill="1" applyBorder="1" applyAlignment="1">
      <alignment vertical="center" shrinkToFit="1"/>
    </xf>
    <xf numFmtId="3" fontId="37" fillId="0" borderId="31" xfId="3" applyNumberFormat="1" applyFont="1" applyFill="1" applyBorder="1" applyAlignment="1">
      <alignment vertical="center" shrinkToFit="1"/>
    </xf>
    <xf numFmtId="0" fontId="36" fillId="0" borderId="21" xfId="0" applyFont="1" applyFill="1" applyBorder="1" applyAlignment="1">
      <alignment horizontal="left" vertical="center"/>
    </xf>
    <xf numFmtId="0" fontId="36" fillId="0" borderId="21" xfId="0" applyFont="1" applyFill="1" applyBorder="1">
      <alignment vertical="center"/>
    </xf>
    <xf numFmtId="185" fontId="37" fillId="0" borderId="13" xfId="26" applyNumberFormat="1" applyFont="1" applyFill="1" applyBorder="1" applyAlignment="1">
      <alignment vertical="center" shrinkToFit="1"/>
    </xf>
    <xf numFmtId="3" fontId="37" fillId="0" borderId="13" xfId="26" applyNumberFormat="1" applyFont="1" applyFill="1" applyBorder="1" applyAlignment="1">
      <alignment vertical="center" shrinkToFit="1"/>
    </xf>
    <xf numFmtId="0" fontId="36" fillId="0" borderId="22" xfId="0" applyFont="1" applyFill="1" applyBorder="1">
      <alignment vertical="center"/>
    </xf>
    <xf numFmtId="0" fontId="36" fillId="0" borderId="21" xfId="0" applyFont="1" applyFill="1" applyBorder="1" applyAlignment="1">
      <alignment horizontal="center" vertical="center"/>
    </xf>
    <xf numFmtId="3" fontId="37" fillId="0" borderId="15" xfId="3" applyNumberFormat="1" applyFont="1" applyFill="1" applyBorder="1" applyAlignment="1">
      <alignment horizontal="center" vertical="center" shrinkToFit="1"/>
    </xf>
    <xf numFmtId="185" fontId="37" fillId="0" borderId="31" xfId="26" applyNumberFormat="1" applyFont="1" applyFill="1" applyBorder="1" applyAlignment="1">
      <alignment vertical="center" shrinkToFit="1"/>
    </xf>
    <xf numFmtId="3" fontId="40" fillId="0" borderId="15" xfId="3" applyNumberFormat="1" applyFont="1" applyFill="1" applyBorder="1" applyAlignment="1">
      <alignment horizontal="center" vertical="center" shrinkToFit="1"/>
    </xf>
    <xf numFmtId="3" fontId="40" fillId="0" borderId="33" xfId="3" applyNumberFormat="1" applyFont="1" applyFill="1" applyBorder="1" applyAlignment="1">
      <alignment horizontal="center" vertical="center" shrinkToFit="1"/>
    </xf>
    <xf numFmtId="3" fontId="37" fillId="0" borderId="14" xfId="3" applyNumberFormat="1" applyFont="1" applyFill="1" applyBorder="1" applyAlignment="1">
      <alignment horizontal="center" vertical="center" shrinkToFit="1"/>
    </xf>
    <xf numFmtId="3" fontId="37" fillId="0" borderId="6" xfId="3" applyNumberFormat="1" applyFont="1" applyFill="1" applyBorder="1" applyAlignment="1">
      <alignment horizontal="center" vertical="center" shrinkToFit="1"/>
    </xf>
    <xf numFmtId="3" fontId="37" fillId="0" borderId="39" xfId="3" applyNumberFormat="1" applyFont="1" applyFill="1" applyBorder="1" applyAlignment="1">
      <alignment horizontal="center" vertical="center" shrinkToFit="1"/>
    </xf>
    <xf numFmtId="0" fontId="37" fillId="0" borderId="0" xfId="0" applyFont="1" applyFill="1" applyAlignment="1">
      <alignment horizontal="center" vertical="center"/>
    </xf>
    <xf numFmtId="38" fontId="37" fillId="0" borderId="6" xfId="1" applyFont="1" applyFill="1" applyBorder="1">
      <alignment vertical="center"/>
    </xf>
    <xf numFmtId="38" fontId="37" fillId="0" borderId="7" xfId="1" applyFont="1" applyFill="1" applyBorder="1">
      <alignment vertical="center"/>
    </xf>
    <xf numFmtId="0" fontId="36" fillId="4" borderId="21" xfId="0" applyFont="1" applyFill="1" applyBorder="1" applyAlignment="1">
      <alignment horizontal="left" vertical="center"/>
    </xf>
    <xf numFmtId="0" fontId="35" fillId="8" borderId="23" xfId="0" applyFont="1" applyFill="1" applyBorder="1" applyAlignment="1">
      <alignment horizontal="center" vertical="center" wrapText="1"/>
    </xf>
    <xf numFmtId="0" fontId="35" fillId="8" borderId="18" xfId="0" applyNumberFormat="1" applyFont="1" applyFill="1" applyBorder="1" applyAlignment="1">
      <alignment horizontal="center" vertical="center" wrapText="1"/>
    </xf>
    <xf numFmtId="49" fontId="35" fillId="8" borderId="18" xfId="0" applyNumberFormat="1" applyFont="1" applyFill="1" applyBorder="1" applyAlignment="1">
      <alignment horizontal="center" vertical="center" wrapText="1"/>
    </xf>
    <xf numFmtId="0" fontId="35" fillId="8" borderId="18" xfId="0" applyFont="1" applyFill="1" applyBorder="1" applyAlignment="1">
      <alignment horizontal="center" vertical="center" shrinkToFit="1"/>
    </xf>
    <xf numFmtId="0" fontId="35" fillId="8" borderId="18" xfId="0" applyFont="1" applyFill="1" applyBorder="1" applyAlignment="1">
      <alignment horizontal="center" vertical="center" wrapText="1"/>
    </xf>
    <xf numFmtId="0" fontId="35" fillId="8" borderId="19" xfId="0" applyFont="1" applyFill="1" applyBorder="1" applyAlignment="1">
      <alignment horizontal="center" vertical="center" wrapText="1"/>
    </xf>
    <xf numFmtId="38" fontId="35" fillId="8" borderId="18" xfId="1" applyFont="1" applyFill="1" applyBorder="1" applyAlignment="1">
      <alignment horizontal="center" vertical="center" wrapText="1"/>
    </xf>
    <xf numFmtId="0" fontId="35" fillId="8" borderId="25"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8" borderId="23" xfId="0" applyNumberFormat="1" applyFont="1" applyFill="1" applyBorder="1" applyAlignment="1">
      <alignment horizontal="center" vertical="center" wrapText="1"/>
    </xf>
    <xf numFmtId="0" fontId="35" fillId="8" borderId="18" xfId="1" applyNumberFormat="1" applyFont="1" applyFill="1" applyBorder="1" applyAlignment="1">
      <alignment horizontal="center" vertical="center" wrapText="1"/>
    </xf>
    <xf numFmtId="0" fontId="35" fillId="8" borderId="19" xfId="1" applyNumberFormat="1"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7" xfId="0" applyFont="1" applyFill="1" applyBorder="1" applyAlignment="1">
      <alignment horizontal="center" vertical="center" wrapText="1"/>
    </xf>
    <xf numFmtId="0" fontId="35" fillId="5" borderId="4" xfId="3" applyFont="1" applyFill="1" applyBorder="1" applyAlignment="1">
      <alignment horizontal="left" vertical="center" shrinkToFit="1"/>
    </xf>
    <xf numFmtId="0" fontId="35" fillId="5" borderId="7" xfId="3" applyFont="1" applyFill="1" applyBorder="1" applyAlignment="1">
      <alignment horizontal="left" vertical="center" shrinkToFit="1"/>
    </xf>
    <xf numFmtId="49" fontId="35" fillId="5" borderId="7" xfId="0" applyNumberFormat="1" applyFont="1" applyFill="1" applyBorder="1" applyAlignment="1">
      <alignment vertical="center" shrinkToFit="1"/>
    </xf>
    <xf numFmtId="3" fontId="35" fillId="5" borderId="6" xfId="0" applyNumberFormat="1" applyFont="1" applyFill="1" applyBorder="1" applyAlignment="1">
      <alignment vertical="center" shrinkToFit="1"/>
    </xf>
    <xf numFmtId="3" fontId="35" fillId="5" borderId="7" xfId="3" applyNumberFormat="1" applyFont="1" applyFill="1" applyBorder="1" applyAlignment="1">
      <alignment vertical="center" shrinkToFit="1"/>
    </xf>
    <xf numFmtId="181" fontId="35" fillId="5" borderId="7" xfId="0" applyNumberFormat="1" applyFont="1" applyFill="1" applyBorder="1" applyAlignment="1">
      <alignment vertical="center" shrinkToFit="1"/>
    </xf>
    <xf numFmtId="38" fontId="35" fillId="5" borderId="7" xfId="1" applyFont="1" applyFill="1" applyBorder="1" applyAlignment="1">
      <alignment vertical="center" shrinkToFit="1"/>
    </xf>
    <xf numFmtId="3" fontId="35" fillId="5" borderId="15" xfId="3" applyNumberFormat="1" applyFont="1" applyFill="1" applyBorder="1" applyAlignment="1">
      <alignment vertical="center" shrinkToFit="1"/>
    </xf>
    <xf numFmtId="3" fontId="35" fillId="5" borderId="15" xfId="0" applyNumberFormat="1" applyFont="1" applyFill="1" applyBorder="1" applyAlignment="1">
      <alignment vertical="center" shrinkToFit="1"/>
    </xf>
    <xf numFmtId="185" fontId="35" fillId="5" borderId="13" xfId="26" applyNumberFormat="1" applyFont="1" applyFill="1" applyBorder="1" applyAlignment="1">
      <alignment vertical="center" shrinkToFit="1"/>
    </xf>
    <xf numFmtId="3" fontId="35" fillId="5" borderId="13" xfId="26" applyNumberFormat="1" applyFont="1" applyFill="1" applyBorder="1" applyAlignment="1">
      <alignment vertical="center" shrinkToFit="1"/>
    </xf>
    <xf numFmtId="0" fontId="35" fillId="5" borderId="6" xfId="0" applyNumberFormat="1" applyFont="1" applyFill="1" applyBorder="1" applyAlignment="1">
      <alignment horizontal="left" vertical="center" shrinkToFit="1"/>
    </xf>
    <xf numFmtId="0" fontId="35" fillId="5" borderId="7" xfId="1" applyNumberFormat="1" applyFont="1" applyFill="1" applyBorder="1" applyAlignment="1">
      <alignment horizontal="left" vertical="center" shrinkToFit="1"/>
    </xf>
    <xf numFmtId="0" fontId="35" fillId="5" borderId="8" xfId="1" applyNumberFormat="1" applyFont="1" applyFill="1" applyBorder="1" applyAlignment="1">
      <alignment horizontal="left" vertical="center" shrinkToFit="1"/>
    </xf>
    <xf numFmtId="3" fontId="35" fillId="5" borderId="15" xfId="3" applyNumberFormat="1" applyFont="1" applyFill="1" applyBorder="1" applyAlignment="1">
      <alignment horizontal="center" vertical="center" shrinkToFit="1"/>
    </xf>
    <xf numFmtId="3" fontId="35" fillId="5" borderId="13" xfId="3" applyNumberFormat="1" applyFont="1" applyFill="1" applyBorder="1" applyAlignment="1">
      <alignment vertical="center" shrinkToFit="1"/>
    </xf>
    <xf numFmtId="185" fontId="35" fillId="5" borderId="31" xfId="26" applyNumberFormat="1" applyFont="1" applyFill="1" applyBorder="1" applyAlignment="1">
      <alignment vertical="center" shrinkToFit="1"/>
    </xf>
    <xf numFmtId="38" fontId="35" fillId="5" borderId="6" xfId="1" applyFont="1" applyFill="1" applyBorder="1" applyAlignment="1">
      <alignment vertical="center" shrinkToFit="1"/>
    </xf>
    <xf numFmtId="38" fontId="35" fillId="0" borderId="0" xfId="1" applyFont="1" applyFill="1" applyAlignment="1">
      <alignment vertical="center" shrinkToFit="1"/>
    </xf>
    <xf numFmtId="38" fontId="35" fillId="0" borderId="31" xfId="1" applyFont="1" applyFill="1" applyBorder="1" applyAlignment="1">
      <alignment vertical="center" shrinkToFit="1"/>
    </xf>
    <xf numFmtId="3" fontId="32" fillId="0" borderId="15" xfId="3" applyNumberFormat="1" applyFont="1" applyFill="1" applyBorder="1" applyAlignment="1">
      <alignment horizontal="center" vertical="center" shrinkToFit="1"/>
    </xf>
    <xf numFmtId="3" fontId="32" fillId="0" borderId="33" xfId="3" applyNumberFormat="1" applyFont="1" applyFill="1" applyBorder="1" applyAlignment="1">
      <alignment horizontal="center" vertical="center" shrinkToFit="1"/>
    </xf>
    <xf numFmtId="3" fontId="35" fillId="0" borderId="14" xfId="3" applyNumberFormat="1" applyFont="1" applyFill="1" applyBorder="1" applyAlignment="1">
      <alignment horizontal="center" vertical="center" shrinkToFit="1"/>
    </xf>
    <xf numFmtId="0" fontId="35" fillId="0" borderId="6" xfId="3" applyNumberFormat="1" applyFont="1" applyFill="1" applyBorder="1" applyAlignment="1">
      <alignment horizontal="right" vertical="center" shrinkToFit="1"/>
    </xf>
    <xf numFmtId="0" fontId="35" fillId="0" borderId="6" xfId="0" applyFont="1" applyFill="1" applyBorder="1" applyAlignment="1">
      <alignment vertical="center" shrinkToFit="1"/>
    </xf>
    <xf numFmtId="0" fontId="35" fillId="0" borderId="8" xfId="0" applyFont="1" applyFill="1" applyBorder="1" applyAlignment="1">
      <alignment vertical="center" shrinkToFit="1"/>
    </xf>
    <xf numFmtId="49" fontId="38" fillId="0" borderId="7" xfId="0" applyNumberFormat="1" applyFont="1" applyFill="1" applyBorder="1" applyAlignment="1">
      <alignment horizontal="center" vertical="center"/>
    </xf>
    <xf numFmtId="185" fontId="35" fillId="0" borderId="8" xfId="26" applyNumberFormat="1" applyFont="1" applyFill="1" applyBorder="1" applyAlignment="1">
      <alignment vertical="center" shrinkToFit="1"/>
    </xf>
    <xf numFmtId="0" fontId="35" fillId="0" borderId="48" xfId="3" applyFont="1" applyFill="1" applyBorder="1" applyAlignment="1">
      <alignment horizontal="left" vertical="center" shrinkToFit="1"/>
    </xf>
    <xf numFmtId="3" fontId="35" fillId="0" borderId="17" xfId="3" applyNumberFormat="1" applyFont="1" applyFill="1" applyBorder="1" applyAlignment="1">
      <alignment vertical="center" shrinkToFit="1"/>
    </xf>
    <xf numFmtId="38" fontId="35" fillId="0" borderId="12" xfId="1" applyFont="1" applyFill="1" applyBorder="1" applyAlignment="1">
      <alignment vertical="center" shrinkToFit="1"/>
    </xf>
    <xf numFmtId="38" fontId="35" fillId="0" borderId="14" xfId="1" applyFont="1" applyFill="1" applyBorder="1" applyAlignment="1">
      <alignment vertical="center" shrinkToFit="1"/>
    </xf>
    <xf numFmtId="2" fontId="35" fillId="0" borderId="12" xfId="0" applyNumberFormat="1" applyFont="1" applyFill="1" applyBorder="1" applyAlignment="1">
      <alignment vertical="center" shrinkToFit="1"/>
    </xf>
    <xf numFmtId="185" fontId="35" fillId="0" borderId="42" xfId="26" applyNumberFormat="1" applyFont="1" applyFill="1" applyBorder="1" applyAlignment="1">
      <alignment vertical="center" shrinkToFit="1"/>
    </xf>
    <xf numFmtId="3" fontId="35" fillId="0" borderId="42" xfId="26" applyNumberFormat="1" applyFont="1" applyFill="1" applyBorder="1" applyAlignment="1">
      <alignment vertical="center" shrinkToFit="1"/>
    </xf>
    <xf numFmtId="185" fontId="35" fillId="0" borderId="48" xfId="26" applyNumberFormat="1" applyFont="1" applyFill="1" applyBorder="1" applyAlignment="1">
      <alignment vertical="center" shrinkToFit="1"/>
    </xf>
    <xf numFmtId="38" fontId="35" fillId="0" borderId="16" xfId="1" applyFont="1" applyFill="1" applyBorder="1" applyAlignment="1">
      <alignment vertical="center" shrinkToFit="1"/>
    </xf>
    <xf numFmtId="38" fontId="35" fillId="0" borderId="17" xfId="1" applyFont="1" applyFill="1" applyBorder="1" applyAlignment="1">
      <alignment vertical="center" shrinkToFit="1"/>
    </xf>
    <xf numFmtId="3" fontId="35" fillId="0" borderId="8" xfId="0" applyNumberFormat="1" applyFont="1" applyFill="1" applyBorder="1" applyAlignment="1">
      <alignment vertical="center" shrinkToFit="1"/>
    </xf>
    <xf numFmtId="49" fontId="35" fillId="0" borderId="15" xfId="0" applyNumberFormat="1" applyFont="1" applyFill="1" applyBorder="1" applyAlignment="1">
      <alignment horizontal="center" vertical="center" shrinkToFit="1"/>
    </xf>
    <xf numFmtId="0" fontId="35" fillId="0" borderId="0" xfId="0" applyFont="1" applyFill="1" applyAlignment="1">
      <alignment horizontal="left" vertical="center" shrinkToFit="1"/>
    </xf>
    <xf numFmtId="0" fontId="35" fillId="0" borderId="0" xfId="0" applyNumberFormat="1" applyFont="1" applyFill="1" applyAlignment="1">
      <alignment horizontal="left" vertical="center"/>
    </xf>
    <xf numFmtId="0" fontId="35" fillId="0" borderId="0" xfId="1" applyNumberFormat="1" applyFont="1" applyFill="1" applyAlignment="1">
      <alignment horizontal="left" vertical="center"/>
    </xf>
    <xf numFmtId="3" fontId="37" fillId="0" borderId="17" xfId="3" applyNumberFormat="1" applyFont="1" applyFill="1" applyBorder="1" applyAlignment="1">
      <alignment vertical="center" shrinkToFit="1"/>
    </xf>
    <xf numFmtId="38" fontId="37" fillId="0" borderId="12" xfId="1" applyFont="1" applyFill="1" applyBorder="1" applyAlignment="1">
      <alignment vertical="center" shrinkToFit="1"/>
    </xf>
    <xf numFmtId="38" fontId="37" fillId="0" borderId="14" xfId="1" applyFont="1" applyFill="1" applyBorder="1" applyAlignment="1">
      <alignment vertical="center" shrinkToFit="1"/>
    </xf>
    <xf numFmtId="2" fontId="37" fillId="0" borderId="12" xfId="0" applyNumberFormat="1" applyFont="1" applyFill="1" applyBorder="1" applyAlignment="1">
      <alignment vertical="center" shrinkToFit="1"/>
    </xf>
    <xf numFmtId="185" fontId="37" fillId="0" borderId="42" xfId="26" applyNumberFormat="1" applyFont="1" applyFill="1" applyBorder="1" applyAlignment="1">
      <alignment vertical="center" shrinkToFit="1"/>
    </xf>
    <xf numFmtId="3" fontId="37" fillId="0" borderId="42" xfId="26" applyNumberFormat="1" applyFont="1" applyFill="1" applyBorder="1" applyAlignment="1">
      <alignment vertical="center" shrinkToFit="1"/>
    </xf>
    <xf numFmtId="185" fontId="37" fillId="0" borderId="48" xfId="26" applyNumberFormat="1" applyFont="1" applyFill="1" applyBorder="1" applyAlignment="1">
      <alignment vertical="center" shrinkToFit="1"/>
    </xf>
    <xf numFmtId="38" fontId="37" fillId="0" borderId="16" xfId="1" applyFont="1" applyFill="1" applyBorder="1" applyAlignment="1">
      <alignment vertical="center" shrinkToFit="1"/>
    </xf>
    <xf numFmtId="185" fontId="37" fillId="0" borderId="8" xfId="26" applyNumberFormat="1" applyFont="1" applyFill="1" applyBorder="1" applyAlignment="1">
      <alignment vertical="center" shrinkToFit="1"/>
    </xf>
    <xf numFmtId="0" fontId="35" fillId="0" borderId="49" xfId="3" applyFont="1" applyFill="1" applyBorder="1" applyAlignment="1">
      <alignment horizontal="left" vertical="center" shrinkToFit="1"/>
    </xf>
    <xf numFmtId="0" fontId="35" fillId="0" borderId="15" xfId="3" applyFont="1" applyFill="1" applyBorder="1" applyAlignment="1">
      <alignment horizontal="left" vertical="center" wrapText="1" shrinkToFit="1"/>
    </xf>
    <xf numFmtId="49" fontId="35" fillId="0" borderId="40" xfId="0" applyNumberFormat="1" applyFont="1" applyFill="1" applyBorder="1" applyAlignment="1">
      <alignment vertical="center" shrinkToFit="1"/>
    </xf>
    <xf numFmtId="0" fontId="35" fillId="0" borderId="50" xfId="3" applyFont="1" applyFill="1" applyBorder="1" applyAlignment="1">
      <alignment horizontal="left" vertical="center" shrinkToFit="1"/>
    </xf>
    <xf numFmtId="0" fontId="35" fillId="0" borderId="40" xfId="3" applyFont="1" applyFill="1" applyBorder="1" applyAlignment="1">
      <alignment horizontal="left" vertical="center" shrinkToFit="1"/>
    </xf>
    <xf numFmtId="0" fontId="35" fillId="0" borderId="14" xfId="3" applyFont="1" applyFill="1" applyBorder="1" applyAlignment="1">
      <alignment horizontal="left" vertical="center" shrinkToFit="1"/>
    </xf>
    <xf numFmtId="0" fontId="35" fillId="0" borderId="7" xfId="0" applyNumberFormat="1" applyFont="1" applyFill="1" applyBorder="1" applyAlignment="1">
      <alignment horizontal="center" vertical="center" shrinkToFit="1"/>
    </xf>
    <xf numFmtId="49" fontId="35" fillId="0" borderId="16" xfId="3" applyNumberFormat="1" applyFont="1" applyFill="1" applyBorder="1" applyAlignment="1">
      <alignment horizontal="right" vertical="center" shrinkToFit="1"/>
    </xf>
    <xf numFmtId="0" fontId="35" fillId="0" borderId="12" xfId="3" quotePrefix="1" applyNumberFormat="1" applyFont="1" applyFill="1" applyBorder="1" applyAlignment="1">
      <alignment horizontal="center" vertical="center" shrinkToFit="1"/>
    </xf>
    <xf numFmtId="0" fontId="35" fillId="0" borderId="12" xfId="0" applyNumberFormat="1" applyFont="1" applyFill="1" applyBorder="1" applyAlignment="1">
      <alignment horizontal="center" vertical="center" shrinkToFit="1"/>
    </xf>
    <xf numFmtId="0" fontId="32" fillId="0" borderId="0" xfId="0" applyFont="1">
      <alignment vertical="center"/>
    </xf>
    <xf numFmtId="0" fontId="32" fillId="0" borderId="6" xfId="0" applyFont="1" applyBorder="1">
      <alignment vertical="center"/>
    </xf>
    <xf numFmtId="49" fontId="32" fillId="0" borderId="42" xfId="0" applyNumberFormat="1" applyFont="1" applyBorder="1" applyAlignment="1">
      <alignment horizontal="center" vertical="center"/>
    </xf>
    <xf numFmtId="49" fontId="32" fillId="0" borderId="12" xfId="0" applyNumberFormat="1" applyFont="1" applyBorder="1" applyAlignment="1">
      <alignment vertical="center" shrinkToFit="1"/>
    </xf>
    <xf numFmtId="49" fontId="32" fillId="0" borderId="12" xfId="0" applyNumberFormat="1" applyFont="1" applyBorder="1">
      <alignment vertical="center"/>
    </xf>
    <xf numFmtId="49" fontId="32" fillId="0" borderId="12" xfId="0" applyNumberFormat="1" applyFont="1" applyBorder="1" applyAlignment="1">
      <alignment horizontal="center" vertical="center"/>
    </xf>
    <xf numFmtId="177" fontId="32" fillId="0" borderId="12" xfId="0" applyNumberFormat="1" applyFont="1" applyBorder="1">
      <alignment vertical="center"/>
    </xf>
    <xf numFmtId="49" fontId="32" fillId="0" borderId="12" xfId="0" applyNumberFormat="1" applyFont="1" applyBorder="1" applyAlignment="1">
      <alignment horizontal="left" vertical="center"/>
    </xf>
    <xf numFmtId="49" fontId="32" fillId="0" borderId="17" xfId="0" applyNumberFormat="1" applyFont="1" applyBorder="1">
      <alignment vertical="center"/>
    </xf>
    <xf numFmtId="49" fontId="32" fillId="0" borderId="16" xfId="0" applyNumberFormat="1" applyFont="1" applyBorder="1" applyAlignment="1">
      <alignment horizontal="center" vertical="center"/>
    </xf>
    <xf numFmtId="49" fontId="32" fillId="0" borderId="17" xfId="0" applyNumberFormat="1" applyFont="1" applyBorder="1" applyAlignment="1">
      <alignment horizontal="center" vertical="center"/>
    </xf>
    <xf numFmtId="49" fontId="32" fillId="0" borderId="16" xfId="0" applyNumberFormat="1" applyFont="1" applyBorder="1" applyAlignment="1">
      <alignment vertical="center" shrinkToFit="1"/>
    </xf>
    <xf numFmtId="14" fontId="32" fillId="0" borderId="12" xfId="0" applyNumberFormat="1" applyFont="1" applyBorder="1">
      <alignment vertical="center"/>
    </xf>
    <xf numFmtId="0" fontId="32" fillId="0" borderId="12" xfId="0" applyFont="1" applyBorder="1" applyAlignment="1">
      <alignment vertical="center" shrinkToFit="1"/>
    </xf>
    <xf numFmtId="0" fontId="32" fillId="0" borderId="12" xfId="0" applyFont="1" applyBorder="1">
      <alignment vertical="center"/>
    </xf>
    <xf numFmtId="0" fontId="32" fillId="0" borderId="5" xfId="0" applyFont="1" applyBorder="1">
      <alignment vertical="center"/>
    </xf>
    <xf numFmtId="0" fontId="32" fillId="0" borderId="6" xfId="0" applyFont="1" applyBorder="1" applyAlignment="1">
      <alignment vertical="center" wrapText="1"/>
    </xf>
    <xf numFmtId="49" fontId="32" fillId="0" borderId="13" xfId="0" applyNumberFormat="1" applyFont="1" applyBorder="1" applyAlignment="1">
      <alignment horizontal="center" vertical="center"/>
    </xf>
    <xf numFmtId="49" fontId="32" fillId="0" borderId="7" xfId="0" applyNumberFormat="1" applyFont="1" applyBorder="1" applyAlignment="1">
      <alignment vertical="center" shrinkToFit="1"/>
    </xf>
    <xf numFmtId="49" fontId="32" fillId="0" borderId="7" xfId="0" applyNumberFormat="1" applyFont="1" applyBorder="1">
      <alignment vertical="center"/>
    </xf>
    <xf numFmtId="49" fontId="32" fillId="0" borderId="7" xfId="0" applyNumberFormat="1" applyFont="1" applyBorder="1" applyAlignment="1">
      <alignment horizontal="center" vertical="center"/>
    </xf>
    <xf numFmtId="177" fontId="32" fillId="0" borderId="7" xfId="0" applyNumberFormat="1" applyFont="1" applyBorder="1">
      <alignment vertical="center"/>
    </xf>
    <xf numFmtId="49" fontId="32" fillId="0" borderId="7" xfId="0" applyNumberFormat="1" applyFont="1" applyBorder="1" applyAlignment="1">
      <alignment horizontal="left" vertical="center"/>
    </xf>
    <xf numFmtId="49" fontId="32" fillId="0" borderId="8" xfId="0" applyNumberFormat="1" applyFont="1" applyBorder="1" applyAlignment="1">
      <alignment vertical="center" wrapText="1"/>
    </xf>
    <xf numFmtId="49" fontId="32" fillId="0" borderId="6" xfId="0" applyNumberFormat="1" applyFont="1" applyBorder="1" applyAlignment="1">
      <alignment horizontal="center" vertical="center"/>
    </xf>
    <xf numFmtId="49" fontId="32" fillId="0" borderId="8" xfId="0" applyNumberFormat="1" applyFont="1" applyBorder="1" applyAlignment="1">
      <alignment horizontal="center" vertical="center"/>
    </xf>
    <xf numFmtId="49" fontId="32" fillId="0" borderId="6" xfId="0" applyNumberFormat="1" applyFont="1" applyBorder="1" applyAlignment="1">
      <alignment vertical="center" shrinkToFit="1"/>
    </xf>
    <xf numFmtId="49" fontId="32" fillId="0" borderId="8" xfId="0" applyNumberFormat="1" applyFont="1" applyBorder="1">
      <alignment vertical="center"/>
    </xf>
    <xf numFmtId="14" fontId="32" fillId="0" borderId="7" xfId="0" applyNumberFormat="1" applyFont="1" applyBorder="1">
      <alignment vertical="center"/>
    </xf>
    <xf numFmtId="0" fontId="32" fillId="0" borderId="7" xfId="0" applyFont="1" applyBorder="1" applyAlignment="1">
      <alignment vertical="center" shrinkToFit="1"/>
    </xf>
    <xf numFmtId="0" fontId="32" fillId="0" borderId="7" xfId="0" applyFont="1" applyBorder="1">
      <alignment vertical="center"/>
    </xf>
    <xf numFmtId="0" fontId="32" fillId="0" borderId="8" xfId="0" applyFont="1" applyBorder="1">
      <alignment vertical="center"/>
    </xf>
    <xf numFmtId="0" fontId="32" fillId="0" borderId="0" xfId="0" applyFont="1" applyAlignment="1">
      <alignment vertical="center" wrapText="1"/>
    </xf>
    <xf numFmtId="49" fontId="32" fillId="0" borderId="7" xfId="0" applyNumberFormat="1" applyFont="1" applyBorder="1" applyAlignment="1">
      <alignment horizontal="center" vertical="center" shrinkToFit="1"/>
    </xf>
    <xf numFmtId="49" fontId="32" fillId="0" borderId="8" xfId="0" applyNumberFormat="1" applyFont="1" applyBorder="1" applyAlignment="1">
      <alignment vertical="top" wrapText="1"/>
    </xf>
    <xf numFmtId="49" fontId="32" fillId="0" borderId="7" xfId="0" applyNumberFormat="1" applyFont="1" applyBorder="1" applyAlignment="1">
      <alignment vertical="center" wrapText="1"/>
    </xf>
    <xf numFmtId="49" fontId="32" fillId="0" borderId="7" xfId="0" applyNumberFormat="1" applyFont="1" applyBorder="1" applyAlignment="1">
      <alignment horizontal="left" vertical="center" shrinkToFit="1"/>
    </xf>
    <xf numFmtId="49" fontId="32" fillId="0" borderId="8" xfId="0" applyNumberFormat="1" applyFont="1" applyBorder="1" applyAlignment="1">
      <alignment vertical="center" shrinkToFit="1"/>
    </xf>
    <xf numFmtId="177" fontId="32" fillId="0" borderId="7" xfId="0" applyNumberFormat="1" applyFont="1" applyBorder="1" applyAlignment="1">
      <alignment vertical="center" shrinkToFit="1"/>
    </xf>
    <xf numFmtId="49" fontId="32" fillId="0" borderId="8" xfId="0" applyNumberFormat="1" applyFont="1" applyBorder="1" applyAlignment="1">
      <alignment horizontal="left" vertical="center"/>
    </xf>
    <xf numFmtId="0" fontId="32" fillId="0" borderId="8" xfId="0" applyFont="1" applyBorder="1" applyAlignment="1">
      <alignment vertical="center" shrinkToFit="1"/>
    </xf>
    <xf numFmtId="0" fontId="33" fillId="0" borderId="7" xfId="0" applyFont="1" applyBorder="1">
      <alignment vertical="center"/>
    </xf>
    <xf numFmtId="0" fontId="33" fillId="0" borderId="8" xfId="0" applyFont="1" applyBorder="1">
      <alignment vertical="center"/>
    </xf>
    <xf numFmtId="0" fontId="34" fillId="0" borderId="7" xfId="0" applyFont="1" applyBorder="1" applyAlignment="1">
      <alignment vertical="center" shrinkToFit="1"/>
    </xf>
    <xf numFmtId="49" fontId="32" fillId="0" borderId="7" xfId="0" applyNumberFormat="1" applyFont="1" applyBorder="1" applyAlignment="1">
      <alignment vertical="center" wrapText="1" shrinkToFit="1"/>
    </xf>
    <xf numFmtId="0" fontId="33" fillId="0" borderId="7" xfId="0" applyFont="1" applyBorder="1" applyAlignment="1">
      <alignment horizontal="center" vertical="center"/>
    </xf>
    <xf numFmtId="0" fontId="32" fillId="0" borderId="7" xfId="0" applyFont="1" applyBorder="1" applyAlignment="1">
      <alignment horizontal="center" vertical="center"/>
    </xf>
    <xf numFmtId="0" fontId="33" fillId="0" borderId="6" xfId="0" applyFont="1" applyBorder="1">
      <alignment vertical="center"/>
    </xf>
    <xf numFmtId="0" fontId="33" fillId="0" borderId="0" xfId="0" applyFont="1">
      <alignment vertical="center"/>
    </xf>
    <xf numFmtId="0" fontId="32" fillId="0" borderId="7" xfId="0" applyFont="1" applyBorder="1" applyAlignment="1">
      <alignment horizontal="right" vertical="center"/>
    </xf>
    <xf numFmtId="49" fontId="35" fillId="0" borderId="7" xfId="0" applyNumberFormat="1" applyFont="1" applyBorder="1" applyAlignment="1">
      <alignment vertical="center" shrinkToFit="1"/>
    </xf>
    <xf numFmtId="0" fontId="32" fillId="0" borderId="8" xfId="3" applyFont="1" applyBorder="1" applyAlignment="1">
      <alignment horizontal="left" vertical="center" shrinkToFit="1"/>
    </xf>
    <xf numFmtId="0" fontId="32" fillId="0" borderId="7" xfId="3" applyFont="1" applyBorder="1" applyAlignment="1">
      <alignment horizontal="left" vertical="center" shrinkToFit="1"/>
    </xf>
    <xf numFmtId="0" fontId="32" fillId="0" borderId="8" xfId="0" applyFont="1" applyBorder="1" applyAlignment="1">
      <alignment vertical="center" wrapText="1"/>
    </xf>
    <xf numFmtId="49" fontId="34" fillId="0" borderId="7" xfId="0" applyNumberFormat="1" applyFont="1" applyBorder="1">
      <alignment vertical="center"/>
    </xf>
    <xf numFmtId="14" fontId="32" fillId="0" borderId="7" xfId="0" applyNumberFormat="1" applyFont="1" applyBorder="1" applyAlignment="1">
      <alignment vertical="center" wrapText="1"/>
    </xf>
    <xf numFmtId="0" fontId="35" fillId="0" borderId="7" xfId="3" applyFont="1" applyBorder="1" applyAlignment="1">
      <alignment horizontal="left" vertical="center" shrinkToFit="1"/>
    </xf>
    <xf numFmtId="49" fontId="32" fillId="0" borderId="7" xfId="0" applyNumberFormat="1" applyFont="1" applyBorder="1" applyAlignment="1">
      <alignment horizontal="center" vertical="center" wrapText="1"/>
    </xf>
    <xf numFmtId="177" fontId="32" fillId="0" borderId="7" xfId="0" applyNumberFormat="1" applyFont="1" applyBorder="1" applyAlignment="1">
      <alignment vertical="center" wrapText="1"/>
    </xf>
    <xf numFmtId="49" fontId="32" fillId="0" borderId="6" xfId="0" applyNumberFormat="1" applyFont="1" applyBorder="1" applyAlignment="1">
      <alignment horizontal="center" vertical="center" wrapText="1"/>
    </xf>
    <xf numFmtId="0" fontId="32" fillId="0" borderId="7" xfId="0" applyFont="1" applyBorder="1" applyAlignment="1">
      <alignment vertical="center" wrapText="1" shrinkToFit="1"/>
    </xf>
    <xf numFmtId="0" fontId="32" fillId="0" borderId="7" xfId="0" applyFont="1" applyBorder="1" applyAlignment="1">
      <alignment vertical="center" wrapText="1"/>
    </xf>
    <xf numFmtId="3" fontId="32" fillId="0" borderId="7" xfId="0" applyNumberFormat="1" applyFont="1" applyBorder="1" applyAlignment="1">
      <alignment vertical="center" wrapText="1"/>
    </xf>
    <xf numFmtId="3" fontId="32" fillId="0" borderId="8" xfId="0" applyNumberFormat="1" applyFont="1" applyBorder="1" applyAlignment="1">
      <alignment vertical="center" wrapText="1"/>
    </xf>
    <xf numFmtId="49" fontId="32" fillId="0" borderId="6" xfId="0" applyNumberFormat="1" applyFont="1" applyBorder="1" applyAlignment="1">
      <alignment vertical="center" wrapText="1" shrinkToFit="1"/>
    </xf>
    <xf numFmtId="0" fontId="32" fillId="0" borderId="9" xfId="0" applyFont="1" applyBorder="1" applyAlignment="1">
      <alignment vertical="center" wrapText="1"/>
    </xf>
    <xf numFmtId="49" fontId="32" fillId="0" borderId="36" xfId="0" applyNumberFormat="1" applyFont="1" applyBorder="1" applyAlignment="1">
      <alignment horizontal="center" vertical="center"/>
    </xf>
    <xf numFmtId="49" fontId="32" fillId="0" borderId="10" xfId="0" applyNumberFormat="1" applyFont="1" applyBorder="1" applyAlignment="1">
      <alignment horizontal="center" vertical="center"/>
    </xf>
    <xf numFmtId="49" fontId="32" fillId="0" borderId="10" xfId="0" applyNumberFormat="1" applyFont="1" applyBorder="1" applyAlignment="1">
      <alignment vertical="center" shrinkToFit="1"/>
    </xf>
    <xf numFmtId="49" fontId="32" fillId="0" borderId="10" xfId="0" applyNumberFormat="1" applyFont="1" applyBorder="1">
      <alignment vertical="center"/>
    </xf>
    <xf numFmtId="177" fontId="32" fillId="0" borderId="10" xfId="0" applyNumberFormat="1" applyFont="1" applyBorder="1" applyAlignment="1">
      <alignment horizontal="right" vertical="center"/>
    </xf>
    <xf numFmtId="177" fontId="32" fillId="0" borderId="10" xfId="0" applyNumberFormat="1" applyFont="1" applyBorder="1">
      <alignment vertical="center"/>
    </xf>
    <xf numFmtId="49" fontId="32" fillId="0" borderId="10" xfId="0" applyNumberFormat="1" applyFont="1" applyBorder="1" applyAlignment="1">
      <alignment horizontal="left" vertical="center"/>
    </xf>
    <xf numFmtId="49" fontId="32" fillId="0" borderId="27" xfId="0" applyNumberFormat="1" applyFont="1" applyBorder="1">
      <alignment vertical="center"/>
    </xf>
    <xf numFmtId="49" fontId="32" fillId="0" borderId="9" xfId="0" applyNumberFormat="1" applyFont="1" applyBorder="1" applyAlignment="1">
      <alignment horizontal="center" vertical="center"/>
    </xf>
    <xf numFmtId="49" fontId="32" fillId="0" borderId="27" xfId="0" applyNumberFormat="1" applyFont="1" applyBorder="1" applyAlignment="1">
      <alignment horizontal="center" vertical="center"/>
    </xf>
    <xf numFmtId="49" fontId="32" fillId="0" borderId="9" xfId="0" applyNumberFormat="1" applyFont="1" applyBorder="1" applyAlignment="1">
      <alignment vertical="center" shrinkToFit="1"/>
    </xf>
    <xf numFmtId="14" fontId="32" fillId="0" borderId="10" xfId="0" applyNumberFormat="1" applyFont="1" applyBorder="1">
      <alignment vertical="center"/>
    </xf>
    <xf numFmtId="0" fontId="32" fillId="0" borderId="10" xfId="0" applyFont="1" applyBorder="1" applyAlignment="1">
      <alignment vertical="center" shrinkToFit="1"/>
    </xf>
    <xf numFmtId="0" fontId="32" fillId="0" borderId="10" xfId="0" applyFont="1" applyBorder="1">
      <alignment vertical="center"/>
    </xf>
    <xf numFmtId="0" fontId="32" fillId="0" borderId="27" xfId="0" applyFont="1" applyBorder="1">
      <alignment vertical="center"/>
    </xf>
    <xf numFmtId="49" fontId="32" fillId="0" borderId="0" xfId="0" applyNumberFormat="1" applyFont="1">
      <alignment vertical="center"/>
    </xf>
    <xf numFmtId="177" fontId="32" fillId="0" borderId="0" xfId="0" applyNumberFormat="1" applyFont="1">
      <alignment vertical="center"/>
    </xf>
    <xf numFmtId="14" fontId="32" fillId="0" borderId="0" xfId="0" applyNumberFormat="1" applyFont="1">
      <alignment vertical="center"/>
    </xf>
    <xf numFmtId="0" fontId="12" fillId="0" borderId="0" xfId="0" applyFont="1">
      <alignment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39" fillId="4" borderId="23" xfId="2" applyFont="1" applyFill="1" applyBorder="1">
      <alignment vertical="center"/>
    </xf>
    <xf numFmtId="0" fontId="39" fillId="4" borderId="18" xfId="2" applyFont="1" applyFill="1" applyBorder="1">
      <alignment vertical="center"/>
    </xf>
    <xf numFmtId="178" fontId="39" fillId="4" borderId="18" xfId="2" applyNumberFormat="1" applyFont="1" applyFill="1" applyBorder="1">
      <alignment vertical="center"/>
    </xf>
    <xf numFmtId="2" fontId="39" fillId="4" borderId="18" xfId="2" applyNumberFormat="1" applyFont="1" applyFill="1" applyBorder="1">
      <alignment vertical="center"/>
    </xf>
    <xf numFmtId="0" fontId="39" fillId="4" borderId="19" xfId="2" applyFont="1" applyFill="1" applyBorder="1">
      <alignment vertical="center"/>
    </xf>
    <xf numFmtId="0" fontId="32" fillId="0" borderId="0" xfId="2" applyFont="1">
      <alignment vertical="center"/>
    </xf>
    <xf numFmtId="0" fontId="32" fillId="0" borderId="0" xfId="2" applyFont="1" applyAlignment="1">
      <alignment vertical="center" wrapText="1"/>
    </xf>
    <xf numFmtId="0" fontId="32" fillId="0" borderId="6" xfId="2" applyFont="1" applyBorder="1" applyAlignment="1">
      <alignment horizontal="center" vertical="center"/>
    </xf>
    <xf numFmtId="178" fontId="32" fillId="0" borderId="42" xfId="2" applyNumberFormat="1" applyFont="1" applyBorder="1">
      <alignment vertical="center"/>
    </xf>
    <xf numFmtId="0" fontId="32" fillId="0" borderId="12" xfId="3" applyFont="1" applyBorder="1" applyAlignment="1">
      <alignment horizontal="center" vertical="center" shrinkToFit="1"/>
    </xf>
    <xf numFmtId="49" fontId="32" fillId="0" borderId="12" xfId="3" applyNumberFormat="1" applyFont="1" applyBorder="1" applyAlignment="1">
      <alignment horizontal="center" vertical="center" shrinkToFit="1"/>
    </xf>
    <xf numFmtId="0" fontId="32" fillId="0" borderId="12" xfId="3" applyFont="1" applyBorder="1" applyAlignment="1">
      <alignment horizontal="left" vertical="center" shrinkToFit="1"/>
    </xf>
    <xf numFmtId="0" fontId="32" fillId="0" borderId="17" xfId="3" applyFont="1" applyBorder="1" applyAlignment="1">
      <alignment horizontal="left" vertical="center" shrinkToFit="1"/>
    </xf>
    <xf numFmtId="49" fontId="32" fillId="0" borderId="16" xfId="3" applyNumberFormat="1" applyFont="1" applyBorder="1" applyAlignment="1">
      <alignment horizontal="center" vertical="center" shrinkToFit="1"/>
    </xf>
    <xf numFmtId="0" fontId="32" fillId="0" borderId="12" xfId="3" applyFont="1" applyBorder="1" applyAlignment="1">
      <alignment horizontal="center" vertical="center"/>
    </xf>
    <xf numFmtId="0" fontId="32" fillId="0" borderId="7" xfId="3" applyFont="1" applyBorder="1" applyAlignment="1">
      <alignment horizontal="center" vertical="center"/>
    </xf>
    <xf numFmtId="178" fontId="32" fillId="0" borderId="12" xfId="3" applyNumberFormat="1" applyFont="1" applyBorder="1" applyAlignment="1">
      <alignment horizontal="right" vertical="center"/>
    </xf>
    <xf numFmtId="2" fontId="32" fillId="0" borderId="12" xfId="2" applyNumberFormat="1" applyFont="1" applyBorder="1">
      <alignment vertical="center"/>
    </xf>
    <xf numFmtId="178" fontId="32" fillId="0" borderId="12" xfId="3" applyNumberFormat="1" applyFont="1" applyBorder="1" applyAlignment="1">
      <alignment horizontal="center" vertical="center"/>
    </xf>
    <xf numFmtId="0" fontId="32" fillId="0" borderId="12" xfId="4" applyNumberFormat="1" applyFont="1" applyFill="1" applyBorder="1" applyAlignment="1">
      <alignment horizontal="center" vertical="center" shrinkToFit="1"/>
    </xf>
    <xf numFmtId="0" fontId="32" fillId="0" borderId="17" xfId="4" applyNumberFormat="1" applyFont="1" applyFill="1" applyBorder="1" applyAlignment="1">
      <alignment horizontal="center" vertical="center" shrinkToFit="1"/>
    </xf>
    <xf numFmtId="180" fontId="32" fillId="0" borderId="16" xfId="3" applyNumberFormat="1" applyFont="1" applyBorder="1" applyAlignment="1">
      <alignment horizontal="center" vertical="center"/>
    </xf>
    <xf numFmtId="180" fontId="32" fillId="0" borderId="12" xfId="3" applyNumberFormat="1" applyFont="1" applyBorder="1" applyAlignment="1">
      <alignment horizontal="center" vertical="center"/>
    </xf>
    <xf numFmtId="0" fontId="32" fillId="0" borderId="17" xfId="2" applyFont="1" applyBorder="1" applyAlignment="1">
      <alignment horizontal="center" vertical="center" wrapText="1"/>
    </xf>
    <xf numFmtId="0" fontId="32" fillId="0" borderId="16" xfId="2" applyFont="1" applyBorder="1" applyAlignment="1">
      <alignment horizontal="center" vertical="center" shrinkToFit="1"/>
    </xf>
    <xf numFmtId="0" fontId="32" fillId="0" borderId="17" xfId="2" applyFont="1" applyBorder="1" applyAlignment="1">
      <alignment horizontal="right" vertical="center" shrinkToFit="1"/>
    </xf>
    <xf numFmtId="0" fontId="32" fillId="0" borderId="16" xfId="3" applyFont="1" applyBorder="1" applyAlignment="1">
      <alignment horizontal="center" vertical="center"/>
    </xf>
    <xf numFmtId="1" fontId="32" fillId="0" borderId="17" xfId="3" applyNumberFormat="1" applyFont="1" applyBorder="1" applyAlignment="1">
      <alignment horizontal="center" vertical="center"/>
    </xf>
    <xf numFmtId="49" fontId="32" fillId="0" borderId="16" xfId="2" applyNumberFormat="1" applyFont="1" applyBorder="1" applyAlignment="1">
      <alignment horizontal="right" vertical="center"/>
    </xf>
    <xf numFmtId="0" fontId="32" fillId="0" borderId="17" xfId="3" applyFont="1" applyBorder="1" applyAlignment="1">
      <alignment horizontal="center" vertical="center"/>
    </xf>
    <xf numFmtId="49" fontId="32" fillId="0" borderId="6" xfId="3" applyNumberFormat="1" applyFont="1" applyBorder="1" applyAlignment="1">
      <alignment horizontal="center" vertical="center" shrinkToFit="1"/>
    </xf>
    <xf numFmtId="178" fontId="32" fillId="0" borderId="7" xfId="3" applyNumberFormat="1" applyFont="1" applyBorder="1" applyAlignment="1">
      <alignment horizontal="right" vertical="center"/>
    </xf>
    <xf numFmtId="2" fontId="32" fillId="0" borderId="7" xfId="2" applyNumberFormat="1" applyFont="1" applyBorder="1">
      <alignment vertical="center"/>
    </xf>
    <xf numFmtId="178" fontId="32" fillId="0" borderId="7" xfId="3" applyNumberFormat="1" applyFont="1" applyBorder="1" applyAlignment="1">
      <alignment horizontal="center" vertical="center"/>
    </xf>
    <xf numFmtId="180" fontId="32" fillId="0" borderId="6" xfId="3" applyNumberFormat="1" applyFont="1" applyBorder="1" applyAlignment="1">
      <alignment horizontal="center" vertical="center"/>
    </xf>
    <xf numFmtId="180" fontId="32" fillId="0" borderId="7" xfId="3" applyNumberFormat="1" applyFont="1" applyBorder="1" applyAlignment="1">
      <alignment horizontal="center" vertical="center"/>
    </xf>
    <xf numFmtId="0" fontId="32" fillId="0" borderId="8" xfId="2" applyFont="1" applyBorder="1" applyAlignment="1">
      <alignment horizontal="center" vertical="center" wrapText="1"/>
    </xf>
    <xf numFmtId="0" fontId="32" fillId="0" borderId="6" xfId="2" applyFont="1" applyBorder="1" applyAlignment="1">
      <alignment horizontal="center" vertical="center" shrinkToFit="1"/>
    </xf>
    <xf numFmtId="0" fontId="32" fillId="0" borderId="8" xfId="2" applyFont="1" applyBorder="1" applyAlignment="1">
      <alignment horizontal="right" vertical="center" shrinkToFit="1"/>
    </xf>
    <xf numFmtId="0" fontId="32" fillId="0" borderId="6" xfId="3" applyFont="1" applyBorder="1" applyAlignment="1">
      <alignment horizontal="center" vertical="center"/>
    </xf>
    <xf numFmtId="1" fontId="32" fillId="0" borderId="8" xfId="3" applyNumberFormat="1" applyFont="1" applyBorder="1" applyAlignment="1">
      <alignment horizontal="center" vertical="center"/>
    </xf>
    <xf numFmtId="49" fontId="32" fillId="0" borderId="6" xfId="2" applyNumberFormat="1" applyFont="1" applyBorder="1" applyAlignment="1">
      <alignment horizontal="right" vertical="center"/>
    </xf>
    <xf numFmtId="0" fontId="32" fillId="0" borderId="8" xfId="3" applyFont="1" applyBorder="1" applyAlignment="1">
      <alignment horizontal="center" vertical="center"/>
    </xf>
    <xf numFmtId="178" fontId="32" fillId="5" borderId="42" xfId="2" applyNumberFormat="1" applyFont="1" applyFill="1" applyBorder="1">
      <alignment vertical="center"/>
    </xf>
    <xf numFmtId="0" fontId="32" fillId="5" borderId="12" xfId="3" applyFont="1" applyFill="1" applyBorder="1" applyAlignment="1">
      <alignment horizontal="center" vertical="center" shrinkToFit="1"/>
    </xf>
    <xf numFmtId="0" fontId="38" fillId="5" borderId="8" xfId="3" applyFont="1" applyFill="1" applyBorder="1" applyAlignment="1">
      <alignment horizontal="left" vertical="center" wrapText="1"/>
    </xf>
    <xf numFmtId="178" fontId="32" fillId="0" borderId="7" xfId="3" applyNumberFormat="1" applyFont="1" applyBorder="1" applyAlignment="1">
      <alignment vertical="center"/>
    </xf>
    <xf numFmtId="2" fontId="32" fillId="0" borderId="7" xfId="3" applyNumberFormat="1" applyFont="1" applyBorder="1" applyAlignment="1">
      <alignment horizontal="right" vertical="center"/>
    </xf>
    <xf numFmtId="0" fontId="38" fillId="5" borderId="8" xfId="3" applyFont="1" applyFill="1" applyBorder="1" applyAlignment="1">
      <alignment horizontal="center" vertical="center"/>
    </xf>
    <xf numFmtId="0" fontId="33" fillId="0" borderId="8" xfId="3" applyFont="1" applyBorder="1" applyAlignment="1">
      <alignment horizontal="center" vertical="center"/>
    </xf>
    <xf numFmtId="0" fontId="33" fillId="5" borderId="8" xfId="3" applyFont="1" applyFill="1" applyBorder="1" applyAlignment="1">
      <alignment horizontal="center" vertical="center"/>
    </xf>
    <xf numFmtId="0" fontId="33" fillId="5" borderId="8" xfId="3" applyFont="1" applyFill="1" applyBorder="1" applyAlignment="1">
      <alignment horizontal="left" vertical="center" wrapText="1"/>
    </xf>
    <xf numFmtId="0" fontId="32" fillId="0" borderId="7" xfId="2" applyFont="1" applyBorder="1">
      <alignment vertical="center"/>
    </xf>
    <xf numFmtId="49" fontId="32" fillId="0" borderId="6" xfId="3" applyNumberFormat="1" applyFont="1" applyBorder="1" applyAlignment="1">
      <alignment horizontal="right" vertical="center"/>
    </xf>
    <xf numFmtId="0" fontId="32" fillId="0" borderId="8" xfId="3" applyFont="1" applyBorder="1" applyAlignment="1">
      <alignment horizontal="right" vertical="center"/>
    </xf>
    <xf numFmtId="0" fontId="32" fillId="0" borderId="7" xfId="3" applyFont="1" applyBorder="1" applyAlignment="1">
      <alignment horizontal="center" vertical="center" shrinkToFit="1"/>
    </xf>
    <xf numFmtId="2" fontId="32" fillId="0" borderId="7" xfId="3" applyNumberFormat="1" applyFont="1" applyBorder="1" applyAlignment="1">
      <alignment vertical="center"/>
    </xf>
    <xf numFmtId="0" fontId="32" fillId="0" borderId="8" xfId="3" applyFont="1" applyBorder="1" applyAlignment="1">
      <alignment horizontal="center" vertical="center" shrinkToFit="1"/>
    </xf>
    <xf numFmtId="0" fontId="32" fillId="0" borderId="7" xfId="2" applyFont="1" applyBorder="1" applyAlignment="1">
      <alignment vertical="center" shrinkToFit="1"/>
    </xf>
    <xf numFmtId="0" fontId="32" fillId="0" borderId="7" xfId="3" applyFont="1" applyBorder="1" applyAlignment="1">
      <alignment horizontal="center" vertical="center" wrapText="1"/>
    </xf>
    <xf numFmtId="2" fontId="32" fillId="0" borderId="7" xfId="2" applyNumberFormat="1" applyFont="1" applyBorder="1" applyAlignment="1">
      <alignment vertical="center" wrapText="1"/>
    </xf>
    <xf numFmtId="178" fontId="32" fillId="0" borderId="7" xfId="3" applyNumberFormat="1" applyFont="1" applyBorder="1" applyAlignment="1">
      <alignment horizontal="center" vertical="center" wrapText="1"/>
    </xf>
    <xf numFmtId="180" fontId="32" fillId="0" borderId="6" xfId="3" applyNumberFormat="1" applyFont="1" applyBorder="1" applyAlignment="1">
      <alignment horizontal="center" vertical="center" wrapText="1"/>
    </xf>
    <xf numFmtId="180" fontId="32" fillId="0" borderId="7" xfId="3" applyNumberFormat="1" applyFont="1" applyBorder="1" applyAlignment="1">
      <alignment horizontal="center" vertical="center" wrapText="1"/>
    </xf>
    <xf numFmtId="0" fontId="32" fillId="0" borderId="6" xfId="2" applyFont="1" applyBorder="1" applyAlignment="1">
      <alignment horizontal="center" vertical="center" wrapText="1" shrinkToFit="1"/>
    </xf>
    <xf numFmtId="0" fontId="32" fillId="0" borderId="8" xfId="2" applyFont="1" applyBorder="1" applyAlignment="1">
      <alignment horizontal="right" vertical="center" wrapText="1" shrinkToFit="1"/>
    </xf>
    <xf numFmtId="14" fontId="32" fillId="0" borderId="8" xfId="3" applyNumberFormat="1" applyFont="1" applyBorder="1" applyAlignment="1">
      <alignment horizontal="center" vertical="center" shrinkToFit="1"/>
    </xf>
    <xf numFmtId="178" fontId="32" fillId="0" borderId="7" xfId="3" applyNumberFormat="1" applyFont="1" applyBorder="1" applyAlignment="1">
      <alignment vertical="center" shrinkToFit="1"/>
    </xf>
    <xf numFmtId="0" fontId="32" fillId="0" borderId="8" xfId="2" applyFont="1" applyBorder="1" applyAlignment="1">
      <alignment horizontal="center" vertical="center" shrinkToFit="1"/>
    </xf>
    <xf numFmtId="2" fontId="32" fillId="0" borderId="7" xfId="3" applyNumberFormat="1" applyFont="1" applyBorder="1" applyAlignment="1">
      <alignment vertical="center" shrinkToFit="1"/>
    </xf>
    <xf numFmtId="2" fontId="32" fillId="0" borderId="7" xfId="3" applyNumberFormat="1" applyFont="1" applyBorder="1" applyAlignment="1">
      <alignment horizontal="right" vertical="center" shrinkToFit="1"/>
    </xf>
    <xf numFmtId="178" fontId="32" fillId="0" borderId="42" xfId="2" applyNumberFormat="1" applyFont="1" applyBorder="1" applyAlignment="1">
      <alignment horizontal="left" vertical="center"/>
    </xf>
    <xf numFmtId="0" fontId="34" fillId="0" borderId="0" xfId="2" applyFont="1">
      <alignment vertical="center"/>
    </xf>
    <xf numFmtId="49" fontId="35" fillId="0" borderId="8" xfId="0" applyNumberFormat="1" applyFont="1" applyBorder="1" applyAlignment="1">
      <alignment vertical="center" shrinkToFit="1"/>
    </xf>
    <xf numFmtId="0" fontId="32" fillId="0" borderId="7" xfId="2" applyFont="1" applyBorder="1" applyAlignment="1">
      <alignment horizontal="center" vertical="center"/>
    </xf>
    <xf numFmtId="1" fontId="32" fillId="0" borderId="8" xfId="2" applyNumberFormat="1" applyFont="1" applyBorder="1" applyAlignment="1">
      <alignment horizontal="center" vertical="center"/>
    </xf>
    <xf numFmtId="49" fontId="32" fillId="0" borderId="6" xfId="3" quotePrefix="1" applyNumberFormat="1" applyFont="1" applyBorder="1" applyAlignment="1">
      <alignment horizontal="center" vertical="center" shrinkToFit="1"/>
    </xf>
    <xf numFmtId="0" fontId="38" fillId="0" borderId="8" xfId="3" applyFont="1" applyBorder="1" applyAlignment="1">
      <alignment horizontal="center" vertical="center"/>
    </xf>
    <xf numFmtId="1" fontId="32" fillId="0" borderId="8" xfId="1" applyNumberFormat="1" applyFont="1" applyFill="1" applyBorder="1" applyAlignment="1">
      <alignment horizontal="center" vertical="center"/>
    </xf>
    <xf numFmtId="178" fontId="32" fillId="0" borderId="7" xfId="3" applyNumberFormat="1" applyFont="1" applyBorder="1" applyAlignment="1">
      <alignment vertical="center" wrapText="1"/>
    </xf>
    <xf numFmtId="0" fontId="32" fillId="0" borderId="8" xfId="3" applyFont="1" applyBorder="1" applyAlignment="1">
      <alignment horizontal="right" vertical="center" wrapText="1"/>
    </xf>
    <xf numFmtId="0" fontId="32" fillId="5" borderId="42" xfId="2" applyFont="1" applyFill="1" applyBorder="1">
      <alignment vertical="center"/>
    </xf>
    <xf numFmtId="0" fontId="32" fillId="5" borderId="8" xfId="3" applyFont="1" applyFill="1" applyBorder="1" applyAlignment="1">
      <alignment horizontal="center" vertical="center" shrinkToFit="1"/>
    </xf>
    <xf numFmtId="3" fontId="32" fillId="0" borderId="6" xfId="2" applyNumberFormat="1" applyFont="1" applyBorder="1" applyAlignment="1">
      <alignment horizontal="center" vertical="center" shrinkToFit="1"/>
    </xf>
    <xf numFmtId="0" fontId="32" fillId="0" borderId="7" xfId="2" applyFont="1" applyBorder="1" applyAlignment="1">
      <alignment horizontal="justify" vertical="center"/>
    </xf>
    <xf numFmtId="0" fontId="32" fillId="0" borderId="8" xfId="2" applyFont="1" applyBorder="1" applyAlignment="1">
      <alignment horizontal="justify" vertical="center"/>
    </xf>
    <xf numFmtId="0" fontId="32" fillId="0" borderId="7" xfId="2" applyFont="1" applyBorder="1" applyAlignment="1">
      <alignment horizontal="left" vertical="center" shrinkToFit="1"/>
    </xf>
    <xf numFmtId="178" fontId="32" fillId="0" borderId="7" xfId="2" applyNumberFormat="1" applyFont="1" applyBorder="1">
      <alignment vertical="center"/>
    </xf>
    <xf numFmtId="178" fontId="32" fillId="0" borderId="7" xfId="2" applyNumberFormat="1" applyFont="1" applyBorder="1" applyAlignment="1">
      <alignment horizontal="center" vertical="center"/>
    </xf>
    <xf numFmtId="0" fontId="32" fillId="0" borderId="8" xfId="2" applyFont="1" applyBorder="1" applyAlignment="1">
      <alignment horizontal="center" vertical="center"/>
    </xf>
    <xf numFmtId="0" fontId="32" fillId="0" borderId="8" xfId="2" applyFont="1" applyBorder="1" applyAlignment="1">
      <alignment horizontal="right" vertical="center"/>
    </xf>
    <xf numFmtId="178" fontId="32" fillId="0" borderId="10" xfId="2" applyNumberFormat="1" applyFont="1" applyBorder="1">
      <alignment vertical="center"/>
    </xf>
    <xf numFmtId="49" fontId="32" fillId="0" borderId="10" xfId="3" applyNumberFormat="1" applyFont="1" applyBorder="1" applyAlignment="1">
      <alignment horizontal="center" vertical="center" shrinkToFit="1"/>
    </xf>
    <xf numFmtId="0" fontId="32" fillId="0" borderId="10" xfId="3" applyFont="1" applyBorder="1" applyAlignment="1">
      <alignment horizontal="left" vertical="center" shrinkToFit="1"/>
    </xf>
    <xf numFmtId="0" fontId="32" fillId="0" borderId="27" xfId="3" applyFont="1" applyBorder="1" applyAlignment="1">
      <alignment horizontal="left" vertical="center" shrinkToFit="1"/>
    </xf>
    <xf numFmtId="49" fontId="32" fillId="0" borderId="9" xfId="3" applyNumberFormat="1" applyFont="1" applyBorder="1" applyAlignment="1">
      <alignment horizontal="center" vertical="center" shrinkToFit="1"/>
    </xf>
    <xf numFmtId="0" fontId="32" fillId="0" borderId="10" xfId="3" applyFont="1" applyBorder="1" applyAlignment="1">
      <alignment horizontal="center" vertical="center"/>
    </xf>
    <xf numFmtId="187" fontId="32" fillId="0" borderId="10" xfId="3" applyNumberFormat="1" applyFont="1" applyBorder="1" applyAlignment="1">
      <alignment vertical="center"/>
    </xf>
    <xf numFmtId="2" fontId="32" fillId="0" borderId="10" xfId="3" applyNumberFormat="1" applyFont="1" applyBorder="1" applyAlignment="1">
      <alignment horizontal="right" vertical="center"/>
    </xf>
    <xf numFmtId="178" fontId="32" fillId="0" borderId="10" xfId="3" applyNumberFormat="1" applyFont="1" applyBorder="1" applyAlignment="1">
      <alignment horizontal="center" vertical="center"/>
    </xf>
    <xf numFmtId="180" fontId="32" fillId="0" borderId="9" xfId="3" applyNumberFormat="1" applyFont="1" applyBorder="1" applyAlignment="1">
      <alignment horizontal="center" vertical="center"/>
    </xf>
    <xf numFmtId="180" fontId="32" fillId="0" borderId="10" xfId="3" applyNumberFormat="1" applyFont="1" applyBorder="1" applyAlignment="1">
      <alignment horizontal="center" vertical="center"/>
    </xf>
    <xf numFmtId="0" fontId="32" fillId="0" borderId="27" xfId="2" applyFont="1" applyBorder="1" applyAlignment="1">
      <alignment horizontal="center" vertical="center" wrapText="1"/>
    </xf>
    <xf numFmtId="0" fontId="32" fillId="0" borderId="9" xfId="2" applyFont="1" applyBorder="1" applyAlignment="1">
      <alignment horizontal="center" vertical="center" shrinkToFit="1"/>
    </xf>
    <xf numFmtId="0" fontId="32" fillId="0" borderId="27" xfId="2" applyFont="1" applyBorder="1" applyAlignment="1">
      <alignment horizontal="right" vertical="center" shrinkToFit="1"/>
    </xf>
    <xf numFmtId="0" fontId="32" fillId="0" borderId="9" xfId="3" applyFont="1" applyBorder="1" applyAlignment="1">
      <alignment horizontal="center" vertical="center"/>
    </xf>
    <xf numFmtId="1" fontId="32" fillId="0" borderId="27" xfId="3" applyNumberFormat="1" applyFont="1" applyBorder="1" applyAlignment="1">
      <alignment horizontal="center" vertical="center"/>
    </xf>
    <xf numFmtId="49" fontId="32" fillId="0" borderId="9" xfId="2" applyNumberFormat="1" applyFont="1" applyBorder="1" applyAlignment="1">
      <alignment horizontal="right" vertical="center"/>
    </xf>
    <xf numFmtId="0" fontId="32" fillId="0" borderId="27" xfId="3" applyFont="1" applyBorder="1" applyAlignment="1">
      <alignment horizontal="center" vertical="center"/>
    </xf>
    <xf numFmtId="49" fontId="32" fillId="0" borderId="0" xfId="3" applyNumberFormat="1" applyFont="1" applyAlignment="1">
      <alignment horizontal="center" vertical="center" shrinkToFit="1"/>
    </xf>
    <xf numFmtId="0" fontId="32" fillId="0" borderId="0" xfId="3" applyFont="1" applyAlignment="1">
      <alignment horizontal="left" vertical="center" shrinkToFit="1"/>
    </xf>
    <xf numFmtId="0" fontId="32" fillId="0" borderId="0" xfId="3" applyFont="1" applyAlignment="1">
      <alignment horizontal="center" vertical="center" shrinkToFit="1"/>
    </xf>
    <xf numFmtId="0" fontId="32" fillId="0" borderId="0" xfId="3" applyFont="1" applyAlignment="1">
      <alignment horizontal="center" vertical="center"/>
    </xf>
    <xf numFmtId="2" fontId="32" fillId="0" borderId="0" xfId="3" applyNumberFormat="1" applyFont="1" applyAlignment="1">
      <alignment horizontal="right" vertical="center"/>
    </xf>
    <xf numFmtId="2" fontId="32" fillId="0" borderId="0" xfId="2" applyNumberFormat="1" applyFont="1">
      <alignment vertical="center"/>
    </xf>
    <xf numFmtId="0" fontId="32" fillId="0" borderId="0" xfId="2" applyFont="1" applyAlignment="1">
      <alignment horizontal="right" vertical="center"/>
    </xf>
    <xf numFmtId="1" fontId="32" fillId="0" borderId="0" xfId="2" applyNumberFormat="1" applyFont="1" applyAlignment="1">
      <alignment horizontal="left" vertical="center"/>
    </xf>
    <xf numFmtId="14" fontId="32" fillId="0" borderId="0" xfId="2" applyNumberFormat="1" applyFont="1" applyAlignment="1">
      <alignment horizontal="center" vertical="center" shrinkToFit="1"/>
    </xf>
    <xf numFmtId="178" fontId="32" fillId="0" borderId="0" xfId="0" applyNumberFormat="1" applyFont="1" applyAlignment="1">
      <alignment horizontal="left" vertical="center"/>
    </xf>
    <xf numFmtId="178" fontId="32" fillId="0" borderId="0" xfId="0" applyNumberFormat="1" applyFont="1" applyAlignment="1">
      <alignment horizontal="left" vertical="center" shrinkToFit="1"/>
    </xf>
    <xf numFmtId="2" fontId="32" fillId="0" borderId="0" xfId="3" applyNumberFormat="1" applyFont="1" applyAlignment="1">
      <alignment horizontal="right" vertical="center" shrinkToFit="1"/>
    </xf>
    <xf numFmtId="2" fontId="32" fillId="0" borderId="0" xfId="2" applyNumberFormat="1" applyFont="1" applyAlignment="1">
      <alignment vertical="center" shrinkToFit="1"/>
    </xf>
    <xf numFmtId="178" fontId="32" fillId="0" borderId="0" xfId="2" applyNumberFormat="1" applyFont="1" applyAlignment="1">
      <alignment horizontal="center" vertical="center" shrinkToFit="1"/>
    </xf>
    <xf numFmtId="0" fontId="32" fillId="0" borderId="0" xfId="2" applyFont="1" applyAlignment="1">
      <alignment horizontal="center" vertical="center" shrinkToFit="1"/>
    </xf>
    <xf numFmtId="0" fontId="32" fillId="0" borderId="0" xfId="2" applyFont="1" applyAlignment="1">
      <alignment vertical="center" shrinkToFit="1"/>
    </xf>
    <xf numFmtId="0" fontId="32" fillId="0" borderId="0" xfId="2" applyFont="1" applyAlignment="1">
      <alignment horizontal="right" vertical="center" shrinkToFit="1"/>
    </xf>
    <xf numFmtId="1" fontId="32" fillId="0" borderId="0" xfId="2" applyNumberFormat="1" applyFont="1" applyAlignment="1">
      <alignment horizontal="left" vertical="center" shrinkToFit="1"/>
    </xf>
    <xf numFmtId="1" fontId="32" fillId="0" borderId="0" xfId="2" applyNumberFormat="1" applyFont="1" applyAlignment="1">
      <alignment horizontal="center" vertical="center"/>
    </xf>
    <xf numFmtId="178" fontId="32" fillId="0" borderId="0" xfId="2" applyNumberFormat="1" applyFont="1">
      <alignment vertical="center"/>
    </xf>
    <xf numFmtId="4" fontId="32" fillId="0" borderId="0" xfId="2" applyNumberFormat="1" applyFont="1" applyAlignment="1">
      <alignment horizontal="center" vertical="center" shrinkToFit="1"/>
    </xf>
    <xf numFmtId="4" fontId="32" fillId="0" borderId="0" xfId="2" applyNumberFormat="1" applyFont="1" applyAlignment="1">
      <alignment vertical="center" shrinkToFit="1"/>
    </xf>
    <xf numFmtId="178" fontId="32" fillId="0" borderId="0" xfId="2" applyNumberFormat="1" applyFont="1" applyAlignment="1">
      <alignment horizontal="left" vertical="center" shrinkToFit="1"/>
    </xf>
    <xf numFmtId="4" fontId="32" fillId="0" borderId="0" xfId="2" applyNumberFormat="1" applyFont="1" applyAlignment="1">
      <alignment horizontal="justify" vertical="center" shrinkToFit="1"/>
    </xf>
    <xf numFmtId="4" fontId="32" fillId="0" borderId="0" xfId="2" applyNumberFormat="1" applyFont="1" applyAlignment="1">
      <alignment horizontal="left" vertical="center" shrinkToFit="1"/>
    </xf>
    <xf numFmtId="4" fontId="32" fillId="0" borderId="0" xfId="2" applyNumberFormat="1" applyFont="1" applyAlignment="1">
      <alignment horizontal="right" vertical="center" shrinkToFit="1"/>
    </xf>
    <xf numFmtId="0" fontId="12" fillId="0" borderId="0" xfId="2" applyFont="1">
      <alignment vertical="center"/>
    </xf>
    <xf numFmtId="178" fontId="12" fillId="0" borderId="0" xfId="2" applyNumberFormat="1" applyFont="1">
      <alignment vertical="center"/>
    </xf>
    <xf numFmtId="2" fontId="12" fillId="0" borderId="0" xfId="2" applyNumberFormat="1" applyFont="1">
      <alignment vertical="center"/>
    </xf>
    <xf numFmtId="0" fontId="12" fillId="0" borderId="0" xfId="2" applyFont="1" applyAlignment="1">
      <alignment horizontal="right" vertical="center"/>
    </xf>
    <xf numFmtId="1" fontId="12" fillId="0" borderId="0" xfId="2" applyNumberFormat="1" applyFont="1" applyAlignment="1">
      <alignment horizontal="center" vertical="center"/>
    </xf>
    <xf numFmtId="0" fontId="36" fillId="4" borderId="1" xfId="0" applyFont="1" applyFill="1" applyBorder="1" applyAlignment="1">
      <alignment horizontal="center" vertical="center"/>
    </xf>
    <xf numFmtId="0" fontId="36" fillId="0" borderId="0" xfId="0" applyFont="1">
      <alignment vertical="center"/>
    </xf>
    <xf numFmtId="0" fontId="36" fillId="4" borderId="21" xfId="0" applyFont="1" applyFill="1" applyBorder="1" applyAlignment="1">
      <alignment horizontal="center" vertical="center"/>
    </xf>
    <xf numFmtId="0" fontId="35" fillId="0" borderId="0" xfId="0" applyFont="1" applyAlignment="1">
      <alignment vertical="center" wrapText="1"/>
    </xf>
    <xf numFmtId="49" fontId="35" fillId="0" borderId="6" xfId="3" applyNumberFormat="1" applyFont="1" applyBorder="1" applyAlignment="1">
      <alignment horizontal="right" vertical="center" shrinkToFit="1"/>
    </xf>
    <xf numFmtId="0" fontId="35" fillId="0" borderId="7" xfId="3" quotePrefix="1" applyFont="1" applyBorder="1" applyAlignment="1">
      <alignment horizontal="center" vertical="center" shrinkToFit="1"/>
    </xf>
    <xf numFmtId="0" fontId="35" fillId="0" borderId="7" xfId="0" applyFont="1" applyBorder="1" applyAlignment="1">
      <alignment horizontal="center" vertical="center" shrinkToFit="1"/>
    </xf>
    <xf numFmtId="49" fontId="35" fillId="0" borderId="12" xfId="0" applyNumberFormat="1" applyFont="1" applyBorder="1" applyAlignment="1">
      <alignment horizontal="center" vertical="center" shrinkToFit="1"/>
    </xf>
    <xf numFmtId="0" fontId="35" fillId="0" borderId="4" xfId="3" applyFont="1" applyBorder="1" applyAlignment="1">
      <alignment horizontal="left" vertical="center" shrinkToFit="1"/>
    </xf>
    <xf numFmtId="49" fontId="35" fillId="0" borderId="15" xfId="0" applyNumberFormat="1" applyFont="1" applyBorder="1" applyAlignment="1">
      <alignment vertical="center" shrinkToFit="1"/>
    </xf>
    <xf numFmtId="3" fontId="35" fillId="0" borderId="3" xfId="0" applyNumberFormat="1" applyFont="1" applyBorder="1" applyAlignment="1">
      <alignment vertical="center" shrinkToFit="1"/>
    </xf>
    <xf numFmtId="3" fontId="35" fillId="0" borderId="7" xfId="0" applyNumberFormat="1" applyFont="1" applyBorder="1" applyAlignment="1">
      <alignment vertical="center" shrinkToFit="1"/>
    </xf>
    <xf numFmtId="3" fontId="35" fillId="0" borderId="7" xfId="3" applyNumberFormat="1" applyFont="1" applyBorder="1" applyAlignment="1">
      <alignment vertical="center" shrinkToFit="1"/>
    </xf>
    <xf numFmtId="3" fontId="35" fillId="0" borderId="8" xfId="3" applyNumberFormat="1" applyFont="1" applyBorder="1" applyAlignment="1">
      <alignment vertical="center" shrinkToFit="1"/>
    </xf>
    <xf numFmtId="181" fontId="35" fillId="0" borderId="7" xfId="0" applyNumberFormat="1" applyFont="1" applyBorder="1" applyAlignment="1">
      <alignment vertical="center" shrinkToFit="1"/>
    </xf>
    <xf numFmtId="3" fontId="35" fillId="0" borderId="15" xfId="3" applyNumberFormat="1" applyFont="1" applyBorder="1" applyAlignment="1">
      <alignment vertical="center" shrinkToFit="1"/>
    </xf>
    <xf numFmtId="3" fontId="35" fillId="0" borderId="15" xfId="0" applyNumberFormat="1" applyFont="1" applyBorder="1" applyAlignment="1">
      <alignment vertical="center" shrinkToFit="1"/>
    </xf>
    <xf numFmtId="0" fontId="35" fillId="0" borderId="6" xfId="0" applyFont="1" applyBorder="1" applyAlignment="1">
      <alignment horizontal="left" vertical="center" shrinkToFit="1"/>
    </xf>
    <xf numFmtId="3" fontId="35" fillId="0" borderId="15" xfId="3" applyNumberFormat="1" applyFont="1" applyBorder="1" applyAlignment="1">
      <alignment horizontal="center" vertical="center" shrinkToFit="1"/>
    </xf>
    <xf numFmtId="3" fontId="35" fillId="0" borderId="13" xfId="3" applyNumberFormat="1" applyFont="1" applyBorder="1" applyAlignment="1">
      <alignment vertical="center" shrinkToFit="1"/>
    </xf>
    <xf numFmtId="0" fontId="35" fillId="0" borderId="0" xfId="0" applyFont="1" applyAlignment="1">
      <alignment vertical="center" shrinkToFit="1"/>
    </xf>
    <xf numFmtId="49" fontId="35" fillId="0" borderId="7" xfId="0" applyNumberFormat="1" applyFont="1" applyBorder="1" applyAlignment="1">
      <alignment horizontal="center" vertical="center" shrinkToFit="1"/>
    </xf>
    <xf numFmtId="3" fontId="35" fillId="0" borderId="6" xfId="0" applyNumberFormat="1" applyFont="1" applyBorder="1" applyAlignment="1">
      <alignment vertical="center" shrinkToFit="1"/>
    </xf>
    <xf numFmtId="3" fontId="37" fillId="0" borderId="8" xfId="3" applyNumberFormat="1" applyFont="1" applyBorder="1" applyAlignment="1">
      <alignment vertical="center" shrinkToFit="1"/>
    </xf>
    <xf numFmtId="181" fontId="37" fillId="0" borderId="7" xfId="0" applyNumberFormat="1" applyFont="1" applyBorder="1" applyAlignment="1">
      <alignment vertical="center" shrinkToFit="1"/>
    </xf>
    <xf numFmtId="0" fontId="32" fillId="0" borderId="15" xfId="3" applyFont="1" applyBorder="1" applyAlignment="1">
      <alignment horizontal="left" vertical="center" shrinkToFit="1"/>
    </xf>
    <xf numFmtId="2" fontId="35" fillId="0" borderId="7" xfId="0" applyNumberFormat="1" applyFont="1" applyBorder="1" applyAlignment="1">
      <alignment vertical="center" shrinkToFit="1"/>
    </xf>
    <xf numFmtId="0" fontId="35" fillId="0" borderId="7" xfId="0" applyFont="1" applyBorder="1" applyAlignment="1">
      <alignment vertical="center" shrinkToFit="1"/>
    </xf>
    <xf numFmtId="3" fontId="32" fillId="0" borderId="6" xfId="0" applyNumberFormat="1" applyFont="1" applyBorder="1" applyAlignment="1">
      <alignment vertical="center" shrinkToFit="1"/>
    </xf>
    <xf numFmtId="3" fontId="32" fillId="0" borderId="7" xfId="3" applyNumberFormat="1" applyFont="1" applyBorder="1" applyAlignment="1">
      <alignment vertical="center" shrinkToFit="1"/>
    </xf>
    <xf numFmtId="3" fontId="32" fillId="0" borderId="7" xfId="0" applyNumberFormat="1" applyFont="1" applyBorder="1" applyAlignment="1">
      <alignment vertical="center" shrinkToFit="1"/>
    </xf>
    <xf numFmtId="3" fontId="32" fillId="0" borderId="15" xfId="3" applyNumberFormat="1" applyFont="1" applyBorder="1" applyAlignment="1">
      <alignment vertical="center" shrinkToFit="1"/>
    </xf>
    <xf numFmtId="3" fontId="32" fillId="0" borderId="15" xfId="0" applyNumberFormat="1" applyFont="1" applyBorder="1" applyAlignment="1">
      <alignment vertical="center" shrinkToFit="1"/>
    </xf>
    <xf numFmtId="0" fontId="32" fillId="0" borderId="6" xfId="0" applyFont="1" applyBorder="1" applyAlignment="1">
      <alignment horizontal="left" vertical="center" shrinkToFit="1"/>
    </xf>
    <xf numFmtId="3" fontId="32" fillId="0" borderId="15" xfId="3" applyNumberFormat="1" applyFont="1" applyBorder="1" applyAlignment="1">
      <alignment horizontal="center" vertical="center" shrinkToFit="1"/>
    </xf>
    <xf numFmtId="3" fontId="32" fillId="0" borderId="6" xfId="3" applyNumberFormat="1" applyFont="1" applyBorder="1" applyAlignment="1">
      <alignment vertical="center" shrinkToFit="1"/>
    </xf>
    <xf numFmtId="3" fontId="32" fillId="0" borderId="30" xfId="0" applyNumberFormat="1" applyFont="1" applyBorder="1" applyAlignment="1">
      <alignment vertical="center" shrinkToFit="1"/>
    </xf>
    <xf numFmtId="3" fontId="32" fillId="0" borderId="33" xfId="3" applyNumberFormat="1" applyFont="1" applyBorder="1" applyAlignment="1">
      <alignment vertical="center" shrinkToFit="1"/>
    </xf>
    <xf numFmtId="3" fontId="32" fillId="0" borderId="30" xfId="3" applyNumberFormat="1" applyFont="1" applyBorder="1" applyAlignment="1">
      <alignment vertical="center" shrinkToFit="1"/>
    </xf>
    <xf numFmtId="3" fontId="32" fillId="0" borderId="33" xfId="0" applyNumberFormat="1" applyFont="1" applyBorder="1" applyAlignment="1">
      <alignment vertical="center" shrinkToFit="1"/>
    </xf>
    <xf numFmtId="0" fontId="32" fillId="0" borderId="29" xfId="0" applyFont="1" applyBorder="1" applyAlignment="1">
      <alignment horizontal="left" vertical="center" shrinkToFit="1"/>
    </xf>
    <xf numFmtId="3" fontId="32" fillId="0" borderId="33" xfId="3" applyNumberFormat="1" applyFont="1" applyBorder="1" applyAlignment="1">
      <alignment horizontal="center" vertical="center" shrinkToFit="1"/>
    </xf>
    <xf numFmtId="49" fontId="35" fillId="0" borderId="14" xfId="0" applyNumberFormat="1" applyFont="1" applyBorder="1" applyAlignment="1">
      <alignment vertical="center" shrinkToFit="1"/>
    </xf>
    <xf numFmtId="3" fontId="35" fillId="0" borderId="16" xfId="0" applyNumberFormat="1" applyFont="1" applyBorder="1" applyAlignment="1">
      <alignment vertical="center" shrinkToFit="1"/>
    </xf>
    <xf numFmtId="3" fontId="35" fillId="0" borderId="42" xfId="3" applyNumberFormat="1" applyFont="1" applyBorder="1" applyAlignment="1">
      <alignment vertical="center" shrinkToFit="1"/>
    </xf>
    <xf numFmtId="3" fontId="35" fillId="0" borderId="12" xfId="0" applyNumberFormat="1" applyFont="1" applyBorder="1" applyAlignment="1">
      <alignment vertical="center" shrinkToFit="1"/>
    </xf>
    <xf numFmtId="3" fontId="35" fillId="0" borderId="12" xfId="3" applyNumberFormat="1" applyFont="1" applyBorder="1" applyAlignment="1">
      <alignment vertical="center" shrinkToFit="1"/>
    </xf>
    <xf numFmtId="183" fontId="35" fillId="0" borderId="12" xfId="0" applyNumberFormat="1" applyFont="1" applyBorder="1" applyAlignment="1">
      <alignment vertical="center" shrinkToFit="1"/>
    </xf>
    <xf numFmtId="3" fontId="35" fillId="0" borderId="14" xfId="3" applyNumberFormat="1" applyFont="1" applyBorder="1" applyAlignment="1">
      <alignment vertical="center" shrinkToFit="1"/>
    </xf>
    <xf numFmtId="3" fontId="35" fillId="0" borderId="14" xfId="0" applyNumberFormat="1" applyFont="1" applyBorder="1" applyAlignment="1">
      <alignment vertical="center" shrinkToFit="1"/>
    </xf>
    <xf numFmtId="0" fontId="35" fillId="0" borderId="16" xfId="0" applyFont="1" applyBorder="1" applyAlignment="1">
      <alignment horizontal="left" vertical="center" shrinkToFit="1"/>
    </xf>
    <xf numFmtId="3" fontId="35" fillId="0" borderId="14" xfId="3" applyNumberFormat="1" applyFont="1" applyBorder="1" applyAlignment="1">
      <alignment horizontal="center" vertical="center" shrinkToFit="1"/>
    </xf>
    <xf numFmtId="3" fontId="35" fillId="0" borderId="13" xfId="0" applyNumberFormat="1" applyFont="1" applyBorder="1" applyAlignment="1">
      <alignment vertical="center" shrinkToFit="1"/>
    </xf>
    <xf numFmtId="3" fontId="35" fillId="0" borderId="6" xfId="3" applyNumberFormat="1" applyFont="1" applyBorder="1" applyAlignment="1">
      <alignment vertical="center" shrinkToFit="1"/>
    </xf>
    <xf numFmtId="183" fontId="35" fillId="0" borderId="7" xfId="0" applyNumberFormat="1" applyFont="1" applyBorder="1" applyAlignment="1">
      <alignment vertical="center" shrinkToFit="1"/>
    </xf>
    <xf numFmtId="3" fontId="35" fillId="0" borderId="6" xfId="3" applyNumberFormat="1" applyFont="1" applyBorder="1" applyAlignment="1">
      <alignment horizontal="center" vertical="center" shrinkToFit="1"/>
    </xf>
    <xf numFmtId="0" fontId="35" fillId="0" borderId="7" xfId="3" applyFont="1" applyBorder="1" applyAlignment="1">
      <alignment horizontal="left" vertical="center" wrapText="1" shrinkToFit="1"/>
    </xf>
    <xf numFmtId="49" fontId="35" fillId="0" borderId="15" xfId="0" applyNumberFormat="1" applyFont="1" applyBorder="1" applyAlignment="1">
      <alignment vertical="center" wrapText="1" shrinkToFit="1"/>
    </xf>
    <xf numFmtId="3" fontId="35" fillId="0" borderId="30" xfId="3" applyNumberFormat="1" applyFont="1" applyBorder="1" applyAlignment="1">
      <alignment vertical="center" shrinkToFit="1"/>
    </xf>
    <xf numFmtId="182" fontId="35" fillId="0" borderId="7" xfId="0" applyNumberFormat="1" applyFont="1" applyBorder="1" applyAlignment="1">
      <alignment vertical="center" shrinkToFit="1"/>
    </xf>
    <xf numFmtId="3" fontId="35" fillId="0" borderId="0" xfId="3" applyNumberFormat="1" applyFont="1" applyAlignment="1">
      <alignment vertical="center" shrinkToFit="1"/>
    </xf>
    <xf numFmtId="3" fontId="35" fillId="0" borderId="31" xfId="3" applyNumberFormat="1" applyFont="1" applyBorder="1" applyAlignment="1">
      <alignment vertical="center" shrinkToFit="1"/>
    </xf>
    <xf numFmtId="0" fontId="35" fillId="0" borderId="6" xfId="0" applyFont="1" applyBorder="1" applyAlignment="1">
      <alignment horizontal="left" vertical="center" wrapText="1" shrinkToFit="1"/>
    </xf>
    <xf numFmtId="0" fontId="35" fillId="0" borderId="6" xfId="0" applyFont="1" applyBorder="1" applyAlignment="1">
      <alignment horizontal="right" vertical="center" shrinkToFit="1"/>
    </xf>
    <xf numFmtId="3" fontId="35" fillId="0" borderId="39" xfId="0" applyNumberFormat="1" applyFont="1" applyBorder="1" applyAlignment="1">
      <alignment vertical="center" shrinkToFit="1"/>
    </xf>
    <xf numFmtId="3" fontId="35" fillId="0" borderId="40" xfId="0" applyNumberFormat="1" applyFont="1" applyBorder="1" applyAlignment="1">
      <alignment vertical="center" shrinkToFit="1"/>
    </xf>
    <xf numFmtId="0" fontId="35" fillId="0" borderId="15" xfId="3" applyFont="1" applyBorder="1" applyAlignment="1">
      <alignment horizontal="left" vertical="center" shrinkToFit="1"/>
    </xf>
    <xf numFmtId="49" fontId="35" fillId="0" borderId="31" xfId="0" applyNumberFormat="1" applyFont="1" applyBorder="1" applyAlignment="1">
      <alignment vertical="center" shrinkToFit="1"/>
    </xf>
    <xf numFmtId="0" fontId="35" fillId="0" borderId="48" xfId="3" applyFont="1" applyBorder="1" applyAlignment="1">
      <alignment horizontal="left" vertical="center" shrinkToFit="1"/>
    </xf>
    <xf numFmtId="0" fontId="35" fillId="0" borderId="12" xfId="3" applyFont="1" applyBorder="1" applyAlignment="1">
      <alignment horizontal="left" vertical="center" shrinkToFit="1"/>
    </xf>
    <xf numFmtId="3" fontId="35" fillId="0" borderId="17" xfId="3" applyNumberFormat="1" applyFont="1" applyBorder="1" applyAlignment="1">
      <alignment vertical="center" shrinkToFit="1"/>
    </xf>
    <xf numFmtId="2" fontId="35" fillId="0" borderId="12" xfId="0" applyNumberFormat="1" applyFont="1" applyBorder="1" applyAlignment="1">
      <alignment vertical="center" shrinkToFit="1"/>
    </xf>
    <xf numFmtId="0" fontId="35" fillId="0" borderId="51" xfId="0" applyFont="1" applyBorder="1" applyAlignment="1">
      <alignment vertical="center" shrinkToFit="1"/>
    </xf>
    <xf numFmtId="184" fontId="35" fillId="0" borderId="7" xfId="0" applyNumberFormat="1" applyFont="1" applyBorder="1" applyAlignment="1">
      <alignment vertical="center" shrinkToFit="1"/>
    </xf>
    <xf numFmtId="3" fontId="35" fillId="0" borderId="39" xfId="3" applyNumberFormat="1" applyFont="1" applyBorder="1" applyAlignment="1">
      <alignment horizontal="center" vertical="center" shrinkToFit="1"/>
    </xf>
    <xf numFmtId="49" fontId="37" fillId="0" borderId="15" xfId="0" applyNumberFormat="1" applyFont="1" applyBorder="1" applyAlignment="1">
      <alignment vertical="center" shrinkToFit="1"/>
    </xf>
    <xf numFmtId="3" fontId="35" fillId="0" borderId="6" xfId="0" applyNumberFormat="1" applyFont="1" applyBorder="1" applyAlignment="1">
      <alignment horizontal="left" vertical="center" shrinkToFit="1"/>
    </xf>
    <xf numFmtId="49" fontId="40" fillId="0" borderId="15" xfId="0" applyNumberFormat="1" applyFont="1" applyBorder="1" applyAlignment="1">
      <alignment vertical="center" shrinkToFit="1"/>
    </xf>
    <xf numFmtId="49" fontId="35" fillId="0" borderId="13" xfId="0" applyNumberFormat="1" applyFont="1" applyBorder="1" applyAlignment="1">
      <alignment horizontal="center" vertical="center" shrinkToFit="1"/>
    </xf>
    <xf numFmtId="0" fontId="35" fillId="0" borderId="31" xfId="3" applyFont="1" applyBorder="1" applyAlignment="1">
      <alignment horizontal="left" vertical="center" shrinkToFit="1"/>
    </xf>
    <xf numFmtId="1" fontId="35" fillId="0" borderId="7" xfId="0" applyNumberFormat="1" applyFont="1" applyBorder="1" applyAlignment="1">
      <alignment vertical="center" shrinkToFit="1"/>
    </xf>
    <xf numFmtId="49" fontId="32" fillId="0" borderId="15" xfId="0" applyNumberFormat="1" applyFont="1" applyBorder="1" applyAlignment="1">
      <alignment vertical="center" shrinkToFit="1"/>
    </xf>
    <xf numFmtId="182" fontId="37" fillId="0" borderId="7" xfId="0" applyNumberFormat="1" applyFont="1" applyBorder="1" applyAlignment="1">
      <alignment vertical="center" shrinkToFit="1"/>
    </xf>
    <xf numFmtId="49" fontId="35" fillId="0" borderId="9" xfId="3" applyNumberFormat="1" applyFont="1" applyBorder="1" applyAlignment="1">
      <alignment horizontal="right" vertical="center" shrinkToFit="1"/>
    </xf>
    <xf numFmtId="0" fontId="35" fillId="0" borderId="10" xfId="3" quotePrefix="1" applyFont="1" applyBorder="1" applyAlignment="1">
      <alignment horizontal="center" vertical="center" shrinkToFit="1"/>
    </xf>
    <xf numFmtId="0" fontId="35" fillId="0" borderId="10" xfId="0" applyFont="1" applyBorder="1" applyAlignment="1">
      <alignment horizontal="center" vertical="center" shrinkToFit="1"/>
    </xf>
    <xf numFmtId="49" fontId="35" fillId="0" borderId="10" xfId="0" applyNumberFormat="1" applyFont="1" applyBorder="1" applyAlignment="1">
      <alignment horizontal="center" vertical="center" shrinkToFit="1"/>
    </xf>
    <xf numFmtId="0" fontId="35" fillId="0" borderId="10" xfId="3" applyFont="1" applyBorder="1" applyAlignment="1">
      <alignment horizontal="left" vertical="center" shrinkToFit="1"/>
    </xf>
    <xf numFmtId="49" fontId="35" fillId="0" borderId="37" xfId="0" applyNumberFormat="1" applyFont="1" applyBorder="1" applyAlignment="1">
      <alignment vertical="center" shrinkToFit="1"/>
    </xf>
    <xf numFmtId="3" fontId="37" fillId="0" borderId="9" xfId="0" applyNumberFormat="1" applyFont="1" applyBorder="1" applyAlignment="1">
      <alignment vertical="center" shrinkToFit="1"/>
    </xf>
    <xf numFmtId="3" fontId="37" fillId="0" borderId="10" xfId="0" applyNumberFormat="1" applyFont="1" applyBorder="1" applyAlignment="1">
      <alignment vertical="center" shrinkToFit="1"/>
    </xf>
    <xf numFmtId="3" fontId="37" fillId="0" borderId="10" xfId="3" applyNumberFormat="1" applyFont="1" applyBorder="1" applyAlignment="1">
      <alignment vertical="center" shrinkToFit="1"/>
    </xf>
    <xf numFmtId="3" fontId="37" fillId="0" borderId="27" xfId="3" applyNumberFormat="1" applyFont="1" applyBorder="1" applyAlignment="1">
      <alignment vertical="center" shrinkToFit="1"/>
    </xf>
    <xf numFmtId="181" fontId="37" fillId="0" borderId="10" xfId="0" applyNumberFormat="1" applyFont="1" applyBorder="1" applyAlignment="1">
      <alignment vertical="center" shrinkToFit="1"/>
    </xf>
    <xf numFmtId="3" fontId="35" fillId="0" borderId="10" xfId="0" applyNumberFormat="1" applyFont="1" applyBorder="1" applyAlignment="1">
      <alignment vertical="center" shrinkToFit="1"/>
    </xf>
    <xf numFmtId="38" fontId="37" fillId="0" borderId="10" xfId="1" applyFont="1" applyFill="1" applyBorder="1" applyAlignment="1">
      <alignment vertical="center" shrinkToFit="1"/>
    </xf>
    <xf numFmtId="3" fontId="37" fillId="0" borderId="37" xfId="3" applyNumberFormat="1" applyFont="1" applyBorder="1" applyAlignment="1">
      <alignment vertical="center" shrinkToFit="1"/>
    </xf>
    <xf numFmtId="3" fontId="37" fillId="0" borderId="37" xfId="0" applyNumberFormat="1" applyFont="1" applyBorder="1" applyAlignment="1">
      <alignment vertical="center" shrinkToFit="1"/>
    </xf>
    <xf numFmtId="3" fontId="35" fillId="0" borderId="10" xfId="3" applyNumberFormat="1" applyFont="1" applyBorder="1" applyAlignment="1">
      <alignment vertical="center" shrinkToFit="1"/>
    </xf>
    <xf numFmtId="3" fontId="35" fillId="0" borderId="36" xfId="3" applyNumberFormat="1" applyFont="1" applyBorder="1" applyAlignment="1">
      <alignment vertical="center" shrinkToFit="1"/>
    </xf>
    <xf numFmtId="0" fontId="37" fillId="0" borderId="9" xfId="0" applyFont="1" applyBorder="1" applyAlignment="1">
      <alignment horizontal="left" vertical="center" shrinkToFit="1"/>
    </xf>
    <xf numFmtId="0" fontId="37" fillId="0" borderId="10" xfId="1" applyNumberFormat="1" applyFont="1" applyFill="1" applyBorder="1" applyAlignment="1">
      <alignment horizontal="left" vertical="center" shrinkToFit="1"/>
    </xf>
    <xf numFmtId="0" fontId="37" fillId="0" borderId="27" xfId="1" applyNumberFormat="1" applyFont="1" applyFill="1" applyBorder="1" applyAlignment="1">
      <alignment horizontal="left" vertical="center" shrinkToFit="1"/>
    </xf>
    <xf numFmtId="3" fontId="35" fillId="0" borderId="45" xfId="3" applyNumberFormat="1" applyFont="1" applyBorder="1" applyAlignment="1">
      <alignment horizontal="center" vertical="center" shrinkToFit="1"/>
    </xf>
    <xf numFmtId="185" fontId="35" fillId="0" borderId="38" xfId="26" applyNumberFormat="1" applyFont="1" applyFill="1" applyBorder="1" applyAlignment="1">
      <alignment vertical="center" shrinkToFit="1"/>
    </xf>
    <xf numFmtId="38" fontId="35" fillId="0" borderId="9" xfId="1" applyFont="1" applyFill="1" applyBorder="1" applyAlignment="1">
      <alignment vertical="center" shrinkToFit="1"/>
    </xf>
    <xf numFmtId="38" fontId="35" fillId="0" borderId="27" xfId="1" applyFont="1" applyFill="1" applyBorder="1" applyAlignment="1">
      <alignment vertical="center" shrinkToFit="1"/>
    </xf>
    <xf numFmtId="0" fontId="35" fillId="0" borderId="0" xfId="0" applyFont="1" applyAlignment="1">
      <alignment horizontal="left" vertical="center"/>
    </xf>
  </cellXfs>
  <cellStyles count="41">
    <cellStyle name="スタイル 1" xfId="5" xr:uid="{00000000-0005-0000-0000-000000000000}"/>
    <cellStyle name="スタイル 2" xfId="6" xr:uid="{00000000-0005-0000-0000-000001000000}"/>
    <cellStyle name="パーセント" xfId="26" builtinId="5"/>
    <cellStyle name="パーセント 2" xfId="7" xr:uid="{00000000-0005-0000-0000-000003000000}"/>
    <cellStyle name="パーセント 3" xfId="8" xr:uid="{00000000-0005-0000-0000-000004000000}"/>
    <cellStyle name="パーセント 4" xfId="9" xr:uid="{00000000-0005-0000-0000-000005000000}"/>
    <cellStyle name="パーセント 5" xfId="10" xr:uid="{00000000-0005-0000-0000-000006000000}"/>
    <cellStyle name="パーセント 6" xfId="11" xr:uid="{00000000-0005-0000-0000-000007000000}"/>
    <cellStyle name="パーセント 7" xfId="30" xr:uid="{00000000-0005-0000-0000-000008000000}"/>
    <cellStyle name="パーセント 7 2" xfId="37" xr:uid="{00000000-0005-0000-0000-000009000000}"/>
    <cellStyle name="パーセント 8" xfId="34" xr:uid="{00000000-0005-0000-0000-00000A000000}"/>
    <cellStyle name="パーセント 9" xfId="40" xr:uid="{00000000-0005-0000-0000-00000B000000}"/>
    <cellStyle name="桁区切り" xfId="1" builtinId="6"/>
    <cellStyle name="桁区切り 2" xfId="4" xr:uid="{00000000-0005-0000-0000-00000D000000}"/>
    <cellStyle name="桁区切り 3" xfId="12" xr:uid="{00000000-0005-0000-0000-00000E000000}"/>
    <cellStyle name="桁区切り 4" xfId="13" xr:uid="{00000000-0005-0000-0000-00000F000000}"/>
    <cellStyle name="桁区切り 5" xfId="14" xr:uid="{00000000-0005-0000-0000-000010000000}"/>
    <cellStyle name="桁区切り 6" xfId="25" xr:uid="{00000000-0005-0000-0000-000011000000}"/>
    <cellStyle name="桁区切り 7" xfId="29" xr:uid="{00000000-0005-0000-0000-000012000000}"/>
    <cellStyle name="桁区切り 7 2" xfId="36" xr:uid="{00000000-0005-0000-0000-000013000000}"/>
    <cellStyle name="桁区切り 8" xfId="33" xr:uid="{00000000-0005-0000-0000-000014000000}"/>
    <cellStyle name="桁区切り 9" xfId="39" xr:uid="{00000000-0005-0000-0000-000015000000}"/>
    <cellStyle name="標準" xfId="0" builtinId="0"/>
    <cellStyle name="標準 10" xfId="15" xr:uid="{00000000-0005-0000-0000-000017000000}"/>
    <cellStyle name="標準 11" xfId="28" xr:uid="{00000000-0005-0000-0000-000018000000}"/>
    <cellStyle name="標準 11 2" xfId="35" xr:uid="{00000000-0005-0000-0000-000019000000}"/>
    <cellStyle name="標準 12" xfId="32" xr:uid="{00000000-0005-0000-0000-00001A000000}"/>
    <cellStyle name="標準 13" xfId="31" xr:uid="{00000000-0005-0000-0000-00001B000000}"/>
    <cellStyle name="標準 14" xfId="38" xr:uid="{00000000-0005-0000-0000-00001C000000}"/>
    <cellStyle name="標準 2" xfId="2" xr:uid="{00000000-0005-0000-0000-00001D000000}"/>
    <cellStyle name="標準 2 2" xfId="16" xr:uid="{00000000-0005-0000-0000-00001E000000}"/>
    <cellStyle name="標準 2 3" xfId="27" xr:uid="{00000000-0005-0000-0000-00001F000000}"/>
    <cellStyle name="標準 3" xfId="17" xr:uid="{00000000-0005-0000-0000-000020000000}"/>
    <cellStyle name="標準 3 2" xfId="18" xr:uid="{00000000-0005-0000-0000-000021000000}"/>
    <cellStyle name="標準 4" xfId="3" xr:uid="{00000000-0005-0000-0000-000022000000}"/>
    <cellStyle name="標準 5" xfId="19" xr:uid="{00000000-0005-0000-0000-000023000000}"/>
    <cellStyle name="標準 6" xfId="20" xr:uid="{00000000-0005-0000-0000-000024000000}"/>
    <cellStyle name="標準 7" xfId="21" xr:uid="{00000000-0005-0000-0000-000025000000}"/>
    <cellStyle name="標準 8" xfId="22" xr:uid="{00000000-0005-0000-0000-000026000000}"/>
    <cellStyle name="標準 9" xfId="23" xr:uid="{00000000-0005-0000-0000-000027000000}"/>
    <cellStyle name="未定義" xfId="24" xr:uid="{00000000-0005-0000-0000-000028000000}"/>
  </cellStyles>
  <dxfs count="4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1914525</xdr:colOff>
          <xdr:row>1</xdr:row>
          <xdr:rowOff>0</xdr:rowOff>
        </xdr:from>
        <xdr:to>
          <xdr:col>3</xdr:col>
          <xdr:colOff>838200</xdr:colOff>
          <xdr:row>2</xdr:row>
          <xdr:rowOff>57150</xdr:rowOff>
        </xdr:to>
        <xdr:sp macro="" textlink="">
          <xdr:nvSpPr>
            <xdr:cNvPr id="27649" name="Control 1" hidden="1">
              <a:extLst>
                <a:ext uri="{63B3BB69-23CF-44E3-9099-C40C66FF867C}">
                  <a14:compatExt spid="_x0000_s27649"/>
                </a:ext>
                <a:ext uri="{FF2B5EF4-FFF2-40B4-BE49-F238E27FC236}">
                  <a16:creationId xmlns:a16="http://schemas.microsoft.com/office/drawing/2014/main" id="{00000000-0008-0000-0800-00000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uhou-c10\HD-WIU2%20(F)\DOCUME~1\HONMA-~1\LOCALS~1\TEMP\JWD4FBBM_2005_06_07_01_18_45_4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1&#25919;&#31574;&#23460;\&#20844;&#20849;&#26045;&#35373;&#12510;&#12493;&#12472;&#12513;&#12531;&#12488;\H25&#22522;&#26412;&#26041;&#37341;\&#26448;&#26009;&#65288;&#22259;&#34920;&#65289;\&#12304;&#21319;&#20117;&#32232;&#38598;)0.&#32207;&#25324;&#65288;&#30333;&#26360;&#25104;&#26524;&#21697;&#65289;&#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25919;&#31574;&#23460;\&#20844;&#20849;&#26045;&#35373;&#12510;&#12493;&#12472;&#12513;&#12531;&#12488;\&#20234;&#20025;&#24066;&#30333;&#26360;&#22577;&#21578;&#26360;&#65288;&#25104;&#26524;&#21697;&#65289;\&#12487;&#12540;&#12479;&#65288;&#12458;&#12522;&#12472;&#12490;&#12523;&#65289;\&#31532;2&#31456;\0.&#32207;&#25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補助科目リスト"/>
    </sheetNames>
    <sheetDataSet>
      <sheetData sheetId="0">
        <row r="1">
          <cell r="D1" t="str">
            <v xml:space="preserve"> </v>
          </cell>
        </row>
        <row r="2">
          <cell r="D2">
            <v>1</v>
          </cell>
        </row>
        <row r="3">
          <cell r="D3">
            <v>2</v>
          </cell>
        </row>
        <row r="4">
          <cell r="D4">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ステム領域"/>
      <sheetName val="目次"/>
      <sheetName val="表紙"/>
      <sheetName val="白書の位置付け"/>
      <sheetName val="沿革・人口・財政・職員構成"/>
      <sheetName val="保有資産"/>
      <sheetName val="施設運営状況"/>
      <sheetName val="主要施設概説"/>
      <sheetName val="対象外施設の表"/>
      <sheetName val="子育て世代流出抑制×Ave"/>
      <sheetName val="連結貸借対照表"/>
      <sheetName val="連結行政コスト計算書"/>
      <sheetName val="連結純試算変動計算書"/>
      <sheetName val="連結資産収支計算書"/>
      <sheetName val="職員構成"/>
      <sheetName val="財産に関する調書"/>
      <sheetName val="公共施設集計"/>
      <sheetName val="資産有効活用の表"/>
      <sheetName val="組織図"/>
      <sheetName val="施設体系表"/>
      <sheetName val="ベース書式"/>
      <sheetName val="財政"/>
      <sheetName val="公共施設"/>
      <sheetName val="工事別+投資的経費"/>
      <sheetName val="築年別データ"/>
      <sheetName val="耐震化データ"/>
      <sheetName val="道路グラフ"/>
      <sheetName val="橋梁グラフ"/>
      <sheetName val="上水道-年度別額"/>
      <sheetName val="上水道グラフ"/>
      <sheetName val="下水道グラフ"/>
      <sheetName val="トータル"/>
      <sheetName val="トータルグラフ"/>
      <sheetName val="上水道築年グラフ用-2"/>
      <sheetName val="人口動向1"/>
      <sheetName val="人口動向2"/>
      <sheetName val="過去-現在-グラフ"/>
      <sheetName val="現在-未来-グラフ"/>
      <sheetName val="1-歳入"/>
      <sheetName val="2-歳出"/>
      <sheetName val="3-公共施設_記入用"/>
      <sheetName val="ﾌﾟﾙﾀﾞｳﾝﾒﾆｭｰ"/>
      <sheetName val="3-公共施設　記入例"/>
      <sheetName val="3-公共施設経費内訳"/>
      <sheetName val="5-人口及び世帯数の推移"/>
      <sheetName val="6-5階級別人口の15年推移"/>
      <sheetName val="7-5階級別人口の20年推移"/>
      <sheetName val="8-道路"/>
      <sheetName val="8-橋りょう"/>
      <sheetName val="8-上水道"/>
      <sheetName val="8-下水道"/>
      <sheetName val="単価表"/>
      <sheetName val="用途分類"/>
      <sheetName val="学校教育系施設"/>
      <sheetName val="その他"/>
      <sheetName val="供給処理施設"/>
      <sheetName val="公園"/>
      <sheetName val="公営住宅"/>
      <sheetName val="行政系施設"/>
      <sheetName val="医療施設"/>
      <sheetName val="保健・福祉施設"/>
      <sheetName val="子育て支援施設"/>
      <sheetName val="産業系施設"/>
      <sheetName val="ｽﾎﾟｰﾂ・ﾚｸﾘｴｰｼｮﾝ系施設"/>
      <sheetName val="社会教育系施設"/>
      <sheetName val="病院施設"/>
      <sheetName val="市民文化系施設"/>
      <sheetName val="上水道施設"/>
      <sheetName val="下水道施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B2" t="str">
            <v>単独</v>
          </cell>
          <cell r="G2" t="str">
            <v>市民文化系施設</v>
          </cell>
          <cell r="H2" t="str">
            <v>社会教育系施設</v>
          </cell>
          <cell r="I2" t="str">
            <v>ｽﾎﾟｰﾂ・ﾚｸﾘｴｰｼｮﾝ系施設</v>
          </cell>
          <cell r="J2" t="str">
            <v>産業系施設</v>
          </cell>
          <cell r="K2" t="str">
            <v>学校教育系施設</v>
          </cell>
          <cell r="L2" t="str">
            <v>子育て支援施設</v>
          </cell>
          <cell r="M2" t="str">
            <v>保健・福祉施設</v>
          </cell>
          <cell r="N2" t="str">
            <v>医療施設</v>
          </cell>
          <cell r="O2" t="str">
            <v>行政系施設</v>
          </cell>
          <cell r="P2" t="str">
            <v>公営住宅</v>
          </cell>
          <cell r="Q2" t="str">
            <v>公園</v>
          </cell>
          <cell r="R2" t="str">
            <v>供給処理施設</v>
          </cell>
          <cell r="S2" t="str">
            <v>その他</v>
          </cell>
          <cell r="T2" t="str">
            <v>上水道施設</v>
          </cell>
          <cell r="U2" t="str">
            <v>下水道施設</v>
          </cell>
          <cell r="V2" t="str">
            <v>病院施設</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ステム領域"/>
      <sheetName val="目次"/>
      <sheetName val="表紙"/>
      <sheetName val="白書の位置付け"/>
      <sheetName val="沿革・人口・財政・職員構成"/>
      <sheetName val="保有資産"/>
      <sheetName val="施設運営状況"/>
      <sheetName val="主要施設概説"/>
      <sheetName val="対象外施設の表"/>
      <sheetName val="子育て世代流出抑制×Ave"/>
      <sheetName val="連結貸借対照表"/>
      <sheetName val="連結行政コスト計算書"/>
      <sheetName val="連結純試算変動計算書"/>
      <sheetName val="連結資産収支計算書"/>
      <sheetName val="職員構成"/>
      <sheetName val="財産に関する調書"/>
      <sheetName val="公共施設集計"/>
      <sheetName val="資産有効活用の表"/>
      <sheetName val="組織図"/>
      <sheetName val="施設体系表"/>
      <sheetName val="ベース書式"/>
      <sheetName val="財政"/>
      <sheetName val="公共施設"/>
      <sheetName val="工事別+投資的経費"/>
      <sheetName val="築年別データ"/>
      <sheetName val="耐震化データ"/>
      <sheetName val="道路グラフ"/>
      <sheetName val="橋梁グラフ"/>
      <sheetName val="上水道-年度別額"/>
      <sheetName val="上水道グラフ"/>
      <sheetName val="下水道グラフ"/>
      <sheetName val="トータル"/>
      <sheetName val="トータルグラフ"/>
      <sheetName val="上水道築年グラフ用-2"/>
      <sheetName val="人口動向1"/>
      <sheetName val="人口動向2"/>
      <sheetName val="過去-現在-グラフ"/>
      <sheetName val="現在-未来-グラフ"/>
      <sheetName val="1-歳入"/>
      <sheetName val="2-歳出"/>
      <sheetName val="3-公共施設_記入用"/>
      <sheetName val="ﾌﾟﾙﾀﾞｳﾝﾒﾆｭｰ"/>
      <sheetName val="3-公共施設　記入例"/>
      <sheetName val="3-公共施設経費内訳"/>
      <sheetName val="4-土地・建物の内訳"/>
      <sheetName val="5-人口及び世帯数の推移"/>
      <sheetName val="6-5階級別人口の15年推移"/>
      <sheetName val="7-5階級別人口の20年推移"/>
      <sheetName val="8-道路"/>
      <sheetName val="8-橋りょう"/>
      <sheetName val="8-上水道"/>
      <sheetName val="8-下水道"/>
      <sheetName val="単価表"/>
      <sheetName val="用途分類"/>
      <sheetName val="学校教育系施設"/>
      <sheetName val="その他"/>
      <sheetName val="供給処理施設"/>
      <sheetName val="公園"/>
      <sheetName val="公営住宅"/>
      <sheetName val="行政系施設"/>
      <sheetName val="医療施設"/>
      <sheetName val="保健・福祉施設"/>
      <sheetName val="子育て支援施設"/>
      <sheetName val="産業系施設"/>
      <sheetName val="ｽﾎﾟｰﾂ・ﾚｸﾘｴｰｼｮﾝ系施設"/>
      <sheetName val="社会教育系施設"/>
      <sheetName val="病院施設"/>
      <sheetName val="市民文化系施設"/>
      <sheetName val="上水道施設"/>
      <sheetName val="下水道施設"/>
    </sheetNames>
    <sheetDataSet>
      <sheetData sheetId="0" refreshError="1"/>
      <sheetData sheetId="1" refreshError="1"/>
      <sheetData sheetId="2">
        <row r="20">
          <cell r="E20" t="str">
            <v>伊丹市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B2" t="str">
            <v>単独</v>
          </cell>
          <cell r="C2" t="str">
            <v>実施済み</v>
          </cell>
        </row>
        <row r="3">
          <cell r="B3" t="str">
            <v>複合施設</v>
          </cell>
          <cell r="C3" t="str">
            <v>未実施</v>
          </cell>
        </row>
        <row r="4">
          <cell r="B4" t="str">
            <v>複数棟施設</v>
          </cell>
          <cell r="C4" t="str">
            <v>不要</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01&#26045;&#35373;&#12510;&#12493;&#12472;&#12513;&#12531;&#12488;/06_&#26045;&#35373;&#21488;&#24115;&#38306;&#20418;&#12304;10&#24180;&#12305;/01&#26045;&#35373;&#12459;&#12523;&#12486;/R4&#12304;&#65374;R14&#26411;&#12305;/&#12295;&#25104;&#26524;&#21697;/01_&#12456;&#12463;&#12475;&#12523;&#12487;&#12540;&#12479;&#31561;/&#22522;&#26412;&#12539;&#24314;&#29289;&#12539;&#32076;&#36027;&#12539;&#21033;&#29992;&#24773;&#22577;&#65288;HP&#6528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01&#26045;&#35373;&#12510;&#12493;&#12472;&#12513;&#12531;&#12488;/06_&#26045;&#35373;&#21488;&#24115;&#38306;&#20418;&#12304;10&#24180;&#12305;/01&#26045;&#35373;&#12459;&#12523;&#12486;/R4&#12304;&#65374;R14&#26411;&#12305;/&#12295;&#25104;&#26524;&#21697;/01_&#12456;&#12463;&#12475;&#12523;&#12487;&#12540;&#12479;&#31561;/&#22522;&#26412;&#12539;&#24314;&#29289;&#12539;&#32076;&#36027;&#12539;&#21033;&#29992;&#24773;&#22577;&#65288;HP&#6528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171.543631828703" createdVersion="4" refreshedVersion="4" minRefreshableVersion="3" recordCount="279" xr:uid="{00000000-000A-0000-FFFF-FFFF0A000000}">
  <cacheSource type="worksheet">
    <worksheetSource ref="B3:BE261" sheet="①基本情報" r:id="rId2"/>
  </cacheSource>
  <cacheFields count="69">
    <cacheField name="DB_No" numFmtId="49">
      <sharedItems/>
    </cacheField>
    <cacheField name="施設No" numFmtId="49">
      <sharedItems/>
    </cacheField>
    <cacheField name="名称" numFmtId="49">
      <sharedItems/>
    </cacheField>
    <cacheField name="所管部" numFmtId="49">
      <sharedItems/>
    </cacheField>
    <cacheField name="所管課" numFmtId="49">
      <sharedItems count="39">
        <s v="総務部総務室管財課"/>
        <s v="市民自治部まちづくり室市民課"/>
        <s v="市民自治部まちづくり室消費生活センター"/>
        <s v="健康福祉部保健医療推進室健康政策課"/>
        <s v="市民自治部共生推進室同和・人権推進課"/>
        <s v="市民自治部共生推進室人権啓発センター"/>
        <s v="教育委員会学校教育部学校教育室総合教育センター"/>
        <s v="市民自治部まちづくり室まちづくり推進課"/>
        <s v="消防局消防総務課"/>
        <s v="市民自治部環境政策室公園課"/>
        <s v="教育委員会生涯学習部公民館"/>
        <s v="教育委員会生涯学習部社会教育課"/>
        <s v="都市活力部産業振興室商工労働課"/>
        <s v="都市活力部産業振興室文化振興課"/>
        <s v="教育委員会生涯学習部博物館"/>
        <s v="市民自治部環境政策室みどり自然課"/>
        <s v="こども未来部こども室こども若者企画課"/>
        <s v="都市活力部産業振興室まちなかにぎわい課"/>
        <s v="教育委員会生涯学習部図書館"/>
        <s v="教育委員会管理部"/>
        <s v="こども未来部こども室こども家庭課"/>
        <s v="教育委員会学校教育部学校給食センター"/>
        <s v="こども未来部こども室保育課"/>
        <s v="健康福祉部地域福祉室地域・高年福祉課"/>
        <s v="健康福祉部地域福祉室障害福祉課"/>
        <s v="こども未来部こども室こども発達支援センター"/>
        <s v="都市活力部都市整備室住宅政策課"/>
        <s v="総合政策部秘書課"/>
        <s v="教育委員会生涯学習部スポーツ振興課"/>
        <s v="都市交通部交通政策室都市安全企画課"/>
        <s v="市民自治部環境クリーンセンター"/>
        <s v="市民自治部環境政策室生活環境課"/>
        <s v="都市活力部産業振興室農業政策課"/>
        <s v="健康福祉部保健医療推進室地域医療推進課"/>
        <s v="伊丹病院"/>
        <s v="上下水道局経営企画室経営企画課"/>
        <s v="上下水道局整備保全室浄水課"/>
        <s v="上下水道局整備保全室管理課"/>
        <s v="交通局"/>
      </sharedItems>
    </cacheField>
    <cacheField name="部署ID" numFmtId="49">
      <sharedItems count="39">
        <s v="060"/>
        <s v="183"/>
        <s v="180"/>
        <s v="325"/>
        <s v="210"/>
        <s v="220"/>
        <s v="648"/>
        <s v="170"/>
        <s v="748"/>
        <s v="240"/>
        <s v="683"/>
        <s v="668"/>
        <s v="455"/>
        <s v="428"/>
        <s v="693"/>
        <s v="245"/>
        <s v="345"/>
        <s v="424"/>
        <s v="688"/>
        <s v="618"/>
        <s v="390"/>
        <s v="658"/>
        <s v="355"/>
        <s v="285"/>
        <s v="300"/>
        <s v="395"/>
        <s v="454"/>
        <s v="013"/>
        <s v="678"/>
        <s v="480"/>
        <s v="250"/>
        <s v="230"/>
        <s v="460"/>
        <s v="330"/>
        <s v="838"/>
        <s v="819"/>
        <s v="834"/>
        <s v="831"/>
        <s v="798"/>
      </sharedItems>
    </cacheField>
    <cacheField name="部署グループ" numFmtId="49">
      <sharedItems/>
    </cacheField>
    <cacheField name="住所" numFmtId="49">
      <sharedItems/>
    </cacheField>
    <cacheField name="財産区分" numFmtId="49">
      <sharedItems/>
    </cacheField>
    <cacheField name="施設大分類" numFmtId="49">
      <sharedItems/>
    </cacheField>
    <cacheField name="施設中分類" numFmtId="49">
      <sharedItems/>
    </cacheField>
    <cacheField name="設置根拠法令・条例" numFmtId="49">
      <sharedItems containsBlank="1"/>
    </cacheField>
    <cacheField name="設置年" numFmtId="49">
      <sharedItems containsBlank="1"/>
    </cacheField>
    <cacheField name="代表建築年" numFmtId="49">
      <sharedItems containsBlank="1"/>
    </cacheField>
    <cacheField name="敷地面積" numFmtId="177">
      <sharedItems containsBlank="1" containsMixedTypes="1" containsNumber="1" minValue="65" maxValue="278000"/>
    </cacheField>
    <cacheField name="延床面積" numFmtId="177">
      <sharedItems containsString="0" containsBlank="1" containsNumber="1" minValue="0" maxValue="31396.76"/>
    </cacheField>
    <cacheField name="床面積0㎡の理由" numFmtId="49">
      <sharedItems containsBlank="1"/>
    </cacheField>
    <cacheField name="敷地flg" numFmtId="49">
      <sharedItems containsBlank="1"/>
    </cacheField>
    <cacheField name="延床flg" numFmtId="49">
      <sharedItems containsBlank="1"/>
    </cacheField>
    <cacheField name="小学校区" numFmtId="49">
      <sharedItems/>
    </cacheField>
    <cacheField name="施設形態" numFmtId="49">
      <sharedItems/>
    </cacheField>
    <cacheField name="避難洪水" numFmtId="49">
      <sharedItems/>
    </cacheField>
    <cacheField name="避難土砂" numFmtId="49">
      <sharedItems/>
    </cacheField>
    <cacheField name="避難地震" numFmtId="49">
      <sharedItems/>
    </cacheField>
    <cacheField name="避難火事" numFmtId="49">
      <sharedItems/>
    </cacheField>
    <cacheField name="指定避難所" numFmtId="49">
      <sharedItems/>
    </cacheField>
    <cacheField name="選挙投票所" numFmtId="49">
      <sharedItems/>
    </cacheField>
    <cacheField name="投票所番号" numFmtId="49">
      <sharedItems/>
    </cacheField>
    <cacheField name="併設施設" numFmtId="49">
      <sharedItems containsBlank="1"/>
    </cacheField>
    <cacheField name="敷地所有" numFmtId="49">
      <sharedItems containsBlank="1"/>
    </cacheField>
    <cacheField name="敷地借入先" numFmtId="49">
      <sharedItems containsBlank="1"/>
    </cacheField>
    <cacheField name="建物所有" numFmtId="49">
      <sharedItems containsBlank="1"/>
    </cacheField>
    <cacheField name="建物借入先" numFmtId="49">
      <sharedItems containsBlank="1"/>
    </cacheField>
    <cacheField name="事業概要" numFmtId="49">
      <sharedItems containsBlank="1"/>
    </cacheField>
    <cacheField name="スロープ" numFmtId="49">
      <sharedItems containsBlank="1"/>
    </cacheField>
    <cacheField name="インターホン" numFmtId="49">
      <sharedItems/>
    </cacheField>
    <cacheField name="便所" numFmtId="49">
      <sharedItems/>
    </cacheField>
    <cacheField name="エンジンドア" numFmtId="49">
      <sharedItems/>
    </cacheField>
    <cacheField name="点字ブロック" numFmtId="49">
      <sharedItems/>
    </cacheField>
    <cacheField name="手すり" numFmtId="49">
      <sharedItems/>
    </cacheField>
    <cacheField name="福祉条例適合" numFmtId="49">
      <sharedItems/>
    </cacheField>
    <cacheField name="用途地域" numFmtId="49">
      <sharedItems/>
    </cacheField>
    <cacheField name="建蔽率" numFmtId="49">
      <sharedItems/>
    </cacheField>
    <cacheField name="容積率" numFmtId="49">
      <sharedItems/>
    </cacheField>
    <cacheField name="特別用途地区" numFmtId="49">
      <sharedItems containsBlank="1"/>
    </cacheField>
    <cacheField name="高度地区" numFmtId="49">
      <sharedItems containsBlank="1"/>
    </cacheField>
    <cacheField name="防火・準防火地域" numFmtId="49">
      <sharedItems containsBlank="1"/>
    </cacheField>
    <cacheField name="その他規制" numFmtId="49">
      <sharedItems containsBlank="1"/>
    </cacheField>
    <cacheField name="管理形態" numFmtId="49">
      <sharedItems/>
    </cacheField>
    <cacheField name="委託先、指定管理者" numFmtId="49">
      <sharedItems containsBlank="1"/>
    </cacheField>
    <cacheField name="指定期間（始）" numFmtId="14">
      <sharedItems containsNonDate="0" containsDate="1" containsString="0" containsBlank="1" minDate="2012-04-01T00:00:00" maxDate="2016-05-07T00:00:00"/>
    </cacheField>
    <cacheField name="指定期間（終）" numFmtId="14">
      <sharedItems containsNonDate="0" containsDate="1" containsString="0" containsBlank="1" minDate="2017-03-31T00:00:00" maxDate="2021-04-01T00:00:00"/>
    </cacheField>
    <cacheField name="管理者指定方法" numFmtId="14">
      <sharedItems containsBlank="1"/>
    </cacheField>
    <cacheField name="開館時間" numFmtId="0">
      <sharedItems containsBlank="1"/>
    </cacheField>
    <cacheField name="休館日" numFmtId="0">
      <sharedItems containsBlank="1"/>
    </cacheField>
    <cacheField name="主要室" numFmtId="0">
      <sharedItems containsBlank="1"/>
    </cacheField>
    <cacheField name="駐車場台数" numFmtId="0">
      <sharedItems containsString="0" containsBlank="1" containsNumber="1" containsInteger="1" minValue="0" maxValue="2400"/>
    </cacheField>
    <cacheField name="取得価額_x000a_（千円）" numFmtId="3">
      <sharedItems containsMixedTypes="1" containsNumber="1" containsInteger="1" minValue="0" maxValue="7526586"/>
    </cacheField>
    <cacheField name="減価償却累計額" numFmtId="3">
      <sharedItems containsMixedTypes="1" containsNumber="1" containsInteger="1" minValue="0" maxValue="5238345"/>
    </cacheField>
    <cacheField name="残存価格" numFmtId="3">
      <sharedItems containsMixedTypes="1" containsNumber="1" containsInteger="1" minValue="0" maxValue="4861676"/>
    </cacheField>
    <cacheField name="減価償却費" numFmtId="3">
      <sharedItems containsMixedTypes="1" containsNumber="1" containsInteger="1" minValue="0" maxValue="202709"/>
    </cacheField>
    <cacheField name="有形固定資産減価償却率" numFmtId="185">
      <sharedItems containsMixedTypes="1" containsNumber="1" minValue="0" maxValue="1"/>
    </cacheField>
    <cacheField name="土地評価額" numFmtId="0">
      <sharedItems containsNonDate="0" containsString="0" containsBlank="1"/>
    </cacheField>
    <cacheField name="廃止" numFmtId="0">
      <sharedItems containsBlank="1"/>
    </cacheField>
    <cacheField name="廃止_x000a_年月日" numFmtId="0">
      <sharedItems containsDate="1" containsBlank="1" containsMixedTypes="1" minDate="2016-03-31T00:00:00" maxDate="2016-04-01T00:00:00"/>
    </cacheField>
    <cacheField name="備考" numFmtId="0">
      <sharedItems containsNonDate="0" containsString="0" containsBlank="1"/>
    </cacheField>
    <cacheField name="カルテ作成有無" numFmtId="0">
      <sharedItems containsBlank="1" count="2">
        <s v="○"/>
        <m/>
      </sharedItems>
    </cacheField>
    <cacheField name="写真挿入" numFmtId="0">
      <sharedItems containsBlank="1"/>
    </cacheField>
    <cacheField name="床面積" numFmtId="4">
      <sharedItems containsSemiMixedTypes="0" containsString="0" containsNumber="1" minValue="0" maxValue="31396.7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199.626824652776" createdVersion="4" refreshedVersion="4" minRefreshableVersion="3" recordCount="811" xr:uid="{00000000-000A-0000-FFFF-FFFF0B000000}">
  <cacheSource type="worksheet">
    <worksheetSource ref="B2:AK757" sheet="②建物情報" r:id="rId2"/>
  </cacheSource>
  <cacheFields count="43">
    <cacheField name="DB_No" numFmtId="49">
      <sharedItems/>
    </cacheField>
    <cacheField name="施設No" numFmtId="49">
      <sharedItems/>
    </cacheField>
    <cacheField name="名称" numFmtId="0">
      <sharedItems/>
    </cacheField>
    <cacheField name="施設の所管" numFmtId="0">
      <sharedItems count="39">
        <s v="総務部総務室管財課"/>
        <s v="市民自治部まちづくり室市民課"/>
        <s v="市民自治部まちづくり室消費生活センター"/>
        <s v="健康福祉部保健医療推進室健康政策課"/>
        <s v="市民自治部共生推進室同和・人権推進課"/>
        <s v="市民自治部共生推進室人権啓発センター"/>
        <s v="教育委員会学校教育部学校教育室総合教育センター"/>
        <s v="市民自治部まちづくり室まちづくり推進課"/>
        <s v="消防局消防総務課"/>
        <s v="市民自治部環境政策室公園課"/>
        <s v="教育委員会生涯学習部公民館"/>
        <s v="教育委員会生涯学習部社会教育課"/>
        <s v="都市活力部産業振興室商工労働課"/>
        <s v="都市活力部産業振興室文化振興課"/>
        <s v="教育委員会生涯学習部博物館"/>
        <s v="市民自治部環境政策室みどり自然課"/>
        <s v="こども未来部こども室こども若者企画課"/>
        <s v="都市活力部産業振興室まちなかにぎわい課"/>
        <s v="教育委員会生涯学習部図書館"/>
        <s v="教育委員会管理部"/>
        <s v="こども未来部こども室こども家庭課"/>
        <s v="教育委員会学校教育部学校給食センター"/>
        <s v="こども未来部こども室保育課"/>
        <s v="健康福祉部地域福祉室地域・高年福祉課"/>
        <s v="健康福祉部地域福祉室障害福祉課"/>
        <s v="こども未来部こども室こども発達支援センター"/>
        <s v="都市活力部都市整備室住宅政策課"/>
        <s v="総合政策部秘書課"/>
        <s v="教育委員会生涯学習部スポーツ振興課"/>
        <s v="都市交通部交通政策室都市安全企画課"/>
        <s v="市民自治部環境クリーンセンター"/>
        <s v="市民自治部環境政策室生活環境課"/>
        <s v="都市活力部産業振興室農業政策課"/>
        <s v="健康福祉部保健医療推進室地域医療推進課"/>
        <s v="伊丹病院"/>
        <s v="上下水道局経営企画室経営企画課"/>
        <s v="上下水道局整備保全室浄水課"/>
        <s v="上下水道局整備保全室管理課"/>
        <s v="交通局"/>
      </sharedItems>
    </cacheField>
    <cacheField name="建物枝番号" numFmtId="0">
      <sharedItems/>
    </cacheField>
    <cacheField name="建物名" numFmtId="0">
      <sharedItems containsBlank="1"/>
    </cacheField>
    <cacheField name="建築年" numFmtId="0">
      <sharedItems containsString="0" containsBlank="1" containsNumber="1" containsInteger="1" minValue="1961" maxValue="2017" count="58">
        <n v="1972"/>
        <n v="1973"/>
        <n v="1984"/>
        <n v="2016"/>
        <n v="2004"/>
        <n v="2011"/>
        <n v="1971"/>
        <n v="1977"/>
        <n v="2001"/>
        <n v="1985"/>
        <n v="1970"/>
        <n v="1987"/>
        <n v="1974"/>
        <n v="1975"/>
        <n v="1994"/>
        <m/>
        <n v="2015"/>
        <n v="2003"/>
        <n v="2013"/>
        <n v="2006"/>
        <n v="2014"/>
        <n v="2005"/>
        <n v="2007"/>
        <n v="1999"/>
        <n v="2010"/>
        <n v="1976"/>
        <n v="1981"/>
        <n v="2012"/>
        <n v="1990"/>
        <n v="1979"/>
        <n v="1982"/>
        <n v="1983"/>
        <n v="1996"/>
        <n v="2000"/>
        <n v="1980"/>
        <n v="1989"/>
        <n v="1988"/>
        <n v="1992"/>
        <n v="1998"/>
        <n v="1991"/>
        <n v="1995"/>
        <n v="1963"/>
        <n v="1964"/>
        <n v="1966"/>
        <n v="1968"/>
        <n v="1967"/>
        <n v="1986"/>
        <n v="1965"/>
        <n v="1969"/>
        <n v="1978"/>
        <n v="1993"/>
        <n v="2009"/>
        <n v="2008"/>
        <n v="2017"/>
        <n v="2002"/>
        <n v="1962"/>
        <n v="1961"/>
        <n v="1997"/>
      </sharedItems>
    </cacheField>
    <cacheField name="月" numFmtId="0">
      <sharedItems containsString="0" containsBlank="1" containsNumber="1" containsInteger="1" minValue="1" maxValue="12"/>
    </cacheField>
    <cacheField name="築後年" numFmtId="0">
      <sharedItems containsString="0" containsBlank="1" containsNumber="1" containsInteger="1" minValue="0" maxValue="56" count="58">
        <n v="45"/>
        <n v="44"/>
        <n v="33"/>
        <n v="1"/>
        <n v="13"/>
        <n v="6"/>
        <n v="46"/>
        <n v="40"/>
        <n v="16"/>
        <n v="32"/>
        <n v="47"/>
        <n v="30"/>
        <n v="43"/>
        <n v="42"/>
        <n v="23"/>
        <m/>
        <n v="2"/>
        <n v="14"/>
        <n v="4"/>
        <n v="11"/>
        <n v="3"/>
        <n v="12"/>
        <n v="10"/>
        <n v="18"/>
        <n v="7"/>
        <n v="41"/>
        <n v="36"/>
        <n v="5"/>
        <n v="27"/>
        <n v="38"/>
        <n v="35"/>
        <n v="34"/>
        <n v="21"/>
        <n v="17"/>
        <n v="37"/>
        <n v="28"/>
        <n v="29"/>
        <n v="25"/>
        <n v="19"/>
        <n v="26"/>
        <n v="22"/>
        <n v="54"/>
        <n v="53"/>
        <n v="51"/>
        <n v="49"/>
        <n v="50"/>
        <n v="31"/>
        <n v="52"/>
        <n v="48"/>
        <n v="39"/>
        <n v="24"/>
        <n v="8"/>
        <n v="9"/>
        <n v="0"/>
        <n v="15"/>
        <n v="55"/>
        <n v="56"/>
        <n v="20"/>
      </sharedItems>
      <fieldGroup base="8">
        <rangePr startNum="0" endNum="56" groupInterval="10"/>
        <groupItems count="8">
          <s v="(空白)"/>
          <s v="0-9"/>
          <s v="10-19"/>
          <s v="20-29"/>
          <s v="30-39"/>
          <s v="40-49"/>
          <s v="50-59"/>
          <s v="&gt;60"/>
        </groupItems>
      </fieldGroup>
    </cacheField>
    <cacheField name="建築面積" numFmtId="178">
      <sharedItems containsString="0" containsBlank="1" containsNumber="1" minValue="2.93" maxValue="7590.85"/>
    </cacheField>
    <cacheField name="延床面積_x000a_(建物全体)" numFmtId="2">
      <sharedItems containsString="0" containsBlank="1" containsNumber="1" minValue="1.69" maxValue="26003.37"/>
    </cacheField>
    <cacheField name="延床面積_x000a_(該当部分)" numFmtId="2">
      <sharedItems containsString="0" containsBlank="1" containsNumber="1" minValue="0" maxValue="26003.37"/>
    </cacheField>
    <cacheField name="施設形態" numFmtId="178">
      <sharedItems/>
    </cacheField>
    <cacheField name="構造" numFmtId="0">
      <sharedItems containsBlank="1"/>
    </cacheField>
    <cacheField name="地上階数" numFmtId="0">
      <sharedItems containsBlank="1" containsMixedTypes="1" containsNumber="1" containsInteger="1" minValue="1" maxValue="8"/>
    </cacheField>
    <cacheField name="地下階数" numFmtId="0">
      <sharedItems containsBlank="1" containsMixedTypes="1" containsNumber="1" containsInteger="1" minValue="0" maxValue="2"/>
    </cacheField>
    <cacheField name="基準(新・旧)" numFmtId="0">
      <sharedItems containsBlank="1"/>
    </cacheField>
    <cacheField name="診断有無" numFmtId="0">
      <sharedItems containsBlank="1"/>
    </cacheField>
    <cacheField name="耐震性ありor補強済" numFmtId="0">
      <sharedItems containsBlank="1" count="5">
        <s v="×"/>
        <s v="○"/>
        <s v="未"/>
        <m/>
        <s v="-"/>
      </sharedItems>
    </cacheField>
    <cacheField name="Is値" numFmtId="0">
      <sharedItems containsString="0" containsBlank="1" containsNumber="1" minValue="0.2" maxValue="2.52"/>
    </cacheField>
    <cacheField name="改修年" numFmtId="0">
      <sharedItems containsString="0" containsBlank="1" containsNumber="1" containsInteger="1" minValue="1995" maxValue="2016"/>
    </cacheField>
    <cacheField name="大規模改修実施年" numFmtId="0">
      <sharedItems containsString="0" containsBlank="1" containsNumber="1" containsInteger="1" minValue="1994" maxValue="2016"/>
    </cacheField>
    <cacheField name="法定耐用年数" numFmtId="0">
      <sharedItems containsString="0" containsBlank="1" containsNumber="1" containsInteger="1" minValue="15" maxValue="50"/>
    </cacheField>
    <cacheField name="建築躯体" numFmtId="0">
      <sharedItems containsBlank="1"/>
    </cacheField>
    <cacheField name="屋根屋上" numFmtId="0">
      <sharedItems containsBlank="1"/>
    </cacheField>
    <cacheField name="外壁" numFmtId="0">
      <sharedItems containsBlank="1"/>
    </cacheField>
    <cacheField name="電気設備" numFmtId="0">
      <sharedItems containsBlank="1"/>
    </cacheField>
    <cacheField name="照明" numFmtId="0">
      <sharedItems containsBlank="1"/>
    </cacheField>
    <cacheField name="空調設備" numFmtId="0">
      <sharedItems containsBlank="1"/>
    </cacheField>
    <cacheField name="受水槽" numFmtId="0">
      <sharedItems containsBlank="1"/>
    </cacheField>
    <cacheField name="給水管" numFmtId="0">
      <sharedItems containsBlank="1"/>
    </cacheField>
    <cacheField name="衛生設備" numFmtId="0">
      <sharedItems containsBlank="1"/>
    </cacheField>
    <cacheField name="総合判定" numFmtId="0">
      <sharedItems containsBlank="1"/>
    </cacheField>
    <cacheField name="老朽化率" numFmtId="0">
      <sharedItems containsBlank="1" containsMixedTypes="1" containsNumber="1" minValue="2.8000000000000025" maxValue="100"/>
    </cacheField>
    <cacheField name="総量対象コード" numFmtId="49">
      <sharedItems count="6">
        <s v="00対象"/>
        <s v="01対象外"/>
        <s v="06対象外"/>
        <s v="03対象外"/>
        <s v="05対象外"/>
        <s v="04対象外"/>
      </sharedItems>
    </cacheField>
    <cacheField name="廃止" numFmtId="0">
      <sharedItems containsBlank="1" count="2">
        <m/>
        <s v="○"/>
      </sharedItems>
    </cacheField>
    <cacheField name="廃止年月日" numFmtId="14">
      <sharedItems containsNonDate="0" containsDate="1" containsString="0" containsBlank="1" minDate="2015-03-31T00:00:00" maxDate="2017-04-01T00:00:00"/>
    </cacheField>
    <cacheField name="備考" numFmtId="0">
      <sharedItems containsBlank="1"/>
    </cacheField>
    <cacheField name="延床面積データの引用元" numFmtId="0">
      <sharedItems/>
    </cacheField>
    <cacheField name="部署ID" numFmtId="49">
      <sharedItems containsBlank="1"/>
    </cacheField>
    <cacheField name="部署グループ" numFmtId="49">
      <sharedItems containsBlank="1"/>
    </cacheField>
    <cacheField name="大分類" numFmtId="0">
      <sharedItems count="11">
        <s v="01行政系施設"/>
        <s v="02集会施設"/>
        <s v="03文化・社会教育系施設"/>
        <s v="04学校教育施設"/>
        <s v="05子育て支援施設"/>
        <s v="06福祉施設"/>
        <s v="07住宅施設"/>
        <s v="08公園施設"/>
        <s v="09ｽﾎﾟｰﾂ・ﾚｸﾘｴｰｼｮﾝ施設"/>
        <s v="10その他施設"/>
        <s v="11公営企業施設"/>
      </sharedItems>
    </cacheField>
    <cacheField name="中分類" numFmtId="0">
      <sharedItems count="25">
        <s v="01庁舎等施設"/>
        <s v="02啓発施設"/>
        <s v="03消防施設"/>
        <s v="01共同利用施設"/>
        <s v="01多目的施設"/>
        <s v="02展覧施設"/>
        <s v="03図書館"/>
        <s v="01小学校"/>
        <s v="03児童くらぶ"/>
        <s v="02中学校"/>
        <s v="04その他教育施設"/>
        <s v="01保育所"/>
        <s v="02幼稚園"/>
        <s v="01地域福祉・高齢者施設"/>
        <s v="02障がい者(児)・発達支援施設"/>
        <s v="01市営住宅"/>
        <s v="01公園施設"/>
        <s v="01ｽﾎﾟｰﾂ・ﾚｸﾘｴｰｼｮﾝ施設"/>
        <s v="01駐車場・駐輪場"/>
        <s v="02その他"/>
        <s v="01病院施設"/>
        <s v="02上下水道施設"/>
        <s v="03交通施設"/>
        <s v="01啓発施設" u="1"/>
        <s v="03その他教育施設"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9">
  <r>
    <s v="001"/>
    <s v="0282"/>
    <s v="市役所本庁舎"/>
    <s v="総務部"/>
    <x v="0"/>
    <x v="0"/>
    <s v="G021200"/>
    <s v="伊丹市千僧1丁目1番地"/>
    <s v="行政財産"/>
    <s v="01行政系施設"/>
    <s v="01庁舎等施設"/>
    <s v="地方自治法"/>
    <s v="1940"/>
    <s v="1972"/>
    <n v="21062"/>
    <n v="23341.47"/>
    <m/>
    <s v="○"/>
    <s v="○"/>
    <s v="02稲野小"/>
    <s v="複合"/>
    <s v="―"/>
    <s v="―"/>
    <s v="―"/>
    <s v="―"/>
    <s v="―"/>
    <s v="○"/>
    <s v="0"/>
    <m/>
    <s v="市有"/>
    <m/>
    <s v="市有"/>
    <m/>
    <s v="市の行政事務の中核施設であり、各種の行政サービスを提供する場所として設置。"/>
    <s v="○"/>
    <s v="○"/>
    <s v="○"/>
    <s v="○"/>
    <s v="○"/>
    <s v="○"/>
    <s v="―"/>
    <s v="第2種住居"/>
    <s v="60"/>
    <s v="200"/>
    <m/>
    <s v="３種"/>
    <m/>
    <m/>
    <s v="直営"/>
    <m/>
    <m/>
    <m/>
    <m/>
    <s v="8:00～18:00(市民課窓口業務は9:00～17:30)"/>
    <s v="土; 日; 祝; 年末年始"/>
    <s v="本庁舎,東館（防災ｾﾝﾀｰ）"/>
    <n v="135"/>
    <n v="7150851"/>
    <n v="5238345"/>
    <n v="1912506"/>
    <n v="202709"/>
    <n v="0.73299999999999998"/>
    <m/>
    <m/>
    <m/>
    <m/>
    <x v="0"/>
    <s v="○"/>
    <n v="23341.47"/>
  </r>
  <r>
    <s v="002"/>
    <s v="0001"/>
    <s v="神津支所"/>
    <s v="市民自治部"/>
    <x v="1"/>
    <x v="1"/>
    <s v="G041400"/>
    <s v="伊丹市森本1丁目8番地22"/>
    <s v="行政財産"/>
    <s v="01行政系施設"/>
    <s v="01庁舎等施設"/>
    <s v="伊丹市役所支所設置条例"/>
    <s v="1969"/>
    <s v="2016"/>
    <n v="1470"/>
    <n v="84.1"/>
    <m/>
    <m/>
    <s v="○"/>
    <s v="04神津小"/>
    <s v="複合"/>
    <s v="○"/>
    <s v="○"/>
    <s v="○"/>
    <s v="○"/>
    <s v="○"/>
    <s v="―"/>
    <s v="―"/>
    <s v="神津交流センター、図書館神津分館"/>
    <s v="市有"/>
    <m/>
    <s v="市有"/>
    <m/>
    <s v="住民票、戸籍、印鑑証明等の発行及び届出、登録の受付、市税、保険料、使用料等の収納、各種税務証明の発行以外に、国民健康保険、国民年金、交通災害等共済の加入受付、母子健康手帳の発行を行う地域住民への本庁事務補完施設"/>
    <s v="―"/>
    <s v="―"/>
    <s v="―"/>
    <s v="―"/>
    <s v="―"/>
    <s v="―"/>
    <s v="―"/>
    <s v="工業"/>
    <s v="60"/>
    <s v="200"/>
    <m/>
    <m/>
    <m/>
    <m/>
    <s v="直営"/>
    <m/>
    <m/>
    <m/>
    <m/>
    <s v="9:00～17:30"/>
    <s v="土; 日; 祝; 年末年始"/>
    <m/>
    <n v="3"/>
    <n v="27714"/>
    <n v="1057"/>
    <n v="26657"/>
    <n v="1041"/>
    <n v="3.7999999999999999E-2"/>
    <m/>
    <m/>
    <m/>
    <m/>
    <x v="0"/>
    <s v="○"/>
    <n v="84.1"/>
  </r>
  <r>
    <s v="003"/>
    <s v="0002"/>
    <s v="北支所"/>
    <s v="市民自治部"/>
    <x v="1"/>
    <x v="1"/>
    <s v="G041400"/>
    <s v="伊丹市北野4丁目30番地"/>
    <s v="行政財産"/>
    <s v="01行政系施設"/>
    <s v="01庁舎等施設"/>
    <s v="伊丹市役所支所設置条例"/>
    <s v="2004"/>
    <s v="2004"/>
    <n v="2385.29"/>
    <n v="13"/>
    <m/>
    <m/>
    <s v="○"/>
    <s v="07天神川小"/>
    <s v="複合"/>
    <s v="―"/>
    <s v="―"/>
    <s v="―"/>
    <s v="―"/>
    <s v="―"/>
    <s v="―"/>
    <s v="―"/>
    <s v="北部学習センター,図書館北分館"/>
    <s v="市有"/>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1種住居"/>
    <s v="60"/>
    <s v="200"/>
    <m/>
    <s v="３種"/>
    <m/>
    <m/>
    <s v="直営"/>
    <m/>
    <m/>
    <m/>
    <m/>
    <s v="9:00～17:30"/>
    <s v="土; 日; 祝; 年末年始"/>
    <m/>
    <n v="43"/>
    <n v="5212"/>
    <n v="2431"/>
    <n v="2781"/>
    <n v="189"/>
    <n v="0.46600000000000003"/>
    <m/>
    <m/>
    <m/>
    <m/>
    <x v="0"/>
    <s v="○"/>
    <n v="13"/>
  </r>
  <r>
    <s v="004"/>
    <s v="0003"/>
    <s v="西分室"/>
    <s v="市民自治部"/>
    <x v="1"/>
    <x v="1"/>
    <s v="G041400"/>
    <s v="伊丹市池尻4丁目1-1　イオン伊丹昆陽内"/>
    <s v="私有財産"/>
    <s v="01行政系施設"/>
    <s v="01庁舎等施設"/>
    <m/>
    <s v="2011"/>
    <s v="2011"/>
    <m/>
    <n v="48.5"/>
    <m/>
    <m/>
    <m/>
    <s v="16池尻小"/>
    <s v="複合"/>
    <s v="―"/>
    <s v="―"/>
    <s v="―"/>
    <s v="―"/>
    <s v="―"/>
    <s v="―"/>
    <s v="―"/>
    <s v="イオン伊丹昆陽"/>
    <s v="民地"/>
    <s v="イオンリテール"/>
    <s v="賃貸"/>
    <s v="イオンリテール"/>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工業"/>
    <s v="60"/>
    <s v="200"/>
    <m/>
    <m/>
    <m/>
    <m/>
    <s v="直営"/>
    <m/>
    <m/>
    <m/>
    <m/>
    <s v="9:00～17:30"/>
    <s v="土; 日; 祝; 年末年始"/>
    <m/>
    <n v="2400"/>
    <n v="5586"/>
    <n v="670"/>
    <n v="4916"/>
    <n v="112"/>
    <n v="0.12"/>
    <m/>
    <m/>
    <m/>
    <m/>
    <x v="0"/>
    <s v="○"/>
    <n v="0"/>
  </r>
  <r>
    <s v="005"/>
    <s v="0004"/>
    <s v="南分室"/>
    <s v="市民自治部"/>
    <x v="1"/>
    <x v="1"/>
    <s v="G041400"/>
    <s v="伊丹市御願塚3丁目8-11"/>
    <s v="行政財産"/>
    <s v="01行政系施設"/>
    <s v="01庁舎等施設"/>
    <m/>
    <s v="1971"/>
    <s v="1971"/>
    <n v="572.16"/>
    <n v="21"/>
    <m/>
    <m/>
    <s v="○"/>
    <s v="03南小"/>
    <s v="複合"/>
    <s v="―"/>
    <s v="―"/>
    <s v="―"/>
    <s v="―"/>
    <s v="―"/>
    <s v="―"/>
    <s v="―"/>
    <s v="南センター"/>
    <s v="民地"/>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1種低層住居専用"/>
    <s v="50"/>
    <s v="100"/>
    <m/>
    <s v="１種"/>
    <m/>
    <m/>
    <s v="直営"/>
    <m/>
    <m/>
    <m/>
    <m/>
    <s v="9:00～17:30"/>
    <s v="土; 日; 祝; 年末年始"/>
    <m/>
    <n v="2"/>
    <n v="5609"/>
    <n v="4930"/>
    <n v="679"/>
    <n v="64"/>
    <n v="0.879"/>
    <m/>
    <m/>
    <m/>
    <m/>
    <x v="0"/>
    <s v="○"/>
    <n v="21"/>
  </r>
  <r>
    <s v="006"/>
    <s v="0005"/>
    <s v="野間分室"/>
    <s v="市民自治部"/>
    <x v="1"/>
    <x v="1"/>
    <s v="G041400"/>
    <s v="伊丹市野間北4丁目4-28"/>
    <s v="行政財産"/>
    <s v="01行政系施設"/>
    <s v="01庁舎等施設"/>
    <m/>
    <s v="1977"/>
    <s v="1977"/>
    <n v="556.82000000000005"/>
    <n v="29"/>
    <m/>
    <m/>
    <s v="○"/>
    <s v="12昆陽里小"/>
    <s v="複合"/>
    <s v="―"/>
    <s v="―"/>
    <s v="―"/>
    <s v="―"/>
    <s v="―"/>
    <s v="―"/>
    <s v="―"/>
    <s v="野間笠松センター"/>
    <s v="市有"/>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2種中高層住居専用"/>
    <s v="60"/>
    <s v="200"/>
    <m/>
    <s v="２種"/>
    <m/>
    <m/>
    <s v="直営"/>
    <m/>
    <m/>
    <m/>
    <m/>
    <s v="9:00～17:30"/>
    <s v="土; 日; 祝; 年末年始"/>
    <m/>
    <n v="4"/>
    <n v="6032"/>
    <n v="4547"/>
    <n v="1485"/>
    <n v="129"/>
    <n v="0.754"/>
    <m/>
    <m/>
    <m/>
    <m/>
    <x v="0"/>
    <s v="○"/>
    <n v="29"/>
  </r>
  <r>
    <s v="007"/>
    <s v="0403"/>
    <s v="消費生活センター"/>
    <s v="市民自治部"/>
    <x v="2"/>
    <x v="2"/>
    <s v="G041300"/>
    <s v="伊丹市宮ノ前2丁目2番2号"/>
    <s v="行政財産"/>
    <s v="01行政系施設"/>
    <s v="02啓発施設"/>
    <s v="消費者安全法,伊丹市立消費生活センター条例"/>
    <s v="2001"/>
    <s v="2001"/>
    <n v="1040.26"/>
    <n v="321.58"/>
    <m/>
    <m/>
    <s v="○"/>
    <s v="01伊丹小"/>
    <s v="複合"/>
    <s v="―"/>
    <s v="―"/>
    <s v="―"/>
    <s v="―"/>
    <s v="―"/>
    <s v="―"/>
    <s v="―"/>
    <s v="伊丹市立産業・情報センター"/>
    <s v="市有"/>
    <m/>
    <s v="市有"/>
    <m/>
    <s v="市民生活相談、消費者啓発、情報の収集整理、消費者の自主活動の支援、市民課分室業務等を実施。"/>
    <s v="―"/>
    <s v="―"/>
    <s v="○"/>
    <s v="―"/>
    <s v="○"/>
    <s v="―"/>
    <s v="○"/>
    <s v="商業"/>
    <s v="80"/>
    <s v="400"/>
    <m/>
    <m/>
    <s v="準防火"/>
    <s v="高度利用地区、駐車場整備地区"/>
    <s v="直営"/>
    <m/>
    <m/>
    <m/>
    <m/>
    <s v="9:00～17:30"/>
    <s v="土; 日; 祝; 年末年始"/>
    <m/>
    <n v="0"/>
    <n v="349549"/>
    <n v="111856"/>
    <n v="237693"/>
    <n v="6991"/>
    <n v="0.32"/>
    <m/>
    <m/>
    <m/>
    <m/>
    <x v="0"/>
    <s v="○"/>
    <n v="321.58"/>
  </r>
  <r>
    <s v="008"/>
    <s v="0414"/>
    <s v="保健センター"/>
    <s v="健康福祉部"/>
    <x v="3"/>
    <x v="3"/>
    <s v="G053100"/>
    <s v="伊丹市千僧1丁目1番地"/>
    <s v="行政財産"/>
    <s v="01行政系施設"/>
    <s v="02啓発施設"/>
    <s v="伊丹市立保健センター条例"/>
    <s v="1985"/>
    <s v="1985"/>
    <m/>
    <n v="1496.14"/>
    <m/>
    <m/>
    <s v="○"/>
    <s v="02稲野小"/>
    <s v="複合"/>
    <s v="―"/>
    <s v="―"/>
    <s v="―"/>
    <s v="―"/>
    <s v="―"/>
    <s v="―"/>
    <s v="―"/>
    <s v="伊丹市医師会"/>
    <s v="市有"/>
    <m/>
    <s v="市有"/>
    <m/>
    <s v="市民の生涯にわたる健康づくりの拠点として、総合的な保健サービスと市民による健康づくり活動の場を提供。"/>
    <m/>
    <s v="○"/>
    <s v="○"/>
    <s v="○"/>
    <s v="―"/>
    <s v="○"/>
    <s v="―"/>
    <s v="第2種住居"/>
    <s v="60"/>
    <s v="200"/>
    <m/>
    <s v="３種"/>
    <m/>
    <m/>
    <s v="直営"/>
    <m/>
    <m/>
    <m/>
    <m/>
    <s v="9:00～17:30"/>
    <s v="土; 日; 祝; 年末年始"/>
    <s v="健康教育室,健康増進室,接種・問診室,保健指導室１・２,計測室,視聴覚室"/>
    <n v="0"/>
    <n v="357619"/>
    <n v="199080"/>
    <n v="158539"/>
    <n v="8118"/>
    <n v="0.55700000000000005"/>
    <m/>
    <m/>
    <m/>
    <m/>
    <x v="0"/>
    <s v="○"/>
    <n v="1496.14"/>
  </r>
  <r>
    <s v="009"/>
    <s v="0331"/>
    <s v="女性・児童センター"/>
    <s v="市民自治部"/>
    <x v="4"/>
    <x v="4"/>
    <s v="G043100"/>
    <s v="伊丹市御願塚6丁目1番1号"/>
    <s v="行政財産"/>
    <s v="01行政系施設"/>
    <s v="02啓発施設"/>
    <s v="伊丹市立女性・児童センター条例"/>
    <s v="1970"/>
    <s v="1970"/>
    <n v="9826"/>
    <n v="1288.45"/>
    <m/>
    <s v="○"/>
    <s v="○"/>
    <s v="14鈴原小"/>
    <s v="単独"/>
    <s v="○"/>
    <s v="○"/>
    <s v="―"/>
    <s v="○"/>
    <s v="○"/>
    <s v="―"/>
    <s v="―"/>
    <m/>
    <s v="市有"/>
    <m/>
    <s v="市有"/>
    <m/>
    <s v="女性と児童の福祉の増進、男女共同参画施設の推進充実を図ることを目的とし、児童会館、働く女性の家、女性交流サロンを設置。女性の就業支援のための講座や親子遊び教室等を開催。"/>
    <s v="○"/>
    <s v="―"/>
    <s v="○"/>
    <s v="―"/>
    <s v="―"/>
    <s v="○"/>
    <s v="―"/>
    <s v="第1種低層住居専用"/>
    <s v="50"/>
    <s v="100"/>
    <m/>
    <s v="１種"/>
    <m/>
    <m/>
    <s v="指管"/>
    <s v="一般社団法人すくえあ・いたみ"/>
    <d v="2014-04-01T00:00:00"/>
    <d v="2019-03-31T00:00:00"/>
    <s v="公募"/>
    <s v="9:00～17:15（働く女性の家　水、木、金　9:00～20:00）"/>
    <s v="火; 祝; 年末年始"/>
    <s v="講習室,調理室,和室,談話室,講座室,学習室,ﾌﾘｰﾙｰﾑ,遊戯室,図書室,幼児室"/>
    <n v="13"/>
    <n v="290348"/>
    <n v="252536"/>
    <n v="37812"/>
    <n v="5426"/>
    <n v="0.87"/>
    <m/>
    <m/>
    <m/>
    <m/>
    <x v="0"/>
    <s v="○"/>
    <n v="1288.45"/>
  </r>
  <r>
    <s v="010"/>
    <s v="0338"/>
    <s v="人権啓発センター(人権センター・児童館)"/>
    <s v="市民自治部"/>
    <x v="5"/>
    <x v="5"/>
    <s v="G043300"/>
    <s v="伊丹市堀池2丁目2番20号"/>
    <s v="行政財産"/>
    <s v="01行政系施設"/>
    <s v="02啓発施設"/>
    <s v="伊丹市立人権啓発センター条例"/>
    <s v="1974"/>
    <s v="1974"/>
    <n v="1519"/>
    <n v="1636.92"/>
    <m/>
    <s v="○"/>
    <s v="○"/>
    <s v="13摂陽小"/>
    <s v="複合"/>
    <s v="○"/>
    <s v="○"/>
    <s v="○"/>
    <s v="○"/>
    <s v="○"/>
    <s v="○"/>
    <s v="10"/>
    <s v="堀池センター"/>
    <s v="市有"/>
    <m/>
    <s v="市有"/>
    <m/>
    <s v="福祉の向上や人権啓発の住民交流の拠点となるｺﾐｭﾆﾃｨｾﾝﾀｰとして、生活上の各種相談事業や人権課題の解決のための各種事業を総合的に実施。また、児童福祉法に基づく児童厚生施設として、子どもに健全な遊びの場を提供。"/>
    <s v="○"/>
    <s v="○"/>
    <s v="○"/>
    <s v="○"/>
    <s v="○"/>
    <s v="○"/>
    <s v="―"/>
    <s v="第1種中高層住居専用"/>
    <s v="60"/>
    <s v="200"/>
    <m/>
    <s v="２種"/>
    <m/>
    <m/>
    <s v="直営"/>
    <m/>
    <m/>
    <m/>
    <m/>
    <s v="9:00～21:00（児童館の土は～17:30）"/>
    <s v="土; 日; 祝; 年末年始"/>
    <s v="多目的室,ふれあいｻﾛﾝ,料理実習室,教養室,ﾊﾟｿｺﾝﾙｰﾑ,休養室,児童館・ｽﾀｯﾌﾙｰﾑ,学習室,保育室,会議室,集会室など"/>
    <n v="17"/>
    <n v="491471"/>
    <n v="294091"/>
    <n v="197380"/>
    <n v="10187"/>
    <n v="0.59799999999999998"/>
    <m/>
    <m/>
    <m/>
    <m/>
    <x v="0"/>
    <s v="○"/>
    <n v="1636.92"/>
  </r>
  <r>
    <s v="011"/>
    <s v="1091"/>
    <s v="総合教育センター"/>
    <s v="教育委員会"/>
    <x v="6"/>
    <x v="6"/>
    <s v="G600202"/>
    <s v="伊丹市千僧1丁目1番地"/>
    <s v="行政財産"/>
    <s v="01行政系施設"/>
    <s v="02啓発施設"/>
    <s v="伊丹市立総合教育センター条例"/>
    <s v="1994"/>
    <s v="1994"/>
    <m/>
    <n v="3139.92"/>
    <m/>
    <s v="○"/>
    <s v="○"/>
    <s v="02稲野小"/>
    <s v="複合"/>
    <s v="―"/>
    <s v="―"/>
    <s v="―"/>
    <s v="―"/>
    <s v="―"/>
    <s v="―"/>
    <s v="―"/>
    <s v="少年愛護ｾﾝﾀｰ,阪神北少年ｻﾎﾟｰﾄｾﾝﾀｰ"/>
    <s v="市有"/>
    <m/>
    <s v="市有"/>
    <m/>
    <s v="教育情報の発信基地で、さまざまな教育課題を研究するための教育機関。教職員の研究や研修、教育関係の図書やビデオテープの閲覧・視聴、教育に関する調査研究、講演会や講座の開催、さまざまな教育問題の相談業務を実施。"/>
    <s v="○"/>
    <s v="○"/>
    <s v="○"/>
    <s v="○"/>
    <s v="○"/>
    <s v="○"/>
    <s v="○"/>
    <s v="第2種住居"/>
    <s v="60"/>
    <s v="200"/>
    <m/>
    <s v="３種"/>
    <m/>
    <m/>
    <s v="直営"/>
    <m/>
    <m/>
    <m/>
    <m/>
    <s v="9:00～21:00(土：9:00～17:00)"/>
    <s v="日; 祝; 年末年始"/>
    <s v="研修室１・２,講座室,多目的室"/>
    <n v="0"/>
    <n v="1497231"/>
    <n v="611208"/>
    <n v="886023"/>
    <n v="33689"/>
    <n v="0.40799999999999997"/>
    <m/>
    <m/>
    <m/>
    <m/>
    <x v="0"/>
    <s v="○"/>
    <n v="3139.92"/>
  </r>
  <r>
    <s v="012"/>
    <s v="0021"/>
    <s v="市民まちづくりプラザ"/>
    <s v="市民自治部"/>
    <x v="7"/>
    <x v="7"/>
    <s v="G041100"/>
    <s v="伊丹市伊丹市西台１丁目１番１号"/>
    <s v="私有財産"/>
    <s v="01行政系施設"/>
    <s v="02啓発施設"/>
    <s v="伊丹市立市民まちづくりプラザ条例"/>
    <s v="2004"/>
    <m/>
    <m/>
    <n v="84.77"/>
    <m/>
    <m/>
    <m/>
    <s v="01伊丹小"/>
    <s v="複合"/>
    <s v="―"/>
    <s v="―"/>
    <s v="―"/>
    <s v="―"/>
    <s v="―"/>
    <s v="―"/>
    <s v="―"/>
    <s v="阪急伊丹リータ"/>
    <s v="民間"/>
    <m/>
    <s v="民間"/>
    <m/>
    <s v="市民の参画と協働によるまちづくり活動の推進。"/>
    <s v="―"/>
    <s v="―"/>
    <s v="―"/>
    <s v="―"/>
    <s v="―"/>
    <s v="―"/>
    <s v="―"/>
    <s v="第2種中高層住居専用"/>
    <s v="60"/>
    <s v="200"/>
    <m/>
    <s v="２種"/>
    <m/>
    <m/>
    <s v="指管"/>
    <s v="特定非営利活動法人　阪神・智頭NPOセンター"/>
    <d v="2012-04-01T00:00:00"/>
    <d v="2017-03-31T00:00:00"/>
    <s v="公募"/>
    <s v="10:00～20:00"/>
    <s v="水; 年末年始"/>
    <m/>
    <n v="0"/>
    <s v=""/>
    <s v=""/>
    <s v=""/>
    <s v=""/>
    <n v="0"/>
    <m/>
    <m/>
    <m/>
    <m/>
    <x v="0"/>
    <s v="○"/>
    <n v="0"/>
  </r>
  <r>
    <s v="013"/>
    <s v="0901"/>
    <s v="消防局"/>
    <s v="消防局"/>
    <x v="8"/>
    <x v="8"/>
    <s v="G500101"/>
    <s v="伊丹市昆陽1丁目1番1号"/>
    <s v="行政財産"/>
    <s v="01行政系施設"/>
    <s v="03消防施設"/>
    <s v="消防組織法、伊丹市消防本部および消防署の設置等に関する条例"/>
    <s v="1972"/>
    <s v="1972"/>
    <n v="1734.09"/>
    <n v="2304.9"/>
    <m/>
    <s v="○"/>
    <s v="○"/>
    <s v="02稲野小"/>
    <s v="単独"/>
    <s v="―"/>
    <s v="―"/>
    <s v="―"/>
    <s v="―"/>
    <s v="―"/>
    <s v="―"/>
    <s v="―"/>
    <m/>
    <s v="市有"/>
    <m/>
    <s v="市有"/>
    <m/>
    <s v="伊丹市消防本部および消防署の設置等に関する条例に基づき設置される市の消防本部。西消防署を併設し、市西部地域を管轄し、管内に2つの出張所を配置。"/>
    <s v="―"/>
    <s v="―"/>
    <s v="○"/>
    <s v="―"/>
    <s v="―"/>
    <s v="―"/>
    <s v="―"/>
    <s v="準住居"/>
    <s v="60"/>
    <s v="200"/>
    <m/>
    <s v="３種"/>
    <m/>
    <m/>
    <s v="直営"/>
    <m/>
    <m/>
    <m/>
    <m/>
    <m/>
    <m/>
    <m/>
    <n v="0"/>
    <n v="915647"/>
    <n v="599198"/>
    <n v="316448"/>
    <n v="21017"/>
    <n v="0.65400000000000003"/>
    <m/>
    <m/>
    <m/>
    <m/>
    <x v="0"/>
    <s v="○"/>
    <n v="2304.9"/>
  </r>
  <r>
    <s v="014"/>
    <s v="0902"/>
    <s v="東消防署"/>
    <s v="消防局"/>
    <x v="8"/>
    <x v="8"/>
    <s v="G500101"/>
    <s v="伊丹市北本町2丁目133番地"/>
    <s v="行政財産"/>
    <s v="01行政系施設"/>
    <s v="03消防施設"/>
    <s v="消防組織法、伊丹市消防本部および消防署の設置等に関する条例"/>
    <s v="1984"/>
    <s v="1984"/>
    <n v="1068.44"/>
    <n v="923.59"/>
    <m/>
    <s v="○"/>
    <s v="○"/>
    <s v="01伊丹小"/>
    <s v="単独"/>
    <s v="―"/>
    <s v="―"/>
    <s v="―"/>
    <s v="―"/>
    <s v="―"/>
    <s v="―"/>
    <s v="―"/>
    <m/>
    <s v="市有"/>
    <m/>
    <s v="市有"/>
    <m/>
    <s v="伊丹市の東部地域を管轄する消防署。管内に2つの出張所を配置。"/>
    <s v="―"/>
    <s v="―"/>
    <s v="―"/>
    <s v="―"/>
    <s v="―"/>
    <s v="―"/>
    <s v="―"/>
    <s v="近隣商業"/>
    <s v="80"/>
    <s v="300"/>
    <m/>
    <m/>
    <m/>
    <m/>
    <s v="直営"/>
    <m/>
    <m/>
    <m/>
    <m/>
    <m/>
    <m/>
    <m/>
    <n v="0"/>
    <n v="270484"/>
    <n v="123614"/>
    <n v="146870"/>
    <n v="8998"/>
    <n v="0.45700000000000002"/>
    <m/>
    <m/>
    <m/>
    <m/>
    <x v="0"/>
    <s v="○"/>
    <n v="923.59"/>
  </r>
  <r>
    <s v="015"/>
    <s v="0906"/>
    <s v="池尻出張所"/>
    <s v="消防局"/>
    <x v="8"/>
    <x v="8"/>
    <s v="G500101"/>
    <s v="伊丹市池尻3丁目55番地"/>
    <s v="行政財産"/>
    <s v="01行政系施設"/>
    <s v="03消防施設"/>
    <s v="消防組織法、伊丹市消防署の組織等に関する規程"/>
    <s v="1985"/>
    <s v="1985"/>
    <n v="398.44"/>
    <n v="184.68"/>
    <m/>
    <s v="○"/>
    <s v="○"/>
    <s v="16池尻小"/>
    <s v="単独"/>
    <s v="―"/>
    <s v="―"/>
    <s v="―"/>
    <s v="―"/>
    <s v="―"/>
    <s v="―"/>
    <s v="―"/>
    <m/>
    <s v="市有"/>
    <m/>
    <s v="市有"/>
    <m/>
    <s v="警防隊を設置し、管内の災害の警戒防御・火災原因等調査・地水利管理・消防訓練・各種願届・自主防災組織等の育成指導を行う。"/>
    <s v="―"/>
    <s v="―"/>
    <s v="―"/>
    <s v="―"/>
    <s v="―"/>
    <s v="―"/>
    <s v="―"/>
    <s v="準住居"/>
    <s v="60"/>
    <s v="200"/>
    <m/>
    <s v="３種"/>
    <m/>
    <m/>
    <s v="直営"/>
    <m/>
    <m/>
    <m/>
    <m/>
    <m/>
    <m/>
    <m/>
    <n v="0"/>
    <n v="34824"/>
    <n v="22829"/>
    <n v="11995"/>
    <n v="685"/>
    <n v="0.65600000000000003"/>
    <m/>
    <m/>
    <m/>
    <m/>
    <x v="0"/>
    <s v="○"/>
    <n v="184.68"/>
  </r>
  <r>
    <s v="016"/>
    <s v="0903"/>
    <s v="神津出張所"/>
    <s v="消防局"/>
    <x v="8"/>
    <x v="8"/>
    <s v="G500101"/>
    <s v="伊丹市森本2丁目142番1号"/>
    <s v="行政財産"/>
    <s v="01行政系施設"/>
    <s v="03消防施設"/>
    <s v="消防組織法、伊丹市消防署の組織等に関する規程"/>
    <s v="1985"/>
    <s v="1985"/>
    <n v="614.86"/>
    <n v="183.18"/>
    <m/>
    <s v="○"/>
    <s v="○"/>
    <s v="04神津小"/>
    <s v="単独"/>
    <s v="―"/>
    <s v="―"/>
    <s v="―"/>
    <s v="―"/>
    <s v="―"/>
    <s v="―"/>
    <s v="―"/>
    <m/>
    <s v="市有"/>
    <m/>
    <s v="市有"/>
    <m/>
    <s v="警防隊を設置し、管内の災害の警戒防御・火災原因等調査・地水利管理・消防訓練・各種願届・自主防災組織等の育成指導を行う。"/>
    <s v="―"/>
    <s v="―"/>
    <s v="―"/>
    <s v="―"/>
    <s v="―"/>
    <s v="―"/>
    <s v="―"/>
    <s v="第2種住居"/>
    <s v="60"/>
    <s v="200"/>
    <m/>
    <s v="３種"/>
    <m/>
    <m/>
    <s v="直営"/>
    <m/>
    <m/>
    <m/>
    <m/>
    <m/>
    <m/>
    <m/>
    <n v="0"/>
    <n v="46677"/>
    <n v="30202"/>
    <n v="16475"/>
    <n v="1018"/>
    <n v="0.64700000000000002"/>
    <m/>
    <m/>
    <m/>
    <m/>
    <x v="0"/>
    <s v="○"/>
    <n v="183.18"/>
  </r>
  <r>
    <s v="017"/>
    <s v="0907"/>
    <s v="南野出張所"/>
    <s v="消防局"/>
    <x v="8"/>
    <x v="8"/>
    <s v="G500101"/>
    <s v="伊丹市南鈴原2丁目１番地"/>
    <s v="行政財産"/>
    <s v="01行政系施設"/>
    <s v="03消防施設"/>
    <s v="消防組織法、伊丹市消防署の組織等に関する規程"/>
    <s v="1985"/>
    <s v="1985"/>
    <n v="357.41"/>
    <n v="290.92"/>
    <m/>
    <s v="○"/>
    <s v="○"/>
    <s v="14鈴原小"/>
    <s v="単独"/>
    <s v="―"/>
    <s v="―"/>
    <s v="―"/>
    <s v="―"/>
    <s v="―"/>
    <s v="―"/>
    <s v="―"/>
    <m/>
    <s v="市有"/>
    <m/>
    <s v="市有"/>
    <m/>
    <s v="警防隊、救急隊を設置し、管内の災害の警戒防御・火災原因等調査・地水利管理・消防訓練・各種願届・自主防災組織等の育成指導、また救急業務・救急法普及・救急技術訓練を行う。"/>
    <s v="―"/>
    <s v="―"/>
    <s v="―"/>
    <s v="―"/>
    <s v="―"/>
    <s v="―"/>
    <s v="―"/>
    <s v="第1種低層住居専用"/>
    <s v="50"/>
    <s v="100"/>
    <m/>
    <s v="１種"/>
    <m/>
    <m/>
    <s v="直営"/>
    <m/>
    <m/>
    <m/>
    <m/>
    <m/>
    <m/>
    <m/>
    <n v="0"/>
    <n v="91275"/>
    <n v="44889"/>
    <n v="46386"/>
    <n v="2131"/>
    <n v="0.49199999999999999"/>
    <m/>
    <m/>
    <m/>
    <m/>
    <x v="0"/>
    <s v="○"/>
    <n v="290.92"/>
  </r>
  <r>
    <s v="018"/>
    <s v="0904"/>
    <s v="荒牧出張所"/>
    <s v="消防局"/>
    <x v="8"/>
    <x v="8"/>
    <s v="G500101"/>
    <s v="伊丹市北野1丁目9番地"/>
    <s v="行政財産"/>
    <s v="01行政系施設"/>
    <s v="03消防施設"/>
    <s v="消防組織法、伊丹市消防署の組織等に関する規程"/>
    <s v="1987"/>
    <s v="1987"/>
    <n v="487.42"/>
    <n v="309.38"/>
    <m/>
    <s v="○"/>
    <s v="○"/>
    <s v="07天神川小"/>
    <s v="単独"/>
    <s v="―"/>
    <s v="―"/>
    <s v="―"/>
    <s v="―"/>
    <s v="―"/>
    <s v="―"/>
    <s v="―"/>
    <m/>
    <s v="市有"/>
    <m/>
    <s v="市有"/>
    <m/>
    <s v="警防隊、救急隊を設置し、管内の災害の警戒防御・火災原因等調査・地水利管理・消防訓練・各種願届・自主防災組織等の育成指導、また救急業務・救急法普及・救急技術訓練を行う。"/>
    <s v="―"/>
    <s v="―"/>
    <s v="―"/>
    <s v="―"/>
    <s v="―"/>
    <s v="―"/>
    <s v="―"/>
    <s v="第2種住居"/>
    <s v="60"/>
    <s v="200"/>
    <m/>
    <s v="３種"/>
    <m/>
    <m/>
    <s v="直営"/>
    <m/>
    <m/>
    <m/>
    <m/>
    <m/>
    <m/>
    <m/>
    <n v="0"/>
    <n v="84117"/>
    <n v="42936"/>
    <n v="41181"/>
    <n v="1784"/>
    <n v="0.51"/>
    <m/>
    <m/>
    <m/>
    <m/>
    <x v="0"/>
    <s v="○"/>
    <n v="309.38"/>
  </r>
  <r>
    <s v="019"/>
    <s v="0913"/>
    <s v="内台分団車庫"/>
    <s v="消防局"/>
    <x v="8"/>
    <x v="8"/>
    <s v="G500101"/>
    <s v="伊丹市伊丹7丁目3番39号"/>
    <s v="行政財産"/>
    <s v="01行政系施設"/>
    <s v="03消防施設"/>
    <s v="消防組織法、伊丹市消防団規則"/>
    <s v="2014"/>
    <s v="2014"/>
    <n v="93.87"/>
    <n v="79.459999999999994"/>
    <m/>
    <s v="○"/>
    <s v="○"/>
    <s v="10有岡小"/>
    <s v="単独"/>
    <s v="―"/>
    <s v="―"/>
    <s v="―"/>
    <s v="―"/>
    <s v="―"/>
    <s v="―"/>
    <s v="―"/>
    <m/>
    <s v="市有"/>
    <m/>
    <s v="市有"/>
    <m/>
    <s v="消防団の地域における消防活動を支援するための防災拠点施設。ポンプ車などの消防設備を配備。"/>
    <s v="―"/>
    <s v="―"/>
    <s v="―"/>
    <s v="―"/>
    <s v="―"/>
    <s v="―"/>
    <s v="―"/>
    <s v="第1種住居"/>
    <s v="60"/>
    <s v="200"/>
    <m/>
    <s v="３種"/>
    <m/>
    <m/>
    <s v="直営"/>
    <m/>
    <m/>
    <m/>
    <m/>
    <m/>
    <m/>
    <m/>
    <n v="0"/>
    <n v="4768"/>
    <n v="629"/>
    <n v="4138"/>
    <n v="154"/>
    <n v="0.13200000000000001"/>
    <m/>
    <m/>
    <m/>
    <m/>
    <x v="0"/>
    <s v="○"/>
    <n v="79.459999999999994"/>
  </r>
  <r>
    <s v="020"/>
    <s v="0908"/>
    <s v="池尻分団車庫"/>
    <s v="消防局"/>
    <x v="8"/>
    <x v="8"/>
    <s v="G500101"/>
    <s v="伊丹市池尻6丁目163番地"/>
    <s v="行政財産"/>
    <s v="01行政系施設"/>
    <s v="03消防施設"/>
    <s v="消防組織法、伊丹市消防団規則"/>
    <s v="1999"/>
    <s v="1999"/>
    <n v="89.78"/>
    <n v="88.72"/>
    <m/>
    <s v="○"/>
    <s v="○"/>
    <s v="16池尻小"/>
    <s v="単独"/>
    <s v="―"/>
    <s v="―"/>
    <s v="―"/>
    <s v="―"/>
    <s v="―"/>
    <s v="―"/>
    <s v="―"/>
    <m/>
    <s v="市有"/>
    <m/>
    <s v="市有"/>
    <m/>
    <s v="消防団の地域における消防活動を支援するための防災拠点施設。ポンプ車などの消防設備を配備。"/>
    <s v="―"/>
    <s v="―"/>
    <s v="―"/>
    <s v="―"/>
    <s v="―"/>
    <s v="―"/>
    <s v="―"/>
    <s v="第1種中高層住居専用"/>
    <s v="60"/>
    <s v="200"/>
    <m/>
    <s v="２種"/>
    <m/>
    <m/>
    <s v="直営"/>
    <m/>
    <m/>
    <m/>
    <m/>
    <m/>
    <m/>
    <m/>
    <n v="0"/>
    <n v="21840"/>
    <n v="10025"/>
    <n v="11815"/>
    <n v="575"/>
    <n v="0.45900000000000002"/>
    <m/>
    <m/>
    <m/>
    <m/>
    <x v="0"/>
    <s v="○"/>
    <n v="88.72"/>
  </r>
  <r>
    <s v="021"/>
    <s v="0909"/>
    <s v="中野分団車庫"/>
    <s v="消防局"/>
    <x v="8"/>
    <x v="8"/>
    <s v="G500101"/>
    <s v="伊丹市中野西2丁目137番地"/>
    <s v="行政財産"/>
    <s v="01行政系施設"/>
    <s v="03消防施設"/>
    <s v="消防組織法、伊丹市消防団規則"/>
    <s v="2001"/>
    <s v="2001"/>
    <n v="138.84"/>
    <n v="100.97"/>
    <m/>
    <s v="○"/>
    <s v="○"/>
    <s v="06桜台小"/>
    <s v="単独"/>
    <s v="―"/>
    <s v="―"/>
    <s v="―"/>
    <s v="―"/>
    <s v="―"/>
    <s v="―"/>
    <s v="―"/>
    <m/>
    <s v="市有"/>
    <m/>
    <s v="市有"/>
    <m/>
    <s v="消防団の地域における消防活動を支援するための防災拠点施設。ポンプ車などの消防設備を配備。"/>
    <s v="―"/>
    <s v="―"/>
    <s v="―"/>
    <s v="―"/>
    <s v="―"/>
    <s v="―"/>
    <s v="―"/>
    <s v="第1種中高層住居専用"/>
    <s v="60"/>
    <s v="200"/>
    <m/>
    <s v="２種"/>
    <m/>
    <m/>
    <s v="直営"/>
    <m/>
    <m/>
    <m/>
    <m/>
    <m/>
    <m/>
    <m/>
    <n v="0"/>
    <n v="29116"/>
    <n v="11792"/>
    <n v="17324"/>
    <n v="766"/>
    <n v="0.40500000000000003"/>
    <m/>
    <m/>
    <m/>
    <m/>
    <x v="0"/>
    <s v="○"/>
    <n v="100.97"/>
  </r>
  <r>
    <s v="022"/>
    <s v="0912"/>
    <s v="東野分団車庫"/>
    <s v="消防局"/>
    <x v="8"/>
    <x v="8"/>
    <s v="G500101"/>
    <s v="伊丹市東野5丁目74番地"/>
    <s v="行政財産"/>
    <s v="01行政系施設"/>
    <s v="03消防施設"/>
    <s v="消防組織法、伊丹市消防団規則"/>
    <s v="2010"/>
    <s v="2010"/>
    <n v="144.83000000000001"/>
    <n v="63"/>
    <m/>
    <s v="○"/>
    <s v="○"/>
    <s v="15荻野小"/>
    <s v="単独"/>
    <s v="―"/>
    <s v="―"/>
    <s v="―"/>
    <s v="―"/>
    <s v="―"/>
    <s v="―"/>
    <s v="―"/>
    <m/>
    <s v="民地"/>
    <s v="東野実行組合"/>
    <s v="市有"/>
    <m/>
    <s v="消防団の地域における消防活動を支援するための防災拠点施設。ポンプ車などの消防設備を配備。"/>
    <s v="―"/>
    <s v="―"/>
    <s v="―"/>
    <s v="―"/>
    <s v="―"/>
    <s v="―"/>
    <s v="―"/>
    <s v="第1種中高層住居専用"/>
    <s v="60"/>
    <s v="200"/>
    <m/>
    <s v="２種"/>
    <m/>
    <m/>
    <s v="直営"/>
    <m/>
    <m/>
    <m/>
    <m/>
    <m/>
    <m/>
    <m/>
    <n v="0"/>
    <n v="14595"/>
    <n v="3371"/>
    <n v="11224"/>
    <n v="471"/>
    <n v="0.23100000000000001"/>
    <m/>
    <m/>
    <m/>
    <m/>
    <x v="0"/>
    <s v="○"/>
    <n v="63"/>
  </r>
  <r>
    <s v="023"/>
    <s v="0914"/>
    <s v="大鹿分団車庫"/>
    <s v="消防局"/>
    <x v="8"/>
    <x v="8"/>
    <s v="G500101"/>
    <s v="伊丹市大鹿3丁目51番3号"/>
    <s v="行政財産"/>
    <s v="01行政系施設"/>
    <s v="03消防施設"/>
    <s v="消防組織法、伊丹市消防団規則"/>
    <s v="2005"/>
    <s v="2005"/>
    <n v="741.64"/>
    <n v="45.75"/>
    <m/>
    <m/>
    <s v="○"/>
    <s v="05緑丘小"/>
    <s v="複合"/>
    <s v="―"/>
    <s v="―"/>
    <s v="―"/>
    <s v="―"/>
    <s v="―"/>
    <s v="―"/>
    <s v="―"/>
    <s v="大鹿交流センター"/>
    <s v="市有"/>
    <m/>
    <s v="市有"/>
    <m/>
    <s v="消防団の地域における消防活動を支援するための防災拠点施設。ポンプ車などの消防設備を配備。"/>
    <s v="―"/>
    <s v="―"/>
    <s v="―"/>
    <s v="―"/>
    <s v="―"/>
    <s v="―"/>
    <s v="―"/>
    <s v="第1種中高層住居専用"/>
    <s v="60"/>
    <s v="200"/>
    <m/>
    <s v="２種"/>
    <m/>
    <m/>
    <s v="直営"/>
    <m/>
    <m/>
    <m/>
    <m/>
    <m/>
    <m/>
    <m/>
    <n v="0"/>
    <n v="10834"/>
    <n v="7670"/>
    <n v="3164"/>
    <n v="637"/>
    <n v="0.70799999999999996"/>
    <m/>
    <m/>
    <m/>
    <m/>
    <x v="0"/>
    <s v="○"/>
    <n v="45.75"/>
  </r>
  <r>
    <s v="024"/>
    <s v="0911"/>
    <s v="下河原分団車庫"/>
    <s v="消防局"/>
    <x v="8"/>
    <x v="8"/>
    <s v="G500101"/>
    <s v="伊丹市下河原2丁目11番63号"/>
    <s v="行政財産"/>
    <s v="01行政系施設"/>
    <s v="03消防施設"/>
    <s v="消防組織法、伊丹市消防団規則"/>
    <s v="2007"/>
    <s v="2007"/>
    <n v="104.28"/>
    <n v="54.82"/>
    <m/>
    <s v="○"/>
    <s v="○"/>
    <s v="05緑丘小"/>
    <s v="単独"/>
    <s v="―"/>
    <s v="―"/>
    <s v="―"/>
    <s v="―"/>
    <s v="―"/>
    <s v="―"/>
    <s v="―"/>
    <m/>
    <s v="民地"/>
    <s v="浄源寺"/>
    <s v="市有"/>
    <m/>
    <s v="消防団の地域における消防活動を支援するための防災拠点施設。ポンプ車などの消防設備を配備。"/>
    <s v="―"/>
    <s v="―"/>
    <s v="―"/>
    <s v="―"/>
    <s v="―"/>
    <s v="―"/>
    <s v="―"/>
    <s v="準工業"/>
    <s v="60"/>
    <s v="200"/>
    <m/>
    <m/>
    <m/>
    <m/>
    <s v="直営"/>
    <m/>
    <m/>
    <m/>
    <m/>
    <m/>
    <m/>
    <m/>
    <n v="0"/>
    <n v="15750"/>
    <n v="4678"/>
    <n v="11072"/>
    <n v="508"/>
    <n v="0.29699999999999999"/>
    <m/>
    <m/>
    <m/>
    <m/>
    <x v="0"/>
    <s v="○"/>
    <n v="54.82"/>
  </r>
  <r>
    <s v="025"/>
    <s v="0204"/>
    <s v="北河原センター"/>
    <s v="市民自治部"/>
    <x v="7"/>
    <x v="7"/>
    <s v="G041100"/>
    <s v="伊丹市北河原2丁目8番6号"/>
    <s v="行政財産"/>
    <s v="02集会施設"/>
    <s v="01共同利用施設"/>
    <s v="伊丹市共同利用施設等条例,公共用飛行場周辺における航空機騒音による障害の防止等に関する法律"/>
    <s v="1971"/>
    <s v="1971"/>
    <n v="245.27199999999999"/>
    <n v="154.13999999999999"/>
    <m/>
    <s v="○"/>
    <s v="○"/>
    <s v="01伊丹小"/>
    <s v="単独"/>
    <s v="○"/>
    <s v="○"/>
    <s v="―"/>
    <s v="○"/>
    <s v="○"/>
    <s v="○"/>
    <s v="37"/>
    <m/>
    <s v="市有"/>
    <s v=""/>
    <s v="市有"/>
    <m/>
    <s v="地域の集会や活動に利用される地域利用型のコミュニティ施設。"/>
    <s v="○"/>
    <s v=""/>
    <s v="○"/>
    <s v=""/>
    <s v=""/>
    <s v=""/>
    <s v="―"/>
    <s v="準工業"/>
    <s v="60"/>
    <s v="200"/>
    <s v="大規模集客施設立地規制"/>
    <s v=""/>
    <m/>
    <m/>
    <s v="指管"/>
    <s v="北河原センター管理運営委員会"/>
    <d v="2016-04-01T00:00:00"/>
    <d v="2021-03-31T00:00:00"/>
    <s v="非公募"/>
    <s v="9:00～21:00"/>
    <s v="日; 祝; 年末年始"/>
    <s v="１階保育室,２階集会室"/>
    <n v="0"/>
    <n v="45186"/>
    <n v="37324"/>
    <n v="7863"/>
    <n v="408"/>
    <n v="0.82599999999999996"/>
    <m/>
    <m/>
    <m/>
    <m/>
    <x v="0"/>
    <s v="○"/>
    <n v="154.13999999999999"/>
  </r>
  <r>
    <s v="026"/>
    <s v="0211"/>
    <s v="西台センター"/>
    <s v="市民自治部"/>
    <x v="7"/>
    <x v="7"/>
    <s v="G041100"/>
    <s v="伊丹市西台2丁目5番6号"/>
    <s v="行政財産"/>
    <s v="02集会施設"/>
    <s v="01共同利用施設"/>
    <s v="伊丹市共同利用施設等条例,公共用飛行場周辺における航空機騒音による障害の防止等に関する法律"/>
    <s v="1973"/>
    <s v="1973"/>
    <n v="281.21499999999997"/>
    <n v="131"/>
    <m/>
    <s v="○"/>
    <s v="○"/>
    <s v="01伊丹小"/>
    <s v="単独"/>
    <s v="―"/>
    <s v="○"/>
    <s v="―"/>
    <s v="○"/>
    <s v="○"/>
    <s v="○"/>
    <s v="49"/>
    <m/>
    <s v="市有"/>
    <s v=""/>
    <s v="市有"/>
    <m/>
    <s v="地域の集会や活動に利用される地域利用型のコミュニティ施設。"/>
    <s v="○"/>
    <s v=""/>
    <s v="○"/>
    <s v=""/>
    <s v=""/>
    <s v=""/>
    <s v="―"/>
    <s v="近隣商業"/>
    <s v="80"/>
    <s v="300"/>
    <s v=""/>
    <s v=""/>
    <s v="準防火"/>
    <m/>
    <s v="指管"/>
    <s v="西台センター管理運営委員会"/>
    <d v="2016-04-01T00:00:00"/>
    <d v="2021-03-31T00:00:00"/>
    <s v="非公募"/>
    <s v="9:00～21:00"/>
    <s v="日; 祝; 年末年始"/>
    <s v="会議室,休養室"/>
    <n v="0"/>
    <n v="33144"/>
    <n v="30838"/>
    <n v="2306"/>
    <n v="705"/>
    <n v="0.93"/>
    <m/>
    <m/>
    <m/>
    <m/>
    <x v="0"/>
    <s v="○"/>
    <n v="131"/>
  </r>
  <r>
    <s v="027"/>
    <s v="0226"/>
    <s v="くすのきセンター"/>
    <s v="市民自治部"/>
    <x v="7"/>
    <x v="7"/>
    <s v="G041100"/>
    <s v="伊丹市北本町1丁目302番地"/>
    <s v="行政財産"/>
    <s v="02集会施設"/>
    <s v="01共同利用施設"/>
    <s v="伊丹市共同利用施設等条例,公共用飛行場周辺における航空機騒音による障害の防止等に関する法律"/>
    <s v="1975"/>
    <s v="1975"/>
    <n v="782.54"/>
    <n v="328.56"/>
    <m/>
    <s v="○"/>
    <s v="○"/>
    <s v="01伊丹小"/>
    <s v="単独"/>
    <s v="○"/>
    <s v="○"/>
    <s v="―"/>
    <s v="○"/>
    <s v="○"/>
    <s v="―"/>
    <s v="―"/>
    <m/>
    <s v="市有"/>
    <s v=""/>
    <s v="市有"/>
    <m/>
    <s v="地域の集会や活動に利用される地域利用型のコミュニティ施設。"/>
    <s v="○"/>
    <s v=""/>
    <s v="○"/>
    <s v=""/>
    <s v=""/>
    <s v=""/>
    <s v="―"/>
    <s v="準工業"/>
    <s v="60"/>
    <s v="200"/>
    <s v="大規模集客施設立地規制"/>
    <s v=""/>
    <m/>
    <m/>
    <s v="指管"/>
    <s v="くすのきセンター管理運営委員会"/>
    <d v="2016-04-01T00:00:00"/>
    <d v="2021-03-31T00:00:00"/>
    <s v="非公募"/>
    <s v="9:00～21:00"/>
    <s v="日; 祝; 年末年始"/>
    <s v="１階集会室,２階休養室１,２階休養室２,２階学習室"/>
    <n v="0"/>
    <n v="87142"/>
    <n v="72711"/>
    <n v="14431"/>
    <n v="1854"/>
    <n v="0.83399999999999996"/>
    <m/>
    <m/>
    <m/>
    <m/>
    <x v="0"/>
    <s v="○"/>
    <n v="328.56"/>
  </r>
  <r>
    <s v="028"/>
    <s v="0228"/>
    <s v="当田藤ﾉ木センター"/>
    <s v="市民自治部"/>
    <x v="7"/>
    <x v="7"/>
    <s v="G041100"/>
    <s v="伊丹市藤ﾉ木3丁目5番1号"/>
    <s v="行政財産"/>
    <s v="02集会施設"/>
    <s v="01共同利用施設"/>
    <s v="伊丹市共同利用施設等条例,公共用飛行場周辺における航空機騒音による障害の防止等に関する法律"/>
    <s v="1976"/>
    <s v="1976"/>
    <n v="248.46"/>
    <n v="175.92"/>
    <m/>
    <s v="○"/>
    <s v="○"/>
    <s v="01伊丹小"/>
    <s v="単独"/>
    <s v="○"/>
    <s v="○"/>
    <s v="―"/>
    <s v="○"/>
    <s v="○"/>
    <s v="―"/>
    <s v="―"/>
    <m/>
    <s v="市有"/>
    <s v=""/>
    <s v="市有"/>
    <m/>
    <s v="地域の集会や活動に利用される地域利用型のコミュニティ施設。"/>
    <s v="○"/>
    <s v=""/>
    <s v="○"/>
    <s v=""/>
    <s v=""/>
    <s v=""/>
    <s v="―"/>
    <s v="準工業"/>
    <s v="60"/>
    <s v="200"/>
    <s v="大規模集客施設立地規制"/>
    <s v=""/>
    <m/>
    <m/>
    <s v="指管"/>
    <s v="当田藤ノ木センター管理運営委員会"/>
    <d v="2016-04-01T00:00:00"/>
    <d v="2021-03-31T00:00:00"/>
    <s v="非公募"/>
    <s v="9:00～21:00"/>
    <s v="日; 祝; 年末年始"/>
    <s v="１階集会室,２階休養室"/>
    <n v="0"/>
    <n v="48114"/>
    <n v="32345"/>
    <n v="15768"/>
    <n v="1024"/>
    <n v="0.67200000000000004"/>
    <m/>
    <m/>
    <m/>
    <m/>
    <x v="0"/>
    <s v="○"/>
    <n v="175.92"/>
  </r>
  <r>
    <s v="029"/>
    <s v="0243"/>
    <s v="あじさいセンター"/>
    <s v="市民自治部"/>
    <x v="7"/>
    <x v="7"/>
    <s v="G041100"/>
    <s v="伊丹市宮ノ前3丁目6番1号"/>
    <s v="行政財産"/>
    <s v="02集会施設"/>
    <s v="01共同利用施設"/>
    <s v="伊丹市共同利用施設等条例,公共用飛行場周辺における航空機騒音による障害の防止等に関する法律"/>
    <s v="1981"/>
    <s v="1981"/>
    <n v="726.74"/>
    <n v="328.06"/>
    <m/>
    <s v="○"/>
    <s v="○"/>
    <s v="01伊丹小"/>
    <s v="単独"/>
    <s v="○"/>
    <s v="○"/>
    <s v="○"/>
    <s v="○"/>
    <s v="○"/>
    <s v="○"/>
    <s v="38"/>
    <m/>
    <s v="民地"/>
    <s v="猪名野神社"/>
    <s v="市有"/>
    <m/>
    <s v="地域の集会や活動に利用される地域利用型のコミュニティ施設。"/>
    <s v="○"/>
    <s v=""/>
    <s v="○"/>
    <s v="○"/>
    <s v=""/>
    <s v=""/>
    <s v="―"/>
    <s v="第2種中高層住居専用"/>
    <s v="60"/>
    <s v="200"/>
    <s v=""/>
    <s v="２種"/>
    <m/>
    <s v="景観条例・伊丹郷町地区"/>
    <s v="指管"/>
    <s v="あじさいセンター管理運営委員会"/>
    <d v="2016-04-01T00:00:00"/>
    <d v="2021-03-31T00:00:00"/>
    <s v="非公募"/>
    <s v="9:00～21:00"/>
    <s v="日; 祝; 年末年始"/>
    <s v="１階学習室,１階休養室,２階集会室"/>
    <n v="0"/>
    <n v="83773"/>
    <n v="62019"/>
    <n v="21754"/>
    <n v="1782"/>
    <n v="0.74"/>
    <m/>
    <m/>
    <m/>
    <m/>
    <x v="0"/>
    <s v="○"/>
    <n v="328.06"/>
  </r>
  <r>
    <s v="030"/>
    <s v="0257"/>
    <s v="中央コミュニティセンター"/>
    <s v="市民自治部"/>
    <x v="7"/>
    <x v="7"/>
    <s v="G041100"/>
    <s v="伊丹市中央6丁目3番7号"/>
    <s v="行政財産"/>
    <s v="02集会施設"/>
    <s v="01共同利用施設"/>
    <s v="伊丹市共同利用施設等条例、コミュニティ助成事業実施要綱第２の１の(２)コミュニティセンター助成事業"/>
    <s v="1985"/>
    <s v="1985"/>
    <n v="440.1"/>
    <n v="266.55"/>
    <m/>
    <s v="○"/>
    <s v="○"/>
    <s v="01伊丹小"/>
    <s v="単独"/>
    <s v="○"/>
    <s v="○"/>
    <s v="○"/>
    <s v="○"/>
    <s v="○"/>
    <s v="○"/>
    <s v="1"/>
    <m/>
    <s v="市有"/>
    <s v=""/>
    <s v="市有"/>
    <m/>
    <s v="地域の集会や活動に利用される地域利用型のコミュニティ施設。"/>
    <s v="○"/>
    <s v=""/>
    <s v="○"/>
    <s v=""/>
    <s v=""/>
    <s v=""/>
    <s v="―"/>
    <s v="商業"/>
    <s v="80"/>
    <s v="400"/>
    <s v=""/>
    <s v=""/>
    <s v="準防火"/>
    <s v="景観条例・伊丹郷町地区"/>
    <s v="指管"/>
    <s v="中央コミュニティセンター管理運営委員会"/>
    <d v="2016-04-01T00:00:00"/>
    <d v="2021-03-31T00:00:00"/>
    <s v="非公募"/>
    <s v="9:00～21:00"/>
    <s v="日; 祝; 年末年始"/>
    <s v="１階和室,２階集会室"/>
    <n v="0"/>
    <n v="82423"/>
    <n v="50463"/>
    <n v="31960"/>
    <n v="2002"/>
    <n v="0.61199999999999999"/>
    <m/>
    <m/>
    <m/>
    <m/>
    <x v="0"/>
    <s v="○"/>
    <n v="266.55"/>
  </r>
  <r>
    <s v="031"/>
    <s v="0267"/>
    <s v="桜ヶ丘コミュニティセンター"/>
    <s v="市民自治部"/>
    <x v="7"/>
    <x v="7"/>
    <s v="G041100"/>
    <s v="伊丹市桜ヶ丘2丁目3番3号"/>
    <s v="行政財産"/>
    <s v="02集会施設"/>
    <s v="01共同利用施設"/>
    <s v="伊丹市共同利用施設等条例、コミュニティ助成事業実施要綱第２の１の(２)コミュニティセンター助成事業"/>
    <s v="1990"/>
    <s v="1990"/>
    <n v="369.36"/>
    <n v="168.89"/>
    <m/>
    <s v="○"/>
    <s v="○"/>
    <s v="01伊丹小"/>
    <s v="単独"/>
    <s v="○"/>
    <s v="○"/>
    <s v="○"/>
    <s v="○"/>
    <s v="○"/>
    <s v="―"/>
    <s v="―"/>
    <m/>
    <s v="市有"/>
    <s v=""/>
    <s v="市有"/>
    <m/>
    <s v="地域の集会や活動に利用される地域利用型のコミュニティ施設。"/>
    <s v="○"/>
    <s v=""/>
    <s v=""/>
    <s v=""/>
    <s v=""/>
    <s v=""/>
    <s v="―"/>
    <s v="第1種低層住居専用"/>
    <s v="50"/>
    <s v="100"/>
    <s v=""/>
    <s v="１種"/>
    <m/>
    <m/>
    <s v="指管"/>
    <s v="桜ヶ丘コミュニティセンター管理運営委員会"/>
    <d v="2016-04-01T00:00:00"/>
    <d v="2021-03-31T00:00:00"/>
    <s v="非公募"/>
    <s v="9:00～21:00"/>
    <s v="日; 祝; 年末年始"/>
    <s v="集会室,和室"/>
    <n v="0"/>
    <n v="61780"/>
    <n v="35155"/>
    <n v="26624"/>
    <n v="1585"/>
    <n v="0.56899999999999995"/>
    <m/>
    <m/>
    <m/>
    <m/>
    <x v="0"/>
    <s v="○"/>
    <n v="168.89"/>
  </r>
  <r>
    <s v="032"/>
    <s v="0237"/>
    <s v="昆陽池センター"/>
    <s v="市民自治部"/>
    <x v="9"/>
    <x v="9"/>
    <s v="G044300"/>
    <s v="伊丹市昆陽池3丁目3番地"/>
    <s v="行政財産"/>
    <s v="02集会施設"/>
    <s v="01共同利用施設"/>
    <s v="伊丹市共同利用施設等条例,公共用飛行場周辺における航空機騒音による障害の防止等に関する法律"/>
    <s v="1979"/>
    <s v="1979"/>
    <n v="278000"/>
    <n v="504"/>
    <m/>
    <m/>
    <s v="○"/>
    <s v="02稲野小"/>
    <s v="単独"/>
    <s v="○"/>
    <s v="○"/>
    <s v="―"/>
    <s v="○"/>
    <s v="○"/>
    <s v="―"/>
    <s v="―"/>
    <m/>
    <s v="市有"/>
    <s v=""/>
    <s v="市有"/>
    <m/>
    <s v="公園来園者の休憩の場として利用される施設。"/>
    <s v="○"/>
    <s v="―"/>
    <s v="○"/>
    <s v="―"/>
    <s v="―"/>
    <s v="―"/>
    <s v="―"/>
    <s v="第2種住居"/>
    <s v="60"/>
    <s v="200"/>
    <m/>
    <s v="３種"/>
    <m/>
    <s v="昆陽池風致地区"/>
    <s v="直営"/>
    <m/>
    <m/>
    <m/>
    <m/>
    <s v="9:00～17:00"/>
    <s v="日; 祝; 年末年始"/>
    <s v="集会室,休養室,展望室,展示室"/>
    <n v="0"/>
    <n v="118440"/>
    <n v="99016"/>
    <n v="19424"/>
    <n v="2520"/>
    <n v="0.83599999999999997"/>
    <m/>
    <m/>
    <m/>
    <m/>
    <x v="0"/>
    <s v="○"/>
    <n v="504"/>
  </r>
  <r>
    <s v="033"/>
    <s v="0254"/>
    <s v="昆陽センター"/>
    <s v="市民自治部"/>
    <x v="7"/>
    <x v="7"/>
    <s v="G041100"/>
    <s v="伊丹市昆陽4丁目127番地"/>
    <s v="行政財産"/>
    <s v="02集会施設"/>
    <s v="01共同利用施設"/>
    <s v="伊丹市共同利用施設等条例,公共用飛行場周辺における航空機騒音による障害の防止等に関する法律"/>
    <s v="1984"/>
    <s v="1984"/>
    <n v="523.94000000000005"/>
    <n v="383.71"/>
    <m/>
    <s v="○"/>
    <s v="○"/>
    <s v="02稲野小"/>
    <s v="単独"/>
    <s v="○"/>
    <s v="○"/>
    <s v="○"/>
    <s v="○"/>
    <s v="○"/>
    <s v="○"/>
    <s v="33"/>
    <m/>
    <s v="民地"/>
    <s v="昆陽農業協同組合"/>
    <s v="市有"/>
    <m/>
    <s v="地域の集会や活動に利用される地域利用型のコミュニティ施設。"/>
    <s v="○"/>
    <s v=""/>
    <s v="○"/>
    <s v=""/>
    <s v="○"/>
    <s v="○"/>
    <s v="―"/>
    <s v="近隣商業"/>
    <s v="80"/>
    <s v="200"/>
    <s v=""/>
    <s v="３種"/>
    <m/>
    <m/>
    <s v="指管"/>
    <s v="昆陽センター管理運営委員会"/>
    <d v="2016-04-01T00:00:00"/>
    <d v="2021-03-31T00:00:00"/>
    <s v="非公募"/>
    <s v="9:00～21:00"/>
    <s v="日; 祝; 年末年始"/>
    <s v="１階集会室,２階休養室,２階学習室,１階調理室"/>
    <n v="0"/>
    <n v="100631"/>
    <n v="65459"/>
    <n v="35172"/>
    <n v="2141"/>
    <n v="0.65"/>
    <m/>
    <m/>
    <m/>
    <m/>
    <x v="0"/>
    <s v="○"/>
    <n v="383.71"/>
  </r>
  <r>
    <s v="034"/>
    <s v="0255"/>
    <s v="千僧堂ﾉ前センター"/>
    <s v="市民自治部"/>
    <x v="7"/>
    <x v="7"/>
    <s v="G041100"/>
    <s v="伊丹市千僧6丁目103番地の6"/>
    <s v="行政財産"/>
    <s v="02集会施設"/>
    <s v="01共同利用施設"/>
    <s v="伊丹市共同利用施設等条例,公共用飛行場周辺における航空機騒音による障害の防止等に関する法律"/>
    <s v="1985"/>
    <s v="1985"/>
    <n v="263.39"/>
    <n v="130.96"/>
    <m/>
    <s v="○"/>
    <s v="○"/>
    <s v="02稲野小"/>
    <s v="単独"/>
    <s v="―"/>
    <s v="○"/>
    <s v="○"/>
    <s v="○"/>
    <s v="○"/>
    <s v="―"/>
    <s v="―"/>
    <m/>
    <s v="市有"/>
    <s v=""/>
    <s v="市有"/>
    <m/>
    <s v="地域の集会や活動に利用される地域利用型のコミュニティ施設。"/>
    <s v="○"/>
    <s v=""/>
    <s v="○"/>
    <s v=""/>
    <s v=""/>
    <s v=""/>
    <s v="―"/>
    <s v="第1種低層住居専用"/>
    <s v="50"/>
    <s v="100"/>
    <s v=""/>
    <s v="１種"/>
    <m/>
    <m/>
    <s v="指管"/>
    <s v="千僧堂の前センター管理運営委員会"/>
    <d v="2016-04-01T00:00:00"/>
    <d v="2021-03-31T00:00:00"/>
    <s v="非公募"/>
    <s v="9:00～21:00"/>
    <s v="日; 祝; 年末年始"/>
    <s v="集会室,休養室"/>
    <n v="1"/>
    <n v="30776"/>
    <n v="21666"/>
    <n v="9110"/>
    <n v="655"/>
    <n v="0.70399999999999996"/>
    <m/>
    <m/>
    <m/>
    <m/>
    <x v="0"/>
    <s v="○"/>
    <n v="130.96"/>
  </r>
  <r>
    <s v="035"/>
    <s v="0260"/>
    <s v="松ヶ丘センター"/>
    <s v="市民自治部"/>
    <x v="7"/>
    <x v="7"/>
    <s v="G041100"/>
    <s v="伊丹市松ヶ丘1丁目64番地"/>
    <s v="行政財産"/>
    <s v="02集会施設"/>
    <s v="01共同利用施設"/>
    <s v="伊丹市共同利用施設等条例,公共用飛行場周辺における航空機騒音による障害の防止等に関する法律"/>
    <s v="1987"/>
    <s v="1987"/>
    <n v="170.03"/>
    <n v="99.38"/>
    <m/>
    <s v="○"/>
    <s v="○"/>
    <s v="02稲野小"/>
    <s v="単独"/>
    <s v="○"/>
    <s v="○"/>
    <s v="○"/>
    <s v="○"/>
    <s v="○"/>
    <s v="―"/>
    <s v="―"/>
    <m/>
    <s v="市有"/>
    <s v=""/>
    <s v="市有"/>
    <m/>
    <s v="地域の集会や活動に利用される地域利用型のコミュニティ施設。"/>
    <s v="○"/>
    <s v=""/>
    <s v="○"/>
    <s v=""/>
    <s v=""/>
    <s v=""/>
    <s v="―"/>
    <s v="第2種低層住居専用"/>
    <s v="60"/>
    <s v="150"/>
    <s v=""/>
    <s v="２種"/>
    <m/>
    <m/>
    <s v="指管"/>
    <s v="松ヶ丘センター管理運営委員会"/>
    <d v="2016-04-01T00:00:00"/>
    <d v="2021-03-31T00:00:00"/>
    <s v="非公募"/>
    <s v="9:00～21:00"/>
    <s v="日; 祝; 年末年始"/>
    <s v="集会室,休養室"/>
    <n v="0"/>
    <n v="38555"/>
    <n v="26912"/>
    <n v="11643"/>
    <n v="1083"/>
    <n v="0.69799999999999995"/>
    <m/>
    <m/>
    <m/>
    <m/>
    <x v="0"/>
    <s v="○"/>
    <n v="99.38"/>
  </r>
  <r>
    <s v="036"/>
    <s v="0207"/>
    <s v="南センター"/>
    <s v="市民自治部"/>
    <x v="7"/>
    <x v="7"/>
    <s v="G041100"/>
    <s v="伊丹市御願塚3丁目8番11号"/>
    <s v="行政財産"/>
    <s v="02集会施設"/>
    <s v="01共同利用施設"/>
    <s v="伊丹市共同利用施設等条例,公共用飛行場周辺における航空機騒音による障害の防止等に関する法律"/>
    <s v="1971"/>
    <s v="1971"/>
    <n v="572.16"/>
    <n v="549.86"/>
    <m/>
    <s v="○"/>
    <s v="○"/>
    <s v="03南小"/>
    <s v="複合"/>
    <s v="○"/>
    <s v="○"/>
    <s v="―"/>
    <s v="○"/>
    <s v="○"/>
    <s v="―"/>
    <s v="―"/>
    <s v="南分室"/>
    <s v="民地"/>
    <s v="御願塚農業協同組合他１"/>
    <s v="市有"/>
    <m/>
    <s v="地域の集会や活動に利用される地域利用型のコミュニティ施設。"/>
    <s v="○"/>
    <s v="○"/>
    <s v="○"/>
    <s v=""/>
    <s v="○"/>
    <s v="○"/>
    <s v="―"/>
    <s v="第1種低層住居専用"/>
    <s v="50"/>
    <s v="100"/>
    <s v=""/>
    <s v="１種"/>
    <m/>
    <m/>
    <s v="直営"/>
    <m/>
    <m/>
    <m/>
    <m/>
    <s v="9:00～21:00"/>
    <s v="日; 祝; 年末年始"/>
    <s v="１階集会室,１階学習室,１階休養室,２階休養室,２階集会室,２階実習室,２階保育室"/>
    <n v="2"/>
    <n v="146855"/>
    <n v="129089"/>
    <n v="17766"/>
    <n v="1667"/>
    <n v="0.879"/>
    <m/>
    <m/>
    <m/>
    <m/>
    <x v="0"/>
    <s v="○"/>
    <n v="549.86"/>
  </r>
  <r>
    <s v="037"/>
    <s v="0221"/>
    <s v="稲野東センター"/>
    <s v="市民自治部"/>
    <x v="7"/>
    <x v="7"/>
    <s v="G041100"/>
    <s v="伊丹市稲野町2丁目44番地の4"/>
    <s v="行政財産"/>
    <s v="02集会施設"/>
    <s v="01共同利用施設"/>
    <s v="伊丹市共同利用施設等条例,公共用飛行場周辺における航空機騒音による障害の防止等に関する法律"/>
    <s v="1975"/>
    <s v="1975"/>
    <n v="128.33000000000001"/>
    <n v="138"/>
    <m/>
    <s v="○"/>
    <s v="○"/>
    <s v="03南小"/>
    <s v="単独"/>
    <s v="○"/>
    <s v="○"/>
    <s v="―"/>
    <s v="○"/>
    <s v="○"/>
    <s v="―"/>
    <s v="―"/>
    <m/>
    <s v="市有"/>
    <s v=""/>
    <s v="市有"/>
    <m/>
    <s v="地域の集会や活動に利用される地域利用型のコミュニティ施設。"/>
    <s v=""/>
    <s v=""/>
    <s v=""/>
    <s v=""/>
    <s v=""/>
    <s v=""/>
    <s v="―"/>
    <s v="第1種中高層住居専用"/>
    <s v="60"/>
    <s v="200"/>
    <s v=""/>
    <s v="２種"/>
    <m/>
    <m/>
    <s v="指管"/>
    <s v="稲野東センター管理運営委員会"/>
    <d v="2016-04-01T00:00:00"/>
    <d v="2021-03-31T00:00:00"/>
    <s v="非公募"/>
    <s v="9:00～21:00"/>
    <s v="日; 祝; 年末年始"/>
    <s v="１階集会室,２階休養室"/>
    <n v="0"/>
    <n v="36128"/>
    <n v="31592"/>
    <n v="4535"/>
    <n v="769"/>
    <n v="0.874"/>
    <m/>
    <m/>
    <m/>
    <m/>
    <x v="0"/>
    <s v="○"/>
    <n v="138"/>
  </r>
  <r>
    <s v="038"/>
    <s v="0233"/>
    <s v="稲野センター"/>
    <s v="市民自治部"/>
    <x v="7"/>
    <x v="7"/>
    <s v="G041100"/>
    <s v="伊丹市稲野町4丁目46番地"/>
    <s v="行政財産"/>
    <s v="02集会施設"/>
    <s v="01共同利用施設"/>
    <s v="伊丹市共同利用施設等条例,公共用飛行場周辺における航空機騒音による障害の防止等に関する法律"/>
    <s v="1976"/>
    <s v="1976"/>
    <n v="331.91"/>
    <n v="310.62"/>
    <m/>
    <s v="○"/>
    <s v="○"/>
    <s v="03南小"/>
    <s v="単独"/>
    <s v="○"/>
    <s v="○"/>
    <s v="―"/>
    <s v="○"/>
    <s v="○"/>
    <s v="○"/>
    <s v="13"/>
    <m/>
    <s v="市有"/>
    <s v=""/>
    <s v="市有"/>
    <m/>
    <s v="地域の集会や活動に利用される地域利用型のコミュニティ施設。"/>
    <s v="○"/>
    <s v=""/>
    <s v="○"/>
    <s v="○"/>
    <s v=""/>
    <s v=""/>
    <s v="―"/>
    <s v="第1種低層住居専用"/>
    <s v="50"/>
    <s v="100"/>
    <s v=""/>
    <s v="１種"/>
    <m/>
    <m/>
    <s v="指管"/>
    <s v="稲野センター管理運営委員会"/>
    <d v="2016-04-01T00:00:00"/>
    <d v="2021-03-31T00:00:00"/>
    <s v="非公募"/>
    <s v="9:00～21:00"/>
    <s v="日; 祝; 年末年始"/>
    <s v="１階集会室,２階休養室１,２階休養室２,２階学習室"/>
    <n v="2"/>
    <n v="76323"/>
    <n v="55626"/>
    <n v="20698"/>
    <n v="1624"/>
    <n v="0.72899999999999998"/>
    <m/>
    <m/>
    <m/>
    <m/>
    <x v="0"/>
    <s v="○"/>
    <n v="310.62"/>
  </r>
  <r>
    <s v="039"/>
    <s v="0242"/>
    <s v="若菱柏木センター"/>
    <s v="市民自治部"/>
    <x v="7"/>
    <x v="7"/>
    <s v="G041100"/>
    <s v="伊丹市若菱町2丁目3番地"/>
    <s v="行政財産"/>
    <s v="02集会施設"/>
    <s v="01共同利用施設"/>
    <s v="伊丹市共同利用施設等条例,公共用飛行場周辺における航空機騒音による障害の防止等に関する法律"/>
    <s v="1981"/>
    <s v="1981"/>
    <n v="463.62"/>
    <n v="328.44"/>
    <m/>
    <s v="○"/>
    <s v="○"/>
    <s v="03南小"/>
    <s v="単独"/>
    <s v="○"/>
    <s v="○"/>
    <s v="○"/>
    <s v="○"/>
    <s v="○"/>
    <s v="○"/>
    <s v="14"/>
    <m/>
    <s v="市有"/>
    <s v=""/>
    <s v="市有"/>
    <m/>
    <s v="地域の集会や活動に利用される地域利用型のコミュニティ施設。"/>
    <s v="○"/>
    <s v=""/>
    <s v="○"/>
    <s v="○"/>
    <s v=""/>
    <s v=""/>
    <s v="―"/>
    <s v="第1種中高層住居専用"/>
    <s v="60"/>
    <s v="200"/>
    <s v=""/>
    <s v="２種"/>
    <m/>
    <m/>
    <s v="指管"/>
    <s v="若菱柏木センター管理運営委員会"/>
    <d v="2016-04-01T00:00:00"/>
    <d v="2021-03-31T00:00:00"/>
    <s v="非公募"/>
    <s v="9:00～21:00"/>
    <s v="日; 祝; 年末年始"/>
    <s v="１階集会室,２階休養室,２階学習室"/>
    <n v="0"/>
    <n v="77183"/>
    <n v="59431"/>
    <n v="17752"/>
    <n v="1642"/>
    <n v="0.77"/>
    <m/>
    <m/>
    <m/>
    <m/>
    <x v="0"/>
    <s v="○"/>
    <n v="328.44"/>
  </r>
  <r>
    <s v="040"/>
    <s v="0246"/>
    <s v="平松会館"/>
    <s v="市民自治部"/>
    <x v="7"/>
    <x v="7"/>
    <s v="G041100"/>
    <s v="伊丹市平松5丁目1番2号"/>
    <s v="行政財産"/>
    <s v="02集会施設"/>
    <s v="01共同利用施設"/>
    <s v="伊丹市共同利用施設等条例,公共用飛行場周辺における航空機騒音による障害の防止等に関する法律"/>
    <s v="1982"/>
    <s v="1982"/>
    <n v="2423.17"/>
    <n v="95.16"/>
    <m/>
    <s v="○"/>
    <s v="○"/>
    <s v="03南小"/>
    <s v="単独"/>
    <s v="○"/>
    <s v="○"/>
    <s v="○"/>
    <s v="○"/>
    <s v="○"/>
    <s v="―"/>
    <s v="―"/>
    <m/>
    <s v="市有"/>
    <s v=""/>
    <s v="市有"/>
    <m/>
    <s v="地域の集会や活動に利用される地域利用型のコミュニティ施設。"/>
    <s v=""/>
    <s v=""/>
    <s v=""/>
    <s v=""/>
    <s v=""/>
    <s v=""/>
    <s v="―"/>
    <s v="近隣商業"/>
    <s v="80"/>
    <s v="200"/>
    <s v=""/>
    <s v="３種"/>
    <m/>
    <m/>
    <s v="指管"/>
    <s v="平松会館管理運営委員会"/>
    <d v="2016-04-01T00:00:00"/>
    <d v="2021-03-31T00:00:00"/>
    <s v="非公募"/>
    <s v="9:00～21:00"/>
    <s v="日; 祝; 年末年始"/>
    <s v="１階集会室,２階休養室"/>
    <n v="0"/>
    <n v="28716"/>
    <n v="17219"/>
    <n v="11497"/>
    <n v="619"/>
    <n v="0.6"/>
    <m/>
    <m/>
    <m/>
    <m/>
    <x v="0"/>
    <s v="○"/>
    <n v="95.16"/>
  </r>
  <r>
    <s v="041"/>
    <s v="0262"/>
    <s v="コミュニティセンター梅ﾉ木"/>
    <s v="市民自治部"/>
    <x v="7"/>
    <x v="7"/>
    <s v="G041100"/>
    <s v="伊丹市梅ノ木2丁目3番21号"/>
    <s v="行政財産"/>
    <s v="02集会施設"/>
    <s v="01共同利用施設"/>
    <s v="伊丹市共同利用施設等条例、コミュニティ助成事業実施要綱第２の１の(２)コミュニティセンター助成事業"/>
    <s v="1987"/>
    <s v="1987"/>
    <n v="266"/>
    <n v="149"/>
    <m/>
    <s v="○"/>
    <s v="○"/>
    <s v="03南小"/>
    <s v="単独"/>
    <s v="―"/>
    <s v="○"/>
    <s v="○"/>
    <s v="○"/>
    <s v="○"/>
    <s v="○"/>
    <s v="6"/>
    <m/>
    <s v="市有"/>
    <s v=""/>
    <s v="市有"/>
    <m/>
    <s v="地域の集会や活動に利用される地域利用型のコミュニティ施設。"/>
    <s v="○"/>
    <s v=""/>
    <s v="○"/>
    <s v=""/>
    <s v=""/>
    <s v=""/>
    <s v="―"/>
    <s v="第1種低層住居専用"/>
    <s v="50"/>
    <s v="100"/>
    <s v=""/>
    <s v="１種"/>
    <m/>
    <m/>
    <s v="指管"/>
    <s v="コミュニティセンター梅ノ木管理運営委員会"/>
    <d v="2016-04-01T00:00:00"/>
    <d v="2021-03-31T00:00:00"/>
    <s v="非公募"/>
    <s v="9:00～21:00"/>
    <s v="日; 祝; 年末年始"/>
    <s v="集会室,和室"/>
    <n v="0"/>
    <n v="49621"/>
    <n v="30415"/>
    <n v="19206"/>
    <n v="1233"/>
    <n v="0.61299999999999999"/>
    <m/>
    <m/>
    <m/>
    <m/>
    <x v="0"/>
    <s v="○"/>
    <n v="149"/>
  </r>
  <r>
    <s v="042"/>
    <s v="0201"/>
    <s v="神津交流センター"/>
    <s v="市民自治部"/>
    <x v="7"/>
    <x v="7"/>
    <s v="G041100"/>
    <s v="伊丹市森本1丁目8番地22"/>
    <s v="行政財産"/>
    <s v="02集会施設"/>
    <s v="01共同利用施設"/>
    <s v="伊丹市共同利用施設等条例,公共用飛行場周辺における航空機騒音による障害の防止等に関する法律"/>
    <s v="2016"/>
    <s v="2016"/>
    <n v="1470"/>
    <n v="884.1"/>
    <m/>
    <s v="○"/>
    <s v="○"/>
    <s v="04神津小"/>
    <s v="複合"/>
    <s v="○"/>
    <s v="○"/>
    <s v="○"/>
    <s v="○"/>
    <s v="○"/>
    <s v="―"/>
    <s v="―"/>
    <s v="神津支所、図書館神津分館"/>
    <s v="市有"/>
    <s v=""/>
    <s v="市有"/>
    <m/>
    <s v="地域の集会や活動に利用される地域利用型のコミュニティ施設。"/>
    <s v="○"/>
    <s v=""/>
    <s v="○"/>
    <s v="○"/>
    <s v="○"/>
    <s v="○"/>
    <s v="―"/>
    <s v="工業"/>
    <s v="60"/>
    <s v="200"/>
    <s v=""/>
    <s v="３種"/>
    <m/>
    <m/>
    <s v="指管"/>
    <s v="特定非営利活動法人 わくわくステーション神津"/>
    <d v="2016-05-06T00:00:00"/>
    <d v="2019-03-31T00:00:00"/>
    <s v="非公募"/>
    <s v="9:00～21:00"/>
    <s v="年末年始（児童館は月曜; 年末年始）"/>
    <s v="１階児童館,２階会議室,２階多目的ホール,２階学習室,２階ふれあい室"/>
    <n v="72"/>
    <n v="291346"/>
    <n v="11113"/>
    <n v="280233"/>
    <n v="10945"/>
    <n v="3.7999999999999999E-2"/>
    <m/>
    <m/>
    <m/>
    <m/>
    <x v="0"/>
    <s v="○"/>
    <n v="884.1"/>
  </r>
  <r>
    <s v="043"/>
    <s v="0209"/>
    <s v="西桑津センター"/>
    <s v="市民自治部"/>
    <x v="7"/>
    <x v="7"/>
    <s v="G041100"/>
    <s v="伊丹市桑津2丁目1番22号"/>
    <s v="行政財産"/>
    <s v="02集会施設"/>
    <s v="01共同利用施設"/>
    <s v="伊丹市共同利用施設等条例,公共用飛行場周辺における航空機騒音による障害の防止等に関する法律"/>
    <s v="1972"/>
    <s v="1972"/>
    <n v="394.19"/>
    <n v="197.56"/>
    <m/>
    <s v="○"/>
    <s v="○"/>
    <s v="04神津小"/>
    <s v="単独"/>
    <s v="○"/>
    <s v="○"/>
    <s v="―"/>
    <s v="○"/>
    <s v="○"/>
    <s v="○"/>
    <s v="43"/>
    <m/>
    <s v="市有"/>
    <s v=""/>
    <s v="市有"/>
    <m/>
    <s v="地域の集会や活動に利用される地域利用型のコミュニティ施設。"/>
    <s v="○"/>
    <s v=""/>
    <s v="○"/>
    <s v=""/>
    <s v=""/>
    <s v=""/>
    <s v="―"/>
    <s v="第1種住居"/>
    <s v="60"/>
    <s v="200"/>
    <s v=""/>
    <s v="３種"/>
    <m/>
    <m/>
    <s v="指管"/>
    <s v="西桑津センター管理運営委員会"/>
    <d v="2016-04-01T00:00:00"/>
    <d v="2021-03-31T00:00:00"/>
    <s v="非公募"/>
    <s v="9:00～21:00"/>
    <s v="日; 祝; 年末年始"/>
    <s v="１階会議室,１階和室,２階休養室"/>
    <n v="1"/>
    <n v="60679"/>
    <n v="45457"/>
    <n v="15222"/>
    <n v="1534"/>
    <n v="0.749"/>
    <m/>
    <m/>
    <m/>
    <m/>
    <x v="0"/>
    <s v="○"/>
    <n v="197.56"/>
  </r>
  <r>
    <s v="044"/>
    <s v="0214"/>
    <s v="岩屋センター"/>
    <s v="市民自治部"/>
    <x v="7"/>
    <x v="7"/>
    <s v="G041100"/>
    <s v="伊丹市岩屋1丁目5番42号"/>
    <s v="行政財産"/>
    <s v="02集会施設"/>
    <s v="01共同利用施設"/>
    <s v="伊丹市共同利用施設等条例,公共用飛行場周辺における航空機騒音による障害の防止等に関する法律"/>
    <s v="1974"/>
    <s v="1974"/>
    <n v="473.35"/>
    <n v="316.02999999999997"/>
    <m/>
    <s v="○"/>
    <s v="○"/>
    <s v="04神津小"/>
    <s v="単独"/>
    <s v="○"/>
    <s v="○"/>
    <s v="―"/>
    <s v="○"/>
    <s v="○"/>
    <s v="○"/>
    <s v="42"/>
    <m/>
    <s v="市有"/>
    <s v=""/>
    <s v="市有"/>
    <m/>
    <s v="地域の集会や活動に利用される地域利用型のコミュニティ施設。"/>
    <s v="○"/>
    <s v=""/>
    <s v="○"/>
    <s v=""/>
    <s v=""/>
    <s v=""/>
    <s v="―"/>
    <s v="準工業"/>
    <s v="60"/>
    <s v="200"/>
    <s v="大規模集客施設立地規制"/>
    <m/>
    <m/>
    <m/>
    <s v="指管"/>
    <s v="岩屋センター管理運営委員会"/>
    <d v="2016-04-01T00:00:00"/>
    <d v="2021-03-31T00:00:00"/>
    <s v="非公募"/>
    <s v="9:00～21:00"/>
    <s v="日; 祝; 年末年始"/>
    <s v="１階集会室１,１階集会室２,２階和室１,２階和室２,２階学習室"/>
    <n v="3"/>
    <n v="90775"/>
    <n v="74855"/>
    <n v="15920"/>
    <n v="1931"/>
    <n v="0.82499999999999996"/>
    <m/>
    <m/>
    <m/>
    <m/>
    <x v="0"/>
    <s v="○"/>
    <n v="316.02999999999997"/>
  </r>
  <r>
    <s v="045"/>
    <s v="0216"/>
    <s v="森本センター"/>
    <s v="市民自治部"/>
    <x v="7"/>
    <x v="7"/>
    <s v="G041100"/>
    <s v="伊丹市森本2丁目196番地の1"/>
    <s v="行政財産"/>
    <s v="02集会施設"/>
    <s v="01共同利用施設"/>
    <s v="伊丹市共同利用施設等条例,公共用飛行場周辺における航空機騒音による障害の防止等に関する法律"/>
    <s v="1974"/>
    <s v="1974"/>
    <n v="212.55"/>
    <n v="191.04"/>
    <m/>
    <s v="○"/>
    <s v="○"/>
    <s v="04神津小"/>
    <s v="単独"/>
    <s v="○"/>
    <s v="○"/>
    <s v="―"/>
    <s v="○"/>
    <s v="○"/>
    <s v="―"/>
    <s v="―"/>
    <m/>
    <s v="市有"/>
    <s v=""/>
    <s v="市有"/>
    <m/>
    <s v="地域の集会や活動に利用される地域利用型のコミュニティ施設。"/>
    <s v="○"/>
    <s v=""/>
    <s v="○"/>
    <s v=""/>
    <s v=""/>
    <s v=""/>
    <s v="―"/>
    <s v="第1種住居"/>
    <s v="60"/>
    <s v="200"/>
    <s v=""/>
    <s v="３種"/>
    <m/>
    <m/>
    <s v="指管"/>
    <s v="森本センター管理運営委員会"/>
    <d v="2016-04-01T00:00:00"/>
    <d v="2021-03-31T00:00:00"/>
    <s v="非公募"/>
    <s v="9:00～21:00"/>
    <s v="日; 祝; 年末年始"/>
    <s v="１階会議室,１階休養室"/>
    <n v="0"/>
    <n v="50239"/>
    <n v="42887"/>
    <n v="7351"/>
    <n v="1069"/>
    <n v="0.85399999999999998"/>
    <m/>
    <m/>
    <m/>
    <m/>
    <x v="0"/>
    <s v="○"/>
    <n v="191.04"/>
  </r>
  <r>
    <s v="046"/>
    <s v="0225"/>
    <s v="口酒井センター"/>
    <s v="市民自治部"/>
    <x v="7"/>
    <x v="7"/>
    <s v="G041100"/>
    <s v="伊丹市口酒井1丁目3番39号"/>
    <s v="行政財産"/>
    <s v="02集会施設"/>
    <s v="01共同利用施設"/>
    <s v="伊丹市共同利用施設等条例,公共用飛行場周辺における航空機騒音による障害の防止等に関する法律"/>
    <s v="1975"/>
    <s v="1975"/>
    <n v="731.88"/>
    <n v="336"/>
    <m/>
    <s v="○"/>
    <s v="○"/>
    <s v="04神津小"/>
    <s v="複合"/>
    <s v="○"/>
    <s v="○"/>
    <s v="―"/>
    <s v="○"/>
    <s v="○"/>
    <s v="―"/>
    <s v="―"/>
    <s v="高齢者憩いのｾﾝﾀｰ"/>
    <s v="市有"/>
    <s v=""/>
    <s v="市有"/>
    <m/>
    <s v="地域の集会や活動に利用される地域利用型のコミュニティ施設。"/>
    <s v="○"/>
    <s v=""/>
    <s v="○"/>
    <s v=""/>
    <s v=""/>
    <s v=""/>
    <s v="―"/>
    <s v="第1種住居"/>
    <s v="60"/>
    <s v="200"/>
    <s v=""/>
    <s v="３種"/>
    <m/>
    <m/>
    <s v="指管"/>
    <s v="口酒井センター管理運営委員会"/>
    <d v="2016-04-01T00:00:00"/>
    <d v="2021-03-31T00:00:00"/>
    <s v="非公募"/>
    <s v="9:00～21:00"/>
    <s v="日; 祝; 年末年始"/>
    <s v="１階集会室１,１階集会室２,２階休養室１,２階休養室２,２階学習室"/>
    <n v="2"/>
    <n v="88652"/>
    <n v="77327"/>
    <n v="11324"/>
    <n v="2068"/>
    <n v="0.872"/>
    <m/>
    <m/>
    <m/>
    <m/>
    <x v="0"/>
    <s v="○"/>
    <n v="336"/>
  </r>
  <r>
    <s v="047"/>
    <s v="0250"/>
    <s v="いながわセンター"/>
    <s v="市民自治部"/>
    <x v="7"/>
    <x v="7"/>
    <s v="G041100"/>
    <s v="伊丹市森本1丁目1番地の4"/>
    <s v="行政財産"/>
    <s v="02集会施設"/>
    <s v="01共同利用施設"/>
    <s v="伊丹市共同利用施設等条例,公共用飛行場周辺における航空機騒音による障害の防止等に関する法律"/>
    <s v="1983"/>
    <s v="1983"/>
    <n v="500.04"/>
    <n v="316.3"/>
    <m/>
    <s v="○"/>
    <s v="○"/>
    <s v="04神津小"/>
    <s v="単独"/>
    <s v="―"/>
    <s v="○"/>
    <s v="○"/>
    <s v="○"/>
    <s v="○"/>
    <s v="―"/>
    <s v="―"/>
    <m/>
    <s v="市有"/>
    <s v=""/>
    <s v="市有"/>
    <m/>
    <s v="地域の集会や活動に利用される地域利用型のコミュニティ施設。"/>
    <s v="○"/>
    <s v=""/>
    <s v="○"/>
    <s v=""/>
    <s v=""/>
    <s v=""/>
    <s v="―"/>
    <s v="工業"/>
    <s v="60"/>
    <s v="200"/>
    <s v=""/>
    <m/>
    <m/>
    <m/>
    <s v="指管"/>
    <s v="いながわセンター管理運営委員会"/>
    <d v="2016-04-01T00:00:00"/>
    <d v="2021-03-31T00:00:00"/>
    <s v="非公募"/>
    <s v="9:00～21:00"/>
    <s v="日; 祝; 年末年始"/>
    <s v="集会室,学習室,休養室"/>
    <n v="0"/>
    <n v="74331"/>
    <n v="55599"/>
    <n v="18731"/>
    <n v="1582"/>
    <n v="0.748"/>
    <m/>
    <m/>
    <m/>
    <m/>
    <x v="0"/>
    <s v="○"/>
    <n v="316.3"/>
  </r>
  <r>
    <s v="048"/>
    <s v="0271"/>
    <s v="長山センター"/>
    <s v="市民自治部"/>
    <x v="7"/>
    <x v="7"/>
    <s v="G041100"/>
    <s v="伊丹市森本6丁目129番地"/>
    <s v="行政財産"/>
    <s v="02集会施設"/>
    <s v="01共同利用施設"/>
    <s v="伊丹市共同利用施設等条例,公共用飛行場周辺における航空機騒音による障害の防止等に関する法律"/>
    <s v="1996"/>
    <s v="1996"/>
    <n v="205.36"/>
    <n v="119.99"/>
    <m/>
    <s v="○"/>
    <s v="○"/>
    <s v="04神津小"/>
    <s v="単独"/>
    <s v="―"/>
    <s v="○"/>
    <s v="○"/>
    <s v="○"/>
    <s v="○"/>
    <s v="―"/>
    <s v="―"/>
    <m/>
    <s v="市有"/>
    <s v=""/>
    <s v="市有"/>
    <m/>
    <s v="地域の集会や活動に利用される地域利用型のコミュニティ施設。"/>
    <s v="○"/>
    <s v=""/>
    <s v="○"/>
    <s v=""/>
    <s v=""/>
    <s v=""/>
    <s v="○"/>
    <s v="第1種住居"/>
    <s v="60"/>
    <s v="200"/>
    <s v=""/>
    <s v="３種"/>
    <m/>
    <m/>
    <s v="指管"/>
    <s v="長山センター管理運営委員会"/>
    <d v="2016-04-01T00:00:00"/>
    <d v="2021-03-31T00:00:00"/>
    <s v="非公募"/>
    <s v="9:00～21:00"/>
    <s v="日; 祝; 年末年始"/>
    <s v="集会室,休養室"/>
    <n v="0"/>
    <n v="40943"/>
    <n v="18015"/>
    <n v="22928"/>
    <n v="871"/>
    <n v="0.44"/>
    <m/>
    <m/>
    <m/>
    <m/>
    <x v="0"/>
    <s v="○"/>
    <n v="119.99"/>
  </r>
  <r>
    <s v="049"/>
    <s v="0272"/>
    <s v="上須古センター"/>
    <s v="市民自治部"/>
    <x v="7"/>
    <x v="7"/>
    <s v="G041100"/>
    <s v="伊丹市森本7丁目31番地"/>
    <s v="行政財産"/>
    <s v="02集会施設"/>
    <s v="01共同利用施設"/>
    <s v="伊丹市共同利用施設等条例,公共用飛行場周辺における航空機騒音による障害の防止等に関する法律"/>
    <s v="1996"/>
    <s v="1996"/>
    <n v="108.78"/>
    <n v="109.3"/>
    <m/>
    <s v="○"/>
    <s v="○"/>
    <s v="04神津小"/>
    <s v="単独"/>
    <s v="○"/>
    <s v="○"/>
    <s v="○"/>
    <s v="○"/>
    <s v="○"/>
    <s v="―"/>
    <s v="―"/>
    <m/>
    <s v="市有"/>
    <m/>
    <s v="市有"/>
    <m/>
    <s v="地域の集会や活動に利用される地域利用型のコミュニティ施設。"/>
    <s v="○"/>
    <s v=""/>
    <s v="○"/>
    <s v=""/>
    <s v=""/>
    <s v=""/>
    <s v="○"/>
    <s v="準工業"/>
    <s v="60"/>
    <s v="200"/>
    <s v="大規模集客施設立地規制"/>
    <m/>
    <m/>
    <m/>
    <s v="指管"/>
    <s v="上須古センター管理運営委員会"/>
    <d v="2016-04-01T00:00:00"/>
    <d v="2021-03-31T00:00:00"/>
    <s v="非公募"/>
    <s v="9:00～21:00"/>
    <s v="日; 祝; 年末年始"/>
    <s v="集会室,休養室"/>
    <n v="0"/>
    <n v="38747"/>
    <n v="16720"/>
    <n v="22027"/>
    <n v="824"/>
    <n v="0.432"/>
    <m/>
    <m/>
    <m/>
    <m/>
    <x v="0"/>
    <s v="○"/>
    <n v="109.3"/>
  </r>
  <r>
    <s v="050"/>
    <s v="0205"/>
    <s v="下河原センター"/>
    <s v="市民自治部"/>
    <x v="7"/>
    <x v="7"/>
    <s v="G041100"/>
    <s v="伊丹市下河原1丁目9番22号"/>
    <s v="行政財産"/>
    <s v="02集会施設"/>
    <s v="01共同利用施設"/>
    <s v="伊丹市共同利用施設等条例,公共用飛行場周辺における航空機騒音による障害の防止等に関する法律"/>
    <s v="1971"/>
    <s v="1971"/>
    <n v="331.07499999999999"/>
    <n v="145.75"/>
    <m/>
    <s v="○"/>
    <s v="○"/>
    <s v="05緑丘小"/>
    <s v="単独"/>
    <s v="○"/>
    <s v="○"/>
    <s v="―"/>
    <s v="○"/>
    <s v="○"/>
    <s v="―"/>
    <s v="―"/>
    <m/>
    <s v="市有"/>
    <m/>
    <s v="市有"/>
    <m/>
    <s v="地域の集会や活動に利用される地域利用型のコミュニティ施設。"/>
    <s v="○"/>
    <s v=""/>
    <s v="○"/>
    <s v=""/>
    <s v="○"/>
    <s v=""/>
    <s v="―"/>
    <s v="準工業"/>
    <s v="60"/>
    <s v="200"/>
    <s v="大規模集客施設立地規制"/>
    <m/>
    <m/>
    <m/>
    <s v="指管"/>
    <s v="下河原センター管理運営委員会"/>
    <d v="2016-04-01T00:00:00"/>
    <d v="2021-03-31T00:00:00"/>
    <s v="非公募"/>
    <s v="9:00～21:00"/>
    <s v="日; 祝; 年末年始"/>
    <s v="１階会議室,２階休養室"/>
    <n v="2"/>
    <n v="47219"/>
    <n v="37989"/>
    <n v="9230"/>
    <n v="276"/>
    <n v="0.80500000000000005"/>
    <m/>
    <m/>
    <m/>
    <m/>
    <x v="0"/>
    <s v="○"/>
    <n v="145.75"/>
  </r>
  <r>
    <s v="051"/>
    <s v="0238"/>
    <s v="春日丘センター"/>
    <s v="市民自治部"/>
    <x v="7"/>
    <x v="7"/>
    <s v="G041100"/>
    <s v="伊丹市春日丘2丁目60番地の3"/>
    <s v="行政財産"/>
    <s v="02集会施設"/>
    <s v="01共同利用施設"/>
    <s v="伊丹市共同利用施設等条例"/>
    <s v="2006"/>
    <s v="2006"/>
    <n v="312.82"/>
    <n v="135.13999999999999"/>
    <m/>
    <s v="○"/>
    <s v="○"/>
    <s v="05緑丘小"/>
    <s v="単独"/>
    <s v="○"/>
    <s v="○"/>
    <s v="○"/>
    <s v="○"/>
    <s v="○"/>
    <s v="―"/>
    <s v="―"/>
    <m/>
    <s v="市有"/>
    <m/>
    <s v="市有"/>
    <m/>
    <s v="地域の集会や活動に利用される地域利用型のコミュニティ施設。"/>
    <s v="○"/>
    <s v=""/>
    <s v="○"/>
    <s v=""/>
    <s v="○"/>
    <s v="○"/>
    <s v="○"/>
    <s v="第1種低層住居専用"/>
    <s v="50"/>
    <s v="100"/>
    <s v=""/>
    <s v="１種"/>
    <m/>
    <m/>
    <s v="指管"/>
    <s v="春日丘センター管理運営委員会"/>
    <d v="2016-04-01T00:00:00"/>
    <d v="2021-03-31T00:00:00"/>
    <s v="非公募"/>
    <s v="9:00～21:00"/>
    <s v="日; 祝; 年末年始"/>
    <s v="集会室１,集会室２"/>
    <n v="2"/>
    <n v="41307"/>
    <n v="9088"/>
    <n v="32219"/>
    <n v="879"/>
    <n v="0.22"/>
    <m/>
    <m/>
    <m/>
    <m/>
    <x v="0"/>
    <s v="○"/>
    <n v="135.13999999999999"/>
  </r>
  <r>
    <s v="052"/>
    <s v="0268"/>
    <s v="北伊丹センター"/>
    <s v="市民自治部"/>
    <x v="7"/>
    <x v="7"/>
    <s v="G041100"/>
    <s v="伊丹市北伊丹7丁目29番地の1"/>
    <s v="行政財産"/>
    <s v="02集会施設"/>
    <s v="01共同利用施設"/>
    <s v="伊丹市共同利用施設等条例,公共用飛行場周辺における航空機騒音による障害の防止等に関する法律"/>
    <s v="1990"/>
    <s v="1990"/>
    <n v="334.77"/>
    <n v="134.47999999999999"/>
    <m/>
    <s v="○"/>
    <s v="○"/>
    <s v="05緑丘小"/>
    <s v="単独"/>
    <s v="―"/>
    <s v="○"/>
    <s v="○"/>
    <s v="○"/>
    <s v="○"/>
    <s v="―"/>
    <s v="―"/>
    <m/>
    <s v="市有"/>
    <m/>
    <s v="市有"/>
    <m/>
    <s v="地域の集会や活動に利用される地域利用型のコミュニティ施設。"/>
    <s v="○"/>
    <s v=""/>
    <s v="○"/>
    <s v=""/>
    <s v="○"/>
    <s v=""/>
    <s v="―"/>
    <s v="準工業"/>
    <s v="60"/>
    <s v="200"/>
    <s v=""/>
    <m/>
    <m/>
    <s v="景観条例・多田街道都市景観形成道路地区"/>
    <s v="指管"/>
    <s v="北伊丹センター管理運営委員会"/>
    <d v="2016-04-01T00:00:00"/>
    <d v="2021-03-31T00:00:00"/>
    <s v="非公募"/>
    <s v="9:00～21:00"/>
    <s v="日; 祝; 年末年始"/>
    <s v="集会室,休養室"/>
    <n v="0"/>
    <n v="52504"/>
    <n v="28165"/>
    <n v="24339"/>
    <n v="1117"/>
    <n v="0.53600000000000003"/>
    <m/>
    <m/>
    <m/>
    <m/>
    <x v="0"/>
    <s v="○"/>
    <n v="134.47999999999999"/>
  </r>
  <r>
    <s v="053"/>
    <s v="0273"/>
    <s v="北村センター"/>
    <s v="市民自治部"/>
    <x v="7"/>
    <x v="7"/>
    <s v="G041100"/>
    <s v="伊丹市北園1丁目13番地"/>
    <s v="行政財産"/>
    <s v="02集会施設"/>
    <s v="01共同利用施設"/>
    <s v="伊丹市共同利用施設等条例,公共用飛行場周辺における航空機騒音による障害の防止等に関する法律"/>
    <s v="1973"/>
    <s v="1973"/>
    <n v="3882.37"/>
    <n v="332.59"/>
    <m/>
    <s v="○"/>
    <s v="○"/>
    <s v="05緑丘小"/>
    <s v="複合"/>
    <s v="○"/>
    <s v="○"/>
    <s v="○"/>
    <s v="○"/>
    <s v="○"/>
    <s v="―"/>
    <s v="―"/>
    <s v="北保育所,北村交流センター"/>
    <s v="市有"/>
    <s v=""/>
    <s v="市有"/>
    <m/>
    <s v="地域の集会や活動に利用される地域利用型のコミュニティ施設。"/>
    <s v="○"/>
    <s v=""/>
    <s v="○"/>
    <s v="○"/>
    <s v="○"/>
    <s v="○"/>
    <s v="―"/>
    <s v="準住居,第2種中高層住居専用"/>
    <s v="60"/>
    <s v="200"/>
    <s v=""/>
    <s v="２・３種"/>
    <m/>
    <m/>
    <s v="指管"/>
    <s v="北村センター管理運営委員会"/>
    <d v="2016-04-01T00:00:00"/>
    <d v="2021-03-31T00:00:00"/>
    <s v="非公募"/>
    <s v="9:00～21:00"/>
    <s v="日; 祝; 年末年始"/>
    <s v="２階和室,２階集会室,２階学習室"/>
    <n v="2"/>
    <n v="74918"/>
    <n v="72521"/>
    <n v="2397"/>
    <n v="1594"/>
    <n v="0.96799999999999997"/>
    <m/>
    <m/>
    <m/>
    <m/>
    <x v="0"/>
    <s v="○"/>
    <n v="332.59"/>
  </r>
  <r>
    <s v="054"/>
    <s v="0274"/>
    <s v="北村交流センター"/>
    <s v="市民自治部"/>
    <x v="7"/>
    <x v="7"/>
    <s v="G041100"/>
    <s v="伊丹市北園1丁目21番地の1"/>
    <s v="行政財産"/>
    <s v="02集会施設"/>
    <s v="01共同利用施設"/>
    <s v="伊丹市共同利用施設等条例"/>
    <s v="2000"/>
    <s v="2000"/>
    <n v="3882.37"/>
    <n v="360.57"/>
    <m/>
    <m/>
    <s v="○"/>
    <s v="05緑丘小"/>
    <s v="複合"/>
    <s v="○"/>
    <s v="○"/>
    <s v="○"/>
    <s v="○"/>
    <s v="○"/>
    <s v="○"/>
    <s v="36"/>
    <s v="北保育所,北村センター"/>
    <s v="市有"/>
    <s v=""/>
    <s v="市有"/>
    <m/>
    <s v="地域の集会や活動に利用される地域利用型のコミュニティ施設。"/>
    <s v="○"/>
    <s v="○"/>
    <s v="○"/>
    <s v="○"/>
    <s v="○"/>
    <s v="○"/>
    <s v="○"/>
    <s v="準住居,第2種中高層住居専用"/>
    <s v="60"/>
    <s v="200"/>
    <s v=""/>
    <s v="２・３種"/>
    <m/>
    <m/>
    <s v="指管"/>
    <s v="大鹿交流センター管理運営委員会"/>
    <d v="2016-04-01T00:00:00"/>
    <d v="2021-03-31T00:00:00"/>
    <s v="非公募"/>
    <s v="9:00～21:00"/>
    <s v="日; 祝; 年末年始"/>
    <s v="２階集会室"/>
    <n v="2"/>
    <n v="158401"/>
    <n v="55757"/>
    <n v="102644"/>
    <n v="3370"/>
    <n v="0.35199999999999998"/>
    <m/>
    <m/>
    <m/>
    <m/>
    <x v="0"/>
    <s v="○"/>
    <n v="360.57"/>
  </r>
  <r>
    <s v="055"/>
    <s v="0275"/>
    <s v="大鹿交流センター"/>
    <s v="市民自治部"/>
    <x v="7"/>
    <x v="7"/>
    <s v="G041100"/>
    <s v="伊丹市大鹿3丁目51番地の3"/>
    <s v="行政財産"/>
    <s v="02集会施設"/>
    <s v="01共同利用施設"/>
    <s v="伊丹市共同利用施設等条例,地域材利用促進対策（林野庁)"/>
    <s v="2005"/>
    <s v="2005"/>
    <n v="810.56"/>
    <n v="315.3"/>
    <m/>
    <s v="○"/>
    <s v="○"/>
    <s v="05緑丘小"/>
    <s v="複合"/>
    <s v="○"/>
    <s v="○"/>
    <s v="○"/>
    <s v="○"/>
    <s v="○"/>
    <s v="○"/>
    <s v="21"/>
    <s v="大鹿分団車庫"/>
    <s v="市有"/>
    <s v=""/>
    <s v="市有"/>
    <m/>
    <s v="地域の集会や活動に利用される地域利用型のコミュニティ施設。"/>
    <s v="○"/>
    <s v=""/>
    <s v="○"/>
    <s v=""/>
    <s v="○"/>
    <s v="○"/>
    <s v="○"/>
    <s v="第1種中高層住居専用"/>
    <s v="60"/>
    <s v="200"/>
    <s v=""/>
    <s v="２種"/>
    <m/>
    <s v="景観条例・旧西国街道都市景観形成道路地区"/>
    <s v="指管"/>
    <s v="北村交流センター管理運営委員会"/>
    <d v="2016-04-01T00:00:00"/>
    <d v="2021-03-31T00:00:00"/>
    <s v="非公募"/>
    <s v="9:00～21:00"/>
    <s v="日; 祝; 年末年始"/>
    <s v="集会室１,集会室２,和室"/>
    <n v="2"/>
    <n v="100816"/>
    <n v="55650"/>
    <n v="45165"/>
    <n v="4583"/>
    <n v="0.55200000000000005"/>
    <m/>
    <m/>
    <m/>
    <m/>
    <x v="0"/>
    <s v="○"/>
    <n v="315.3"/>
  </r>
  <r>
    <s v="056"/>
    <s v="0206"/>
    <s v="西センター"/>
    <s v="市民自治部"/>
    <x v="7"/>
    <x v="7"/>
    <s v="G041100"/>
    <s v="伊丹市西野2丁目85番地"/>
    <s v="行政財産"/>
    <s v="02集会施設"/>
    <s v="01共同利用施設"/>
    <s v="伊丹市共同利用施設等条例,公共用飛行場周辺における航空機騒音による障害の防止等に関する法律"/>
    <s v="1972"/>
    <s v="1972"/>
    <n v="1153.8900000000001"/>
    <n v="553.39"/>
    <m/>
    <s v="○"/>
    <s v="○"/>
    <s v="06桜台小"/>
    <s v="複合"/>
    <s v="○"/>
    <s v="○"/>
    <s v="○"/>
    <s v="○"/>
    <s v="○"/>
    <s v="―"/>
    <s v="―"/>
    <s v="桜台保育所"/>
    <s v="市有"/>
    <s v=""/>
    <s v="市有"/>
    <m/>
    <s v="地域の集会や活動に利用される地域利用型のコミュニティ施設。"/>
    <s v=""/>
    <s v=""/>
    <s v=""/>
    <s v=""/>
    <s v=""/>
    <s v=""/>
    <s v="―"/>
    <s v="近隣商業"/>
    <s v="80"/>
    <s v="200"/>
    <s v=""/>
    <s v="３種"/>
    <m/>
    <m/>
    <s v="指管"/>
    <s v="西センター管理運営委員会"/>
    <d v="2016-04-01T00:00:00"/>
    <d v="2021-03-31T00:00:00"/>
    <s v="非公募"/>
    <s v="9:00～21:00"/>
    <s v="日; 祝; 年末年始"/>
    <s v="２階会議室,２階休養室,２階保育室,２階学習室"/>
    <n v="0"/>
    <n v="130047"/>
    <n v="128746"/>
    <n v="1300"/>
    <n v="1300"/>
    <n v="0.99"/>
    <m/>
    <m/>
    <m/>
    <m/>
    <x v="0"/>
    <s v="○"/>
    <n v="553.39"/>
  </r>
  <r>
    <s v="057"/>
    <s v="0251"/>
    <s v="西野福祉会館"/>
    <s v="市民自治部"/>
    <x v="7"/>
    <x v="7"/>
    <s v="G041100"/>
    <s v="伊丹市西野2丁目251番地"/>
    <s v="行政財産"/>
    <s v="02集会施設"/>
    <s v="01共同利用施設"/>
    <s v="伊丹市共同利用施設等条例,公共用飛行場周辺における航空機騒音による障害の防止等に関する法律"/>
    <s v="1983"/>
    <s v="1983"/>
    <n v="324.47000000000003"/>
    <n v="179.34"/>
    <m/>
    <s v="○"/>
    <s v="○"/>
    <s v="06桜台小"/>
    <s v="単独"/>
    <s v="○"/>
    <s v="○"/>
    <s v="○"/>
    <s v="○"/>
    <s v="○"/>
    <s v="○"/>
    <s v="29"/>
    <m/>
    <s v="市有"/>
    <s v=""/>
    <s v="市有"/>
    <m/>
    <s v="地域の集会や活動に利用される地域利用型のコミュニティ施設。"/>
    <s v="○"/>
    <s v=""/>
    <s v="○"/>
    <s v=""/>
    <s v=""/>
    <s v=""/>
    <s v="―"/>
    <s v="第1種中高層住居専用"/>
    <s v="60"/>
    <s v="200"/>
    <s v=""/>
    <s v="２種"/>
    <m/>
    <s v="地区計画（西野地区）"/>
    <s v="指管"/>
    <s v="西野福祉会館管理運営委員会"/>
    <d v="2016-04-01T00:00:00"/>
    <d v="2021-03-31T00:00:00"/>
    <s v="非公募"/>
    <s v="9:00～21:00"/>
    <s v="日; 祝; 年末年始"/>
    <s v="１階集会室,２階休養室"/>
    <n v="0"/>
    <n v="42145"/>
    <n v="31524"/>
    <n v="10621"/>
    <n v="897"/>
    <n v="0.748"/>
    <m/>
    <m/>
    <m/>
    <m/>
    <x v="0"/>
    <s v="○"/>
    <n v="179.34"/>
  </r>
  <r>
    <s v="058"/>
    <s v="0266"/>
    <s v="中野北センター"/>
    <s v="市民自治部"/>
    <x v="7"/>
    <x v="7"/>
    <s v="G041100"/>
    <s v="伊丹市中野北2丁目10番19号"/>
    <s v="行政財産"/>
    <s v="02集会施設"/>
    <s v="01共同利用施設"/>
    <s v="伊丹市共同利用施設等条例,公共用飛行場周辺における航空機騒音による障害の防止等に関する法律"/>
    <s v="1990"/>
    <s v="1990"/>
    <n v="242.27"/>
    <n v="108.41"/>
    <m/>
    <s v="○"/>
    <s v="○"/>
    <s v="06桜台小"/>
    <s v="単独"/>
    <s v="○"/>
    <s v="○"/>
    <s v="○"/>
    <s v="○"/>
    <s v="○"/>
    <s v="○"/>
    <s v="51"/>
    <m/>
    <s v="市有"/>
    <s v=""/>
    <s v="市有"/>
    <m/>
    <s v="地域の集会や活動に利用される地域利用型のコミュニティ施設。"/>
    <s v="○"/>
    <s v=""/>
    <s v="○"/>
    <s v=""/>
    <s v=""/>
    <s v=""/>
    <s v="―"/>
    <s v="第2種中高層住居専用"/>
    <s v="60"/>
    <s v="200"/>
    <s v=""/>
    <s v="２種"/>
    <m/>
    <m/>
    <s v="指管"/>
    <s v="中野北センター管理運営委員会"/>
    <d v="2016-04-01T00:00:00"/>
    <d v="2021-03-31T00:00:00"/>
    <s v="非公募"/>
    <s v="9:00～21:00"/>
    <s v="日; 祝; 年末年始"/>
    <s v="集会室,休養室"/>
    <n v="1"/>
    <n v="47962"/>
    <n v="26972"/>
    <n v="20990"/>
    <n v="1020"/>
    <n v="0.56200000000000006"/>
    <m/>
    <m/>
    <m/>
    <m/>
    <x v="0"/>
    <s v="○"/>
    <n v="108.41"/>
  </r>
  <r>
    <s v="059"/>
    <s v="0269"/>
    <s v="中野西センター"/>
    <s v="市民自治部"/>
    <x v="7"/>
    <x v="7"/>
    <s v="G041100"/>
    <s v="伊丹市中野西1丁目147番地"/>
    <s v="行政財産"/>
    <s v="02集会施設"/>
    <s v="01共同利用施設"/>
    <s v="伊丹市共同利用施設等条例,公共用飛行場周辺における航空機騒音による障害の防止等に関する法律"/>
    <s v="1990"/>
    <s v="1990"/>
    <n v="297.49"/>
    <n v="109.7"/>
    <m/>
    <s v="○"/>
    <s v="○"/>
    <s v="06桜台小"/>
    <s v="単独"/>
    <s v="―"/>
    <s v="○"/>
    <s v="○"/>
    <s v="○"/>
    <s v="○"/>
    <s v="―"/>
    <s v="―"/>
    <m/>
    <s v="市有"/>
    <s v=""/>
    <s v="市有"/>
    <m/>
    <s v="地域の集会や活動に利用される地域利用型のコミュニティ施設。"/>
    <s v="○"/>
    <s v=""/>
    <s v="○"/>
    <s v=""/>
    <s v="○"/>
    <s v=""/>
    <s v="―"/>
    <s v="第1種中高層住居専用"/>
    <s v="60"/>
    <s v="200"/>
    <s v=""/>
    <s v="２種"/>
    <m/>
    <m/>
    <s v="指管"/>
    <s v="中野西センター管理運営委員会"/>
    <d v="2016-04-01T00:00:00"/>
    <d v="2021-03-31T00:00:00"/>
    <s v="非公募"/>
    <s v="9:00～21:00"/>
    <s v="日; 祝; 年末年始"/>
    <s v="集会室,和室"/>
    <m/>
    <n v="40948"/>
    <n v="22603"/>
    <n v="18345"/>
    <n v="946"/>
    <n v="0.55200000000000005"/>
    <m/>
    <m/>
    <m/>
    <m/>
    <x v="0"/>
    <s v="○"/>
    <n v="109.7"/>
  </r>
  <r>
    <s v="060"/>
    <s v="0202"/>
    <s v="北センター"/>
    <s v="市民自治部"/>
    <x v="7"/>
    <x v="7"/>
    <s v="G041100"/>
    <s v="伊丹市北野1丁目13番地"/>
    <s v="行政財産"/>
    <s v="02集会施設"/>
    <s v="01共同利用施設"/>
    <s v="伊丹市共同利用施設等条例,公共用飛行場周辺における航空機騒音による障害の防止等に関する法律"/>
    <s v="1970"/>
    <s v="1970"/>
    <n v="1126.42"/>
    <n v="794.28"/>
    <m/>
    <s v="○"/>
    <s v="○"/>
    <s v="07天神川小"/>
    <s v="単独"/>
    <s v="○"/>
    <s v="○"/>
    <s v="―"/>
    <s v="○"/>
    <s v="○"/>
    <s v="―"/>
    <s v="―"/>
    <m/>
    <s v="市有"/>
    <s v=""/>
    <s v="市有"/>
    <m/>
    <s v="地域の集会や活動に利用される地域利用型のコミュニティ施設。"/>
    <s v="○"/>
    <s v="○"/>
    <s v="○"/>
    <s v=""/>
    <s v="○"/>
    <s v="○"/>
    <s v="―"/>
    <s v="第2種住居"/>
    <s v="60"/>
    <s v="200"/>
    <s v=""/>
    <s v="３種"/>
    <m/>
    <m/>
    <s v="指管"/>
    <s v="北センター管理運営委員会"/>
    <d v="2016-04-01T00:00:00"/>
    <d v="2021-03-31T00:00:00"/>
    <s v="非公募"/>
    <s v="9:00～21:00"/>
    <s v="日; 祝; 年末年始"/>
    <s v="２階休養室,２階保育室,２階ホール,３階学習室１,３階学習室２,３階学習室３,３階集会室,１階集会室"/>
    <n v="3"/>
    <n v="218509"/>
    <n v="190177"/>
    <n v="28332"/>
    <n v="695"/>
    <n v="0.87"/>
    <m/>
    <m/>
    <m/>
    <m/>
    <x v="0"/>
    <s v="○"/>
    <n v="794.28"/>
  </r>
  <r>
    <s v="061"/>
    <s v="0213"/>
    <s v="北野センター"/>
    <s v="市民自治部"/>
    <x v="7"/>
    <x v="7"/>
    <s v="G041100"/>
    <s v="伊丹市北野5丁目61番地"/>
    <s v="行政財産"/>
    <s v="02集会施設"/>
    <s v="01共同利用施設"/>
    <s v="伊丹市共同利用施設等条例,公共用飛行場周辺における航空機騒音による障害の防止等に関する法律"/>
    <s v="1974"/>
    <s v="1974"/>
    <n v="331.815"/>
    <n v="314.60000000000002"/>
    <m/>
    <s v="○"/>
    <s v="○"/>
    <s v="07天神川小"/>
    <s v="単独"/>
    <s v="○"/>
    <s v="○"/>
    <s v="―"/>
    <s v="○"/>
    <s v="○"/>
    <s v="○"/>
    <s v="40"/>
    <m/>
    <s v="市有"/>
    <s v=""/>
    <s v="市有"/>
    <m/>
    <s v="地域の集会や活動に利用される地域利用型のコミュニティ施設。"/>
    <s v="○"/>
    <s v=""/>
    <s v="○"/>
    <s v=""/>
    <s v=""/>
    <s v=""/>
    <s v="―"/>
    <s v="第1種住居"/>
    <s v="60"/>
    <s v="200"/>
    <s v=""/>
    <s v="３種"/>
    <m/>
    <m/>
    <s v="指管"/>
    <s v="北野センター管理運営委員会"/>
    <d v="2016-04-01T00:00:00"/>
    <d v="2021-03-31T00:00:00"/>
    <s v="非公募"/>
    <s v="9:00～21:00"/>
    <s v="日; 祝; 年末年始"/>
    <s v="１階集会室１,１階集会室２,２階和室１,２階和室２,２階学習室"/>
    <n v="2"/>
    <n v="88558"/>
    <n v="74685"/>
    <n v="13873"/>
    <n v="1884"/>
    <n v="0.84299999999999997"/>
    <m/>
    <m/>
    <m/>
    <m/>
    <x v="0"/>
    <s v="○"/>
    <n v="314.60000000000002"/>
  </r>
  <r>
    <s v="062"/>
    <s v="0229"/>
    <s v="桑田センター"/>
    <s v="市民自治部"/>
    <x v="7"/>
    <x v="7"/>
    <s v="G041100"/>
    <s v="伊丹市荒牧南3丁目16番20号"/>
    <s v="行政財産"/>
    <s v="02集会施設"/>
    <s v="01共同利用施設"/>
    <s v="伊丹市共同利用施設等条例,公共用飛行場周辺における航空機騒音による障害の防止等に関する法律"/>
    <s v="1976"/>
    <s v="1976"/>
    <n v="296.36"/>
    <n v="139.19999999999999"/>
    <m/>
    <s v="○"/>
    <s v="○"/>
    <s v="07天神川小"/>
    <s v="単独"/>
    <s v="○"/>
    <s v="○"/>
    <s v="―"/>
    <s v="○"/>
    <s v="○"/>
    <s v="―"/>
    <s v="―"/>
    <m/>
    <s v="市有"/>
    <s v=""/>
    <s v="市有"/>
    <m/>
    <s v="地域の集会や活動に利用される地域利用型のコミュニティ施設。"/>
    <s v="○"/>
    <s v=""/>
    <s v="○"/>
    <s v="○"/>
    <s v=""/>
    <s v=""/>
    <s v="―"/>
    <s v="第1種中高層住居専用"/>
    <s v="60"/>
    <s v="200"/>
    <s v=""/>
    <s v="２種"/>
    <m/>
    <m/>
    <s v="指管"/>
    <s v="桑田センター管理運営委員会"/>
    <d v="2016-04-01T00:00:00"/>
    <d v="2021-03-31T00:00:00"/>
    <s v="非公募"/>
    <s v="9:00～21:00"/>
    <s v="日; 祝; 年末年始"/>
    <s v="１階集会室,２階休養室"/>
    <n v="1"/>
    <n v="37490"/>
    <n v="25204"/>
    <n v="12285"/>
    <n v="798"/>
    <n v="0.67200000000000004"/>
    <m/>
    <m/>
    <m/>
    <m/>
    <x v="0"/>
    <s v="○"/>
    <n v="139.19999999999999"/>
  </r>
  <r>
    <s v="063"/>
    <s v="0230"/>
    <s v="荒牧センター"/>
    <s v="市民自治部"/>
    <x v="7"/>
    <x v="7"/>
    <s v="G041100"/>
    <s v="伊丹市荒牧5丁目2番15号"/>
    <s v="行政財産"/>
    <s v="02集会施設"/>
    <s v="01共同利用施設"/>
    <s v="伊丹市共同利用施設等条例,公共用飛行場周辺における航空機騒音による障害の防止等に関する法律"/>
    <s v="1976"/>
    <s v="1976"/>
    <n v="432"/>
    <n v="313.06"/>
    <m/>
    <s v="○"/>
    <s v="○"/>
    <s v="07天神川小"/>
    <s v="単独"/>
    <s v="○"/>
    <s v="○"/>
    <s v="―"/>
    <s v="○"/>
    <s v="○"/>
    <s v="○"/>
    <s v="25"/>
    <m/>
    <s v="市有"/>
    <s v=""/>
    <s v="市有"/>
    <m/>
    <s v="地域の集会や活動に利用される地域利用型のコミュニティ施設。"/>
    <s v="○"/>
    <s v=""/>
    <s v="○"/>
    <s v=""/>
    <s v="○"/>
    <s v="○"/>
    <s v="―"/>
    <s v="第2種中高層住居専用"/>
    <s v="60"/>
    <s v="200"/>
    <s v=""/>
    <s v="２種"/>
    <m/>
    <m/>
    <s v="指管"/>
    <s v="荒牧センター管理運営委員会"/>
    <d v="2016-04-01T00:00:00"/>
    <d v="2021-03-31T00:00:00"/>
    <s v="非公募"/>
    <s v="9:00～21:00"/>
    <s v="日; 祝; 年末年始"/>
    <s v="１階集会室,２階休養室１,２階休養室２,２階学習室"/>
    <n v="4"/>
    <n v="83334"/>
    <n v="67358"/>
    <n v="15976"/>
    <n v="2216"/>
    <n v="0.80800000000000005"/>
    <m/>
    <m/>
    <m/>
    <m/>
    <x v="0"/>
    <s v="○"/>
    <n v="313.06"/>
  </r>
  <r>
    <s v="064"/>
    <s v="0258"/>
    <s v="鶴田センター"/>
    <s v="市民自治部"/>
    <x v="7"/>
    <x v="7"/>
    <s v="G041100"/>
    <s v="伊丹市荒牧6丁目20番29号"/>
    <s v="行政財産"/>
    <s v="02集会施設"/>
    <s v="01共同利用施設"/>
    <s v="伊丹市共同利用施設等条例,公共用飛行場周辺における航空機騒音による障害の防止等に関する法律"/>
    <s v="1985"/>
    <s v="1985"/>
    <n v="532.6"/>
    <n v="310.32"/>
    <m/>
    <s v="○"/>
    <s v="○"/>
    <s v="07天神川小"/>
    <s v="単独"/>
    <s v="○"/>
    <s v="○"/>
    <s v="○"/>
    <s v="○"/>
    <s v="○"/>
    <s v="○"/>
    <s v="54"/>
    <m/>
    <s v="市有"/>
    <s v=""/>
    <s v="市有"/>
    <m/>
    <s v="地域の集会や活動に利用される地域利用型のコミュニティ施設。"/>
    <s v="○"/>
    <s v=""/>
    <s v="○"/>
    <s v=""/>
    <s v=""/>
    <s v=""/>
    <s v="―"/>
    <s v="第2種中高層住居専用"/>
    <s v="60"/>
    <s v="200"/>
    <s v=""/>
    <s v="２種"/>
    <m/>
    <m/>
    <s v="指管"/>
    <s v="鶴田センター管理運営委員会"/>
    <d v="2016-04-01T00:00:00"/>
    <d v="2021-03-31T00:00:00"/>
    <s v="非公募"/>
    <s v="9:00～21:00"/>
    <s v="日; 祝; 年末年始"/>
    <s v="１階集会室,１階保育室,１階休養室,２階学習室"/>
    <n v="0"/>
    <n v="100173"/>
    <n v="69914"/>
    <n v="30258"/>
    <n v="1801"/>
    <n v="0.69799999999999995"/>
    <m/>
    <m/>
    <m/>
    <m/>
    <x v="0"/>
    <s v="○"/>
    <n v="310.32"/>
  </r>
  <r>
    <s v="065"/>
    <s v="0219"/>
    <s v="あすなろセンター"/>
    <s v="市民自治部"/>
    <x v="7"/>
    <x v="7"/>
    <s v="G041100"/>
    <s v="伊丹市車塚1丁目32番地"/>
    <s v="行政財産"/>
    <s v="02集会施設"/>
    <s v="01共同利用施設"/>
    <s v="伊丹市共同利用施設等条例,公共用飛行場周辺における航空機騒音による障害の防止等に関する法律"/>
    <s v="1974"/>
    <s v="1974"/>
    <n v="599.23"/>
    <n v="129"/>
    <m/>
    <s v="○"/>
    <s v="○"/>
    <s v="08笹原小"/>
    <s v="単独"/>
    <s v="○"/>
    <s v="○"/>
    <s v="―"/>
    <s v="○"/>
    <s v="○"/>
    <s v="―"/>
    <s v="―"/>
    <m/>
    <s v="市有"/>
    <s v=""/>
    <s v="市有"/>
    <m/>
    <s v="地域の集会や活動に利用される地域利用型のコミュニティ施設。"/>
    <s v="○"/>
    <s v=""/>
    <s v="○"/>
    <s v=""/>
    <s v=""/>
    <s v=""/>
    <s v="―"/>
    <s v="第2種中高層住居専用"/>
    <s v="60"/>
    <s v="200"/>
    <s v=""/>
    <s v="２種"/>
    <m/>
    <m/>
    <s v="指管"/>
    <s v="あすなろセンター管理運営委員会"/>
    <d v="2016-04-01T00:00:00"/>
    <d v="2021-03-31T00:00:00"/>
    <s v="非公募"/>
    <s v="9:00～21:00"/>
    <s v="日; 祝; 年末年始"/>
    <s v="会議室,休養室"/>
    <n v="1"/>
    <n v="38726"/>
    <n v="30412"/>
    <n v="8313"/>
    <n v="824"/>
    <n v="0.78500000000000003"/>
    <m/>
    <m/>
    <m/>
    <m/>
    <x v="0"/>
    <s v="○"/>
    <n v="129"/>
  </r>
  <r>
    <s v="066"/>
    <s v="0240"/>
    <s v="安堂寺センター"/>
    <s v="市民自治部"/>
    <x v="7"/>
    <x v="7"/>
    <s v="G041100"/>
    <s v="伊丹市安堂寺町4丁目49番地の2"/>
    <s v="行政財産"/>
    <s v="02集会施設"/>
    <s v="01共同利用施設"/>
    <s v="伊丹市共同利用施設等条例,公共用飛行場周辺における航空機騒音による障害の防止等に関する法律"/>
    <s v="1980"/>
    <s v="1980"/>
    <n v="661.65"/>
    <n v="312.98"/>
    <m/>
    <s v="○"/>
    <s v="○"/>
    <s v="08笹原小"/>
    <s v="単独"/>
    <s v="○"/>
    <s v="○"/>
    <s v="―"/>
    <s v="○"/>
    <s v="○"/>
    <s v="○"/>
    <s v="15"/>
    <m/>
    <s v="市有"/>
    <s v=""/>
    <s v="市有"/>
    <m/>
    <s v="地域の集会や活動に利用される地域利用型のコミュニティ施設。"/>
    <s v="○"/>
    <s v=""/>
    <s v="○"/>
    <s v="○"/>
    <s v=""/>
    <s v=""/>
    <s v="―"/>
    <s v="第1種中高層住居専用"/>
    <s v="60"/>
    <s v="200"/>
    <s v=""/>
    <s v="２種"/>
    <m/>
    <s v="地区計画（阪急住宅地区）"/>
    <s v="指管"/>
    <s v="安堂寺センター管理運営委員会"/>
    <d v="2016-04-01T00:00:00"/>
    <d v="2021-03-31T00:00:00"/>
    <s v="非公募"/>
    <s v="9:00～21:00"/>
    <s v="日; 祝; 年末年始"/>
    <s v="１階集会室,２階休養室,２階学習室"/>
    <n v="0"/>
    <n v="83945"/>
    <n v="62256"/>
    <n v="21689"/>
    <n v="1786"/>
    <n v="0.74199999999999999"/>
    <m/>
    <m/>
    <m/>
    <m/>
    <x v="0"/>
    <s v="○"/>
    <n v="312.98"/>
  </r>
  <r>
    <s v="067"/>
    <s v="0244"/>
    <s v="南野センター"/>
    <s v="市民自治部"/>
    <x v="7"/>
    <x v="7"/>
    <s v="G041100"/>
    <s v="伊丹市南野北1丁目3番41号"/>
    <s v="行政財産"/>
    <s v="02集会施設"/>
    <s v="01共同利用施設"/>
    <s v="伊丹市共同利用施設等条例,公共用飛行場周辺における航空機騒音による障害の防止等に関する法律"/>
    <s v="1982"/>
    <s v="1982"/>
    <n v="313.74"/>
    <n v="317.2"/>
    <m/>
    <s v="○"/>
    <s v="○"/>
    <s v="08笹原小"/>
    <s v="単独"/>
    <s v="○"/>
    <s v="○"/>
    <s v="○"/>
    <s v="○"/>
    <s v="○"/>
    <s v="―"/>
    <s v="―"/>
    <m/>
    <s v="市有"/>
    <s v=""/>
    <s v="市有"/>
    <m/>
    <s v="地域の集会や活動に利用される地域利用型のコミュニティ施設。"/>
    <s v="○"/>
    <s v=""/>
    <s v="○"/>
    <s v="○"/>
    <s v=""/>
    <s v=""/>
    <s v="―"/>
    <s v="第1種中高層住居専用"/>
    <s v="60"/>
    <s v="200"/>
    <s v=""/>
    <s v="２種"/>
    <m/>
    <m/>
    <s v="指管"/>
    <s v="南野センター管理運営委員会"/>
    <d v="2016-04-01T00:00:00"/>
    <d v="2021-03-31T00:00:00"/>
    <s v="非公募"/>
    <s v="9:00～21:00"/>
    <s v="日; 祝; 年末年始"/>
    <s v="１階学習室,１階休養室,２階集会室"/>
    <n v="0"/>
    <n v="88087"/>
    <n v="61120"/>
    <n v="26967"/>
    <n v="1960"/>
    <n v="0.69399999999999995"/>
    <m/>
    <m/>
    <m/>
    <m/>
    <x v="0"/>
    <s v="○"/>
    <n v="317.2"/>
  </r>
  <r>
    <s v="068"/>
    <s v="0249"/>
    <s v="車塚センター"/>
    <s v="市民自治部"/>
    <x v="7"/>
    <x v="7"/>
    <s v="G041100"/>
    <s v="伊丹市車塚2丁目6番地"/>
    <s v="行政財産"/>
    <s v="02集会施設"/>
    <s v="01共同利用施設"/>
    <s v="伊丹市共同利用施設等条例,公共用飛行場周辺における航空機騒音による障害の防止等に関する法律"/>
    <s v="1983"/>
    <s v="1983"/>
    <n v="389.99"/>
    <n v="159.25"/>
    <m/>
    <s v="○"/>
    <s v="○"/>
    <s v="08笹原小"/>
    <s v="単独"/>
    <s v="―"/>
    <s v="○"/>
    <s v="○"/>
    <s v="○"/>
    <s v="○"/>
    <s v="―"/>
    <s v="―"/>
    <m/>
    <s v="市有"/>
    <s v=""/>
    <s v="市有"/>
    <m/>
    <s v="地域の集会や活動に利用される地域利用型のコミュニティ施設。"/>
    <s v="○"/>
    <s v=""/>
    <s v="○"/>
    <s v=""/>
    <s v=""/>
    <s v=""/>
    <s v="―"/>
    <s v="第1種中高層住居専用"/>
    <s v="60"/>
    <s v="200"/>
    <s v=""/>
    <s v="２種"/>
    <m/>
    <m/>
    <s v="指管"/>
    <s v="車塚センター管理運営委員会"/>
    <d v="2016-04-01T00:00:00"/>
    <d v="2021-03-31T00:00:00"/>
    <s v="非公募"/>
    <s v="9:00～21:00"/>
    <s v="日; 祝; 年末年始"/>
    <s v="集会室,休養室"/>
    <n v="0"/>
    <n v="51404"/>
    <n v="29640"/>
    <n v="21764"/>
    <n v="1173"/>
    <n v="0.57699999999999996"/>
    <m/>
    <m/>
    <m/>
    <m/>
    <x v="0"/>
    <s v="○"/>
    <n v="159.25"/>
  </r>
  <r>
    <s v="069"/>
    <s v="0203"/>
    <s v="緑ヶ丘センター"/>
    <s v="市民自治部"/>
    <x v="7"/>
    <x v="7"/>
    <s v="G041100"/>
    <s v="伊丹市緑ヶ丘1丁目70番地"/>
    <s v="行政財産"/>
    <s v="02集会施設"/>
    <s v="01共同利用施設"/>
    <s v="伊丹市共同利用施設等条例,公共用飛行場周辺における航空機騒音による障害の防止等に関する法律"/>
    <s v="1971"/>
    <s v="1971"/>
    <n v="84000"/>
    <n v="577.48"/>
    <m/>
    <s v="○"/>
    <s v="○"/>
    <s v="09瑞穂小"/>
    <s v="単独"/>
    <s v="○"/>
    <s v="○"/>
    <s v="―"/>
    <s v="○"/>
    <s v="○"/>
    <s v="○"/>
    <s v="23"/>
    <m/>
    <s v="市有"/>
    <s v=""/>
    <s v="市有"/>
    <m/>
    <s v="地域の集会や活動に利用される地域利用型のコミュニティ施設。"/>
    <s v="○"/>
    <s v=""/>
    <s v="○"/>
    <s v=""/>
    <s v=""/>
    <s v=""/>
    <s v="―"/>
    <s v="第1種低層住居専用"/>
    <s v="50"/>
    <s v="100"/>
    <s v=""/>
    <s v="１種"/>
    <m/>
    <s v="緑ヶ丘風致地区"/>
    <s v="指管"/>
    <s v="緑ヶ丘センター管理運営委員会"/>
    <d v="2016-04-01T00:00:00"/>
    <d v="2021-03-31T00:00:00"/>
    <s v="非公募"/>
    <s v="9:00～21:00"/>
    <s v="日; 祝; 年末年始"/>
    <s v="１階集会室,２階休養室１,２階保育室,２階集会室１,２階集会室２,３階学習室１,３階学習室２,３階休養室,３階実習室"/>
    <n v="0"/>
    <n v="143373"/>
    <n v="138726"/>
    <n v="4647"/>
    <n v="433"/>
    <n v="0.96799999999999997"/>
    <m/>
    <m/>
    <m/>
    <m/>
    <x v="0"/>
    <s v="○"/>
    <n v="577.48"/>
  </r>
  <r>
    <s v="070"/>
    <s v="0208"/>
    <s v="東緑ヶ丘センター"/>
    <s v="市民自治部"/>
    <x v="7"/>
    <x v="7"/>
    <s v="G041100"/>
    <s v="伊丹市緑ヶ丘7丁目62番地の1"/>
    <s v="行政財産"/>
    <s v="02集会施設"/>
    <s v="01共同利用施設"/>
    <s v="伊丹市共同利用施設等条例,公共用飛行場周辺における航空機騒音による障害の防止等に関する法律"/>
    <s v="1972"/>
    <s v="1972"/>
    <n v="412.87"/>
    <n v="161.38"/>
    <m/>
    <s v="○"/>
    <s v="○"/>
    <s v="09瑞穂小"/>
    <s v="単独"/>
    <s v="○"/>
    <s v="○"/>
    <s v="―"/>
    <s v="○"/>
    <s v="○"/>
    <s v="―"/>
    <s v="―"/>
    <m/>
    <s v="市有"/>
    <s v=""/>
    <s v="市有"/>
    <m/>
    <s v="地域の集会や活動に利用される地域利用型のコミュニティ施設。"/>
    <s v="○"/>
    <s v=""/>
    <s v="○"/>
    <s v=""/>
    <s v=""/>
    <s v=""/>
    <s v="―"/>
    <s v="第1種住居"/>
    <s v="60"/>
    <s v="200"/>
    <s v=""/>
    <s v="３種"/>
    <m/>
    <s v="緑ヶ丘風致地区"/>
    <s v="指管"/>
    <s v="東緑ヶ丘センター管理運営委員会"/>
    <d v="2016-04-01T00:00:00"/>
    <d v="2021-03-31T00:00:00"/>
    <s v="非公募"/>
    <s v="9:00～21:00"/>
    <s v="日; 祝; 年末年始"/>
    <s v="１階会議室,２階休養室"/>
    <n v="1"/>
    <n v="50188"/>
    <n v="39605"/>
    <n v="10584"/>
    <n v="1068"/>
    <n v="0.78900000000000003"/>
    <m/>
    <m/>
    <m/>
    <m/>
    <x v="0"/>
    <s v="○"/>
    <n v="161.38"/>
  </r>
  <r>
    <s v="071"/>
    <s v="0215"/>
    <s v="広畑センター"/>
    <s v="市民自治部"/>
    <x v="7"/>
    <x v="7"/>
    <s v="G041100"/>
    <s v="伊丹市広畑3丁目4番地"/>
    <s v="行政財産"/>
    <s v="02集会施設"/>
    <s v="01共同利用施設"/>
    <s v="伊丹市共同利用施設等条例,公共用飛行場周辺における航空機騒音による障害の防止等に関する法律"/>
    <s v="1974"/>
    <s v="1974"/>
    <n v="1016.46"/>
    <n v="344.12"/>
    <m/>
    <s v="○"/>
    <s v="○"/>
    <s v="09瑞穂小"/>
    <s v="単独"/>
    <s v="○"/>
    <s v="○"/>
    <s v="―"/>
    <s v="○"/>
    <s v="○"/>
    <s v="○"/>
    <s v="34"/>
    <m/>
    <s v="市有"/>
    <s v=""/>
    <s v="市有"/>
    <m/>
    <s v="地域の集会や活動に利用される地域利用型のコミュニティ施設。"/>
    <s v="○"/>
    <s v=""/>
    <s v="○"/>
    <s v=""/>
    <s v=""/>
    <s v=""/>
    <s v="―"/>
    <s v="第2種住居"/>
    <s v="60"/>
    <s v="200"/>
    <s v=""/>
    <s v="３種"/>
    <m/>
    <m/>
    <s v="指管"/>
    <s v="広畑センター管理運営委員会"/>
    <d v="2016-04-01T00:00:00"/>
    <d v="2021-03-31T00:00:00"/>
    <s v="非公募"/>
    <s v="9:00～21:00"/>
    <s v="日; 祝; 年末年始"/>
    <s v="１階集会室１,１階集会室２,２階和室１,２階和室２,２階学習室"/>
    <n v="1"/>
    <n v="87452"/>
    <n v="78659"/>
    <n v="8793"/>
    <n v="1861"/>
    <n v="0.89900000000000002"/>
    <m/>
    <m/>
    <m/>
    <m/>
    <x v="0"/>
    <s v="○"/>
    <n v="344.12"/>
  </r>
  <r>
    <s v="072"/>
    <s v="0224"/>
    <s v="瑞穂センター"/>
    <s v="市民自治部"/>
    <x v="7"/>
    <x v="7"/>
    <s v="G041100"/>
    <s v="伊丹市瑞穂町4丁目25番地"/>
    <s v="行政財産"/>
    <s v="02集会施設"/>
    <s v="01共同利用施設"/>
    <s v="伊丹市共同利用施設等条例,公共用飛行場周辺における航空機騒音による障害の防止等に関する法律"/>
    <s v="1975"/>
    <s v="1975"/>
    <n v="536.22"/>
    <n v="316.26"/>
    <m/>
    <s v="○"/>
    <s v="○"/>
    <s v="09瑞穂小"/>
    <s v="単独"/>
    <s v="○"/>
    <s v="○"/>
    <s v="―"/>
    <s v="○"/>
    <s v="○"/>
    <s v="○"/>
    <s v="22"/>
    <m/>
    <s v="市有"/>
    <s v=""/>
    <s v="市有"/>
    <m/>
    <s v="地域の集会や活動に利用される地域利用型のコミュニティ施設。"/>
    <s v="○"/>
    <s v=""/>
    <s v="○"/>
    <s v=""/>
    <s v=""/>
    <s v=""/>
    <s v="―"/>
    <s v="第1種低層住居専用"/>
    <s v="50"/>
    <s v="100"/>
    <s v=""/>
    <s v="１種"/>
    <m/>
    <s v="地区計画（瑞穂・瑞ヶ丘・瑞原地区）"/>
    <s v="指管"/>
    <s v="瑞穂センター管理運営委員会"/>
    <d v="2016-04-01T00:00:00"/>
    <d v="2021-03-31T00:00:00"/>
    <s v="非公募"/>
    <s v="9:00～21:00"/>
    <s v="日; 祝; 年末年始"/>
    <s v="１階集会室１,１階集会室２,２階学習室,２階和室"/>
    <n v="5"/>
    <n v="80579"/>
    <n v="69605"/>
    <n v="10974"/>
    <n v="1714"/>
    <n v="0.86399999999999999"/>
    <m/>
    <m/>
    <m/>
    <m/>
    <x v="0"/>
    <s v="○"/>
    <n v="316.26"/>
  </r>
  <r>
    <s v="073"/>
    <s v="0264"/>
    <s v="東野センター"/>
    <s v="市民自治部"/>
    <x v="7"/>
    <x v="7"/>
    <s v="G041100"/>
    <s v="伊丹市緑ヶ丘6丁目43番地の1"/>
    <s v="行政財産"/>
    <s v="02集会施設"/>
    <s v="01共同利用施設"/>
    <s v="伊丹市共同利用施設等条例,公共用飛行場周辺における航空機騒音による障害の防止等に関する法律"/>
    <s v="1989"/>
    <s v="1989"/>
    <n v="240.01"/>
    <n v="105.19"/>
    <m/>
    <s v="○"/>
    <s v="○"/>
    <s v="09瑞穂小"/>
    <s v="単独"/>
    <s v="―"/>
    <s v="○"/>
    <s v="○"/>
    <s v="○"/>
    <s v="○"/>
    <s v="―"/>
    <s v="―"/>
    <m/>
    <s v="市有"/>
    <s v=""/>
    <s v="市有"/>
    <m/>
    <s v="地域の集会や活動に利用される地域利用型のコミュニティ施設。"/>
    <s v="○"/>
    <s v=""/>
    <s v="○"/>
    <s v=""/>
    <s v=""/>
    <s v=""/>
    <s v="―"/>
    <s v="第2種中高層住居専用"/>
    <s v="60"/>
    <s v="200"/>
    <s v=""/>
    <s v="２種"/>
    <m/>
    <m/>
    <s v="指管"/>
    <s v="東野センター管理運営委員会"/>
    <d v="2016-04-01T00:00:00"/>
    <d v="2021-03-31T00:00:00"/>
    <s v="非公募"/>
    <s v="9:00～21:00"/>
    <s v="日; 祝; 年末年始"/>
    <s v="集会室,休養室"/>
    <n v="0"/>
    <n v="44681"/>
    <n v="26012"/>
    <n v="18669"/>
    <n v="1067"/>
    <n v="0.58199999999999996"/>
    <m/>
    <m/>
    <m/>
    <m/>
    <x v="0"/>
    <s v="○"/>
    <n v="105.19"/>
  </r>
  <r>
    <s v="074"/>
    <s v="0223"/>
    <s v="有岡センター"/>
    <s v="市民自治部"/>
    <x v="7"/>
    <x v="7"/>
    <s v="G041100"/>
    <s v="伊丹市伊丹5丁目3番15号"/>
    <s v="行政財産"/>
    <s v="02集会施設"/>
    <s v="01共同利用施設"/>
    <s v="伊丹市共同利用施設等条例,公共用飛行場周辺における航空機騒音による障害の防止等に関する法律"/>
    <s v="1975"/>
    <s v="1975"/>
    <n v="438.51"/>
    <n v="326.48"/>
    <m/>
    <s v="○"/>
    <s v="○"/>
    <s v="10有岡小"/>
    <s v="単独"/>
    <s v="○"/>
    <s v="○"/>
    <s v="―"/>
    <s v="○"/>
    <s v="○"/>
    <s v="○"/>
    <s v="3"/>
    <m/>
    <s v="市有"/>
    <s v=""/>
    <s v="市有"/>
    <m/>
    <s v="地域の集会や活動に利用される地域利用型のコミュニティ施設。"/>
    <s v="○"/>
    <s v=""/>
    <s v="○"/>
    <s v=""/>
    <s v=""/>
    <s v=""/>
    <s v="―"/>
    <s v="第1種住居"/>
    <s v="60"/>
    <s v="200"/>
    <s v=""/>
    <s v="３種"/>
    <s v="準防火"/>
    <s v="景観条例、旧大坂道都市景観形成道路地区"/>
    <s v="指管"/>
    <s v="有岡センター管理運営委員会"/>
    <d v="2016-04-01T00:00:00"/>
    <d v="2021-03-31T00:00:00"/>
    <s v="非公募"/>
    <s v="9:00～21:00"/>
    <s v="日; 祝; 年末年始"/>
    <s v="１階集会室１,１階集会室２,２階和室１,２階和室２,２階学習室"/>
    <n v="2"/>
    <n v="85391"/>
    <n v="73196"/>
    <n v="12195"/>
    <n v="1817"/>
    <n v="0.85699999999999998"/>
    <m/>
    <m/>
    <m/>
    <m/>
    <x v="0"/>
    <s v="○"/>
    <n v="326.48"/>
  </r>
  <r>
    <s v="075"/>
    <s v="0241"/>
    <s v="東有岡センター"/>
    <s v="市民自治部"/>
    <x v="7"/>
    <x v="7"/>
    <s v="G041100"/>
    <s v="伊丹市東有岡1丁目19番地の6"/>
    <s v="行政財産"/>
    <s v="02集会施設"/>
    <s v="01共同利用施設"/>
    <s v="伊丹市共同利用施設等条例,公共用飛行場周辺における航空機騒音による障害の防止等に関する法律"/>
    <s v="1980"/>
    <s v="1980"/>
    <n v="284.23"/>
    <n v="120"/>
    <m/>
    <s v="○"/>
    <s v="○"/>
    <s v="10有岡小"/>
    <s v="単独"/>
    <s v="―"/>
    <s v="○"/>
    <s v="―"/>
    <s v="○"/>
    <s v="○"/>
    <s v="○"/>
    <s v="55"/>
    <m/>
    <s v="市有"/>
    <s v=""/>
    <s v="市有"/>
    <m/>
    <s v="地域の集会や活動に利用される地域利用型のコミュニティ施設。"/>
    <s v="○"/>
    <s v=""/>
    <s v="○"/>
    <s v="○"/>
    <s v=""/>
    <s v=""/>
    <s v="―"/>
    <s v="工業"/>
    <s v="60"/>
    <s v="200"/>
    <s v=""/>
    <m/>
    <m/>
    <m/>
    <s v="指管"/>
    <s v="東有岡センター管理運営委員会"/>
    <d v="2016-04-01T00:00:00"/>
    <d v="2021-03-31T00:00:00"/>
    <s v="非公募"/>
    <s v="9:00～21:00"/>
    <s v="日; 祝; 年末年始"/>
    <s v="集会室,休養室"/>
    <n v="0"/>
    <n v="29555"/>
    <n v="23134"/>
    <n v="6421"/>
    <n v="629"/>
    <n v="0.78300000000000003"/>
    <m/>
    <m/>
    <m/>
    <m/>
    <x v="0"/>
    <s v="○"/>
    <n v="120"/>
  </r>
  <r>
    <s v="076"/>
    <s v="0247"/>
    <s v="植松会場"/>
    <s v="市民自治部"/>
    <x v="7"/>
    <x v="7"/>
    <s v="G041100"/>
    <s v="伊丹市伊丹6丁目6番5号"/>
    <s v="行政財産"/>
    <s v="02集会施設"/>
    <s v="01共同利用施設"/>
    <s v="伊丹市共同利用施設等条例,公共用飛行場周辺における航空機騒音による障害の防止等に関する法律"/>
    <s v="1982"/>
    <s v="1982"/>
    <n v="194.4"/>
    <n v="162.68"/>
    <m/>
    <s v="○"/>
    <s v="○"/>
    <s v="10有岡小"/>
    <s v="単独"/>
    <s v="○"/>
    <s v="○"/>
    <s v="○"/>
    <s v="○"/>
    <s v="○"/>
    <s v="○"/>
    <s v="4"/>
    <m/>
    <s v="民地"/>
    <s v="岸田他"/>
    <s v="市有"/>
    <m/>
    <s v="地域の集会や活動に利用される地域利用型のコミュニティ施設。"/>
    <s v="○"/>
    <s v=""/>
    <s v="○"/>
    <s v=""/>
    <s v=""/>
    <s v=""/>
    <s v="―"/>
    <s v="第1種住居"/>
    <s v="60"/>
    <s v="200"/>
    <s v=""/>
    <s v="３種"/>
    <m/>
    <m/>
    <s v="指管"/>
    <s v="植松会場管理運営委員会"/>
    <d v="2016-04-01T00:00:00"/>
    <d v="2021-03-31T00:00:00"/>
    <s v="非公募"/>
    <s v="9:00～21:00"/>
    <s v="日; 祝; 年末年始"/>
    <s v="１階集会室,２階休養室"/>
    <n v="0"/>
    <n v="38230"/>
    <n v="29437"/>
    <n v="8793"/>
    <n v="813"/>
    <n v="0.77"/>
    <m/>
    <m/>
    <m/>
    <m/>
    <x v="0"/>
    <s v="○"/>
    <n v="162.68"/>
  </r>
  <r>
    <s v="077"/>
    <s v="0231"/>
    <s v="若竹センター"/>
    <s v="市民自治部"/>
    <x v="7"/>
    <x v="7"/>
    <s v="G041100"/>
    <s v="伊丹市奥畑2丁目147番地"/>
    <s v="行政財産"/>
    <s v="02集会施設"/>
    <s v="01共同利用施設"/>
    <s v="伊丹市共同利用施設等条例,公共用飛行場周辺における航空機騒音による障害の防止等に関する法律"/>
    <s v="1976"/>
    <s v="1976"/>
    <n v="308.08999999999997"/>
    <n v="147.6"/>
    <m/>
    <s v="○"/>
    <s v="○"/>
    <s v="11花里小"/>
    <s v="単独"/>
    <s v="○"/>
    <s v="○"/>
    <s v="―"/>
    <s v="○"/>
    <s v="○"/>
    <s v="―"/>
    <s v="―"/>
    <m/>
    <s v="市有"/>
    <s v=""/>
    <s v="市有"/>
    <m/>
    <s v="地域の集会や活動に利用される地域利用型のコミュニティ施設。"/>
    <s v="○"/>
    <s v=""/>
    <s v="○"/>
    <s v="○"/>
    <s v=""/>
    <s v=""/>
    <s v="―"/>
    <s v="第1種中高層住居専用"/>
    <s v="60"/>
    <s v="200"/>
    <s v=""/>
    <s v="２種"/>
    <m/>
    <m/>
    <s v="指管"/>
    <s v="若竹センター管理運営委員会"/>
    <d v="2016-04-01T00:00:00"/>
    <d v="2021-03-31T00:00:00"/>
    <s v="非公募"/>
    <s v="9:00～21:00"/>
    <s v="日; 祝; 年末年始"/>
    <s v="１階集会室,２階休養室"/>
    <n v="0"/>
    <n v="50232"/>
    <n v="32442"/>
    <n v="17790"/>
    <n v="1070"/>
    <n v="0.64600000000000002"/>
    <m/>
    <m/>
    <m/>
    <m/>
    <x v="0"/>
    <s v="○"/>
    <n v="147.6"/>
  </r>
  <r>
    <s v="078"/>
    <s v="0239"/>
    <s v="池尻南センター"/>
    <s v="市民自治部"/>
    <x v="7"/>
    <x v="7"/>
    <s v="G041100"/>
    <s v="伊丹市池尻1丁目199番地"/>
    <s v="行政財産"/>
    <s v="02集会施設"/>
    <s v="01共同利用施設"/>
    <s v="伊丹市共同利用施設等条例,公共用飛行場周辺における航空機騒音による障害の防止等に関する法律"/>
    <s v="1980"/>
    <s v="1980"/>
    <n v="116.55"/>
    <n v="140.43"/>
    <m/>
    <s v="○"/>
    <s v="○"/>
    <s v="11花里小"/>
    <s v="単独"/>
    <s v="○"/>
    <s v="○"/>
    <s v="―"/>
    <s v="○"/>
    <s v="○"/>
    <s v="○"/>
    <s v="53"/>
    <m/>
    <s v="市有"/>
    <s v=""/>
    <s v="市有"/>
    <m/>
    <s v="地域の集会や活動に利用される地域利用型のコミュニティ施設。"/>
    <s v="○"/>
    <s v=""/>
    <s v=""/>
    <s v="○"/>
    <s v=""/>
    <s v=""/>
    <s v="―"/>
    <s v="第1種中高層住居専用"/>
    <s v="60"/>
    <s v="200"/>
    <s v=""/>
    <s v="２種"/>
    <m/>
    <m/>
    <s v="指管"/>
    <s v="池尻南センター管理運営委員会"/>
    <d v="2016-04-01T00:00:00"/>
    <d v="2021-03-31T00:00:00"/>
    <s v="非公募"/>
    <s v="9:00～21:00"/>
    <s v="日; 祝; 年末年始"/>
    <s v="１階集会室,２階休養室"/>
    <n v="0"/>
    <n v="39729"/>
    <n v="28445"/>
    <n v="11283"/>
    <n v="845"/>
    <n v="0.71599999999999997"/>
    <m/>
    <m/>
    <m/>
    <m/>
    <x v="0"/>
    <s v="○"/>
    <n v="140.43"/>
  </r>
  <r>
    <s v="079"/>
    <s v="0234"/>
    <s v="野間笠松センター"/>
    <s v="市民自治部"/>
    <x v="7"/>
    <x v="7"/>
    <s v="G041100"/>
    <s v="伊丹市野間北4丁目4番28号"/>
    <s v="行政財産"/>
    <s v="02集会施設"/>
    <s v="01共同利用施設"/>
    <s v="伊丹市共同利用施設等条例,公共用飛行場周辺における航空機騒音による障害の防止等に関する法律"/>
    <s v="1977"/>
    <s v="1977"/>
    <n v="556.82000000000005"/>
    <n v="281.83"/>
    <m/>
    <s v="○"/>
    <s v="○"/>
    <s v="12昆陽里小"/>
    <s v="複合"/>
    <s v="○"/>
    <s v="○"/>
    <s v="―"/>
    <s v="○"/>
    <s v="○"/>
    <s v="○"/>
    <s v="16"/>
    <s v="野間分室"/>
    <s v="市有"/>
    <s v=""/>
    <s v="市有"/>
    <m/>
    <s v="地域の集会や活動に利用される地域利用型のコミュニティ施設。"/>
    <s v="○"/>
    <s v=""/>
    <s v="○"/>
    <s v="○"/>
    <s v=""/>
    <s v=""/>
    <s v="―"/>
    <s v="第2種中高層住居専用"/>
    <s v="60"/>
    <s v="200"/>
    <s v=""/>
    <s v="２種"/>
    <m/>
    <m/>
    <s v="指管"/>
    <s v="野間笠松センター管理運営委員会"/>
    <d v="2016-04-01T00:00:00"/>
    <d v="2021-03-31T00:00:00"/>
    <s v="非公募"/>
    <s v="9:00～21:00"/>
    <s v="日; 祝; 年末年始"/>
    <s v="１階集会室,２階休養室１,２階休養室２"/>
    <n v="4"/>
    <n v="58620"/>
    <n v="44185"/>
    <n v="14435"/>
    <n v="1249"/>
    <n v="0.754"/>
    <m/>
    <m/>
    <m/>
    <m/>
    <x v="0"/>
    <s v="○"/>
    <n v="281.83"/>
  </r>
  <r>
    <s v="080"/>
    <s v="0253"/>
    <s v="山田西在センター"/>
    <s v="市民自治部"/>
    <x v="7"/>
    <x v="7"/>
    <s v="G041100"/>
    <s v="伊丹市山田5丁目8番23号"/>
    <s v="行政財産"/>
    <s v="02集会施設"/>
    <s v="01共同利用施設"/>
    <s v="伊丹市共同利用施設等条例,公共用飛行場周辺における航空機騒音による障害の防止等に関する法律"/>
    <s v="1984"/>
    <s v="1984"/>
    <n v="259.99"/>
    <n v="138.28"/>
    <m/>
    <s v="○"/>
    <s v="○"/>
    <s v="12昆陽里小"/>
    <s v="単独"/>
    <s v="―"/>
    <s v="○"/>
    <s v="○"/>
    <s v="○"/>
    <s v="○"/>
    <s v="―"/>
    <s v="―"/>
    <m/>
    <s v="市有"/>
    <s v=""/>
    <s v="市有"/>
    <m/>
    <s v="地域の集会や活動に利用される地域利用型のコミュニティ施設。"/>
    <s v="○"/>
    <s v=""/>
    <s v="○"/>
    <s v=""/>
    <s v="○"/>
    <s v=""/>
    <s v="―"/>
    <s v="第1種中高層住居専用"/>
    <s v="60"/>
    <s v="200"/>
    <s v=""/>
    <s v="２種"/>
    <m/>
    <s v="地区計画（昆陽里地区）"/>
    <s v="指管"/>
    <s v="山田西在センター管理運営委員会"/>
    <d v="2016-04-01T00:00:00"/>
    <d v="2021-03-31T00:00:00"/>
    <s v="非公募"/>
    <s v="9:00～21:00"/>
    <s v="日; 祝; 年末年始"/>
    <s v="集会室,休養室"/>
    <n v="0"/>
    <n v="32496"/>
    <n v="23592"/>
    <n v="8904"/>
    <n v="691"/>
    <n v="0.72599999999999998"/>
    <m/>
    <m/>
    <m/>
    <m/>
    <x v="0"/>
    <s v="○"/>
    <n v="138.28"/>
  </r>
  <r>
    <s v="081"/>
    <s v="0261"/>
    <s v="寺本東センター"/>
    <s v="市民自治部"/>
    <x v="7"/>
    <x v="7"/>
    <s v="G041100"/>
    <s v="伊丹市寺本1丁目100番地"/>
    <s v="行政財産"/>
    <s v="02集会施設"/>
    <s v="01共同利用施設"/>
    <s v="伊丹市共同利用施設等条例,公共用飛行場周辺における航空機騒音による障害の防止等に関する法律"/>
    <s v="1987"/>
    <s v="1987"/>
    <n v="467.85"/>
    <n v="101.19"/>
    <m/>
    <s v="○"/>
    <s v="○"/>
    <s v="12昆陽里小"/>
    <s v="単独"/>
    <s v="○"/>
    <s v="○"/>
    <s v="○"/>
    <s v="○"/>
    <s v="○"/>
    <s v="―"/>
    <s v="―"/>
    <m/>
    <s v="市有"/>
    <s v=""/>
    <s v="市有"/>
    <m/>
    <s v="地域の集会や活動に利用される地域利用型のコミュニティ施設。"/>
    <s v=""/>
    <s v=""/>
    <s v=""/>
    <s v=""/>
    <s v=""/>
    <s v=""/>
    <s v="―"/>
    <s v="第1種中高層住居専用"/>
    <s v="60"/>
    <s v="200"/>
    <s v=""/>
    <s v="２種"/>
    <m/>
    <m/>
    <s v="指管"/>
    <s v="寺本東センター管理運営委員会"/>
    <d v="2016-04-01T00:00:00"/>
    <d v="2021-03-31T00:00:00"/>
    <s v="非公募"/>
    <s v="9:00～21:00"/>
    <s v="日; 祝; 年末年始"/>
    <s v="集会室,休養室"/>
    <n v="0"/>
    <n v="37223"/>
    <n v="25983"/>
    <n v="11240"/>
    <n v="999"/>
    <n v="0.69799999999999995"/>
    <m/>
    <m/>
    <m/>
    <m/>
    <x v="0"/>
    <s v="○"/>
    <n v="101.19"/>
  </r>
  <r>
    <s v="082"/>
    <s v="0263"/>
    <s v="山田東センター"/>
    <s v="市民自治部"/>
    <x v="7"/>
    <x v="7"/>
    <s v="G041100"/>
    <s v="伊丹市山田2丁目4番18号"/>
    <s v="行政財産"/>
    <s v="02集会施設"/>
    <s v="01共同利用施設"/>
    <s v="伊丹市共同利用施設等条例,公共用飛行場周辺における航空機騒音による障害の防止等に関する法律"/>
    <s v="1988"/>
    <s v="1988"/>
    <n v="230.25"/>
    <n v="107.04"/>
    <m/>
    <s v="○"/>
    <s v="○"/>
    <s v="12昆陽里小"/>
    <s v="単独"/>
    <s v="○"/>
    <s v="○"/>
    <s v="○"/>
    <s v="○"/>
    <s v="○"/>
    <s v="―"/>
    <s v="―"/>
    <m/>
    <s v="民地"/>
    <s v="白井"/>
    <s v="市有"/>
    <m/>
    <s v="地域の集会や活動に利用される地域利用型のコミュニティ施設。"/>
    <s v="○"/>
    <s v=""/>
    <s v="○"/>
    <s v=""/>
    <s v=""/>
    <s v=""/>
    <s v="―"/>
    <s v="第1種中高層住居専用"/>
    <s v="60"/>
    <s v="200"/>
    <s v=""/>
    <s v="２種"/>
    <m/>
    <m/>
    <s v="指管"/>
    <s v="山田東センター管理運営委員会"/>
    <d v="2016-04-01T00:00:00"/>
    <d v="2021-03-31T00:00:00"/>
    <s v="非公募"/>
    <s v="9:00～21:00"/>
    <s v="日; 祝; 年末年始"/>
    <s v="集会室,休養室"/>
    <n v="0"/>
    <n v="49231"/>
    <n v="29222"/>
    <n v="20009"/>
    <n v="1324"/>
    <n v="0.59399999999999997"/>
    <m/>
    <m/>
    <m/>
    <m/>
    <x v="0"/>
    <s v="○"/>
    <n v="107.04"/>
  </r>
  <r>
    <s v="083"/>
    <s v="0217"/>
    <s v="堀池センター"/>
    <s v="市民自治部"/>
    <x v="5"/>
    <x v="5"/>
    <s v="G043300"/>
    <s v="伊丹市堀池2丁目2番20号"/>
    <s v="行政財産"/>
    <s v="02集会施設"/>
    <s v="01共同利用施設"/>
    <m/>
    <s v="1974"/>
    <s v="1974"/>
    <n v="1519"/>
    <m/>
    <m/>
    <m/>
    <m/>
    <s v="13摂陽小"/>
    <s v="複合"/>
    <s v="○"/>
    <s v="○"/>
    <s v="○"/>
    <s v="○"/>
    <s v="○"/>
    <s v="―"/>
    <s v="―"/>
    <s v="人権啓発ｾﾝﾀｰ"/>
    <s v="市有"/>
    <s v=""/>
    <s v="市有"/>
    <m/>
    <s v="地域の集会や活動に利用される地域利用型のコミュニティ施設。"/>
    <s v="○"/>
    <s v="○"/>
    <s v="○"/>
    <s v="○"/>
    <s v="○"/>
    <s v="○"/>
    <s v="―"/>
    <s v="第1種中高層住居専用"/>
    <s v="60"/>
    <s v="200"/>
    <m/>
    <m/>
    <m/>
    <m/>
    <s v="直営"/>
    <m/>
    <m/>
    <m/>
    <m/>
    <s v="9:00～21:00"/>
    <s v="土; 日; 祝; 年末年始"/>
    <m/>
    <m/>
    <s v=""/>
    <s v=""/>
    <s v=""/>
    <s v=""/>
    <n v="0"/>
    <m/>
    <m/>
    <m/>
    <m/>
    <x v="0"/>
    <s v="○"/>
    <n v="0"/>
  </r>
  <r>
    <s v="084"/>
    <s v="0232"/>
    <s v="美鈴センター"/>
    <s v="市民自治部"/>
    <x v="7"/>
    <x v="7"/>
    <s v="G041100"/>
    <s v="伊丹市美鈴町4丁目22番地の4"/>
    <s v="行政財産"/>
    <s v="02集会施設"/>
    <s v="01共同利用施設"/>
    <s v="伊丹市共同利用施設等条例,公共用飛行場周辺における航空機騒音による障害の防止等に関する法律"/>
    <s v="1976"/>
    <s v="1976"/>
    <n v="681"/>
    <n v="135.5"/>
    <m/>
    <s v="○"/>
    <s v="○"/>
    <s v="13摂陽小"/>
    <s v="単独"/>
    <s v="○"/>
    <s v="○"/>
    <s v="―"/>
    <s v="○"/>
    <s v="○"/>
    <s v="―"/>
    <s v="―"/>
    <m/>
    <s v="市有"/>
    <s v=""/>
    <s v="市有"/>
    <m/>
    <s v="地域の集会や活動に利用される地域利用型のコミュニティ施設。"/>
    <s v="○"/>
    <s v=""/>
    <s v="○"/>
    <s v="○"/>
    <s v=""/>
    <s v=""/>
    <s v="―"/>
    <s v="第1種中高層住居専用"/>
    <s v="60"/>
    <s v="200"/>
    <s v=""/>
    <s v="２種"/>
    <m/>
    <m/>
    <s v="指管"/>
    <s v="美鈴センター管理運営委員会"/>
    <d v="2016-04-01T00:00:00"/>
    <d v="2021-03-31T00:00:00"/>
    <s v="非公募"/>
    <s v="9:00～21:00"/>
    <s v="日; 祝; 年末年始"/>
    <s v="集会室,休養室"/>
    <n v="1"/>
    <n v="58534"/>
    <n v="37028"/>
    <n v="21506"/>
    <n v="1456"/>
    <n v="0.63300000000000001"/>
    <m/>
    <m/>
    <m/>
    <m/>
    <x v="0"/>
    <s v="○"/>
    <n v="135.5"/>
  </r>
  <r>
    <s v="085"/>
    <s v="0245"/>
    <s v="よつばセンター"/>
    <s v="市民自治部"/>
    <x v="7"/>
    <x v="7"/>
    <s v="G041100"/>
    <s v="伊丹市昆陽東6丁目3番28号"/>
    <s v="行政財産"/>
    <s v="02集会施設"/>
    <s v="01共同利用施設"/>
    <s v="伊丹市共同利用施設等条例,公共用飛行場周辺における航空機騒音による障害の防止等に関する法律"/>
    <s v="1982"/>
    <s v="1982"/>
    <n v="770"/>
    <n v="400.8"/>
    <m/>
    <s v="○"/>
    <s v="○"/>
    <s v="13摂陽小"/>
    <s v="単独"/>
    <s v="○"/>
    <s v="○"/>
    <s v="○"/>
    <s v="○"/>
    <s v="○"/>
    <s v="○"/>
    <s v="8"/>
    <m/>
    <s v="市有"/>
    <s v=""/>
    <s v="市有"/>
    <m/>
    <s v="地域の集会や活動に利用される地域利用型のコミュニティ施設。"/>
    <s v="○"/>
    <s v=""/>
    <s v="○"/>
    <s v="○"/>
    <s v=""/>
    <s v=""/>
    <s v="―"/>
    <s v="第2種中高層住居専用"/>
    <s v="60"/>
    <s v="200"/>
    <s v=""/>
    <s v="２種"/>
    <m/>
    <m/>
    <s v="指管"/>
    <s v="よつばセンター管理運営委員会"/>
    <d v="2016-04-01T00:00:00"/>
    <d v="2021-03-31T00:00:00"/>
    <s v="非公募"/>
    <s v="9:00～21:00"/>
    <s v="日; 祝; 年末年始"/>
    <s v="１階集会室,２階休養室,２階学習室,２階図書室"/>
    <n v="2"/>
    <n v="105518"/>
    <n v="77899"/>
    <n v="27619"/>
    <n v="2463"/>
    <n v="0.73799999999999999"/>
    <m/>
    <m/>
    <m/>
    <m/>
    <x v="0"/>
    <s v="○"/>
    <n v="400.8"/>
  </r>
  <r>
    <s v="086"/>
    <s v="0252"/>
    <s v="せつようセンター"/>
    <s v="市民自治部"/>
    <x v="7"/>
    <x v="7"/>
    <s v="G041100"/>
    <s v="伊丹市昆陽南3丁目3番6号"/>
    <s v="行政財産"/>
    <s v="02集会施設"/>
    <s v="01共同利用施設"/>
    <s v="伊丹市共同利用施設等条例,公共用飛行場周辺における航空機騒音による障害の防止等に関する法律"/>
    <s v="1983"/>
    <s v="1983"/>
    <n v="551.46"/>
    <n v="327.84"/>
    <m/>
    <s v="○"/>
    <s v="○"/>
    <s v="13摂陽小"/>
    <s v="単独"/>
    <s v="○"/>
    <s v="○"/>
    <s v="○"/>
    <s v="○"/>
    <s v="○"/>
    <s v="○"/>
    <s v="9"/>
    <m/>
    <s v="市有"/>
    <s v=""/>
    <s v="市有"/>
    <m/>
    <s v="地域の集会や活動に利用される地域利用型のコミュニティ施設。"/>
    <s v="○"/>
    <s v=""/>
    <s v="○"/>
    <s v=""/>
    <s v=""/>
    <s v=""/>
    <s v="―"/>
    <s v="第1種中高層住居専用"/>
    <s v="60"/>
    <s v="200"/>
    <s v=""/>
    <s v="２種"/>
    <m/>
    <m/>
    <s v="指管"/>
    <s v="せつようセンター管理運営委員会"/>
    <d v="2016-04-01T00:00:00"/>
    <d v="2021-03-31T00:00:00"/>
    <s v="非公募"/>
    <s v="9:00～21:00"/>
    <s v="日; 祝; 年末年始"/>
    <s v="集会室,休養室,学習室"/>
    <n v="0"/>
    <n v="95095"/>
    <n v="60852"/>
    <n v="34243"/>
    <n v="2023"/>
    <n v="0.64"/>
    <m/>
    <m/>
    <m/>
    <m/>
    <x v="0"/>
    <s v="○"/>
    <n v="327.84"/>
  </r>
  <r>
    <s v="087"/>
    <s v="0210"/>
    <s v="ゆうかりセンター"/>
    <s v="市民自治部"/>
    <x v="7"/>
    <x v="7"/>
    <s v="G041100"/>
    <s v="伊丹市鈴原町2丁目4番地"/>
    <s v="行政財産"/>
    <s v="02集会施設"/>
    <s v="01共同利用施設"/>
    <s v="伊丹市共同利用施設等条例,公共用飛行場周辺における航空機騒音による障害の防止等に関する法律"/>
    <s v="1973"/>
    <s v="1973"/>
    <n v="630"/>
    <n v="334.97"/>
    <m/>
    <s v="○"/>
    <s v="○"/>
    <s v="14鈴原小"/>
    <s v="単独"/>
    <s v="○"/>
    <s v="○"/>
    <s v="―"/>
    <s v="○"/>
    <s v="○"/>
    <s v="○"/>
    <s v="7"/>
    <m/>
    <s v="市有"/>
    <s v=""/>
    <s v="市有"/>
    <m/>
    <s v="地域の集会や活動に利用される地域利用型のコミュニティ施設。"/>
    <s v="○"/>
    <s v=""/>
    <s v="○"/>
    <s v=""/>
    <s v="○"/>
    <s v="○"/>
    <s v="―"/>
    <s v="第1種低層住居専用"/>
    <s v="50"/>
    <s v="100"/>
    <s v=""/>
    <s v="１種"/>
    <m/>
    <m/>
    <s v="指管"/>
    <s v="ゆうかりセンター管理運営委員会"/>
    <d v="2016-04-01T00:00:00"/>
    <d v="2021-03-31T00:00:00"/>
    <s v="非公募"/>
    <s v="9:00～21:00"/>
    <s v="日; 祝; 年末年始"/>
    <s v="１階集会室,２階和室１,２階和室２,２階学習室"/>
    <n v="0"/>
    <n v="93224"/>
    <n v="80374"/>
    <n v="12850"/>
    <n v="1983"/>
    <n v="0.86199999999999999"/>
    <m/>
    <m/>
    <m/>
    <m/>
    <x v="0"/>
    <s v="○"/>
    <n v="334.97"/>
  </r>
  <r>
    <s v="088"/>
    <s v="0218"/>
    <s v="南菱センター"/>
    <s v="市民自治部"/>
    <x v="7"/>
    <x v="7"/>
    <s v="G041100"/>
    <s v="伊丹市南鈴原3丁目49番地"/>
    <s v="行政財産"/>
    <s v="02集会施設"/>
    <s v="01共同利用施設"/>
    <s v="伊丹市共同利用施設等条例,公共用飛行場周辺における航空機騒音による障害の防止等に関する法律"/>
    <s v="1974"/>
    <s v="1974"/>
    <n v="288.12"/>
    <n v="131"/>
    <m/>
    <s v="○"/>
    <s v="○"/>
    <s v="14鈴原小"/>
    <s v="単独"/>
    <s v="―"/>
    <s v="○"/>
    <s v="―"/>
    <s v="○"/>
    <s v="○"/>
    <s v="○"/>
    <s v="45"/>
    <m/>
    <s v="市有"/>
    <s v=""/>
    <s v="市有"/>
    <m/>
    <s v="地域の集会や活動に利用される地域利用型のコミュニティ施設。"/>
    <s v="○"/>
    <s v=""/>
    <s v="○"/>
    <s v=""/>
    <s v=""/>
    <s v=""/>
    <s v="―"/>
    <s v="第1種低層住居専用"/>
    <s v="50"/>
    <s v="100"/>
    <s v=""/>
    <s v="１種"/>
    <m/>
    <m/>
    <s v="指管"/>
    <s v="南菱センター管理運営委員会"/>
    <d v="2016-04-01T00:00:00"/>
    <d v="2021-03-31T00:00:00"/>
    <s v="非公募"/>
    <s v="9:00～21:00"/>
    <s v="日; 祝; 年末年始"/>
    <s v="会議室,休養室"/>
    <n v="1"/>
    <n v="34460"/>
    <n v="29981"/>
    <n v="4479"/>
    <n v="733"/>
    <n v="0.87"/>
    <m/>
    <m/>
    <m/>
    <m/>
    <x v="0"/>
    <s v="○"/>
    <n v="131"/>
  </r>
  <r>
    <s v="089"/>
    <s v="0236"/>
    <s v="さつきセンター"/>
    <s v="市民自治部"/>
    <x v="7"/>
    <x v="7"/>
    <s v="G041100"/>
    <s v="伊丹市南鈴原4丁目42番地"/>
    <s v="行政財産"/>
    <s v="02集会施設"/>
    <s v="01共同利用施設"/>
    <s v="伊丹市共同利用施設等条例,公共用飛行場周辺における航空機騒音による障害の防止等に関する法律"/>
    <s v="1979"/>
    <s v="1979"/>
    <n v="425"/>
    <n v="120"/>
    <m/>
    <s v="○"/>
    <s v="○"/>
    <s v="14鈴原小"/>
    <s v="単独"/>
    <s v="―"/>
    <s v="○"/>
    <s v="―"/>
    <s v="○"/>
    <s v="○"/>
    <s v="―"/>
    <s v="―"/>
    <m/>
    <s v="市有"/>
    <s v=""/>
    <s v="市有"/>
    <m/>
    <s v="地域の集会や活動に利用される地域利用型のコミュニティ施設。"/>
    <s v="○"/>
    <s v=""/>
    <s v="○"/>
    <s v=""/>
    <s v=""/>
    <s v=""/>
    <s v="―"/>
    <s v="第1種低層住居専用"/>
    <s v="50"/>
    <s v="100"/>
    <s v=""/>
    <s v="１種"/>
    <m/>
    <m/>
    <s v="指管"/>
    <s v="さつきセンター管理運営委員会"/>
    <d v="2016-04-01T00:00:00"/>
    <d v="2021-03-31T00:00:00"/>
    <s v="非公募"/>
    <s v="9:00～21:00"/>
    <s v="日; 祝; 年末年始"/>
    <s v="集会室,休養室"/>
    <n v="0"/>
    <n v="30962"/>
    <n v="24003"/>
    <n v="6958"/>
    <n v="659"/>
    <n v="0.77500000000000002"/>
    <m/>
    <m/>
    <m/>
    <m/>
    <x v="0"/>
    <s v="○"/>
    <n v="120"/>
  </r>
  <r>
    <s v="090"/>
    <s v="0212"/>
    <s v="大野センター"/>
    <s v="市民自治部"/>
    <x v="7"/>
    <x v="7"/>
    <s v="G041100"/>
    <s v="伊丹市大野3丁目5番地"/>
    <s v="行政財産"/>
    <s v="02集会施設"/>
    <s v="01共同利用施設"/>
    <s v="伊丹市共同利用施設等条例,公共用飛行場周辺における航空機騒音による障害の防止等に関する法律"/>
    <s v="1973"/>
    <s v="1973"/>
    <n v="313.94"/>
    <n v="136.4"/>
    <m/>
    <s v="○"/>
    <s v="○"/>
    <s v="15荻野小"/>
    <s v="単独"/>
    <s v="○"/>
    <s v="○"/>
    <s v="―"/>
    <s v="○"/>
    <s v="○"/>
    <s v="○"/>
    <s v="44"/>
    <m/>
    <s v="市有"/>
    <s v=""/>
    <s v="市有"/>
    <m/>
    <s v="地域の集会や活動に利用される地域利用型のコミュニティ施設。"/>
    <s v="○"/>
    <s v=""/>
    <s v="○"/>
    <s v=""/>
    <s v=""/>
    <s v=""/>
    <s v="―"/>
    <s v="第1種中高層住居専用"/>
    <s v="60"/>
    <s v="200"/>
    <s v=""/>
    <s v="２種"/>
    <m/>
    <m/>
    <s v="指管"/>
    <s v="大野センター管理運営委員会"/>
    <d v="2016-04-01T00:00:00"/>
    <d v="2021-03-31T00:00:00"/>
    <s v="非公募"/>
    <s v="9:00～21:00"/>
    <s v="日; 祝; 年末年始"/>
    <s v="集会室,会議室"/>
    <n v="1"/>
    <n v="34322"/>
    <n v="31278"/>
    <n v="3044"/>
    <n v="730"/>
    <n v="0.91100000000000003"/>
    <m/>
    <m/>
    <m/>
    <m/>
    <x v="0"/>
    <s v="○"/>
    <n v="136.4"/>
  </r>
  <r>
    <s v="091"/>
    <s v="0220"/>
    <s v="荻野センター"/>
    <s v="市民自治部"/>
    <x v="7"/>
    <x v="7"/>
    <s v="G041100"/>
    <s v="伊丹市荻野3丁目73番地"/>
    <s v="行政財産"/>
    <s v="02集会施設"/>
    <s v="01共同利用施設"/>
    <s v="伊丹市共同利用施設等条例,公共用飛行場周辺における航空機騒音による障害の防止等に関する法律"/>
    <s v="1974"/>
    <s v="1974"/>
    <n v="625.76"/>
    <n v="375"/>
    <m/>
    <s v="○"/>
    <s v="○"/>
    <s v="15荻野小"/>
    <s v="単独"/>
    <s v="○"/>
    <s v="○"/>
    <s v="―"/>
    <s v="○"/>
    <s v="○"/>
    <s v="○"/>
    <s v="50"/>
    <m/>
    <s v="市有"/>
    <s v=""/>
    <s v="市有"/>
    <m/>
    <s v="地域の集会や活動に利用される地域利用型のコミュニティ施設。"/>
    <s v="○"/>
    <s v=""/>
    <s v="○"/>
    <s v=""/>
    <s v=""/>
    <s v=""/>
    <s v="―"/>
    <s v="第1種中高層住居専用"/>
    <s v="60"/>
    <s v="200"/>
    <s v=""/>
    <s v="２種"/>
    <m/>
    <m/>
    <s v="指管"/>
    <s v="荻野センター管理運営委員会"/>
    <d v="2016-04-01T00:00:00"/>
    <d v="2021-03-31T00:00:00"/>
    <s v="非公募"/>
    <s v="9:00～21:00"/>
    <s v="日; 祝; 年末年始"/>
    <s v="１階集会室１,１階集会室２,２階休養室１,２階休養室２,２階学習室"/>
    <n v="3"/>
    <n v="118379"/>
    <n v="86841"/>
    <n v="31538"/>
    <n v="2519"/>
    <n v="0.73399999999999999"/>
    <m/>
    <m/>
    <m/>
    <m/>
    <x v="0"/>
    <s v="○"/>
    <n v="375"/>
  </r>
  <r>
    <s v="092"/>
    <s v="0235"/>
    <s v="西野センター"/>
    <s v="市民自治部"/>
    <x v="7"/>
    <x v="7"/>
    <s v="G041100"/>
    <s v="伊丹市西野3丁目76番地"/>
    <s v="行政財産"/>
    <s v="02集会施設"/>
    <s v="01共同利用施設"/>
    <s v="伊丹市共同利用施設等条例,公共用飛行場周辺における航空機騒音による障害の防止等に関する法律"/>
    <s v="1979"/>
    <s v="1979"/>
    <n v="290.04000000000002"/>
    <n v="122.3"/>
    <m/>
    <s v="○"/>
    <s v="○"/>
    <s v="16池尻小"/>
    <s v="単独"/>
    <s v="○"/>
    <s v="○"/>
    <s v="―"/>
    <s v="○"/>
    <s v="○"/>
    <s v="○"/>
    <s v="47"/>
    <m/>
    <s v="市有"/>
    <s v=""/>
    <s v="市有"/>
    <m/>
    <s v="地域の集会や活動に利用される地域利用型のコミュニティ施設。"/>
    <s v="○"/>
    <s v=""/>
    <s v="○"/>
    <s v="○"/>
    <s v=""/>
    <s v=""/>
    <s v="―"/>
    <s v="第1種中高層住居専用"/>
    <s v="60"/>
    <s v="200"/>
    <s v=""/>
    <s v="２種"/>
    <m/>
    <m/>
    <s v="指管"/>
    <s v="西野センター管理運営委員会"/>
    <d v="2016-04-01T00:00:00"/>
    <d v="2021-03-31T00:00:00"/>
    <s v="非公募"/>
    <s v="9:00～21:00"/>
    <s v="日; 祝; 年末年始"/>
    <s v="集会室,休養室"/>
    <n v="0"/>
    <n v="34715"/>
    <n v="24421"/>
    <n v="10294"/>
    <n v="739"/>
    <n v="0.70299999999999996"/>
    <m/>
    <m/>
    <m/>
    <m/>
    <x v="0"/>
    <s v="○"/>
    <n v="122.3"/>
  </r>
  <r>
    <s v="093"/>
    <s v="0248"/>
    <s v="池尻文化センター"/>
    <s v="市民自治部"/>
    <x v="7"/>
    <x v="7"/>
    <s v="G041100"/>
    <s v="伊丹市池尻6丁目172番地の1"/>
    <s v="行政財産"/>
    <s v="02集会施設"/>
    <s v="01共同利用施設"/>
    <s v="伊丹市共同利用施設等条例,公共用飛行場周辺における航空機騒音による障害の防止等に関する法律"/>
    <s v="1982"/>
    <s v="1982"/>
    <n v="866.29"/>
    <n v="406.53"/>
    <m/>
    <s v="○"/>
    <s v="○"/>
    <s v="16池尻小"/>
    <s v="単独"/>
    <s v="○"/>
    <s v="○"/>
    <s v="○"/>
    <s v="○"/>
    <s v="○"/>
    <s v="○"/>
    <s v="30"/>
    <m/>
    <s v="市有"/>
    <s v=""/>
    <s v="市有"/>
    <m/>
    <s v="地域の集会や活動に利用される地域利用型のコミュニティ施設。"/>
    <s v="○"/>
    <s v=""/>
    <s v="○"/>
    <s v=""/>
    <s v=""/>
    <s v=""/>
    <s v="―"/>
    <s v="第1種中高層住居専用"/>
    <s v="60"/>
    <s v="200"/>
    <s v=""/>
    <s v="２種"/>
    <m/>
    <s v="地区計画（池尻地区）"/>
    <s v="指管"/>
    <s v="池尻文化センター管理運営委員会"/>
    <d v="2016-04-01T00:00:00"/>
    <d v="2021-03-31T00:00:00"/>
    <s v="非公募"/>
    <s v="9:00～21:00"/>
    <s v="日; 祝; 年末年始"/>
    <s v="１階集会室,１階学習室,２階休養室,１階調理室"/>
    <n v="1"/>
    <n v="113153"/>
    <n v="75705"/>
    <n v="37447"/>
    <n v="3018"/>
    <n v="0.66900000000000004"/>
    <m/>
    <m/>
    <m/>
    <m/>
    <x v="0"/>
    <s v="○"/>
    <n v="406.53"/>
  </r>
  <r>
    <s v="094"/>
    <s v="0270"/>
    <s v="武庫川センター"/>
    <s v="市民自治部"/>
    <x v="7"/>
    <x v="7"/>
    <s v="G041100"/>
    <s v="伊丹市西野5丁目300番地"/>
    <s v="行政財産"/>
    <s v="02集会施設"/>
    <s v="01共同利用施設"/>
    <s v="伊丹市共同利用施設等条例,公共用飛行場周辺における航空機騒音による障害の防止等に関する法律"/>
    <s v="1992"/>
    <s v="1992"/>
    <n v="355.01"/>
    <n v="247"/>
    <m/>
    <s v="○"/>
    <s v="○"/>
    <s v="16池尻小"/>
    <s v="単独"/>
    <s v="○"/>
    <s v="○"/>
    <s v="○"/>
    <s v="○"/>
    <s v="○"/>
    <s v="―"/>
    <s v="―"/>
    <m/>
    <s v="市有"/>
    <s v=""/>
    <s v="市有"/>
    <m/>
    <s v="地域の集会や活動に利用される地域利用型のコミュニティ施設。"/>
    <s v="○"/>
    <s v=""/>
    <s v="○"/>
    <s v=""/>
    <s v=""/>
    <s v=""/>
    <s v="○"/>
    <s v="準工業"/>
    <s v="60"/>
    <s v="200"/>
    <s v="大規模集客施設立地規制"/>
    <m/>
    <m/>
    <m/>
    <s v="指管"/>
    <s v="武庫川センター管理運営委員会"/>
    <d v="2016-04-01T00:00:00"/>
    <d v="2021-03-31T00:00:00"/>
    <s v="非公募"/>
    <s v="9:00～21:00"/>
    <s v="日; 祝; 年末年始"/>
    <s v="１階集会室,２階休養室"/>
    <n v="0"/>
    <n v="69614"/>
    <n v="35021"/>
    <n v="34593"/>
    <n v="1684"/>
    <n v="0.503"/>
    <m/>
    <m/>
    <m/>
    <m/>
    <x v="0"/>
    <s v="○"/>
    <n v="247"/>
  </r>
  <r>
    <s v="095"/>
    <s v="0222"/>
    <s v="鴻池センター"/>
    <s v="市民自治部"/>
    <x v="7"/>
    <x v="7"/>
    <s v="G041100"/>
    <s v="伊丹市鴻池6丁目6番19号"/>
    <s v="行政財産"/>
    <s v="02集会施設"/>
    <s v="01共同利用施設"/>
    <s v="伊丹市共同利用施設等条例,公共用飛行場周辺における航空機騒音による障害の防止等に関する法律"/>
    <s v="1975"/>
    <s v="1975"/>
    <n v="552.72"/>
    <n v="425.25"/>
    <m/>
    <s v="○"/>
    <s v="○"/>
    <s v="17鴻池小"/>
    <s v="単独"/>
    <s v="○"/>
    <s v="○"/>
    <s v="―"/>
    <s v="○"/>
    <s v="○"/>
    <s v="○"/>
    <s v="26"/>
    <m/>
    <s v="市有"/>
    <s v=""/>
    <s v="市有"/>
    <m/>
    <s v="地域の集会や活動に利用される地域利用型のコミュニティ施設。"/>
    <s v="○"/>
    <s v=""/>
    <s v="○"/>
    <s v=""/>
    <s v=""/>
    <s v=""/>
    <s v="―"/>
    <s v="第1種中高層住居専用"/>
    <s v="60"/>
    <s v="200"/>
    <s v=""/>
    <s v="２種"/>
    <m/>
    <s v="地区計画（鴻池地区）"/>
    <s v="指管"/>
    <s v="鴻池センター管理運営委員会"/>
    <d v="2016-04-01T00:00:00"/>
    <d v="2021-03-31T00:00:00"/>
    <s v="非公募"/>
    <s v="9:00～21:00"/>
    <s v="日; 祝; 年末年始"/>
    <s v="１階集会室１,１階集会室２,２階和室１,２階和室２,２階学習室"/>
    <n v="2"/>
    <n v="104050"/>
    <n v="92882"/>
    <n v="11168"/>
    <n v="2214"/>
    <n v="0.89300000000000002"/>
    <m/>
    <m/>
    <m/>
    <m/>
    <x v="0"/>
    <s v="○"/>
    <n v="425.25"/>
  </r>
  <r>
    <s v="096"/>
    <s v="0227"/>
    <s v="南畑センター"/>
    <s v="市民自治部"/>
    <x v="7"/>
    <x v="7"/>
    <s v="G041100"/>
    <s v="伊丹市鴻池1丁目2番12号"/>
    <s v="行政財産"/>
    <s v="02集会施設"/>
    <s v="01共同利用施設"/>
    <s v="伊丹市共同利用施設等条例,公共用飛行場周辺における航空機騒音による障害の防止等に関する法律"/>
    <s v="1976"/>
    <s v="1976"/>
    <n v="204.81"/>
    <n v="182.4"/>
    <m/>
    <s v="○"/>
    <s v="○"/>
    <s v="17鴻池小"/>
    <s v="単独"/>
    <s v="○"/>
    <s v="○"/>
    <s v="―"/>
    <s v="○"/>
    <s v="○"/>
    <s v="○"/>
    <s v="46"/>
    <m/>
    <s v="市有"/>
    <s v=""/>
    <s v="市有"/>
    <m/>
    <s v="地域の集会や活動に利用される地域利用型のコミュニティ施設。"/>
    <s v="○"/>
    <s v=""/>
    <s v="○"/>
    <s v=""/>
    <s v=""/>
    <s v=""/>
    <s v="―"/>
    <s v="第2種中高層住居専用"/>
    <s v="60"/>
    <s v="200"/>
    <s v=""/>
    <s v="２種"/>
    <m/>
    <m/>
    <s v="指管"/>
    <s v="南畑センター管理運営委員会"/>
    <d v="2016-04-01T00:00:00"/>
    <d v="2021-03-31T00:00:00"/>
    <s v="非公募"/>
    <s v="9:00～21:00"/>
    <s v="日; 祝; 年末年始"/>
    <s v="１階集会室,２階休養室１,２階休養室２"/>
    <n v="0"/>
    <n v="46298"/>
    <n v="40099"/>
    <n v="6199"/>
    <n v="985"/>
    <n v="0.86599999999999999"/>
    <m/>
    <m/>
    <m/>
    <m/>
    <x v="0"/>
    <s v="○"/>
    <n v="182.4"/>
  </r>
  <r>
    <s v="097"/>
    <s v="0256"/>
    <s v="瑞原センター"/>
    <s v="市民自治部"/>
    <x v="7"/>
    <x v="7"/>
    <s v="G041100"/>
    <s v="伊丹市瑞原3丁目63番地"/>
    <s v="行政財産"/>
    <s v="02集会施設"/>
    <s v="01共同利用施設"/>
    <s v="伊丹市共同利用施設等条例,公共用飛行場周辺における航空機騒音による障害の防止等に関する法律"/>
    <s v="1984"/>
    <s v="1984"/>
    <n v="2713"/>
    <n v="107.22"/>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瑞原センター管理運営委員会"/>
    <d v="2016-04-01T00:00:00"/>
    <d v="2021-03-31T00:00:00"/>
    <s v="非公募"/>
    <s v="9:00～21:00"/>
    <s v="日; 祝; 年末年始"/>
    <s v="１階集会室,２階休養室"/>
    <n v="1"/>
    <n v="30594"/>
    <n v="18095"/>
    <n v="12499"/>
    <n v="651"/>
    <n v="0.59099999999999997"/>
    <m/>
    <m/>
    <m/>
    <m/>
    <x v="0"/>
    <s v="○"/>
    <n v="107.22"/>
  </r>
  <r>
    <s v="098"/>
    <s v="0259"/>
    <s v="中野東センター"/>
    <s v="市民自治部"/>
    <x v="7"/>
    <x v="7"/>
    <s v="G041100"/>
    <s v="伊丹市中野東2丁目32番地"/>
    <s v="行政財産"/>
    <s v="02集会施設"/>
    <s v="01共同利用施設"/>
    <s v="伊丹市共同利用施設等条例,公共用飛行場周辺における航空機騒音による障害の防止等に関する法律"/>
    <s v="1987"/>
    <s v="1987"/>
    <n v="640.1"/>
    <n v="110.25"/>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中野東センター管理運営委員会"/>
    <d v="2016-04-01T00:00:00"/>
    <d v="2021-03-31T00:00:00"/>
    <s v="非公募"/>
    <s v="9:00～21:00"/>
    <s v="日; 祝; 年末年始"/>
    <s v="集会室,休養室"/>
    <n v="0"/>
    <n v="42078"/>
    <n v="29722"/>
    <n v="12355"/>
    <n v="1208"/>
    <n v="0.70599999999999996"/>
    <m/>
    <m/>
    <m/>
    <m/>
    <x v="0"/>
    <s v="○"/>
    <n v="110.25"/>
  </r>
  <r>
    <s v="099"/>
    <s v="0265"/>
    <s v="南荻野センター"/>
    <s v="市民自治部"/>
    <x v="7"/>
    <x v="7"/>
    <s v="G041100"/>
    <s v="伊丹市荻野西1丁目1番13号"/>
    <s v="行政財産"/>
    <s v="02集会施設"/>
    <s v="01共同利用施設"/>
    <s v="伊丹市共同利用施設等条例,公共用飛行場周辺における航空機騒音による障害の防止等に関する法律"/>
    <s v="1989"/>
    <s v="1989"/>
    <n v="170.75"/>
    <n v="128.34"/>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南荻野センター管理運営委員会"/>
    <d v="2016-04-01T00:00:00"/>
    <d v="2021-03-31T00:00:00"/>
    <s v="非公募"/>
    <s v="9:00～21:00"/>
    <s v="日; 祝; 年末年始"/>
    <s v="１階集会室,２階休養室"/>
    <n v="0"/>
    <n v="46258"/>
    <n v="27019"/>
    <n v="19239"/>
    <n v="984"/>
    <n v="0.58399999999999996"/>
    <m/>
    <m/>
    <m/>
    <m/>
    <x v="0"/>
    <s v="○"/>
    <n v="128.34"/>
  </r>
  <r>
    <s v="100"/>
    <s v="1075"/>
    <s v="中央公民館"/>
    <s v="教育委員会"/>
    <x v="10"/>
    <x v="10"/>
    <s v="G600309"/>
    <s v="伊丹市千僧1丁目1番地1"/>
    <s v="行政財産"/>
    <s v="03文化・社会教育系施設"/>
    <s v="01多目的施設"/>
    <s v="社会教育法,伊丹市立公民館条例"/>
    <s v="1973"/>
    <s v="1973"/>
    <n v="2813.11"/>
    <n v="3494.27"/>
    <m/>
    <s v="○"/>
    <s v="○"/>
    <s v="02稲野小"/>
    <s v="単独"/>
    <s v="―"/>
    <s v="―"/>
    <s v="―"/>
    <s v="―"/>
    <s v="―"/>
    <s v="―"/>
    <s v="―"/>
    <m/>
    <s v="市有"/>
    <m/>
    <s v="市有"/>
    <m/>
    <s v="市民の教養の向上、健康の増進、情操の純化を図り、生活文化の振興、社会福祉の増進に寄与することを目的とした施設。"/>
    <s v="○"/>
    <s v="―"/>
    <s v="○"/>
    <s v="○"/>
    <s v="○"/>
    <s v="―"/>
    <s v="―"/>
    <s v="第2種住居"/>
    <s v="60"/>
    <s v="200"/>
    <m/>
    <s v="３種"/>
    <m/>
    <m/>
    <s v="直営"/>
    <m/>
    <m/>
    <m/>
    <m/>
    <s v="9:00～21:00(日祝9:00～17:15)"/>
    <s v="月; 年末年始"/>
    <s v="大集会室,講義室A・B・C,美術室,小集会室,会議室,視聴覚室,調理室,和室,工作室,ｷﾞｬﾗﾘｰ,洗染室,幼児室"/>
    <n v="0"/>
    <n v="539915"/>
    <n v="432729"/>
    <n v="107186"/>
    <n v="13429"/>
    <n v="0.80100000000000005"/>
    <m/>
    <m/>
    <m/>
    <m/>
    <x v="0"/>
    <s v="○"/>
    <n v="3494.27"/>
  </r>
  <r>
    <s v="101"/>
    <s v="1086"/>
    <s v="生涯学習センター"/>
    <s v="教育委員会"/>
    <x v="11"/>
    <x v="11"/>
    <s v="G600302"/>
    <s v="伊丹市南野2丁目3番25号"/>
    <s v="行政財産"/>
    <s v="03文化・社会教育系施設"/>
    <s v="01多目的施設"/>
    <s v="社会教育法,伊丹市立生涯学習センター条例"/>
    <s v="1992"/>
    <s v="1992"/>
    <n v="4757.8100000000004"/>
    <n v="3683"/>
    <m/>
    <s v="○"/>
    <s v="○"/>
    <s v="08笹原小"/>
    <s v="複合"/>
    <s v="―"/>
    <s v="―"/>
    <s v="―"/>
    <s v="―"/>
    <s v="―"/>
    <s v="―"/>
    <s v="―"/>
    <s v="図書館南分館,ﾃﾞｲｻｰﾋﾞｽｾﾝﾀｰ"/>
    <s v="市有; 民地"/>
    <m/>
    <s v="市有"/>
    <m/>
    <s v="市民の生涯学習を推進し、あわせて市民の教養、文化の発展と健康の増進を図ることを目的とした施設。"/>
    <s v="○"/>
    <s v="○"/>
    <s v="○"/>
    <s v="○"/>
    <s v="○"/>
    <s v="○"/>
    <s v="○"/>
    <s v="第1種住居,第1種・2種中高層住居専用"/>
    <s v="60"/>
    <s v="200"/>
    <m/>
    <s v="２・３種"/>
    <m/>
    <m/>
    <s v="指管"/>
    <s v="公益財団法人いたみ文化・スポーツ財団"/>
    <d v="2014-04-01T00:00:00"/>
    <d v="2019-03-31T00:00:00"/>
    <s v="非公募"/>
    <s v="9:00～21:00(日、祝：900～17:00)"/>
    <s v="火; 年末年始"/>
    <s v="多目的ﾎｰﾙ,ｴﾝﾄﾗﾝｽﾎｰﾙ,学習室,自習室,会議室,音楽練習室,ﾏｲｺﾝ室,視聴覚室,調理室,講座室,創作室,和室,児童室"/>
    <n v="38"/>
    <n v="2006396"/>
    <n v="942047"/>
    <n v="1064349"/>
    <n v="40298"/>
    <n v="0.47"/>
    <m/>
    <m/>
    <m/>
    <m/>
    <x v="0"/>
    <s v="○"/>
    <n v="3683"/>
  </r>
  <r>
    <s v="102"/>
    <s v="9405"/>
    <s v="北部学習センター"/>
    <s v="教育委員会"/>
    <x v="11"/>
    <x v="11"/>
    <s v="G600302"/>
    <s v="伊丹市北野4丁目30番地"/>
    <s v="行政財産"/>
    <s v="03文化・社会教育系施設"/>
    <s v="01多目的施設"/>
    <s v="社会教育法,伊丹市立北部学習センター条例"/>
    <s v="2004"/>
    <s v="2004"/>
    <n v="2385.29"/>
    <n v="3035.38"/>
    <m/>
    <s v="○"/>
    <s v="○"/>
    <s v="07天神川小"/>
    <s v="複合"/>
    <s v="―"/>
    <s v="―"/>
    <s v="―"/>
    <s v="―"/>
    <s v="―"/>
    <s v="―"/>
    <s v="―"/>
    <s v="北支所,図書館北分館"/>
    <s v="市有"/>
    <m/>
    <s v="市有"/>
    <m/>
    <s v="市民の生涯学習を推進し、あわせて市民の教養、文化の発展及び児童の健全育成を図ることを目的とした施設。"/>
    <s v="○"/>
    <s v="○"/>
    <s v="○"/>
    <s v="○"/>
    <s v="○"/>
    <s v="○"/>
    <s v="○"/>
    <s v="第1種住居"/>
    <s v="60"/>
    <s v="200"/>
    <m/>
    <s v="３種"/>
    <m/>
    <m/>
    <s v="指管"/>
    <s v="ＮＰＯ法人まちづくりステーションきらめき"/>
    <d v="2013-04-01T00:00:00"/>
    <d v="2018-03-31T00:00:00"/>
    <s v="非公募"/>
    <s v="9:00～21:00(日、祝：9:00～17:00)"/>
    <s v="水; 年末年始"/>
    <s v="多目的ﾎｰﾙ,会議室１～３,OAﾙｰﾑ,音楽室１～３,調理室,創作室,和室"/>
    <n v="43"/>
    <n v="1216846"/>
    <n v="567601"/>
    <n v="649245"/>
    <n v="44080"/>
    <n v="0.46600000000000003"/>
    <m/>
    <m/>
    <m/>
    <m/>
    <x v="0"/>
    <s v="○"/>
    <n v="3035.38"/>
  </r>
  <r>
    <s v="103"/>
    <s v="0502"/>
    <s v="労働福祉会館・青少年センター"/>
    <s v="都市活力部"/>
    <x v="12"/>
    <x v="12"/>
    <s v="G073100"/>
    <s v="伊丹市昆陽池2丁目1番地"/>
    <s v="行政財産"/>
    <s v="03文化・社会教育系施設"/>
    <s v="01多目的施設"/>
    <s v="伊丹市立労働福祉会館条例,伊丹市青少年センター条例"/>
    <s v="2001"/>
    <s v="2001"/>
    <n v="5363.35"/>
    <n v="6369.2"/>
    <m/>
    <s v="○"/>
    <s v="○"/>
    <s v="02稲野小"/>
    <s v="単独"/>
    <s v="○"/>
    <s v="○"/>
    <s v="○"/>
    <s v="○"/>
    <s v="○"/>
    <s v="―"/>
    <s v="―"/>
    <s v="市民まちづくりプラザ"/>
    <s v="市有"/>
    <m/>
    <s v="市有"/>
    <m/>
    <s v="勤労市民の福祉の向上を図るとともに、青少年の健全な育成と福祉の増進を図るための各種の事業を積極的に推進することを目的とした施設。"/>
    <s v="○"/>
    <s v="○"/>
    <s v="○"/>
    <s v="○"/>
    <s v="○"/>
    <s v="○"/>
    <s v="○"/>
    <s v="第2種中高層住居専用"/>
    <s v="60"/>
    <s v="200"/>
    <m/>
    <s v="２種"/>
    <m/>
    <m/>
    <s v="指管"/>
    <s v="伊丹労働者福祉協議会"/>
    <d v="2014-04-01T00:00:00"/>
    <d v="2019-03-31T00:00:00"/>
    <s v="公募"/>
    <s v="9:00～22:00"/>
    <s v="月; 年末年始"/>
    <s v="会議室１～８,多目的ﾎｰﾙ大・中・小,和室１～５,音楽ｽﾀｼﾞｵ,ﾌﾟﾚｲﾙｰﾑ,調理実習室,ﾄﾚｰﾆﾝｸﾞﾙｰﾑ,体育館"/>
    <n v="72"/>
    <n v="2322579"/>
    <n v="743674"/>
    <n v="1578905"/>
    <n v="46549"/>
    <n v="0.32"/>
    <m/>
    <m/>
    <m/>
    <m/>
    <x v="0"/>
    <s v="○"/>
    <n v="6369.2"/>
  </r>
  <r>
    <s v="104"/>
    <s v="0702"/>
    <s v="産業・情報センター"/>
    <s v="都市活力部"/>
    <x v="12"/>
    <x v="12"/>
    <s v="G073100"/>
    <s v="伊丹市宮ノ前2丁目2番2号"/>
    <s v="行政財産"/>
    <s v="03文化・社会教育系施設"/>
    <s v="01多目的施設"/>
    <s v="伊丹市立産業・情報センター条例"/>
    <s v="2001"/>
    <s v="2001"/>
    <n v="1040.26"/>
    <n v="2548.2199999999998"/>
    <m/>
    <s v="○"/>
    <s v="○"/>
    <s v="01伊丹小"/>
    <s v="複合"/>
    <s v="―"/>
    <s v="―"/>
    <s v="―"/>
    <s v="―"/>
    <s v="―"/>
    <s v="―"/>
    <s v="―"/>
    <s v="消費生活センター"/>
    <s v="市有"/>
    <m/>
    <s v="市有"/>
    <m/>
    <s v="産業に関する相談，情報の収集及び提供、講座、研究会、展示会等の開催、交流の促進、展示・研修等を行い、産業の振興並びに情報化の推進を図ることを目的とした施設。"/>
    <s v="―"/>
    <s v="―"/>
    <s v="○"/>
    <s v="―"/>
    <s v="○"/>
    <s v="―"/>
    <s v="○"/>
    <s v="商業"/>
    <s v="80"/>
    <s v="400"/>
    <m/>
    <m/>
    <s v="準防火"/>
    <s v="高度利用地区、駐車場整備地区"/>
    <s v="指管"/>
    <s v="伊丹商工会議所"/>
    <d v="2014-04-01T00:00:00"/>
    <d v="2019-03-31T00:00:00"/>
    <s v="非公募"/>
    <s v="9:00～21:00"/>
    <s v="日; 祝; 8/13～15; 年末年始"/>
    <s v="ﾏﾙﾁﾒﾃﾞｨｱﾎｰﾙ,会議・研修室A～C"/>
    <n v="0"/>
    <n v="1112276"/>
    <n v="355928"/>
    <n v="756348"/>
    <n v="22246"/>
    <n v="0.32"/>
    <m/>
    <m/>
    <m/>
    <m/>
    <x v="0"/>
    <s v="○"/>
    <n v="2548.2199999999998"/>
  </r>
  <r>
    <s v="105"/>
    <s v="0280"/>
    <s v="文化会館"/>
    <s v="都市活力部"/>
    <x v="13"/>
    <x v="13"/>
    <s v="G071200"/>
    <s v="伊丹市宮ノ前1丁目1番3号"/>
    <s v="行政財産"/>
    <s v="03文化・社会教育系施設"/>
    <s v="01多目的施設"/>
    <s v="伊丹市立文化会館条例"/>
    <s v="1998"/>
    <s v="1998"/>
    <n v="4963.8"/>
    <n v="12634.2"/>
    <m/>
    <s v="○"/>
    <s v="○"/>
    <s v="01伊丹小"/>
    <s v="単独"/>
    <s v="―"/>
    <s v="―"/>
    <s v="―"/>
    <s v="―"/>
    <s v="―"/>
    <s v="―"/>
    <s v="―"/>
    <m/>
    <s v="市有"/>
    <m/>
    <s v="市有"/>
    <m/>
    <s v="市民の芸術、文化活動を推進し、文化の発展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9:00～22:00"/>
    <s v="火; 年末年始"/>
    <s v="大・中ﾎｰﾙ,多目的ﾎｰﾙ,大・中・小和室,大会議室,会議室１～３,練習室１～３,講師控室１・２"/>
    <n v="73"/>
    <n v="7526586"/>
    <n v="2664910"/>
    <n v="4861676"/>
    <n v="158909"/>
    <n v="0.35399999999999998"/>
    <m/>
    <m/>
    <m/>
    <m/>
    <x v="0"/>
    <s v="○"/>
    <n v="12634.2"/>
  </r>
  <r>
    <s v="106"/>
    <s v="0286"/>
    <s v="音楽ホール"/>
    <s v="都市活力部"/>
    <x v="13"/>
    <x v="13"/>
    <s v="G071200"/>
    <s v="伊丹市宮ノ前1丁目3番30号"/>
    <s v="行政財産"/>
    <s v="03文化・社会教育系施設"/>
    <s v="01多目的施設"/>
    <s v="伊丹市立音楽ホール条例"/>
    <s v="1991"/>
    <s v="1991"/>
    <n v="1905.69"/>
    <n v="4179.09"/>
    <m/>
    <s v="○"/>
    <s v="○"/>
    <s v="01伊丹小"/>
    <s v="単独"/>
    <s v="―"/>
    <s v="―"/>
    <s v="―"/>
    <s v="―"/>
    <s v="―"/>
    <s v="―"/>
    <s v="―"/>
    <m/>
    <s v="市有"/>
    <m/>
    <s v="市有"/>
    <m/>
    <s v="音楽を中心とした文化事業の振興を図り，文化の発展に資することを目的とした施設。"/>
    <s v="○"/>
    <s v="―"/>
    <s v="○"/>
    <s v="○"/>
    <s v="○"/>
    <s v="○"/>
    <s v="―"/>
    <s v="商業"/>
    <s v="80"/>
    <s v="400"/>
    <m/>
    <m/>
    <s v="準防火"/>
    <s v="駐車場整備地区、高度利用地区、景観条例、伊丹郷町地区"/>
    <s v="指管"/>
    <s v="公益財団法人いたみ文化・スポーツ財団"/>
    <d v="2014-04-01T00:00:00"/>
    <d v="2019-03-31T00:00:00"/>
    <s v="非公募"/>
    <s v="9:00～22:00"/>
    <s v="水; 年末年始"/>
    <s v="ﾒｲﾝﾎｰﾙ,小ﾎｰﾙ１・２,練習室１・２・３"/>
    <n v="3"/>
    <n v="2680524"/>
    <n v="1318567"/>
    <n v="1361957"/>
    <n v="57169"/>
    <n v="0.49199999999999999"/>
    <m/>
    <m/>
    <m/>
    <m/>
    <x v="0"/>
    <s v="○"/>
    <n v="4179.09"/>
  </r>
  <r>
    <s v="107"/>
    <s v="0287"/>
    <s v="演劇ホール"/>
    <s v="都市活力部"/>
    <x v="13"/>
    <x v="13"/>
    <s v="G071200"/>
    <s v="伊丹市伊丹2丁目4番1号"/>
    <s v="行政財産"/>
    <s v="03文化・社会教育系施設"/>
    <s v="01多目的施設"/>
    <s v="伊丹市立演劇ホール条例"/>
    <s v="1988"/>
    <s v="1988"/>
    <n v="1384.45"/>
    <n v="2444.64"/>
    <m/>
    <s v="○"/>
    <s v="○"/>
    <s v="10有岡小"/>
    <s v="単独"/>
    <s v="―"/>
    <s v="―"/>
    <s v="―"/>
    <s v="―"/>
    <s v="―"/>
    <s v="―"/>
    <s v="―"/>
    <m/>
    <s v="市有"/>
    <m/>
    <s v="市有"/>
    <m/>
    <s v="市民の自由な創造活動を促進し，文化の発展に資することを目的とした施設。"/>
    <s v="○"/>
    <s v="―"/>
    <s v="○"/>
    <s v="○"/>
    <s v="○"/>
    <s v="○"/>
    <s v="―"/>
    <s v="商業"/>
    <s v="80"/>
    <s v="400"/>
    <m/>
    <m/>
    <s v="準防火"/>
    <s v="駐車場整備地区、高度利用地区、景観条例、伊丹郷町地区、伊丹酒蔵通り都市景観形成道路地区"/>
    <s v="指管"/>
    <s v="公益財団法人いたみ文化・スポーツ財団"/>
    <d v="2014-04-01T00:00:00"/>
    <d v="2019-03-31T00:00:00"/>
    <s v="非公募"/>
    <s v="9:00～22:00"/>
    <s v="火; 年末年始"/>
    <s v="ｲﾍﾞﾝﾄﾎｰﾙ,ｶﾙﾁｬｰﾙｰﾑA・B"/>
    <n v="0"/>
    <n v="1670326"/>
    <n v="892528"/>
    <n v="777798"/>
    <n v="37240"/>
    <n v="0.53400000000000003"/>
    <m/>
    <m/>
    <m/>
    <m/>
    <x v="0"/>
    <s v="○"/>
    <n v="2444.64"/>
  </r>
  <r>
    <s v="108"/>
    <s v="1074"/>
    <s v="博物館"/>
    <s v="教育委員会"/>
    <x v="14"/>
    <x v="14"/>
    <s v="G600312"/>
    <s v="伊丹市千僧1丁目1番地1"/>
    <s v="行政財産"/>
    <s v="03文化・社会教育系施設"/>
    <s v="02展覧施設"/>
    <s v="博物館法、伊丹市立博物館条例"/>
    <s v="1972"/>
    <s v="1972"/>
    <n v="1457"/>
    <n v="1856.72"/>
    <m/>
    <s v="○"/>
    <s v="○"/>
    <s v="02稲野小"/>
    <s v="単独"/>
    <s v="―"/>
    <s v="―"/>
    <s v="―"/>
    <s v="―"/>
    <s v="―"/>
    <s v="―"/>
    <s v="―"/>
    <m/>
    <s v="市有"/>
    <m/>
    <s v="市有"/>
    <m/>
    <s v="博物館法に基づき資料の収集，保管，調査研究および展示等を行い，市民の教養の向上ならびに教育および学術研究等に資することを目的とした施設。"/>
    <s v="○"/>
    <s v="○"/>
    <s v="―"/>
    <s v="○"/>
    <s v="○"/>
    <s v="―"/>
    <s v="―"/>
    <s v="第2種住居"/>
    <s v="60"/>
    <s v="200"/>
    <m/>
    <s v="３種"/>
    <m/>
    <m/>
    <s v="直営"/>
    <m/>
    <m/>
    <m/>
    <m/>
    <s v="9:30～17:30"/>
    <s v="月; 毎月末日; 年末年始"/>
    <s v="常設展示室,特別展示室,事務室,第１収蔵庫,第２収蔵庫"/>
    <n v="0"/>
    <n v="453531"/>
    <n v="407766"/>
    <n v="45765"/>
    <n v="9883"/>
    <n v="0.89900000000000002"/>
    <m/>
    <m/>
    <m/>
    <m/>
    <x v="0"/>
    <s v="○"/>
    <n v="1856.72"/>
  </r>
  <r>
    <s v="109"/>
    <s v="1073"/>
    <s v="博物館神津資料室"/>
    <s v="教育委員会"/>
    <x v="14"/>
    <x v="14"/>
    <s v="G600312"/>
    <s v="伊丹市桑津3丁目1番28号"/>
    <s v="行政財産"/>
    <s v="03文化・社会教育系施設"/>
    <s v="02展覧施設"/>
    <s v="博物館法、伊丹市立博物館条例"/>
    <s v="1985"/>
    <s v="1985"/>
    <n v="330"/>
    <n v="80.78"/>
    <m/>
    <s v="○"/>
    <s v="○"/>
    <s v="04神津小"/>
    <s v="単独"/>
    <s v="―"/>
    <s v="―"/>
    <s v="―"/>
    <s v="―"/>
    <s v="―"/>
    <s v="―"/>
    <s v="―"/>
    <m/>
    <s v="市有"/>
    <m/>
    <s v="市有"/>
    <m/>
    <s v="博物館法に基づき資料の収集，保管，調査研究および展示等を行い，市民の教養の向上ならびに教育および学術研究等に資することを目的とした施設。"/>
    <s v="―"/>
    <s v="―"/>
    <s v="―"/>
    <s v="―"/>
    <s v="―"/>
    <s v="―"/>
    <s v="―"/>
    <s v="第1種住居"/>
    <s v="60"/>
    <s v="200"/>
    <m/>
    <s v="３種"/>
    <m/>
    <m/>
    <s v="直営"/>
    <m/>
    <m/>
    <m/>
    <m/>
    <m/>
    <s v="利用の申し出に基づき随時開館"/>
    <s v="展示室"/>
    <n v="0"/>
    <n v="6462"/>
    <n v="6462"/>
    <n v="0"/>
    <n v="0"/>
    <n v="1"/>
    <m/>
    <s v="○"/>
    <s v="29.3.31"/>
    <m/>
    <x v="0"/>
    <s v="○"/>
    <n v="80.78"/>
  </r>
  <r>
    <s v="110"/>
    <s v="0852"/>
    <s v="伊丹市昆虫館"/>
    <s v="市民自治部"/>
    <x v="15"/>
    <x v="15"/>
    <s v="G044400"/>
    <s v="伊丹市昆陽池3丁目1番地"/>
    <s v="行政財産"/>
    <s v="03文化・社会教育系施設"/>
    <s v="02展覧施設"/>
    <s v="伊丹市都市公園条例、伊丹市昆虫館条例"/>
    <s v="1990"/>
    <s v="1990"/>
    <n v="278000"/>
    <n v="2572.4699999999998"/>
    <m/>
    <m/>
    <s v="○"/>
    <s v="02稲野小"/>
    <s v="単独"/>
    <s v="―"/>
    <s v="―"/>
    <s v="―"/>
    <s v="―"/>
    <s v="―"/>
    <s v="―"/>
    <s v="―"/>
    <m/>
    <s v="市有"/>
    <m/>
    <s v="市有"/>
    <m/>
    <s v="昆虫その他身近な自然とのふれあいを通じた市民の自然環境学習を推進することにより，生物の多様性及び自然との共生への理解を深めるとともに，自然に関する学術文化の振興に寄与することを目的とした施設。"/>
    <s v="○"/>
    <s v="○"/>
    <s v="○"/>
    <s v="○"/>
    <s v="○"/>
    <s v="○"/>
    <s v="―"/>
    <s v="第2種住居"/>
    <s v="60"/>
    <s v="200"/>
    <m/>
    <s v="３種"/>
    <m/>
    <s v="都市公園、昆陽池風致地区、鳥獣保護区"/>
    <s v="指管"/>
    <s v="公益財団法人伊丹市文化・スポーツ財団"/>
    <d v="2016-04-01T00:00:00"/>
    <d v="2019-03-31T00:00:00"/>
    <s v="非公募"/>
    <s v="9:30～16:30"/>
    <s v="火; 年末年始（12/29～翌年1/3）"/>
    <s v="第１・２展示室,特別展示室,ﾁｮｳ温室,映像ﾎｰﾙ,ｴﾝﾄﾗﾝｽﾎｰﾙ,学習室"/>
    <n v="0"/>
    <n v="1092383"/>
    <n v="500380"/>
    <n v="592003"/>
    <n v="27473"/>
    <n v="0.45800000000000002"/>
    <m/>
    <m/>
    <m/>
    <m/>
    <x v="0"/>
    <s v="○"/>
    <n v="2572.4699999999998"/>
  </r>
  <r>
    <s v="111"/>
    <s v="0855"/>
    <s v="みどりのプラザ"/>
    <s v="市民自治部"/>
    <x v="15"/>
    <x v="15"/>
    <s v="G044400"/>
    <s v="伊丹市荒牧6丁目4番12号"/>
    <s v="行政財産"/>
    <s v="03文化・社会教育系施設"/>
    <s v="02展覧施設"/>
    <s v="伊丹市立みどりのプラザ条例 "/>
    <s v="2001"/>
    <s v="2001"/>
    <n v="4296"/>
    <n v="384.5"/>
    <m/>
    <m/>
    <s v="○"/>
    <s v="07天神川小"/>
    <s v="単独"/>
    <s v="―"/>
    <s v="―"/>
    <s v="―"/>
    <s v="―"/>
    <s v="―"/>
    <s v="―"/>
    <s v="―"/>
    <m/>
    <s v="市有"/>
    <m/>
    <s v="市有"/>
    <m/>
    <s v="緑化啓発や園芸等の振興による緑豊かなまちづくりを推進するために設けられた施設。"/>
    <s v="―"/>
    <s v="―"/>
    <s v="○"/>
    <s v="○"/>
    <s v="○"/>
    <s v="―"/>
    <s v="○"/>
    <s v="第2種中高層住居専用"/>
    <s v="60"/>
    <s v="200"/>
    <m/>
    <s v="２種"/>
    <m/>
    <s v="地区計画（荒牧地区）"/>
    <s v="指管"/>
    <s v="特定非営利法人　荒牧みどり推進協議会"/>
    <d v="2016-04-01T00:00:00"/>
    <d v="2019-03-31T00:00:00"/>
    <s v="非公募"/>
    <s v="9:00～17:30"/>
    <s v="火（5,6,10,11月除く）; 年末年始（12/29～翌年1/3）"/>
    <s v="事務室,実習室,相談・休憩コーナー,展示・図書コーナー"/>
    <n v="4"/>
    <n v="97860"/>
    <n v="42276"/>
    <n v="55584"/>
    <n v="2575"/>
    <n v="0.432"/>
    <m/>
    <m/>
    <m/>
    <m/>
    <x v="0"/>
    <s v="○"/>
    <n v="384.5"/>
  </r>
  <r>
    <s v="112"/>
    <s v="0340"/>
    <s v="こども文化科学館"/>
    <s v="こども未来部"/>
    <x v="16"/>
    <x v="16"/>
    <s v="G061100"/>
    <s v="伊丹市桑津3丁目1-36"/>
    <s v="行政財産"/>
    <s v="03文化・社会教育系施設"/>
    <s v="02展覧施設"/>
    <s v="伊丹市立こども文化科学館条例"/>
    <s v="1984"/>
    <s v="1988"/>
    <n v="12274"/>
    <n v="3085.85"/>
    <m/>
    <s v="○"/>
    <s v="○"/>
    <s v="04神津小"/>
    <s v="複合"/>
    <s v="○"/>
    <s v="○"/>
    <s v="○"/>
    <s v="○"/>
    <s v="○"/>
    <s v="―"/>
    <s v="―"/>
    <m/>
    <s v="市有"/>
    <m/>
    <s v="市有"/>
    <m/>
    <s v="教育，文化および科学に関する知識の普及と啓発を図ることにより，児童の健全な成長を促し，青少年の創造性を培うとともに，市民の教養の向上と情操のかん養に寄与することを目的とした施設。"/>
    <s v="―"/>
    <s v="―"/>
    <s v="―"/>
    <s v="―"/>
    <s v="―"/>
    <s v="―"/>
    <s v="―"/>
    <s v="第2種住居"/>
    <s v="60"/>
    <s v="200"/>
    <m/>
    <s v="３種"/>
    <m/>
    <m/>
    <s v="直営"/>
    <m/>
    <m/>
    <m/>
    <m/>
    <s v="9:00～17:15"/>
    <s v="火; 祝の振替; 年末年始; 番組入替期"/>
    <s v="ﾌﾟﾗﾈﾀﾘｳﾑ室,会議室,講座室,工作室"/>
    <n v="0"/>
    <n v="1098740"/>
    <n v="604839"/>
    <n v="493900"/>
    <n v="22458"/>
    <n v="0.55000000000000004"/>
    <m/>
    <m/>
    <m/>
    <m/>
    <x v="0"/>
    <s v="○"/>
    <n v="3085.8500000000004"/>
  </r>
  <r>
    <s v="113"/>
    <s v="0501"/>
    <s v="観光物産ギャラリー"/>
    <s v="都市活力部"/>
    <x v="17"/>
    <x v="17"/>
    <s v="G071100"/>
    <s v="伊丹市東有岡1丁目6番地2"/>
    <s v="行政財産"/>
    <s v="03文化・社会教育系施設"/>
    <s v="02展覧施設"/>
    <s v="伊丹市立観光物産ギャラリー条例"/>
    <s v="1983"/>
    <s v="1983"/>
    <n v="180.46"/>
    <n v="443.43"/>
    <m/>
    <s v="○"/>
    <s v="○"/>
    <s v="10有岡小"/>
    <s v="複合"/>
    <s v="―"/>
    <s v="―"/>
    <s v="―"/>
    <s v="―"/>
    <s v="―"/>
    <s v="―"/>
    <s v="―"/>
    <m/>
    <s v="市有"/>
    <m/>
    <s v="市有"/>
    <m/>
    <s v="観光物産事業の振興を図るため、市内企業の物産の展示、産業の紹介および観光案内業務を行う施設。"/>
    <s v="―"/>
    <s v="―"/>
    <s v="○"/>
    <s v="○"/>
    <s v="―"/>
    <s v="―"/>
    <s v="―"/>
    <s v="工業"/>
    <s v="60"/>
    <s v="200"/>
    <m/>
    <m/>
    <m/>
    <m/>
    <s v="指管"/>
    <s v="伊丹市観光物産協会"/>
    <d v="2014-04-01T00:00:00"/>
    <d v="2019-03-31T00:00:00"/>
    <s v="非公募"/>
    <s v="10:00～20:00"/>
    <s v="年末年始"/>
    <s v="ｷﾞｬﾗﾘｰ"/>
    <n v="0"/>
    <n v="136599"/>
    <n v="72804"/>
    <n v="63795"/>
    <n v="2732"/>
    <n v="0.53300000000000003"/>
    <m/>
    <m/>
    <m/>
    <m/>
    <x v="0"/>
    <s v="○"/>
    <n v="443.43"/>
  </r>
  <r>
    <s v="114"/>
    <s v="1085"/>
    <s v="美術館"/>
    <s v="都市活力部"/>
    <x v="13"/>
    <x v="13"/>
    <s v="G071200"/>
    <s v="伊丹市宮ノ前2丁目5番20号"/>
    <s v="行政財産"/>
    <s v="03文化・社会教育系施設"/>
    <s v="02展覧施設"/>
    <s v="伊丹市立美術館条例"/>
    <s v="1987"/>
    <s v="1987"/>
    <n v="963"/>
    <n v="1242"/>
    <m/>
    <s v="○"/>
    <s v="○"/>
    <s v="01伊丹小"/>
    <s v="複合"/>
    <s v="―"/>
    <s v="―"/>
    <s v="―"/>
    <s v="―"/>
    <s v="―"/>
    <s v="―"/>
    <s v="―"/>
    <s v="工芸センター"/>
    <s v="市有"/>
    <m/>
    <s v="市有"/>
    <m/>
    <s v="市民の美術に関する知識および教養の向上ならびに芸術の振興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10:00～18:00"/>
    <s v="月; 年末年始; 展示入替時"/>
    <s v="常設展示ﾎｰﾙ,常設展示室,特別展示室,講座室"/>
    <n v="0"/>
    <n v="573928"/>
    <n v="286381"/>
    <n v="287547"/>
    <n v="15537"/>
    <n v="0.499"/>
    <m/>
    <m/>
    <m/>
    <m/>
    <x v="0"/>
    <s v="○"/>
    <n v="1242"/>
  </r>
  <r>
    <s v="115"/>
    <s v="1084"/>
    <s v="柿衞文庫"/>
    <s v="都市活力部"/>
    <x v="13"/>
    <x v="13"/>
    <s v="G071200"/>
    <s v="伊丹市宮ノ前2丁目5番20号"/>
    <s v="私有財産"/>
    <s v="03文化・社会教育系施設"/>
    <s v="02展覧施設"/>
    <m/>
    <s v="1984"/>
    <s v="1984"/>
    <n v="851.01"/>
    <n v="1172"/>
    <m/>
    <s v="○"/>
    <s v="○"/>
    <s v="01伊丹小"/>
    <s v="複合"/>
    <s v="―"/>
    <s v="―"/>
    <s v="―"/>
    <s v="―"/>
    <s v="―"/>
    <s v="―"/>
    <s v="―"/>
    <s v="美術館"/>
    <s v="市有"/>
    <m/>
    <s v="財団"/>
    <m/>
    <s v="清酒醸造で栄えた江戸期に蓄積された文化遺産に故・岡田利兵衞さん（号は柿衞）の系統的な収集資料を加えて発足した施設。"/>
    <s v="○"/>
    <s v="○"/>
    <s v="○"/>
    <s v="○"/>
    <s v="―"/>
    <s v="○"/>
    <s v="―"/>
    <s v="商業"/>
    <s v="80"/>
    <s v="400"/>
    <m/>
    <m/>
    <s v="準防火"/>
    <s v="駐車場整備地区、景観条例、伊丹郷町地区"/>
    <s v="財団"/>
    <s v="公益財団法人柿衞文庫"/>
    <m/>
    <m/>
    <m/>
    <s v="10:00～18:00"/>
    <s v="月; 年末年始"/>
    <s v="１F展示室,２F展示室"/>
    <n v="0"/>
    <s v=""/>
    <s v=""/>
    <s v=""/>
    <s v=""/>
    <n v="0"/>
    <m/>
    <m/>
    <m/>
    <m/>
    <x v="0"/>
    <s v="○"/>
    <n v="1172"/>
  </r>
  <r>
    <s v="116"/>
    <s v="0701"/>
    <s v="工芸センター"/>
    <s v="都市活力部"/>
    <x v="13"/>
    <x v="13"/>
    <s v="G071200"/>
    <s v="伊丹市宮ノ前2丁目5番28号"/>
    <s v="行政財産"/>
    <s v="03文化・社会教育系施設"/>
    <s v="02展覧施設"/>
    <s v="伊丹市立工芸センター条例"/>
    <s v="1989"/>
    <s v="1989"/>
    <n v="596.17999999999995"/>
    <n v="1209.18"/>
    <m/>
    <s v="○"/>
    <s v="○"/>
    <s v="01伊丹小"/>
    <s v="複合"/>
    <s v="―"/>
    <s v="―"/>
    <s v="―"/>
    <s v="―"/>
    <s v="―"/>
    <s v="―"/>
    <s v="―"/>
    <s v="美術館"/>
    <s v="市有"/>
    <m/>
    <s v="市有"/>
    <m/>
    <s v="工芸を通して市民の豊かな暮しを創出するとともに産業の振興と文化の発展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10:00～18:00"/>
    <s v="月; 年末年始"/>
    <s v="企画展示室A・B,ｾﾐﾅｰ室,工房"/>
    <n v="0"/>
    <n v="570721"/>
    <n v="307460"/>
    <n v="263261"/>
    <n v="11414"/>
    <n v="0.53900000000000003"/>
    <m/>
    <m/>
    <m/>
    <m/>
    <x v="0"/>
    <s v="○"/>
    <n v="1209.18"/>
  </r>
  <r>
    <s v="117"/>
    <s v="0288"/>
    <s v="伊丹郷町館"/>
    <s v="都市活力部"/>
    <x v="13"/>
    <x v="13"/>
    <s v="G071200"/>
    <s v="伊丹市宮ノ前2丁目5番28号"/>
    <s v="行政財産"/>
    <s v="03文化・社会教育系施設"/>
    <s v="02展覧施設"/>
    <s v="伊丹市立伊丹郷町館条例"/>
    <s v="2001"/>
    <s v="1995"/>
    <n v="3891.87"/>
    <n v="1709.6699999999998"/>
    <m/>
    <s v="○"/>
    <s v="○"/>
    <s v="01伊丹小"/>
    <s v="複合"/>
    <s v="―"/>
    <s v="―"/>
    <s v="―"/>
    <s v="―"/>
    <s v="―"/>
    <s v="―"/>
    <s v="―"/>
    <s v="工芸センター"/>
    <s v="市有"/>
    <m/>
    <s v="市有"/>
    <m/>
    <s v="国指定重要文化財の旧岡田家住宅、県指定文化財の旧石橋家住宅、管理棟の新町家の3館で構成される施設。"/>
    <s v="―"/>
    <s v="―"/>
    <s v="○"/>
    <s v="―"/>
    <s v="―"/>
    <s v="―"/>
    <s v="―"/>
    <s v="商業"/>
    <s v="80"/>
    <s v="400"/>
    <m/>
    <m/>
    <s v="準防火"/>
    <s v="駐車場整備地区、景観条例、伊丹郷町地区"/>
    <s v="指管"/>
    <s v="公益財団法人いたみ文化・スポーツ財団"/>
    <d v="2014-04-01T00:00:00"/>
    <d v="2019-03-31T00:00:00"/>
    <s v="非公募"/>
    <s v="10:00～18:00"/>
    <s v="月; 年末年始"/>
    <s v="旧岡田家住宅・酒蔵,旧石橋家住宅１F・２F"/>
    <n v="0"/>
    <n v="573070"/>
    <n v="92152"/>
    <n v="480918"/>
    <s v=""/>
    <n v="0.161"/>
    <m/>
    <m/>
    <m/>
    <m/>
    <x v="0"/>
    <s v="○"/>
    <n v="1709.6699999999998"/>
  </r>
  <r>
    <s v="118"/>
    <s v="1096"/>
    <s v="図書館（ことば蔵）"/>
    <s v="教育委員会"/>
    <x v="18"/>
    <x v="18"/>
    <s v="G600310"/>
    <s v="伊丹市宮ノ前3丁目7番4号"/>
    <s v="行政財産"/>
    <s v="03文化・社会教育系施設"/>
    <s v="03図書館"/>
    <s v="図書館法、伊丹市立図書館条例"/>
    <s v="1951"/>
    <s v="2012"/>
    <n v="3778.64"/>
    <n v="6194.44"/>
    <m/>
    <s v="○"/>
    <s v="○"/>
    <s v="01伊丹小"/>
    <s v="単独"/>
    <s v="―"/>
    <s v="―"/>
    <s v="―"/>
    <s v="―"/>
    <s v="―"/>
    <s v="―"/>
    <s v="―"/>
    <m/>
    <s v="市有"/>
    <m/>
    <s v="市有"/>
    <m/>
    <s v="図書館法の規定に基づき、図書、記録その他必要な資料を収集・整理・保存し、市民の利用に供し、その教養、調査研究、レクリエーション等に資することを目的とする施設。"/>
    <s v="○"/>
    <s v="○"/>
    <s v="○"/>
    <s v="○"/>
    <s v="○"/>
    <s v="○"/>
    <s v="○"/>
    <s v="第2種住居"/>
    <s v="60"/>
    <s v="200"/>
    <m/>
    <s v="３種"/>
    <m/>
    <m/>
    <s v="直営"/>
    <m/>
    <m/>
    <m/>
    <m/>
    <s v="9:30～20:00（土; 日; 祝・休：9:30～18:00)"/>
    <s v="月; 年末年始"/>
    <s v="多目的室１,多目的室２,会議室１,会議室２,交流ﾌﾛｱ,ｷﾞｬﾗﾘｰ"/>
    <n v="0"/>
    <n v="1925060"/>
    <n v="346478"/>
    <n v="1578582"/>
    <n v="69077"/>
    <n v="0.18"/>
    <m/>
    <m/>
    <m/>
    <m/>
    <x v="0"/>
    <s v="○"/>
    <n v="6194.44"/>
  </r>
  <r>
    <s v="119"/>
    <s v="1093"/>
    <s v="図書館南分館"/>
    <s v="教育委員会"/>
    <x v="18"/>
    <x v="18"/>
    <s v="G600310"/>
    <s v="伊丹市南野2丁目3番25号"/>
    <s v="行政財産"/>
    <s v="03文化・社会教育系施設"/>
    <s v="03図書館"/>
    <s v="図書館法、伊丹市立図書館条例"/>
    <s v="1992"/>
    <s v="1992"/>
    <n v="4757.8100000000004"/>
    <n v="585"/>
    <m/>
    <m/>
    <s v="○"/>
    <s v="08笹原小"/>
    <s v="複合"/>
    <s v="―"/>
    <s v="―"/>
    <s v="―"/>
    <s v="―"/>
    <s v="―"/>
    <s v="―"/>
    <s v="―"/>
    <s v="生涯学習センター,ﾃﾞｲｻｰﾋﾞｽ"/>
    <s v="市有,民地"/>
    <m/>
    <s v="市有"/>
    <m/>
    <s v="伊丹市立図書館条例に基づき設置された分館。"/>
    <s v="○"/>
    <s v="○"/>
    <s v="○"/>
    <s v="○"/>
    <s v="○"/>
    <s v="○"/>
    <s v="○"/>
    <s v="第2種住居,第1種・2種中高層住居専用"/>
    <s v="60"/>
    <s v="200"/>
    <m/>
    <s v="２・３種"/>
    <m/>
    <m/>
    <s v="指管"/>
    <s v="公益財団法人伊丹市文化振興財団"/>
    <d v="2014-04-01T00:00:00"/>
    <d v="2019-03-31T00:00:00"/>
    <s v="非公募"/>
    <s v="9:30～19:00（土; 日; 祝・休：9:30～17:00)"/>
    <s v="火; 毎月末日; 年末年始; 特別整理期間（6月）"/>
    <m/>
    <n v="38"/>
    <n v="318692"/>
    <n v="149633"/>
    <n v="169059"/>
    <n v="6401"/>
    <n v="0.47"/>
    <m/>
    <m/>
    <m/>
    <m/>
    <x v="0"/>
    <s v="○"/>
    <n v="585"/>
  </r>
  <r>
    <s v="120"/>
    <s v="1094"/>
    <s v="図書館北分館"/>
    <s v="教育委員会"/>
    <x v="18"/>
    <x v="18"/>
    <s v="G600310"/>
    <s v="伊丹市北野4丁目30番地"/>
    <s v="行政財産"/>
    <s v="03文化・社会教育系施設"/>
    <s v="03図書館"/>
    <s v="図書館法、伊丹市立図書館条例"/>
    <s v="2004"/>
    <s v="2004"/>
    <n v="2385.29"/>
    <n v="625.51"/>
    <m/>
    <m/>
    <s v="○"/>
    <s v="07天神川小"/>
    <s v="複合"/>
    <s v="―"/>
    <s v="―"/>
    <s v="―"/>
    <s v="―"/>
    <s v="―"/>
    <s v="―"/>
    <s v="―"/>
    <s v="北部学習センター,北支所"/>
    <s v="市有"/>
    <m/>
    <s v="市有"/>
    <m/>
    <s v="伊丹市立図書館条例に基づき設置された分館。"/>
    <s v="○"/>
    <s v="○"/>
    <s v="○"/>
    <s v="○"/>
    <s v="○"/>
    <s v="○"/>
    <s v="○"/>
    <s v="第1種住居"/>
    <s v="60"/>
    <s v="200"/>
    <m/>
    <s v="３種"/>
    <m/>
    <m/>
    <s v="指管"/>
    <s v="特定非営利法人まちづくりステーションきらめき"/>
    <d v="2013-04-01T00:00:00"/>
    <d v="2018-03-31T00:00:00"/>
    <s v="非公募"/>
    <s v="9:30～19:00（土; 日; 祝・休：9:30～17:00)"/>
    <s v="水; 毎月末日; 年末年始; 特別整理期間（6月）"/>
    <m/>
    <n v="43"/>
    <n v="250759"/>
    <n v="116967"/>
    <n v="133792"/>
    <n v="9084"/>
    <n v="0.46600000000000003"/>
    <m/>
    <m/>
    <m/>
    <m/>
    <x v="0"/>
    <s v="○"/>
    <n v="625.51"/>
  </r>
  <r>
    <s v="121"/>
    <s v="1095"/>
    <s v="図書館西分室"/>
    <s v="教育委員会"/>
    <x v="18"/>
    <x v="18"/>
    <s v="G600310"/>
    <s v="伊丹市池尻4丁目1番地1"/>
    <s v="私有財産"/>
    <s v="03文化・社会教育系施設"/>
    <s v="03図書館"/>
    <s v="図書館法、伊丹市立図書館条例"/>
    <s v="2011"/>
    <s v="2011"/>
    <s v="-"/>
    <n v="180"/>
    <m/>
    <m/>
    <m/>
    <s v="16池尻小"/>
    <s v="複合"/>
    <s v="―"/>
    <s v="―"/>
    <s v="―"/>
    <s v="―"/>
    <s v="―"/>
    <s v="―"/>
    <s v="―"/>
    <s v="イオンモール伊丹昆陽店"/>
    <s v="民地"/>
    <s v="イオンモール伊丹昆陽店"/>
    <s v="賃貸"/>
    <s v="イオンモール伊丹昆陽店"/>
    <s v="伊丹市立図書館条例に基づき設置された分室。"/>
    <s v="―"/>
    <s v="―"/>
    <s v="―"/>
    <s v="―"/>
    <s v="―"/>
    <s v="―"/>
    <s v="―"/>
    <s v="工業"/>
    <s v="60"/>
    <s v="200"/>
    <m/>
    <m/>
    <m/>
    <m/>
    <s v="直営"/>
    <m/>
    <m/>
    <m/>
    <m/>
    <s v="10:00～19:00"/>
    <s v="月,第1木曜,年末年始,特別整理期間（6月）"/>
    <m/>
    <n v="0"/>
    <n v="18354"/>
    <n v="2202"/>
    <n v="16152"/>
    <n v="367"/>
    <n v="0.12"/>
    <m/>
    <m/>
    <m/>
    <m/>
    <x v="0"/>
    <s v="○"/>
    <n v="0"/>
  </r>
  <r>
    <s v="122"/>
    <s v="1097"/>
    <s v="図書館神津分館"/>
    <s v="教育委員会"/>
    <x v="18"/>
    <x v="18"/>
    <s v="G600310"/>
    <s v="伊丹市森本1丁目8番地22"/>
    <s v="行政財産"/>
    <s v="03文化・社会教育系施設"/>
    <s v="03図書館"/>
    <s v="図書館法、伊丹市立図書館条例"/>
    <s v="2016"/>
    <s v="2016"/>
    <n v="1470"/>
    <n v="83.65"/>
    <m/>
    <m/>
    <s v="○"/>
    <s v="04神津小"/>
    <s v="複合"/>
    <s v="―"/>
    <s v="―"/>
    <s v="―"/>
    <s v="―"/>
    <s v="―"/>
    <s v="―"/>
    <s v="―"/>
    <m/>
    <s v="市有"/>
    <m/>
    <s v="市有"/>
    <m/>
    <s v="伊丹市立図書館条例に基づき設置された分館。"/>
    <s v="○"/>
    <s v="○"/>
    <s v="○"/>
    <s v="○"/>
    <s v="―"/>
    <s v="○"/>
    <s v="―"/>
    <s v="工業"/>
    <s v="60"/>
    <s v="200"/>
    <m/>
    <m/>
    <m/>
    <m/>
    <s v="指管"/>
    <s v="特定非営利活動法人 わくわくステーション神津"/>
    <d v="2016-05-06T00:00:00"/>
    <d v="2019-03-31T00:00:00"/>
    <s v="非公募"/>
    <s v="9:30～19:00（土,日,祝・休：9:30～17:00)"/>
    <s v="月,第1木曜,年末年始,特別整理期間（6月）"/>
    <m/>
    <m/>
    <n v="27566"/>
    <n v="1051"/>
    <n v="26515"/>
    <n v="1036"/>
    <n v="3.7999999999999999E-2"/>
    <m/>
    <m/>
    <m/>
    <m/>
    <x v="0"/>
    <s v="○"/>
    <n v="83.65"/>
  </r>
  <r>
    <s v="123"/>
    <s v="1021"/>
    <s v="伊丹小学校"/>
    <s v="教育委員会"/>
    <x v="19"/>
    <x v="19"/>
    <s v="G600100"/>
    <s v="伊丹市船原1丁目1番1号"/>
    <s v="行政財産"/>
    <s v="04学校教育施設"/>
    <s v="01小学校"/>
    <s v="学校教育法,伊丹市立小学校，中学校および特別支援学校設置条例"/>
    <s v="1873"/>
    <s v="1981"/>
    <n v="21553"/>
    <n v="10974"/>
    <m/>
    <s v="○"/>
    <s v="○"/>
    <s v="01伊丹小"/>
    <s v="複合"/>
    <s v="○"/>
    <s v="○"/>
    <s v="○"/>
    <s v="○"/>
    <s v="○"/>
    <s v="○"/>
    <s v="19"/>
    <s v="伊丹児童くらぶ,自転車駐車場"/>
    <s v="市有"/>
    <m/>
    <s v="市有"/>
    <m/>
    <s v="学校教育法に基づく義務教育施設として、心身の発達に応じて、義務教育として行われる普通教育のうち基礎的なものを施すことを目的とする施設。 "/>
    <s v="○"/>
    <s v="○"/>
    <s v="○"/>
    <s v="―"/>
    <s v="―"/>
    <s v="○"/>
    <s v="○"/>
    <s v="第2種中高層住居専用"/>
    <s v="60"/>
    <s v="200"/>
    <m/>
    <s v="２種"/>
    <s v="準防火"/>
    <m/>
    <s v="直営"/>
    <m/>
    <m/>
    <m/>
    <m/>
    <s v="8:00～21:00"/>
    <s v="土,日,祝,夏季・冬季・春季休業期間"/>
    <s v="事務室,職員室,校長室,保健室,職員控室,普通教室,特別教室,多目的室,その他管理諸室,講堂兼体育館"/>
    <n v="0"/>
    <n v="1995587"/>
    <n v="1354396"/>
    <n v="641192"/>
    <n v="47763"/>
    <n v="0.67900000000000005"/>
    <m/>
    <m/>
    <m/>
    <m/>
    <x v="0"/>
    <s v="○"/>
    <n v="10974"/>
  </r>
  <r>
    <s v="124"/>
    <s v="1022"/>
    <s v="稲野小学校"/>
    <s v="教育委員会"/>
    <x v="19"/>
    <x v="19"/>
    <s v="G600100"/>
    <s v="伊丹市昆陽1丁目175番地"/>
    <s v="行政財産"/>
    <s v="04学校教育施設"/>
    <s v="01小学校"/>
    <s v="学校教育法,伊丹市立小学校，中学校および特別支援学校設置条例"/>
    <s v="1875"/>
    <s v="1963"/>
    <n v="15595"/>
    <n v="9347"/>
    <m/>
    <s v="○"/>
    <s v="○"/>
    <s v="02稲野小"/>
    <s v="複合"/>
    <s v="○"/>
    <s v="○"/>
    <s v="○"/>
    <s v="○"/>
    <s v="○"/>
    <s v="―"/>
    <s v="―"/>
    <s v="デイサービス、稲野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952973"/>
    <n v="1362730"/>
    <n v="590244"/>
    <n v="26437"/>
    <n v="0.69799999999999995"/>
    <m/>
    <m/>
    <m/>
    <m/>
    <x v="0"/>
    <s v="○"/>
    <n v="9347"/>
  </r>
  <r>
    <s v="125"/>
    <s v="1023"/>
    <s v="南小学校"/>
    <s v="教育委員会"/>
    <x v="19"/>
    <x v="19"/>
    <s v="G600100"/>
    <s v="伊丹市御願塚2丁目6番1号"/>
    <s v="行政財産"/>
    <s v="04学校教育施設"/>
    <s v="01小学校"/>
    <s v="学校教育法,伊丹市立小学校，中学校および特別支援学校設置条例"/>
    <s v="1945"/>
    <s v="1965"/>
    <n v="20066"/>
    <n v="10551"/>
    <m/>
    <s v="○"/>
    <s v="○"/>
    <s v="03南小"/>
    <s v="複合"/>
    <s v="○"/>
    <s v="○"/>
    <s v="○"/>
    <s v="○"/>
    <s v="○"/>
    <s v="○"/>
    <s v="12"/>
    <s v="南児童くらぶ"/>
    <s v="市有"/>
    <m/>
    <s v="市有"/>
    <m/>
    <s v="学校教育法に基づく義務教育施設として、心身の発達に応じて、義務教育として行われる普通教育のうち基礎的なものを施すことを目的とする施設。 "/>
    <s v="○"/>
    <s v="○"/>
    <s v="○"/>
    <s v="―"/>
    <s v="―"/>
    <s v="○"/>
    <s v="―"/>
    <s v="第1種低層住居専用"/>
    <s v="50"/>
    <s v="100"/>
    <m/>
    <s v="１種"/>
    <m/>
    <m/>
    <s v="直営"/>
    <m/>
    <m/>
    <m/>
    <m/>
    <s v="8:00～21:00"/>
    <s v="土,日,祝,夏季・冬季・春季休業期間"/>
    <s v="事務室,職員室,校長室,保健室,職員控室,普通教室,特別教室,多目的室,その他管理諸室,講堂兼体育館"/>
    <n v="0"/>
    <n v="2638969"/>
    <n v="1483966"/>
    <n v="1155003"/>
    <n v="42758"/>
    <n v="0.56200000000000006"/>
    <m/>
    <m/>
    <m/>
    <m/>
    <x v="0"/>
    <s v="○"/>
    <n v="10551"/>
  </r>
  <r>
    <s v="126"/>
    <s v="1024"/>
    <s v="神津小学校"/>
    <s v="教育委員会"/>
    <x v="19"/>
    <x v="19"/>
    <s v="G600100"/>
    <s v="伊丹市森本1丁目8番地の1"/>
    <s v="行政財産"/>
    <s v="04学校教育施設"/>
    <s v="01小学校"/>
    <s v="学校教育法,伊丹市立小学校，中学校および特別支援学校設置条例"/>
    <s v="1875"/>
    <s v="1979"/>
    <n v="16630"/>
    <n v="8604"/>
    <m/>
    <s v="○"/>
    <s v="○"/>
    <s v="04神津小"/>
    <s v="複合"/>
    <s v="○"/>
    <s v="○"/>
    <s v="○"/>
    <s v="○"/>
    <s v="○"/>
    <s v="○"/>
    <s v="39"/>
    <s v="神津児童くらぶ"/>
    <s v="市有"/>
    <m/>
    <s v="市有"/>
    <m/>
    <s v="学校教育法に基づく義務教育施設として、心身の発達に応じて、義務教育として行われる普通教育のうち基礎的なものを施すことを目的とする施設。 "/>
    <s v="○"/>
    <s v="○"/>
    <s v="○"/>
    <s v="―"/>
    <s v="―"/>
    <s v="○"/>
    <s v="―"/>
    <s v="工業"/>
    <s v="60"/>
    <s v="200"/>
    <m/>
    <m/>
    <m/>
    <m/>
    <s v="直営"/>
    <m/>
    <m/>
    <m/>
    <m/>
    <s v="8:00～21:00"/>
    <s v="土,日,祝,夏季・冬季・春季休業期間"/>
    <s v="事務室,職員室,校長室,保健室,職員控室,普通教室,特別教室,多目的室,その他管理諸室,講堂兼体育館"/>
    <n v="0"/>
    <n v="1756171"/>
    <n v="1073617"/>
    <n v="682554"/>
    <n v="37371"/>
    <n v="0.61099999999999999"/>
    <m/>
    <m/>
    <m/>
    <m/>
    <x v="0"/>
    <s v="○"/>
    <n v="8604"/>
  </r>
  <r>
    <s v="127"/>
    <s v="1025"/>
    <s v="緑丘小学校"/>
    <s v="教育委員会"/>
    <x v="19"/>
    <x v="19"/>
    <s v="G600100"/>
    <s v="伊丹市高台2丁目14番地"/>
    <s v="行政財産"/>
    <s v="04学校教育施設"/>
    <s v="01小学校"/>
    <s v="学校教育法,伊丹市立小学校，中学校および特別支援学校設置条例"/>
    <s v="1955"/>
    <s v="1964"/>
    <n v="16431"/>
    <n v="8751"/>
    <m/>
    <s v="○"/>
    <s v="○"/>
    <s v="05緑丘小"/>
    <s v="複合"/>
    <s v="○"/>
    <s v="○"/>
    <s v="○"/>
    <s v="○"/>
    <s v="○"/>
    <s v="―"/>
    <s v="―"/>
    <s v="緑丘児童くらぶ"/>
    <s v="市有"/>
    <m/>
    <s v="市有"/>
    <m/>
    <s v="学校教育法に基づく義務教育施設として、心身の発達に応じて、義務教育として行われる普通教育のうち基礎的なもの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
    <n v="0"/>
    <n v="1921234"/>
    <n v="1159057"/>
    <n v="762177"/>
    <n v="28746"/>
    <n v="0.60299999999999998"/>
    <m/>
    <m/>
    <m/>
    <m/>
    <x v="0"/>
    <s v="○"/>
    <n v="8751"/>
  </r>
  <r>
    <s v="128"/>
    <s v="1026"/>
    <s v="桜台小学校"/>
    <s v="教育委員会"/>
    <x v="19"/>
    <x v="19"/>
    <s v="G600100"/>
    <s v="伊丹市中野西4丁目100番地"/>
    <s v="行政財産"/>
    <s v="04学校教育施設"/>
    <s v="01小学校"/>
    <s v="学校教育法,伊丹市立小学校，中学校および特別支援学校設置条例"/>
    <s v="1956"/>
    <s v="1964"/>
    <n v="18080"/>
    <n v="9512"/>
    <m/>
    <s v="○"/>
    <s v="○"/>
    <s v="06桜台小"/>
    <s v="複合"/>
    <s v="○"/>
    <s v="○"/>
    <s v="○"/>
    <s v="○"/>
    <s v="○"/>
    <s v="―"/>
    <s v="―"/>
    <s v="桜台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282925"/>
    <n v="1365283"/>
    <n v="917642"/>
    <n v="34442"/>
    <n v="0.59799999999999998"/>
    <m/>
    <m/>
    <m/>
    <m/>
    <x v="0"/>
    <s v="○"/>
    <n v="9512"/>
  </r>
  <r>
    <s v="129"/>
    <s v="1027"/>
    <s v="天神川小学校"/>
    <s v="教育委員会"/>
    <x v="19"/>
    <x v="19"/>
    <s v="G600100"/>
    <s v="伊丹市荒牧南3丁目17番12号"/>
    <s v="行政財産"/>
    <s v="04学校教育施設"/>
    <s v="01小学校"/>
    <s v="学校教育法,伊丹市立小学校，中学校および特別支援学校設置条例"/>
    <s v="1957"/>
    <s v="1964"/>
    <n v="15334"/>
    <n v="8422"/>
    <m/>
    <s v="○"/>
    <s v="○"/>
    <s v="07天神川小"/>
    <s v="複合"/>
    <s v="○"/>
    <s v="○"/>
    <s v="○"/>
    <s v="○"/>
    <s v="○"/>
    <s v="―"/>
    <s v="―"/>
    <s v="天神川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490708"/>
    <n v="1097559"/>
    <n v="393149"/>
    <n v="20421"/>
    <n v="0.73599999999999999"/>
    <m/>
    <m/>
    <m/>
    <m/>
    <x v="0"/>
    <s v="○"/>
    <n v="8422"/>
  </r>
  <r>
    <s v="130"/>
    <s v="1028"/>
    <s v="笹原小学校"/>
    <s v="教育委員会"/>
    <x v="19"/>
    <x v="19"/>
    <s v="G600100"/>
    <s v="伊丹市南野6丁目5番33号"/>
    <s v="行政財産"/>
    <s v="04学校教育施設"/>
    <s v="01小学校"/>
    <s v="学校教育法,伊丹市立小学校，中学校および特別支援学校設置条例"/>
    <s v="1967"/>
    <s v="1967"/>
    <n v="16907"/>
    <n v="8526"/>
    <m/>
    <s v="○"/>
    <s v="○"/>
    <s v="08笹原小"/>
    <s v="複合"/>
    <s v="○"/>
    <s v="○"/>
    <s v="○"/>
    <s v="○"/>
    <s v="○"/>
    <s v="○"/>
    <s v="48"/>
    <s v="笹原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19415"/>
    <n v="1188258"/>
    <n v="431156"/>
    <n v="23084"/>
    <n v="0.73399999999999999"/>
    <m/>
    <m/>
    <m/>
    <m/>
    <x v="0"/>
    <s v="○"/>
    <n v="8526"/>
  </r>
  <r>
    <s v="131"/>
    <s v="1029"/>
    <s v="瑞穂小学校"/>
    <s v="教育委員会"/>
    <x v="19"/>
    <x v="19"/>
    <s v="G600100"/>
    <s v="伊丹市瑞穂町3丁目50番地の1"/>
    <s v="行政財産"/>
    <s v="04学校教育施設"/>
    <s v="01小学校"/>
    <s v="学校教育法,伊丹市立小学校，中学校および特別支援学校設置条例"/>
    <s v="1967"/>
    <s v="1967"/>
    <n v="14145"/>
    <n v="6774"/>
    <m/>
    <s v="○"/>
    <s v="○"/>
    <s v="09瑞穂小"/>
    <s v="複合"/>
    <s v="○"/>
    <s v="○"/>
    <s v="○"/>
    <s v="○"/>
    <s v="○"/>
    <s v="―"/>
    <s v="―"/>
    <s v="瑞穂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041777"/>
    <n v="1244803"/>
    <n v="796974"/>
    <n v="38810"/>
    <n v="0.61"/>
    <m/>
    <m/>
    <m/>
    <m/>
    <x v="0"/>
    <s v="○"/>
    <n v="6774"/>
  </r>
  <r>
    <s v="132"/>
    <s v="1030"/>
    <s v="有岡小学校"/>
    <s v="教育委員会"/>
    <x v="19"/>
    <x v="19"/>
    <s v="G600100"/>
    <s v="伊丹市伊丹7丁目1番1号"/>
    <s v="行政財産"/>
    <s v="04学校教育施設"/>
    <s v="01小学校"/>
    <s v="学校教育法,伊丹市立小学校，中学校および特別支援学校設置条例"/>
    <s v="1969"/>
    <s v="1969"/>
    <n v="15918"/>
    <n v="7961"/>
    <m/>
    <s v="○"/>
    <s v="○"/>
    <s v="10有岡小"/>
    <s v="複合"/>
    <s v="○"/>
    <s v="○"/>
    <s v="○"/>
    <s v="○"/>
    <s v="○"/>
    <s v="―"/>
    <s v="―"/>
    <s v="有岡児童くらぶ"/>
    <s v="市有"/>
    <m/>
    <s v="市有"/>
    <m/>
    <s v="学校教育法に基づく義務教育施設として、心身の発達に応じて、義務教育として行われる普通教育のうち基礎的なものを施すことを目的とする施設。 "/>
    <s v="○"/>
    <s v="○"/>
    <s v="○"/>
    <s v="―"/>
    <s v="―"/>
    <s v="○"/>
    <s v="―"/>
    <s v="第1種住居"/>
    <s v="60"/>
    <s v="200"/>
    <m/>
    <s v="３種"/>
    <m/>
    <m/>
    <s v="直営"/>
    <m/>
    <m/>
    <m/>
    <m/>
    <s v="8:00～21:00"/>
    <s v="土,日,祝,夏季・冬季・春季休業期間"/>
    <s v="事務室,職員室,校長室,保健室,職員控室,普通教室,特別教室,多目的室,その他管理諸室,講堂兼体育館"/>
    <n v="0"/>
    <n v="1887761"/>
    <n v="811542"/>
    <n v="1076219"/>
    <n v="35840"/>
    <n v="0.43"/>
    <m/>
    <m/>
    <m/>
    <m/>
    <x v="0"/>
    <s v="○"/>
    <n v="7961"/>
  </r>
  <r>
    <s v="133"/>
    <s v="1031"/>
    <s v="花里小学校"/>
    <s v="教育委員会"/>
    <x v="19"/>
    <x v="19"/>
    <s v="G600100"/>
    <s v="伊丹市寺本3丁目135番地"/>
    <s v="行政財産"/>
    <s v="04学校教育施設"/>
    <s v="01小学校"/>
    <s v="学校教育法,伊丹市立小学校，中学校および特別支援学校設置条例"/>
    <s v="1970"/>
    <s v="1970"/>
    <n v="19247"/>
    <n v="7554"/>
    <m/>
    <s v="○"/>
    <s v="○"/>
    <s v="11花里小"/>
    <s v="複合"/>
    <s v="○"/>
    <s v="○"/>
    <s v="○"/>
    <s v="○"/>
    <s v="○"/>
    <s v="―"/>
    <s v="―"/>
    <s v="花里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25709"/>
    <n v="1092664"/>
    <n v="533046"/>
    <n v="23916"/>
    <n v="0.67200000000000004"/>
    <m/>
    <m/>
    <m/>
    <m/>
    <x v="0"/>
    <s v="○"/>
    <n v="7554"/>
  </r>
  <r>
    <s v="134"/>
    <s v="1032"/>
    <s v="昆陽里小学校"/>
    <s v="教育委員会"/>
    <x v="19"/>
    <x v="19"/>
    <s v="G600100"/>
    <s v="伊丹市山田2丁目1番2号"/>
    <s v="行政財産"/>
    <s v="04学校教育施設"/>
    <s v="01小学校"/>
    <s v="学校教育法,伊丹市立小学校，中学校および特別支援学校設置条例"/>
    <s v="1973"/>
    <s v="1973"/>
    <n v="13091"/>
    <n v="7639"/>
    <m/>
    <s v="○"/>
    <s v="○"/>
    <s v="12昆陽里小"/>
    <s v="複合"/>
    <s v="○"/>
    <s v="○"/>
    <s v="○"/>
    <s v="○"/>
    <s v="○"/>
    <s v="―"/>
    <s v="―"/>
    <s v="昆陽里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72481"/>
    <n v="1042824"/>
    <n v="629657"/>
    <n v="36747"/>
    <n v="0.624"/>
    <m/>
    <m/>
    <m/>
    <m/>
    <x v="0"/>
    <s v="○"/>
    <n v="7639"/>
  </r>
  <r>
    <s v="135"/>
    <s v="1033"/>
    <s v="摂陽小学校"/>
    <s v="教育委員会"/>
    <x v="19"/>
    <x v="19"/>
    <s v="G600100"/>
    <s v="伊丹市昆陽南2丁目1番55号"/>
    <s v="行政財産"/>
    <s v="04学校教育施設"/>
    <s v="01小学校"/>
    <s v="学校教育法,伊丹市立小学校，中学校および特別支援学校設置条例"/>
    <s v="1974"/>
    <s v="1974"/>
    <n v="17424"/>
    <n v="8041"/>
    <m/>
    <s v="○"/>
    <s v="○"/>
    <s v="13摂陽小"/>
    <s v="複合"/>
    <s v="○"/>
    <s v="○"/>
    <s v="○"/>
    <s v="○"/>
    <s v="○"/>
    <s v="―"/>
    <s v="―"/>
    <s v="摂陽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031839"/>
    <n v="1260948"/>
    <n v="770891"/>
    <n v="47519"/>
    <n v="0.621"/>
    <m/>
    <m/>
    <m/>
    <m/>
    <x v="0"/>
    <s v="○"/>
    <n v="8041"/>
  </r>
  <r>
    <s v="136"/>
    <s v="1034"/>
    <s v="鈴原小学校"/>
    <s v="教育委員会"/>
    <x v="19"/>
    <x v="19"/>
    <s v="G600100"/>
    <s v="伊丹市御願塚6丁目3番1号"/>
    <s v="行政財産"/>
    <s v="04学校教育施設"/>
    <s v="01小学校"/>
    <s v="学校教育法,伊丹市立小学校，中学校および特別支援学校設置条例"/>
    <s v="1974"/>
    <s v="1974"/>
    <n v="14549"/>
    <n v="7531"/>
    <m/>
    <s v="○"/>
    <s v="○"/>
    <s v="14鈴原小"/>
    <s v="複合"/>
    <s v="○"/>
    <s v="○"/>
    <s v="○"/>
    <s v="○"/>
    <s v="○"/>
    <s v="―"/>
    <s v="―"/>
    <s v="鈴原児童くらぶ"/>
    <s v="市有"/>
    <m/>
    <s v="市有"/>
    <m/>
    <s v="学校教育法に基づく義務教育施設として、心身の発達に応じて、義務教育として行われる普通教育のうち基礎的なものを施すことを目的とする施設。 "/>
    <s v="○"/>
    <s v="○"/>
    <s v="○"/>
    <s v="―"/>
    <s v="―"/>
    <s v="○"/>
    <s v="○"/>
    <s v="第1種低層住居専用"/>
    <s v="50"/>
    <s v="100"/>
    <m/>
    <s v="１種"/>
    <m/>
    <m/>
    <s v="直営"/>
    <m/>
    <m/>
    <m/>
    <m/>
    <s v="8:00～21:00"/>
    <s v="土,日,祝,夏季・冬季・春季休業期間"/>
    <s v="事務室,職員室,校長室,保健室,職員控室,普通教室,特別教室,多目的室,その他管理諸室,講堂兼体育館"/>
    <n v="0"/>
    <n v="1278429"/>
    <n v="1020882"/>
    <n v="257547"/>
    <n v="30181"/>
    <n v="0.79900000000000004"/>
    <m/>
    <m/>
    <m/>
    <m/>
    <x v="0"/>
    <s v="○"/>
    <n v="7531"/>
  </r>
  <r>
    <s v="137"/>
    <s v="1035"/>
    <s v="荻野小学校"/>
    <s v="教育委員会"/>
    <x v="19"/>
    <x v="19"/>
    <s v="G600100"/>
    <s v="伊丹市荻野2丁目11番地"/>
    <s v="行政財産"/>
    <s v="04学校教育施設"/>
    <s v="01小学校"/>
    <s v="学校教育法,伊丹市立小学校，中学校および特別支援学校設置条例"/>
    <s v="1976"/>
    <s v="1976"/>
    <n v="15068"/>
    <n v="8625"/>
    <m/>
    <s v="○"/>
    <s v="○"/>
    <s v="15荻野小"/>
    <s v="複合"/>
    <s v="○"/>
    <s v="○"/>
    <s v="○"/>
    <s v="○"/>
    <s v="○"/>
    <s v="―"/>
    <s v="―"/>
    <s v="荻野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826577"/>
    <n v="1239518"/>
    <n v="587059"/>
    <n v="38876"/>
    <n v="0.67900000000000005"/>
    <m/>
    <m/>
    <m/>
    <m/>
    <x v="0"/>
    <s v="○"/>
    <n v="8625"/>
  </r>
  <r>
    <s v="138"/>
    <s v="1036"/>
    <s v="池尻小学校"/>
    <s v="教育委員会"/>
    <x v="19"/>
    <x v="19"/>
    <s v="G600100"/>
    <s v="伊丹市池尻6丁目221番地"/>
    <s v="行政財産"/>
    <s v="04学校教育施設"/>
    <s v="01小学校"/>
    <s v="学校教育法,伊丹市立小学校，中学校および特別支援学校設置条例"/>
    <s v="1977"/>
    <s v="1977"/>
    <n v="16229"/>
    <n v="8132"/>
    <m/>
    <s v="○"/>
    <s v="○"/>
    <s v="16池尻小"/>
    <s v="複合"/>
    <s v="○"/>
    <s v="○"/>
    <s v="○"/>
    <s v="○"/>
    <s v="○"/>
    <s v="―"/>
    <s v="―"/>
    <s v="池尻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44015"/>
    <n v="1055957"/>
    <n v="588058"/>
    <n v="35707"/>
    <n v="0.64200000000000002"/>
    <m/>
    <m/>
    <m/>
    <m/>
    <x v="0"/>
    <s v="○"/>
    <n v="8132"/>
  </r>
  <r>
    <s v="139"/>
    <s v="1037"/>
    <s v="鴻池小学校"/>
    <s v="教育委員会"/>
    <x v="19"/>
    <x v="19"/>
    <s v="G600100"/>
    <s v="伊丹市鴻池4丁目4番5号"/>
    <s v="行政財産"/>
    <s v="04学校教育施設"/>
    <s v="01小学校"/>
    <s v="学校教育法,伊丹市立小学校，中学校および特別支援学校設置条例"/>
    <s v="1981"/>
    <s v="1981"/>
    <n v="17883"/>
    <n v="8315"/>
    <m/>
    <s v="○"/>
    <s v="○"/>
    <s v="17鴻池小"/>
    <s v="複合"/>
    <s v="○"/>
    <s v="○"/>
    <s v="○"/>
    <s v="○"/>
    <s v="○"/>
    <s v="―"/>
    <s v="―"/>
    <s v="鴻池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499294"/>
    <n v="949743"/>
    <n v="549551"/>
    <n v="32713"/>
    <n v="0.63300000000000001"/>
    <m/>
    <m/>
    <m/>
    <m/>
    <x v="0"/>
    <s v="○"/>
    <n v="8315"/>
  </r>
  <r>
    <s v="140"/>
    <s v="0360"/>
    <s v="伊丹児童くらぶ"/>
    <s v="こども未来部"/>
    <x v="20"/>
    <x v="20"/>
    <s v="G061400"/>
    <s v="伊丹市船原1丁目1番1号"/>
    <s v="行政財産"/>
    <s v="04学校教育施設"/>
    <s v="03児童くらぶ"/>
    <s v="児童福祉法、伊丹市立児童くらぶ条例"/>
    <s v="1996"/>
    <s v="2013"/>
    <n v="21553"/>
    <n v="410.17"/>
    <m/>
    <s v="○"/>
    <s v="○"/>
    <s v="01伊丹小"/>
    <s v="単独"/>
    <s v="―"/>
    <s v="―"/>
    <s v="―"/>
    <s v="―"/>
    <s v="―"/>
    <s v="―"/>
    <s v="―"/>
    <s v="伊丹小学校"/>
    <s v="市有"/>
    <m/>
    <s v="市有"/>
    <m/>
    <s v="保護者の就労、病気その他の理由により、放課後、家庭において適切な保育を受けられない児童を保育することを目的とする施設。 "/>
    <s v="―"/>
    <s v="―"/>
    <s v="―"/>
    <s v="―"/>
    <s v="―"/>
    <s v="―"/>
    <s v="―"/>
    <s v="第2種中高層住居専用"/>
    <s v="60"/>
    <s v="200"/>
    <m/>
    <s v="２種"/>
    <s v="準防火"/>
    <m/>
    <s v="直営"/>
    <m/>
    <m/>
    <m/>
    <m/>
    <s v="8:15～18:00"/>
    <s v="日,祝,お盆,年末年始,3/31"/>
    <m/>
    <n v="0"/>
    <n v="89282"/>
    <n v="13531"/>
    <n v="75750"/>
    <n v="3335"/>
    <n v="0.152"/>
    <m/>
    <m/>
    <m/>
    <m/>
    <x v="0"/>
    <s v="○"/>
    <n v="410.17"/>
  </r>
  <r>
    <s v="141"/>
    <s v="0361"/>
    <s v="稲野児童くらぶ"/>
    <s v="こども未来部"/>
    <x v="20"/>
    <x v="20"/>
    <s v="G061400"/>
    <s v="伊丹市昆陽1丁目175番地"/>
    <s v="行政財産"/>
    <s v="04学校教育施設"/>
    <s v="03児童くらぶ"/>
    <s v="児童福祉法、伊丹市立児童くらぶ条例"/>
    <s v="1996"/>
    <s v="1962"/>
    <n v="15595"/>
    <n v="0"/>
    <s v="床面積は稲野小で計上"/>
    <s v="○"/>
    <s v="○"/>
    <s v="02稲野小"/>
    <s v="複合"/>
    <s v="―"/>
    <s v="―"/>
    <s v="―"/>
    <s v="―"/>
    <s v="―"/>
    <s v="―"/>
    <s v="―"/>
    <s v="稲野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2"/>
    <s v="0362"/>
    <s v="南児童くらぶ"/>
    <s v="こども未来部"/>
    <x v="20"/>
    <x v="20"/>
    <s v="G061400"/>
    <s v="伊丹市御願塚2丁目6番1号"/>
    <s v="行政財産"/>
    <s v="04学校教育施設"/>
    <s v="03児童くらぶ"/>
    <s v="児童福祉法、伊丹市立児童くらぶ条例"/>
    <s v="1996"/>
    <s v="1964"/>
    <n v="20066"/>
    <n v="68"/>
    <m/>
    <s v="○"/>
    <s v="○"/>
    <s v="03南小"/>
    <s v="複合"/>
    <s v="―"/>
    <s v="―"/>
    <s v="―"/>
    <s v="―"/>
    <s v="―"/>
    <s v="―"/>
    <s v="―"/>
    <s v="南小学校"/>
    <s v="市有"/>
    <m/>
    <s v="市有"/>
    <m/>
    <s v="保護者の就労、病気その他の理由により、放課後、家庭において適切な保育を受けられない児童を保育することを目的とする施設。 "/>
    <s v="―"/>
    <s v="―"/>
    <s v="―"/>
    <s v="―"/>
    <s v="―"/>
    <s v="―"/>
    <s v="―"/>
    <s v="第1種低層住居専用"/>
    <s v="50"/>
    <s v="100"/>
    <m/>
    <s v="１種"/>
    <m/>
    <m/>
    <s v="直営"/>
    <m/>
    <m/>
    <m/>
    <m/>
    <s v="8:15～18:00"/>
    <s v="日,祝,お盆,年末年始,3/31"/>
    <m/>
    <n v="0"/>
    <n v="9180"/>
    <n v="9180"/>
    <n v="0"/>
    <n v="0"/>
    <n v="1"/>
    <m/>
    <m/>
    <m/>
    <m/>
    <x v="0"/>
    <s v="○"/>
    <n v="68"/>
  </r>
  <r>
    <s v="143"/>
    <s v="0363"/>
    <s v="神津児童くらぶ"/>
    <s v="こども未来部"/>
    <x v="20"/>
    <x v="20"/>
    <s v="G061400"/>
    <s v="伊丹市森本1丁目8番地の1"/>
    <s v="行政財産"/>
    <s v="04学校教育施設"/>
    <s v="03児童くらぶ"/>
    <s v="児童福祉法、伊丹市立児童くらぶ条例"/>
    <s v="1996"/>
    <s v="1979"/>
    <n v="16630"/>
    <n v="0"/>
    <s v="床面積は神津小で計上"/>
    <s v="○"/>
    <s v="○"/>
    <s v="04神津小"/>
    <s v="複合"/>
    <s v="―"/>
    <s v="―"/>
    <s v="―"/>
    <s v="―"/>
    <s v="―"/>
    <s v="―"/>
    <s v="―"/>
    <s v="神津小学校"/>
    <s v="市有"/>
    <m/>
    <s v="市有"/>
    <m/>
    <s v="保護者の就労、病気その他の理由により、放課後、家庭において適切な保育を受けられない児童を保育することを目的とする施設。 "/>
    <s v="○"/>
    <s v="○"/>
    <s v="○"/>
    <s v="―"/>
    <s v="―"/>
    <s v="○"/>
    <s v="―"/>
    <s v="工業"/>
    <s v="60"/>
    <s v="200"/>
    <m/>
    <m/>
    <m/>
    <m/>
    <s v="直営"/>
    <m/>
    <m/>
    <m/>
    <m/>
    <s v="8:15～18:00"/>
    <s v="日,祝,お盆,年末年始,3/31"/>
    <m/>
    <n v="0"/>
    <s v=""/>
    <s v=""/>
    <s v=""/>
    <s v=""/>
    <n v="0"/>
    <m/>
    <m/>
    <m/>
    <m/>
    <x v="0"/>
    <s v="○"/>
    <n v="0"/>
  </r>
  <r>
    <s v="144"/>
    <s v="0364"/>
    <s v="緑丘児童くらぶ"/>
    <s v="こども未来部"/>
    <x v="20"/>
    <x v="20"/>
    <s v="G061400"/>
    <s v="伊丹市高台2丁目14番地"/>
    <s v="行政財産"/>
    <s v="04学校教育施設"/>
    <s v="03児童くらぶ"/>
    <s v="児童福祉法、伊丹市立児童くらぶ条例"/>
    <s v="1996"/>
    <s v="1974"/>
    <n v="16431"/>
    <n v="0"/>
    <s v="床面積は緑丘小で計上"/>
    <s v="○"/>
    <s v="○"/>
    <s v="05緑丘小"/>
    <s v="複合"/>
    <s v="―"/>
    <s v="―"/>
    <s v="―"/>
    <s v="―"/>
    <s v="―"/>
    <s v="―"/>
    <s v="―"/>
    <s v="緑丘小学校"/>
    <s v="市有"/>
    <m/>
    <s v="市有"/>
    <m/>
    <s v="保護者の就労、病気その他の理由により、放課後、家庭において適切な保育を受けられない児童を保育することを目的とする施設。 "/>
    <s v="○"/>
    <s v="○"/>
    <s v="○"/>
    <s v="―"/>
    <s v="―"/>
    <s v="○"/>
    <s v="○"/>
    <s v="第2種中高層住居専用"/>
    <s v="60"/>
    <s v="200"/>
    <m/>
    <s v="２種"/>
    <m/>
    <m/>
    <s v="直営"/>
    <m/>
    <m/>
    <m/>
    <m/>
    <s v="8:15～18:00"/>
    <s v="日,祝,お盆,年末年始,3/31"/>
    <m/>
    <n v="0"/>
    <s v=""/>
    <s v=""/>
    <s v=""/>
    <s v=""/>
    <n v="0"/>
    <m/>
    <m/>
    <m/>
    <m/>
    <x v="0"/>
    <s v="○"/>
    <n v="0"/>
  </r>
  <r>
    <s v="145"/>
    <s v="0365"/>
    <s v="桜台児童くらぶ"/>
    <s v="こども未来部"/>
    <x v="20"/>
    <x v="20"/>
    <s v="G061400"/>
    <s v="伊丹市中野西4丁目100番地"/>
    <s v="行政財産"/>
    <s v="04学校教育施設"/>
    <s v="03児童くらぶ"/>
    <s v="児童福祉法、伊丹市立児童くらぶ条例"/>
    <s v="1996"/>
    <s v="1970"/>
    <n v="18080"/>
    <n v="0"/>
    <s v="床面積は桜台小で計上"/>
    <s v="○"/>
    <s v="○"/>
    <s v="06桜台小"/>
    <s v="複合"/>
    <s v="―"/>
    <s v="―"/>
    <s v="―"/>
    <s v="―"/>
    <s v="―"/>
    <s v="―"/>
    <s v="―"/>
    <s v="桜台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6"/>
    <s v="0366"/>
    <s v="天神川児童くらぶ"/>
    <s v="こども未来部"/>
    <x v="20"/>
    <x v="20"/>
    <s v="G061400"/>
    <s v="伊丹市荒牧南3丁目17番12号"/>
    <s v="行政財産"/>
    <s v="04学校教育施設"/>
    <s v="03児童くらぶ"/>
    <s v="児童福祉法、伊丹市立児童くらぶ条例"/>
    <s v="1996"/>
    <s v="2000"/>
    <n v="15334"/>
    <n v="0"/>
    <s v="床面積は天神川小で計上"/>
    <s v="○"/>
    <s v="○"/>
    <s v="07天神川小"/>
    <s v="複合"/>
    <s v="―"/>
    <s v="―"/>
    <s v="―"/>
    <s v="―"/>
    <s v="―"/>
    <s v="○"/>
    <s v="52"/>
    <s v="天神川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7"/>
    <s v="0367"/>
    <s v="笹原児童くらぶ"/>
    <s v="こども未来部"/>
    <x v="20"/>
    <x v="20"/>
    <s v="G061400"/>
    <s v="伊丹市南野6丁目5番33号"/>
    <s v="行政財産"/>
    <s v="04学校教育施設"/>
    <s v="03児童くらぶ"/>
    <s v="児童福祉法、伊丹市立児童くらぶ条例"/>
    <s v="1996"/>
    <s v="1972"/>
    <n v="16907"/>
    <n v="216"/>
    <m/>
    <s v="○"/>
    <s v="○"/>
    <s v="08笹原小"/>
    <s v="複合"/>
    <s v="―"/>
    <s v="―"/>
    <s v="―"/>
    <s v="―"/>
    <s v="―"/>
    <s v="―"/>
    <s v="―"/>
    <s v="笹原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20937"/>
    <n v="7956"/>
    <n v="12981"/>
    <n v="775"/>
    <n v="0.38"/>
    <m/>
    <m/>
    <m/>
    <m/>
    <x v="0"/>
    <s v="○"/>
    <n v="216"/>
  </r>
  <r>
    <s v="148"/>
    <s v="0368"/>
    <s v="瑞穂児童くらぶ"/>
    <s v="こども未来部"/>
    <x v="20"/>
    <x v="20"/>
    <s v="G061400"/>
    <s v="伊丹市瑞穂町3丁目50番地の1"/>
    <s v="行政財産"/>
    <s v="04学校教育施設"/>
    <s v="03児童くらぶ"/>
    <s v="児童福祉法、伊丹市立児童くらぶ条例"/>
    <s v="1996"/>
    <s v="2010"/>
    <n v="14145"/>
    <n v="198.74"/>
    <m/>
    <s v="○"/>
    <s v="○"/>
    <s v="09瑞穂小"/>
    <s v="単独"/>
    <s v="―"/>
    <s v="―"/>
    <s v="―"/>
    <s v="―"/>
    <s v="―"/>
    <s v="―"/>
    <s v="―"/>
    <s v="瑞穂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31920"/>
    <n v="8491"/>
    <n v="23429"/>
    <n v="1182"/>
    <n v="0.26600000000000001"/>
    <m/>
    <m/>
    <m/>
    <m/>
    <x v="0"/>
    <s v="○"/>
    <n v="198.74"/>
  </r>
  <r>
    <s v="149"/>
    <s v="0369"/>
    <s v="有岡児童くらぶ"/>
    <s v="こども未来部"/>
    <x v="20"/>
    <x v="20"/>
    <s v="G061400"/>
    <s v="伊丹市伊丹7丁目1番1号"/>
    <s v="行政財産"/>
    <s v="04学校教育施設"/>
    <s v="03児童くらぶ"/>
    <s v="児童福祉法、伊丹市立児童くらぶ条例"/>
    <s v="1996"/>
    <s v="2008"/>
    <n v="15918"/>
    <n v="211.64"/>
    <m/>
    <s v="○"/>
    <s v="○"/>
    <s v="10有岡小"/>
    <s v="複合"/>
    <s v="―"/>
    <s v="―"/>
    <s v="―"/>
    <s v="―"/>
    <s v="―"/>
    <s v="―"/>
    <s v="―"/>
    <s v="有岡小学校"/>
    <s v="市有"/>
    <m/>
    <s v="市有"/>
    <m/>
    <s v="保護者の就労、病気その他の理由により、放課後、家庭において適切な保育を受けられない児童を保育することを目的とする施設。 "/>
    <s v="―"/>
    <s v="―"/>
    <s v="―"/>
    <s v="―"/>
    <s v="―"/>
    <s v="―"/>
    <s v="―"/>
    <s v="第1種住居"/>
    <s v="60"/>
    <s v="200"/>
    <m/>
    <s v="３種"/>
    <m/>
    <m/>
    <s v="直営"/>
    <m/>
    <m/>
    <m/>
    <m/>
    <s v="8:15～18:00"/>
    <s v="日,祝,お盆,年末年始,3/31"/>
    <m/>
    <n v="0"/>
    <n v="21235"/>
    <n v="7262"/>
    <n v="13973"/>
    <n v="786"/>
    <n v="0.34200000000000003"/>
    <m/>
    <m/>
    <m/>
    <m/>
    <x v="0"/>
    <s v="○"/>
    <n v="211.64"/>
  </r>
  <r>
    <s v="150"/>
    <s v="0370"/>
    <s v="花里児童くらぶ"/>
    <s v="こども未来部"/>
    <x v="20"/>
    <x v="20"/>
    <s v="G061400"/>
    <s v="伊丹市寺本3丁目135番地"/>
    <s v="行政財産"/>
    <s v="04学校教育施設"/>
    <s v="03児童くらぶ"/>
    <s v="児童福祉法、伊丹市立児童くらぶ条例"/>
    <s v="1996"/>
    <s v="1971"/>
    <n v="19247"/>
    <n v="0"/>
    <s v="床面積は花里小で計上"/>
    <s v="○"/>
    <s v="○"/>
    <s v="11花里小"/>
    <s v="複合"/>
    <s v="―"/>
    <s v="―"/>
    <s v="―"/>
    <s v="―"/>
    <s v="―"/>
    <s v="―"/>
    <s v="―"/>
    <s v="花里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1"/>
    <s v="0371"/>
    <s v="昆陽里児童くらぶ"/>
    <s v="こども未来部"/>
    <x v="20"/>
    <x v="20"/>
    <s v="G061400"/>
    <s v="伊丹市山田2丁目1番2号"/>
    <s v="行政財産"/>
    <s v="04学校教育施設"/>
    <s v="03児童くらぶ"/>
    <s v="児童福祉法、伊丹市立児童くらぶ条例"/>
    <s v="1996"/>
    <s v="1973"/>
    <n v="13091"/>
    <n v="0"/>
    <s v="床面積は昆陽里小で計上"/>
    <s v="○"/>
    <s v="○"/>
    <s v="12昆陽里小"/>
    <s v="複合"/>
    <s v="―"/>
    <s v="―"/>
    <s v="―"/>
    <s v="―"/>
    <s v="―"/>
    <s v="―"/>
    <s v="―"/>
    <s v="昆陽里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2"/>
    <s v="0372"/>
    <s v="摂陽児童くらぶ"/>
    <s v="こども未来部"/>
    <x v="20"/>
    <x v="20"/>
    <s v="G061400"/>
    <s v="伊丹市昆陽南2丁目1番55号"/>
    <s v="行政財産"/>
    <s v="04学校教育施設"/>
    <s v="03児童くらぶ"/>
    <s v="児童福祉法、伊丹市立児童くらぶ条例"/>
    <s v="1996"/>
    <s v="1978"/>
    <n v="17424"/>
    <n v="0"/>
    <s v="床面積は摂陽小で計上"/>
    <s v="○"/>
    <s v="○"/>
    <s v="13摂陽小"/>
    <s v="複合"/>
    <s v="―"/>
    <s v="―"/>
    <s v="―"/>
    <s v="―"/>
    <s v="―"/>
    <s v="―"/>
    <s v="―"/>
    <s v="摂陽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3"/>
    <s v="0373"/>
    <s v="鈴原児童くらぶ"/>
    <s v="こども未来部"/>
    <x v="20"/>
    <x v="20"/>
    <s v="G061400"/>
    <s v="伊丹市御願塚6丁目3番1号"/>
    <s v="行政財産"/>
    <s v="04学校教育施設"/>
    <s v="03児童くらぶ"/>
    <s v="児童福祉法、伊丹市立児童くらぶ条例"/>
    <s v="1996"/>
    <s v="1974"/>
    <n v="14549"/>
    <n v="0"/>
    <s v="床面積は鈴原小で計上"/>
    <s v="○"/>
    <s v="○"/>
    <s v="14鈴原小"/>
    <s v="複合"/>
    <s v="―"/>
    <s v="―"/>
    <s v="―"/>
    <s v="―"/>
    <s v="―"/>
    <s v="―"/>
    <s v="―"/>
    <s v="鈴原小学校"/>
    <s v="市有"/>
    <m/>
    <s v="市有"/>
    <m/>
    <s v="保護者の就労、病気その他の理由により、放課後、家庭において適切な保育を受けられない児童を保育することを目的とする施設。 "/>
    <s v="○"/>
    <s v="○"/>
    <s v="○"/>
    <s v="―"/>
    <s v="―"/>
    <s v="○"/>
    <s v="○"/>
    <s v="第1種低層住居専用"/>
    <s v="50"/>
    <s v="100"/>
    <m/>
    <s v="１種"/>
    <m/>
    <m/>
    <s v="直営"/>
    <m/>
    <m/>
    <m/>
    <m/>
    <s v="8:15～18:00"/>
    <s v="日,祝,お盆,年末年始,3/31"/>
    <m/>
    <n v="0"/>
    <s v=""/>
    <s v=""/>
    <s v=""/>
    <s v=""/>
    <n v="0"/>
    <m/>
    <m/>
    <m/>
    <m/>
    <x v="0"/>
    <s v="○"/>
    <n v="0"/>
  </r>
  <r>
    <s v="154"/>
    <s v="0374"/>
    <s v="荻野児童くらぶ"/>
    <s v="こども未来部"/>
    <x v="20"/>
    <x v="20"/>
    <s v="G061400"/>
    <s v="伊丹市荻野2丁目11番地"/>
    <s v="行政財産"/>
    <s v="04学校教育施設"/>
    <s v="03児童くらぶ"/>
    <s v="児童福祉法、伊丹市立児童くらぶ条例"/>
    <s v="1996"/>
    <s v="2011"/>
    <n v="15068"/>
    <n v="214.59"/>
    <m/>
    <s v="○"/>
    <s v="○"/>
    <s v="15荻野小"/>
    <s v="単独"/>
    <s v="―"/>
    <s v="―"/>
    <s v="―"/>
    <s v="―"/>
    <s v="―"/>
    <s v="―"/>
    <s v="―"/>
    <s v="荻野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32529"/>
    <n v="8864"/>
    <n v="23665"/>
    <n v="1451"/>
    <n v="0.27200000000000002"/>
    <m/>
    <m/>
    <m/>
    <m/>
    <x v="0"/>
    <s v="○"/>
    <n v="214.59"/>
  </r>
  <r>
    <s v="155"/>
    <s v="0375"/>
    <s v="池尻児童くらぶ"/>
    <s v="こども未来部"/>
    <x v="20"/>
    <x v="20"/>
    <s v="G061400"/>
    <s v="伊丹市池尻6丁目221番地"/>
    <s v="行政財産"/>
    <s v="04学校教育施設"/>
    <s v="03児童くらぶ"/>
    <s v="児童福祉法、伊丹市立児童くらぶ条例"/>
    <s v="1996"/>
    <s v="1980"/>
    <n v="16229"/>
    <n v="0"/>
    <s v="床面積は池尻小で計上"/>
    <s v="○"/>
    <s v="○"/>
    <s v="16池尻小"/>
    <s v="複合"/>
    <s v="―"/>
    <s v="―"/>
    <s v="―"/>
    <s v="―"/>
    <s v="―"/>
    <s v="―"/>
    <s v="―"/>
    <s v="池尻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6"/>
    <s v="0376"/>
    <s v="鴻池児童くらぶ"/>
    <s v="こども未来部"/>
    <x v="20"/>
    <x v="20"/>
    <s v="G061400"/>
    <s v="伊丹市鴻池4丁目4番5号"/>
    <s v="行政財産"/>
    <s v="04学校教育施設"/>
    <s v="03児童くらぶ"/>
    <s v="児童福祉法、伊丹市立児童くらぶ条例"/>
    <s v="1996"/>
    <s v="1982"/>
    <n v="17883"/>
    <n v="0"/>
    <s v="床面積は鴻池小で計上"/>
    <s v="○"/>
    <s v="○"/>
    <s v="17鴻池小"/>
    <s v="複合"/>
    <s v="―"/>
    <s v="―"/>
    <s v="―"/>
    <s v="―"/>
    <s v="―"/>
    <s v="―"/>
    <s v="―"/>
    <s v="鴻池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7"/>
    <s v="1041"/>
    <s v="東中学校"/>
    <s v="教育委員会"/>
    <x v="19"/>
    <x v="19"/>
    <s v="G600100"/>
    <s v="伊丹市高台2丁目54番地"/>
    <s v="行政財産"/>
    <s v="04学校教育施設"/>
    <s v="02中学校"/>
    <s v="学校教育法,伊丹市立小学校，中学校および特別支援学校設置条例"/>
    <s v="1947"/>
    <s v="1962"/>
    <n v="21467"/>
    <n v="10045"/>
    <m/>
    <s v="○"/>
    <s v="○"/>
    <s v="05緑丘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格技室"/>
    <n v="0"/>
    <n v="1982197"/>
    <n v="1270066"/>
    <n v="712131"/>
    <n v="36592"/>
    <n v="0.64100000000000001"/>
    <m/>
    <m/>
    <m/>
    <m/>
    <x v="0"/>
    <s v="○"/>
    <n v="10045"/>
  </r>
  <r>
    <s v="158"/>
    <s v="1042"/>
    <s v="西中学校"/>
    <s v="教育委員会"/>
    <x v="19"/>
    <x v="19"/>
    <s v="G600100"/>
    <s v="伊丹市昆陽東4丁目2番5号"/>
    <s v="行政財産"/>
    <s v="04学校教育施設"/>
    <s v="02中学校"/>
    <s v="学校教育法,伊丹市立小学校，中学校および特別支援学校設置条例"/>
    <s v="1947"/>
    <s v="1961"/>
    <n v="17800"/>
    <n v="8612"/>
    <m/>
    <s v="○"/>
    <s v="○"/>
    <s v="13摂陽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632567"/>
    <n v="1209242"/>
    <n v="423325"/>
    <n v="28693"/>
    <n v="0.74099999999999999"/>
    <m/>
    <m/>
    <m/>
    <m/>
    <x v="0"/>
    <s v="○"/>
    <n v="8612"/>
  </r>
  <r>
    <s v="159"/>
    <s v="1043"/>
    <s v="南中学校"/>
    <s v="教育委員会"/>
    <x v="19"/>
    <x v="19"/>
    <s v="G600100"/>
    <s v="伊丹市南町2丁目4番1号"/>
    <s v="行政財産"/>
    <s v="04学校教育施設"/>
    <s v="02中学校"/>
    <s v="学校教育法,伊丹市立小学校，中学校および特別支援学校設置条例"/>
    <s v="1947"/>
    <s v="1961"/>
    <n v="24737"/>
    <n v="10442"/>
    <m/>
    <s v="○"/>
    <s v="○"/>
    <s v="03南小"/>
    <s v="単独"/>
    <s v="○"/>
    <s v="○"/>
    <s v="○"/>
    <s v="○"/>
    <s v="○"/>
    <s v="○"/>
    <s v="5"/>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765820"/>
    <n v="1549876"/>
    <n v="1215944"/>
    <n v="56214"/>
    <n v="0.56000000000000005"/>
    <m/>
    <m/>
    <m/>
    <m/>
    <x v="0"/>
    <s v="○"/>
    <n v="10442"/>
  </r>
  <r>
    <s v="160"/>
    <s v="1044"/>
    <s v="北中学校"/>
    <s v="教育委員会"/>
    <x v="19"/>
    <x v="19"/>
    <s v="G600100"/>
    <s v="伊丹市清水4丁目3番1号"/>
    <s v="行政財産"/>
    <s v="04学校教育施設"/>
    <s v="02中学校"/>
    <s v="学校教育法,伊丹市立小学校，中学校および特別支援学校設置条例"/>
    <s v="1947"/>
    <s v="1961"/>
    <n v="20891"/>
    <n v="8769"/>
    <m/>
    <s v="○"/>
    <s v="○"/>
    <s v="01伊丹小"/>
    <s v="単独"/>
    <s v="○"/>
    <s v="○"/>
    <s v="○"/>
    <s v="○"/>
    <s v="○"/>
    <s v="○"/>
    <s v="20"/>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750406"/>
    <n v="1330611"/>
    <n v="419795"/>
    <n v="35834"/>
    <n v="0.76"/>
    <m/>
    <m/>
    <m/>
    <m/>
    <x v="0"/>
    <s v="○"/>
    <n v="8769"/>
  </r>
  <r>
    <s v="161"/>
    <s v="1045"/>
    <s v="天王寺川中学校"/>
    <s v="教育委員会"/>
    <x v="19"/>
    <x v="19"/>
    <s v="G600100"/>
    <s v="伊丹市鴻池3丁目4番28号"/>
    <s v="行政財産"/>
    <s v="04学校教育施設"/>
    <s v="02中学校"/>
    <s v="学校教育法,伊丹市立小学校，中学校および特別支援学校設置条例"/>
    <s v="1970"/>
    <s v="1970"/>
    <n v="26081"/>
    <n v="10461"/>
    <m/>
    <s v="○"/>
    <s v="○"/>
    <s v="17鴻池小"/>
    <s v="単独"/>
    <s v="○"/>
    <s v="○"/>
    <s v="○"/>
    <s v="○"/>
    <s v="○"/>
    <s v="―"/>
    <s v="―"/>
    <m/>
    <s v="市有,民地"/>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293608"/>
    <n v="1632816"/>
    <n v="660792"/>
    <n v="30377"/>
    <n v="0.71199999999999997"/>
    <m/>
    <m/>
    <m/>
    <m/>
    <x v="0"/>
    <s v="○"/>
    <n v="10461"/>
  </r>
  <r>
    <s v="162"/>
    <s v="1046"/>
    <s v="松崎中学校"/>
    <s v="教育委員会"/>
    <x v="19"/>
    <x v="19"/>
    <s v="G600100"/>
    <s v="伊丹市山田2丁目1番1号"/>
    <s v="行政財産"/>
    <s v="04学校教育施設"/>
    <s v="02中学校"/>
    <s v="学校教育法,伊丹市立小学校，中学校および特別支援学校設置条例"/>
    <s v="1975"/>
    <s v="1975"/>
    <n v="16612"/>
    <n v="10152"/>
    <m/>
    <s v="○"/>
    <s v="○"/>
    <s v="12昆陽里小"/>
    <s v="単独"/>
    <s v="○"/>
    <s v="○"/>
    <s v="○"/>
    <s v="○"/>
    <s v="○"/>
    <s v="○"/>
    <s v="17"/>
    <m/>
    <s v="市有,民地"/>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258766"/>
    <n v="1526096"/>
    <n v="732670"/>
    <n v="55879"/>
    <n v="0.67600000000000005"/>
    <m/>
    <m/>
    <m/>
    <m/>
    <x v="0"/>
    <s v="○"/>
    <n v="10152"/>
  </r>
  <r>
    <s v="163"/>
    <s v="1047"/>
    <s v="荒牧中学校"/>
    <s v="教育委員会"/>
    <x v="19"/>
    <x v="19"/>
    <s v="G600100"/>
    <s v="伊丹市荒牧5丁目2番18号"/>
    <s v="行政財産"/>
    <s v="04学校教育施設"/>
    <s v="02中学校"/>
    <s v="学校教育法,伊丹市立小学校，中学校および特別支援学校設置条例"/>
    <s v="1980"/>
    <s v="1980"/>
    <n v="22428"/>
    <n v="9118"/>
    <m/>
    <s v="○"/>
    <s v="○"/>
    <s v="07天神川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格技室"/>
    <n v="0"/>
    <n v="2010046"/>
    <n v="1107842"/>
    <n v="902204"/>
    <n v="42799"/>
    <n v="0.55100000000000005"/>
    <m/>
    <m/>
    <m/>
    <m/>
    <x v="0"/>
    <s v="○"/>
    <n v="9118"/>
  </r>
  <r>
    <s v="164"/>
    <s v="1048"/>
    <s v="笹原中学校"/>
    <s v="教育委員会"/>
    <x v="19"/>
    <x v="19"/>
    <s v="G600100"/>
    <s v="伊丹市南野北2丁目7番4号"/>
    <s v="行政財産"/>
    <s v="04学校教育施設"/>
    <s v="02中学校"/>
    <s v="学校教育法,伊丹市立小学校，中学校および特別支援学校設置条例"/>
    <s v="1983"/>
    <s v="1983"/>
    <n v="20064"/>
    <n v="9000"/>
    <m/>
    <s v="○"/>
    <s v="○"/>
    <s v="08笹原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393644"/>
    <n v="966576"/>
    <n v="427068"/>
    <n v="32650"/>
    <n v="0.69399999999999995"/>
    <m/>
    <m/>
    <m/>
    <m/>
    <x v="0"/>
    <s v="○"/>
    <n v="9000"/>
  </r>
  <r>
    <s v="165"/>
    <s v="1061"/>
    <s v="市立伊丹高等学校"/>
    <s v="教育委員会"/>
    <x v="19"/>
    <x v="19"/>
    <s v="G600100"/>
    <s v="伊丹市行基町4丁目1番地"/>
    <s v="行政財産"/>
    <s v="04学校教育施設"/>
    <s v="04その他教育施設"/>
    <s v="学校教育法,伊丹市立高等学校設置条例"/>
    <s v="1948"/>
    <s v="1963"/>
    <n v="24841"/>
    <n v="12819"/>
    <m/>
    <s v="○"/>
    <s v="○"/>
    <s v="14鈴原小"/>
    <s v="単独"/>
    <s v="○"/>
    <s v="○"/>
    <s v="○"/>
    <s v="○"/>
    <s v="○"/>
    <s v="―"/>
    <s v="―"/>
    <m/>
    <s v="市有"/>
    <m/>
    <s v="市有"/>
    <m/>
    <s v="学校教育法に基づき、中学校における教育の基礎の上に、心身の発達及び進路に応じて、高度な普通教育及び専門教育を施すことを目的とする施設。"/>
    <s v="○"/>
    <s v="○"/>
    <s v="○"/>
    <s v="―"/>
    <s v="―"/>
    <s v="○"/>
    <s v="―"/>
    <s v="第1種低層住居専用"/>
    <s v="50"/>
    <s v="100"/>
    <m/>
    <s v="１種"/>
    <m/>
    <m/>
    <s v="直営"/>
    <m/>
    <m/>
    <m/>
    <m/>
    <s v="8:00～21:00"/>
    <s v="土,日,祝,夏季・冬季・春季休業期間"/>
    <s v="事務室,職員室,校長室,保健室,技能員室,普通教室,特別教室,多目的室,その他管理諸室,卓球場,柔道場,剣道場,講堂兼体育館,部室"/>
    <n v="0"/>
    <n v="2858000"/>
    <n v="1754863"/>
    <n v="1103137"/>
    <n v="54575"/>
    <n v="0.61399999999999999"/>
    <m/>
    <m/>
    <m/>
    <m/>
    <x v="0"/>
    <s v="○"/>
    <n v="12819"/>
  </r>
  <r>
    <s v="166"/>
    <s v="1071"/>
    <s v="伊丹特別支援学校"/>
    <s v="教育委員会"/>
    <x v="19"/>
    <x v="19"/>
    <s v="G600100"/>
    <s v="伊丹市鴻池1丁目8番6号"/>
    <s v="行政財産"/>
    <s v="04学校教育施設"/>
    <s v="04その他教育施設"/>
    <s v="学校教育法,伊丹市立小学校，中学校および特別支援学校設置条例"/>
    <s v="1972"/>
    <s v="1975"/>
    <n v="6041"/>
    <n v="3856"/>
    <m/>
    <s v="○"/>
    <s v="○"/>
    <s v="17鴻池小"/>
    <s v="単独"/>
    <s v="―"/>
    <s v="―"/>
    <s v="―"/>
    <s v="―"/>
    <s v="―"/>
    <s v="―"/>
    <s v="―"/>
    <m/>
    <s v="市有"/>
    <m/>
    <s v="市有"/>
    <m/>
    <s v="視覚・聴覚・知的障害者、肢体不自由者又は病弱者に対して、幼、小、中又は高校に準ずる教育を施すとともに、障害による学習上又は生活上の困難を克服し自立を図るために必要な知識技能を授けることを目的とする施設。 "/>
    <s v="○"/>
    <s v="○"/>
    <s v="○"/>
    <s v="○"/>
    <s v="―"/>
    <s v="○"/>
    <s v="―"/>
    <s v="第1種中高層住居専用"/>
    <s v="60"/>
    <s v="200"/>
    <m/>
    <s v="２種"/>
    <m/>
    <m/>
    <s v="直営"/>
    <m/>
    <m/>
    <m/>
    <m/>
    <s v="8:00～21:00"/>
    <s v="土,日,祝,夏季・冬季・春季休業期間"/>
    <s v="事務室,職員室,校長室,保健室,技能員室,普通教室,特別教室,調理室,多目的室,その他管理諸室,ｱｸﾃｨﾌﾞﾙｰﾑ,講堂兼屋体"/>
    <n v="0"/>
    <n v="896775"/>
    <n v="543313"/>
    <n v="353462"/>
    <n v="20354"/>
    <n v="0.60599999999999998"/>
    <m/>
    <m/>
    <m/>
    <m/>
    <x v="0"/>
    <s v="○"/>
    <n v="3856"/>
  </r>
  <r>
    <s v="167"/>
    <s v="1078"/>
    <s v="伊丹市立学校給食センター"/>
    <s v="教育委員会"/>
    <x v="21"/>
    <x v="21"/>
    <s v="G600204"/>
    <s v="伊丹市鴻池3丁目4番5号"/>
    <s v="行政財産"/>
    <s v="04学校教育施設"/>
    <s v="04その他教育施設"/>
    <s v="地方教育行政の組織及び運営に関する法律、伊丹市立学校給食センター設置条例"/>
    <s v="1967"/>
    <s v="1999"/>
    <n v="5690.29"/>
    <n v="3006.91"/>
    <m/>
    <s v="○"/>
    <s v="○"/>
    <s v="17鴻池小"/>
    <s v="単独"/>
    <s v="―"/>
    <s v="―"/>
    <s v="―"/>
    <s v="―"/>
    <s v="―"/>
    <s v="―"/>
    <s v="―"/>
    <m/>
    <s v="市有"/>
    <m/>
    <s v="市有"/>
    <m/>
    <s v="児童の体位向上および健康の増進を図ることを目的に設置。"/>
    <s v="―"/>
    <s v="○"/>
    <s v="○"/>
    <s v="○"/>
    <s v="○"/>
    <s v="―"/>
    <s v="―"/>
    <s v="第1種中高層住居専用,第2種住居"/>
    <s v="60"/>
    <s v="200"/>
    <m/>
    <s v="２・３種"/>
    <m/>
    <m/>
    <s v="直営"/>
    <m/>
    <m/>
    <m/>
    <m/>
    <s v="8:00～16:45"/>
    <s v="土,日,祝,年末年始"/>
    <s v="調理室（揚物・焼物室含む）,下処理室,洗浄室,ｺﾝﾃﾅｰ消毒室"/>
    <n v="11"/>
    <n v="1670812"/>
    <n v="998433"/>
    <n v="672379"/>
    <n v="47119"/>
    <n v="0.59799999999999998"/>
    <m/>
    <m/>
    <m/>
    <m/>
    <x v="0"/>
    <s v="○"/>
    <n v="3006.91"/>
  </r>
  <r>
    <s v="168"/>
    <s v="0301"/>
    <s v="中央保育所"/>
    <s v="こども未来部"/>
    <x v="22"/>
    <x v="22"/>
    <s v="G061200"/>
    <s v="伊丹市行基町1丁目50"/>
    <s v="行政財産"/>
    <s v="05子育て支援施設"/>
    <s v="01保育所"/>
    <s v="児童福祉法,伊丹市保育所条例"/>
    <s v="1964"/>
    <s v="1974"/>
    <n v="1190"/>
    <n v="1220.77"/>
    <m/>
    <s v="○"/>
    <s v="○"/>
    <s v="01伊丹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準工業"/>
    <s v="60"/>
    <s v="200"/>
    <s v="大規模集客施設立地規制"/>
    <m/>
    <m/>
    <m/>
    <s v="直営"/>
    <m/>
    <m/>
    <m/>
    <m/>
    <s v="7:00～19:00"/>
    <s v="日,祝,年末年始"/>
    <s v="事務室,医務室,調理室,調乳室,沐浴室,遊戯室,談話室,休養室,保育室（8）"/>
    <n v="7"/>
    <n v="164804"/>
    <n v="155904"/>
    <n v="8899"/>
    <n v="3506"/>
    <n v="0.94599999999999995"/>
    <m/>
    <m/>
    <m/>
    <m/>
    <x v="0"/>
    <s v="○"/>
    <n v="1220.77"/>
  </r>
  <r>
    <s v="169"/>
    <s v="0302"/>
    <s v="西保育所"/>
    <s v="こども未来部"/>
    <x v="22"/>
    <x v="22"/>
    <s v="G061200"/>
    <s v="伊丹市南野北1丁目3番42号"/>
    <s v="行政財産"/>
    <s v="05子育て支援施設"/>
    <s v="01保育所"/>
    <s v="児童福祉法,伊丹市保育所条例"/>
    <s v="1966"/>
    <s v="1982"/>
    <n v="1765.41"/>
    <n v="984.43999999999994"/>
    <m/>
    <s v="○"/>
    <s v="○"/>
    <s v="08笹原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2種中高層住居専用"/>
    <s v="60"/>
    <s v="200"/>
    <m/>
    <s v="２・３種"/>
    <m/>
    <m/>
    <s v="直営"/>
    <m/>
    <m/>
    <m/>
    <m/>
    <s v="7:00～19:00"/>
    <s v="日,祝,年末年始"/>
    <s v="事務室,医務室,調理室,調乳室,沐浴室,遊戯室,談話室,休養室,保育室（8）"/>
    <n v="0"/>
    <n v="179099"/>
    <n v="110430"/>
    <n v="68670"/>
    <n v="3811"/>
    <n v="0.61699999999999999"/>
    <m/>
    <m/>
    <m/>
    <m/>
    <x v="0"/>
    <s v="○"/>
    <n v="984.43999999999994"/>
  </r>
  <r>
    <s v="170"/>
    <s v="0303"/>
    <s v="神津こども園"/>
    <s v="こども未来部"/>
    <x v="22"/>
    <x v="22"/>
    <s v="G061200"/>
    <s v="伊丹市森本1丁目8番25号"/>
    <s v="行政財産"/>
    <s v="05子育て支援施設"/>
    <s v="01保育所"/>
    <s v="児童福祉法,伊丹市立幼保連携型認定こども園条例"/>
    <s v="1968"/>
    <s v="2013"/>
    <n v="3141.07"/>
    <n v="1873.72"/>
    <m/>
    <s v="○"/>
    <s v="○"/>
    <s v="04神津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工業"/>
    <s v="60"/>
    <s v="200"/>
    <m/>
    <m/>
    <m/>
    <m/>
    <s v="直営"/>
    <m/>
    <m/>
    <m/>
    <m/>
    <s v="7:00～19:00"/>
    <s v="日,祝,年末年始"/>
    <s v="職員室,相談室,子育て支援室,多目的室,ﾗﾝﾁﾙｰﾑ,保健室,調理室,沐浴室,遊戯室,休憩室,保育室（8）"/>
    <n v="16"/>
    <n v="443195"/>
    <n v="61129"/>
    <n v="382065"/>
    <n v="15010"/>
    <n v="0.13800000000000001"/>
    <m/>
    <m/>
    <m/>
    <m/>
    <x v="0"/>
    <s v="○"/>
    <n v="1873.72"/>
  </r>
  <r>
    <s v="171"/>
    <s v="0304"/>
    <s v="桜台保育所"/>
    <s v="こども未来部"/>
    <x v="22"/>
    <x v="22"/>
    <s v="G061200"/>
    <s v="伊丹市西野2丁目85番地"/>
    <s v="行政財産"/>
    <s v="05子育て支援施設"/>
    <s v="01保育所"/>
    <s v="児童福祉法,伊丹市保育所条例"/>
    <s v="1972"/>
    <s v="1972"/>
    <n v="1153.8900000000001"/>
    <n v="462.83"/>
    <m/>
    <m/>
    <s v="○"/>
    <s v="06桜台小"/>
    <s v="複合"/>
    <s v="○"/>
    <s v="○"/>
    <s v="○"/>
    <s v="○"/>
    <s v="○"/>
    <s v="―"/>
    <s v="―"/>
    <s v="西センター"/>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近隣商業"/>
    <s v="80"/>
    <s v="200"/>
    <m/>
    <s v="３種"/>
    <m/>
    <m/>
    <s v="直営"/>
    <m/>
    <m/>
    <m/>
    <m/>
    <s v="7:00～19:00"/>
    <s v="日,祝,年末年始"/>
    <s v="事務室,調理室,遊戯室,保育室（4）"/>
    <n v="0"/>
    <n v="64162"/>
    <n v="62195"/>
    <n v="1967"/>
    <n v="737"/>
    <n v="0.96899999999999997"/>
    <m/>
    <m/>
    <m/>
    <m/>
    <x v="0"/>
    <s v="○"/>
    <n v="462.83"/>
  </r>
  <r>
    <s v="172"/>
    <s v="0305"/>
    <s v="北保育所"/>
    <s v="こども未来部"/>
    <x v="22"/>
    <x v="22"/>
    <s v="G061200"/>
    <s v="伊丹市北園1丁目13番地"/>
    <s v="行政財産"/>
    <s v="05子育て支援施設"/>
    <s v="01保育所"/>
    <s v="児童福祉法,伊丹市保育所条例"/>
    <s v="1973"/>
    <s v="1973"/>
    <n v="3882.37"/>
    <n v="875.33"/>
    <m/>
    <m/>
    <s v="○"/>
    <s v="05緑丘小"/>
    <s v="複合"/>
    <s v="○"/>
    <s v="○"/>
    <s v="○"/>
    <s v="○"/>
    <s v="○"/>
    <s v="―"/>
    <s v="―"/>
    <s v="北村センター,北村交流センター"/>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準住居,第2種中高層住居専用"/>
    <s v="60"/>
    <s v="200"/>
    <m/>
    <s v="２・３種"/>
    <m/>
    <m/>
    <s v="直営"/>
    <m/>
    <m/>
    <m/>
    <m/>
    <s v="7:00～19:00"/>
    <s v="日,祝,年末年始"/>
    <s v="事務室,調理室,沐浴室,遊戯室,更衣室,保育室（9）"/>
    <n v="3"/>
    <n v="138754"/>
    <n v="103599"/>
    <n v="35155"/>
    <n v="3130"/>
    <n v="0.747"/>
    <m/>
    <m/>
    <m/>
    <m/>
    <x v="0"/>
    <s v="○"/>
    <n v="875.33"/>
  </r>
  <r>
    <s v="173"/>
    <s v="0306"/>
    <s v="こばと保育所"/>
    <s v="こども未来部"/>
    <x v="22"/>
    <x v="22"/>
    <s v="G061200"/>
    <s v="伊丹市稲野町5丁目76番地"/>
    <s v="行政財産"/>
    <s v="05子育て支援施設"/>
    <s v="01保育所"/>
    <s v="児童福祉法,伊丹市保育所条例"/>
    <s v="1974"/>
    <s v="1974"/>
    <n v="1102.94"/>
    <n v="834.97"/>
    <m/>
    <m/>
    <s v="○"/>
    <s v="03南小"/>
    <s v="単独"/>
    <s v="○"/>
    <s v="○"/>
    <s v="○"/>
    <s v="○"/>
    <s v="○"/>
    <s v="―"/>
    <s v="―"/>
    <m/>
    <s v="民地"/>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低層住居専用"/>
    <s v="50"/>
    <s v="100"/>
    <m/>
    <s v="１種"/>
    <m/>
    <m/>
    <s v="直営"/>
    <m/>
    <m/>
    <m/>
    <m/>
    <s v="7:00～19:00"/>
    <s v="日,祝,年末年始"/>
    <s v="事務室,調理室,調乳室,遊戯室,休養室,保育室（7）"/>
    <n v="0"/>
    <n v="168524"/>
    <n v="156404"/>
    <n v="12120"/>
    <n v="3936"/>
    <n v="0.92800000000000005"/>
    <m/>
    <m/>
    <m/>
    <m/>
    <x v="0"/>
    <s v="○"/>
    <n v="834.97"/>
  </r>
  <r>
    <s v="174"/>
    <s v="0307"/>
    <s v="ひかり保育園"/>
    <s v="こども未来部"/>
    <x v="22"/>
    <x v="22"/>
    <s v="G061200"/>
    <s v="伊丹市堀池3丁目7番26号"/>
    <s v="行政財産"/>
    <s v="05子育て支援施設"/>
    <s v="01保育所"/>
    <s v="児童福祉法,伊丹市保育所条例"/>
    <s v="1974"/>
    <s v="1974"/>
    <n v="1051.07"/>
    <n v="1149.3399999999999"/>
    <m/>
    <s v="○"/>
    <s v="○"/>
    <s v="13摂陽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中高層住居専用"/>
    <s v="60"/>
    <s v="200"/>
    <m/>
    <s v="３種"/>
    <m/>
    <m/>
    <s v="直営"/>
    <m/>
    <m/>
    <m/>
    <m/>
    <s v="7:00～19:00"/>
    <s v="日,祝,年末年始"/>
    <s v="事務室,職員室,調理室,調乳室,沐浴室,遊戯室,休養室,保育室（6）"/>
    <n v="3"/>
    <n v="168190"/>
    <n v="149235"/>
    <n v="18955"/>
    <n v="3898"/>
    <n v="0.88700000000000001"/>
    <m/>
    <m/>
    <m/>
    <m/>
    <x v="0"/>
    <s v="○"/>
    <n v="1149.3399999999999"/>
  </r>
  <r>
    <s v="175"/>
    <s v="0308"/>
    <s v="荻野保育所"/>
    <s v="こども未来部"/>
    <x v="22"/>
    <x v="22"/>
    <s v="G061200"/>
    <s v="伊丹市荻野8丁目33番5号"/>
    <s v="行政財産"/>
    <s v="05子育て支援施設"/>
    <s v="01保育所"/>
    <s v="児童福祉法,伊丹市保育所条例"/>
    <s v="1975"/>
    <s v="2016"/>
    <n v="2454.16"/>
    <n v="1096.3"/>
    <m/>
    <s v="○"/>
    <s v="○"/>
    <s v="15荻野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中高層住居専用"/>
    <s v="60"/>
    <s v="200"/>
    <m/>
    <s v="２種"/>
    <m/>
    <m/>
    <s v="直営"/>
    <m/>
    <m/>
    <m/>
    <m/>
    <s v="7:00～19:00"/>
    <s v="日,祝,年末年始"/>
    <s v="事務室,調理室,調乳室,沐浴室,遊戯室,休養室,医務室,保育室（4）"/>
    <n v="7"/>
    <n v="336262"/>
    <n v="12448"/>
    <n v="323815"/>
    <n v="12252"/>
    <n v="3.6999999999999998E-2"/>
    <m/>
    <m/>
    <m/>
    <m/>
    <x v="0"/>
    <s v="○"/>
    <n v="1096.3"/>
  </r>
  <r>
    <s v="176"/>
    <s v="1001"/>
    <s v="伊丹幼稚園"/>
    <s v="教育委員会"/>
    <x v="19"/>
    <x v="19"/>
    <s v="G600100"/>
    <s v="伊丹市桜ヶ丘1丁目5番20号"/>
    <s v="行政財産"/>
    <s v="05子育て支援施設"/>
    <s v="02幼稚園"/>
    <s v="学校教育法,伊丹市立幼稚園設置条例"/>
    <s v="1946"/>
    <s v="1975"/>
    <n v="2951"/>
    <n v="832"/>
    <m/>
    <s v="○"/>
    <s v="○"/>
    <s v="01伊丹小"/>
    <s v="複合"/>
    <s v="○"/>
    <s v="○"/>
    <s v="○"/>
    <s v="○"/>
    <s v="○"/>
    <s v="―"/>
    <s v="―"/>
    <s v="むっくむっくルーム"/>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171571"/>
    <n v="149601"/>
    <n v="21970"/>
    <n v="4022"/>
    <n v="0.872"/>
    <m/>
    <m/>
    <m/>
    <m/>
    <x v="0"/>
    <s v="○"/>
    <n v="832"/>
  </r>
  <r>
    <s v="177"/>
    <s v="1002"/>
    <s v="稲野幼稚園"/>
    <s v="教育委員会"/>
    <x v="19"/>
    <x v="19"/>
    <s v="G600100"/>
    <s v="伊丹市昆陽1丁目213番地"/>
    <s v="行政財産"/>
    <s v="05子育て支援施設"/>
    <s v="02幼稚園"/>
    <s v="学校教育法,伊丹市立幼稚園設置条例"/>
    <s v="1946"/>
    <s v="1973"/>
    <n v="1847"/>
    <n v="801"/>
    <m/>
    <s v="○"/>
    <s v="○"/>
    <s v="02稲野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45685"/>
    <n v="136425"/>
    <n v="9261"/>
    <n v="3100"/>
    <n v="0.93600000000000005"/>
    <m/>
    <m/>
    <m/>
    <m/>
    <x v="0"/>
    <s v="○"/>
    <n v="801"/>
  </r>
  <r>
    <s v="178"/>
    <s v="1003"/>
    <s v="南幼稚園"/>
    <s v="教育委員会"/>
    <x v="19"/>
    <x v="19"/>
    <s v="G600100"/>
    <s v="伊丹市御願塚2丁目2番23号"/>
    <s v="行政財産"/>
    <s v="05子育て支援施設"/>
    <s v="02幼稚園"/>
    <s v="学校教育法,伊丹市立幼稚園設置条例"/>
    <s v="1946"/>
    <s v="1972"/>
    <n v="1481"/>
    <n v="883"/>
    <m/>
    <s v="○"/>
    <s v="○"/>
    <s v="03南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235509"/>
    <n v="172182"/>
    <n v="63327"/>
    <n v="3084"/>
    <n v="0.73099999999999998"/>
    <m/>
    <m/>
    <m/>
    <m/>
    <x v="0"/>
    <s v="○"/>
    <n v="883"/>
  </r>
  <r>
    <s v="179"/>
    <s v="1005"/>
    <s v="緑幼稚園"/>
    <s v="教育委員会"/>
    <x v="19"/>
    <x v="19"/>
    <s v="G600100"/>
    <s v="伊丹市大鹿5丁目67番地"/>
    <s v="行政財産"/>
    <s v="05子育て支援施設"/>
    <s v="02幼稚園"/>
    <s v="学校教育法,伊丹市立幼稚園設置条例"/>
    <s v="1946"/>
    <s v="1974"/>
    <n v="3199"/>
    <n v="841"/>
    <m/>
    <s v="○"/>
    <s v="○"/>
    <s v="05緑丘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59522"/>
    <n v="134882"/>
    <n v="24640"/>
    <n v="3394"/>
    <n v="0.84599999999999997"/>
    <m/>
    <m/>
    <m/>
    <m/>
    <x v="0"/>
    <s v="○"/>
    <n v="841"/>
  </r>
  <r>
    <s v="180"/>
    <s v="1006"/>
    <s v="桜台幼稚園"/>
    <s v="教育委員会"/>
    <x v="19"/>
    <x v="19"/>
    <s v="G600100"/>
    <s v="伊丹市中野西4丁目92番地"/>
    <s v="行政財産"/>
    <s v="05子育て支援施設"/>
    <s v="02幼稚園"/>
    <s v="学校教育法,伊丹市立幼稚園設置条例"/>
    <s v="1956"/>
    <s v="1974"/>
    <n v="2171"/>
    <n v="796"/>
    <m/>
    <s v="○"/>
    <s v="○"/>
    <s v="06桜台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99478"/>
    <n v="142233"/>
    <n v="57245"/>
    <n v="4135"/>
    <n v="0.71299999999999997"/>
    <m/>
    <m/>
    <m/>
    <m/>
    <x v="0"/>
    <s v="○"/>
    <n v="796"/>
  </r>
  <r>
    <s v="181"/>
    <s v="1007"/>
    <s v="天神川幼稚園"/>
    <s v="教育委員会"/>
    <x v="19"/>
    <x v="19"/>
    <s v="G600100"/>
    <s v="伊丹市荒牧南3丁目1番21号"/>
    <s v="行政財産"/>
    <s v="05子育て支援施設"/>
    <s v="02幼稚園"/>
    <s v="学校教育法,伊丹市立幼稚園設置条例"/>
    <s v="1959"/>
    <s v="1972"/>
    <n v="3565"/>
    <n v="832"/>
    <m/>
    <m/>
    <s v="○"/>
    <s v="07天神川小"/>
    <s v="単独"/>
    <s v="○"/>
    <s v="○"/>
    <s v="○"/>
    <s v="○"/>
    <s v="○"/>
    <s v="―"/>
    <s v="―"/>
    <m/>
    <s v="民地"/>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208626"/>
    <n v="147461"/>
    <n v="61164"/>
    <n v="4439"/>
    <n v="0.70699999999999996"/>
    <m/>
    <m/>
    <m/>
    <m/>
    <x v="0"/>
    <s v="○"/>
    <n v="832"/>
  </r>
  <r>
    <s v="182"/>
    <s v="1008"/>
    <s v="ささはら幼稚園"/>
    <s v="教育委員会"/>
    <x v="19"/>
    <x v="19"/>
    <s v="G600100"/>
    <s v="伊丹市野間1丁目10番16号"/>
    <s v="行政財産"/>
    <s v="05子育て支援施設"/>
    <s v="02幼稚園"/>
    <s v="学校教育法,伊丹市立幼稚園設置条例"/>
    <s v="1967"/>
    <s v="1977"/>
    <n v="2275"/>
    <n v="747"/>
    <m/>
    <s v="○"/>
    <s v="○"/>
    <s v="08笹原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2種中高層住居専用"/>
    <s v="60"/>
    <s v="200"/>
    <m/>
    <s v="２種"/>
    <m/>
    <m/>
    <s v="直営"/>
    <m/>
    <m/>
    <m/>
    <m/>
    <s v="8:40～13:45（施設開放は～21:00）"/>
    <s v="土,日,祝,夏季・冬季・春季休業期間"/>
    <s v="職員室,保健室,保育室,多目的室,遊戯室"/>
    <n v="0"/>
    <n v="123040"/>
    <n v="104278"/>
    <n v="18762"/>
    <n v="2618"/>
    <n v="0.84799999999999998"/>
    <m/>
    <m/>
    <m/>
    <m/>
    <x v="0"/>
    <s v="○"/>
    <n v="747"/>
  </r>
  <r>
    <s v="183"/>
    <s v="1009"/>
    <s v="みずほ幼稚園"/>
    <s v="教育委員会"/>
    <x v="19"/>
    <x v="19"/>
    <s v="G600100"/>
    <s v="伊丹市瑞穂町3丁目46番地"/>
    <s v="行政財産"/>
    <s v="05子育て支援施設"/>
    <s v="02幼稚園"/>
    <s v="学校教育法,伊丹市立幼稚園設置条例"/>
    <s v="1968"/>
    <s v="1968"/>
    <n v="1739"/>
    <n v="793"/>
    <m/>
    <s v="○"/>
    <s v="○"/>
    <s v="09瑞穂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37837"/>
    <n v="117268"/>
    <n v="20568"/>
    <n v="2245"/>
    <n v="0.85099999999999998"/>
    <m/>
    <m/>
    <m/>
    <m/>
    <x v="0"/>
    <s v="○"/>
    <n v="793"/>
  </r>
  <r>
    <s v="184"/>
    <s v="1010"/>
    <s v="ありおか幼稚園"/>
    <s v="教育委員会"/>
    <x v="19"/>
    <x v="19"/>
    <s v="G600100"/>
    <s v="伊丹市伊丹7丁目1番30号"/>
    <s v="行政財産"/>
    <s v="05子育て支援施設"/>
    <s v="02幼稚園"/>
    <s v="学校教育法,伊丹市立幼稚園設置条例"/>
    <s v="1969"/>
    <s v="1969"/>
    <n v="1683"/>
    <n v="517"/>
    <m/>
    <s v="○"/>
    <s v="○"/>
    <s v="10有岡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住居"/>
    <s v="60"/>
    <s v="200"/>
    <m/>
    <s v="３種"/>
    <m/>
    <m/>
    <s v="直営"/>
    <m/>
    <m/>
    <m/>
    <m/>
    <s v="8:40～13:45（施設開放は～21:00）"/>
    <s v="土,日,祝,夏季・冬季・春季休業期間"/>
    <s v="職員室,保健室,保育室,多目的室,遊戯室"/>
    <n v="0"/>
    <n v="102380"/>
    <n v="85046"/>
    <n v="17334"/>
    <n v="1212"/>
    <n v="0.83099999999999996"/>
    <m/>
    <m/>
    <m/>
    <m/>
    <x v="0"/>
    <s v="○"/>
    <n v="517"/>
  </r>
  <r>
    <s v="185"/>
    <s v="1011"/>
    <s v="はなさと幼稚園"/>
    <s v="教育委員会"/>
    <x v="19"/>
    <x v="19"/>
    <s v="G600100"/>
    <s v="伊丹市寺本2丁目77番地"/>
    <s v="行政財産"/>
    <s v="05子育て支援施設"/>
    <s v="02幼稚園"/>
    <s v="学校教育法,伊丹市立幼稚園設置条例"/>
    <s v="1970"/>
    <s v="1970"/>
    <n v="2163"/>
    <n v="616"/>
    <m/>
    <s v="○"/>
    <s v="○"/>
    <s v="11花里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27789"/>
    <n v="115246"/>
    <n v="12543"/>
    <n v="2171"/>
    <n v="0.90200000000000002"/>
    <m/>
    <m/>
    <m/>
    <m/>
    <x v="0"/>
    <s v="○"/>
    <n v="616"/>
  </r>
  <r>
    <s v="186"/>
    <s v="1012"/>
    <s v="こやのさと幼稚園"/>
    <s v="教育委員会"/>
    <x v="19"/>
    <x v="19"/>
    <s v="G600100"/>
    <s v="伊丹市山田2丁目4番2号"/>
    <s v="行政財産"/>
    <s v="05子育て支援施設"/>
    <s v="02幼稚園"/>
    <s v="学校教育法,伊丹市立幼稚園設置条例"/>
    <s v="1973"/>
    <s v="1973"/>
    <n v="2354"/>
    <n v="912"/>
    <m/>
    <s v="○"/>
    <s v="○"/>
    <s v="12昆陽里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遊戯室"/>
    <n v="0"/>
    <n v="128270"/>
    <n v="119103"/>
    <n v="9168"/>
    <n v="2729"/>
    <n v="0.92900000000000005"/>
    <m/>
    <m/>
    <m/>
    <m/>
    <x v="0"/>
    <s v="○"/>
    <n v="912"/>
  </r>
  <r>
    <s v="187"/>
    <s v="1013"/>
    <s v="せつよう幼稚園"/>
    <s v="教育委員会"/>
    <x v="19"/>
    <x v="19"/>
    <s v="G600100"/>
    <s v="伊丹市昆陽南2丁目1番7号"/>
    <s v="行政財産"/>
    <s v="05子育て支援施設"/>
    <s v="02幼稚園"/>
    <s v="学校教育法,伊丹市立幼稚園設置条例"/>
    <s v="1974"/>
    <s v="1974"/>
    <n v="3864"/>
    <n v="840"/>
    <m/>
    <s v="○"/>
    <s v="○"/>
    <s v="13摂陽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67452"/>
    <n v="141908"/>
    <n v="25544"/>
    <n v="3533"/>
    <n v="0.84699999999999998"/>
    <m/>
    <m/>
    <m/>
    <m/>
    <x v="0"/>
    <s v="○"/>
    <n v="840"/>
  </r>
  <r>
    <s v="188"/>
    <s v="1014"/>
    <s v="すずはら幼稚園"/>
    <s v="教育委員会"/>
    <x v="19"/>
    <x v="19"/>
    <s v="G600100"/>
    <s v="伊丹市御願塚6丁目3番50号"/>
    <s v="行政財産"/>
    <s v="05子育て支援施設"/>
    <s v="02幼稚園"/>
    <s v="学校教育法,伊丹市立幼稚園設置条例"/>
    <s v="1974"/>
    <s v="1974"/>
    <n v="3138"/>
    <n v="858"/>
    <m/>
    <s v="○"/>
    <s v="○"/>
    <s v="14鈴原小"/>
    <s v="複合"/>
    <s v="○"/>
    <s v="○"/>
    <s v="○"/>
    <s v="○"/>
    <s v="○"/>
    <s v="―"/>
    <s v="―"/>
    <s v="むっくむっくルーム"/>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150476"/>
    <n v="135076"/>
    <n v="15399"/>
    <n v="3202"/>
    <n v="0.89800000000000002"/>
    <m/>
    <m/>
    <m/>
    <m/>
    <x v="0"/>
    <s v="○"/>
    <n v="858"/>
  </r>
  <r>
    <s v="189"/>
    <s v="1015"/>
    <s v="おぎの幼稚園"/>
    <s v="教育委員会"/>
    <x v="19"/>
    <x v="19"/>
    <s v="G600100"/>
    <s v="伊丹市大野2丁目159番地"/>
    <s v="行政財産"/>
    <s v="05子育て支援施設"/>
    <s v="02幼稚園"/>
    <s v="学校教育法,伊丹市立幼稚園設置条例"/>
    <s v="1976"/>
    <s v="1977"/>
    <n v="3044"/>
    <n v="848"/>
    <m/>
    <s v="○"/>
    <s v="○"/>
    <s v="15荻野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62753"/>
    <n v="125094"/>
    <n v="37660"/>
    <n v="3438"/>
    <n v="0.76900000000000002"/>
    <m/>
    <m/>
    <m/>
    <m/>
    <x v="0"/>
    <s v="○"/>
    <n v="848"/>
  </r>
  <r>
    <s v="190"/>
    <s v="1016"/>
    <s v="いけじり幼稚園"/>
    <s v="教育委員会"/>
    <x v="19"/>
    <x v="19"/>
    <s v="G600100"/>
    <s v="伊丹市池尻6丁目231番地"/>
    <s v="行政財産"/>
    <s v="05子育て支援施設"/>
    <s v="02幼稚園"/>
    <s v="学校教育法,伊丹市立幼稚園設置条例"/>
    <s v="1977"/>
    <s v="1979"/>
    <n v="2921"/>
    <n v="849"/>
    <m/>
    <s v="○"/>
    <s v="○"/>
    <s v="16池尻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40106"/>
    <n v="110323"/>
    <n v="29784"/>
    <n v="2981"/>
    <n v="0.78700000000000003"/>
    <m/>
    <m/>
    <m/>
    <m/>
    <x v="0"/>
    <s v="○"/>
    <n v="849"/>
  </r>
  <r>
    <s v="191"/>
    <s v="1017"/>
    <s v="こうのいけ幼稚園"/>
    <s v="教育委員会"/>
    <x v="19"/>
    <x v="19"/>
    <s v="G600100"/>
    <s v="伊丹市鴻池4丁目4番4号"/>
    <s v="行政財産"/>
    <s v="05子育て支援施設"/>
    <s v="02幼稚園"/>
    <s v="学校教育法,伊丹市立幼稚園設置条例"/>
    <s v="1981"/>
    <s v="1982"/>
    <n v="2117"/>
    <n v="602"/>
    <m/>
    <s v="○"/>
    <s v="○"/>
    <s v="17鴻池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遊戯室"/>
    <n v="0"/>
    <n v="99816"/>
    <n v="67193"/>
    <n v="32623"/>
    <n v="1657"/>
    <n v="0.67300000000000004"/>
    <m/>
    <m/>
    <m/>
    <m/>
    <x v="0"/>
    <s v="○"/>
    <n v="602"/>
  </r>
  <r>
    <s v="192"/>
    <s v="0350"/>
    <s v="地域福祉総合センター"/>
    <s v="健康福祉部"/>
    <x v="23"/>
    <x v="23"/>
    <s v="G052100"/>
    <s v="伊丹市広畑3丁目1番地"/>
    <s v="行政財産"/>
    <s v="06福祉施設"/>
    <s v="01地域福祉・高齢者施設"/>
    <s v="伊丹市立地域福祉総合センター条例"/>
    <s v="2001"/>
    <s v="2001"/>
    <n v="2322.3000000000002"/>
    <n v="2556.71"/>
    <m/>
    <s v="○"/>
    <s v="○"/>
    <s v="09瑞穂小"/>
    <s v="単独"/>
    <s v="―"/>
    <s v="―"/>
    <s v="―"/>
    <s v="―"/>
    <s v="―"/>
    <s v="―"/>
    <s v="―"/>
    <m/>
    <s v="市有"/>
    <m/>
    <s v="市有"/>
    <m/>
    <s v="介護や子育てなど身近な福祉課題に取り組む地域団体や住民が他の団体や行政と連携し、安心して暮らせる地域社会づくりを目指す地域福祉の拠点施設。"/>
    <s v="○"/>
    <s v="○"/>
    <s v="○"/>
    <s v="○"/>
    <s v="○"/>
    <s v="○"/>
    <s v="○"/>
    <s v="第2種住居"/>
    <s v="60"/>
    <s v="200"/>
    <m/>
    <s v="３種"/>
    <m/>
    <m/>
    <s v="指管"/>
    <s v="伊丹市社会福祉協議会"/>
    <d v="2014-04-01T00:00:00"/>
    <d v="2019-03-31T00:00:00"/>
    <s v="非公募"/>
    <s v="9:00～21:00(土,日,祝9:00～17:00)"/>
    <s v="年末年始"/>
    <s v="調理実習室,会議室１～３,人材養成室"/>
    <n v="25"/>
    <n v="570875"/>
    <n v="171262"/>
    <n v="399612"/>
    <n v="11417"/>
    <n v="0.3"/>
    <m/>
    <m/>
    <m/>
    <m/>
    <x v="0"/>
    <s v="○"/>
    <n v="2556.71"/>
  </r>
  <r>
    <s v="193"/>
    <s v="0337"/>
    <s v="サンシティホール"/>
    <s v="健康福祉部"/>
    <x v="23"/>
    <x v="23"/>
    <s v="G052100"/>
    <s v="伊丹市中野西1丁目148番地の1"/>
    <s v="行政財産"/>
    <s v="06福祉施設"/>
    <s v="01地域福祉・高齢者施設"/>
    <s v="伊丹市立サンシティホール条例"/>
    <s v="1990"/>
    <s v="1990"/>
    <n v="9222.19"/>
    <n v="3245.19"/>
    <m/>
    <s v="○"/>
    <s v="○"/>
    <s v="06桜台小"/>
    <s v="単独"/>
    <s v="○"/>
    <s v="○"/>
    <s v="○"/>
    <s v="○"/>
    <s v="○"/>
    <s v="―"/>
    <s v="―"/>
    <m/>
    <s v="市有"/>
    <m/>
    <s v="市有"/>
    <m/>
    <s v="高齢者をはじめとする市民の文化，教養ならびに福祉の向上を図る。"/>
    <s v="○"/>
    <s v="○"/>
    <s v="○"/>
    <s v="○"/>
    <s v="○"/>
    <s v="○"/>
    <s v="―"/>
    <s v="第1種中高層住居専用"/>
    <s v="60"/>
    <s v="200"/>
    <m/>
    <s v="２種"/>
    <m/>
    <m/>
    <s v="指管"/>
    <s v="公益社団法人伊丹市シルバー人材センター"/>
    <d v="2014-04-01T00:00:00"/>
    <d v="2019-03-31T00:00:00"/>
    <s v="公募"/>
    <s v="9:00～21:00（日,祝9:00～17:30）"/>
    <s v="火,年末年始"/>
    <s v="多目的ﾎｰﾙ,講座室(1)(2),絵画工芸室,音楽室,多目的室(1)(2),会議室"/>
    <n v="57"/>
    <n v="944297"/>
    <n v="513653"/>
    <n v="430643"/>
    <n v="19011"/>
    <n v="0.54400000000000004"/>
    <m/>
    <m/>
    <m/>
    <m/>
    <x v="0"/>
    <s v="○"/>
    <n v="3245.19"/>
  </r>
  <r>
    <s v="194"/>
    <s v="0347"/>
    <s v="神津福祉センター"/>
    <s v="健康福祉部"/>
    <x v="23"/>
    <x v="23"/>
    <s v="G052100"/>
    <s v="伊丹市森本1丁目8番地19号"/>
    <s v="行政財産"/>
    <s v="06福祉施設"/>
    <s v="01地域福祉・高齢者施設"/>
    <s v="伊丹市立神津福祉センター条例"/>
    <s v="1999"/>
    <s v="1999"/>
    <n v="2186.06"/>
    <n v="1190.1300000000001"/>
    <m/>
    <s v="○"/>
    <s v="○"/>
    <s v="04神津小"/>
    <s v="単独"/>
    <s v="―"/>
    <s v="―"/>
    <s v="―"/>
    <s v="―"/>
    <s v="―"/>
    <s v="―"/>
    <s v="―"/>
    <s v="特別養護老人ホーム「ケイ・メゾン・ときめき」"/>
    <s v="市有"/>
    <s v="区分所有"/>
    <s v="市有"/>
    <s v="区分所有"/>
    <s v="高齢者をはじめとする市民の文化，教養ならびに福祉の向上を図る。"/>
    <s v="○"/>
    <s v="○"/>
    <s v="○"/>
    <s v="○"/>
    <s v="○"/>
    <s v="○"/>
    <s v="○"/>
    <s v="工業"/>
    <s v="60"/>
    <s v="200"/>
    <m/>
    <m/>
    <m/>
    <m/>
    <s v="指管"/>
    <s v="社会福祉法人「協同の苑」"/>
    <d v="2014-04-01T00:00:00"/>
    <d v="2019-03-31T00:00:00"/>
    <s v="非公募"/>
    <s v="9:00～21:00（日,祝9:00～17:30）"/>
    <s v="火,年末年始"/>
    <s v="講座室,音楽ﾄﾚｰﾆﾝｸﾞ室,和室,趣味活動室"/>
    <n v="28"/>
    <n v="349755"/>
    <n v="125912"/>
    <n v="223843"/>
    <n v="6995"/>
    <n v="0.36"/>
    <m/>
    <m/>
    <m/>
    <m/>
    <x v="0"/>
    <s v="○"/>
    <n v="1190.1300000000001"/>
  </r>
  <r>
    <s v="195"/>
    <s v="0321"/>
    <s v="高齢者憩のセンター"/>
    <s v="健康福祉部"/>
    <x v="23"/>
    <x v="23"/>
    <s v="G052100"/>
    <s v="伊丹市口酒井1丁目3番39号"/>
    <s v="行政財産"/>
    <s v="06福祉施設"/>
    <s v="01地域福祉・高齢者施設"/>
    <s v="伊丹市高齢者憩のセンター条例"/>
    <s v="1981"/>
    <s v="1981"/>
    <n v="731.88"/>
    <n v="291.45"/>
    <m/>
    <m/>
    <s v="○"/>
    <s v="04神津小"/>
    <s v="単独"/>
    <s v="―"/>
    <s v="―"/>
    <s v="―"/>
    <s v="―"/>
    <s v="―"/>
    <s v="―"/>
    <s v="―"/>
    <s v="口酒井センター"/>
    <s v="市有"/>
    <m/>
    <s v="市有"/>
    <m/>
    <s v="高齢者に対し，教養の向上，レクリエーション等のための場を提供することにより，高齢者の心身の健康増進を図る。"/>
    <s v="―"/>
    <s v="―"/>
    <s v="―"/>
    <s v="―"/>
    <s v="―"/>
    <s v="―"/>
    <s v="―"/>
    <s v="第1種住居"/>
    <s v="60"/>
    <s v="200"/>
    <m/>
    <s v="３種"/>
    <m/>
    <m/>
    <s v="指管"/>
    <s v="伊丹市高齢者憩のセンター管理運営委員会"/>
    <d v="2016-04-01T00:00:00"/>
    <d v="2021-03-31T00:00:00"/>
    <s v="非公募"/>
    <s v="9:00～21:00"/>
    <s v="年末年始"/>
    <s v="集会室,娯楽室"/>
    <m/>
    <n v="68491"/>
    <n v="47944"/>
    <n v="20547"/>
    <n v="1370"/>
    <n v="0.7"/>
    <m/>
    <m/>
    <m/>
    <m/>
    <x v="0"/>
    <s v="○"/>
    <n v="291.45"/>
  </r>
  <r>
    <s v="196"/>
    <s v="0344"/>
    <s v="ふれあいセンター"/>
    <s v="市民自治部"/>
    <x v="5"/>
    <x v="5"/>
    <s v="G043300"/>
    <s v="伊丹市昆陽南3丁目8番21号"/>
    <s v="行政財産"/>
    <s v="06福祉施設"/>
    <s v="01地域福祉・高齢者施設"/>
    <s v="伊丹市立人権啓発センター条例"/>
    <s v="1994"/>
    <s v="1994"/>
    <n v="928.62"/>
    <n v="735.91"/>
    <m/>
    <s v="○"/>
    <s v="○"/>
    <s v="13摂陽小"/>
    <s v="単独"/>
    <s v="○"/>
    <s v="○"/>
    <s v="○"/>
    <s v="○"/>
    <s v="○"/>
    <s v="―"/>
    <s v="―"/>
    <m/>
    <s v="市有"/>
    <m/>
    <s v="市有"/>
    <m/>
    <s v="高齢者が憩い、健康体操等を通して体の機能維持・回復（介護予防）を図り、一人ひとりの人権を大切にするふれあい交流の場"/>
    <s v="○"/>
    <s v="―"/>
    <s v="○"/>
    <s v="○"/>
    <s v="○"/>
    <s v="○"/>
    <s v="○"/>
    <s v="第1種中高層住居専用"/>
    <s v="60"/>
    <s v="200"/>
    <m/>
    <s v="２種"/>
    <m/>
    <m/>
    <s v="直営"/>
    <m/>
    <m/>
    <m/>
    <m/>
    <s v="1階：16:00～23:00　2階：9:00～17:30"/>
    <s v="1階：火,1/1,4　2階：火,土,年末年始"/>
    <s v="ぎょうぎ温泉,ふれあい交流ｾﾝﾀｰ"/>
    <m/>
    <n v="440725"/>
    <n v="219900"/>
    <n v="220825"/>
    <n v="9839"/>
    <n v="0.499"/>
    <m/>
    <m/>
    <m/>
    <m/>
    <x v="0"/>
    <s v="○"/>
    <n v="735.91"/>
  </r>
  <r>
    <s v="197"/>
    <s v="0319"/>
    <s v="障害者福祉センター"/>
    <s v="健康福祉部"/>
    <x v="24"/>
    <x v="24"/>
    <s v="G052400"/>
    <s v="伊丹市昆陽池2丁目10番地"/>
    <s v="行政財産"/>
    <s v="06福祉施設"/>
    <s v="02障がい者(児)・発達支援施設"/>
    <s v="伊丹市立障害者福祉センター条例"/>
    <s v="1974"/>
    <s v="1974"/>
    <n v="5552"/>
    <n v="3445.14"/>
    <m/>
    <s v="○"/>
    <s v="○"/>
    <s v="02稲野小"/>
    <s v="単独"/>
    <s v="○"/>
    <s v="○"/>
    <s v="○"/>
    <s v="○"/>
    <s v="○"/>
    <s v="―"/>
    <s v="―"/>
    <m/>
    <s v="市有"/>
    <m/>
    <s v="市有"/>
    <m/>
    <s v="障がいのある人への各種相談、各種会合等のための部屋の提供、健康の増進、教養の向上、ｽﾎﾟｰﾂ・ﾚｸﾘｴｰｼｮﾝなどの保健・余暇活動、市民交流等の啓発活動、障がい者関係のボランティアの育成、機能訓練などのサービスを提供。"/>
    <s v="○"/>
    <s v="○"/>
    <s v="○"/>
    <s v="○"/>
    <s v="○"/>
    <s v="○"/>
    <s v="―"/>
    <s v="第2種中高層住居専用"/>
    <s v="60"/>
    <s v="200"/>
    <m/>
    <s v="２種"/>
    <m/>
    <m/>
    <s v="指管"/>
    <s v="社会福祉法人伊丹市社会福祉協議会"/>
    <d v="2015-04-01T00:00:00"/>
    <d v="2019-03-31T00:00:00"/>
    <s v="非公募"/>
    <s v="9:00～21:00(日,祝9:00～17:30)"/>
    <s v="月,年末年始,祝日の翌日"/>
    <s v="大広間,研修室,多目的室,ﾌﾟｰﾙ,会議室,和室,浴室"/>
    <n v="21"/>
    <n v="1206955"/>
    <n v="522753"/>
    <n v="684202"/>
    <n v="24230"/>
    <n v="0.433"/>
    <m/>
    <m/>
    <m/>
    <m/>
    <x v="0"/>
    <s v="○"/>
    <n v="3445.14"/>
  </r>
  <r>
    <s v="198"/>
    <s v="0354"/>
    <s v="障害者デイサービスセンター"/>
    <s v="健康福祉部"/>
    <x v="24"/>
    <x v="24"/>
    <s v="G052400"/>
    <s v="伊丹市昆陽池2丁目10番地"/>
    <s v="行政財産"/>
    <s v="06福祉施設"/>
    <s v="02障がい者(児)・発達支援施設"/>
    <s v="伊丹市立障害者デイサービスセンター条例"/>
    <s v="1996"/>
    <s v="1996"/>
    <n v="5552"/>
    <n v="998.2"/>
    <m/>
    <m/>
    <s v="○"/>
    <s v="02稲野小"/>
    <s v="単独"/>
    <s v="―"/>
    <s v="―"/>
    <s v="―"/>
    <s v="―"/>
    <s v="―"/>
    <s v="―"/>
    <s v="―"/>
    <m/>
    <s v="市有"/>
    <m/>
    <s v="市有"/>
    <m/>
    <s v="在宅の障がい者の健康の推進及びその自立と社会参加の促進を図ることを目的とした施設。"/>
    <s v="○"/>
    <s v="○"/>
    <s v="○"/>
    <s v="○"/>
    <s v="○"/>
    <s v="○"/>
    <s v="○"/>
    <s v="第2種中高層住居専用"/>
    <s v="60"/>
    <s v="200"/>
    <m/>
    <s v="２種"/>
    <m/>
    <m/>
    <s v="指管"/>
    <s v="社会福祉法人伊丹市社会福祉協議会"/>
    <d v="2014-04-01T00:00:00"/>
    <d v="2019-03-31T00:00:00"/>
    <s v="非公募"/>
    <s v="9:00～17:30"/>
    <s v="月,年末年始,祝日の翌日"/>
    <s v="ﾃﾞｲﾙｰﾑ１～３"/>
    <n v="6"/>
    <n v="411881"/>
    <n v="142706"/>
    <n v="269175"/>
    <n v="8238"/>
    <n v="0.34599999999999997"/>
    <m/>
    <m/>
    <m/>
    <m/>
    <x v="0"/>
    <s v="○"/>
    <n v="998.2"/>
  </r>
  <r>
    <s v="199"/>
    <s v="0310"/>
    <s v="つつじ学園"/>
    <s v="こども未来部"/>
    <x v="25"/>
    <x v="25"/>
    <s v="G061800"/>
    <s v="中野北2丁目11番28号"/>
    <s v="行政財産"/>
    <s v="06福祉施設"/>
    <s v="02障がい者(児)・発達支援施設"/>
    <s v="児童福祉法、伊丹市立福祉型児童発達支援センター条例"/>
    <s v="1965"/>
    <s v="1965"/>
    <n v="1936.31"/>
    <n v="415.05"/>
    <m/>
    <s v="○"/>
    <s v="○"/>
    <s v="06桜台小"/>
    <s v="単独"/>
    <s v="―"/>
    <s v="―"/>
    <s v="―"/>
    <s v="―"/>
    <s v="―"/>
    <s v="―"/>
    <s v="―"/>
    <m/>
    <s v="市有"/>
    <m/>
    <s v="市有"/>
    <m/>
    <s v="概ね3歳～6歳の発達に遅れのある幼児が、日々、家庭から学園バスで通園し、親子関係の安定や対人関係の基礎を育み、自立に必要な基本的生活習慣を身に付け、また、集団生活を通して言語の獲得、ｺﾐｭﾆｹｰｼｮﾝや遊びに対する意欲を育むよう発達を支援する施設"/>
    <s v="○"/>
    <s v="○"/>
    <s v="―"/>
    <s v="―"/>
    <s v="―"/>
    <s v="―"/>
    <s v="―"/>
    <s v="第1種住居,第2種中高層住居専用"/>
    <s v="60"/>
    <s v="200"/>
    <m/>
    <s v="２・３種"/>
    <m/>
    <m/>
    <s v="直営"/>
    <m/>
    <m/>
    <m/>
    <m/>
    <s v="8:30～17:00"/>
    <s v="土,日"/>
    <s v="保育室,遊戯室,職員室,調理室,相談室"/>
    <n v="3"/>
    <s v=""/>
    <s v=""/>
    <s v=""/>
    <s v=""/>
    <n v="0"/>
    <m/>
    <s v="○"/>
    <d v="2016-03-31T00:00:00"/>
    <m/>
    <x v="0"/>
    <m/>
    <n v="0"/>
  </r>
  <r>
    <s v="200"/>
    <s v="0311"/>
    <s v="きぼう園"/>
    <s v="こども未来部"/>
    <x v="25"/>
    <x v="25"/>
    <s v="G061800"/>
    <s v="昆陽池1丁目45番地"/>
    <s v="行政財産"/>
    <s v="06福祉施設"/>
    <s v="02障がい者(児)・発達支援施設"/>
    <s v="児童福祉法、伊丹市立医療型児童発達支援センター条例"/>
    <s v="1989"/>
    <s v="1989"/>
    <n v="1184.9000000000001"/>
    <n v="740"/>
    <m/>
    <s v="○"/>
    <s v="○"/>
    <s v="02稲野小"/>
    <s v="複合"/>
    <s v="―"/>
    <s v="―"/>
    <s v="―"/>
    <s v="―"/>
    <s v="―"/>
    <s v="―"/>
    <s v="―"/>
    <s v="カルミア"/>
    <s v="市有"/>
    <m/>
    <s v="市有"/>
    <m/>
    <s v="0歳児から就学前の運動面の発達に遅れのある子どもに、保育やリハビリテーションなどを行い、保護者とともに子どもたちの豊かな発達と自立を支援する療育施設"/>
    <s v="○"/>
    <s v="○"/>
    <s v="―"/>
    <s v="○"/>
    <s v="―"/>
    <s v="○"/>
    <s v="―"/>
    <s v="第2種中高層住居専用"/>
    <s v="60"/>
    <s v="200"/>
    <m/>
    <s v="２種"/>
    <m/>
    <m/>
    <s v="直営"/>
    <m/>
    <m/>
    <m/>
    <m/>
    <s v="8:30～17:00"/>
    <s v="土,日"/>
    <s v="保育室,職員室,調理室,診察室,訓練室,ST室,ﾌﾟﾚｲﾙｰﾑ,相談室"/>
    <n v="3"/>
    <s v=""/>
    <s v=""/>
    <s v=""/>
    <s v=""/>
    <n v="0"/>
    <m/>
    <s v="○"/>
    <d v="2016-03-31T00:00:00"/>
    <m/>
    <x v="0"/>
    <m/>
    <n v="0"/>
  </r>
  <r>
    <s v="201"/>
    <s v="0013"/>
    <s v="児童発達支援事業所(カルミア)"/>
    <s v="こども未来部"/>
    <x v="25"/>
    <x v="25"/>
    <s v="G061800"/>
    <s v="昆陽池1丁目45番地"/>
    <s v="行政財産"/>
    <s v="06福祉施設"/>
    <s v="02障がい者(児)・発達支援施設"/>
    <s v="児童福祉法、伊丹市立医療型児童発達支援センター条例"/>
    <s v="1989"/>
    <s v="1989"/>
    <n v="1184.9000000000001"/>
    <n v="312"/>
    <m/>
    <m/>
    <s v="○"/>
    <s v="02稲野小"/>
    <s v="複合"/>
    <s v="―"/>
    <s v="―"/>
    <s v="―"/>
    <s v="―"/>
    <s v="―"/>
    <s v="―"/>
    <s v="―"/>
    <s v="きぼう園"/>
    <s v="市有"/>
    <m/>
    <s v="市有"/>
    <m/>
    <s v="おおむね１歳半から就学前の発達に支援を必要とする子どもとその保護者へ保育や相談を行う療育の場。"/>
    <s v="○"/>
    <s v="―"/>
    <s v="―"/>
    <s v="―"/>
    <s v="―"/>
    <s v="○"/>
    <s v="―"/>
    <s v="第2種中高層住居専用"/>
    <s v="60"/>
    <s v="200"/>
    <m/>
    <s v="２種"/>
    <m/>
    <m/>
    <s v="直営"/>
    <m/>
    <m/>
    <m/>
    <m/>
    <s v="8:30～17:00"/>
    <s v="土,日"/>
    <s v="ﾌﾟﾚｲﾙｰﾑ,職員室,相談室"/>
    <n v="0"/>
    <s v=""/>
    <s v=""/>
    <s v=""/>
    <s v=""/>
    <n v="0"/>
    <m/>
    <s v="○"/>
    <d v="2016-03-31T00:00:00"/>
    <m/>
    <x v="0"/>
    <m/>
    <n v="0"/>
  </r>
  <r>
    <s v="202"/>
    <s v="0312"/>
    <s v="こども発達支援センター"/>
    <s v="こども未来部"/>
    <x v="25"/>
    <x v="25"/>
    <s v="G061800"/>
    <s v="伊丹市千僧1丁目47番2号"/>
    <s v="行政財産"/>
    <s v="06福祉施設"/>
    <s v="02障がい者(児)・発達支援施設"/>
    <s v="伊丹市立こども発達支援センター条例"/>
    <s v="2016"/>
    <s v="2016"/>
    <n v="1811.18"/>
    <n v="2795.75"/>
    <m/>
    <s v="○"/>
    <s v="○"/>
    <s v="02稲野小"/>
    <s v="単独"/>
    <s v="―"/>
    <s v="―"/>
    <s v="―"/>
    <s v="―"/>
    <s v="―"/>
    <s v="―"/>
    <s v="―"/>
    <m/>
    <s v="市有"/>
    <m/>
    <s v="市有"/>
    <m/>
    <s v="障害のある児童又はその疑いのある児童（以下「障害児」という。）に対し，その発達段階に応じて日常生活のための指導，訓練，医療等の支援を総合的に提供するとともに，その保護者に対し相談を行うことにより，障害児の健やかな育成を図る。"/>
    <s v="○"/>
    <s v="○"/>
    <s v="○"/>
    <s v="○"/>
    <s v="○"/>
    <s v="○"/>
    <s v="○"/>
    <s v="第2種住居"/>
    <s v="60"/>
    <s v="200"/>
    <m/>
    <s v="３種"/>
    <m/>
    <m/>
    <s v="直営"/>
    <m/>
    <m/>
    <m/>
    <m/>
    <s v="9:00～17:30_x000a_（診療所は9:00～16:00）"/>
    <s v="土,日,祝,年末年始"/>
    <s v="【1階】事務所,相談室,ﾌﾟﾚｲﾙｰﾑ1・2等【2階】保育室,遊戯室,調理室等【3階】保育室,遊戯室,職員室等【4階】診療所,診察室等"/>
    <n v="4"/>
    <n v="958819"/>
    <n v="34277"/>
    <n v="924542"/>
    <n v="33698"/>
    <n v="3.5999999999999997E-2"/>
    <m/>
    <m/>
    <m/>
    <m/>
    <x v="0"/>
    <s v="○"/>
    <n v="2795.75"/>
  </r>
  <r>
    <s v="203"/>
    <s v="0822"/>
    <s v="長尾住宅"/>
    <s v="都市活力部"/>
    <x v="26"/>
    <x v="26"/>
    <s v="G051100"/>
    <s v="伊丹市北野1丁目80番地"/>
    <s v="行政財産"/>
    <s v="07住宅施設"/>
    <s v="01市営住宅"/>
    <s v="公営住宅法,伊丹市営住宅条例"/>
    <s v="1997"/>
    <s v="1997"/>
    <n v="5226.91"/>
    <n v="8185.559999999999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近隣商業,第1種住居"/>
    <s v="60-80"/>
    <s v="200"/>
    <m/>
    <s v="３種"/>
    <m/>
    <m/>
    <s v="指管"/>
    <s v="日本管財株式会社"/>
    <d v="2014-04-01T00:00:00"/>
    <d v="2019-03-31T00:00:00"/>
    <s v="公募"/>
    <m/>
    <m/>
    <m/>
    <n v="69"/>
    <n v="1937810"/>
    <n v="800491"/>
    <n v="1137318"/>
    <n v="41230"/>
    <n v="0.41299999999999998"/>
    <m/>
    <m/>
    <m/>
    <m/>
    <x v="0"/>
    <s v="○"/>
    <n v="8185.5599999999995"/>
  </r>
  <r>
    <s v="204"/>
    <s v="0827"/>
    <s v="鴻池南住宅"/>
    <s v="都市活力部"/>
    <x v="26"/>
    <x v="26"/>
    <s v="G051100"/>
    <s v="伊丹市鴻池3丁目9番3"/>
    <s v="行政財産"/>
    <s v="07住宅施設"/>
    <s v="01市営住宅"/>
    <s v="公営住宅法,住宅地区改良法,伊丹市営住宅条例"/>
    <s v="1997"/>
    <s v="1997"/>
    <n v="2000.04"/>
    <n v="2731.48"/>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s v="地区計画"/>
    <s v="指管"/>
    <s v="日本管財株式会社"/>
    <d v="2014-04-01T00:00:00"/>
    <d v="2019-03-31T00:00:00"/>
    <s v="公募"/>
    <m/>
    <m/>
    <m/>
    <n v="23"/>
    <n v="618571"/>
    <n v="244212"/>
    <n v="374360"/>
    <n v="13161"/>
    <n v="0.39500000000000002"/>
    <m/>
    <m/>
    <m/>
    <m/>
    <x v="0"/>
    <s v="○"/>
    <n v="2731.48"/>
  </r>
  <r>
    <s v="205"/>
    <s v="0806"/>
    <s v="玉田団地"/>
    <s v="都市活力部"/>
    <x v="26"/>
    <x v="26"/>
    <s v="G051100"/>
    <s v="伊丹市中野東1丁目4番地"/>
    <s v="行政財産"/>
    <s v="07住宅施設"/>
    <s v="01市営住宅"/>
    <s v="公営住宅法,伊丹市営住宅条例"/>
    <s v="1962"/>
    <s v="1962"/>
    <n v="10641.74"/>
    <n v="10631.07"/>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58"/>
    <n v="1475572"/>
    <n v="1174903"/>
    <n v="300669"/>
    <n v="17701"/>
    <n v="0.79600000000000004"/>
    <m/>
    <m/>
    <m/>
    <m/>
    <x v="0"/>
    <s v="○"/>
    <n v="10631.07"/>
  </r>
  <r>
    <s v="206"/>
    <s v="0804"/>
    <s v="荒牧第７団地"/>
    <s v="都市活力部"/>
    <x v="26"/>
    <x v="26"/>
    <s v="G051100"/>
    <s v="伊丹市北野3丁目45番地"/>
    <s v="行政財産"/>
    <s v="07住宅施設"/>
    <s v="01市営住宅"/>
    <s v="公営住宅法,伊丹市営住宅条例"/>
    <s v="1966"/>
    <s v="1966"/>
    <n v="2529.5"/>
    <n v="2353.6800000000003"/>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35"/>
    <n v="414417"/>
    <n v="399796"/>
    <n v="14621"/>
    <n v="425"/>
    <n v="0.96499999999999997"/>
    <m/>
    <m/>
    <m/>
    <m/>
    <x v="0"/>
    <s v="○"/>
    <n v="2353.6800000000003"/>
  </r>
  <r>
    <s v="207"/>
    <s v="0803"/>
    <s v="荒牧第６団地"/>
    <s v="都市活力部"/>
    <x v="26"/>
    <x v="26"/>
    <s v="G051100"/>
    <s v="伊丹市北野4丁目34番地"/>
    <s v="行政財産"/>
    <s v="07住宅施設"/>
    <s v="01市営住宅"/>
    <s v="公営住宅法,伊丹市営住宅条例"/>
    <s v="1965"/>
    <s v="1965"/>
    <n v="1361.91"/>
    <n v="1453.24"/>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14"/>
    <n v="267523"/>
    <n v="243664"/>
    <n v="23859"/>
    <n v="540"/>
    <n v="0.91100000000000003"/>
    <m/>
    <m/>
    <m/>
    <m/>
    <x v="0"/>
    <s v="○"/>
    <n v="1453.24"/>
  </r>
  <r>
    <s v="208"/>
    <s v="0807"/>
    <s v="山道団地"/>
    <s v="都市活力部"/>
    <x v="26"/>
    <x v="26"/>
    <s v="G051100"/>
    <s v="伊丹市南野北1丁目1番1"/>
    <s v="行政財産"/>
    <s v="07住宅施設"/>
    <s v="01市営住宅"/>
    <s v="公営住宅法,伊丹市営住宅条例"/>
    <s v="1965"/>
    <s v="1965"/>
    <n v="3259.76"/>
    <n v="2780.1"/>
    <m/>
    <s v="○"/>
    <s v="○"/>
    <s v="08笹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2種中高層住居専用"/>
    <s v="60"/>
    <s v="200"/>
    <m/>
    <s v="２種"/>
    <m/>
    <m/>
    <s v="指管"/>
    <s v="日本管財株式会社"/>
    <d v="2014-04-01T00:00:00"/>
    <d v="2019-03-31T00:00:00"/>
    <s v="公募"/>
    <m/>
    <m/>
    <m/>
    <m/>
    <n v="497465"/>
    <n v="475401"/>
    <n v="22063"/>
    <n v="1140"/>
    <n v="0.95599999999999996"/>
    <m/>
    <m/>
    <m/>
    <m/>
    <x v="0"/>
    <s v="○"/>
    <n v="2780.1"/>
  </r>
  <r>
    <s v="209"/>
    <s v="0810"/>
    <s v="荻野団地"/>
    <s v="都市活力部"/>
    <x v="26"/>
    <x v="26"/>
    <s v="G051100"/>
    <s v="伊丹市荒牧南4丁目15番"/>
    <s v="行政財産"/>
    <s v="07住宅施設"/>
    <s v="01市営住宅"/>
    <s v="公営住宅法,伊丹市営住宅条例"/>
    <s v="1968"/>
    <s v="1968"/>
    <n v="11168.93"/>
    <n v="11940.6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137"/>
    <n v="2077782"/>
    <n v="1955261"/>
    <n v="122521"/>
    <n v="7050"/>
    <n v="0.94099999999999995"/>
    <m/>
    <m/>
    <m/>
    <m/>
    <x v="0"/>
    <s v="○"/>
    <n v="11940.65"/>
  </r>
  <r>
    <s v="210"/>
    <s v="0808"/>
    <s v="天神川団地"/>
    <s v="都市活力部"/>
    <x v="26"/>
    <x v="26"/>
    <s v="G051100"/>
    <s v="伊丹市中野西1丁目147番地"/>
    <s v="行政財産"/>
    <s v="07住宅施設"/>
    <s v="01市営住宅"/>
    <s v="公営住宅法,伊丹市営住宅条例"/>
    <s v="1967"/>
    <s v="1967"/>
    <n v="6767.49"/>
    <n v="5709.64"/>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403159"/>
    <n v="1150900"/>
    <n v="252259"/>
    <n v="10291"/>
    <n v="0.82"/>
    <m/>
    <m/>
    <m/>
    <m/>
    <x v="0"/>
    <s v="○"/>
    <n v="5709.64"/>
  </r>
  <r>
    <s v="211"/>
    <s v="0813"/>
    <s v="中曽根団地"/>
    <s v="都市活力部"/>
    <x v="26"/>
    <x v="26"/>
    <s v="G051100"/>
    <s v="伊丹市南野北6丁目2番1"/>
    <s v="行政財産"/>
    <s v="07住宅施設"/>
    <s v="01市営住宅"/>
    <s v="公営住宅法,伊丹市営住宅条例"/>
    <s v="1969"/>
    <s v="1969"/>
    <n v="981.81"/>
    <n v="837.6"/>
    <m/>
    <s v="○"/>
    <s v="○"/>
    <s v="08笹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58569"/>
    <n v="147878"/>
    <n v="10691"/>
    <n v="256"/>
    <n v="0.93300000000000005"/>
    <m/>
    <m/>
    <m/>
    <m/>
    <x v="0"/>
    <s v="○"/>
    <n v="837.6"/>
  </r>
  <r>
    <s v="212"/>
    <s v="0809"/>
    <s v="天神川第２団地"/>
    <s v="都市活力部"/>
    <x v="26"/>
    <x v="26"/>
    <s v="G051100"/>
    <s v="伊丹市中野西1丁目75番地"/>
    <s v="行政財産"/>
    <s v="07住宅施設"/>
    <s v="01市営住宅"/>
    <s v="公営住宅法,伊丹市営住宅条例"/>
    <s v="1971"/>
    <s v="1971"/>
    <n v="5118.59"/>
    <n v="6323.9100000000008"/>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044194"/>
    <n v="919851"/>
    <n v="124344"/>
    <n v="20378"/>
    <n v="0.88100000000000001"/>
    <m/>
    <m/>
    <m/>
    <m/>
    <x v="0"/>
    <s v="○"/>
    <n v="6323.9100000000008"/>
  </r>
  <r>
    <s v="213"/>
    <s v="0805"/>
    <s v="荒牧第８団地"/>
    <s v="都市活力部"/>
    <x v="26"/>
    <x v="26"/>
    <s v="G051100"/>
    <s v="伊丹市北野3丁目7番地"/>
    <s v="行政財産"/>
    <s v="07住宅施設"/>
    <s v="01市営住宅"/>
    <s v="住宅地区改良法,伊丹市営住宅条例"/>
    <s v="1969"/>
    <s v="1969"/>
    <n v="1982.78"/>
    <n v="1295.4000000000001"/>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m/>
    <n v="228231"/>
    <n v="217800"/>
    <n v="10431"/>
    <n v="308"/>
    <n v="0.95399999999999996"/>
    <m/>
    <m/>
    <m/>
    <m/>
    <x v="0"/>
    <s v="○"/>
    <n v="1295.4000000000001"/>
  </r>
  <r>
    <s v="214"/>
    <s v="0811"/>
    <s v="行基団地"/>
    <s v="都市活力部"/>
    <x v="26"/>
    <x v="26"/>
    <s v="G051100"/>
    <s v="伊丹市行基町3丁目17番地"/>
    <s v="行政財産"/>
    <s v="07住宅施設"/>
    <s v="01市営住宅"/>
    <s v="住宅地区改良法,伊丹市営住宅条例"/>
    <s v="1968"/>
    <s v="1968"/>
    <n v="1083.5"/>
    <n v="1215.18"/>
    <m/>
    <s v="○"/>
    <s v="○"/>
    <s v="14鈴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m/>
    <n v="202769"/>
    <n v="202769"/>
    <n v="0"/>
    <n v="0"/>
    <n v="1"/>
    <m/>
    <m/>
    <m/>
    <m/>
    <x v="0"/>
    <s v="○"/>
    <n v="1215.18"/>
  </r>
  <r>
    <s v="215"/>
    <s v="0812"/>
    <s v="若松団地"/>
    <s v="都市活力部"/>
    <x v="26"/>
    <x v="26"/>
    <s v="G051100"/>
    <s v="伊丹市中央1丁目2番1"/>
    <s v="行政財産"/>
    <s v="07住宅施設"/>
    <s v="01市営住宅"/>
    <s v="住宅地区改良法,伊丹市営住宅条例"/>
    <s v="1969"/>
    <s v="1969"/>
    <n v="782.39"/>
    <n v="853.34"/>
    <m/>
    <s v="○"/>
    <s v="○"/>
    <s v="01伊丹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商業"/>
    <s v="80"/>
    <s v="400"/>
    <m/>
    <m/>
    <s v="準防火"/>
    <m/>
    <s v="指管"/>
    <s v="日本管財株式会社"/>
    <d v="2014-04-01T00:00:00"/>
    <d v="2019-03-31T00:00:00"/>
    <s v="公募"/>
    <m/>
    <m/>
    <m/>
    <m/>
    <n v="140801"/>
    <n v="140801"/>
    <n v="0"/>
    <n v="0"/>
    <n v="1"/>
    <m/>
    <m/>
    <m/>
    <m/>
    <x v="0"/>
    <s v="○"/>
    <n v="853.34"/>
  </r>
  <r>
    <s v="216"/>
    <s v="0814"/>
    <s v="緑団地"/>
    <s v="都市活力部"/>
    <x v="26"/>
    <x v="26"/>
    <s v="G051100"/>
    <s v="伊丹市堀池4丁目6番1"/>
    <s v="行政財産"/>
    <s v="07住宅施設"/>
    <s v="01市営住宅"/>
    <s v="公営住宅法,伊丹市営住宅条例"/>
    <s v="1971"/>
    <s v="1971"/>
    <n v="840"/>
    <n v="755.22"/>
    <m/>
    <s v="○"/>
    <s v="○"/>
    <s v="13摂陽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86601"/>
    <n v="79054"/>
    <n v="7547"/>
    <n v="880"/>
    <n v="0.91300000000000003"/>
    <m/>
    <m/>
    <m/>
    <m/>
    <x v="0"/>
    <s v="○"/>
    <n v="755.22"/>
  </r>
  <r>
    <s v="217"/>
    <s v="0815"/>
    <s v="新光明団地"/>
    <s v="都市活力部"/>
    <x v="26"/>
    <x v="26"/>
    <s v="G051100"/>
    <s v="伊丹市北本町2丁目193番地"/>
    <s v="行政財産"/>
    <s v="07住宅施設"/>
    <s v="01市営住宅"/>
    <s v="住宅地区改良法,伊丹市営住宅条例"/>
    <s v="1973"/>
    <s v="1973"/>
    <n v="1367.25"/>
    <n v="1336.1"/>
    <m/>
    <s v="○"/>
    <s v="○"/>
    <s v="01伊丹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準住居"/>
    <s v="60"/>
    <s v="200"/>
    <m/>
    <s v="２・３種"/>
    <m/>
    <m/>
    <s v="指管"/>
    <s v="日本管財株式会社"/>
    <d v="2014-04-01T00:00:00"/>
    <d v="2019-03-31T00:00:00"/>
    <s v="公募"/>
    <m/>
    <m/>
    <m/>
    <m/>
    <n v="230537"/>
    <n v="212226"/>
    <n v="18310"/>
    <n v="4902"/>
    <n v="0.92100000000000004"/>
    <m/>
    <m/>
    <m/>
    <m/>
    <x v="0"/>
    <s v="○"/>
    <n v="1336.1"/>
  </r>
  <r>
    <s v="218"/>
    <s v="0816"/>
    <s v="堀池団地"/>
    <s v="都市活力部"/>
    <x v="26"/>
    <x v="26"/>
    <s v="G051100"/>
    <s v="伊丹市堀池2丁目5番1"/>
    <s v="行政財産"/>
    <s v="07住宅施設"/>
    <s v="01市営住宅"/>
    <s v="公営住宅法,伊丹市営住宅条例"/>
    <s v="1975"/>
    <s v="1975"/>
    <n v="5444.12"/>
    <n v="5990"/>
    <m/>
    <s v="○"/>
    <s v="○"/>
    <s v="13摂陽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2種中高層住居専用"/>
    <s v="60"/>
    <s v="200"/>
    <m/>
    <s v="２種"/>
    <m/>
    <m/>
    <s v="指管"/>
    <s v="日本管財株式会社"/>
    <d v="2014-04-01T00:00:00"/>
    <d v="2019-03-31T00:00:00"/>
    <s v="公募"/>
    <m/>
    <m/>
    <m/>
    <m/>
    <n v="641116"/>
    <n v="580785"/>
    <n v="60332"/>
    <n v="3264"/>
    <n v="0.90600000000000003"/>
    <m/>
    <m/>
    <m/>
    <m/>
    <x v="0"/>
    <s v="○"/>
    <n v="5990"/>
  </r>
  <r>
    <s v="219"/>
    <s v="0817"/>
    <s v="鶴田団地"/>
    <s v="都市活力部"/>
    <x v="26"/>
    <x v="26"/>
    <s v="G051100"/>
    <s v="伊丹市荒牧6丁目21番1"/>
    <s v="行政財産"/>
    <s v="07住宅施設"/>
    <s v="01市営住宅"/>
    <s v="公営住宅法,伊丹市営住宅条例"/>
    <s v="1975"/>
    <s v="1975"/>
    <n v="11748.29"/>
    <n v="5316.730000000000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n v="68"/>
    <n v="746423"/>
    <n v="518567"/>
    <n v="227855"/>
    <n v="12285"/>
    <n v="0.69499999999999995"/>
    <m/>
    <m/>
    <m/>
    <m/>
    <x v="0"/>
    <s v="○"/>
    <n v="5316.7300000000005"/>
  </r>
  <r>
    <s v="220"/>
    <s v="0818"/>
    <s v="北野団地"/>
    <s v="都市活力部"/>
    <x v="26"/>
    <x v="26"/>
    <s v="G051100"/>
    <s v="伊丹市北野5丁目44番地"/>
    <s v="行政財産"/>
    <s v="07住宅施設"/>
    <s v="01市営住宅"/>
    <s v="公営住宅法,伊丹市営住宅条例"/>
    <s v="1976"/>
    <s v="1976"/>
    <n v="1657.88"/>
    <n v="1399.68"/>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m/>
    <n v="236512"/>
    <n v="198641"/>
    <n v="37871"/>
    <n v="4886"/>
    <n v="0.84"/>
    <m/>
    <m/>
    <m/>
    <m/>
    <x v="0"/>
    <s v="○"/>
    <n v="1399.68"/>
  </r>
  <r>
    <s v="221"/>
    <s v="0819"/>
    <s v="荻野北団地"/>
    <s v="都市活力部"/>
    <x v="26"/>
    <x v="26"/>
    <s v="G051100"/>
    <s v="伊丹市荻野8丁目62番地"/>
    <s v="行政財産"/>
    <s v="07住宅施設"/>
    <s v="01市営住宅"/>
    <s v="公営住宅法,伊丹市営住宅条例"/>
    <s v="1983"/>
    <s v="1983"/>
    <n v="1657.88"/>
    <n v="1309"/>
    <m/>
    <s v="○"/>
    <s v="○"/>
    <s v="15荻野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5"/>
    <n v="237530"/>
    <n v="155159"/>
    <n v="82371"/>
    <n v="5082"/>
    <n v="0.65300000000000002"/>
    <m/>
    <m/>
    <m/>
    <m/>
    <x v="0"/>
    <s v="○"/>
    <n v="1309"/>
  </r>
  <r>
    <s v="222"/>
    <s v="0820"/>
    <s v="シルバーハイツ桃源荘"/>
    <s v="都市活力部"/>
    <x v="26"/>
    <x v="26"/>
    <s v="G051100"/>
    <s v="伊丹市中野西3丁目20番地"/>
    <s v="行政財産"/>
    <s v="07住宅施設"/>
    <s v="01市営住宅"/>
    <s v="公営住宅法,伊丹市営住宅条例"/>
    <s v="1988"/>
    <s v="1988"/>
    <n v="2174.88"/>
    <n v="2096.16"/>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343118"/>
    <n v="191710"/>
    <n v="151408"/>
    <n v="7300"/>
    <n v="0.55900000000000005"/>
    <m/>
    <m/>
    <m/>
    <m/>
    <x v="0"/>
    <s v="○"/>
    <n v="2096.16"/>
  </r>
  <r>
    <s v="223"/>
    <s v="0821"/>
    <s v="荒牧御影団地"/>
    <s v="都市活力部"/>
    <x v="26"/>
    <x v="26"/>
    <s v="G051100"/>
    <s v="伊丹市荒牧5丁目16番26"/>
    <s v="行政財産"/>
    <s v="07住宅施設"/>
    <s v="01市営住宅"/>
    <s v="公営住宅法,伊丹市営住宅条例"/>
    <s v="1995"/>
    <s v="1995"/>
    <n v="2909.62"/>
    <n v="5285.7"/>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n v="25"/>
    <n v="1067585"/>
    <n v="473867"/>
    <n v="593719"/>
    <n v="22715"/>
    <n v="0.44400000000000001"/>
    <m/>
    <m/>
    <m/>
    <m/>
    <x v="0"/>
    <s v="○"/>
    <n v="5285.7"/>
  </r>
  <r>
    <s v="224"/>
    <s v="0824"/>
    <s v="新田中野住宅"/>
    <s v="都市活力部"/>
    <x v="26"/>
    <x v="26"/>
    <s v="G051100"/>
    <s v="伊丹市中野東2丁目92番地の1"/>
    <s v="行政財産"/>
    <s v="07住宅施設"/>
    <s v="01市営住宅"/>
    <s v="公営住宅法,伊丹市営住宅条例"/>
    <s v="1996"/>
    <s v="1996"/>
    <n v="8110.74"/>
    <n v="9410.16"/>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78"/>
    <n v="2161067"/>
    <n v="869842"/>
    <n v="1291225"/>
    <n v="45980"/>
    <n v="0.40300000000000002"/>
    <m/>
    <m/>
    <m/>
    <m/>
    <x v="0"/>
    <s v="○"/>
    <n v="9410.16"/>
  </r>
  <r>
    <s v="225"/>
    <s v="0830"/>
    <s v="北野第１住宅"/>
    <s v="都市活力部"/>
    <x v="26"/>
    <x v="26"/>
    <s v="G051100"/>
    <s v="伊丹市北野4丁目40番地"/>
    <s v="行政財産"/>
    <s v="07住宅施設"/>
    <s v="01市営住宅"/>
    <s v="公営住宅法,伊丹市営住宅条例"/>
    <s v="1998"/>
    <s v="1998"/>
    <n v="3397.16"/>
    <n v="4562.6899999999996"/>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40"/>
    <n v="1089585"/>
    <n v="411979"/>
    <n v="677606"/>
    <n v="23446"/>
    <n v="0.378"/>
    <m/>
    <m/>
    <m/>
    <m/>
    <x v="0"/>
    <s v="○"/>
    <n v="4562.6899999999996"/>
  </r>
  <r>
    <s v="226"/>
    <s v="0831"/>
    <s v="北野第２住宅"/>
    <s v="都市活力部"/>
    <x v="26"/>
    <x v="26"/>
    <s v="G051100"/>
    <s v="伊丹市北野3丁目48番地1"/>
    <s v="行政財産"/>
    <s v="07住宅施設"/>
    <s v="01市営住宅"/>
    <s v="公営住宅法,伊丹市営住宅条例"/>
    <s v="2000"/>
    <s v="2000"/>
    <n v="3197.82"/>
    <n v="4181.01"/>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25"/>
    <n v="816841"/>
    <n v="287401"/>
    <n v="529440"/>
    <n v="17396"/>
    <n v="0.35199999999999998"/>
    <m/>
    <m/>
    <m/>
    <m/>
    <x v="0"/>
    <s v="○"/>
    <n v="4181.01"/>
  </r>
  <r>
    <s v="227"/>
    <s v="0801"/>
    <s v="平松住宅"/>
    <s v="都市活力部"/>
    <x v="26"/>
    <x v="26"/>
    <s v="G051100"/>
    <s v="伊丹市平松3丁目3番7"/>
    <s v="行政財産"/>
    <s v="07住宅施設"/>
    <s v="01市営住宅"/>
    <s v="公営住宅法,伊丹市営住宅条例"/>
    <s v="2002"/>
    <s v="2002"/>
    <n v="2337.17"/>
    <n v="2323.7600000000002"/>
    <m/>
    <s v="○"/>
    <s v="○"/>
    <s v="03南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16"/>
    <n v="523972"/>
    <n v="162891"/>
    <n v="361081"/>
    <n v="11258"/>
    <n v="0.311"/>
    <m/>
    <m/>
    <m/>
    <m/>
    <x v="0"/>
    <s v="○"/>
    <n v="2323.7600000000002"/>
  </r>
  <r>
    <s v="228"/>
    <s v="0832"/>
    <s v="桑津住宅"/>
    <s v="都市活力部"/>
    <x v="26"/>
    <x v="26"/>
    <s v="G051100"/>
    <s v="伊丹市桑津4丁目1番1"/>
    <s v="行政財産"/>
    <s v="07住宅施設"/>
    <s v="01市営住宅"/>
    <s v="住宅地区改良法,伊丹市営住宅条例"/>
    <s v="2006"/>
    <s v="2006"/>
    <n v="9310.81"/>
    <n v="7987.6799999999994"/>
    <m/>
    <s v="○"/>
    <s v="○"/>
    <s v="04神津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準工業"/>
    <s v="60"/>
    <s v="200"/>
    <s v="大規模集客施設立地規制"/>
    <m/>
    <m/>
    <m/>
    <s v="指管"/>
    <s v="日本管財株式会社"/>
    <d v="2014-04-01T00:00:00"/>
    <d v="2019-03-31T00:00:00"/>
    <s v="公募"/>
    <m/>
    <m/>
    <m/>
    <n v="82"/>
    <n v="1273503"/>
    <n v="268427"/>
    <n v="1005076"/>
    <n v="27186"/>
    <n v="0.21099999999999999"/>
    <m/>
    <m/>
    <m/>
    <m/>
    <x v="0"/>
    <s v="○"/>
    <n v="7987.6799999999994"/>
  </r>
  <r>
    <s v="229"/>
    <s v="0823"/>
    <s v="宮ノ下住宅"/>
    <s v="都市活力部"/>
    <x v="26"/>
    <x v="26"/>
    <s v="G051100"/>
    <s v="伊丹市北本町2丁目79番地"/>
    <s v="行政財産"/>
    <s v="07住宅施設"/>
    <s v="01市営住宅"/>
    <s v="公営住宅法,伊丹市営住宅条例"/>
    <s v="1993"/>
    <s v="1993"/>
    <n v="636.96"/>
    <n v="454.08"/>
    <m/>
    <s v="○"/>
    <s v="○"/>
    <s v="01伊丹小"/>
    <s v="単独"/>
    <s v="―"/>
    <s v="―"/>
    <s v="―"/>
    <s v="―"/>
    <s v="―"/>
    <s v="―"/>
    <s v="―"/>
    <m/>
    <s v="民地"/>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m/>
    <n v="94970"/>
    <n v="83004"/>
    <n v="11966"/>
    <n v="3517"/>
    <n v="0.874"/>
    <m/>
    <m/>
    <m/>
    <m/>
    <x v="0"/>
    <s v="○"/>
    <n v="454.08"/>
  </r>
  <r>
    <s v="230"/>
    <s v="0845"/>
    <s v="北池尻団地"/>
    <s v="都市活力部"/>
    <x v="26"/>
    <x v="26"/>
    <s v="G051100"/>
    <s v="伊丹市池尻6丁目237番地"/>
    <s v="行政財産"/>
    <s v="07住宅施設"/>
    <s v="01市営住宅"/>
    <s v="公営住宅法,伊丹市営住宅条例"/>
    <s v="1974"/>
    <s v="1974"/>
    <m/>
    <n v="5148.2700000000004"/>
    <m/>
    <m/>
    <s v="○"/>
    <s v="16池尻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31"/>
    <n v="545950"/>
    <n v="504866"/>
    <n v="41083"/>
    <n v="11501"/>
    <n v="0.92500000000000004"/>
    <m/>
    <m/>
    <m/>
    <m/>
    <x v="0"/>
    <s v="○"/>
    <n v="5148.2700000000004"/>
  </r>
  <r>
    <s v="231"/>
    <s v="0851"/>
    <s v="昆陽池公園施設"/>
    <s v="市民自治部"/>
    <x v="9"/>
    <x v="9"/>
    <s v="G044300"/>
    <s v="伊丹市昆陽池2丁目99番地"/>
    <s v="行政財産"/>
    <s v="08公園施設"/>
    <s v="01公園施設"/>
    <m/>
    <s v="1989"/>
    <s v="1989"/>
    <n v="1270"/>
    <n v="634.77"/>
    <m/>
    <m/>
    <s v="○"/>
    <s v="02稲野小"/>
    <s v="単独"/>
    <s v="―"/>
    <s v="―"/>
    <s v="―"/>
    <s v="―"/>
    <s v="―"/>
    <s v="―"/>
    <s v="―"/>
    <m/>
    <s v="市有"/>
    <m/>
    <s v="市有"/>
    <m/>
    <s v="昆陽池公園の維持管理、運営を行うための管理事務所。"/>
    <s v="―"/>
    <s v="―"/>
    <s v="―"/>
    <s v="―"/>
    <s v="―"/>
    <s v="―"/>
    <s v="―"/>
    <s v="第2種住居"/>
    <s v="60"/>
    <s v="200"/>
    <m/>
    <s v="３種"/>
    <m/>
    <m/>
    <s v="直営"/>
    <m/>
    <m/>
    <m/>
    <m/>
    <m/>
    <m/>
    <s v="事務室,風呂,ﾄｲﾚ"/>
    <m/>
    <n v="144671"/>
    <n v="106255"/>
    <n v="38416"/>
    <n v="3996"/>
    <n v="0.73399999999999999"/>
    <m/>
    <m/>
    <m/>
    <m/>
    <x v="0"/>
    <s v="○"/>
    <n v="634.77"/>
  </r>
  <r>
    <s v="232"/>
    <s v="0854"/>
    <s v="荒牧バラ公園施設"/>
    <s v="市民自治部"/>
    <x v="9"/>
    <x v="9"/>
    <s v="G044300"/>
    <s v="伊丹市荒牧6丁目5"/>
    <s v="行政財産"/>
    <s v="08公園施設"/>
    <s v="01公園施設"/>
    <s v="都市公園法"/>
    <s v="1991"/>
    <s v="1991"/>
    <n v="17000"/>
    <n v="1433.44"/>
    <m/>
    <m/>
    <s v="○"/>
    <s v="07天神川小"/>
    <s v="単独"/>
    <s v="―"/>
    <s v="―"/>
    <s v="―"/>
    <s v="―"/>
    <s v="―"/>
    <s v="―"/>
    <s v="―"/>
    <m/>
    <s v="市有"/>
    <m/>
    <s v="市有"/>
    <m/>
    <s v="荒牧バラ公園内にある３本柱からなる平和モニュメントと地下ホールで構成される施設。"/>
    <s v="○"/>
    <s v="―"/>
    <s v="○"/>
    <s v="―"/>
    <s v="―"/>
    <s v="○"/>
    <s v="―"/>
    <s v="第2種中高層住居専用"/>
    <s v="60"/>
    <s v="200"/>
    <m/>
    <s v="２種"/>
    <m/>
    <m/>
    <s v="直営"/>
    <m/>
    <m/>
    <m/>
    <m/>
    <s v="9:00～17:00"/>
    <s v="５月中旬～６月中旬、10月中旬～11月中旬以外"/>
    <s v="地下ﾎｰﾙ"/>
    <n v="230"/>
    <n v="884502"/>
    <n v="446219"/>
    <n v="438283"/>
    <n v="17804"/>
    <n v="0.504"/>
    <m/>
    <m/>
    <m/>
    <m/>
    <x v="0"/>
    <s v="○"/>
    <n v="1433.44"/>
  </r>
  <r>
    <s v="233"/>
    <s v="0867"/>
    <s v="荒牧第三公園施設"/>
    <s v="市民自治部"/>
    <x v="9"/>
    <x v="9"/>
    <s v="G044400"/>
    <s v="伊丹市荒牧3丁目16番42号"/>
    <s v="行政財産"/>
    <s v="08公園施設"/>
    <s v="01公園施設"/>
    <s v="都市公園法"/>
    <s v="1999"/>
    <s v="1999"/>
    <n v="2200"/>
    <n v="196.84"/>
    <m/>
    <m/>
    <s v="○"/>
    <s v="07天神川小"/>
    <s v="単独"/>
    <s v="―"/>
    <s v="―"/>
    <s v="―"/>
    <s v="―"/>
    <s v="―"/>
    <s v="―"/>
    <s v="―"/>
    <m/>
    <s v="市有"/>
    <m/>
    <s v="市有"/>
    <m/>
    <s v="荒牧第三公園内に設置される体験学習施設。"/>
    <s v="―"/>
    <s v="○"/>
    <s v="○"/>
    <s v="○"/>
    <s v="―"/>
    <s v="―"/>
    <s v="○"/>
    <s v="第2種中高層住居専用"/>
    <s v="60"/>
    <s v="200"/>
    <m/>
    <s v="２種"/>
    <m/>
    <m/>
    <s v="委託"/>
    <s v="荒牧第三公園体験学習施設及び日本庭園管理運営委員会"/>
    <m/>
    <m/>
    <m/>
    <s v="9:00～17:00"/>
    <s v="火,年末年始"/>
    <s v="事務室,集会室,ﾄｲﾚ"/>
    <m/>
    <n v="69720"/>
    <n v="25099"/>
    <n v="44621"/>
    <n v="1394"/>
    <n v="0.36"/>
    <m/>
    <m/>
    <m/>
    <m/>
    <x v="0"/>
    <s v="○"/>
    <n v="196.84"/>
  </r>
  <r>
    <s v="234"/>
    <s v="0868"/>
    <s v="十六名公園施設"/>
    <s v="市民自治部"/>
    <x v="9"/>
    <x v="9"/>
    <s v="G044300"/>
    <s v="伊丹市西野1丁目地内"/>
    <s v="行政財産"/>
    <s v="08公園施設"/>
    <s v="01公園施設"/>
    <s v="都市公園法"/>
    <s v="1999"/>
    <s v="1999"/>
    <n v="13000"/>
    <n v="270.63"/>
    <m/>
    <m/>
    <s v="○"/>
    <s v="06桜台小"/>
    <s v="単独"/>
    <s v="―"/>
    <s v="―"/>
    <s v="―"/>
    <s v="―"/>
    <s v="―"/>
    <s v="―"/>
    <s v="―"/>
    <m/>
    <s v="市有"/>
    <m/>
    <s v="市有"/>
    <m/>
    <s v="公園や市内各避難所での避難生活、救護活動に必要な資機材や物品等を備蓄することを目的として設置。食料品、毛布、衛生用品、テント・シート等を保管。"/>
    <s v="―"/>
    <s v="―"/>
    <s v="―"/>
    <s v="―"/>
    <s v="―"/>
    <s v="―"/>
    <s v="○"/>
    <s v="準工業"/>
    <s v="60"/>
    <s v="200"/>
    <m/>
    <m/>
    <m/>
    <m/>
    <s v="直営"/>
    <m/>
    <m/>
    <m/>
    <m/>
    <m/>
    <m/>
    <s v="備蓄倉庫、トイレ"/>
    <m/>
    <n v="97737"/>
    <n v="51159"/>
    <n v="46578"/>
    <n v="2519"/>
    <n v="0.52300000000000002"/>
    <m/>
    <m/>
    <m/>
    <m/>
    <x v="0"/>
    <s v="○"/>
    <n v="270.63"/>
  </r>
  <r>
    <s v="235"/>
    <s v="0870"/>
    <s v="大阪国際空港周辺緑地"/>
    <s v="市民自治部"/>
    <x v="9"/>
    <x v="9"/>
    <s v="G044300"/>
    <s v="伊丹市森本7丁目1-1"/>
    <s v="行政財産"/>
    <s v="08公園施設"/>
    <s v="01公園施設"/>
    <s v="都市公園法"/>
    <s v="2006"/>
    <s v="2004"/>
    <n v="87000"/>
    <n v="1298.67"/>
    <m/>
    <m/>
    <s v="○"/>
    <s v="04神津小"/>
    <s v="単独"/>
    <s v="○"/>
    <s v="○"/>
    <s v="○"/>
    <s v="○"/>
    <s v="○"/>
    <s v="―"/>
    <s v="―"/>
    <m/>
    <s v="市有"/>
    <m/>
    <s v="市有"/>
    <m/>
    <s v="大阪国際空港の周辺対策・周辺整備の一環として、空港と周辺地域との調和を図り地域の憩いの場を確保するため、国・県・市が共同で整備した利用緑地。"/>
    <s v="○"/>
    <s v="○"/>
    <s v="○"/>
    <s v="○"/>
    <s v="○"/>
    <s v="○"/>
    <s v="○"/>
    <s v="準工業"/>
    <s v="60"/>
    <s v="200"/>
    <s v="大規模集客施設立地規制"/>
    <m/>
    <m/>
    <m/>
    <s v="委託"/>
    <s v="公益社団法人伊丹市シルバー人材センター"/>
    <m/>
    <m/>
    <m/>
    <s v="9:00～21:00（4～10月の土日祝は7:00～21:00)"/>
    <m/>
    <s v="体験学習施設、展望施設、管理棟"/>
    <n v="341"/>
    <n v="454303"/>
    <n v="96230"/>
    <n v="358073"/>
    <n v="9700"/>
    <n v="0.21199999999999999"/>
    <m/>
    <m/>
    <m/>
    <m/>
    <x v="0"/>
    <s v="○"/>
    <n v="1298.67"/>
  </r>
  <r>
    <s v="236"/>
    <s v="0858"/>
    <s v="昆陽南公園施設"/>
    <s v="市民自治部"/>
    <x v="9"/>
    <x v="9"/>
    <s v="G044300"/>
    <s v="伊丹市山田1丁目6番1号"/>
    <s v="行政財産"/>
    <s v="08公園施設"/>
    <s v="01公園施設"/>
    <s v="都市公園法"/>
    <s v="2003"/>
    <s v="2003"/>
    <n v="15000"/>
    <n v="225.89"/>
    <m/>
    <m/>
    <s v="○"/>
    <s v="12昆陽里小"/>
    <s v="単独"/>
    <s v="―"/>
    <s v="―"/>
    <s v="―"/>
    <s v="―"/>
    <s v="―"/>
    <s v="―"/>
    <s v="―"/>
    <m/>
    <s v="市有"/>
    <m/>
    <s v="市有"/>
    <m/>
    <s v="昆陽南公園内に設置される体験学習施設。"/>
    <s v="―"/>
    <s v="―"/>
    <s v="○"/>
    <s v="○"/>
    <s v="○"/>
    <s v="―"/>
    <s v="○"/>
    <s v="第1種、第2種中高層住居専用"/>
    <s v="60"/>
    <s v="200"/>
    <m/>
    <s v="２種"/>
    <m/>
    <m/>
    <s v="委託"/>
    <s v="昆陽南公園運営委員会"/>
    <m/>
    <m/>
    <m/>
    <s v="9:00～17:00"/>
    <s v="年末年始"/>
    <s v="事務室、集会室、トイレ"/>
    <m/>
    <n v="73845"/>
    <n v="26342"/>
    <n v="47503"/>
    <n v="1986"/>
    <n v="0.35699999999999998"/>
    <m/>
    <m/>
    <m/>
    <m/>
    <x v="0"/>
    <s v="○"/>
    <n v="225.89"/>
  </r>
  <r>
    <s v="237"/>
    <s v="0877"/>
    <s v="笹原公園施設"/>
    <s v="市民自治部"/>
    <x v="9"/>
    <x v="9"/>
    <s v="G044300"/>
    <s v="伊丹市車塚1丁目32-1"/>
    <s v="行政財産"/>
    <s v="08公園施設"/>
    <s v="01公園施設"/>
    <s v="都市公園法"/>
    <s v="2005"/>
    <s v="2005"/>
    <n v="19000"/>
    <n v="180.52"/>
    <m/>
    <m/>
    <s v="○"/>
    <s v="08笹原小"/>
    <s v="単独"/>
    <s v="―"/>
    <s v="―"/>
    <s v="―"/>
    <s v="―"/>
    <s v="―"/>
    <s v="―"/>
    <s v="―"/>
    <m/>
    <s v="市有"/>
    <m/>
    <s v="市有"/>
    <m/>
    <s v="公園や市内各避難所での避難生活、救護活動に必要な資機材や物品等を備蓄することを目的として設置。食料品、毛布、衛生用品、テント・シート等を保管。"/>
    <s v="―"/>
    <s v="―"/>
    <s v="―"/>
    <s v="―"/>
    <s v="―"/>
    <s v="―"/>
    <s v="―"/>
    <s v="第2種中高層住居専用"/>
    <s v="60"/>
    <s v="200"/>
    <m/>
    <s v="２種"/>
    <m/>
    <m/>
    <s v="直営"/>
    <m/>
    <m/>
    <m/>
    <m/>
    <m/>
    <m/>
    <s v="備蓄倉庫、トイレ"/>
    <m/>
    <s v=""/>
    <s v=""/>
    <s v=""/>
    <s v=""/>
    <n v="0"/>
    <m/>
    <m/>
    <m/>
    <m/>
    <x v="0"/>
    <s v="○"/>
    <n v="180.52"/>
  </r>
  <r>
    <s v="238"/>
    <s v="0289"/>
    <s v="伊丹市公館（鴻臚館）"/>
    <s v="総合政策部"/>
    <x v="27"/>
    <x v="27"/>
    <s v="G020200"/>
    <s v="伊丹市緑ヶ丘1丁目90番地"/>
    <s v="行政財産"/>
    <s v="08公園施設"/>
    <s v="01公園施設"/>
    <s v="伊丹市公館管理規則"/>
    <s v="1984"/>
    <s v="1984"/>
    <m/>
    <n v="266.19"/>
    <m/>
    <m/>
    <s v="○"/>
    <s v="09瑞穂小"/>
    <s v="単独"/>
    <s v="―"/>
    <s v="―"/>
    <s v="―"/>
    <s v="―"/>
    <s v="―"/>
    <s v="―"/>
    <s v="―"/>
    <m/>
    <s v="市有"/>
    <m/>
    <s v="市有"/>
    <m/>
    <s v="国、地方公共団体等に係る賓客の応接、市政功労者、社会的善行者等の表彰、国際友好親善事業ならびに国内および国際間の教育、文化および産業経済の発展に係る賓客の応接、市が主催する会議、催し物などの事業を行う。"/>
    <s v="―"/>
    <s v="―"/>
    <s v="―"/>
    <s v="―"/>
    <s v="―"/>
    <s v="―"/>
    <s v="―"/>
    <s v="第1種低層住居専用"/>
    <s v="50"/>
    <s v="100"/>
    <m/>
    <s v="１種"/>
    <m/>
    <s v="風致地区"/>
    <s v="直営"/>
    <m/>
    <m/>
    <m/>
    <m/>
    <s v="10:00～12:00; 13:00～15:00"/>
    <s v="月; 水; 金; 年末年始_x000a_（6月1日～8月31日は月～金）"/>
    <s v="立札席,広間,茶室"/>
    <n v="0"/>
    <n v="24413"/>
    <n v="24413"/>
    <n v="0"/>
    <n v="0"/>
    <n v="1"/>
    <m/>
    <m/>
    <m/>
    <m/>
    <x v="0"/>
    <s v="○"/>
    <n v="266.19"/>
  </r>
  <r>
    <s v="239"/>
    <s v="0341"/>
    <s v="遺族会館"/>
    <s v="健康福祉部"/>
    <x v="23"/>
    <x v="23"/>
    <s v="G052100"/>
    <s v="伊丹市緑ヶ丘1丁目"/>
    <s v="行政財産"/>
    <s v="08公園施設"/>
    <s v="01公園施設"/>
    <m/>
    <s v="1984"/>
    <s v="1984"/>
    <n v="424"/>
    <n v="155.52000000000001"/>
    <m/>
    <m/>
    <s v="○"/>
    <s v="09瑞穂小"/>
    <s v="単独"/>
    <s v="―"/>
    <s v="―"/>
    <s v="―"/>
    <s v="―"/>
    <s v="―"/>
    <s v="―"/>
    <s v="―"/>
    <m/>
    <s v="市有"/>
    <m/>
    <s v="市有"/>
    <m/>
    <s v="遺族会会員が主として利用する施設。その他地域の子育てグループ等も利用。"/>
    <s v="―"/>
    <s v="―"/>
    <s v="―"/>
    <s v="―"/>
    <s v="―"/>
    <s v="―"/>
    <s v="―"/>
    <s v="第1種低層住居専用"/>
    <s v="50"/>
    <s v="100"/>
    <m/>
    <s v="１種"/>
    <m/>
    <s v="緑ヶ丘風致地区"/>
    <s v="直営"/>
    <m/>
    <m/>
    <m/>
    <m/>
    <m/>
    <m/>
    <s v="集会場"/>
    <n v="0"/>
    <n v="14990"/>
    <n v="14990"/>
    <n v="0"/>
    <n v="0"/>
    <n v="1"/>
    <m/>
    <m/>
    <m/>
    <m/>
    <x v="0"/>
    <s v="○"/>
    <n v="155.52000000000001"/>
  </r>
  <r>
    <s v="240"/>
    <s v="9901"/>
    <s v="伊丹スポーツセンター"/>
    <s v="教育委員会"/>
    <x v="28"/>
    <x v="28"/>
    <s v="G600307"/>
    <s v="伊丹市鴻池1丁目1番1号"/>
    <s v="私有財産"/>
    <s v="09ｽﾎﾟｰﾂ・ﾚｸﾘｴｰｼｮﾝ施設"/>
    <s v="01ｽﾎﾟｰﾂ・ﾚｸﾘｴｰｼｮﾝ施設"/>
    <s v="公益財団法人伊丹スポーツセンター定款"/>
    <s v="1971"/>
    <s v="1971"/>
    <n v="76710"/>
    <n v="10173"/>
    <m/>
    <s v="○"/>
    <s v="○"/>
    <s v="17鴻池小"/>
    <s v="単独"/>
    <s v="○"/>
    <s v="○"/>
    <s v="―"/>
    <s v="○"/>
    <s v="○"/>
    <s v="―"/>
    <s v="―"/>
    <m/>
    <s v="その他"/>
    <s v="財団所有地"/>
    <s v="その他"/>
    <s v="財団所有地"/>
    <s v="体育・ｽﾎﾟｰﾂの振興に関する事業を行い、伊丹市を中心とする地域住民の心身の健全な発達及び豊かな地域社会の発展に寄与することを目的とした施設。"/>
    <s v="○"/>
    <s v="―"/>
    <s v="○"/>
    <s v="―"/>
    <s v="―"/>
    <s v="○"/>
    <s v="―"/>
    <s v="第2種住居"/>
    <s v="60"/>
    <s v="200"/>
    <m/>
    <m/>
    <m/>
    <m/>
    <s v="財団"/>
    <s v="公益財団法人伊丹スポーツセンター"/>
    <m/>
    <m/>
    <m/>
    <s v="7:00～21:00"/>
    <s v="12/28～1/4"/>
    <m/>
    <n v="196"/>
    <n v="788457"/>
    <n v="0"/>
    <n v="788457"/>
    <n v="22452"/>
    <n v="0"/>
    <m/>
    <m/>
    <m/>
    <m/>
    <x v="0"/>
    <s v="○"/>
    <n v="10173"/>
  </r>
  <r>
    <s v="241"/>
    <s v="1080"/>
    <s v="緑ヶ丘体育館・武道館"/>
    <s v="教育委員会"/>
    <x v="28"/>
    <x v="28"/>
    <s v="G600307"/>
    <s v="伊丹市緑ヶ丘1丁目10番地の1"/>
    <s v="行政財産"/>
    <s v="09ｽﾎﾟｰﾂ・ﾚｸﾘｴｰｼｮﾝ施設"/>
    <s v="01ｽﾎﾟｰﾂ・ﾚｸﾘｴｰｼｮﾝ施設"/>
    <s v="伊丹市立緑ケ丘体育館・緑ケ丘武道館規則"/>
    <s v="1982"/>
    <s v="1982"/>
    <n v="11313.4"/>
    <n v="3037.21"/>
    <m/>
    <s v="○"/>
    <s v="○"/>
    <s v="09瑞穂小"/>
    <s v="単独"/>
    <s v="○"/>
    <s v="○"/>
    <s v="○"/>
    <s v="○"/>
    <s v="○"/>
    <s v="―"/>
    <s v="―"/>
    <m/>
    <s v="市有"/>
    <m/>
    <s v="市有"/>
    <m/>
    <s v="市民の体育、スポーツおよびﾚｸﾘｴｰｼｮﾝの振興と心身の健全な発達を図ることにより、市民福祉の増進に寄与することを目的とした施設。"/>
    <s v="○"/>
    <s v="―"/>
    <s v="○"/>
    <s v="○"/>
    <s v="―"/>
    <s v="○"/>
    <s v="―"/>
    <s v="第1種低層住居専用,準住居"/>
    <s v="50,60"/>
    <s v="100.,200"/>
    <m/>
    <s v="１・３種"/>
    <m/>
    <m/>
    <s v="指管"/>
    <s v="ＭＲ緑ヶ丘グループ"/>
    <d v="2014-04-01T00:00:00"/>
    <d v="2019-03-31T00:00:00"/>
    <s v="公募"/>
    <s v="9:00～21:00"/>
    <s v="火（祝のときは翌日）,年末年始"/>
    <m/>
    <n v="80"/>
    <n v="462382"/>
    <n v="311095"/>
    <n v="151288"/>
    <n v="10585"/>
    <n v="0.67300000000000004"/>
    <m/>
    <m/>
    <m/>
    <m/>
    <x v="0"/>
    <s v="○"/>
    <n v="3037.21"/>
  </r>
  <r>
    <s v="242"/>
    <s v="1082"/>
    <s v="ローラースケート場"/>
    <s v="教育委員会"/>
    <x v="28"/>
    <x v="28"/>
    <s v="G600307"/>
    <s v="伊丹市北伊丹8丁目230番地の1"/>
    <s v="行政財産"/>
    <s v="09ｽﾎﾟｰﾂ・ﾚｸﾘｴｰｼｮﾝ施設"/>
    <s v="01ｽﾎﾟｰﾂ・ﾚｸﾘｴｰｼｮﾝ施設"/>
    <s v="伊丹市立ローラースケート場規則"/>
    <s v="1982"/>
    <s v="1982"/>
    <n v="4630.3"/>
    <n v="34.03"/>
    <m/>
    <s v="○"/>
    <s v="○"/>
    <s v="05緑丘小"/>
    <s v="単独"/>
    <s v="―"/>
    <s v="―"/>
    <s v="―"/>
    <s v="―"/>
    <s v="―"/>
    <s v="―"/>
    <s v="―"/>
    <m/>
    <s v="民地"/>
    <m/>
    <s v="市有"/>
    <m/>
    <s v="市民の体育、スポーツおよびﾚｸﾘｴｰｼｮﾝの振興と心身の健全な発達を図ることにより、市民福祉の増進に寄与することを目的とした施設。"/>
    <s v="―"/>
    <s v="―"/>
    <s v="―"/>
    <s v="―"/>
    <s v="―"/>
    <s v="―"/>
    <s v="―"/>
    <s v="準工業"/>
    <s v="60"/>
    <s v="200"/>
    <s v="大規模集客施設立地規制"/>
    <m/>
    <m/>
    <m/>
    <s v="指管"/>
    <s v="伊丹市ローラースケート協会"/>
    <d v="2014-04-01T00:00:00"/>
    <d v="2019-03-31T00:00:00"/>
    <s v="公募"/>
    <s v="13:00～日没（17:00,19:00）(日,祝,学校休業日：9:00～)"/>
    <s v="火（祝のときは翌日）,年末年始"/>
    <m/>
    <n v="45"/>
    <n v="2777"/>
    <n v="2776"/>
    <n v="0"/>
    <n v="0"/>
    <n v="1"/>
    <m/>
    <m/>
    <m/>
    <m/>
    <x v="0"/>
    <s v="○"/>
    <n v="34.03"/>
  </r>
  <r>
    <s v="243"/>
    <s v="1083"/>
    <s v="稲野公園運動施設"/>
    <s v="教育委員会"/>
    <x v="28"/>
    <x v="28"/>
    <s v="G600307"/>
    <s v="伊丹市稲野町2丁目3番地の2"/>
    <s v="行政財産"/>
    <s v="09ｽﾎﾟｰﾂ・ﾚｸﾘｴｰｼｮﾝ施設"/>
    <s v="01ｽﾎﾟｰﾂ・ﾚｸﾘｴｰｼｮﾝ施設"/>
    <s v="伊丹市立体育施設条例"/>
    <s v="1982"/>
    <s v="1982"/>
    <n v="14000"/>
    <n v="278.45999999999998"/>
    <m/>
    <m/>
    <s v="○"/>
    <s v="03南小"/>
    <s v="単独"/>
    <s v="―"/>
    <s v="―"/>
    <s v="―"/>
    <s v="―"/>
    <s v="―"/>
    <s v="―"/>
    <s v="―"/>
    <m/>
    <s v="市有"/>
    <m/>
    <s v="市有"/>
    <m/>
    <s v="市民の体育、スポーツおよびﾚｸﾘｴｰｼｮﾝの振興と心身の健全な発達を図ることにより、市民福祉の増進に寄与することを目的とした施設。"/>
    <s v="―"/>
    <s v="―"/>
    <s v="○"/>
    <s v="―"/>
    <s v="―"/>
    <s v="―"/>
    <s v="―"/>
    <s v="第1種住居"/>
    <s v="60"/>
    <s v="200"/>
    <m/>
    <s v="３種"/>
    <m/>
    <m/>
    <s v="指管"/>
    <s v="南小まちづくり協議会"/>
    <d v="2014-04-01T00:00:00"/>
    <d v="2019-03-31T00:00:00"/>
    <s v="非公募"/>
    <s v="9:00～17:00"/>
    <s v="火（祝のときは翌日）,年末年始"/>
    <m/>
    <m/>
    <n v="25061"/>
    <n v="21653"/>
    <n v="3408"/>
    <n v="660"/>
    <n v="0.86399999999999999"/>
    <m/>
    <m/>
    <m/>
    <m/>
    <x v="0"/>
    <s v="○"/>
    <n v="278.45999999999998"/>
  </r>
  <r>
    <s v="244"/>
    <s v="0334"/>
    <s v="野外活動センター"/>
    <s v="こども未来部"/>
    <x v="16"/>
    <x v="16"/>
    <s v="G061100"/>
    <s v="三田市木器字南下山1266の10"/>
    <s v="行政財産"/>
    <s v="09ｽﾎﾟｰﾂ・ﾚｸﾘｴｰｼｮﾝ施設"/>
    <s v="01ｽﾎﾟｰﾂ・ﾚｸﾘｴｰｼｮﾝ施設"/>
    <s v="伊丹市立野外活動センターの設置および管理に関する条例"/>
    <s v="1970"/>
    <s v="1965"/>
    <n v="245908.94"/>
    <m/>
    <m/>
    <s v="○"/>
    <s v="○"/>
    <s v="99市外"/>
    <s v="単独"/>
    <s v="―"/>
    <s v="―"/>
    <s v="―"/>
    <s v="―"/>
    <s v="―"/>
    <s v="―"/>
    <s v="―"/>
    <m/>
    <s v="市有"/>
    <m/>
    <s v="市有"/>
    <m/>
    <s v="市民の野外活動を推進し、あわせて市民の心身の健全な発達と明るく豊かな市民生活の形成を図ることを目的とした施設。"/>
    <s v="―"/>
    <s v="―"/>
    <s v="―"/>
    <s v="―"/>
    <s v="―"/>
    <s v="―"/>
    <s v="○"/>
    <s v="市街化調整区域"/>
    <s v="60"/>
    <s v="100"/>
    <m/>
    <m/>
    <m/>
    <m/>
    <s v="直営"/>
    <m/>
    <m/>
    <m/>
    <m/>
    <s v="24時間"/>
    <s v="年末年始_x000d_（12/28～1/4）"/>
    <s v="管理棟・山小屋・バンガロー・体育館"/>
    <n v="70"/>
    <s v=""/>
    <s v=""/>
    <s v=""/>
    <s v=""/>
    <n v="0"/>
    <m/>
    <m/>
    <m/>
    <m/>
    <x v="0"/>
    <m/>
    <n v="0"/>
  </r>
  <r>
    <s v="245"/>
    <s v="0896"/>
    <s v="JR伊丹駅前駐車場"/>
    <s v="都市交通部"/>
    <x v="29"/>
    <x v="29"/>
    <s v="G081100"/>
    <s v="伊丹市伊丹1丁目14番18号"/>
    <s v="行政財産"/>
    <s v="10その他施設"/>
    <s v="01駐車場・駐輪場"/>
    <s v="伊丹市立駐車場条例"/>
    <s v="1991"/>
    <s v="1991"/>
    <n v="1319.95"/>
    <n v="6345.47"/>
    <m/>
    <s v="○"/>
    <s v="○"/>
    <s v="10有岡小"/>
    <s v="単独"/>
    <s v="―"/>
    <s v="―"/>
    <s v="―"/>
    <s v="―"/>
    <s v="―"/>
    <s v="―"/>
    <s v="―"/>
    <m/>
    <s v="市有"/>
    <m/>
    <s v="市有"/>
    <m/>
    <s v="自動車を利用する市民の利便を図ることを目的とした施設。"/>
    <s v="―"/>
    <s v="―"/>
    <s v="―"/>
    <s v="―"/>
    <s v="―"/>
    <s v="―"/>
    <s v="―"/>
    <s v="商業地域"/>
    <s v="80"/>
    <s v="400"/>
    <m/>
    <m/>
    <s v="準防火"/>
    <m/>
    <s v="指管"/>
    <s v="一般社団法人　日本駐車場工学研究会"/>
    <d v="2014-04-01T00:00:00"/>
    <d v="2019-03-31T00:00:00"/>
    <s v="公募"/>
    <s v="7:00～23:00"/>
    <m/>
    <s v="車237台,原付等150台"/>
    <n v="387"/>
    <n v="411288"/>
    <n v="406581"/>
    <n v="4707"/>
    <n v="4126"/>
    <n v="0.98899999999999999"/>
    <m/>
    <m/>
    <m/>
    <m/>
    <x v="0"/>
    <s v="○"/>
    <n v="6345.47"/>
  </r>
  <r>
    <s v="246"/>
    <s v="0898"/>
    <s v="アリオ地下駐車場"/>
    <s v="都市交通部"/>
    <x v="29"/>
    <x v="29"/>
    <s v="G081100"/>
    <s v="伊丹市伊丹2丁目5番5号"/>
    <s v="行政財産"/>
    <s v="10その他施設"/>
    <s v="01駐車場・駐輪場"/>
    <s v="伊丹市立駐車場条例"/>
    <s v="1988"/>
    <s v="1988"/>
    <n v="2569.8000000000002"/>
    <n v="2569.8000000000002"/>
    <m/>
    <s v="○"/>
    <s v="○"/>
    <s v="10有岡小"/>
    <s v="単独"/>
    <s v="―"/>
    <s v="―"/>
    <s v="―"/>
    <s v="―"/>
    <s v="―"/>
    <s v="―"/>
    <s v="―"/>
    <m/>
    <s v="市有"/>
    <m/>
    <s v="市有"/>
    <m/>
    <s v="自動車を利用する市民の利便を図ることを目的とした施設。"/>
    <s v="―"/>
    <s v="―"/>
    <s v="―"/>
    <s v="―"/>
    <s v="―"/>
    <s v="―"/>
    <s v="―"/>
    <s v="商業地域"/>
    <s v="80"/>
    <s v="400"/>
    <m/>
    <m/>
    <s v="準防火"/>
    <s v="高度利用地区、駐車場整備地区"/>
    <s v="指管"/>
    <s v="一般社団法人　日本駐車場工学研究会"/>
    <d v="2014-04-01T00:00:00"/>
    <d v="2019-03-31T00:00:00"/>
    <s v="公募"/>
    <s v="7:00～23:00"/>
    <m/>
    <s v="車93台,原付等9台"/>
    <n v="102"/>
    <n v="547584"/>
    <n v="542108"/>
    <n v="5476"/>
    <n v="5476"/>
    <n v="0.99"/>
    <m/>
    <m/>
    <m/>
    <m/>
    <x v="0"/>
    <s v="○"/>
    <n v="2569.8000000000002"/>
  </r>
  <r>
    <s v="247"/>
    <s v="0897"/>
    <s v="宮ノ前地区地下駐車場"/>
    <s v="都市交通部"/>
    <x v="29"/>
    <x v="29"/>
    <s v="G081100"/>
    <s v="伊丹市宮ノ前1丁目73番地の4"/>
    <s v="行政財産"/>
    <s v="10その他施設"/>
    <s v="01駐車場・駐輪場"/>
    <s v="伊丹市立駐車場条例"/>
    <s v="1997"/>
    <s v="1997"/>
    <n v="13566.72"/>
    <n v="13566.72"/>
    <m/>
    <s v="○"/>
    <s v="○"/>
    <s v="01伊丹小"/>
    <s v="単独"/>
    <s v="―"/>
    <s v="―"/>
    <s v="―"/>
    <s v="―"/>
    <s v="―"/>
    <s v="―"/>
    <s v="―"/>
    <m/>
    <s v="市有"/>
    <m/>
    <s v="市有"/>
    <m/>
    <s v="自動車を利用する市民の利便を図ることを目的とした施設。"/>
    <s v="―"/>
    <s v="―"/>
    <s v="―"/>
    <s v="―"/>
    <s v="―"/>
    <s v="―"/>
    <s v="○"/>
    <s v="商業地域"/>
    <s v="80"/>
    <s v="400"/>
    <m/>
    <m/>
    <s v="準防火"/>
    <m/>
    <s v="指管"/>
    <s v="一般社団法人　日本駐車場工学研究会"/>
    <d v="2014-04-01T00:00:00"/>
    <d v="2019-03-31T00:00:00"/>
    <s v="公募"/>
    <s v="24時間"/>
    <m/>
    <s v="車386台,原付等30台"/>
    <n v="416"/>
    <n v="5290396"/>
    <n v="2837547"/>
    <n v="2452849"/>
    <n v="139221"/>
    <n v="0.53600000000000003"/>
    <m/>
    <m/>
    <m/>
    <m/>
    <x v="0"/>
    <s v="○"/>
    <n v="13566.72"/>
  </r>
  <r>
    <s v="248"/>
    <s v="0881"/>
    <s v="船原自転車駐車場"/>
    <s v="都市交通部"/>
    <x v="29"/>
    <x v="29"/>
    <s v="G081100"/>
    <s v="伊丹市船原1丁目1番1号(伊丹小学校内)"/>
    <s v="行政財産"/>
    <s v="10その他施設"/>
    <s v="01駐車場・駐輪場"/>
    <s v="伊丹市自転車駐車場条例"/>
    <s v="1983"/>
    <s v="1983"/>
    <n v="1232.99"/>
    <n v="901.79"/>
    <m/>
    <s v="○"/>
    <s v="○"/>
    <s v="01伊丹小"/>
    <s v="複合"/>
    <s v="―"/>
    <s v="―"/>
    <s v="―"/>
    <s v="―"/>
    <s v="―"/>
    <s v="―"/>
    <s v="―"/>
    <m/>
    <s v="市有"/>
    <m/>
    <s v="市有"/>
    <m/>
    <s v="自転車を利用する市民の利便を図ることを目的とした施設。"/>
    <s v="―"/>
    <s v="―"/>
    <s v="―"/>
    <s v="―"/>
    <s v="―"/>
    <s v="―"/>
    <s v="―"/>
    <s v="第二種中高層住居専用地域"/>
    <s v="60"/>
    <s v="200"/>
    <m/>
    <m/>
    <s v="準防火"/>
    <m/>
    <s v="指管"/>
    <s v="日駐研・高見沢共同企業体"/>
    <d v="2015-04-01T00:00:00"/>
    <d v="2018-03-31T00:00:00"/>
    <s v="公募"/>
    <s v="4:30～0:45"/>
    <m/>
    <s v="自転車961台,原付等91台"/>
    <n v="1052"/>
    <n v="117233"/>
    <n v="56975"/>
    <n v="60258"/>
    <n v="3085"/>
    <n v="0.48599999999999999"/>
    <m/>
    <m/>
    <m/>
    <m/>
    <x v="0"/>
    <s v="○"/>
    <n v="901.79"/>
  </r>
  <r>
    <s v="249"/>
    <s v="0882"/>
    <s v="西台自転車駐車場"/>
    <s v="都市交通部"/>
    <x v="29"/>
    <x v="29"/>
    <s v="G081100"/>
    <s v="伊丹市西台3丁目9番22号"/>
    <s v="行政財産"/>
    <s v="10その他施設"/>
    <s v="01駐車場・駐輪場"/>
    <s v="伊丹市自転車駐車場条例"/>
    <s v="1983"/>
    <s v="1983"/>
    <n v="491.21"/>
    <n v="1141.01"/>
    <m/>
    <s v="○"/>
    <s v="○"/>
    <s v="01伊丹小"/>
    <s v="単独"/>
    <s v="―"/>
    <s v="―"/>
    <s v="―"/>
    <s v="―"/>
    <s v="―"/>
    <s v="―"/>
    <s v="―"/>
    <m/>
    <s v="市有"/>
    <m/>
    <s v="市有"/>
    <m/>
    <s v="自転車を利用する市民の利便を図ることを目的とした施設。"/>
    <s v="―"/>
    <s v="―"/>
    <s v="―"/>
    <s v="―"/>
    <s v="―"/>
    <s v="―"/>
    <s v="―"/>
    <s v="商業地域"/>
    <s v="80"/>
    <s v="400"/>
    <m/>
    <m/>
    <s v="準防火"/>
    <m/>
    <s v="指管"/>
    <s v="日駐研・高見沢共同企業体"/>
    <d v="2015-04-01T00:00:00"/>
    <d v="2018-03-31T00:00:00"/>
    <s v="公募"/>
    <s v="4:30～0:45"/>
    <m/>
    <s v="自転車1,109台"/>
    <n v="1109"/>
    <n v="91281"/>
    <n v="51209"/>
    <n v="40072"/>
    <n v="2945"/>
    <n v="0.56100000000000005"/>
    <m/>
    <m/>
    <m/>
    <m/>
    <x v="0"/>
    <s v="○"/>
    <n v="1141.01"/>
  </r>
  <r>
    <s v="250"/>
    <s v="0884"/>
    <s v="平松自転車駐車場"/>
    <s v="都市交通部"/>
    <x v="29"/>
    <x v="29"/>
    <s v="G081100"/>
    <s v="伊丹市平松5丁目1番1号(平松公園地下)"/>
    <s v="行政財産"/>
    <s v="10その他施設"/>
    <s v="01駐車場・駐輪場"/>
    <s v="伊丹市自転車駐車場条例"/>
    <s v="1987"/>
    <s v="1987"/>
    <n v="1603.54"/>
    <n v="1603.54"/>
    <m/>
    <s v="○"/>
    <s v="○"/>
    <s v="03南小"/>
    <s v="単独"/>
    <s v="―"/>
    <s v="―"/>
    <s v="―"/>
    <s v="―"/>
    <s v="―"/>
    <s v="―"/>
    <s v="―"/>
    <m/>
    <s v="市有"/>
    <m/>
    <s v="市有"/>
    <m/>
    <s v="自転車を利用する市民の利便を図ることを目的とした施設。"/>
    <s v="―"/>
    <s v="―"/>
    <s v="―"/>
    <s v="―"/>
    <s v="―"/>
    <s v="―"/>
    <s v="―"/>
    <s v="近隣商業"/>
    <s v="80"/>
    <s v="200"/>
    <m/>
    <s v="３種"/>
    <s v="準防火"/>
    <m/>
    <s v="指管"/>
    <s v="日駐研・高見沢共同企業体"/>
    <d v="2015-04-01T00:00:00"/>
    <d v="2018-03-31T00:00:00"/>
    <s v="公募"/>
    <s v="4:30～0:45"/>
    <m/>
    <s v="自転車1,177台,原付等101台"/>
    <n v="1278"/>
    <n v="342908"/>
    <n v="277755"/>
    <n v="65153"/>
    <n v="9024"/>
    <n v="0.81"/>
    <m/>
    <m/>
    <m/>
    <m/>
    <x v="0"/>
    <s v="○"/>
    <n v="1603.54"/>
  </r>
  <r>
    <s v="251"/>
    <s v="0885"/>
    <s v="JR伊丹駅前第１自転車駐車場"/>
    <s v="都市交通部"/>
    <x v="29"/>
    <x v="29"/>
    <s v="G081100"/>
    <s v="伊丹市伊丹1丁目14番9号"/>
    <s v="行政財産"/>
    <s v="10その他施設"/>
    <s v="01駐車場・駐輪場"/>
    <s v="伊丹市自転車駐車場条例"/>
    <s v="1991"/>
    <s v="1991"/>
    <n v="2952.05"/>
    <m/>
    <m/>
    <s v="○"/>
    <s v="○"/>
    <s v="01伊丹小"/>
    <s v="単独"/>
    <s v="―"/>
    <s v="―"/>
    <s v="―"/>
    <s v="―"/>
    <s v="―"/>
    <s v="―"/>
    <s v="―"/>
    <m/>
    <s v="市有・民地"/>
    <s v="国・ＪＲ"/>
    <s v="市有"/>
    <m/>
    <s v="自転車を利用する市民の利便を図ることを目的とした施設。"/>
    <s v="―"/>
    <s v="―"/>
    <s v="―"/>
    <s v="―"/>
    <s v="―"/>
    <s v="―"/>
    <s v="―"/>
    <s v="商業地域"/>
    <s v="80"/>
    <s v="200"/>
    <m/>
    <m/>
    <s v="準防火"/>
    <m/>
    <s v="指管"/>
    <s v="日駐研・高見沢共同企業体"/>
    <d v="2015-04-01T00:00:00"/>
    <d v="2018-03-31T00:00:00"/>
    <s v="公募"/>
    <s v="24時間"/>
    <m/>
    <s v="自転車1,545台,原付等404台"/>
    <n v="1949"/>
    <n v="814"/>
    <n v="699"/>
    <n v="116"/>
    <n v="26"/>
    <n v="0.85799999999999998"/>
    <m/>
    <m/>
    <m/>
    <m/>
    <x v="0"/>
    <s v="○"/>
    <n v="0"/>
  </r>
  <r>
    <s v="252"/>
    <s v="0886"/>
    <s v="JR伊丹駅前第２自転車駐車場"/>
    <s v="都市交通部"/>
    <x v="29"/>
    <x v="29"/>
    <s v="G081100"/>
    <s v="伊丹市伊丹1丁目12番12号"/>
    <s v="行政財産"/>
    <s v="10その他施設"/>
    <s v="01駐車場・駐輪場"/>
    <s v="伊丹市自転車駐車場条例"/>
    <s v="1995"/>
    <s v="1995"/>
    <n v="351.1"/>
    <m/>
    <m/>
    <s v="○"/>
    <s v="○"/>
    <s v="01伊丹小"/>
    <s v="単独"/>
    <s v="―"/>
    <s v="―"/>
    <s v="―"/>
    <s v="―"/>
    <s v="―"/>
    <s v="―"/>
    <s v="―"/>
    <m/>
    <s v="市有"/>
    <m/>
    <s v="市有"/>
    <m/>
    <s v="自転車を利用する市民の利便を図ることを目的とした施設。"/>
    <s v="―"/>
    <s v="―"/>
    <s v="―"/>
    <s v="―"/>
    <s v="―"/>
    <s v="―"/>
    <s v="―"/>
    <s v="商業地域"/>
    <s v="80"/>
    <s v="200"/>
    <m/>
    <m/>
    <s v="準防火"/>
    <m/>
    <s v="指管"/>
    <s v="日駐研・高見沢共同企業体"/>
    <d v="2015-04-01T00:00:00"/>
    <d v="2018-03-31T00:00:00"/>
    <s v="公募"/>
    <s v="24時間"/>
    <m/>
    <s v="自転車235台"/>
    <n v="235"/>
    <s v=""/>
    <s v=""/>
    <s v=""/>
    <s v=""/>
    <n v="0"/>
    <m/>
    <m/>
    <m/>
    <m/>
    <x v="0"/>
    <s v="○"/>
    <n v="0"/>
  </r>
  <r>
    <s v="253"/>
    <s v="0887"/>
    <s v="東有岡自転車駐車場"/>
    <s v="都市交通部"/>
    <x v="29"/>
    <x v="29"/>
    <s v="G081100"/>
    <s v="伊丹市東有岡1丁目6番地の2"/>
    <s v="行政財産"/>
    <s v="10その他施設"/>
    <s v="01駐車場・駐輪場"/>
    <s v="伊丹市自転車駐車場条例"/>
    <s v="1992"/>
    <s v="1992"/>
    <n v="1303.32"/>
    <m/>
    <m/>
    <s v="○"/>
    <s v="○"/>
    <s v="10有岡小"/>
    <s v="単独"/>
    <s v="―"/>
    <s v="―"/>
    <s v="―"/>
    <s v="―"/>
    <s v="―"/>
    <s v="―"/>
    <s v="―"/>
    <m/>
    <s v="市有"/>
    <m/>
    <s v="市有"/>
    <m/>
    <s v="自転車を利用する市民の利便を図ることを目的とした施設。"/>
    <s v="―"/>
    <s v="―"/>
    <s v="―"/>
    <s v="―"/>
    <s v="―"/>
    <s v="―"/>
    <s v="―"/>
    <s v="工業地域"/>
    <s v="60"/>
    <s v="200"/>
    <m/>
    <m/>
    <s v="準防火"/>
    <m/>
    <s v="指管"/>
    <s v="日駐研・高見沢共同企業体"/>
    <d v="2015-04-01T00:00:00"/>
    <d v="2018-03-31T00:00:00"/>
    <s v="公募"/>
    <s v="24時間"/>
    <m/>
    <s v="自転車833台,原付等64台"/>
    <n v="897"/>
    <s v=""/>
    <s v=""/>
    <s v=""/>
    <s v=""/>
    <n v="0"/>
    <m/>
    <m/>
    <m/>
    <m/>
    <x v="0"/>
    <s v="○"/>
    <n v="0"/>
  </r>
  <r>
    <s v="254"/>
    <s v="0888"/>
    <s v="JR北伊丹駅前自転車駐車場"/>
    <s v="都市交通部"/>
    <x v="29"/>
    <x v="29"/>
    <s v="G081100"/>
    <s v="伊丹市北伊丹8丁目98番地の5"/>
    <s v="行政財産"/>
    <s v="10その他施設"/>
    <s v="01駐車場・駐輪場"/>
    <s v="伊丹市自転車駐車場条例"/>
    <s v="1997"/>
    <s v="1997"/>
    <n v="1379.1"/>
    <m/>
    <m/>
    <s v="○"/>
    <s v="○"/>
    <s v="05緑丘小"/>
    <s v="単独"/>
    <s v="―"/>
    <s v="―"/>
    <s v="―"/>
    <s v="―"/>
    <s v="―"/>
    <s v="―"/>
    <s v="―"/>
    <m/>
    <s v="市有・民地"/>
    <s v="国"/>
    <s v="市有"/>
    <m/>
    <s v="自転車を利用する市民の利便を図ることを目的とした施設。"/>
    <s v="―"/>
    <s v="―"/>
    <s v="―"/>
    <s v="―"/>
    <s v="―"/>
    <s v="―"/>
    <s v="―"/>
    <s v="工業地域"/>
    <s v="60"/>
    <s v="200"/>
    <m/>
    <m/>
    <m/>
    <m/>
    <s v="指管"/>
    <s v="日駐研・高見沢共同企業体"/>
    <d v="2015-04-01T00:00:00"/>
    <d v="2018-03-31T00:00:00"/>
    <s v="公募"/>
    <s v="24時間"/>
    <m/>
    <s v="自転車667台,原付等147台"/>
    <n v="814"/>
    <n v="514"/>
    <n v="332"/>
    <n v="182"/>
    <n v="17"/>
    <n v="0.64600000000000002"/>
    <m/>
    <m/>
    <m/>
    <m/>
    <x v="0"/>
    <s v="○"/>
    <n v="0"/>
  </r>
  <r>
    <s v="255"/>
    <s v="0890"/>
    <s v="JR伊丹駅前第３自転車駐車場"/>
    <s v="都市交通部"/>
    <x v="29"/>
    <x v="29"/>
    <s v="G081100"/>
    <s v="伊丹市伊丹1丁目15番20号"/>
    <s v="行政財産"/>
    <s v="10その他施設"/>
    <s v="01駐車場・駐輪場"/>
    <s v="伊丹市自転車駐車場条例"/>
    <s v="1999"/>
    <s v="1999"/>
    <n v="754.66"/>
    <m/>
    <m/>
    <s v="○"/>
    <m/>
    <s v="01伊丹小"/>
    <s v="単独"/>
    <s v="―"/>
    <s v="―"/>
    <s v="―"/>
    <s v="―"/>
    <s v="―"/>
    <s v="―"/>
    <s v="―"/>
    <m/>
    <s v="民地"/>
    <s v="ＪＲ"/>
    <m/>
    <m/>
    <s v="自転車を利用する市民の利便を図ることを目的とした施設。"/>
    <s v="―"/>
    <s v="―"/>
    <s v="―"/>
    <s v="―"/>
    <s v="―"/>
    <s v="―"/>
    <s v="―"/>
    <s v="近隣商業地域"/>
    <s v="80"/>
    <s v="200"/>
    <m/>
    <m/>
    <s v="準防火"/>
    <m/>
    <s v="指管"/>
    <s v="日駐研・高見沢共同企業体"/>
    <d v="2015-04-01T00:00:00"/>
    <d v="2018-03-31T00:00:00"/>
    <s v="公募"/>
    <s v="24時間"/>
    <m/>
    <s v="自転車489台"/>
    <n v="489"/>
    <s v=""/>
    <s v=""/>
    <s v=""/>
    <s v=""/>
    <n v="0"/>
    <m/>
    <m/>
    <m/>
    <m/>
    <x v="0"/>
    <s v="○"/>
    <n v="0"/>
  </r>
  <r>
    <s v="256"/>
    <s v="0891"/>
    <s v="阪急伊丹駅前地下自転車駐車場"/>
    <s v="都市交通部"/>
    <x v="29"/>
    <x v="29"/>
    <s v="G081100"/>
    <s v="伊丹市西台1丁目1番43号"/>
    <s v="行政財産"/>
    <s v="10その他施設"/>
    <s v="01駐車場・駐輪場"/>
    <s v="伊丹市自転車駐車場条例"/>
    <s v="2000"/>
    <s v="2000"/>
    <n v="3024.11"/>
    <n v="3024.11"/>
    <m/>
    <s v="○"/>
    <s v="○"/>
    <s v="01伊丹小"/>
    <s v="単独"/>
    <s v="―"/>
    <s v="―"/>
    <s v="―"/>
    <s v="―"/>
    <s v="―"/>
    <s v="―"/>
    <s v="―"/>
    <m/>
    <s v="市有"/>
    <m/>
    <s v="市有"/>
    <m/>
    <s v="自転車を利用する市民の利便を図ることを目的とした施設。"/>
    <s v="―"/>
    <s v="―"/>
    <s v="○"/>
    <s v="―"/>
    <s v="―"/>
    <s v="―"/>
    <s v="○"/>
    <s v="商業地域"/>
    <s v="80"/>
    <s v="600"/>
    <m/>
    <m/>
    <s v="準防火"/>
    <m/>
    <s v="指管"/>
    <s v="日駐研・高見沢共同企業体"/>
    <d v="2015-04-01T00:00:00"/>
    <d v="2018-03-31T00:00:00"/>
    <s v="公募"/>
    <s v="4:30～0:45"/>
    <m/>
    <s v="自転車1,142台,原付等165台"/>
    <n v="1307"/>
    <n v="1052410"/>
    <n v="444837"/>
    <n v="607573"/>
    <n v="29003"/>
    <n v="0.42299999999999999"/>
    <m/>
    <m/>
    <m/>
    <m/>
    <x v="0"/>
    <s v="○"/>
    <n v="3024.11"/>
  </r>
  <r>
    <s v="257"/>
    <s v="0019"/>
    <s v="昆陽里自転車駐車場"/>
    <s v="都市交通部"/>
    <x v="29"/>
    <x v="29"/>
    <s v="G081100"/>
    <s v="伊丹市寺本3丁目239番地(国道171号高架下)"/>
    <s v="行政財産"/>
    <s v="10その他施設"/>
    <s v="01駐車場・駐輪場"/>
    <s v="伊丹市自転車駐車場条例"/>
    <s v="1989"/>
    <s v="1989"/>
    <n v="192.93"/>
    <m/>
    <m/>
    <s v="○"/>
    <m/>
    <s v="11花里小"/>
    <s v="単独"/>
    <s v="―"/>
    <s v="―"/>
    <s v="―"/>
    <s v="―"/>
    <s v="―"/>
    <s v="―"/>
    <s v="―"/>
    <m/>
    <s v="民地"/>
    <s v="国"/>
    <m/>
    <m/>
    <s v="自転車を利用する市民の利便を図ることを目的とした施設。"/>
    <s v="―"/>
    <s v="―"/>
    <s v="―"/>
    <s v="―"/>
    <s v="―"/>
    <s v="―"/>
    <s v="―"/>
    <s v="準住居地域"/>
    <s v="60"/>
    <s v="200"/>
    <m/>
    <m/>
    <m/>
    <m/>
    <s v="直営"/>
    <m/>
    <m/>
    <m/>
    <m/>
    <s v="24時間"/>
    <m/>
    <s v="自転車80台,原付等20台"/>
    <n v="100"/>
    <s v=""/>
    <s v=""/>
    <s v=""/>
    <s v=""/>
    <n v="0"/>
    <m/>
    <m/>
    <m/>
    <m/>
    <x v="0"/>
    <s v="○"/>
    <n v="0"/>
  </r>
  <r>
    <s v="258"/>
    <s v="0297"/>
    <s v="藤ノ木自転車保管返還所"/>
    <s v="都市交通部"/>
    <x v="29"/>
    <x v="29"/>
    <s v="G081100"/>
    <s v="伊丹市藤ノ木2丁目108"/>
    <s v="行政財産"/>
    <s v="10その他施設"/>
    <s v="01駐車場・駐輪場"/>
    <s v="伊丹市自転車の安全利用の促進及び自転車等の駐車対策の推進に関する条例"/>
    <s v="2003"/>
    <s v="2003"/>
    <n v="1638"/>
    <m/>
    <m/>
    <s v="○"/>
    <s v="○"/>
    <s v="01伊丹小"/>
    <s v="単独"/>
    <s v="―"/>
    <s v="―"/>
    <s v="―"/>
    <s v="―"/>
    <s v="―"/>
    <s v="―"/>
    <s v="―"/>
    <m/>
    <s v="民地"/>
    <s v="県"/>
    <s v="市有"/>
    <m/>
    <s v="自転車を利用する市民の利便を図ることを目的とした施設。"/>
    <s v="―"/>
    <s v="―"/>
    <s v="―"/>
    <s v="―"/>
    <s v="―"/>
    <s v="―"/>
    <s v="―"/>
    <s v="準工業地域"/>
    <s v="60"/>
    <s v="200"/>
    <m/>
    <m/>
    <m/>
    <m/>
    <s v="直営"/>
    <m/>
    <m/>
    <m/>
    <m/>
    <s v="9:00～17:00（土：9:00～12:00）"/>
    <s v="日,祝,年末年始"/>
    <m/>
    <m/>
    <n v="1866"/>
    <n v="776"/>
    <n v="1090"/>
    <n v="73"/>
    <n v="0.41599999999999998"/>
    <m/>
    <m/>
    <m/>
    <m/>
    <x v="0"/>
    <s v="○"/>
    <n v="0"/>
  </r>
  <r>
    <s v="259"/>
    <s v="0404"/>
    <s v="環境クリーンセンター"/>
    <s v="市民自治部"/>
    <x v="30"/>
    <x v="30"/>
    <s v="G045000"/>
    <s v="伊丹市岩屋2丁目2番8号"/>
    <s v="行政財産"/>
    <s v="10その他施設"/>
    <s v="02その他"/>
    <s v="廃棄物の処理及び清掃に関する法律"/>
    <s v="1975"/>
    <s v="1975"/>
    <n v="3089"/>
    <n v="1921.26"/>
    <m/>
    <s v="○"/>
    <s v="○"/>
    <s v="04神津小"/>
    <s v="単独"/>
    <s v="―"/>
    <s v="―"/>
    <s v="―"/>
    <s v="―"/>
    <s v="―"/>
    <s v="―"/>
    <s v="―"/>
    <s v="し尿処理施設"/>
    <s v="市有"/>
    <m/>
    <s v="市有"/>
    <m/>
    <s v="ごみやし尿の収集、ごみの減量や資源化に関する事業計画等の立案を行う。"/>
    <s v="―"/>
    <s v="―"/>
    <s v="―"/>
    <s v="―"/>
    <s v="―"/>
    <s v="―"/>
    <s v="―"/>
    <s v="準工業"/>
    <s v="60"/>
    <s v="200"/>
    <m/>
    <m/>
    <m/>
    <m/>
    <s v="直営"/>
    <m/>
    <m/>
    <m/>
    <m/>
    <s v="8:00～16:45"/>
    <s v="土; 日; 年末年始"/>
    <s v="控室、会議室、浴室、脱衣室、機械室、ボイラー室、食堂"/>
    <m/>
    <n v="822765"/>
    <n v="583646"/>
    <n v="239119"/>
    <n v="18785"/>
    <n v="0.70899999999999996"/>
    <m/>
    <m/>
    <m/>
    <m/>
    <x v="0"/>
    <s v="○"/>
    <n v="1921.26"/>
  </r>
  <r>
    <s v="260"/>
    <s v="0405"/>
    <s v="市営斎場"/>
    <s v="市民自治部"/>
    <x v="31"/>
    <x v="31"/>
    <s v="G044100"/>
    <s v="伊丹市船原2丁目4番20号"/>
    <s v="行政財産"/>
    <s v="10その他施設"/>
    <s v="02その他"/>
    <s v="伊丹市営斎場条例"/>
    <s v="1991"/>
    <s v="1991"/>
    <n v="1781.83"/>
    <n v="1182"/>
    <m/>
    <s v="○"/>
    <s v="○"/>
    <s v="01伊丹小"/>
    <s v="単独"/>
    <s v="―"/>
    <s v="―"/>
    <s v="―"/>
    <s v="―"/>
    <s v="―"/>
    <s v="―"/>
    <s v="―"/>
    <m/>
    <s v="市有"/>
    <m/>
    <s v="市有"/>
    <m/>
    <s v="火葬および葬儀に関する施設の提供を行う。"/>
    <s v="○"/>
    <s v="―"/>
    <s v="○"/>
    <s v="○"/>
    <s v="―"/>
    <s v="―"/>
    <s v="―"/>
    <s v="第2種中高層住居専用"/>
    <s v="60"/>
    <s v="200"/>
    <m/>
    <s v="２種"/>
    <m/>
    <m/>
    <s v="指管"/>
    <s v="株式会社　五輪"/>
    <d v="2014-04-01T00:00:00"/>
    <d v="2020-03-31T00:00:00"/>
    <s v="公募"/>
    <s v="8:30～17:00"/>
    <s v="1/1,2,友引日（年60日以内）"/>
    <s v="第１式場,第２式場,控え室"/>
    <n v="18"/>
    <n v="758777"/>
    <n v="394564"/>
    <n v="364213"/>
    <n v="15176"/>
    <n v="0.52"/>
    <m/>
    <m/>
    <m/>
    <m/>
    <x v="0"/>
    <s v="○"/>
    <n v="1182"/>
  </r>
  <r>
    <s v="261"/>
    <s v="9601"/>
    <s v="公設市場"/>
    <s v="都市活力部"/>
    <x v="32"/>
    <x v="32"/>
    <s v="G073200"/>
    <s v="伊丹市北本町3丁目50番地"/>
    <s v="行政財産"/>
    <s v="10その他施設"/>
    <s v="02その他"/>
    <s v="伊丹市公設市場条例"/>
    <s v="2014"/>
    <s v="1987"/>
    <n v="11250"/>
    <n v="5478.44"/>
    <m/>
    <s v="○"/>
    <s v="○"/>
    <s v="01伊丹小"/>
    <s v="単独"/>
    <s v="―"/>
    <s v="―"/>
    <s v="―"/>
    <s v="―"/>
    <s v="―"/>
    <s v="―"/>
    <s v="―"/>
    <m/>
    <s v="市有"/>
    <m/>
    <s v="市有"/>
    <m/>
    <s v="生鮮食料品等の取引の適正化とその生産および流通の円滑化を図り，もって市民等の生活の安定に資することを目的とする。"/>
    <s v="―"/>
    <s v="―"/>
    <s v="○"/>
    <s v="―"/>
    <s v="―"/>
    <s v="―"/>
    <s v="―"/>
    <s v="準工業"/>
    <s v="60"/>
    <s v="200"/>
    <s v="大規模集客施設立地規制"/>
    <m/>
    <m/>
    <m/>
    <s v="直営"/>
    <m/>
    <m/>
    <m/>
    <m/>
    <s v="5:00～17:00"/>
    <s v="日,祝,1/2～4,12/31(臨時休・開場あり)"/>
    <s v="卸棟、仲卸棟、関連店舗棟、食堂棟、買荷保管所、冷凍冷蔵倉庫"/>
    <n v="65"/>
    <n v="982715"/>
    <n v="575868"/>
    <n v="406847"/>
    <n v="29607"/>
    <n v="0.58599999999999997"/>
    <m/>
    <m/>
    <m/>
    <m/>
    <x v="0"/>
    <s v="○"/>
    <n v="5478.44"/>
  </r>
  <r>
    <s v="262"/>
    <s v="0704"/>
    <s v="イベント倉庫"/>
    <s v="都市活力部"/>
    <x v="17"/>
    <x v="17"/>
    <s v="G071100"/>
    <s v="伊丹市北伊丹2丁目74"/>
    <s v="行政財産"/>
    <s v="10その他施設"/>
    <s v="02その他"/>
    <m/>
    <s v="1997"/>
    <s v="1997"/>
    <n v="65"/>
    <n v="56.3"/>
    <m/>
    <s v="○"/>
    <s v="○"/>
    <s v="05緑丘小"/>
    <s v="単独"/>
    <s v="―"/>
    <s v="―"/>
    <s v="―"/>
    <s v="―"/>
    <s v="―"/>
    <s v="―"/>
    <s v="―"/>
    <m/>
    <s v="市有"/>
    <m/>
    <s v="市有"/>
    <m/>
    <m/>
    <s v="―"/>
    <s v="―"/>
    <s v="―"/>
    <s v="―"/>
    <s v="―"/>
    <s v="―"/>
    <s v="―"/>
    <s v="準工業"/>
    <s v="60"/>
    <s v="200"/>
    <m/>
    <m/>
    <m/>
    <m/>
    <s v="直営"/>
    <m/>
    <m/>
    <m/>
    <m/>
    <m/>
    <m/>
    <m/>
    <m/>
    <n v="9176"/>
    <n v="5244"/>
    <n v="3933"/>
    <n v="382"/>
    <n v="0.57099999999999995"/>
    <m/>
    <m/>
    <m/>
    <m/>
    <x v="0"/>
    <s v="○"/>
    <n v="56.3"/>
  </r>
  <r>
    <s v="263"/>
    <s v="9711"/>
    <s v="阪神北広域こども急病センター"/>
    <s v="健康福祉部"/>
    <x v="33"/>
    <x v="33"/>
    <s v="G053200"/>
    <s v="伊丹市昆陽池2丁目10"/>
    <s v="行政財産"/>
    <s v="10その他施設"/>
    <s v="02その他"/>
    <s v="阪神北広域こども急病センター条例"/>
    <s v="2008"/>
    <s v="2008"/>
    <n v="1844.78"/>
    <n v="1000.96"/>
    <m/>
    <m/>
    <s v="○"/>
    <s v="02稲野小"/>
    <s v="単独"/>
    <s v="―"/>
    <s v="―"/>
    <s v="―"/>
    <s v="―"/>
    <s v="―"/>
    <s v="―"/>
    <s v="―"/>
    <m/>
    <s v="市有"/>
    <m/>
    <s v="市有"/>
    <m/>
    <s v="休日及び夜間において、伊丹市、宝塚市、川西市及び猪名川町の小児の患者に対して応急の診療を行う施設。"/>
    <s v="―"/>
    <s v="―"/>
    <s v="○"/>
    <s v="○"/>
    <s v="○"/>
    <s v="○"/>
    <s v="○"/>
    <s v="第1種低層住居専用"/>
    <s v="50"/>
    <s v="100"/>
    <m/>
    <s v="１種"/>
    <m/>
    <m/>
    <s v="指管"/>
    <s v="公益財団法人　阪神北広域救急医療財団"/>
    <d v="2013-04-01T00:00:00"/>
    <d v="2018-03-31T00:00:00"/>
    <s v="非公募"/>
    <s v="平日：20:00～翌7:00,土：15:00～翌7:00,日祝：9:00～翌7:00"/>
    <m/>
    <m/>
    <n v="28"/>
    <n v="314010"/>
    <n v="46559"/>
    <n v="267451"/>
    <n v="7064"/>
    <n v="0.14799999999999999"/>
    <m/>
    <m/>
    <m/>
    <m/>
    <x v="0"/>
    <s v="○"/>
    <n v="1000.96"/>
  </r>
  <r>
    <s v="264"/>
    <s v="9701"/>
    <s v="伊丹病院"/>
    <s v="伊丹病院"/>
    <x v="34"/>
    <x v="34"/>
    <s v="G570000"/>
    <s v="伊丹市昆陽池1丁目100番地"/>
    <s v="行政財産"/>
    <s v="11公営企業施設"/>
    <s v="01病院施設"/>
    <s v="伊丹市病院事業の設置等に関する条例"/>
    <m/>
    <s v="1983"/>
    <n v="29294.76"/>
    <n v="31396.76"/>
    <m/>
    <s v="○"/>
    <s v="○"/>
    <s v="02稲野小"/>
    <s v="単独"/>
    <s v="―"/>
    <s v="―"/>
    <s v="―"/>
    <s v="―"/>
    <s v="―"/>
    <s v="―"/>
    <s v="―"/>
    <m/>
    <s v="市有"/>
    <m/>
    <s v="市有"/>
    <m/>
    <s v="地域の中核病院として急性期医療を担う。"/>
    <s v="―"/>
    <s v="―"/>
    <s v="―"/>
    <s v="―"/>
    <s v="―"/>
    <s v="―"/>
    <s v="―"/>
    <s v="第2種中高層住居専用,第2種住居"/>
    <s v="60"/>
    <s v="200"/>
    <m/>
    <s v="２種"/>
    <m/>
    <m/>
    <s v="直営"/>
    <m/>
    <m/>
    <m/>
    <m/>
    <s v="8:00～15:00"/>
    <s v="土,日,祝,年末年始"/>
    <m/>
    <m/>
    <n v="0"/>
    <n v="0"/>
    <n v="0"/>
    <n v="0"/>
    <n v="0"/>
    <m/>
    <m/>
    <m/>
    <m/>
    <x v="1"/>
    <m/>
    <n v="31396.76"/>
  </r>
  <r>
    <s v="265"/>
    <s v="9501"/>
    <s v="上下水道局"/>
    <s v="上下水道局"/>
    <x v="35"/>
    <x v="35"/>
    <s v="G561100"/>
    <s v="伊丹市昆陽1丁目1番地の2"/>
    <s v="行政財産"/>
    <s v="11公営企業施設"/>
    <s v="02上下水道施設"/>
    <s v="水道法,伊丹市水道事業および工業用水道事業の設置等に関する条例,下水道法,伊丹市下水道条例"/>
    <s v="1972"/>
    <s v="1972"/>
    <n v="1750"/>
    <n v="2485"/>
    <m/>
    <s v="○"/>
    <s v="○"/>
    <s v="02稲野小"/>
    <s v="単独"/>
    <s v="―"/>
    <s v="―"/>
    <s v="―"/>
    <s v="―"/>
    <s v="―"/>
    <s v="―"/>
    <s v="―"/>
    <m/>
    <s v="市有"/>
    <m/>
    <s v="市有"/>
    <m/>
    <m/>
    <s v="○"/>
    <s v="○"/>
    <s v="○"/>
    <s v="○"/>
    <s v="○"/>
    <s v="○"/>
    <s v="○"/>
    <s v="第2種住居"/>
    <s v="60"/>
    <s v="200"/>
    <m/>
    <s v="３種"/>
    <m/>
    <m/>
    <s v="直営"/>
    <m/>
    <m/>
    <m/>
    <m/>
    <s v="8：45～17：30"/>
    <s v="土・日・祝・年末年始"/>
    <m/>
    <n v="3"/>
    <n v="0"/>
    <n v="0"/>
    <n v="0"/>
    <n v="0"/>
    <n v="0"/>
    <m/>
    <m/>
    <m/>
    <m/>
    <x v="1"/>
    <m/>
    <n v="2485"/>
  </r>
  <r>
    <s v="266"/>
    <s v="9502"/>
    <s v="千僧浄水場"/>
    <s v="上下水道局"/>
    <x v="36"/>
    <x v="36"/>
    <s v="G562300"/>
    <s v="伊丹市広畑6丁目1番地"/>
    <s v="行政財産"/>
    <s v="11公営企業施設"/>
    <s v="02上下水道施設"/>
    <s v="水道法,伊丹市水道事業および工業用水道事業の設置等に関する条例"/>
    <s v="1965"/>
    <s v="1965"/>
    <n v="36645"/>
    <n v="7263"/>
    <m/>
    <s v="○"/>
    <s v="○"/>
    <s v="09瑞穂小"/>
    <s v="単独"/>
    <s v="―"/>
    <s v="―"/>
    <s v="―"/>
    <s v="―"/>
    <s v="―"/>
    <s v="―"/>
    <s v="―"/>
    <m/>
    <s v="市有"/>
    <m/>
    <s v="市有"/>
    <m/>
    <s v="武庫川、猪名川、淀川の水を水源として浄水し、市内各戸へ水道水を供給する施設。"/>
    <s v="―"/>
    <s v="○"/>
    <s v="○"/>
    <s v="―"/>
    <s v="○"/>
    <s v="○"/>
    <s v="○"/>
    <s v="第2種住居"/>
    <s v="60"/>
    <s v="200"/>
    <m/>
    <s v="３種"/>
    <m/>
    <m/>
    <s v="直営"/>
    <m/>
    <m/>
    <m/>
    <m/>
    <m/>
    <m/>
    <m/>
    <m/>
    <n v="0"/>
    <n v="0"/>
    <n v="0"/>
    <n v="0"/>
    <n v="0"/>
    <m/>
    <m/>
    <m/>
    <m/>
    <x v="1"/>
    <m/>
    <n v="7263"/>
  </r>
  <r>
    <s v="267"/>
    <s v="9503"/>
    <s v="北村水源地"/>
    <s v="上下水道局"/>
    <x v="36"/>
    <x v="36"/>
    <s v="G562300"/>
    <s v="伊丹市北伊丹5丁目13番地"/>
    <s v="行政財産"/>
    <s v="11公営企業施設"/>
    <s v="02上下水道施設"/>
    <s v="水道法,伊丹市水道事業および工業用水道事業の設置等に関する条例"/>
    <s v="1962"/>
    <s v="1962"/>
    <n v="4103.03"/>
    <n v="232.06"/>
    <m/>
    <s v="○"/>
    <s v="○"/>
    <s v="05緑丘小"/>
    <s v="単独"/>
    <s v="―"/>
    <s v="―"/>
    <s v="―"/>
    <s v="―"/>
    <s v="―"/>
    <s v="―"/>
    <s v="―"/>
    <m/>
    <s v="市有"/>
    <m/>
    <s v="市有"/>
    <m/>
    <s v="猪名川の水を取水するための施設。"/>
    <s v="―"/>
    <s v="―"/>
    <s v="―"/>
    <s v="―"/>
    <s v="―"/>
    <s v="―"/>
    <s v="―"/>
    <s v="準工業"/>
    <s v="60"/>
    <s v="200"/>
    <m/>
    <m/>
    <m/>
    <m/>
    <s v="直営"/>
    <m/>
    <m/>
    <m/>
    <m/>
    <m/>
    <m/>
    <m/>
    <m/>
    <n v="0"/>
    <n v="0"/>
    <n v="0"/>
    <n v="0"/>
    <n v="0"/>
    <m/>
    <m/>
    <m/>
    <m/>
    <x v="1"/>
    <m/>
    <n v="232.06"/>
  </r>
  <r>
    <s v="268"/>
    <s v="9504"/>
    <s v="武庫川水源地"/>
    <s v="上下水道局"/>
    <x v="36"/>
    <x v="36"/>
    <s v="G562300"/>
    <s v="宝塚市弥生町369番地4"/>
    <s v="行政財産"/>
    <s v="11公営企業施設"/>
    <s v="02上下水道施設"/>
    <s v="水道法,伊丹市水道事業および工業用水道事業の設置等に関する条例"/>
    <s v="1991"/>
    <s v="1991"/>
    <n v="5146.835"/>
    <n v="215.78"/>
    <m/>
    <s v="○"/>
    <s v="○"/>
    <s v="99市外"/>
    <s v="単独"/>
    <s v="―"/>
    <s v="―"/>
    <s v="―"/>
    <s v="―"/>
    <s v="―"/>
    <s v="―"/>
    <s v="―"/>
    <m/>
    <s v="市有"/>
    <m/>
    <s v="市有"/>
    <m/>
    <s v="武庫川の水を取水するための施設。"/>
    <s v="―"/>
    <s v="―"/>
    <s v="―"/>
    <s v="―"/>
    <s v="―"/>
    <s v="―"/>
    <s v="―"/>
    <s v="第2種住居"/>
    <s v="60"/>
    <s v="200"/>
    <m/>
    <m/>
    <m/>
    <m/>
    <s v="直営"/>
    <m/>
    <m/>
    <m/>
    <m/>
    <m/>
    <m/>
    <m/>
    <m/>
    <n v="0"/>
    <n v="0"/>
    <n v="0"/>
    <n v="0"/>
    <n v="0"/>
    <m/>
    <m/>
    <m/>
    <m/>
    <x v="1"/>
    <m/>
    <n v="215.78"/>
  </r>
  <r>
    <s v="278"/>
    <s v="9505"/>
    <s v="荻野配水池"/>
    <s v="上下水道局"/>
    <x v="36"/>
    <x v="36"/>
    <s v="G562300"/>
    <s v="伊丹市荻野8丁目33番地3"/>
    <s v="行政財産"/>
    <s v="11公営企業施設"/>
    <s v="02上下水道施設"/>
    <s v="水道法,伊丹市水道事業および工業用水道事業の設置等に関する条例"/>
    <s v="2016"/>
    <s v="2016"/>
    <n v="1564.87"/>
    <n v="465.79"/>
    <m/>
    <m/>
    <s v="○"/>
    <s v="15荻野小"/>
    <s v="単独"/>
    <s v="―"/>
    <s v="―"/>
    <s v="―"/>
    <s v="―"/>
    <s v="―"/>
    <s v="―"/>
    <s v="―"/>
    <m/>
    <s v="市有"/>
    <m/>
    <s v="市有"/>
    <m/>
    <s v="兵庫県から水道水を受水、貯留し、配水するための施設。"/>
    <s v="―"/>
    <s v="―"/>
    <s v="○"/>
    <s v="―"/>
    <s v="―"/>
    <s v="○"/>
    <s v="―"/>
    <s v="第2種中高層住居"/>
    <s v="60"/>
    <s v="200"/>
    <m/>
    <m/>
    <m/>
    <s v="法22条区域"/>
    <s v="直営"/>
    <m/>
    <m/>
    <m/>
    <m/>
    <m/>
    <m/>
    <m/>
    <m/>
    <s v=""/>
    <s v=""/>
    <s v=""/>
    <s v=""/>
    <s v=""/>
    <m/>
    <m/>
    <m/>
    <m/>
    <x v="1"/>
    <m/>
    <n v="465.79"/>
  </r>
  <r>
    <s v="269"/>
    <s v="0857"/>
    <s v="金岡雨水貯留管関連管理棟"/>
    <s v="上下水道局"/>
    <x v="37"/>
    <x v="37"/>
    <s v="G562200"/>
    <s v="伊丹市御願塚6丁目1番2号"/>
    <s v="行政財産"/>
    <s v="11公営企業施設"/>
    <s v="02上下水道施設"/>
    <s v="下水道法,伊丹市下水道条例"/>
    <s v="2001"/>
    <s v="2001"/>
    <n v="262.61"/>
    <n v="133"/>
    <m/>
    <s v="○"/>
    <s v="○"/>
    <s v="14鈴原小"/>
    <s v="単独"/>
    <s v="―"/>
    <s v="―"/>
    <s v="―"/>
    <s v="―"/>
    <s v="―"/>
    <s v="―"/>
    <s v="―"/>
    <m/>
    <m/>
    <m/>
    <s v="市有"/>
    <m/>
    <s v="金岡雨水幹線（排水面積470ヘクタール）が溢れるのを防止することを目的に設置された貯留管を管理する施設。"/>
    <s v="―"/>
    <s v="―"/>
    <s v="―"/>
    <s v="―"/>
    <s v="―"/>
    <s v="―"/>
    <s v="―"/>
    <s v="第2種低層住居専用"/>
    <s v="50"/>
    <s v="100"/>
    <m/>
    <s v="１種"/>
    <m/>
    <m/>
    <s v="直営"/>
    <m/>
    <m/>
    <m/>
    <m/>
    <m/>
    <m/>
    <m/>
    <m/>
    <n v="0"/>
    <n v="0"/>
    <n v="0"/>
    <n v="0"/>
    <n v="0"/>
    <m/>
    <m/>
    <m/>
    <m/>
    <x v="1"/>
    <m/>
    <n v="133"/>
  </r>
  <r>
    <s v="270"/>
    <s v="0872"/>
    <s v="天神川雨水ポンプ場"/>
    <s v="上下水道局"/>
    <x v="37"/>
    <x v="37"/>
    <s v="G562200"/>
    <s v="伊丹市池尻4丁目18"/>
    <s v="行政財産"/>
    <s v="11公営企業施設"/>
    <s v="02上下水道施設"/>
    <s v="下水道法,伊丹市下水道条例"/>
    <s v="2000"/>
    <s v="2000"/>
    <n v="448"/>
    <n v="148"/>
    <m/>
    <s v="○"/>
    <s v="○"/>
    <s v="16池尻小"/>
    <s v="単独"/>
    <s v="―"/>
    <s v="―"/>
    <s v="―"/>
    <s v="―"/>
    <s v="―"/>
    <s v="―"/>
    <s v="―"/>
    <m/>
    <m/>
    <m/>
    <s v="市有"/>
    <m/>
    <s v="池尻・寺本地区における雨水を排除し、浸水被害の軽減・解消を図ることを目的として設置。"/>
    <s v="―"/>
    <s v="―"/>
    <s v="―"/>
    <s v="―"/>
    <s v="―"/>
    <s v="―"/>
    <s v="―"/>
    <s v="第1種中高層住居専用"/>
    <s v="60"/>
    <s v="200"/>
    <m/>
    <s v="３種"/>
    <m/>
    <m/>
    <s v="直営"/>
    <m/>
    <m/>
    <m/>
    <m/>
    <m/>
    <m/>
    <m/>
    <m/>
    <n v="0"/>
    <n v="0"/>
    <n v="0"/>
    <n v="0"/>
    <n v="0"/>
    <m/>
    <m/>
    <m/>
    <m/>
    <x v="1"/>
    <m/>
    <n v="148"/>
  </r>
  <r>
    <s v="271"/>
    <s v="0874"/>
    <s v="西野雨水ポンプ場"/>
    <s v="上下水道局"/>
    <x v="37"/>
    <x v="37"/>
    <s v="G562200"/>
    <s v="伊丹市西野1丁目305-2番"/>
    <s v="行政財産"/>
    <s v="11公営企業施設"/>
    <s v="02上下水道施設"/>
    <s v="下水道法,伊丹市下水道条例"/>
    <s v="1997"/>
    <s v="1997"/>
    <n v="7150"/>
    <n v="446"/>
    <m/>
    <s v="○"/>
    <s v="○"/>
    <s v="06桜台小"/>
    <s v="単独"/>
    <s v="―"/>
    <s v="―"/>
    <s v="―"/>
    <s v="―"/>
    <s v="―"/>
    <s v="―"/>
    <s v="―"/>
    <m/>
    <m/>
    <m/>
    <s v="市有"/>
    <m/>
    <s v="西野地区における雨水を排除し浸水被害の軽減・解消を図ることを目的として設置。"/>
    <s v="―"/>
    <s v="―"/>
    <s v="―"/>
    <s v="―"/>
    <s v="―"/>
    <s v="―"/>
    <s v="―"/>
    <s v="準工業"/>
    <s v="60"/>
    <s v="200"/>
    <m/>
    <m/>
    <m/>
    <m/>
    <s v="直営"/>
    <m/>
    <m/>
    <m/>
    <m/>
    <m/>
    <m/>
    <m/>
    <m/>
    <n v="0"/>
    <n v="0"/>
    <n v="0"/>
    <n v="0"/>
    <n v="0"/>
    <m/>
    <m/>
    <m/>
    <m/>
    <x v="1"/>
    <m/>
    <n v="446"/>
  </r>
  <r>
    <s v="272"/>
    <s v="0875"/>
    <s v="中野東雨水ポンプ場"/>
    <s v="上下水道局"/>
    <x v="37"/>
    <x v="37"/>
    <s v="G562200"/>
    <s v="伊丹市中野東1丁目47-5"/>
    <s v="行政財産"/>
    <s v="11公営企業施設"/>
    <s v="02上下水道施設"/>
    <s v="下水道法,伊丹市下水道条例"/>
    <s v="1997"/>
    <s v="1997"/>
    <n v="500"/>
    <n v="215"/>
    <m/>
    <s v="○"/>
    <s v="○"/>
    <s v="17鴻池小"/>
    <s v="単独"/>
    <s v="―"/>
    <s v="―"/>
    <s v="―"/>
    <s v="―"/>
    <s v="―"/>
    <s v="―"/>
    <s v="―"/>
    <m/>
    <m/>
    <m/>
    <s v="市有"/>
    <m/>
    <s v="中野東地区における雨水を排除し浸水被害の軽減・解消を図ることを目的として設置。"/>
    <s v="―"/>
    <s v="―"/>
    <s v="―"/>
    <s v="―"/>
    <s v="―"/>
    <s v="―"/>
    <s v="―"/>
    <s v="第1種中高層住居専用"/>
    <s v="60"/>
    <s v="200"/>
    <m/>
    <s v="２種"/>
    <m/>
    <m/>
    <s v="直営"/>
    <m/>
    <m/>
    <m/>
    <m/>
    <m/>
    <m/>
    <m/>
    <m/>
    <n v="0"/>
    <n v="0"/>
    <n v="0"/>
    <n v="0"/>
    <n v="0"/>
    <m/>
    <m/>
    <m/>
    <m/>
    <x v="1"/>
    <m/>
    <n v="215"/>
  </r>
  <r>
    <s v="273"/>
    <s v="0869"/>
    <s v="三平雨水ポンプ場"/>
    <s v="上下水道局"/>
    <x v="37"/>
    <x v="37"/>
    <s v="G562200"/>
    <s v="伊丹市東有岡5丁目47-10"/>
    <s v="行政財産"/>
    <s v="11公営企業施設"/>
    <s v="02上下水道施設"/>
    <s v="下水道法,伊丹市下水道条例"/>
    <s v="2005"/>
    <s v="2005"/>
    <n v="898.72"/>
    <n v="364"/>
    <m/>
    <s v="○"/>
    <s v="○"/>
    <s v="10有岡小"/>
    <s v="単独"/>
    <s v="―"/>
    <s v="―"/>
    <s v="―"/>
    <s v="―"/>
    <s v="―"/>
    <s v="―"/>
    <s v="―"/>
    <m/>
    <m/>
    <m/>
    <s v="市有"/>
    <m/>
    <s v="東有岡地区における雨水を排除し浸水被害の軽減・解消を図ることを目的として設置。"/>
    <s v="―"/>
    <s v="―"/>
    <s v="―"/>
    <s v="―"/>
    <s v="―"/>
    <s v="―"/>
    <s v="―"/>
    <s v="工業"/>
    <s v="60"/>
    <s v="200"/>
    <m/>
    <m/>
    <m/>
    <m/>
    <s v="直営"/>
    <m/>
    <m/>
    <m/>
    <m/>
    <m/>
    <m/>
    <m/>
    <m/>
    <n v="0"/>
    <n v="0"/>
    <n v="0"/>
    <n v="0"/>
    <n v="0"/>
    <m/>
    <m/>
    <m/>
    <m/>
    <x v="1"/>
    <m/>
    <n v="364"/>
  </r>
  <r>
    <s v="274"/>
    <s v="0871"/>
    <s v="渕雨水ポンプ場"/>
    <s v="上下水道局"/>
    <x v="37"/>
    <x v="37"/>
    <s v="G562200"/>
    <s v="伊丹市森本1丁目98-8"/>
    <s v="行政財産"/>
    <s v="11公営企業施設"/>
    <s v="02上下水道施設"/>
    <s v="下水道法,伊丹市下水道条例"/>
    <s v="2006"/>
    <s v="2006"/>
    <n v="2815.57"/>
    <n v="915"/>
    <m/>
    <s v="○"/>
    <s v="○"/>
    <s v="04神津小"/>
    <s v="単独"/>
    <s v="―"/>
    <s v="―"/>
    <s v="―"/>
    <s v="―"/>
    <s v="―"/>
    <s v="―"/>
    <s v="―"/>
    <m/>
    <m/>
    <m/>
    <s v="市有"/>
    <m/>
    <s v="神津地区（桑津・森本・口酒井 約80ヘクタール）における雨水を排除し浸水被害の軽減・解消を図ることを目的として設置。"/>
    <s v="―"/>
    <s v="―"/>
    <s v="―"/>
    <s v="―"/>
    <s v="―"/>
    <s v="―"/>
    <s v="―"/>
    <s v="工業"/>
    <s v="60"/>
    <s v="200"/>
    <m/>
    <m/>
    <m/>
    <m/>
    <s v="直営"/>
    <m/>
    <m/>
    <m/>
    <m/>
    <m/>
    <m/>
    <m/>
    <m/>
    <n v="0"/>
    <n v="0"/>
    <n v="0"/>
    <n v="0"/>
    <n v="0"/>
    <m/>
    <m/>
    <m/>
    <m/>
    <x v="1"/>
    <m/>
    <n v="915"/>
  </r>
  <r>
    <s v="275"/>
    <s v="0876"/>
    <s v="鶴田雨水ポンプ場"/>
    <s v="上下水道局"/>
    <x v="37"/>
    <x v="37"/>
    <s v="G562200"/>
    <s v="伊丹市岩屋2丁目3番24号"/>
    <s v="行政財産"/>
    <s v="11公営企業施設"/>
    <s v="02上下水道施設"/>
    <s v="下水道法,伊丹市下水道条例"/>
    <s v="1983"/>
    <s v="1983"/>
    <n v="1493"/>
    <n v="340"/>
    <m/>
    <s v="○"/>
    <s v="○"/>
    <s v="04神津小"/>
    <s v="単独"/>
    <s v="―"/>
    <s v="―"/>
    <s v="―"/>
    <s v="―"/>
    <s v="―"/>
    <s v="―"/>
    <s v="―"/>
    <m/>
    <m/>
    <m/>
    <s v="市有"/>
    <m/>
    <s v="岩屋地区における雨水を排除し浸水被害の軽減・解消を図ることを目的として設置。"/>
    <s v="―"/>
    <s v="―"/>
    <s v="―"/>
    <s v="―"/>
    <s v="―"/>
    <s v="―"/>
    <s v="―"/>
    <s v="準工業"/>
    <s v="60"/>
    <s v="200"/>
    <m/>
    <m/>
    <m/>
    <m/>
    <s v="直営"/>
    <m/>
    <m/>
    <m/>
    <m/>
    <m/>
    <m/>
    <m/>
    <m/>
    <n v="0"/>
    <n v="0"/>
    <n v="0"/>
    <n v="0"/>
    <n v="0"/>
    <m/>
    <m/>
    <m/>
    <m/>
    <x v="1"/>
    <m/>
    <n v="340"/>
  </r>
  <r>
    <s v="276"/>
    <s v="0873"/>
    <s v="北河原雨水ポンプ場"/>
    <s v="上下水道局"/>
    <x v="37"/>
    <x v="37"/>
    <s v="G562200"/>
    <s v="伊丹市北本町1丁目207番地"/>
    <s v="行政財産"/>
    <s v="11公営企業施設"/>
    <s v="02上下水道施設"/>
    <s v="下水道法,伊丹市下水道条例"/>
    <s v="2008"/>
    <s v="2008"/>
    <n v="505.62"/>
    <n v="92"/>
    <m/>
    <s v="○"/>
    <s v="○"/>
    <s v="01伊丹小"/>
    <s v="単独"/>
    <s v="―"/>
    <s v="―"/>
    <s v="―"/>
    <s v="―"/>
    <s v="―"/>
    <s v="―"/>
    <s v="―"/>
    <m/>
    <m/>
    <m/>
    <s v="市有"/>
    <m/>
    <s v="北河原地区における雨水を排除し浸水被害の軽減・解消を図ることを目的として設置。"/>
    <s v="―"/>
    <s v="―"/>
    <s v="―"/>
    <s v="―"/>
    <s v="―"/>
    <s v="―"/>
    <s v="―"/>
    <s v="準工業"/>
    <s v="60"/>
    <s v="200"/>
    <m/>
    <m/>
    <m/>
    <m/>
    <s v="直営"/>
    <m/>
    <m/>
    <m/>
    <m/>
    <m/>
    <m/>
    <m/>
    <m/>
    <n v="0"/>
    <n v="0"/>
    <n v="0"/>
    <n v="0"/>
    <n v="0"/>
    <m/>
    <m/>
    <m/>
    <m/>
    <x v="1"/>
    <m/>
    <n v="92"/>
  </r>
  <r>
    <s v="277"/>
    <s v="9801"/>
    <s v="交通局"/>
    <s v="交通局"/>
    <x v="38"/>
    <x v="38"/>
    <s v="G550000"/>
    <s v="伊丹市広畑3丁目1"/>
    <s v="行政財産"/>
    <s v="11公営企業施設"/>
    <s v="03交通施設"/>
    <s v="伊丹市自動車運送事業の設置に関する条例"/>
    <s v="1967"/>
    <s v="1967"/>
    <n v="13000"/>
    <n v="1145"/>
    <m/>
    <s v="○"/>
    <s v="○"/>
    <s v="09瑞穂小"/>
    <s v="単独"/>
    <s v="―"/>
    <s v="―"/>
    <s v="―"/>
    <s v="―"/>
    <s v="―"/>
    <s v="―"/>
    <s v="―"/>
    <m/>
    <s v="市有"/>
    <m/>
    <s v="市有"/>
    <m/>
    <s v="一般乗合旅客自動車運送事業"/>
    <s v="―"/>
    <s v="―"/>
    <s v="―"/>
    <s v="―"/>
    <s v="―"/>
    <s v="―"/>
    <s v="―"/>
    <s v="第2種住居"/>
    <s v="60"/>
    <s v="200"/>
    <m/>
    <s v="３種"/>
    <m/>
    <m/>
    <s v="直営"/>
    <m/>
    <m/>
    <m/>
    <m/>
    <s v="5：00～23：35"/>
    <s v="無し"/>
    <s v="本庁舎、整備棟、待機公舎（4階のうち１階部のみ）"/>
    <n v="0"/>
    <n v="0"/>
    <n v="0"/>
    <n v="0"/>
    <n v="0"/>
    <n v="0"/>
    <m/>
    <m/>
    <m/>
    <m/>
    <x v="1"/>
    <m/>
    <n v="1145"/>
  </r>
  <r>
    <s v="279"/>
    <s v="1076"/>
    <s v="埋蔵文化財口酒井整理事務所"/>
    <s v="教育委員会"/>
    <x v="11"/>
    <x v="11"/>
    <s v="G600302"/>
    <s v="伊丹市口酒井2丁目-150"/>
    <s v="行政財産"/>
    <s v="03文化・社会教育系施設"/>
    <s v="02展覧施設"/>
    <m/>
    <s v="2000"/>
    <s v="2000"/>
    <n v="2368.98"/>
    <n v="341.28"/>
    <m/>
    <s v="○"/>
    <s v="○"/>
    <s v="04神津小"/>
    <s v="単独"/>
    <s v="―"/>
    <s v="―"/>
    <s v="―"/>
    <s v="―"/>
    <s v="―"/>
    <s v="―"/>
    <s v="―"/>
    <m/>
    <s v="市有"/>
    <m/>
    <s v="市有"/>
    <m/>
    <m/>
    <s v="―"/>
    <s v="―"/>
    <s v="―"/>
    <s v="―"/>
    <s v="―"/>
    <s v="―"/>
    <s v="―"/>
    <s v="準工業"/>
    <s v="60"/>
    <s v="200"/>
    <s v="大規模集客施設立地規制"/>
    <m/>
    <m/>
    <m/>
    <s v="直営"/>
    <m/>
    <m/>
    <m/>
    <m/>
    <m/>
    <m/>
    <m/>
    <m/>
    <s v=""/>
    <s v=""/>
    <s v=""/>
    <s v=""/>
    <s v=""/>
    <m/>
    <m/>
    <m/>
    <m/>
    <x v="1"/>
    <m/>
    <n v="0"/>
  </r>
</pivotCacheRecords>
</file>

<file path=xl/pivotCache/pivotCacheRecords2.xml><?xml version="1.0" encoding="utf-8"?>
<pivotCacheRecords xmlns="http://schemas.openxmlformats.org/spreadsheetml/2006/main" xmlns:r="http://schemas.openxmlformats.org/officeDocument/2006/relationships" count="811">
  <r>
    <s v="001"/>
    <s v="0282"/>
    <s v="市役所本庁舎"/>
    <x v="0"/>
    <s v="01"/>
    <s v="本庁舎"/>
    <x v="0"/>
    <n v="7"/>
    <x v="0"/>
    <n v="4208"/>
    <n v="20982.13"/>
    <n v="20982.13"/>
    <s v="単独"/>
    <s v="SRC"/>
    <n v="7"/>
    <n v="2"/>
    <s v="旧"/>
    <s v="済"/>
    <x v="0"/>
    <m/>
    <m/>
    <m/>
    <n v="50"/>
    <s v="C"/>
    <s v="A"/>
    <s v="A"/>
    <s v="-"/>
    <s v="A"/>
    <s v="A"/>
    <s v="D"/>
    <s v="-"/>
    <s v="-"/>
    <s v="B"/>
    <n v="45.555555555555557"/>
    <x v="0"/>
    <x v="0"/>
    <m/>
    <m/>
    <s v="公財台帳・固資台帳"/>
    <s v="060"/>
    <s v="G021200"/>
    <x v="0"/>
    <x v="0"/>
  </r>
  <r>
    <s v="001"/>
    <s v="0282"/>
    <s v="市役所本庁舎"/>
    <x v="0"/>
    <s v="02"/>
    <s v="東館（防災ｾﾝﾀｰ）"/>
    <x v="1"/>
    <n v="3"/>
    <x v="1"/>
    <n v="868"/>
    <n v="2359.34"/>
    <n v="2359.34"/>
    <s v="単独"/>
    <s v="RC"/>
    <n v="4"/>
    <n v="0"/>
    <s v="旧"/>
    <s v="-"/>
    <x v="1"/>
    <m/>
    <n v="2012"/>
    <n v="2012"/>
    <n v="50"/>
    <s v="C"/>
    <s v="A"/>
    <s v="A"/>
    <s v="-"/>
    <s v="A"/>
    <s v="D"/>
    <s v="A"/>
    <s v="-"/>
    <s v="-"/>
    <s v="B"/>
    <n v="47.777777777777771"/>
    <x v="0"/>
    <x v="0"/>
    <m/>
    <m/>
    <s v="公財台帳・固資台帳"/>
    <s v="060"/>
    <s v="G021200"/>
    <x v="0"/>
    <x v="0"/>
  </r>
  <r>
    <s v="001"/>
    <s v="0282"/>
    <s v="市役所本庁舎"/>
    <x v="0"/>
    <s v="03"/>
    <s v="駐車場"/>
    <x v="2"/>
    <n v="9"/>
    <x v="2"/>
    <m/>
    <n v="2206.12"/>
    <n v="2206.12"/>
    <s v="単独"/>
    <s v="RC"/>
    <m/>
    <m/>
    <s v="新"/>
    <s v="-"/>
    <x v="1"/>
    <m/>
    <m/>
    <m/>
    <n v="38"/>
    <s v="-"/>
    <s v="-"/>
    <s v="-"/>
    <s v="-"/>
    <s v="-"/>
    <s v="-"/>
    <s v="-"/>
    <s v="-"/>
    <s v="-"/>
    <s v="-"/>
    <s v="-"/>
    <x v="1"/>
    <x v="0"/>
    <m/>
    <m/>
    <s v="公財台帳・固資台帳"/>
    <s v="060"/>
    <s v="G021200"/>
    <x v="0"/>
    <x v="0"/>
  </r>
  <r>
    <s v="002"/>
    <s v="0001"/>
    <s v="神津支所"/>
    <x v="1"/>
    <s v="01"/>
    <s v="神津交流センター"/>
    <x v="3"/>
    <n v="5"/>
    <x v="3"/>
    <n v="596"/>
    <n v="1051.8499999999999"/>
    <n v="84.1"/>
    <s v="複合"/>
    <s v="RC"/>
    <n v="2"/>
    <n v="0"/>
    <s v="新"/>
    <s v="-"/>
    <x v="1"/>
    <m/>
    <m/>
    <m/>
    <n v="50"/>
    <s v="A"/>
    <s v="A"/>
    <s v="A"/>
    <s v="-"/>
    <s v="A"/>
    <s v="A"/>
    <s v="A"/>
    <s v="A"/>
    <s v="A"/>
    <s v="A"/>
    <n v="3.6363636363636376"/>
    <x v="0"/>
    <x v="0"/>
    <m/>
    <m/>
    <s v="公財台帳・固資台帳"/>
    <s v="183"/>
    <s v="G041400"/>
    <x v="0"/>
    <x v="0"/>
  </r>
  <r>
    <s v="003"/>
    <s v="0002"/>
    <s v="北支所"/>
    <x v="1"/>
    <s v="01"/>
    <s v="北部学習ｾﾝﾀｰ"/>
    <x v="4"/>
    <n v="2"/>
    <x v="4"/>
    <n v="1421.37"/>
    <n v="3673.89"/>
    <n v="13"/>
    <s v="複合"/>
    <s v="RC"/>
    <n v="3"/>
    <n v="1"/>
    <s v="新"/>
    <s v="-"/>
    <x v="1"/>
    <m/>
    <m/>
    <m/>
    <n v="50"/>
    <s v="A"/>
    <s v="B"/>
    <s v="A"/>
    <s v="-"/>
    <s v="C"/>
    <s v="B"/>
    <s v="B"/>
    <s v="-"/>
    <s v="-"/>
    <s v="B"/>
    <n v="32.499999999999993"/>
    <x v="0"/>
    <x v="0"/>
    <m/>
    <m/>
    <s v="原課報告"/>
    <s v="183"/>
    <s v="G041400"/>
    <x v="0"/>
    <x v="0"/>
  </r>
  <r>
    <s v="004"/>
    <s v="0003"/>
    <s v="西分室"/>
    <x v="1"/>
    <s v="01"/>
    <s v="ｲｵﾝ伊丹昆陽"/>
    <x v="5"/>
    <m/>
    <x v="5"/>
    <m/>
    <n v="48.5"/>
    <n v="48.5"/>
    <s v="複合"/>
    <s v="-"/>
    <s v="-"/>
    <s v="-"/>
    <m/>
    <s v="-"/>
    <x v="1"/>
    <m/>
    <m/>
    <m/>
    <m/>
    <s v="-"/>
    <s v="-"/>
    <s v="-"/>
    <s v="-"/>
    <s v="-"/>
    <s v="-"/>
    <s v="-"/>
    <s v="-"/>
    <s v="-"/>
    <s v="-"/>
    <s v="-"/>
    <x v="2"/>
    <x v="0"/>
    <m/>
    <m/>
    <s v="原課報告"/>
    <s v="183"/>
    <s v="G041400"/>
    <x v="0"/>
    <x v="0"/>
  </r>
  <r>
    <s v="005"/>
    <s v="0004"/>
    <s v="南分室"/>
    <x v="1"/>
    <s v="01"/>
    <s v="南ｾﾝﾀｰ"/>
    <x v="6"/>
    <n v="3"/>
    <x v="6"/>
    <n v="322.27999999999997"/>
    <n v="570.86"/>
    <n v="21"/>
    <s v="複合"/>
    <s v="RC"/>
    <n v="2"/>
    <n v="0"/>
    <s v="旧"/>
    <m/>
    <x v="2"/>
    <m/>
    <m/>
    <m/>
    <n v="50"/>
    <s v="C"/>
    <s v="C"/>
    <s v="D"/>
    <s v="-"/>
    <s v="D"/>
    <s v="D"/>
    <s v="D"/>
    <s v="-"/>
    <s v="-"/>
    <s v="D"/>
    <n v="86.060606060606062"/>
    <x v="0"/>
    <x v="0"/>
    <m/>
    <m/>
    <s v="原課報告"/>
    <s v="183"/>
    <s v="G041400"/>
    <x v="0"/>
    <x v="0"/>
  </r>
  <r>
    <s v="006"/>
    <s v="0005"/>
    <s v="野間分室"/>
    <x v="1"/>
    <s v="01"/>
    <s v="野間笠松ｾﾝﾀｰ"/>
    <x v="7"/>
    <n v="8"/>
    <x v="7"/>
    <n v="189.84"/>
    <n v="310.83"/>
    <n v="29"/>
    <s v="複合"/>
    <s v="RC"/>
    <n v="2"/>
    <n v="0"/>
    <s v="旧"/>
    <m/>
    <x v="2"/>
    <m/>
    <m/>
    <m/>
    <n v="50"/>
    <s v="C"/>
    <s v="B"/>
    <s v="A"/>
    <s v="-"/>
    <s v="D"/>
    <s v="D"/>
    <s v="C"/>
    <s v="-"/>
    <s v="-"/>
    <s v="C"/>
    <n v="63.428571428571431"/>
    <x v="0"/>
    <x v="0"/>
    <m/>
    <m/>
    <s v="原課報告"/>
    <s v="183"/>
    <s v="G041400"/>
    <x v="0"/>
    <x v="0"/>
  </r>
  <r>
    <s v="007"/>
    <s v="0403"/>
    <s v="消費生活センター"/>
    <x v="2"/>
    <s v="01"/>
    <s v="伊丹商工ﾌﾟﾗｻﾞ"/>
    <x v="8"/>
    <m/>
    <x v="8"/>
    <n v="730"/>
    <n v="4091"/>
    <n v="321.58"/>
    <s v="複合"/>
    <s v="RC"/>
    <n v="6"/>
    <n v="1"/>
    <s v="新"/>
    <s v="-"/>
    <x v="1"/>
    <m/>
    <m/>
    <m/>
    <n v="50"/>
    <s v="A"/>
    <s v="B"/>
    <s v="A"/>
    <s v="-"/>
    <s v="C"/>
    <s v="B"/>
    <s v="B"/>
    <s v="-"/>
    <s v="-"/>
    <s v="B"/>
    <n v="40"/>
    <x v="0"/>
    <x v="0"/>
    <m/>
    <m/>
    <s v="公財台帳・固資台帳"/>
    <s v="180"/>
    <s v="G041300"/>
    <x v="0"/>
    <x v="1"/>
  </r>
  <r>
    <s v="008"/>
    <s v="0414"/>
    <s v="保健センター"/>
    <x v="3"/>
    <s v="01"/>
    <s v="保健ｾﾝﾀｰ"/>
    <x v="9"/>
    <n v="3"/>
    <x v="9"/>
    <n v="593.41"/>
    <n v="2330"/>
    <n v="1496.14"/>
    <s v="複合"/>
    <s v="RC"/>
    <n v="3"/>
    <n v="0"/>
    <s v="旧"/>
    <m/>
    <x v="2"/>
    <m/>
    <m/>
    <m/>
    <n v="50"/>
    <s v="B"/>
    <s v="B"/>
    <s v="D"/>
    <s v="-"/>
    <s v="A"/>
    <s v="A"/>
    <s v="A"/>
    <s v="-"/>
    <s v="-"/>
    <s v="B"/>
    <n v="35.55555555555555"/>
    <x v="0"/>
    <x v="0"/>
    <m/>
    <m/>
    <s v="公財台帳・固資台帳"/>
    <s v="325"/>
    <s v="G053100"/>
    <x v="0"/>
    <x v="1"/>
  </r>
  <r>
    <s v="009"/>
    <s v="0331"/>
    <s v="女性・児童センター"/>
    <x v="4"/>
    <s v="01"/>
    <s v="働く女性の家"/>
    <x v="0"/>
    <n v="3"/>
    <x v="0"/>
    <n v="365.13"/>
    <n v="632.9"/>
    <n v="632.9"/>
    <s v="単独"/>
    <s v="RC"/>
    <n v="2"/>
    <n v="0"/>
    <s v="旧"/>
    <m/>
    <x v="2"/>
    <m/>
    <m/>
    <m/>
    <n v="50"/>
    <s v="C"/>
    <s v="C"/>
    <s v="D"/>
    <s v="-"/>
    <s v="D"/>
    <s v="D"/>
    <s v="D"/>
    <s v="-"/>
    <s v="-"/>
    <s v="D"/>
    <n v="87.27272727272728"/>
    <x v="0"/>
    <x v="0"/>
    <m/>
    <m/>
    <s v="公財台帳・固資台帳"/>
    <s v="210"/>
    <s v="G043100"/>
    <x v="0"/>
    <x v="1"/>
  </r>
  <r>
    <s v="009"/>
    <s v="0331"/>
    <s v="女性・児童センター"/>
    <x v="4"/>
    <s v="02"/>
    <s v="児童会館"/>
    <x v="10"/>
    <n v="5"/>
    <x v="10"/>
    <n v="366.06"/>
    <n v="335.35"/>
    <n v="335.35"/>
    <s v="単独"/>
    <s v="RC"/>
    <n v="1"/>
    <n v="0"/>
    <s v="旧"/>
    <m/>
    <x v="2"/>
    <m/>
    <m/>
    <m/>
    <n v="50"/>
    <s v="C"/>
    <s v="C"/>
    <s v="D"/>
    <s v="-"/>
    <s v="D"/>
    <s v="D"/>
    <s v="D"/>
    <s v="-"/>
    <s v="-"/>
    <s v="D"/>
    <n v="88.484848484848484"/>
    <x v="0"/>
    <x v="0"/>
    <m/>
    <m/>
    <s v="公財台帳・固資台帳"/>
    <s v="210"/>
    <s v="G043100"/>
    <x v="0"/>
    <x v="1"/>
  </r>
  <r>
    <s v="009"/>
    <s v="0331"/>
    <s v="女性・児童センター"/>
    <x v="4"/>
    <s v="03"/>
    <s v="女性交流ｻﾛﾝ"/>
    <x v="11"/>
    <n v="4"/>
    <x v="11"/>
    <n v="227.48"/>
    <n v="224.05"/>
    <n v="224.05"/>
    <s v="単独"/>
    <s v="RC"/>
    <n v="1"/>
    <n v="0"/>
    <s v="新"/>
    <s v="-"/>
    <x v="1"/>
    <m/>
    <m/>
    <m/>
    <n v="50"/>
    <s v="B"/>
    <s v="C"/>
    <s v="D"/>
    <s v="-"/>
    <s v="D"/>
    <s v="D"/>
    <s v="D"/>
    <s v="-"/>
    <s v="-"/>
    <s v="D"/>
    <n v="81.212121212121218"/>
    <x v="0"/>
    <x v="0"/>
    <m/>
    <m/>
    <s v="公財台帳・固資台帳"/>
    <s v="210"/>
    <s v="G043100"/>
    <x v="0"/>
    <x v="1"/>
  </r>
  <r>
    <s v="009"/>
    <s v="0331"/>
    <s v="女性・児童センター"/>
    <x v="4"/>
    <s v="04"/>
    <s v="ﾌﾟｰﾙ付属・機械室"/>
    <x v="10"/>
    <n v="5"/>
    <x v="10"/>
    <n v="148.5"/>
    <n v="96.15"/>
    <n v="96.15"/>
    <s v="単独"/>
    <s v="RC"/>
    <n v="1"/>
    <n v="0"/>
    <s v="旧"/>
    <m/>
    <x v="2"/>
    <m/>
    <m/>
    <m/>
    <n v="47"/>
    <s v="-"/>
    <s v="-"/>
    <s v="-"/>
    <s v="-"/>
    <s v="-"/>
    <s v="-"/>
    <s v="-"/>
    <s v="-"/>
    <s v="-"/>
    <s v="D"/>
    <n v="88.484848484848484"/>
    <x v="0"/>
    <x v="0"/>
    <m/>
    <m/>
    <s v="公財台帳・固資台帳"/>
    <s v="210"/>
    <s v="G043100"/>
    <x v="0"/>
    <x v="1"/>
  </r>
  <r>
    <s v="010"/>
    <s v="0338"/>
    <s v="人権啓発センター(人権センター・児童館)"/>
    <x v="5"/>
    <s v="01"/>
    <s v="人権啓発ｾﾝﾀｰ"/>
    <x v="12"/>
    <n v="7"/>
    <x v="12"/>
    <n v="787.78"/>
    <n v="1636.92"/>
    <n v="1636.92"/>
    <s v="単独"/>
    <s v="RC"/>
    <n v="3"/>
    <n v="0"/>
    <s v="旧"/>
    <s v="済"/>
    <x v="1"/>
    <m/>
    <n v="2009"/>
    <n v="2013"/>
    <n v="50"/>
    <s v="C"/>
    <s v="A"/>
    <s v="A"/>
    <s v="-"/>
    <s v="A"/>
    <s v="A"/>
    <s v="C"/>
    <s v="-"/>
    <s v="-"/>
    <s v="B"/>
    <n v="47.878787878787875"/>
    <x v="0"/>
    <x v="0"/>
    <m/>
    <m/>
    <s v="公財台帳・固資台帳"/>
    <s v="220"/>
    <s v="G043300"/>
    <x v="0"/>
    <x v="1"/>
  </r>
  <r>
    <s v="010"/>
    <s v="0338"/>
    <s v="人権啓発センター(人権センター・児童館)"/>
    <x v="5"/>
    <s v="02"/>
    <s v="控室"/>
    <x v="12"/>
    <n v="9"/>
    <x v="12"/>
    <m/>
    <n v="32.590000000000003"/>
    <n v="32.590000000000003"/>
    <s v="単独"/>
    <s v="S"/>
    <m/>
    <m/>
    <m/>
    <m/>
    <x v="3"/>
    <m/>
    <m/>
    <m/>
    <n v="30"/>
    <s v="-"/>
    <s v="-"/>
    <s v="-"/>
    <s v="-"/>
    <s v="-"/>
    <s v="-"/>
    <s v="-"/>
    <s v="-"/>
    <s v="-"/>
    <s v="-"/>
    <s v="-"/>
    <x v="3"/>
    <x v="0"/>
    <m/>
    <m/>
    <s v="公財台帳・固資台帳"/>
    <s v="220"/>
    <s v="G043300"/>
    <x v="0"/>
    <x v="1"/>
  </r>
  <r>
    <s v="010"/>
    <s v="0338"/>
    <s v="人権啓発センター(人権センター・児童館)"/>
    <x v="5"/>
    <s v="03"/>
    <s v="自転車置き場"/>
    <x v="13"/>
    <n v="1"/>
    <x v="13"/>
    <m/>
    <n v="37.5"/>
    <n v="37.5"/>
    <s v="単独"/>
    <s v="S"/>
    <m/>
    <m/>
    <m/>
    <m/>
    <x v="3"/>
    <m/>
    <m/>
    <m/>
    <n v="24"/>
    <s v="-"/>
    <s v="-"/>
    <s v="-"/>
    <s v="-"/>
    <s v="-"/>
    <s v="-"/>
    <s v="-"/>
    <s v="-"/>
    <s v="-"/>
    <s v="-"/>
    <s v="-"/>
    <x v="1"/>
    <x v="0"/>
    <m/>
    <m/>
    <s v="公財台帳・固資台帳"/>
    <s v="220"/>
    <s v="G043300"/>
    <x v="0"/>
    <x v="1"/>
  </r>
  <r>
    <s v="010"/>
    <s v="0338"/>
    <s v="人権啓発センター(人権センター・児童館)"/>
    <x v="5"/>
    <s v="04"/>
    <s v="ガレージ"/>
    <x v="13"/>
    <n v="1"/>
    <x v="13"/>
    <m/>
    <n v="42"/>
    <n v="42"/>
    <s v="単独"/>
    <s v="S"/>
    <m/>
    <m/>
    <m/>
    <m/>
    <x v="3"/>
    <m/>
    <m/>
    <m/>
    <n v="25"/>
    <s v="-"/>
    <s v="-"/>
    <s v="-"/>
    <s v="-"/>
    <s v="-"/>
    <s v="-"/>
    <s v="-"/>
    <s v="-"/>
    <s v="-"/>
    <s v="-"/>
    <s v="-"/>
    <x v="3"/>
    <x v="0"/>
    <m/>
    <m/>
    <s v="公財台帳・固資台帳"/>
    <s v="220"/>
    <s v="G043300"/>
    <x v="0"/>
    <x v="1"/>
  </r>
  <r>
    <s v="011"/>
    <s v="1091"/>
    <s v="総合教育センター"/>
    <x v="6"/>
    <s v="01"/>
    <s v="総合教育ｾﾝﾀｰ"/>
    <x v="14"/>
    <n v="7"/>
    <x v="14"/>
    <n v="681.06"/>
    <n v="3139.92"/>
    <n v="3139.92"/>
    <s v="単独"/>
    <s v="RC"/>
    <n v="6"/>
    <n v="0"/>
    <s v="新"/>
    <s v="-"/>
    <x v="1"/>
    <m/>
    <m/>
    <n v="2014"/>
    <n v="50"/>
    <s v="B"/>
    <s v="C"/>
    <s v="A"/>
    <s v="-"/>
    <s v="D"/>
    <s v="A"/>
    <s v="C"/>
    <s v="-"/>
    <s v="-"/>
    <s v="B"/>
    <n v="43.720930232558139"/>
    <x v="0"/>
    <x v="0"/>
    <m/>
    <m/>
    <s v="公財台帳・固資台帳"/>
    <s v="648"/>
    <s v="G600202"/>
    <x v="0"/>
    <x v="1"/>
  </r>
  <r>
    <s v="011"/>
    <s v="1091"/>
    <s v="総合教育センター"/>
    <x v="6"/>
    <s v="02"/>
    <s v="ポンプ室"/>
    <x v="14"/>
    <n v="7"/>
    <x v="14"/>
    <m/>
    <n v="5.7"/>
    <n v="5.7"/>
    <s v="単独"/>
    <s v="RC"/>
    <m/>
    <m/>
    <m/>
    <m/>
    <x v="3"/>
    <m/>
    <m/>
    <m/>
    <n v="38"/>
    <s v="-"/>
    <s v="-"/>
    <s v="-"/>
    <s v="-"/>
    <s v="-"/>
    <s v="-"/>
    <s v="-"/>
    <s v="-"/>
    <s v="-"/>
    <s v="-"/>
    <s v="-"/>
    <x v="3"/>
    <x v="0"/>
    <m/>
    <m/>
    <s v="公財台帳・固資台帳"/>
    <s v="648"/>
    <s v="G600202"/>
    <x v="0"/>
    <x v="1"/>
  </r>
  <r>
    <s v="012"/>
    <s v="0021"/>
    <s v="市民まちづくりプラザ"/>
    <x v="7"/>
    <s v="01"/>
    <s v="阪急伊丹リータ"/>
    <x v="15"/>
    <m/>
    <x v="15"/>
    <m/>
    <m/>
    <n v="84.77"/>
    <s v="複合"/>
    <m/>
    <m/>
    <m/>
    <s v="新"/>
    <s v="-"/>
    <x v="1"/>
    <m/>
    <m/>
    <m/>
    <m/>
    <s v="-"/>
    <s v="-"/>
    <s v="-"/>
    <s v="-"/>
    <s v="-"/>
    <s v="-"/>
    <s v="-"/>
    <s v="-"/>
    <s v="-"/>
    <s v="-"/>
    <s v="-"/>
    <x v="2"/>
    <x v="0"/>
    <m/>
    <m/>
    <s v="原課報告"/>
    <s v="170"/>
    <s v="G041100"/>
    <x v="0"/>
    <x v="1"/>
  </r>
  <r>
    <s v="013"/>
    <s v="0901"/>
    <s v="消防局・西消防署"/>
    <x v="8"/>
    <s v="01"/>
    <s v="局舎"/>
    <x v="0"/>
    <n v="11"/>
    <x v="0"/>
    <n v="949.13"/>
    <n v="2304.9"/>
    <n v="2304.9"/>
    <s v="単独"/>
    <s v="RC"/>
    <n v="3"/>
    <n v="0"/>
    <s v="旧"/>
    <s v="-"/>
    <x v="1"/>
    <n v="0.9"/>
    <n v="1998"/>
    <n v="2014"/>
    <n v="50"/>
    <s v="C"/>
    <s v="A"/>
    <s v="A"/>
    <s v="A"/>
    <s v="C"/>
    <s v="C"/>
    <s v="B"/>
    <s v="-"/>
    <s v="-"/>
    <s v="B"/>
    <n v="47.179487179487175"/>
    <x v="0"/>
    <x v="0"/>
    <m/>
    <m/>
    <s v="公財台帳・固資台帳"/>
    <s v="748"/>
    <s v="G500101"/>
    <x v="0"/>
    <x v="2"/>
  </r>
  <r>
    <s v="014"/>
    <s v="0902"/>
    <s v="東消防署"/>
    <x v="8"/>
    <s v="01"/>
    <s v="庁舎"/>
    <x v="2"/>
    <n v="3"/>
    <x v="2"/>
    <n v="454.75"/>
    <n v="869.73"/>
    <n v="869.73"/>
    <s v="単独"/>
    <s v="RC"/>
    <n v="2"/>
    <n v="0"/>
    <s v="新"/>
    <s v="-"/>
    <x v="1"/>
    <m/>
    <m/>
    <m/>
    <n v="50"/>
    <s v="B"/>
    <s v="A"/>
    <s v="D"/>
    <s v="-"/>
    <s v="D"/>
    <s v="D"/>
    <s v="A"/>
    <s v="-"/>
    <s v="-"/>
    <s v="C"/>
    <n v="53.939393939393931"/>
    <x v="0"/>
    <x v="0"/>
    <m/>
    <m/>
    <s v="公財台帳・固資台帳"/>
    <s v="748"/>
    <s v="G500101"/>
    <x v="0"/>
    <x v="2"/>
  </r>
  <r>
    <s v="014"/>
    <s v="0902"/>
    <s v="東消防署"/>
    <x v="8"/>
    <s v="02"/>
    <s v="機械室"/>
    <x v="16"/>
    <n v="2"/>
    <x v="16"/>
    <m/>
    <n v="53.86"/>
    <n v="53.86"/>
    <s v="単独"/>
    <s v="RC"/>
    <m/>
    <m/>
    <s v="新"/>
    <s v="-"/>
    <x v="1"/>
    <m/>
    <m/>
    <m/>
    <n v="38"/>
    <s v="-"/>
    <s v="-"/>
    <s v="-"/>
    <s v="-"/>
    <s v="-"/>
    <s v="-"/>
    <s v="-"/>
    <s v="-"/>
    <s v="-"/>
    <s v="-"/>
    <s v="-"/>
    <x v="0"/>
    <x v="0"/>
    <m/>
    <m/>
    <s v="公財台帳・固資台帳"/>
    <s v="748"/>
    <s v="G500101"/>
    <x v="0"/>
    <x v="2"/>
  </r>
  <r>
    <s v="014"/>
    <s v="0902"/>
    <s v="東消防署"/>
    <x v="8"/>
    <s v="03"/>
    <s v="倉庫"/>
    <x v="16"/>
    <n v="2"/>
    <x v="16"/>
    <m/>
    <n v="3.02"/>
    <n v="3.02"/>
    <s v="単独"/>
    <s v="S"/>
    <m/>
    <m/>
    <m/>
    <m/>
    <x v="3"/>
    <m/>
    <m/>
    <m/>
    <n v="15"/>
    <s v="-"/>
    <s v="-"/>
    <s v="-"/>
    <s v="-"/>
    <s v="-"/>
    <s v="-"/>
    <s v="-"/>
    <s v="-"/>
    <s v="-"/>
    <s v="-"/>
    <s v="-"/>
    <x v="3"/>
    <x v="0"/>
    <m/>
    <m/>
    <s v="公財台帳・固資台帳"/>
    <s v="748"/>
    <s v="G500101"/>
    <x v="0"/>
    <x v="2"/>
  </r>
  <r>
    <s v="014"/>
    <s v="0902"/>
    <s v="東消防署"/>
    <x v="8"/>
    <s v="04"/>
    <s v="自転車置場"/>
    <x v="2"/>
    <n v="3"/>
    <x v="2"/>
    <m/>
    <n v="24"/>
    <n v="24"/>
    <s v="単独"/>
    <s v="S"/>
    <m/>
    <m/>
    <m/>
    <m/>
    <x v="3"/>
    <m/>
    <m/>
    <m/>
    <n v="31"/>
    <s v="-"/>
    <s v="-"/>
    <s v="-"/>
    <s v="-"/>
    <s v="-"/>
    <s v="-"/>
    <s v="-"/>
    <s v="-"/>
    <s v="-"/>
    <s v="-"/>
    <s v="-"/>
    <x v="1"/>
    <x v="0"/>
    <m/>
    <m/>
    <s v="公財台帳・固資台帳"/>
    <s v="748"/>
    <s v="G500101"/>
    <x v="0"/>
    <x v="2"/>
  </r>
  <r>
    <s v="015"/>
    <s v="0903"/>
    <s v="神津出張所"/>
    <x v="8"/>
    <s v="01"/>
    <s v="出張所"/>
    <x v="9"/>
    <n v="3"/>
    <x v="9"/>
    <n v="207.88"/>
    <n v="183.18"/>
    <n v="183.18"/>
    <s v="単独"/>
    <s v="RC"/>
    <n v="1"/>
    <n v="0"/>
    <s v="新"/>
    <s v="-"/>
    <x v="1"/>
    <m/>
    <m/>
    <m/>
    <n v="50"/>
    <s v="B"/>
    <s v="D"/>
    <s v="D"/>
    <s v="-"/>
    <s v="D"/>
    <s v="D"/>
    <s v="D"/>
    <s v="-"/>
    <s v="-"/>
    <s v="D"/>
    <n v="80"/>
    <x v="0"/>
    <x v="0"/>
    <m/>
    <m/>
    <s v="公財台帳・固資台帳"/>
    <s v="748"/>
    <s v="G500101"/>
    <x v="0"/>
    <x v="2"/>
  </r>
  <r>
    <s v="015"/>
    <s v="0903"/>
    <s v="神津出張所"/>
    <x v="8"/>
    <s v="02"/>
    <s v="倉庫"/>
    <x v="9"/>
    <n v="3"/>
    <x v="9"/>
    <m/>
    <n v="10"/>
    <n v="10"/>
    <s v="単独"/>
    <s v="CB"/>
    <m/>
    <m/>
    <m/>
    <m/>
    <x v="3"/>
    <m/>
    <m/>
    <m/>
    <n v="34"/>
    <s v="-"/>
    <s v="-"/>
    <s v="-"/>
    <s v="-"/>
    <s v="-"/>
    <s v="-"/>
    <s v="-"/>
    <s v="-"/>
    <s v="-"/>
    <s v="-"/>
    <s v="-"/>
    <x v="3"/>
    <x v="0"/>
    <m/>
    <m/>
    <s v="公財台帳・固資台帳"/>
    <s v="748"/>
    <s v="G500101"/>
    <x v="0"/>
    <x v="2"/>
  </r>
  <r>
    <s v="015"/>
    <s v="0903"/>
    <s v="神津出張所"/>
    <x v="8"/>
    <s v="03"/>
    <s v="自転車置場"/>
    <x v="9"/>
    <n v="3"/>
    <x v="9"/>
    <m/>
    <n v="14.7"/>
    <n v="14.7"/>
    <s v="単独"/>
    <s v="S"/>
    <m/>
    <m/>
    <m/>
    <m/>
    <x v="3"/>
    <m/>
    <m/>
    <m/>
    <n v="24"/>
    <s v="-"/>
    <s v="-"/>
    <s v="-"/>
    <s v="-"/>
    <s v="-"/>
    <s v="-"/>
    <s v="-"/>
    <s v="-"/>
    <s v="-"/>
    <s v="-"/>
    <s v="-"/>
    <x v="1"/>
    <x v="0"/>
    <m/>
    <m/>
    <s v="公財台帳・固資台帳"/>
    <s v="748"/>
    <s v="G500101"/>
    <x v="0"/>
    <x v="2"/>
  </r>
  <r>
    <s v="016"/>
    <s v="0907"/>
    <s v="南野出張所"/>
    <x v="8"/>
    <s v="01"/>
    <s v="出張所"/>
    <x v="9"/>
    <n v="12"/>
    <x v="9"/>
    <n v="180.12"/>
    <n v="178.05"/>
    <n v="178.05"/>
    <s v="単独"/>
    <s v="RC"/>
    <n v="2"/>
    <n v="0"/>
    <s v="新"/>
    <s v="-"/>
    <x v="1"/>
    <m/>
    <m/>
    <m/>
    <n v="50"/>
    <s v="B"/>
    <s v="D"/>
    <s v="D"/>
    <s v="-"/>
    <s v="D"/>
    <s v="D"/>
    <s v="D"/>
    <s v="-"/>
    <s v="-"/>
    <s v="D"/>
    <n v="80"/>
    <x v="0"/>
    <x v="0"/>
    <m/>
    <m/>
    <s v="公財台帳・固資台帳"/>
    <s v="748"/>
    <s v="G500101"/>
    <x v="0"/>
    <x v="2"/>
  </r>
  <r>
    <s v="016"/>
    <s v="0907"/>
    <s v="南野出張所"/>
    <x v="8"/>
    <s v="02"/>
    <s v="自転車置場"/>
    <x v="9"/>
    <n v="12"/>
    <x v="9"/>
    <m/>
    <n v="11.2"/>
    <n v="11.2"/>
    <s v="単独"/>
    <s v="S"/>
    <m/>
    <m/>
    <m/>
    <m/>
    <x v="3"/>
    <m/>
    <m/>
    <m/>
    <n v="38"/>
    <s v="-"/>
    <s v="-"/>
    <s v="-"/>
    <s v="-"/>
    <s v="-"/>
    <s v="-"/>
    <s v="-"/>
    <s v="-"/>
    <s v="-"/>
    <s v="-"/>
    <s v="-"/>
    <x v="1"/>
    <x v="0"/>
    <m/>
    <m/>
    <s v="公財台帳・固資台帳"/>
    <s v="748"/>
    <s v="G500101"/>
    <x v="0"/>
    <x v="2"/>
  </r>
  <r>
    <s v="016"/>
    <s v="0907"/>
    <s v="南野出張所"/>
    <x v="8"/>
    <s v="03"/>
    <s v="出張所増築部"/>
    <x v="17"/>
    <n v="10"/>
    <x v="17"/>
    <m/>
    <n v="112.87"/>
    <n v="112.87"/>
    <s v="単独"/>
    <s v="RC"/>
    <n v="2"/>
    <n v="0"/>
    <s v="新"/>
    <s v="-"/>
    <x v="1"/>
    <m/>
    <m/>
    <m/>
    <n v="38"/>
    <s v="-"/>
    <s v="-"/>
    <s v="-"/>
    <s v="-"/>
    <s v="-"/>
    <s v="-"/>
    <s v="-"/>
    <s v="-"/>
    <s v="-"/>
    <s v="-"/>
    <s v="-"/>
    <x v="0"/>
    <x v="0"/>
    <m/>
    <m/>
    <s v="公財台帳・固資台帳"/>
    <s v="748"/>
    <s v="G500101"/>
    <x v="0"/>
    <x v="2"/>
  </r>
  <r>
    <s v="016"/>
    <s v="0907"/>
    <s v="南野出張所"/>
    <x v="8"/>
    <s v="04"/>
    <s v="自転車置場他"/>
    <x v="17"/>
    <n v="10"/>
    <x v="17"/>
    <m/>
    <n v="5.8"/>
    <n v="5.8"/>
    <s v="単独"/>
    <s v="S"/>
    <m/>
    <m/>
    <m/>
    <m/>
    <x v="3"/>
    <m/>
    <m/>
    <m/>
    <n v="38"/>
    <s v="-"/>
    <s v="-"/>
    <s v="-"/>
    <s v="-"/>
    <s v="-"/>
    <s v="-"/>
    <s v="-"/>
    <s v="-"/>
    <s v="-"/>
    <s v="-"/>
    <s v="-"/>
    <x v="1"/>
    <x v="0"/>
    <m/>
    <m/>
    <s v="公財台帳・固資台帳"/>
    <s v="748"/>
    <s v="G500101"/>
    <x v="0"/>
    <x v="2"/>
  </r>
  <r>
    <s v="017"/>
    <s v="0906"/>
    <s v="池尻出張所"/>
    <x v="8"/>
    <s v="01"/>
    <s v="出張所"/>
    <x v="9"/>
    <n v="3"/>
    <x v="9"/>
    <n v="210.39"/>
    <n v="184.68"/>
    <n v="184.68"/>
    <s v="単独"/>
    <s v="RC"/>
    <n v="1"/>
    <n v="0"/>
    <s v="新"/>
    <s v="-"/>
    <x v="1"/>
    <m/>
    <m/>
    <m/>
    <n v="50"/>
    <s v="B"/>
    <s v="D"/>
    <s v="D"/>
    <s v="-"/>
    <s v="D"/>
    <s v="D"/>
    <s v="D"/>
    <s v="-"/>
    <s v="-"/>
    <s v="D"/>
    <n v="80"/>
    <x v="0"/>
    <x v="0"/>
    <m/>
    <m/>
    <s v="公財台帳・固資台帳"/>
    <s v="748"/>
    <s v="G500101"/>
    <x v="0"/>
    <x v="2"/>
  </r>
  <r>
    <s v="017"/>
    <s v="0906"/>
    <s v="池尻出張所"/>
    <x v="8"/>
    <s v="02"/>
    <s v="倉庫"/>
    <x v="9"/>
    <n v="3"/>
    <x v="9"/>
    <m/>
    <n v="10"/>
    <n v="10"/>
    <s v="単独"/>
    <s v="CB"/>
    <m/>
    <m/>
    <m/>
    <m/>
    <x v="3"/>
    <m/>
    <m/>
    <m/>
    <n v="34"/>
    <s v="-"/>
    <s v="-"/>
    <s v="-"/>
    <s v="-"/>
    <s v="-"/>
    <s v="-"/>
    <s v="-"/>
    <s v="-"/>
    <s v="-"/>
    <s v="-"/>
    <s v="-"/>
    <x v="3"/>
    <x v="0"/>
    <m/>
    <m/>
    <s v="公財台帳・固資台帳"/>
    <s v="748"/>
    <s v="G500101"/>
    <x v="0"/>
    <x v="2"/>
  </r>
  <r>
    <s v="017"/>
    <s v="0906"/>
    <s v="池尻出張所"/>
    <x v="8"/>
    <s v="03"/>
    <s v="自転車置場"/>
    <x v="9"/>
    <n v="3"/>
    <x v="9"/>
    <m/>
    <n v="14.7"/>
    <n v="14.7"/>
    <s v="単独"/>
    <s v="S"/>
    <m/>
    <m/>
    <m/>
    <m/>
    <x v="3"/>
    <m/>
    <m/>
    <m/>
    <n v="24"/>
    <s v="-"/>
    <s v="-"/>
    <s v="-"/>
    <s v="-"/>
    <s v="-"/>
    <s v="-"/>
    <s v="-"/>
    <s v="-"/>
    <s v="-"/>
    <s v="-"/>
    <s v="-"/>
    <x v="1"/>
    <x v="0"/>
    <m/>
    <m/>
    <s v="公財台帳・固資台帳"/>
    <s v="748"/>
    <s v="G500101"/>
    <x v="0"/>
    <x v="2"/>
  </r>
  <r>
    <s v="018"/>
    <s v="0904"/>
    <s v="荒牧出張所"/>
    <x v="8"/>
    <s v="01"/>
    <s v="出張所"/>
    <x v="11"/>
    <n v="3"/>
    <x v="11"/>
    <n v="274.685"/>
    <n v="288.89999999999998"/>
    <n v="288.89999999999998"/>
    <s v="単独"/>
    <s v="RC"/>
    <n v="2"/>
    <n v="0"/>
    <s v="新"/>
    <s v="-"/>
    <x v="1"/>
    <m/>
    <m/>
    <m/>
    <n v="50"/>
    <s v="B"/>
    <s v="D"/>
    <s v="D"/>
    <s v="-"/>
    <s v="D"/>
    <s v="D"/>
    <s v="D"/>
    <s v="-"/>
    <s v="-"/>
    <s v="D"/>
    <n v="78.787878787878782"/>
    <x v="0"/>
    <x v="0"/>
    <m/>
    <m/>
    <s v="公財台帳・固資台帳"/>
    <s v="748"/>
    <s v="G500101"/>
    <x v="0"/>
    <x v="2"/>
  </r>
  <r>
    <s v="018"/>
    <s v="0904"/>
    <s v="荒牧出張所"/>
    <x v="8"/>
    <s v="02"/>
    <s v="倉庫"/>
    <x v="18"/>
    <n v="2"/>
    <x v="18"/>
    <m/>
    <n v="1.69"/>
    <n v="1.69"/>
    <s v="単独"/>
    <s v="S"/>
    <m/>
    <m/>
    <m/>
    <m/>
    <x v="3"/>
    <m/>
    <m/>
    <m/>
    <n v="50"/>
    <s v="-"/>
    <s v="-"/>
    <s v="-"/>
    <s v="-"/>
    <s v="-"/>
    <s v="-"/>
    <s v="-"/>
    <s v="-"/>
    <s v="-"/>
    <s v="-"/>
    <s v="-"/>
    <x v="3"/>
    <x v="0"/>
    <m/>
    <m/>
    <s v="公財台帳・固資台帳"/>
    <s v="748"/>
    <s v="G500101"/>
    <x v="0"/>
    <x v="2"/>
  </r>
  <r>
    <s v="018"/>
    <s v="0904"/>
    <s v="荒牧出張所"/>
    <x v="8"/>
    <s v="03"/>
    <s v="上屋"/>
    <x v="19"/>
    <n v="3"/>
    <x v="19"/>
    <m/>
    <n v="13.4"/>
    <n v="13.4"/>
    <s v="単独"/>
    <s v="S"/>
    <m/>
    <m/>
    <m/>
    <m/>
    <x v="3"/>
    <m/>
    <m/>
    <m/>
    <n v="47"/>
    <s v="-"/>
    <s v="-"/>
    <s v="-"/>
    <s v="-"/>
    <s v="-"/>
    <s v="-"/>
    <s v="-"/>
    <s v="-"/>
    <s v="-"/>
    <s v="-"/>
    <s v="-"/>
    <x v="3"/>
    <x v="0"/>
    <m/>
    <m/>
    <s v="公財台帳・固資台帳"/>
    <s v="748"/>
    <s v="G500101"/>
    <x v="0"/>
    <x v="2"/>
  </r>
  <r>
    <s v="018"/>
    <s v="0904"/>
    <s v="荒牧出張所"/>
    <x v="8"/>
    <s v="04"/>
    <s v="自転車置場"/>
    <x v="11"/>
    <n v="3"/>
    <x v="11"/>
    <m/>
    <n v="19.600000000000001"/>
    <n v="19.600000000000001"/>
    <s v="単独"/>
    <s v="S"/>
    <m/>
    <m/>
    <m/>
    <m/>
    <x v="3"/>
    <m/>
    <m/>
    <m/>
    <n v="38"/>
    <s v="-"/>
    <s v="-"/>
    <s v="-"/>
    <s v="-"/>
    <s v="-"/>
    <s v="-"/>
    <s v="-"/>
    <s v="-"/>
    <s v="-"/>
    <s v="-"/>
    <s v="-"/>
    <x v="1"/>
    <x v="0"/>
    <m/>
    <m/>
    <s v="公財台帳・固資台帳"/>
    <s v="748"/>
    <s v="G500101"/>
    <x v="0"/>
    <x v="2"/>
  </r>
  <r>
    <s v="018"/>
    <s v="0904"/>
    <s v="荒牧出張所"/>
    <x v="8"/>
    <s v="05"/>
    <s v="出張所増築部"/>
    <x v="18"/>
    <n v="1"/>
    <x v="18"/>
    <m/>
    <n v="20.48"/>
    <n v="20.48"/>
    <s v="単独"/>
    <s v="RC"/>
    <n v="2"/>
    <n v="0"/>
    <s v="新"/>
    <s v="-"/>
    <x v="1"/>
    <m/>
    <m/>
    <m/>
    <n v="50"/>
    <s v="-"/>
    <s v="-"/>
    <s v="-"/>
    <s v="-"/>
    <s v="-"/>
    <s v="-"/>
    <s v="-"/>
    <s v="-"/>
    <s v="-"/>
    <s v="-"/>
    <s v="-"/>
    <x v="0"/>
    <x v="0"/>
    <m/>
    <m/>
    <s v="公財台帳・固資台帳"/>
    <s v="748"/>
    <s v="G500101"/>
    <x v="0"/>
    <x v="2"/>
  </r>
  <r>
    <s v="019"/>
    <s v="0913"/>
    <s v="内台分団車庫"/>
    <x v="8"/>
    <s v="01"/>
    <s v="車庫"/>
    <x v="20"/>
    <n v="3"/>
    <x v="20"/>
    <n v="43.61"/>
    <n v="79.459999999999994"/>
    <n v="79.459999999999994"/>
    <s v="単独"/>
    <s v="S"/>
    <n v="1"/>
    <n v="0"/>
    <s v="新"/>
    <s v="-"/>
    <x v="1"/>
    <m/>
    <m/>
    <m/>
    <n v="31"/>
    <s v="A"/>
    <s v="A"/>
    <s v="A"/>
    <s v="-"/>
    <s v="A"/>
    <s v="A"/>
    <s v="A"/>
    <s v="-"/>
    <s v="-"/>
    <s v="A"/>
    <n v="10.285714285714286"/>
    <x v="0"/>
    <x v="0"/>
    <m/>
    <m/>
    <s v="公財台帳・固資台帳"/>
    <s v="748"/>
    <s v="G500101"/>
    <x v="0"/>
    <x v="2"/>
  </r>
  <r>
    <s v="020"/>
    <s v="0914"/>
    <s v="大鹿分団車庫"/>
    <x v="8"/>
    <s v="01"/>
    <s v="車庫"/>
    <x v="21"/>
    <n v="3"/>
    <x v="21"/>
    <n v="366.02"/>
    <n v="361.05"/>
    <n v="45.75"/>
    <s v="複合"/>
    <s v="W"/>
    <n v="1"/>
    <n v="0"/>
    <s v="新"/>
    <s v="-"/>
    <x v="1"/>
    <m/>
    <m/>
    <m/>
    <n v="17"/>
    <s v="A"/>
    <s v="B"/>
    <s v="C"/>
    <s v="-"/>
    <s v="C"/>
    <s v="C"/>
    <s v="B"/>
    <s v="-"/>
    <s v="-"/>
    <s v="B"/>
    <n v="41.142857142857146"/>
    <x v="0"/>
    <x v="0"/>
    <m/>
    <m/>
    <s v="公財台帳・固資台帳"/>
    <s v="748"/>
    <s v="G500101"/>
    <x v="0"/>
    <x v="2"/>
  </r>
  <r>
    <s v="021"/>
    <s v="0911"/>
    <s v="下河原分団車庫"/>
    <x v="8"/>
    <s v="01"/>
    <s v="車庫"/>
    <x v="22"/>
    <n v="12"/>
    <x v="22"/>
    <n v="54.82"/>
    <n v="54.82"/>
    <n v="54.82"/>
    <s v="単独"/>
    <s v="S"/>
    <n v="1"/>
    <n v="0"/>
    <s v="新"/>
    <s v="-"/>
    <x v="1"/>
    <m/>
    <m/>
    <m/>
    <n v="31"/>
    <s v="A"/>
    <s v="B"/>
    <s v="C"/>
    <s v="-"/>
    <s v="B"/>
    <s v="C"/>
    <s v="B"/>
    <s v="-"/>
    <s v="-"/>
    <s v="B"/>
    <n v="34.285714285714285"/>
    <x v="0"/>
    <x v="0"/>
    <m/>
    <m/>
    <s v="公財台帳・固資台帳"/>
    <s v="748"/>
    <s v="G500101"/>
    <x v="0"/>
    <x v="2"/>
  </r>
  <r>
    <s v="022"/>
    <s v="0909"/>
    <s v="中野分団車庫"/>
    <x v="8"/>
    <s v="01"/>
    <s v="車庫"/>
    <x v="8"/>
    <n v="12"/>
    <x v="8"/>
    <n v="50.73"/>
    <n v="100.97"/>
    <n v="100.97"/>
    <s v="単独"/>
    <s v="RC"/>
    <n v="2"/>
    <n v="0"/>
    <s v="新"/>
    <s v="-"/>
    <x v="1"/>
    <m/>
    <m/>
    <m/>
    <n v="38"/>
    <s v="A"/>
    <s v="B"/>
    <s v="D"/>
    <s v="-"/>
    <s v="C"/>
    <s v="D"/>
    <s v="B"/>
    <s v="-"/>
    <s v="-"/>
    <s v="C"/>
    <n v="51.428571428571423"/>
    <x v="0"/>
    <x v="0"/>
    <m/>
    <m/>
    <s v="公財台帳・固資台帳"/>
    <s v="748"/>
    <s v="G500101"/>
    <x v="0"/>
    <x v="2"/>
  </r>
  <r>
    <s v="023"/>
    <s v="0908"/>
    <s v="池尻分団車庫"/>
    <x v="8"/>
    <s v="01"/>
    <s v="車庫"/>
    <x v="23"/>
    <n v="9"/>
    <x v="23"/>
    <n v="46.48"/>
    <n v="88.72"/>
    <n v="88.72"/>
    <s v="単独"/>
    <s v="S"/>
    <n v="2"/>
    <n v="0"/>
    <s v="新"/>
    <s v="-"/>
    <x v="1"/>
    <m/>
    <m/>
    <m/>
    <n v="38"/>
    <s v="A"/>
    <s v="C"/>
    <s v="D"/>
    <s v="-"/>
    <s v="C"/>
    <s v="D"/>
    <s v="C"/>
    <s v="-"/>
    <s v="-"/>
    <s v="C"/>
    <n v="58.285714285714285"/>
    <x v="0"/>
    <x v="0"/>
    <m/>
    <m/>
    <s v="公財台帳・固資台帳"/>
    <s v="748"/>
    <s v="G500101"/>
    <x v="0"/>
    <x v="2"/>
  </r>
  <r>
    <s v="024"/>
    <s v="0912"/>
    <s v="東野分団車庫"/>
    <x v="8"/>
    <s v="01"/>
    <s v="車庫"/>
    <x v="24"/>
    <n v="3"/>
    <x v="24"/>
    <n v="67.28"/>
    <n v="63"/>
    <n v="63"/>
    <s v="単独"/>
    <s v="S"/>
    <n v="1"/>
    <n v="0"/>
    <s v="新"/>
    <s v="-"/>
    <x v="1"/>
    <m/>
    <m/>
    <m/>
    <n v="31"/>
    <s v="A"/>
    <s v="A"/>
    <s v="B"/>
    <s v="-"/>
    <s v="B"/>
    <s v="B"/>
    <s v="A"/>
    <s v="-"/>
    <s v="-"/>
    <s v="A"/>
    <n v="24"/>
    <x v="0"/>
    <x v="0"/>
    <m/>
    <m/>
    <s v="公財台帳・固資台帳"/>
    <s v="748"/>
    <s v="G500101"/>
    <x v="0"/>
    <x v="2"/>
  </r>
  <r>
    <s v="025"/>
    <s v="0204"/>
    <s v="北河原センター"/>
    <x v="7"/>
    <s v="01"/>
    <s v="集会所"/>
    <x v="6"/>
    <n v="2"/>
    <x v="6"/>
    <n v="88.16"/>
    <n v="154.13999999999999"/>
    <n v="154.13999999999999"/>
    <s v="単独"/>
    <s v="RC"/>
    <n v="2"/>
    <n v="0"/>
    <s v="旧"/>
    <m/>
    <x v="2"/>
    <m/>
    <m/>
    <m/>
    <n v="47"/>
    <s v="C"/>
    <s v="A"/>
    <s v="B"/>
    <s v="-"/>
    <s v="D"/>
    <s v="A"/>
    <s v="D"/>
    <s v="-"/>
    <s v="-"/>
    <s v="C"/>
    <n v="66.060606060606062"/>
    <x v="0"/>
    <x v="0"/>
    <m/>
    <m/>
    <s v="公財台帳・固資台帳"/>
    <s v="170"/>
    <s v="G041100"/>
    <x v="1"/>
    <x v="3"/>
  </r>
  <r>
    <s v="026"/>
    <s v="0211"/>
    <s v="西台センター"/>
    <x v="7"/>
    <s v="01"/>
    <s v="集会所"/>
    <x v="1"/>
    <n v="3"/>
    <x v="1"/>
    <n v="132"/>
    <n v="131"/>
    <n v="131"/>
    <s v="単独"/>
    <s v="RC"/>
    <n v="2"/>
    <n v="0"/>
    <s v="旧"/>
    <m/>
    <x v="2"/>
    <m/>
    <m/>
    <m/>
    <n v="47"/>
    <s v="C"/>
    <s v="C"/>
    <s v="D"/>
    <s v="-"/>
    <s v="D"/>
    <s v="D"/>
    <s v="C"/>
    <s v="-"/>
    <s v="-"/>
    <s v="D"/>
    <n v="79.393939393939391"/>
    <x v="0"/>
    <x v="0"/>
    <m/>
    <m/>
    <s v="公財台帳・固資台帳"/>
    <s v="170"/>
    <s v="G041100"/>
    <x v="1"/>
    <x v="3"/>
  </r>
  <r>
    <s v="027"/>
    <s v="0226"/>
    <s v="くすのきセンター"/>
    <x v="7"/>
    <s v="01"/>
    <s v="集会所"/>
    <x v="13"/>
    <n v="7"/>
    <x v="13"/>
    <n v="179.07599999999999"/>
    <n v="328.56"/>
    <n v="328.56"/>
    <s v="単独"/>
    <s v="RC"/>
    <n v="2"/>
    <n v="0"/>
    <s v="旧"/>
    <m/>
    <x v="2"/>
    <m/>
    <m/>
    <m/>
    <n v="47"/>
    <s v="C"/>
    <s v="B"/>
    <s v="D"/>
    <s v="-"/>
    <s v="D"/>
    <s v="D"/>
    <s v="A"/>
    <s v="-"/>
    <s v="-"/>
    <s v="C"/>
    <n v="64.848484848484844"/>
    <x v="0"/>
    <x v="0"/>
    <m/>
    <m/>
    <s v="公財台帳・固資台帳"/>
    <s v="170"/>
    <s v="G041100"/>
    <x v="1"/>
    <x v="3"/>
  </r>
  <r>
    <s v="028"/>
    <s v="0228"/>
    <s v="当田藤ﾉ木センター"/>
    <x v="7"/>
    <s v="01"/>
    <s v="集会所"/>
    <x v="25"/>
    <n v="6"/>
    <x v="25"/>
    <n v="94.96"/>
    <n v="175.92"/>
    <n v="175.92"/>
    <s v="単独"/>
    <s v="RC"/>
    <n v="2"/>
    <n v="0"/>
    <s v="旧"/>
    <m/>
    <x v="2"/>
    <m/>
    <m/>
    <m/>
    <n v="47"/>
    <s v="C"/>
    <s v="B"/>
    <s v="C"/>
    <s v="-"/>
    <s v="D"/>
    <s v="D"/>
    <s v="B"/>
    <s v="-"/>
    <s v="-"/>
    <s v="C"/>
    <n v="62.424242424242429"/>
    <x v="0"/>
    <x v="0"/>
    <m/>
    <m/>
    <s v="公財台帳・固資台帳"/>
    <s v="170"/>
    <s v="G041100"/>
    <x v="1"/>
    <x v="3"/>
  </r>
  <r>
    <s v="029"/>
    <s v="0243"/>
    <s v="あじさいセンター"/>
    <x v="7"/>
    <s v="01"/>
    <s v="集会所"/>
    <x v="26"/>
    <n v="7"/>
    <x v="26"/>
    <n v="188.74"/>
    <n v="328.06"/>
    <n v="328.06"/>
    <s v="単独"/>
    <s v="RC"/>
    <n v="2"/>
    <n v="0"/>
    <s v="新"/>
    <s v="-"/>
    <x v="1"/>
    <m/>
    <m/>
    <m/>
    <n v="47"/>
    <s v="B"/>
    <s v="B"/>
    <s v="D"/>
    <s v="-"/>
    <s v="D"/>
    <s v="D"/>
    <s v="C"/>
    <s v="-"/>
    <s v="-"/>
    <s v="D"/>
    <n v="70.909090909090907"/>
    <x v="0"/>
    <x v="0"/>
    <m/>
    <m/>
    <s v="公財台帳・固資台帳"/>
    <s v="170"/>
    <s v="G041100"/>
    <x v="1"/>
    <x v="3"/>
  </r>
  <r>
    <s v="030"/>
    <s v="0257"/>
    <s v="中央コミュニティセンター"/>
    <x v="7"/>
    <s v="01"/>
    <s v="集会所"/>
    <x v="9"/>
    <n v="3"/>
    <x v="9"/>
    <n v="154.02000000000001"/>
    <n v="266.55"/>
    <n v="266.55"/>
    <s v="単独"/>
    <s v="RC"/>
    <n v="2"/>
    <n v="0"/>
    <s v="新"/>
    <s v="-"/>
    <x v="1"/>
    <m/>
    <m/>
    <m/>
    <n v="47"/>
    <s v="B"/>
    <s v="A"/>
    <s v="D"/>
    <s v="-"/>
    <s v="D"/>
    <s v="B"/>
    <s v="C"/>
    <s v="-"/>
    <s v="-"/>
    <s v="C"/>
    <n v="60"/>
    <x v="0"/>
    <x v="0"/>
    <m/>
    <m/>
    <s v="公財台帳・固資台帳"/>
    <s v="170"/>
    <s v="G041100"/>
    <x v="1"/>
    <x v="3"/>
  </r>
  <r>
    <s v="030"/>
    <s v="0257"/>
    <s v="中央コミュニティセンター"/>
    <x v="7"/>
    <s v="02"/>
    <s v="倉庫"/>
    <x v="27"/>
    <n v="3"/>
    <x v="27"/>
    <m/>
    <n v="9.8699999999999992"/>
    <n v="9.8699999999999992"/>
    <s v="単独"/>
    <m/>
    <m/>
    <m/>
    <m/>
    <m/>
    <x v="3"/>
    <m/>
    <m/>
    <m/>
    <n v="47"/>
    <s v="-"/>
    <s v="-"/>
    <s v="-"/>
    <s v="-"/>
    <s v="-"/>
    <s v="-"/>
    <s v="-"/>
    <s v="-"/>
    <s v="-"/>
    <s v="-"/>
    <s v="-"/>
    <x v="3"/>
    <x v="0"/>
    <m/>
    <m/>
    <s v="公財台帳・固資台帳"/>
    <s v="170"/>
    <s v="G041100"/>
    <x v="1"/>
    <x v="3"/>
  </r>
  <r>
    <s v="031"/>
    <s v="0267"/>
    <s v="桜ケ丘コミュニティセンター"/>
    <x v="7"/>
    <s v="01"/>
    <s v="集会所"/>
    <x v="28"/>
    <n v="3"/>
    <x v="28"/>
    <n v="176.58"/>
    <n v="168.89"/>
    <n v="168.89"/>
    <s v="単独"/>
    <s v="RC"/>
    <n v="1"/>
    <n v="0"/>
    <s v="新"/>
    <s v="-"/>
    <x v="1"/>
    <m/>
    <m/>
    <m/>
    <n v="47"/>
    <s v="B"/>
    <s v="D"/>
    <s v="D"/>
    <s v="-"/>
    <s v="A"/>
    <s v="B"/>
    <s v="C"/>
    <s v="-"/>
    <s v="-"/>
    <s v="C"/>
    <n v="60"/>
    <x v="0"/>
    <x v="0"/>
    <m/>
    <m/>
    <s v="公財台帳・固資台帳"/>
    <s v="170"/>
    <s v="G041100"/>
    <x v="1"/>
    <x v="3"/>
  </r>
  <r>
    <s v="032"/>
    <s v="0237"/>
    <s v="昆陽池センター"/>
    <x v="9"/>
    <s v="01"/>
    <s v="集会所"/>
    <x v="29"/>
    <n v="3"/>
    <x v="29"/>
    <n v="320"/>
    <n v="504"/>
    <n v="504"/>
    <s v="単独"/>
    <s v="RC"/>
    <n v="2"/>
    <n v="0"/>
    <s v="旧"/>
    <m/>
    <x v="2"/>
    <m/>
    <m/>
    <m/>
    <n v="47"/>
    <s v="B"/>
    <s v="D"/>
    <s v="D"/>
    <s v="-"/>
    <s v="D"/>
    <s v="D"/>
    <s v="D"/>
    <s v="-"/>
    <s v="-"/>
    <s v="D"/>
    <n v="83.63636363636364"/>
    <x v="0"/>
    <x v="0"/>
    <m/>
    <m/>
    <s v="公財台帳・固資台帳"/>
    <s v="240"/>
    <s v="G044300"/>
    <x v="1"/>
    <x v="3"/>
  </r>
  <r>
    <s v="033"/>
    <s v="0254"/>
    <s v="昆陽センター"/>
    <x v="7"/>
    <s v="01"/>
    <s v="集会所"/>
    <x v="2"/>
    <n v="6"/>
    <x v="2"/>
    <n v="268.38"/>
    <n v="383.71"/>
    <n v="383.71"/>
    <s v="単独"/>
    <s v="RC"/>
    <n v="2"/>
    <n v="0"/>
    <s v="新"/>
    <s v="-"/>
    <x v="1"/>
    <m/>
    <m/>
    <m/>
    <n v="47"/>
    <s v="B"/>
    <s v="A"/>
    <s v="D"/>
    <s v="-"/>
    <s v="D"/>
    <s v="C"/>
    <s v="B"/>
    <s v="-"/>
    <s v="-"/>
    <s v="C"/>
    <n v="57.575757575757571"/>
    <x v="0"/>
    <x v="0"/>
    <m/>
    <m/>
    <s v="公財台帳・固資台帳"/>
    <s v="170"/>
    <s v="G041100"/>
    <x v="1"/>
    <x v="3"/>
  </r>
  <r>
    <s v="034"/>
    <s v="0255"/>
    <s v="千僧堂ﾉ前センター"/>
    <x v="7"/>
    <s v="01"/>
    <s v="集会所"/>
    <x v="9"/>
    <n v="3"/>
    <x v="9"/>
    <n v="130.965"/>
    <n v="130.96"/>
    <n v="130.96"/>
    <s v="単独"/>
    <s v="RC"/>
    <n v="1"/>
    <n v="0"/>
    <s v="新"/>
    <s v="-"/>
    <x v="1"/>
    <m/>
    <m/>
    <m/>
    <n v="47"/>
    <s v="B"/>
    <s v="D"/>
    <s v="D"/>
    <s v="-"/>
    <s v="D"/>
    <s v="D"/>
    <s v="D"/>
    <s v="-"/>
    <s v="-"/>
    <s v="D"/>
    <n v="80"/>
    <x v="0"/>
    <x v="0"/>
    <m/>
    <m/>
    <s v="公財台帳・固資台帳"/>
    <s v="170"/>
    <s v="G041100"/>
    <x v="1"/>
    <x v="3"/>
  </r>
  <r>
    <s v="035"/>
    <s v="0260"/>
    <s v="松ケ丘センター"/>
    <x v="7"/>
    <s v="01"/>
    <s v="集会所"/>
    <x v="11"/>
    <n v="3"/>
    <x v="11"/>
    <n v="99.48"/>
    <n v="99.38"/>
    <n v="99.38"/>
    <s v="単独"/>
    <s v="RC"/>
    <n v="1"/>
    <n v="0"/>
    <s v="新"/>
    <s v="-"/>
    <x v="1"/>
    <m/>
    <m/>
    <m/>
    <n v="47"/>
    <s v="B"/>
    <s v="D"/>
    <s v="-"/>
    <s v="-"/>
    <s v="C"/>
    <s v="D"/>
    <s v="A"/>
    <s v="-"/>
    <s v="-"/>
    <s v="C"/>
    <n v="57.333333333333329"/>
    <x v="0"/>
    <x v="0"/>
    <m/>
    <m/>
    <s v="公財台帳・固資台帳"/>
    <s v="170"/>
    <s v="G041100"/>
    <x v="1"/>
    <x v="3"/>
  </r>
  <r>
    <s v="036"/>
    <s v="0207"/>
    <s v="南センター"/>
    <x v="7"/>
    <s v="01"/>
    <s v="集会所"/>
    <x v="6"/>
    <n v="3"/>
    <x v="6"/>
    <n v="322.27999999999997"/>
    <n v="570.86"/>
    <n v="549.86"/>
    <s v="複合"/>
    <s v="RC"/>
    <n v="2"/>
    <n v="0"/>
    <s v="旧"/>
    <m/>
    <x v="2"/>
    <m/>
    <m/>
    <m/>
    <n v="47"/>
    <s v="C"/>
    <s v="C"/>
    <s v="D"/>
    <s v="-"/>
    <s v="D"/>
    <s v="D"/>
    <s v="D"/>
    <s v="-"/>
    <s v="-"/>
    <s v="D"/>
    <n v="86.060606060606062"/>
    <x v="0"/>
    <x v="0"/>
    <m/>
    <m/>
    <s v="公財台帳・固資台帳"/>
    <s v="170"/>
    <s v="G041100"/>
    <x v="1"/>
    <x v="3"/>
  </r>
  <r>
    <s v="037"/>
    <s v="0221"/>
    <s v="稲野東センター"/>
    <x v="7"/>
    <s v="01"/>
    <s v="集会所"/>
    <x v="13"/>
    <n v="3"/>
    <x v="13"/>
    <n v="69"/>
    <n v="138"/>
    <n v="138"/>
    <s v="単独"/>
    <s v="RC"/>
    <n v="2"/>
    <n v="0"/>
    <s v="旧"/>
    <m/>
    <x v="2"/>
    <m/>
    <m/>
    <m/>
    <n v="47"/>
    <s v="C"/>
    <s v="D"/>
    <s v="D"/>
    <s v="-"/>
    <s v="D"/>
    <s v="D"/>
    <s v="D"/>
    <s v="-"/>
    <s v="-"/>
    <s v="D"/>
    <n v="86.666666666666671"/>
    <x v="0"/>
    <x v="0"/>
    <m/>
    <m/>
    <s v="公財台帳・固資台帳"/>
    <s v="170"/>
    <s v="G041100"/>
    <x v="1"/>
    <x v="3"/>
  </r>
  <r>
    <s v="038"/>
    <s v="0233"/>
    <s v="稲野センター"/>
    <x v="7"/>
    <s v="01"/>
    <s v="集会所"/>
    <x v="25"/>
    <n v="7"/>
    <x v="25"/>
    <n v="163.07"/>
    <n v="310.62"/>
    <n v="310.62"/>
    <s v="単独"/>
    <s v="RC"/>
    <n v="2"/>
    <n v="0"/>
    <s v="旧"/>
    <m/>
    <x v="2"/>
    <m/>
    <m/>
    <m/>
    <n v="47"/>
    <s v="C"/>
    <s v="C"/>
    <s v="D"/>
    <s v="-"/>
    <s v="D"/>
    <s v="D"/>
    <s v="C"/>
    <s v="-"/>
    <s v="-"/>
    <s v="D"/>
    <n v="78.181818181818187"/>
    <x v="0"/>
    <x v="0"/>
    <m/>
    <m/>
    <s v="公財台帳・固資台帳"/>
    <s v="170"/>
    <s v="G041100"/>
    <x v="1"/>
    <x v="3"/>
  </r>
  <r>
    <s v="039"/>
    <s v="0242"/>
    <s v="若菱柏木センター"/>
    <x v="7"/>
    <s v="01"/>
    <s v="集会所"/>
    <x v="26"/>
    <n v="6"/>
    <x v="26"/>
    <n v="182.31"/>
    <n v="328.44"/>
    <n v="328.44"/>
    <s v="単独"/>
    <s v="RC"/>
    <n v="2"/>
    <n v="0"/>
    <s v="新"/>
    <s v="-"/>
    <x v="1"/>
    <m/>
    <m/>
    <m/>
    <n v="47"/>
    <s v="B"/>
    <s v="D"/>
    <s v="D"/>
    <s v="-"/>
    <s v="B"/>
    <s v="C"/>
    <s v="B"/>
    <s v="-"/>
    <s v="-"/>
    <s v="C"/>
    <n v="61.212121212121204"/>
    <x v="0"/>
    <x v="0"/>
    <m/>
    <m/>
    <s v="公財台帳・固資台帳"/>
    <s v="170"/>
    <s v="G041100"/>
    <x v="1"/>
    <x v="3"/>
  </r>
  <r>
    <s v="040"/>
    <s v="0246"/>
    <s v="平松会館"/>
    <x v="7"/>
    <s v="01"/>
    <s v="集会所"/>
    <x v="30"/>
    <n v="3"/>
    <x v="30"/>
    <n v="47.58"/>
    <n v="95.16"/>
    <n v="95.16"/>
    <s v="単独"/>
    <s v="RC"/>
    <n v="2"/>
    <n v="0"/>
    <s v="新"/>
    <s v="-"/>
    <x v="1"/>
    <m/>
    <m/>
    <m/>
    <n v="47"/>
    <s v="B"/>
    <s v="A"/>
    <s v="A"/>
    <s v="-"/>
    <s v="C"/>
    <s v="D"/>
    <s v="D"/>
    <s v="-"/>
    <s v="-"/>
    <s v="C"/>
    <n v="56.571428571428569"/>
    <x v="0"/>
    <x v="0"/>
    <m/>
    <m/>
    <s v="公財台帳・固資台帳"/>
    <s v="170"/>
    <s v="G041100"/>
    <x v="1"/>
    <x v="3"/>
  </r>
  <r>
    <s v="041"/>
    <s v="0262"/>
    <s v="コミュニティセンター梅ﾉ木"/>
    <x v="7"/>
    <s v="01"/>
    <s v="集会所"/>
    <x v="11"/>
    <n v="3"/>
    <x v="11"/>
    <n v="149"/>
    <n v="146.88"/>
    <n v="146.88"/>
    <s v="単独"/>
    <s v="RC"/>
    <n v="1"/>
    <n v="0"/>
    <s v="新"/>
    <s v="-"/>
    <x v="1"/>
    <m/>
    <m/>
    <m/>
    <n v="47"/>
    <s v="B"/>
    <s v="D"/>
    <s v="D"/>
    <s v="-"/>
    <s v="B"/>
    <s v="B"/>
    <s v="D"/>
    <s v="-"/>
    <s v="-"/>
    <s v="C"/>
    <n v="68"/>
    <x v="0"/>
    <x v="0"/>
    <m/>
    <m/>
    <s v="原課報告"/>
    <s v="170"/>
    <s v="G041100"/>
    <x v="1"/>
    <x v="3"/>
  </r>
  <r>
    <s v="042"/>
    <s v="0201"/>
    <s v="神津交流センター"/>
    <x v="7"/>
    <s v="01"/>
    <s v="集会所"/>
    <x v="3"/>
    <n v="5"/>
    <x v="3"/>
    <m/>
    <n v="1051.8499999999999"/>
    <n v="884.1"/>
    <s v="複合"/>
    <s v="RC"/>
    <n v="2"/>
    <n v="0"/>
    <s v="新"/>
    <s v="-"/>
    <x v="1"/>
    <m/>
    <m/>
    <m/>
    <n v="47"/>
    <s v="A"/>
    <s v="A"/>
    <s v="A"/>
    <s v="-"/>
    <s v="A"/>
    <s v="A"/>
    <s v="A"/>
    <s v="A"/>
    <s v="A"/>
    <s v="A"/>
    <n v="3.6363636363636376"/>
    <x v="0"/>
    <x v="0"/>
    <m/>
    <m/>
    <s v="公財台帳・固資台帳"/>
    <s v="170"/>
    <s v="G041100"/>
    <x v="1"/>
    <x v="3"/>
  </r>
  <r>
    <s v="043"/>
    <s v="0209"/>
    <s v="西桑津センター"/>
    <x v="7"/>
    <s v="01"/>
    <s v="集会所"/>
    <x v="0"/>
    <n v="5"/>
    <x v="0"/>
    <n v="84.6"/>
    <n v="197.56"/>
    <n v="197.56"/>
    <s v="単独"/>
    <s v="RC"/>
    <n v="2"/>
    <n v="0"/>
    <s v="旧"/>
    <m/>
    <x v="2"/>
    <m/>
    <m/>
    <m/>
    <n v="47"/>
    <s v="C"/>
    <s v="C"/>
    <s v="C"/>
    <s v="-"/>
    <s v="D"/>
    <s v="D"/>
    <s v="D"/>
    <s v="-"/>
    <s v="-"/>
    <s v="D"/>
    <n v="81.212121212121218"/>
    <x v="0"/>
    <x v="0"/>
    <m/>
    <m/>
    <s v="公財台帳・固資台帳"/>
    <s v="170"/>
    <s v="G041100"/>
    <x v="1"/>
    <x v="3"/>
  </r>
  <r>
    <s v="044"/>
    <s v="0214"/>
    <s v="岩屋センター"/>
    <x v="7"/>
    <s v="01"/>
    <s v="集会所"/>
    <x v="12"/>
    <n v="3"/>
    <x v="12"/>
    <n v="211.65"/>
    <n v="316.02999999999997"/>
    <n v="316.02999999999997"/>
    <s v="単独"/>
    <s v="RC"/>
    <n v="3"/>
    <n v="0"/>
    <s v="旧"/>
    <m/>
    <x v="2"/>
    <m/>
    <m/>
    <m/>
    <n v="47"/>
    <s v="C"/>
    <s v="B"/>
    <s v="B"/>
    <s v="-"/>
    <s v="D"/>
    <s v="D"/>
    <s v="B"/>
    <s v="-"/>
    <s v="-"/>
    <s v="C"/>
    <n v="62.424242424242429"/>
    <x v="0"/>
    <x v="0"/>
    <m/>
    <m/>
    <s v="公財台帳・固資台帳"/>
    <s v="170"/>
    <s v="G041100"/>
    <x v="1"/>
    <x v="3"/>
  </r>
  <r>
    <s v="045"/>
    <s v="0216"/>
    <s v="森本センター"/>
    <x v="7"/>
    <s v="01"/>
    <s v="集会所"/>
    <x v="12"/>
    <n v="3"/>
    <x v="12"/>
    <n v="126.3"/>
    <n v="181.84"/>
    <n v="181.84"/>
    <s v="単独"/>
    <s v="RC"/>
    <n v="2"/>
    <n v="0"/>
    <s v="旧"/>
    <m/>
    <x v="2"/>
    <m/>
    <m/>
    <m/>
    <n v="47"/>
    <s v="C"/>
    <s v="C"/>
    <s v="D"/>
    <s v="-"/>
    <s v="D"/>
    <s v="D"/>
    <s v="A"/>
    <s v="-"/>
    <s v="-"/>
    <s v="D"/>
    <n v="72.727272727272734"/>
    <x v="0"/>
    <x v="0"/>
    <m/>
    <m/>
    <s v="原課報告"/>
    <s v="170"/>
    <s v="G041100"/>
    <x v="1"/>
    <x v="3"/>
  </r>
  <r>
    <s v="046"/>
    <s v="0225"/>
    <s v="口酒井センター"/>
    <x v="7"/>
    <s v="01"/>
    <s v="集会所"/>
    <x v="13"/>
    <n v="7"/>
    <x v="13"/>
    <n v="330.07"/>
    <n v="336"/>
    <n v="336"/>
    <s v="複合"/>
    <s v="RC"/>
    <n v="2"/>
    <n v="0"/>
    <s v="旧"/>
    <m/>
    <x v="2"/>
    <m/>
    <m/>
    <m/>
    <n v="47"/>
    <s v="C"/>
    <s v="D"/>
    <s v="C"/>
    <s v="-"/>
    <s v="D"/>
    <s v="C"/>
    <s v="A"/>
    <s v="-"/>
    <s v="-"/>
    <s v="C"/>
    <n v="68.444444444444443"/>
    <x v="0"/>
    <x v="0"/>
    <m/>
    <m/>
    <s v="公財台帳・固資台帳"/>
    <s v="170"/>
    <s v="G041100"/>
    <x v="1"/>
    <x v="3"/>
  </r>
  <r>
    <s v="047"/>
    <s v="0250"/>
    <s v="いながわセンター"/>
    <x v="7"/>
    <s v="01"/>
    <s v="集会所"/>
    <x v="31"/>
    <n v="3"/>
    <x v="31"/>
    <n v="316.3"/>
    <n v="316.3"/>
    <n v="316.3"/>
    <s v="単独"/>
    <s v="RC"/>
    <n v="1"/>
    <n v="0"/>
    <s v="新"/>
    <s v="-"/>
    <x v="1"/>
    <m/>
    <m/>
    <m/>
    <n v="47"/>
    <s v="B"/>
    <s v="D"/>
    <s v="B"/>
    <s v="-"/>
    <s v="C"/>
    <s v="D"/>
    <s v="D"/>
    <s v="-"/>
    <s v="-"/>
    <s v="D"/>
    <n v="71.555555555555543"/>
    <x v="0"/>
    <x v="0"/>
    <m/>
    <m/>
    <s v="公財台帳・固資台帳"/>
    <s v="170"/>
    <s v="G041100"/>
    <x v="1"/>
    <x v="3"/>
  </r>
  <r>
    <s v="048"/>
    <s v="0271"/>
    <s v="長山センター"/>
    <x v="7"/>
    <s v="01"/>
    <s v="集会所"/>
    <x v="32"/>
    <n v="12"/>
    <x v="32"/>
    <n v="124.09"/>
    <n v="119.99"/>
    <n v="119.99"/>
    <s v="単独"/>
    <s v="RC"/>
    <n v="1"/>
    <n v="0"/>
    <s v="新"/>
    <s v="-"/>
    <x v="1"/>
    <m/>
    <m/>
    <m/>
    <n v="47"/>
    <s v="B"/>
    <s v="D"/>
    <s v="B"/>
    <s v="-"/>
    <s v="D"/>
    <s v="D"/>
    <s v="C"/>
    <s v="-"/>
    <s v="-"/>
    <s v="C"/>
    <n v="62.105263157894733"/>
    <x v="0"/>
    <x v="0"/>
    <m/>
    <m/>
    <s v="公財台帳・固資台帳"/>
    <s v="170"/>
    <s v="G041100"/>
    <x v="1"/>
    <x v="3"/>
  </r>
  <r>
    <s v="049"/>
    <s v="0272"/>
    <s v="上須古センター"/>
    <x v="7"/>
    <s v="01"/>
    <s v="集会所"/>
    <x v="32"/>
    <n v="12"/>
    <x v="32"/>
    <n v="62.62"/>
    <n v="109.3"/>
    <n v="109.3"/>
    <s v="単独"/>
    <s v="RC"/>
    <n v="2"/>
    <n v="0"/>
    <s v="新"/>
    <s v="-"/>
    <x v="1"/>
    <m/>
    <m/>
    <m/>
    <n v="47"/>
    <s v="B"/>
    <s v="D"/>
    <s v="D"/>
    <s v="-"/>
    <s v="D"/>
    <s v="D"/>
    <s v="C"/>
    <s v="-"/>
    <s v="-"/>
    <s v="C"/>
    <n v="67.878787878787875"/>
    <x v="0"/>
    <x v="0"/>
    <m/>
    <m/>
    <s v="公財台帳・固資台帳"/>
    <s v="170"/>
    <s v="G041100"/>
    <x v="1"/>
    <x v="3"/>
  </r>
  <r>
    <s v="050"/>
    <s v="0205"/>
    <s v="下河原センター"/>
    <x v="7"/>
    <s v="01"/>
    <s v="集会所"/>
    <x v="6"/>
    <n v="3"/>
    <x v="6"/>
    <n v="95.15"/>
    <n v="164.09"/>
    <n v="164.09"/>
    <s v="単独"/>
    <s v="RC"/>
    <n v="2"/>
    <n v="0"/>
    <s v="旧"/>
    <m/>
    <x v="2"/>
    <m/>
    <m/>
    <m/>
    <n v="47"/>
    <s v="C"/>
    <s v="A"/>
    <s v="B"/>
    <s v="-"/>
    <s v="D"/>
    <s v="D"/>
    <s v="D"/>
    <s v="-"/>
    <s v="-"/>
    <s v="D"/>
    <n v="73.333333333333343"/>
    <x v="0"/>
    <x v="0"/>
    <m/>
    <m/>
    <s v="原課報告"/>
    <s v="170"/>
    <s v="G041100"/>
    <x v="1"/>
    <x v="3"/>
  </r>
  <r>
    <s v="051"/>
    <s v="0238"/>
    <s v="春日丘センター"/>
    <x v="7"/>
    <s v="01"/>
    <s v="集会所"/>
    <x v="19"/>
    <n v="5"/>
    <x v="19"/>
    <n v="150.51"/>
    <n v="142.01"/>
    <n v="142.01"/>
    <s v="単独"/>
    <s v="RC"/>
    <n v="1"/>
    <n v="0"/>
    <s v="新"/>
    <s v="-"/>
    <x v="1"/>
    <m/>
    <m/>
    <m/>
    <n v="47"/>
    <s v="A"/>
    <s v="B"/>
    <s v="C"/>
    <s v="-"/>
    <s v="B"/>
    <s v="C"/>
    <s v="B"/>
    <s v="-"/>
    <s v="-"/>
    <s v="B"/>
    <n v="37.714285714285708"/>
    <x v="0"/>
    <x v="0"/>
    <m/>
    <m/>
    <s v="原課報告"/>
    <s v="170"/>
    <s v="G041100"/>
    <x v="1"/>
    <x v="3"/>
  </r>
  <r>
    <s v="052"/>
    <s v="0268"/>
    <s v="北伊丹センター"/>
    <x v="7"/>
    <s v="01"/>
    <s v="集会所"/>
    <x v="28"/>
    <n v="12"/>
    <x v="28"/>
    <n v="134.47999999999999"/>
    <n v="134.47999999999999"/>
    <n v="134.47999999999999"/>
    <s v="単独"/>
    <s v="RC"/>
    <n v="1"/>
    <n v="0"/>
    <s v="新"/>
    <s v="-"/>
    <x v="1"/>
    <m/>
    <m/>
    <m/>
    <n v="47"/>
    <s v="B"/>
    <s v="A"/>
    <s v="D"/>
    <s v="-"/>
    <s v="D"/>
    <s v="A"/>
    <s v="A"/>
    <s v="-"/>
    <s v="-"/>
    <s v="B"/>
    <n v="41.714285714285715"/>
    <x v="0"/>
    <x v="0"/>
    <m/>
    <m/>
    <s v="公財台帳・固資台帳"/>
    <s v="170"/>
    <s v="G041100"/>
    <x v="1"/>
    <x v="3"/>
  </r>
  <r>
    <s v="053"/>
    <s v="0273"/>
    <s v="北村センター"/>
    <x v="7"/>
    <s v="01"/>
    <s v="集会所"/>
    <x v="1"/>
    <n v="3"/>
    <x v="1"/>
    <n v="1384.75"/>
    <n v="332.59"/>
    <n v="332.59"/>
    <s v="複合"/>
    <s v="RC"/>
    <n v="2"/>
    <n v="0"/>
    <s v="旧"/>
    <s v="済"/>
    <x v="1"/>
    <m/>
    <m/>
    <m/>
    <n v="47"/>
    <s v="C"/>
    <s v="D"/>
    <s v="D"/>
    <s v="-"/>
    <s v="C"/>
    <s v="D"/>
    <s v="B"/>
    <s v="-"/>
    <s v="-"/>
    <s v="D"/>
    <n v="76.363636363636374"/>
    <x v="0"/>
    <x v="0"/>
    <m/>
    <m/>
    <s v="公財台帳・固資台帳"/>
    <s v="170"/>
    <s v="G041100"/>
    <x v="1"/>
    <x v="3"/>
  </r>
  <r>
    <s v="054"/>
    <s v="0274"/>
    <s v="北村交流センター"/>
    <x v="7"/>
    <s v="01"/>
    <s v="集会所"/>
    <x v="33"/>
    <n v="12"/>
    <x v="33"/>
    <n v="1384.75"/>
    <n v="360.57"/>
    <n v="360.57"/>
    <s v="複合"/>
    <s v="S"/>
    <n v="2"/>
    <n v="0"/>
    <s v="新"/>
    <s v="-"/>
    <x v="1"/>
    <m/>
    <m/>
    <m/>
    <n v="47"/>
    <s v="A"/>
    <s v="C"/>
    <s v="D"/>
    <s v="-"/>
    <s v="C"/>
    <s v="D"/>
    <s v="B"/>
    <s v="-"/>
    <s v="-"/>
    <s v="C"/>
    <n v="56.969696969696969"/>
    <x v="0"/>
    <x v="0"/>
    <m/>
    <m/>
    <s v="公財台帳・固資台帳"/>
    <s v="170"/>
    <s v="G041100"/>
    <x v="1"/>
    <x v="3"/>
  </r>
  <r>
    <s v="055"/>
    <s v="0275"/>
    <s v="大鹿交流センター"/>
    <x v="7"/>
    <s v="01"/>
    <s v="集会所"/>
    <x v="21"/>
    <n v="3"/>
    <x v="21"/>
    <n v="366.02"/>
    <n v="315.3"/>
    <n v="315.3"/>
    <s v="単独"/>
    <s v="W"/>
    <n v="1"/>
    <n v="0"/>
    <s v="新"/>
    <s v="-"/>
    <x v="1"/>
    <m/>
    <m/>
    <m/>
    <n v="22"/>
    <s v="C"/>
    <s v="B"/>
    <s v="C"/>
    <s v="-"/>
    <s v="C"/>
    <s v="C"/>
    <s v="B"/>
    <s v="-"/>
    <s v="-"/>
    <s v="C"/>
    <n v="56.716417910447767"/>
    <x v="0"/>
    <x v="0"/>
    <m/>
    <m/>
    <s v="公財台帳・固資台帳"/>
    <s v="170"/>
    <s v="G041100"/>
    <x v="1"/>
    <x v="3"/>
  </r>
  <r>
    <s v="056"/>
    <s v="0206"/>
    <s v="西センター"/>
    <x v="7"/>
    <s v="01"/>
    <s v="集会所"/>
    <x v="0"/>
    <n v="3"/>
    <x v="0"/>
    <n v="506.43"/>
    <n v="1016.22"/>
    <n v="553.39"/>
    <s v="複合"/>
    <s v="RC"/>
    <n v="2"/>
    <n v="0"/>
    <s v="旧"/>
    <s v="済"/>
    <x v="1"/>
    <m/>
    <m/>
    <m/>
    <n v="47"/>
    <s v="C"/>
    <s v="D"/>
    <s v="D"/>
    <s v="-"/>
    <s v="D"/>
    <s v="D"/>
    <s v="D"/>
    <s v="-"/>
    <s v="-"/>
    <s v="D"/>
    <n v="87.878787878787875"/>
    <x v="0"/>
    <x v="0"/>
    <m/>
    <m/>
    <s v="公財台帳・固資台帳"/>
    <s v="170"/>
    <s v="G041100"/>
    <x v="1"/>
    <x v="3"/>
  </r>
  <r>
    <s v="057"/>
    <s v="0251"/>
    <s v="西野福祉会館"/>
    <x v="7"/>
    <s v="01"/>
    <s v="集会所"/>
    <x v="31"/>
    <n v="3"/>
    <x v="31"/>
    <n v="106.09"/>
    <n v="179.34"/>
    <n v="179.34"/>
    <s v="単独"/>
    <s v="RC"/>
    <n v="2"/>
    <n v="0"/>
    <s v="新"/>
    <s v="-"/>
    <x v="1"/>
    <m/>
    <m/>
    <m/>
    <n v="47"/>
    <s v="B"/>
    <s v="D"/>
    <s v="D"/>
    <s v="-"/>
    <s v="D"/>
    <s v="D"/>
    <s v="D"/>
    <s v="-"/>
    <s v="-"/>
    <s v="D"/>
    <n v="82.285714285714278"/>
    <x v="0"/>
    <x v="0"/>
    <m/>
    <m/>
    <s v="公財台帳・固資台帳"/>
    <s v="170"/>
    <s v="G041100"/>
    <x v="1"/>
    <x v="3"/>
  </r>
  <r>
    <s v="058"/>
    <s v="0266"/>
    <s v="中野北センター"/>
    <x v="7"/>
    <s v="01"/>
    <s v="集会所"/>
    <x v="28"/>
    <n v="5"/>
    <x v="28"/>
    <n v="109.68"/>
    <n v="108.41"/>
    <n v="108.41"/>
    <s v="単独"/>
    <s v="RC"/>
    <n v="1"/>
    <n v="0"/>
    <s v="新"/>
    <s v="-"/>
    <x v="1"/>
    <m/>
    <m/>
    <m/>
    <n v="47"/>
    <s v="B"/>
    <s v="D"/>
    <s v="D"/>
    <s v="-"/>
    <s v="D"/>
    <s v="D"/>
    <s v="B"/>
    <s v="-"/>
    <s v="-"/>
    <s v="C"/>
    <n v="66.060606060606062"/>
    <x v="0"/>
    <x v="0"/>
    <m/>
    <m/>
    <s v="公財台帳・固資台帳"/>
    <s v="170"/>
    <s v="G041100"/>
    <x v="1"/>
    <x v="3"/>
  </r>
  <r>
    <s v="059"/>
    <s v="0269"/>
    <s v="中野西センター"/>
    <x v="7"/>
    <s v="01"/>
    <s v="集会所"/>
    <x v="28"/>
    <n v="3"/>
    <x v="28"/>
    <n v="131.1"/>
    <n v="109.7"/>
    <n v="109.7"/>
    <s v="単独"/>
    <s v="RC"/>
    <n v="1"/>
    <n v="0"/>
    <s v="新"/>
    <s v="-"/>
    <x v="1"/>
    <m/>
    <m/>
    <m/>
    <n v="47"/>
    <s v="B"/>
    <s v="D"/>
    <s v="D"/>
    <s v="-"/>
    <s v="D"/>
    <s v="B"/>
    <s v="B"/>
    <s v="-"/>
    <s v="-"/>
    <s v="C"/>
    <n v="61.212121212121204"/>
    <x v="0"/>
    <x v="0"/>
    <m/>
    <m/>
    <s v="公財台帳・固資台帳"/>
    <s v="170"/>
    <s v="G041100"/>
    <x v="1"/>
    <x v="3"/>
  </r>
  <r>
    <s v="060"/>
    <s v="0202"/>
    <s v="北センター"/>
    <x v="7"/>
    <s v="01"/>
    <s v="集会所"/>
    <x v="10"/>
    <n v="3"/>
    <x v="10"/>
    <n v="295.77999999999997"/>
    <n v="794.28"/>
    <n v="794.28"/>
    <s v="単独"/>
    <s v="RC"/>
    <n v="3"/>
    <n v="0"/>
    <s v="旧"/>
    <m/>
    <x v="2"/>
    <m/>
    <m/>
    <m/>
    <n v="47"/>
    <s v="C"/>
    <s v="B"/>
    <s v="A"/>
    <s v="-"/>
    <s v="D"/>
    <s v="A"/>
    <s v="C"/>
    <s v="-"/>
    <s v="-"/>
    <s v="C"/>
    <n v="61.212121212121204"/>
    <x v="0"/>
    <x v="0"/>
    <m/>
    <m/>
    <s v="公財台帳・固資台帳"/>
    <s v="170"/>
    <s v="G041100"/>
    <x v="1"/>
    <x v="3"/>
  </r>
  <r>
    <s v="061"/>
    <s v="0213"/>
    <s v="北野センター"/>
    <x v="7"/>
    <s v="01"/>
    <s v="集会所"/>
    <x v="12"/>
    <n v="3"/>
    <x v="12"/>
    <n v="150.94999999999999"/>
    <n v="314.60000000000002"/>
    <n v="314.60000000000002"/>
    <s v="単独"/>
    <s v="RC"/>
    <n v="2"/>
    <n v="0"/>
    <s v="旧"/>
    <m/>
    <x v="2"/>
    <m/>
    <m/>
    <m/>
    <n v="47"/>
    <s v="C"/>
    <s v="D"/>
    <s v="B"/>
    <s v="-"/>
    <s v="D"/>
    <s v="C"/>
    <s v="D"/>
    <s v="-"/>
    <s v="-"/>
    <s v="D"/>
    <n v="76.969696969696969"/>
    <x v="0"/>
    <x v="0"/>
    <m/>
    <m/>
    <s v="公財台帳・固資台帳"/>
    <s v="170"/>
    <s v="G041100"/>
    <x v="1"/>
    <x v="3"/>
  </r>
  <r>
    <s v="062"/>
    <s v="0229"/>
    <s v="桑田センター"/>
    <x v="7"/>
    <s v="01"/>
    <s v="集会所"/>
    <x v="25"/>
    <n v="6"/>
    <x v="25"/>
    <n v="72"/>
    <n v="113.79"/>
    <n v="113.79"/>
    <s v="単独"/>
    <s v="RC"/>
    <n v="2"/>
    <n v="0"/>
    <s v="旧"/>
    <m/>
    <x v="2"/>
    <m/>
    <m/>
    <m/>
    <n v="47"/>
    <s v="C"/>
    <s v="B"/>
    <s v="D"/>
    <s v="-"/>
    <s v="D"/>
    <s v="D"/>
    <s v="A"/>
    <s v="-"/>
    <s v="-"/>
    <s v="C"/>
    <n v="63.636363636363633"/>
    <x v="0"/>
    <x v="0"/>
    <m/>
    <m/>
    <s v="原課報告"/>
    <s v="170"/>
    <s v="G041100"/>
    <x v="1"/>
    <x v="3"/>
  </r>
  <r>
    <s v="063"/>
    <s v="0230"/>
    <s v="荒牧センター"/>
    <x v="7"/>
    <s v="01"/>
    <s v="集会所"/>
    <x v="25"/>
    <n v="6"/>
    <x v="25"/>
    <n v="229.29"/>
    <n v="313.06"/>
    <n v="313.06"/>
    <s v="単独"/>
    <s v="RC"/>
    <n v="2"/>
    <n v="0"/>
    <s v="旧"/>
    <m/>
    <x v="2"/>
    <m/>
    <m/>
    <m/>
    <n v="47"/>
    <s v="C"/>
    <s v="C"/>
    <s v="D"/>
    <s v="-"/>
    <s v="A"/>
    <s v="B"/>
    <s v="C"/>
    <s v="-"/>
    <s v="-"/>
    <s v="C"/>
    <n v="58.787878787878789"/>
    <x v="0"/>
    <x v="0"/>
    <m/>
    <m/>
    <s v="公財台帳・固資台帳"/>
    <s v="170"/>
    <s v="G041100"/>
    <x v="1"/>
    <x v="3"/>
  </r>
  <r>
    <s v="064"/>
    <s v="0258"/>
    <s v="鶴田センター"/>
    <x v="7"/>
    <s v="01"/>
    <s v="集会所"/>
    <x v="9"/>
    <n v="3"/>
    <x v="9"/>
    <n v="261.89"/>
    <n v="310.32"/>
    <n v="310.32"/>
    <s v="単独"/>
    <s v="RC"/>
    <n v="2"/>
    <n v="0"/>
    <s v="新"/>
    <s v="-"/>
    <x v="1"/>
    <m/>
    <m/>
    <m/>
    <n v="47"/>
    <s v="B"/>
    <s v="B"/>
    <s v="D"/>
    <s v="-"/>
    <s v="C"/>
    <s v="D"/>
    <s v="B"/>
    <s v="-"/>
    <s v="-"/>
    <s v="C"/>
    <n v="61.212121212121204"/>
    <x v="0"/>
    <x v="0"/>
    <m/>
    <m/>
    <s v="公財台帳・固資台帳"/>
    <s v="170"/>
    <s v="G041100"/>
    <x v="1"/>
    <x v="3"/>
  </r>
  <r>
    <s v="065"/>
    <s v="0219"/>
    <s v="あすなろセンター"/>
    <x v="7"/>
    <s v="01"/>
    <s v="集会所"/>
    <x v="12"/>
    <n v="8"/>
    <x v="12"/>
    <n v="129.80000000000001"/>
    <n v="129"/>
    <n v="129"/>
    <s v="単独"/>
    <s v="RC"/>
    <n v="1"/>
    <n v="0"/>
    <s v="旧"/>
    <m/>
    <x v="2"/>
    <m/>
    <m/>
    <m/>
    <n v="47"/>
    <s v="C"/>
    <s v="A"/>
    <s v="D"/>
    <s v="-"/>
    <s v="D"/>
    <s v="D"/>
    <s v="B"/>
    <s v="-"/>
    <s v="-"/>
    <s v="C"/>
    <n v="66.285714285714278"/>
    <x v="0"/>
    <x v="0"/>
    <m/>
    <m/>
    <s v="公財台帳・固資台帳"/>
    <s v="170"/>
    <s v="G041100"/>
    <x v="1"/>
    <x v="3"/>
  </r>
  <r>
    <s v="066"/>
    <s v="0240"/>
    <s v="安堂寺センター"/>
    <x v="7"/>
    <s v="01"/>
    <s v="集会所"/>
    <x v="34"/>
    <n v="3"/>
    <x v="34"/>
    <n v="198.54"/>
    <n v="312.98"/>
    <n v="312.98"/>
    <s v="単独"/>
    <s v="RC"/>
    <n v="2"/>
    <n v="0"/>
    <s v="旧"/>
    <m/>
    <x v="2"/>
    <m/>
    <m/>
    <m/>
    <n v="47"/>
    <s v="B"/>
    <s v="C"/>
    <s v="D"/>
    <s v="-"/>
    <s v="D"/>
    <s v="D"/>
    <s v="B"/>
    <s v="-"/>
    <s v="-"/>
    <s v="D"/>
    <n v="70.303030303030297"/>
    <x v="0"/>
    <x v="0"/>
    <m/>
    <m/>
    <s v="公財台帳・固資台帳"/>
    <s v="170"/>
    <s v="G041100"/>
    <x v="1"/>
    <x v="3"/>
  </r>
  <r>
    <s v="067"/>
    <s v="0244"/>
    <s v="南野センター"/>
    <x v="7"/>
    <s v="01"/>
    <s v="集会所"/>
    <x v="30"/>
    <n v="3"/>
    <x v="30"/>
    <n v="182.05"/>
    <n v="317.2"/>
    <n v="317.2"/>
    <s v="単独"/>
    <s v="RC"/>
    <n v="2"/>
    <n v="0"/>
    <s v="新"/>
    <s v="-"/>
    <x v="1"/>
    <m/>
    <m/>
    <m/>
    <n v="47"/>
    <s v="B"/>
    <s v="B"/>
    <s v="B"/>
    <s v="-"/>
    <s v="D"/>
    <s v="C"/>
    <s v="A"/>
    <s v="-"/>
    <s v="-"/>
    <s v="C"/>
    <n v="54.54545454545454"/>
    <x v="0"/>
    <x v="0"/>
    <m/>
    <m/>
    <s v="公財台帳・固資台帳"/>
    <s v="170"/>
    <s v="G041100"/>
    <x v="1"/>
    <x v="3"/>
  </r>
  <r>
    <s v="068"/>
    <s v="0249"/>
    <s v="車塚センター"/>
    <x v="7"/>
    <s v="01"/>
    <s v="集会所"/>
    <x v="31"/>
    <n v="3"/>
    <x v="31"/>
    <n v="159.25"/>
    <n v="155.5"/>
    <n v="155.5"/>
    <s v="単独"/>
    <s v="RC"/>
    <n v="1"/>
    <n v="0"/>
    <s v="新"/>
    <s v="-"/>
    <x v="1"/>
    <m/>
    <m/>
    <m/>
    <n v="47"/>
    <s v="B"/>
    <s v="A"/>
    <s v="A"/>
    <s v="-"/>
    <s v="D"/>
    <s v="C"/>
    <s v="C"/>
    <s v="-"/>
    <s v="-"/>
    <s v="B"/>
    <n v="49.090909090909093"/>
    <x v="0"/>
    <x v="0"/>
    <m/>
    <m/>
    <s v="原課報告"/>
    <s v="170"/>
    <s v="G041100"/>
    <x v="1"/>
    <x v="3"/>
  </r>
  <r>
    <s v="069"/>
    <s v="0203"/>
    <s v="緑ケ丘センター"/>
    <x v="7"/>
    <s v="01"/>
    <s v="集会所"/>
    <x v="6"/>
    <n v="2"/>
    <x v="6"/>
    <n v="202.46"/>
    <n v="538"/>
    <n v="538"/>
    <s v="単独"/>
    <s v="RC"/>
    <n v="3"/>
    <n v="0"/>
    <s v="旧"/>
    <m/>
    <x v="2"/>
    <m/>
    <m/>
    <m/>
    <n v="47"/>
    <s v="C"/>
    <s v="B"/>
    <s v="D"/>
    <s v="-"/>
    <s v="D"/>
    <s v="B"/>
    <s v="C"/>
    <s v="-"/>
    <s v="-"/>
    <s v="D"/>
    <n v="70.303030303030297"/>
    <x v="0"/>
    <x v="0"/>
    <m/>
    <m/>
    <s v="原課報告"/>
    <s v="170"/>
    <s v="G041100"/>
    <x v="1"/>
    <x v="3"/>
  </r>
  <r>
    <s v="070"/>
    <s v="0208"/>
    <s v="東緑ケ丘センター"/>
    <x v="7"/>
    <s v="01"/>
    <s v="集会所"/>
    <x v="0"/>
    <n v="9"/>
    <x v="0"/>
    <n v="105.6"/>
    <n v="161.38"/>
    <n v="161.38"/>
    <s v="単独"/>
    <s v="RC"/>
    <n v="2"/>
    <n v="0"/>
    <s v="旧"/>
    <m/>
    <x v="2"/>
    <m/>
    <m/>
    <m/>
    <n v="47"/>
    <s v="C"/>
    <s v="C"/>
    <s v="D"/>
    <s v="-"/>
    <s v="D"/>
    <s v="D"/>
    <s v="D"/>
    <s v="-"/>
    <s v="-"/>
    <s v="D"/>
    <n v="83.030303030303031"/>
    <x v="0"/>
    <x v="0"/>
    <m/>
    <m/>
    <s v="公財台帳・固資台帳"/>
    <s v="170"/>
    <s v="G041100"/>
    <x v="1"/>
    <x v="3"/>
  </r>
  <r>
    <s v="071"/>
    <s v="0215"/>
    <s v="広畑センター"/>
    <x v="7"/>
    <s v="01"/>
    <s v="集会所"/>
    <x v="12"/>
    <n v="3"/>
    <x v="12"/>
    <n v="198.55"/>
    <n v="344.12"/>
    <n v="344.12"/>
    <s v="単独"/>
    <s v="RC"/>
    <n v="2"/>
    <n v="0"/>
    <s v="旧"/>
    <m/>
    <x v="2"/>
    <m/>
    <m/>
    <m/>
    <n v="47"/>
    <s v="C"/>
    <s v="D"/>
    <s v="C"/>
    <s v="-"/>
    <s v="D"/>
    <s v="D"/>
    <s v="B"/>
    <s v="-"/>
    <s v="-"/>
    <s v="D"/>
    <n v="76.363636363636374"/>
    <x v="0"/>
    <x v="0"/>
    <m/>
    <m/>
    <s v="公財台帳・固資台帳"/>
    <s v="170"/>
    <s v="G041100"/>
    <x v="1"/>
    <x v="3"/>
  </r>
  <r>
    <s v="072"/>
    <s v="0224"/>
    <s v="瑞穂センター"/>
    <x v="7"/>
    <s v="01"/>
    <s v="集会所"/>
    <x v="13"/>
    <n v="3"/>
    <x v="13"/>
    <n v="209.27500000000001"/>
    <n v="316.26"/>
    <n v="316.26"/>
    <s v="単独"/>
    <s v="RC"/>
    <n v="2"/>
    <n v="0"/>
    <s v="旧"/>
    <m/>
    <x v="2"/>
    <m/>
    <m/>
    <m/>
    <n v="47"/>
    <s v="C"/>
    <s v="B"/>
    <s v="D"/>
    <s v="-"/>
    <s v="D"/>
    <s v="D"/>
    <s v="B"/>
    <s v="-"/>
    <s v="-"/>
    <s v="D"/>
    <n v="71.515151515151516"/>
    <x v="0"/>
    <x v="0"/>
    <m/>
    <m/>
    <s v="公財台帳・固資台帳"/>
    <s v="170"/>
    <s v="G041100"/>
    <x v="1"/>
    <x v="3"/>
  </r>
  <r>
    <s v="073"/>
    <s v="0264"/>
    <s v="東野センター"/>
    <x v="7"/>
    <s v="01"/>
    <s v="集会所"/>
    <x v="35"/>
    <n v="3"/>
    <x v="35"/>
    <n v="105.19"/>
    <n v="105.19"/>
    <n v="105.19"/>
    <s v="単独"/>
    <s v="RC"/>
    <n v="1"/>
    <n v="0"/>
    <s v="新"/>
    <s v="-"/>
    <x v="1"/>
    <m/>
    <m/>
    <m/>
    <n v="47"/>
    <s v="B"/>
    <s v="C"/>
    <s v="D"/>
    <s v="-"/>
    <s v="B"/>
    <s v="C"/>
    <s v="B"/>
    <s v="-"/>
    <s v="-"/>
    <s v="C"/>
    <n v="57.714285714285715"/>
    <x v="0"/>
    <x v="0"/>
    <m/>
    <m/>
    <s v="公財台帳・固資台帳"/>
    <s v="170"/>
    <s v="G041100"/>
    <x v="1"/>
    <x v="3"/>
  </r>
  <r>
    <s v="074"/>
    <s v="0223"/>
    <s v="有岡センター"/>
    <x v="7"/>
    <s v="01"/>
    <s v="集会所"/>
    <x v="13"/>
    <n v="3"/>
    <x v="13"/>
    <n v="243.15"/>
    <n v="326.48"/>
    <n v="326.48"/>
    <s v="単独"/>
    <s v="RC"/>
    <n v="2"/>
    <n v="0"/>
    <s v="旧"/>
    <m/>
    <x v="2"/>
    <m/>
    <m/>
    <m/>
    <n v="47"/>
    <s v="C"/>
    <s v="B"/>
    <s v="D"/>
    <s v="-"/>
    <s v="D"/>
    <s v="D"/>
    <s v="C"/>
    <s v="-"/>
    <s v="-"/>
    <s v="D"/>
    <n v="70.909090909090907"/>
    <x v="0"/>
    <x v="0"/>
    <m/>
    <m/>
    <s v="公財台帳・固資台帳"/>
    <s v="170"/>
    <s v="G041100"/>
    <x v="1"/>
    <x v="3"/>
  </r>
  <r>
    <s v="075"/>
    <s v="0241"/>
    <s v="東有岡センター"/>
    <x v="7"/>
    <s v="01"/>
    <s v="集会所"/>
    <x v="34"/>
    <n v="3"/>
    <x v="34"/>
    <n v="120"/>
    <n v="120"/>
    <n v="120"/>
    <s v="単独"/>
    <s v="RC"/>
    <n v="1"/>
    <n v="0"/>
    <s v="旧"/>
    <m/>
    <x v="2"/>
    <m/>
    <m/>
    <m/>
    <n v="47"/>
    <s v="B"/>
    <s v="B"/>
    <s v="D"/>
    <s v="-"/>
    <s v="C"/>
    <s v="D"/>
    <s v="C"/>
    <s v="-"/>
    <s v="-"/>
    <s v="C"/>
    <n v="67.272727272727266"/>
    <x v="0"/>
    <x v="0"/>
    <m/>
    <m/>
    <s v="公財台帳・固資台帳"/>
    <s v="170"/>
    <s v="G041100"/>
    <x v="1"/>
    <x v="3"/>
  </r>
  <r>
    <s v="076"/>
    <s v="0247"/>
    <s v="植松会場"/>
    <x v="7"/>
    <s v="01"/>
    <s v="集会所"/>
    <x v="30"/>
    <n v="3"/>
    <x v="30"/>
    <n v="90.38"/>
    <n v="162.68"/>
    <n v="162.68"/>
    <s v="単独"/>
    <s v="RC"/>
    <n v="2"/>
    <n v="0"/>
    <s v="新"/>
    <s v="-"/>
    <x v="1"/>
    <m/>
    <m/>
    <m/>
    <n v="47"/>
    <s v="B"/>
    <s v="D"/>
    <s v="D"/>
    <s v="-"/>
    <s v="D"/>
    <s v="C"/>
    <s v="B"/>
    <s v="-"/>
    <s v="-"/>
    <s v="C"/>
    <n v="68.484848484848484"/>
    <x v="0"/>
    <x v="0"/>
    <m/>
    <m/>
    <s v="公財台帳・固資台帳"/>
    <s v="170"/>
    <s v="G041100"/>
    <x v="1"/>
    <x v="3"/>
  </r>
  <r>
    <s v="077"/>
    <s v="0231"/>
    <s v="若竹センター"/>
    <x v="7"/>
    <s v="01"/>
    <s v="集会所"/>
    <x v="25"/>
    <n v="6"/>
    <x v="25"/>
    <n v="75.069999999999993"/>
    <n v="147.6"/>
    <n v="147.6"/>
    <s v="単独"/>
    <s v="RC"/>
    <n v="2"/>
    <n v="0"/>
    <s v="旧"/>
    <m/>
    <x v="2"/>
    <m/>
    <m/>
    <m/>
    <n v="47"/>
    <s v="C"/>
    <s v="B"/>
    <s v="A"/>
    <s v="-"/>
    <s v="D"/>
    <s v="D"/>
    <s v="C"/>
    <s v="-"/>
    <s v="-"/>
    <s v="C"/>
    <n v="63.030303030303038"/>
    <x v="0"/>
    <x v="0"/>
    <m/>
    <m/>
    <s v="公財台帳・固資台帳"/>
    <s v="170"/>
    <s v="G041100"/>
    <x v="1"/>
    <x v="3"/>
  </r>
  <r>
    <s v="078"/>
    <s v="0239"/>
    <s v="池尻南センター"/>
    <x v="7"/>
    <s v="01"/>
    <s v="集会所"/>
    <x v="34"/>
    <n v="3"/>
    <x v="34"/>
    <n v="71.94"/>
    <n v="140.43"/>
    <n v="140.43"/>
    <s v="単独"/>
    <s v="RC"/>
    <n v="2"/>
    <n v="0"/>
    <s v="旧"/>
    <m/>
    <x v="2"/>
    <m/>
    <m/>
    <m/>
    <n v="47"/>
    <s v="B"/>
    <s v="B"/>
    <s v="B"/>
    <s v="-"/>
    <s v="D"/>
    <s v="D"/>
    <s v="C"/>
    <s v="-"/>
    <s v="-"/>
    <s v="C"/>
    <n v="65.454545454545453"/>
    <x v="0"/>
    <x v="0"/>
    <m/>
    <m/>
    <s v="公財台帳・固資台帳"/>
    <s v="170"/>
    <s v="G041100"/>
    <x v="1"/>
    <x v="3"/>
  </r>
  <r>
    <s v="079"/>
    <s v="0234"/>
    <s v="野間笠松センター"/>
    <x v="7"/>
    <s v="01"/>
    <s v="集会所"/>
    <x v="7"/>
    <n v="8"/>
    <x v="7"/>
    <n v="189.84"/>
    <n v="281.83"/>
    <n v="281.83"/>
    <s v="複合"/>
    <s v="RC"/>
    <n v="2"/>
    <n v="0"/>
    <s v="旧"/>
    <m/>
    <x v="2"/>
    <m/>
    <m/>
    <m/>
    <n v="47"/>
    <s v="C"/>
    <s v="B"/>
    <s v="A"/>
    <s v="-"/>
    <s v="D"/>
    <s v="D"/>
    <s v="C"/>
    <s v="-"/>
    <s v="-"/>
    <s v="C"/>
    <n v="63.428571428571431"/>
    <x v="0"/>
    <x v="0"/>
    <m/>
    <m/>
    <s v="公財台帳・固資台帳"/>
    <s v="170"/>
    <s v="G041100"/>
    <x v="1"/>
    <x v="3"/>
  </r>
  <r>
    <s v="080"/>
    <s v="0253"/>
    <s v="山田西在センター"/>
    <x v="7"/>
    <s v="01"/>
    <s v="集会所"/>
    <x v="2"/>
    <n v="3"/>
    <x v="2"/>
    <n v="145.74"/>
    <n v="138.28"/>
    <n v="138.28"/>
    <s v="単独"/>
    <s v="RC"/>
    <n v="1"/>
    <n v="0"/>
    <s v="新"/>
    <s v="-"/>
    <x v="1"/>
    <m/>
    <m/>
    <m/>
    <n v="47"/>
    <s v="B"/>
    <s v="D"/>
    <s v="D"/>
    <s v="-"/>
    <s v="C"/>
    <s v="D"/>
    <s v="C"/>
    <s v="-"/>
    <s v="-"/>
    <s v="D"/>
    <n v="75.428571428571416"/>
    <x v="0"/>
    <x v="0"/>
    <m/>
    <m/>
    <s v="公財台帳・固資台帳"/>
    <s v="170"/>
    <s v="G041100"/>
    <x v="1"/>
    <x v="3"/>
  </r>
  <r>
    <s v="081"/>
    <s v="0261"/>
    <s v="寺本東センター"/>
    <x v="7"/>
    <s v="01"/>
    <s v="集会所"/>
    <x v="11"/>
    <n v="3"/>
    <x v="11"/>
    <n v="108.19"/>
    <n v="101.19"/>
    <n v="101.19"/>
    <s v="単独"/>
    <s v="RC"/>
    <n v="1"/>
    <n v="0"/>
    <s v="新"/>
    <s v="-"/>
    <x v="1"/>
    <m/>
    <m/>
    <m/>
    <n v="47"/>
    <s v="B"/>
    <s v="D"/>
    <s v="D"/>
    <s v="-"/>
    <s v="C"/>
    <s v="D"/>
    <s v="D"/>
    <s v="-"/>
    <s v="-"/>
    <s v="D"/>
    <n v="75.757575757575751"/>
    <x v="0"/>
    <x v="0"/>
    <m/>
    <m/>
    <s v="公財台帳・固資台帳"/>
    <s v="170"/>
    <s v="G041100"/>
    <x v="1"/>
    <x v="3"/>
  </r>
  <r>
    <s v="082"/>
    <s v="0263"/>
    <s v="山田東センター"/>
    <x v="7"/>
    <s v="01"/>
    <s v="集会所"/>
    <x v="36"/>
    <n v="3"/>
    <x v="36"/>
    <n v="107.04"/>
    <n v="107.04"/>
    <n v="107.04"/>
    <s v="単独"/>
    <s v="RC"/>
    <n v="1"/>
    <n v="0"/>
    <s v="新"/>
    <s v="-"/>
    <x v="1"/>
    <m/>
    <m/>
    <m/>
    <n v="47"/>
    <s v="B"/>
    <s v="D"/>
    <s v="D"/>
    <s v="-"/>
    <s v="C"/>
    <s v="C"/>
    <s v="C"/>
    <s v="-"/>
    <s v="-"/>
    <s v="D"/>
    <n v="70.909090909090907"/>
    <x v="0"/>
    <x v="0"/>
    <m/>
    <m/>
    <s v="公財台帳・固資台帳"/>
    <s v="170"/>
    <s v="G041100"/>
    <x v="1"/>
    <x v="3"/>
  </r>
  <r>
    <s v="083"/>
    <s v="0217"/>
    <s v="堀池センター"/>
    <x v="5"/>
    <s v="01"/>
    <s v="人権啓発ｾﾝﾀｰ"/>
    <x v="12"/>
    <n v="7"/>
    <x v="12"/>
    <m/>
    <m/>
    <m/>
    <s v="単独"/>
    <s v="RC"/>
    <n v="3"/>
    <n v="0"/>
    <s v="旧"/>
    <s v="済"/>
    <x v="1"/>
    <m/>
    <n v="2009"/>
    <n v="2013"/>
    <n v="50"/>
    <s v="C"/>
    <s v="A"/>
    <s v="A"/>
    <s v="-"/>
    <s v="A"/>
    <s v="A"/>
    <s v="C"/>
    <s v="-"/>
    <s v="-"/>
    <s v="B"/>
    <n v="47.878787878787875"/>
    <x v="0"/>
    <x v="0"/>
    <m/>
    <m/>
    <s v="公財台帳・固資台帳"/>
    <s v="220"/>
    <s v="G043300"/>
    <x v="1"/>
    <x v="3"/>
  </r>
  <r>
    <s v="084"/>
    <s v="0232"/>
    <s v="美鈴センター"/>
    <x v="7"/>
    <s v="01"/>
    <s v="集会所"/>
    <x v="25"/>
    <n v="6"/>
    <x v="25"/>
    <n v="143.46"/>
    <n v="135.5"/>
    <n v="135.5"/>
    <s v="単独"/>
    <s v="RC"/>
    <n v="1"/>
    <n v="0"/>
    <s v="旧"/>
    <m/>
    <x v="2"/>
    <m/>
    <m/>
    <m/>
    <n v="47"/>
    <s v="C"/>
    <s v="B"/>
    <s v="C"/>
    <s v="-"/>
    <s v="B"/>
    <s v="B"/>
    <s v="A"/>
    <s v="-"/>
    <s v="-"/>
    <s v="B"/>
    <n v="49.696969696969695"/>
    <x v="0"/>
    <x v="0"/>
    <m/>
    <m/>
    <s v="公財台帳・固資台帳"/>
    <s v="170"/>
    <s v="G041100"/>
    <x v="1"/>
    <x v="3"/>
  </r>
  <r>
    <s v="085"/>
    <s v="0245"/>
    <s v="よつばセンター"/>
    <x v="7"/>
    <s v="01"/>
    <s v="集会所"/>
    <x v="30"/>
    <n v="3"/>
    <x v="30"/>
    <n v="238.25"/>
    <n v="400.8"/>
    <n v="400.8"/>
    <s v="単独"/>
    <s v="RC"/>
    <n v="2"/>
    <n v="0"/>
    <s v="新"/>
    <s v="-"/>
    <x v="1"/>
    <m/>
    <m/>
    <m/>
    <n v="47"/>
    <s v="B"/>
    <s v="C"/>
    <s v="D"/>
    <s v="-"/>
    <s v="D"/>
    <s v="C"/>
    <s v="B"/>
    <s v="-"/>
    <s v="-"/>
    <s v="C"/>
    <n v="66.060606060606062"/>
    <x v="0"/>
    <x v="0"/>
    <m/>
    <m/>
    <s v="公財台帳・固資台帳"/>
    <s v="170"/>
    <s v="G041100"/>
    <x v="1"/>
    <x v="3"/>
  </r>
  <r>
    <s v="086"/>
    <s v="0252"/>
    <s v="せつようセンター"/>
    <x v="7"/>
    <s v="01"/>
    <s v="集会所"/>
    <x v="31"/>
    <n v="3"/>
    <x v="31"/>
    <n v="349.18"/>
    <n v="327.84"/>
    <n v="327.84"/>
    <s v="単独"/>
    <s v="RC"/>
    <n v="1"/>
    <n v="0"/>
    <s v="新"/>
    <s v="-"/>
    <x v="1"/>
    <m/>
    <m/>
    <m/>
    <n v="47"/>
    <s v="B"/>
    <s v="B"/>
    <s v="B"/>
    <s v="-"/>
    <s v="C"/>
    <s v="D"/>
    <s v="D"/>
    <s v="-"/>
    <s v="-"/>
    <s v="C"/>
    <n v="68.484848484848484"/>
    <x v="0"/>
    <x v="0"/>
    <m/>
    <m/>
    <s v="公財台帳・固資台帳"/>
    <s v="170"/>
    <s v="G041100"/>
    <x v="1"/>
    <x v="3"/>
  </r>
  <r>
    <s v="087"/>
    <s v="0210"/>
    <s v="ゆうかりセンター"/>
    <x v="7"/>
    <s v="01"/>
    <s v="集会所"/>
    <x v="1"/>
    <n v="3"/>
    <x v="1"/>
    <n v="208.65"/>
    <n v="334.97"/>
    <n v="334.97"/>
    <s v="単独"/>
    <s v="RC"/>
    <n v="2"/>
    <n v="0"/>
    <s v="旧"/>
    <m/>
    <x v="2"/>
    <m/>
    <m/>
    <m/>
    <n v="47"/>
    <s v="C"/>
    <s v="C"/>
    <s v="D"/>
    <s v="-"/>
    <s v="D"/>
    <s v="C"/>
    <s v="B"/>
    <s v="-"/>
    <s v="-"/>
    <s v="D"/>
    <n v="73.714285714285708"/>
    <x v="0"/>
    <x v="0"/>
    <m/>
    <m/>
    <s v="公財台帳・固資台帳"/>
    <s v="170"/>
    <s v="G041100"/>
    <x v="1"/>
    <x v="3"/>
  </r>
  <r>
    <s v="088"/>
    <s v="0218"/>
    <s v="南菱センター"/>
    <x v="7"/>
    <s v="01"/>
    <s v="集会所"/>
    <x v="12"/>
    <n v="8"/>
    <x v="12"/>
    <n v="133.22999999999999"/>
    <n v="131"/>
    <n v="131"/>
    <s v="単独"/>
    <s v="RC"/>
    <n v="2"/>
    <n v="0"/>
    <s v="旧"/>
    <m/>
    <x v="2"/>
    <m/>
    <m/>
    <m/>
    <n v="47"/>
    <s v="C"/>
    <s v="D"/>
    <s v="D"/>
    <s v="-"/>
    <s v="D"/>
    <s v="D"/>
    <s v="C"/>
    <s v="-"/>
    <s v="-"/>
    <s v="D"/>
    <n v="82.424242424242422"/>
    <x v="0"/>
    <x v="0"/>
    <m/>
    <m/>
    <s v="公財台帳・固資台帳"/>
    <s v="170"/>
    <s v="G041100"/>
    <x v="1"/>
    <x v="3"/>
  </r>
  <r>
    <s v="089"/>
    <s v="0236"/>
    <s v="さつきセンター"/>
    <x v="7"/>
    <s v="01"/>
    <s v="集会所"/>
    <x v="29"/>
    <n v="3"/>
    <x v="29"/>
    <n v="120.55"/>
    <n v="120"/>
    <n v="120"/>
    <s v="単独"/>
    <s v="RC"/>
    <n v="1"/>
    <n v="0"/>
    <s v="旧"/>
    <m/>
    <x v="2"/>
    <m/>
    <m/>
    <m/>
    <n v="47"/>
    <s v="B"/>
    <s v="B"/>
    <s v="D"/>
    <s v="-"/>
    <s v="D"/>
    <s v="D"/>
    <s v="D"/>
    <s v="-"/>
    <s v="-"/>
    <s v="D"/>
    <n v="75.757575757575751"/>
    <x v="0"/>
    <x v="0"/>
    <m/>
    <m/>
    <s v="公財台帳・固資台帳"/>
    <s v="170"/>
    <s v="G041100"/>
    <x v="1"/>
    <x v="3"/>
  </r>
  <r>
    <s v="090"/>
    <s v="0212"/>
    <s v="大野センター"/>
    <x v="7"/>
    <s v="01"/>
    <s v="集会所"/>
    <x v="1"/>
    <n v="3"/>
    <x v="1"/>
    <n v="137.38999999999999"/>
    <n v="136.4"/>
    <n v="136.4"/>
    <s v="単独"/>
    <s v="RC"/>
    <n v="1"/>
    <n v="0"/>
    <s v="旧"/>
    <m/>
    <x v="2"/>
    <m/>
    <m/>
    <m/>
    <n v="47"/>
    <s v="C"/>
    <s v="B"/>
    <s v="D"/>
    <s v="-"/>
    <s v="D"/>
    <s v="D"/>
    <s v="B"/>
    <s v="-"/>
    <s v="-"/>
    <s v="C"/>
    <n v="67.878787878787875"/>
    <x v="0"/>
    <x v="0"/>
    <m/>
    <m/>
    <s v="公財台帳・固資台帳"/>
    <s v="170"/>
    <s v="G041100"/>
    <x v="1"/>
    <x v="3"/>
  </r>
  <r>
    <s v="091"/>
    <s v="0220"/>
    <s v="荻野センター"/>
    <x v="7"/>
    <s v="01"/>
    <s v="集会所"/>
    <x v="12"/>
    <n v="9"/>
    <x v="12"/>
    <n v="160.19999999999999"/>
    <n v="315"/>
    <n v="315"/>
    <s v="単独"/>
    <s v="RC"/>
    <n v="2"/>
    <n v="0"/>
    <s v="旧"/>
    <m/>
    <x v="2"/>
    <m/>
    <m/>
    <m/>
    <n v="47"/>
    <s v="C"/>
    <s v="B"/>
    <s v="A"/>
    <s v="-"/>
    <s v="D"/>
    <s v="A"/>
    <s v="C"/>
    <s v="-"/>
    <s v="-"/>
    <s v="C"/>
    <n v="57.575757575757571"/>
    <x v="0"/>
    <x v="0"/>
    <m/>
    <m/>
    <s v="公財台帳・固資台帳"/>
    <s v="170"/>
    <s v="G041100"/>
    <x v="1"/>
    <x v="3"/>
  </r>
  <r>
    <s v="091"/>
    <s v="0220"/>
    <s v="荻野センター"/>
    <x v="7"/>
    <s v="02"/>
    <s v="管理棟"/>
    <x v="12"/>
    <n v="9"/>
    <x v="12"/>
    <n v="60"/>
    <n v="60"/>
    <n v="60"/>
    <s v="単独"/>
    <s v="RC"/>
    <n v="1"/>
    <n v="0"/>
    <s v="旧"/>
    <m/>
    <x v="2"/>
    <m/>
    <m/>
    <m/>
    <n v="47"/>
    <s v="C"/>
    <s v="B"/>
    <s v="A"/>
    <s v="-"/>
    <s v="D"/>
    <s v="A"/>
    <s v="C"/>
    <s v="-"/>
    <s v="-"/>
    <s v="C"/>
    <n v="57.575757575757571"/>
    <x v="4"/>
    <x v="0"/>
    <m/>
    <m/>
    <s v="公財台帳・固資台帳"/>
    <s v="170"/>
    <s v="G041100"/>
    <x v="1"/>
    <x v="3"/>
  </r>
  <r>
    <s v="092"/>
    <s v="0235"/>
    <s v="西野センター"/>
    <x v="7"/>
    <s v="01"/>
    <s v="集会所"/>
    <x v="29"/>
    <n v="3"/>
    <x v="29"/>
    <n v="126"/>
    <n v="122.3"/>
    <n v="122.3"/>
    <s v="単独"/>
    <s v="RC"/>
    <n v="1"/>
    <n v="0"/>
    <s v="旧"/>
    <m/>
    <x v="2"/>
    <m/>
    <m/>
    <m/>
    <n v="47"/>
    <s v="B"/>
    <s v="A"/>
    <s v="D"/>
    <s v="-"/>
    <s v="D"/>
    <s v="D"/>
    <s v="B"/>
    <s v="-"/>
    <s v="-"/>
    <s v="C"/>
    <n v="61.142857142857146"/>
    <x v="0"/>
    <x v="0"/>
    <m/>
    <m/>
    <s v="公財台帳・固資台帳"/>
    <s v="170"/>
    <s v="G041100"/>
    <x v="1"/>
    <x v="3"/>
  </r>
  <r>
    <s v="093"/>
    <s v="0248"/>
    <s v="池尻文化センター"/>
    <x v="7"/>
    <s v="01"/>
    <s v="集会所"/>
    <x v="30"/>
    <n v="7"/>
    <x v="30"/>
    <n v="294.69"/>
    <n v="406.53"/>
    <n v="406.53"/>
    <s v="単独"/>
    <s v="RC"/>
    <n v="2"/>
    <n v="0"/>
    <s v="新"/>
    <s v="-"/>
    <x v="1"/>
    <m/>
    <m/>
    <m/>
    <n v="47"/>
    <s v="B"/>
    <s v="D"/>
    <s v="D"/>
    <s v="-"/>
    <s v="A"/>
    <s v="B"/>
    <s v="D"/>
    <s v="-"/>
    <s v="-"/>
    <s v="C"/>
    <n v="68.571428571428569"/>
    <x v="0"/>
    <x v="0"/>
    <m/>
    <m/>
    <s v="公財台帳・固資台帳"/>
    <s v="170"/>
    <s v="G041100"/>
    <x v="1"/>
    <x v="3"/>
  </r>
  <r>
    <s v="094"/>
    <s v="0270"/>
    <s v="武庫川センター"/>
    <x v="7"/>
    <s v="01"/>
    <s v="集会所"/>
    <x v="37"/>
    <n v="3"/>
    <x v="37"/>
    <n v="126.24299999999999"/>
    <n v="247"/>
    <n v="247"/>
    <s v="単独"/>
    <s v="RC"/>
    <n v="2"/>
    <n v="0"/>
    <s v="新"/>
    <s v="-"/>
    <x v="1"/>
    <m/>
    <m/>
    <m/>
    <n v="47"/>
    <s v="B"/>
    <s v="D"/>
    <s v="C"/>
    <s v="-"/>
    <s v="A"/>
    <s v="A"/>
    <s v="C"/>
    <s v="-"/>
    <s v="-"/>
    <s v="C"/>
    <n v="52.222222222222214"/>
    <x v="0"/>
    <x v="0"/>
    <m/>
    <m/>
    <s v="公財台帳・固資台帳"/>
    <s v="170"/>
    <s v="G041100"/>
    <x v="1"/>
    <x v="3"/>
  </r>
  <r>
    <s v="095"/>
    <s v="0222"/>
    <s v="鴻池センター"/>
    <x v="7"/>
    <s v="01"/>
    <s v="集会所"/>
    <x v="13"/>
    <n v="3"/>
    <x v="13"/>
    <n v="252.87"/>
    <n v="364.5"/>
    <n v="364.5"/>
    <s v="単独"/>
    <s v="RC"/>
    <n v="2"/>
    <n v="0"/>
    <s v="旧"/>
    <m/>
    <x v="2"/>
    <m/>
    <m/>
    <m/>
    <n v="47"/>
    <s v="C"/>
    <s v="B"/>
    <s v="D"/>
    <s v="-"/>
    <s v="D"/>
    <s v="D"/>
    <s v="C"/>
    <s v="-"/>
    <s v="-"/>
    <s v="D"/>
    <n v="75.757575757575751"/>
    <x v="0"/>
    <x v="0"/>
    <m/>
    <m/>
    <s v="公財台帳・固資台帳"/>
    <s v="170"/>
    <s v="G041100"/>
    <x v="1"/>
    <x v="3"/>
  </r>
  <r>
    <s v="095"/>
    <s v="0222"/>
    <s v="鴻池センター"/>
    <x v="7"/>
    <s v="02"/>
    <s v="管理棟"/>
    <x v="13"/>
    <n v="3"/>
    <x v="13"/>
    <m/>
    <n v="60.75"/>
    <n v="60.75"/>
    <s v="単独"/>
    <s v="RC"/>
    <n v="2"/>
    <n v="0"/>
    <s v="旧"/>
    <m/>
    <x v="2"/>
    <m/>
    <m/>
    <m/>
    <n v="47"/>
    <s v="C"/>
    <s v="B"/>
    <s v="D"/>
    <s v="-"/>
    <s v="D"/>
    <s v="D"/>
    <s v="C"/>
    <s v="-"/>
    <s v="-"/>
    <s v="D"/>
    <n v="75.757575757575751"/>
    <x v="0"/>
    <x v="0"/>
    <m/>
    <m/>
    <s v="公財台帳・固資台帳"/>
    <s v="170"/>
    <s v="G041100"/>
    <x v="1"/>
    <x v="3"/>
  </r>
  <r>
    <s v="096"/>
    <s v="0227"/>
    <s v="南畑センター"/>
    <x v="7"/>
    <s v="01"/>
    <s v="集会所"/>
    <x v="25"/>
    <n v="3"/>
    <x v="25"/>
    <n v="107.45"/>
    <n v="182.4"/>
    <n v="182.4"/>
    <s v="単独"/>
    <s v="RC"/>
    <n v="2"/>
    <n v="0"/>
    <s v="旧"/>
    <m/>
    <x v="2"/>
    <m/>
    <m/>
    <m/>
    <n v="47"/>
    <s v="C"/>
    <s v="B"/>
    <s v="D"/>
    <s v="-"/>
    <s v="C"/>
    <s v="D"/>
    <s v="C"/>
    <s v="-"/>
    <s v="-"/>
    <s v="D"/>
    <n v="71.515151515151516"/>
    <x v="0"/>
    <x v="0"/>
    <m/>
    <m/>
    <s v="公財台帳・固資台帳"/>
    <s v="170"/>
    <s v="G041100"/>
    <x v="1"/>
    <x v="3"/>
  </r>
  <r>
    <s v="097"/>
    <s v="0256"/>
    <s v="瑞原センター"/>
    <x v="7"/>
    <s v="01"/>
    <s v="集会所"/>
    <x v="2"/>
    <n v="11"/>
    <x v="2"/>
    <n v="54.11"/>
    <n v="107.22"/>
    <n v="107.22"/>
    <s v="単独"/>
    <s v="RC"/>
    <n v="2"/>
    <n v="0"/>
    <s v="新"/>
    <s v="-"/>
    <x v="1"/>
    <m/>
    <m/>
    <m/>
    <n v="47"/>
    <s v="B"/>
    <s v="D"/>
    <s v="A"/>
    <s v="-"/>
    <s v="C"/>
    <s v="D"/>
    <s v="D"/>
    <s v="-"/>
    <s v="-"/>
    <s v="D"/>
    <n v="70.909090909090907"/>
    <x v="0"/>
    <x v="0"/>
    <m/>
    <m/>
    <s v="公財台帳・固資台帳"/>
    <s v="170"/>
    <s v="G041100"/>
    <x v="1"/>
    <x v="3"/>
  </r>
  <r>
    <s v="098"/>
    <s v="0259"/>
    <s v="中野東センター"/>
    <x v="7"/>
    <s v="01"/>
    <s v="集会所"/>
    <x v="11"/>
    <n v="3"/>
    <x v="11"/>
    <n v="110.25"/>
    <n v="103.75"/>
    <n v="103.75"/>
    <s v="単独"/>
    <s v="RC"/>
    <n v="1"/>
    <n v="0"/>
    <s v="新"/>
    <s v="-"/>
    <x v="1"/>
    <m/>
    <m/>
    <m/>
    <n v="47"/>
    <s v="B"/>
    <s v="D"/>
    <s v="D"/>
    <s v="-"/>
    <s v="C"/>
    <s v="D"/>
    <s v="B"/>
    <s v="-"/>
    <s v="-"/>
    <s v="C"/>
    <n v="64.242424242424235"/>
    <x v="0"/>
    <x v="0"/>
    <m/>
    <m/>
    <s v="原課報告"/>
    <s v="170"/>
    <s v="G041100"/>
    <x v="1"/>
    <x v="3"/>
  </r>
  <r>
    <s v="099"/>
    <s v="0265"/>
    <s v="南荻野センター"/>
    <x v="7"/>
    <s v="01"/>
    <s v="集会所"/>
    <x v="35"/>
    <n v="3"/>
    <x v="35"/>
    <n v="81.61"/>
    <n v="128.34"/>
    <n v="128.34"/>
    <s v="単独"/>
    <s v="RC"/>
    <n v="2"/>
    <n v="0"/>
    <s v="新"/>
    <s v="-"/>
    <x v="1"/>
    <m/>
    <m/>
    <m/>
    <n v="47"/>
    <s v="B"/>
    <s v="D"/>
    <s v="D"/>
    <s v="-"/>
    <s v="B"/>
    <s v="C"/>
    <s v="C"/>
    <s v="-"/>
    <s v="-"/>
    <s v="C"/>
    <n v="67.272727272727266"/>
    <x v="0"/>
    <x v="0"/>
    <m/>
    <m/>
    <s v="公財台帳・固資台帳"/>
    <s v="170"/>
    <s v="G041100"/>
    <x v="1"/>
    <x v="3"/>
  </r>
  <r>
    <s v="100"/>
    <s v="1075"/>
    <s v="中央公民館"/>
    <x v="10"/>
    <s v="01"/>
    <s v="中央公民館"/>
    <x v="1"/>
    <n v="5"/>
    <x v="1"/>
    <n v="1387.99"/>
    <n v="3494.27"/>
    <n v="3494.27"/>
    <s v="単独"/>
    <s v="RC"/>
    <n v="3"/>
    <n v="1"/>
    <s v="旧"/>
    <s v="済"/>
    <x v="0"/>
    <n v="0.2"/>
    <m/>
    <m/>
    <n v="50"/>
    <s v="C"/>
    <s v="C"/>
    <s v="C"/>
    <s v="-"/>
    <s v="D"/>
    <s v="D"/>
    <s v="B"/>
    <s v="-"/>
    <s v="-"/>
    <s v="D"/>
    <n v="72.173913043478265"/>
    <x v="0"/>
    <x v="0"/>
    <m/>
    <m/>
    <s v="公財台帳・固資台帳"/>
    <s v="683"/>
    <s v="G600309"/>
    <x v="2"/>
    <x v="4"/>
  </r>
  <r>
    <s v="101"/>
    <s v="1086"/>
    <s v="生涯学習センター"/>
    <x v="11"/>
    <s v="01"/>
    <s v="生涯学習ｾﾝﾀｰ"/>
    <x v="37"/>
    <n v="3"/>
    <x v="37"/>
    <n v="1512"/>
    <n v="5067.05"/>
    <n v="4170"/>
    <s v="複合"/>
    <s v="RC"/>
    <n v="4"/>
    <n v="0"/>
    <s v="新"/>
    <s v="-"/>
    <x v="1"/>
    <m/>
    <m/>
    <m/>
    <n v="50"/>
    <s v="B"/>
    <s v="C"/>
    <s v="A"/>
    <s v="-"/>
    <s v="D"/>
    <s v="C"/>
    <s v="C"/>
    <s v="-"/>
    <s v="-"/>
    <s v="C"/>
    <n v="50.416666666666664"/>
    <x v="0"/>
    <x v="0"/>
    <m/>
    <m/>
    <s v="公財台帳・固資台帳"/>
    <s v="668"/>
    <s v="G600302"/>
    <x v="2"/>
    <x v="4"/>
  </r>
  <r>
    <s v="102"/>
    <s v="9405"/>
    <s v="北部学習センター"/>
    <x v="11"/>
    <s v="01"/>
    <s v="北部学習ｾﾝﾀｰ"/>
    <x v="4"/>
    <n v="2"/>
    <x v="4"/>
    <n v="1421.37"/>
    <n v="3622.53"/>
    <n v="2984.02"/>
    <s v="複合"/>
    <s v="RC"/>
    <n v="3"/>
    <n v="1"/>
    <s v="新"/>
    <s v="-"/>
    <x v="1"/>
    <m/>
    <m/>
    <m/>
    <n v="50"/>
    <s v="A"/>
    <s v="B"/>
    <s v="A"/>
    <s v="-"/>
    <s v="C"/>
    <s v="B"/>
    <s v="B"/>
    <s v="-"/>
    <s v="-"/>
    <s v="B"/>
    <n v="32.499999999999993"/>
    <x v="0"/>
    <x v="0"/>
    <m/>
    <m/>
    <s v="公財台帳・固資台帳"/>
    <s v="668"/>
    <s v="G600302"/>
    <x v="2"/>
    <x v="4"/>
  </r>
  <r>
    <s v="103"/>
    <s v="0502"/>
    <s v="労働福祉会館・青少年センター"/>
    <x v="12"/>
    <s v="01"/>
    <s v="労働福祉会館"/>
    <x v="8"/>
    <n v="3"/>
    <x v="8"/>
    <n v="2815.21"/>
    <n v="6369.2"/>
    <n v="6369.2"/>
    <s v="単独"/>
    <s v="RC"/>
    <n v="4"/>
    <n v="0"/>
    <s v="新"/>
    <s v="-"/>
    <x v="1"/>
    <m/>
    <m/>
    <m/>
    <n v="50"/>
    <s v="A"/>
    <s v="B"/>
    <s v="A"/>
    <s v="-"/>
    <s v="C"/>
    <s v="B"/>
    <s v="B"/>
    <s v="-"/>
    <s v="-"/>
    <s v="B"/>
    <n v="40"/>
    <x v="0"/>
    <x v="0"/>
    <m/>
    <m/>
    <s v="公財台帳・固資台帳"/>
    <s v="455"/>
    <s v="G073100"/>
    <x v="2"/>
    <x v="4"/>
  </r>
  <r>
    <s v="104"/>
    <s v="0702"/>
    <s v="産業・情報センター等"/>
    <x v="12"/>
    <s v="01"/>
    <s v="伊丹商工ﾌﾟﾗｻﾞ"/>
    <x v="8"/>
    <m/>
    <x v="8"/>
    <n v="719"/>
    <n v="4075.17"/>
    <n v="2548.2199999999998"/>
    <s v="複合"/>
    <s v="RC"/>
    <n v="7"/>
    <n v="1"/>
    <s v="新"/>
    <s v="-"/>
    <x v="1"/>
    <m/>
    <m/>
    <m/>
    <n v="50"/>
    <s v="A"/>
    <s v="B"/>
    <s v="A"/>
    <s v="-"/>
    <s v="C"/>
    <s v="B"/>
    <s v="B"/>
    <s v="-"/>
    <s v="-"/>
    <s v="B"/>
    <n v="40"/>
    <x v="0"/>
    <x v="0"/>
    <m/>
    <m/>
    <s v="公財台帳・固資台帳"/>
    <s v="455"/>
    <s v="G073100"/>
    <x v="2"/>
    <x v="4"/>
  </r>
  <r>
    <s v="105"/>
    <s v="0280"/>
    <s v="文化会館"/>
    <x v="13"/>
    <s v="01"/>
    <s v="文化会館"/>
    <x v="38"/>
    <n v="8"/>
    <x v="38"/>
    <n v="3908.15"/>
    <n v="12634.2"/>
    <n v="12634.2"/>
    <s v="単独"/>
    <s v="SRC"/>
    <n v="6"/>
    <n v="1"/>
    <s v="新"/>
    <s v="-"/>
    <x v="1"/>
    <m/>
    <m/>
    <m/>
    <n v="50"/>
    <s v="A"/>
    <s v="C"/>
    <s v="A"/>
    <s v="-"/>
    <s v="C"/>
    <s v="C"/>
    <s v="C"/>
    <s v="-"/>
    <s v="-"/>
    <s v="B"/>
    <n v="47.5"/>
    <x v="0"/>
    <x v="0"/>
    <m/>
    <m/>
    <s v="公財台帳・固資台帳"/>
    <s v="428"/>
    <s v="G071200"/>
    <x v="2"/>
    <x v="4"/>
  </r>
  <r>
    <s v="106"/>
    <s v="0286"/>
    <s v="音楽ホール"/>
    <x v="13"/>
    <s v="01"/>
    <s v="音楽ﾎｰﾙ"/>
    <x v="39"/>
    <n v="11"/>
    <x v="39"/>
    <n v="1422.37"/>
    <n v="4179.09"/>
    <n v="4179.09"/>
    <s v="単独"/>
    <s v="RC"/>
    <n v="5"/>
    <n v="0"/>
    <s v="新"/>
    <s v="-"/>
    <x v="1"/>
    <m/>
    <m/>
    <m/>
    <n v="50"/>
    <s v="B"/>
    <s v="A"/>
    <s v="A"/>
    <s v="-"/>
    <s v="D"/>
    <s v="A"/>
    <s v="C"/>
    <s v="-"/>
    <s v="-"/>
    <s v="B"/>
    <n v="40.416666666666664"/>
    <x v="0"/>
    <x v="0"/>
    <m/>
    <m/>
    <s v="公財台帳・固資台帳"/>
    <s v="428"/>
    <s v="G071200"/>
    <x v="2"/>
    <x v="4"/>
  </r>
  <r>
    <s v="107"/>
    <s v="0287"/>
    <s v="演劇ホール"/>
    <x v="13"/>
    <s v="01"/>
    <s v="演劇ﾎｰﾙ"/>
    <x v="36"/>
    <n v="11"/>
    <x v="36"/>
    <n v="1244.45"/>
    <n v="2444.64"/>
    <n v="2444.64"/>
    <s v="単独"/>
    <s v="S"/>
    <n v="4"/>
    <n v="0"/>
    <s v="新"/>
    <s v="-"/>
    <x v="1"/>
    <m/>
    <m/>
    <m/>
    <n v="50"/>
    <s v="B"/>
    <s v="A"/>
    <s v="-"/>
    <s v="-"/>
    <s v="D"/>
    <s v="A"/>
    <s v="C"/>
    <s v="-"/>
    <s v="-"/>
    <s v="C"/>
    <n v="50.909090909090907"/>
    <x v="0"/>
    <x v="0"/>
    <m/>
    <m/>
    <s v="公財台帳・固資台帳"/>
    <s v="428"/>
    <s v="G071200"/>
    <x v="2"/>
    <x v="4"/>
  </r>
  <r>
    <s v="108"/>
    <s v="1074"/>
    <s v="博物館"/>
    <x v="14"/>
    <s v="01"/>
    <s v="博物館"/>
    <x v="0"/>
    <n v="7"/>
    <x v="0"/>
    <n v="631.58500000000004"/>
    <n v="1856.72"/>
    <n v="1856.72"/>
    <s v="単独"/>
    <s v="RC"/>
    <n v="2"/>
    <n v="2"/>
    <s v="旧"/>
    <s v="済"/>
    <x v="1"/>
    <m/>
    <m/>
    <m/>
    <n v="50"/>
    <s v="C"/>
    <s v="D"/>
    <s v="C"/>
    <s v="-"/>
    <s v="D"/>
    <s v="D"/>
    <s v="D"/>
    <s v="-"/>
    <s v="-"/>
    <s v="D"/>
    <n v="81.739130434782609"/>
    <x v="0"/>
    <x v="0"/>
    <m/>
    <m/>
    <s v="公財台帳・固資台帳"/>
    <s v="693"/>
    <s v="G600312"/>
    <x v="2"/>
    <x v="5"/>
  </r>
  <r>
    <s v="109"/>
    <s v="1073"/>
    <s v="博物館神津資料室"/>
    <x v="14"/>
    <s v="01"/>
    <s v="資料室"/>
    <x v="9"/>
    <n v="5"/>
    <x v="9"/>
    <n v="83.57"/>
    <n v="80.78"/>
    <n v="80.78"/>
    <s v="単独"/>
    <s v="S"/>
    <n v="1"/>
    <n v="0"/>
    <s v="新"/>
    <s v="-"/>
    <x v="1"/>
    <m/>
    <m/>
    <m/>
    <n v="30"/>
    <s v="B"/>
    <s v="D"/>
    <s v="D"/>
    <s v="-"/>
    <s v="D"/>
    <s v="D"/>
    <s v="-"/>
    <s v="-"/>
    <s v="-"/>
    <s v="D"/>
    <n v="75.555555555555557"/>
    <x v="0"/>
    <x v="0"/>
    <m/>
    <s v="2017/3/31用途変更（埋蔵文化財センター）"/>
    <s v="公財台帳・固資台帳"/>
    <s v="693"/>
    <s v="G600312"/>
    <x v="2"/>
    <x v="5"/>
  </r>
  <r>
    <s v="110"/>
    <s v="0852"/>
    <s v="伊丹市昆虫館"/>
    <x v="15"/>
    <s v="01"/>
    <s v="昆虫館"/>
    <x v="28"/>
    <n v="3"/>
    <x v="28"/>
    <n v="1605"/>
    <n v="2572.4699999999998"/>
    <n v="2572.4699999999998"/>
    <s v="単独"/>
    <s v="SRC"/>
    <n v="4"/>
    <n v="1"/>
    <s v="新"/>
    <s v="-"/>
    <x v="1"/>
    <m/>
    <m/>
    <m/>
    <n v="50"/>
    <s v="B"/>
    <s v="A"/>
    <s v="A"/>
    <s v="-"/>
    <s v="D"/>
    <s v="A"/>
    <s v="A"/>
    <s v="-"/>
    <s v="A"/>
    <s v="A"/>
    <n v="26.341463414634148"/>
    <x v="0"/>
    <x v="0"/>
    <m/>
    <m/>
    <s v="公財台帳・固資台帳"/>
    <s v="245"/>
    <s v="G044400"/>
    <x v="2"/>
    <x v="5"/>
  </r>
  <r>
    <s v="111"/>
    <s v="0855"/>
    <s v="みどりのプラザ"/>
    <x v="15"/>
    <s v="01"/>
    <s v="みどりのﾌﾟﾗｻﾞ"/>
    <x v="8"/>
    <n v="3"/>
    <x v="8"/>
    <n v="394.12"/>
    <n v="384.5"/>
    <n v="384.5"/>
    <s v="単独"/>
    <s v="S"/>
    <n v="2"/>
    <n v="0"/>
    <s v="新"/>
    <s v="-"/>
    <x v="1"/>
    <m/>
    <m/>
    <m/>
    <n v="38"/>
    <s v="A"/>
    <s v="B"/>
    <s v="D"/>
    <s v="-"/>
    <s v="C"/>
    <s v="D"/>
    <s v="B"/>
    <s v="-"/>
    <s v="-"/>
    <s v="C"/>
    <n v="53.714285714285715"/>
    <x v="0"/>
    <x v="0"/>
    <m/>
    <m/>
    <s v="公財台帳・固資台帳"/>
    <s v="245"/>
    <s v="G044400"/>
    <x v="2"/>
    <x v="5"/>
  </r>
  <r>
    <s v="112"/>
    <s v="0340"/>
    <s v="こども文化科学館"/>
    <x v="16"/>
    <s v="01"/>
    <s v="児童ｾﾝﾀｰ"/>
    <x v="2"/>
    <n v="3"/>
    <x v="2"/>
    <n v="190.73"/>
    <n v="555.69000000000005"/>
    <n v="555.69000000000005"/>
    <s v="単独"/>
    <s v="RC"/>
    <n v="3"/>
    <n v="0"/>
    <s v="新"/>
    <s v="-"/>
    <x v="1"/>
    <m/>
    <m/>
    <m/>
    <n v="50"/>
    <s v="B"/>
    <s v="C"/>
    <s v="A"/>
    <s v="-"/>
    <s v="D"/>
    <s v="C"/>
    <s v="C"/>
    <s v="-"/>
    <s v="-"/>
    <s v="C"/>
    <n v="63.255813953488371"/>
    <x v="0"/>
    <x v="0"/>
    <m/>
    <s v="2017/3/31用途変更（埋蔵文化財センター）"/>
    <s v="公財台帳・固資台帳"/>
    <s v="345"/>
    <s v="G061100"/>
    <x v="2"/>
    <x v="5"/>
  </r>
  <r>
    <s v="112"/>
    <s v="0340"/>
    <s v="こども文化科学館"/>
    <x v="16"/>
    <s v="02"/>
    <s v="文化ｾﾝﾀｰ"/>
    <x v="36"/>
    <n v="3"/>
    <x v="36"/>
    <n v="367.12"/>
    <n v="1765.4"/>
    <n v="1765.4"/>
    <s v="単独"/>
    <s v="SRC"/>
    <n v="4"/>
    <n v="2"/>
    <s v="新"/>
    <s v="-"/>
    <x v="1"/>
    <m/>
    <m/>
    <m/>
    <n v="50"/>
    <s v="B"/>
    <s v="C"/>
    <s v="C"/>
    <s v="-"/>
    <s v="D"/>
    <s v="C"/>
    <s v="C"/>
    <s v="-"/>
    <s v="-"/>
    <s v="D"/>
    <n v="76.744186046511629"/>
    <x v="0"/>
    <x v="0"/>
    <m/>
    <m/>
    <s v="公財台帳・固資台帳"/>
    <s v="345"/>
    <s v="G061100"/>
    <x v="2"/>
    <x v="5"/>
  </r>
  <r>
    <s v="112"/>
    <s v="0340"/>
    <s v="こども文化科学館"/>
    <x v="16"/>
    <s v="03"/>
    <s v="ﾌﾟﾗﾈﾀﾘｳﾑ"/>
    <x v="28"/>
    <n v="3"/>
    <x v="28"/>
    <n v="452.39"/>
    <n v="764.76"/>
    <n v="764.76"/>
    <s v="単独"/>
    <s v="RC"/>
    <n v="3"/>
    <n v="0"/>
    <s v="新"/>
    <s v="-"/>
    <x v="1"/>
    <m/>
    <m/>
    <n v="2012"/>
    <n v="50"/>
    <s v="B"/>
    <s v="A"/>
    <s v="A"/>
    <s v="-"/>
    <s v="D"/>
    <s v="C"/>
    <s v="C"/>
    <s v="-"/>
    <s v="-"/>
    <s v="C"/>
    <n v="53.170731707317074"/>
    <x v="0"/>
    <x v="0"/>
    <m/>
    <m/>
    <s v="公財台帳・固資台帳"/>
    <s v="345"/>
    <s v="G061100"/>
    <x v="2"/>
    <x v="5"/>
  </r>
  <r>
    <s v="113"/>
    <s v="0501"/>
    <s v="観光物産ギャラリー"/>
    <x v="17"/>
    <s v="01"/>
    <s v="観光物産ｷﾞｬﾗﾘｰ"/>
    <x v="31"/>
    <n v="3"/>
    <x v="31"/>
    <n v="227.05"/>
    <n v="443.43"/>
    <n v="443.43"/>
    <s v="単独"/>
    <s v="RC"/>
    <n v="3"/>
    <n v="0"/>
    <s v="新"/>
    <s v="-"/>
    <x v="1"/>
    <m/>
    <m/>
    <n v="2013"/>
    <n v="50"/>
    <s v="B"/>
    <s v="C"/>
    <s v="D"/>
    <s v="-"/>
    <s v="C"/>
    <s v="D"/>
    <s v="D"/>
    <s v="-"/>
    <s v="-"/>
    <s v="D"/>
    <n v="75.428571428571416"/>
    <x v="0"/>
    <x v="0"/>
    <m/>
    <m/>
    <s v="公財台帳・固資台帳"/>
    <s v="424"/>
    <s v="G071100"/>
    <x v="2"/>
    <x v="5"/>
  </r>
  <r>
    <s v="114"/>
    <s v="1085"/>
    <s v="美術館"/>
    <x v="13"/>
    <s v="01"/>
    <s v="美術館"/>
    <x v="11"/>
    <n v="2"/>
    <x v="11"/>
    <n v="962.82"/>
    <n v="625"/>
    <n v="625"/>
    <s v="単独"/>
    <s v="RC"/>
    <n v="3"/>
    <n v="0"/>
    <s v="新"/>
    <s v="-"/>
    <x v="1"/>
    <m/>
    <m/>
    <m/>
    <n v="50"/>
    <s v="B"/>
    <s v="D"/>
    <s v="D"/>
    <s v="-"/>
    <s v="D"/>
    <s v="B"/>
    <s v="D"/>
    <s v="-"/>
    <s v="-"/>
    <s v="D"/>
    <n v="75.428571428571416"/>
    <x v="0"/>
    <x v="0"/>
    <m/>
    <m/>
    <s v="公財台帳・固資台帳"/>
    <s v="428"/>
    <s v="G071200"/>
    <x v="2"/>
    <x v="5"/>
  </r>
  <r>
    <s v="114"/>
    <s v="1085"/>
    <s v="美術館"/>
    <x v="13"/>
    <s v="02"/>
    <s v="工芸ｾﾝﾀｰ"/>
    <x v="35"/>
    <n v="8"/>
    <x v="35"/>
    <n v="51.76"/>
    <n v="1826.18"/>
    <n v="617"/>
    <s v="複合"/>
    <s v="RC"/>
    <n v="2"/>
    <n v="2"/>
    <s v="新"/>
    <s v="-"/>
    <x v="1"/>
    <m/>
    <m/>
    <m/>
    <n v="50"/>
    <s v="B"/>
    <s v="-"/>
    <s v="-"/>
    <s v="A"/>
    <s v="A"/>
    <s v="B"/>
    <s v="D"/>
    <s v="-"/>
    <s v="-"/>
    <s v="B"/>
    <n v="44.999999999999993"/>
    <x v="0"/>
    <x v="0"/>
    <m/>
    <m/>
    <s v="公財台帳・固資台帳"/>
    <s v="428"/>
    <s v="G071200"/>
    <x v="2"/>
    <x v="5"/>
  </r>
  <r>
    <s v="115"/>
    <s v="1084"/>
    <s v="柿衞文庫"/>
    <x v="13"/>
    <s v="01"/>
    <s v="柿衞文庫"/>
    <x v="2"/>
    <n v="3"/>
    <x v="2"/>
    <n v="488.28"/>
    <n v="1172"/>
    <n v="1172"/>
    <s v="単独"/>
    <s v="RC"/>
    <n v="3"/>
    <n v="0"/>
    <s v="新"/>
    <s v="-"/>
    <x v="1"/>
    <m/>
    <m/>
    <m/>
    <n v="50"/>
    <s v="-"/>
    <s v="-"/>
    <s v="-"/>
    <s v="-"/>
    <s v="-"/>
    <s v="-"/>
    <s v="-"/>
    <s v="-"/>
    <s v="-"/>
    <s v="-"/>
    <s v="-"/>
    <x v="0"/>
    <x v="0"/>
    <m/>
    <m/>
    <s v="原課報告"/>
    <s v="428"/>
    <s v="G071200"/>
    <x v="2"/>
    <x v="5"/>
  </r>
  <r>
    <s v="116"/>
    <s v="0701"/>
    <s v="工芸センター"/>
    <x v="13"/>
    <s v="01"/>
    <s v="工芸ｾﾝﾀｰ"/>
    <x v="35"/>
    <n v="8"/>
    <x v="35"/>
    <n v="51.76"/>
    <n v="1826.18"/>
    <n v="1209.18"/>
    <s v="複合"/>
    <s v="RC"/>
    <n v="2"/>
    <n v="2"/>
    <s v="新"/>
    <s v="-"/>
    <x v="1"/>
    <m/>
    <m/>
    <m/>
    <n v="50"/>
    <s v="B"/>
    <s v="-"/>
    <s v="-"/>
    <s v="A"/>
    <s v="A"/>
    <s v="D"/>
    <s v="C"/>
    <s v="-"/>
    <s v="-"/>
    <s v="B"/>
    <n v="47.5"/>
    <x v="0"/>
    <x v="0"/>
    <m/>
    <m/>
    <s v="公財台帳・固資台帳"/>
    <s v="428"/>
    <s v="G071200"/>
    <x v="2"/>
    <x v="5"/>
  </r>
  <r>
    <s v="117"/>
    <s v="0288"/>
    <s v="伊丹郷町館"/>
    <x v="13"/>
    <s v="01"/>
    <s v="旧岡田家住宅"/>
    <x v="40"/>
    <m/>
    <x v="40"/>
    <n v="652.33000000000004"/>
    <n v="893.42"/>
    <n v="893.42"/>
    <s v="単独"/>
    <s v="W"/>
    <n v="2"/>
    <n v="0"/>
    <s v="新"/>
    <s v="-"/>
    <x v="1"/>
    <m/>
    <m/>
    <m/>
    <n v="24"/>
    <s v="C"/>
    <s v="B"/>
    <s v="D"/>
    <s v="-"/>
    <s v="C"/>
    <s v="D"/>
    <s v="B"/>
    <s v="-"/>
    <s v="-"/>
    <s v="D"/>
    <n v="70.149253731343293"/>
    <x v="0"/>
    <x v="0"/>
    <m/>
    <m/>
    <s v="公財台帳・固資台帳"/>
    <s v="428"/>
    <s v="G071200"/>
    <x v="2"/>
    <x v="5"/>
  </r>
  <r>
    <s v="117"/>
    <s v="0288"/>
    <s v="伊丹郷町館"/>
    <x v="13"/>
    <s v="02"/>
    <s v="旧石橋家住宅"/>
    <x v="33"/>
    <m/>
    <x v="33"/>
    <n v="202.18"/>
    <n v="328.42"/>
    <n v="328.42"/>
    <s v="単独"/>
    <s v="W"/>
    <n v="2"/>
    <n v="0"/>
    <s v="新"/>
    <s v="-"/>
    <x v="1"/>
    <m/>
    <m/>
    <m/>
    <n v="24"/>
    <s v="C"/>
    <s v="B"/>
    <s v="D"/>
    <s v="-"/>
    <s v="C"/>
    <s v="D"/>
    <s v="B"/>
    <s v="-"/>
    <s v="-"/>
    <s v="D"/>
    <n v="70.149253731343293"/>
    <x v="0"/>
    <x v="0"/>
    <m/>
    <m/>
    <s v="公財台帳・固資台帳"/>
    <s v="428"/>
    <s v="G071200"/>
    <x v="2"/>
    <x v="5"/>
  </r>
  <r>
    <s v="117"/>
    <s v="0288"/>
    <s v="伊丹郷町館"/>
    <x v="13"/>
    <s v="03"/>
    <s v="新町家１"/>
    <x v="33"/>
    <m/>
    <x v="33"/>
    <n v="280.75"/>
    <n v="456.78"/>
    <n v="456.78"/>
    <s v="単独"/>
    <s v="RC"/>
    <n v="2"/>
    <n v="0"/>
    <s v="新"/>
    <s v="-"/>
    <x v="1"/>
    <m/>
    <m/>
    <m/>
    <n v="38"/>
    <s v="A"/>
    <s v="B"/>
    <s v="D"/>
    <s v="-"/>
    <s v="C"/>
    <s v="D"/>
    <s v="B"/>
    <s v="-"/>
    <s v="-"/>
    <s v="C"/>
    <n v="53.714285714285715"/>
    <x v="0"/>
    <x v="0"/>
    <m/>
    <m/>
    <s v="公財台帳・固資台帳"/>
    <s v="428"/>
    <s v="G071200"/>
    <x v="2"/>
    <x v="5"/>
  </r>
  <r>
    <s v="117"/>
    <s v="0288"/>
    <s v="伊丹郷町館"/>
    <x v="13"/>
    <s v="04"/>
    <s v="新町家２"/>
    <x v="33"/>
    <m/>
    <x v="33"/>
    <n v="280.75"/>
    <n v="31.05"/>
    <n v="31.05"/>
    <s v="単独"/>
    <s v="W"/>
    <n v="2"/>
    <n v="0"/>
    <s v="新"/>
    <s v="-"/>
    <x v="1"/>
    <m/>
    <m/>
    <m/>
    <n v="24"/>
    <s v="-"/>
    <s v="-"/>
    <s v="-"/>
    <s v="-"/>
    <s v="-"/>
    <s v="-"/>
    <s v="-"/>
    <s v="-"/>
    <s v="-"/>
    <s v="-"/>
    <s v="-"/>
    <x v="0"/>
    <x v="0"/>
    <m/>
    <m/>
    <s v="公財台帳・固資台帳"/>
    <s v="428"/>
    <s v="G071200"/>
    <x v="2"/>
    <x v="5"/>
  </r>
  <r>
    <s v="118"/>
    <s v="1096"/>
    <s v="図書館（ことば蔵）"/>
    <x v="18"/>
    <s v="01"/>
    <s v="図書館"/>
    <x v="27"/>
    <m/>
    <x v="27"/>
    <m/>
    <n v="6194.44"/>
    <n v="6194.44"/>
    <s v="単独"/>
    <s v="RC"/>
    <n v="4"/>
    <n v="1"/>
    <s v="新"/>
    <s v="-"/>
    <x v="1"/>
    <m/>
    <m/>
    <m/>
    <n v="50"/>
    <s v="A"/>
    <s v="A"/>
    <s v="B"/>
    <s v="-"/>
    <s v="A"/>
    <s v="B"/>
    <s v="A"/>
    <s v="-"/>
    <s v="-"/>
    <s v="A"/>
    <n v="17.142857142857139"/>
    <x v="0"/>
    <x v="0"/>
    <m/>
    <m/>
    <s v="公財台帳・固資台帳"/>
    <s v="688"/>
    <s v="G600310"/>
    <x v="2"/>
    <x v="6"/>
  </r>
  <r>
    <s v="119"/>
    <s v="1093"/>
    <s v="図書館南分館"/>
    <x v="18"/>
    <s v="01"/>
    <s v="生涯学習ｾﾝﾀｰ"/>
    <x v="37"/>
    <n v="3"/>
    <x v="37"/>
    <n v="1511.58"/>
    <n v="5067.05"/>
    <n v="585"/>
    <s v="複合"/>
    <s v="RC"/>
    <n v="4"/>
    <n v="0"/>
    <s v="新"/>
    <s v="-"/>
    <x v="1"/>
    <m/>
    <m/>
    <m/>
    <n v="50"/>
    <s v="B"/>
    <s v="C"/>
    <s v="A"/>
    <s v="-"/>
    <s v="D"/>
    <s v="C"/>
    <s v="C"/>
    <s v="-"/>
    <s v="-"/>
    <s v="C"/>
    <n v="50.416666666666664"/>
    <x v="0"/>
    <x v="0"/>
    <m/>
    <m/>
    <s v="原課報告"/>
    <s v="688"/>
    <s v="G600310"/>
    <x v="2"/>
    <x v="6"/>
  </r>
  <r>
    <s v="120"/>
    <s v="1094"/>
    <s v="図書館北分館"/>
    <x v="18"/>
    <s v="01"/>
    <s v="北部学習ｾﾝﾀｰ"/>
    <x v="4"/>
    <n v="2"/>
    <x v="4"/>
    <n v="1421.37"/>
    <n v="3673.89"/>
    <n v="625.51"/>
    <s v="複合"/>
    <s v="RC"/>
    <n v="4"/>
    <n v="0"/>
    <s v="新"/>
    <s v="-"/>
    <x v="1"/>
    <m/>
    <m/>
    <m/>
    <n v="50"/>
    <s v="A"/>
    <s v="B"/>
    <s v="A"/>
    <s v="-"/>
    <s v="C"/>
    <s v="B"/>
    <s v="B"/>
    <s v="-"/>
    <s v="-"/>
    <s v="B"/>
    <n v="32.499999999999993"/>
    <x v="0"/>
    <x v="0"/>
    <m/>
    <m/>
    <s v="原課報告"/>
    <s v="688"/>
    <s v="G600310"/>
    <x v="2"/>
    <x v="6"/>
  </r>
  <r>
    <s v="121"/>
    <s v="1095"/>
    <s v="図書館西分室"/>
    <x v="18"/>
    <s v="01"/>
    <s v="ｲｵﾝﾓｰﾙ伊丹昆陽"/>
    <x v="5"/>
    <m/>
    <x v="5"/>
    <m/>
    <n v="180"/>
    <n v="180"/>
    <s v="複合"/>
    <s v="-"/>
    <s v="-"/>
    <s v="-"/>
    <m/>
    <s v="-"/>
    <x v="1"/>
    <m/>
    <m/>
    <m/>
    <m/>
    <s v="-"/>
    <s v="-"/>
    <s v="-"/>
    <s v="-"/>
    <s v="-"/>
    <s v="-"/>
    <s v="-"/>
    <s v="-"/>
    <s v="-"/>
    <s v="-"/>
    <s v="-"/>
    <x v="2"/>
    <x v="0"/>
    <m/>
    <m/>
    <s v="原課報告"/>
    <s v="688"/>
    <s v="G600310"/>
    <x v="2"/>
    <x v="6"/>
  </r>
  <r>
    <s v="122"/>
    <s v="1097"/>
    <s v="図書館神津分館"/>
    <x v="18"/>
    <s v="01"/>
    <s v="神津交流ｾﾝﾀｰ"/>
    <x v="3"/>
    <n v="5"/>
    <x v="3"/>
    <m/>
    <n v="1051.8499999999999"/>
    <n v="83.65"/>
    <s v="複合"/>
    <s v="RC"/>
    <n v="3"/>
    <n v="0"/>
    <s v="新"/>
    <s v="-"/>
    <x v="1"/>
    <m/>
    <m/>
    <m/>
    <n v="47"/>
    <s v="A"/>
    <s v="A"/>
    <s v="A"/>
    <s v="-"/>
    <s v="A"/>
    <s v="A"/>
    <s v="A"/>
    <s v="A"/>
    <s v="A"/>
    <s v="A"/>
    <n v="3.6363636363636376"/>
    <x v="0"/>
    <x v="0"/>
    <m/>
    <m/>
    <s v="原課報告"/>
    <s v="688"/>
    <s v="G600310"/>
    <x v="2"/>
    <x v="6"/>
  </r>
  <r>
    <s v="123"/>
    <s v="1021"/>
    <s v="伊丹小学校"/>
    <x v="19"/>
    <s v="01"/>
    <s v="校舎1"/>
    <x v="31"/>
    <n v="2"/>
    <x v="31"/>
    <n v="1025"/>
    <n v="1116"/>
    <n v="1116"/>
    <s v="単独"/>
    <s v="RC"/>
    <n v="2"/>
    <n v="0"/>
    <s v="新"/>
    <s v="-"/>
    <x v="1"/>
    <m/>
    <m/>
    <m/>
    <n v="47"/>
    <s v="B"/>
    <s v="B"/>
    <s v="B"/>
    <s v="D"/>
    <s v="D"/>
    <s v="A"/>
    <s v="-"/>
    <s v="D"/>
    <s v="A"/>
    <s v="C"/>
    <n v="58.63636363636364"/>
    <x v="0"/>
    <x v="0"/>
    <m/>
    <m/>
    <s v="学校施設台帳"/>
    <s v="618"/>
    <s v="G600100"/>
    <x v="3"/>
    <x v="7"/>
  </r>
  <r>
    <s v="123"/>
    <s v="1021"/>
    <s v="伊丹小学校"/>
    <x v="19"/>
    <s v="02"/>
    <s v="校舎2"/>
    <x v="30"/>
    <n v="3"/>
    <x v="30"/>
    <n v="532"/>
    <n v="2127"/>
    <n v="2127"/>
    <s v="単独"/>
    <s v="RC"/>
    <n v="4"/>
    <n v="0"/>
    <s v="新"/>
    <s v="-"/>
    <x v="1"/>
    <m/>
    <m/>
    <m/>
    <n v="47"/>
    <s v="B"/>
    <s v="D"/>
    <s v="B"/>
    <s v="D"/>
    <s v="D"/>
    <s v="D"/>
    <s v="D"/>
    <s v="D"/>
    <s v="A"/>
    <s v="D"/>
    <n v="75.84905660377359"/>
    <x v="0"/>
    <x v="0"/>
    <m/>
    <m/>
    <s v="学校施設台帳"/>
    <s v="618"/>
    <s v="G600100"/>
    <x v="3"/>
    <x v="7"/>
  </r>
  <r>
    <s v="123"/>
    <s v="1021"/>
    <s v="伊丹小学校"/>
    <x v="19"/>
    <s v="03"/>
    <s v="校舎3"/>
    <x v="26"/>
    <n v="3"/>
    <x v="26"/>
    <n v="1017"/>
    <n v="4066"/>
    <n v="4066"/>
    <s v="単独"/>
    <s v="RC"/>
    <n v="4"/>
    <n v="0"/>
    <s v="新"/>
    <s v="-"/>
    <x v="1"/>
    <m/>
    <m/>
    <m/>
    <n v="47"/>
    <s v="B"/>
    <s v="D"/>
    <s v="B"/>
    <s v="D"/>
    <s v="D"/>
    <s v="D"/>
    <s v="D"/>
    <s v="D"/>
    <s v="D"/>
    <s v="D"/>
    <n v="85.660377358490564"/>
    <x v="0"/>
    <x v="0"/>
    <m/>
    <m/>
    <s v="学校施設台帳"/>
    <s v="618"/>
    <s v="G600100"/>
    <x v="3"/>
    <x v="7"/>
  </r>
  <r>
    <s v="123"/>
    <s v="1021"/>
    <s v="伊丹小学校"/>
    <x v="19"/>
    <s v="04"/>
    <s v="校舎4"/>
    <x v="26"/>
    <n v="2"/>
    <x v="26"/>
    <n v="532"/>
    <n v="2127"/>
    <n v="2127"/>
    <s v="単独"/>
    <s v="RC"/>
    <n v="4"/>
    <n v="0"/>
    <s v="新"/>
    <s v="-"/>
    <x v="1"/>
    <m/>
    <m/>
    <m/>
    <n v="47"/>
    <s v="B"/>
    <s v="C"/>
    <s v="B"/>
    <s v="D"/>
    <s v="D"/>
    <s v="D"/>
    <s v="D"/>
    <s v="D"/>
    <s v="B"/>
    <s v="D"/>
    <n v="75.471698113207552"/>
    <x v="0"/>
    <x v="0"/>
    <m/>
    <m/>
    <s v="学校施設台帳"/>
    <s v="618"/>
    <s v="G600100"/>
    <x v="3"/>
    <x v="7"/>
  </r>
  <r>
    <s v="123"/>
    <s v="1021"/>
    <s v="伊丹小学校"/>
    <x v="19"/>
    <s v="05"/>
    <s v="体育館棟"/>
    <x v="31"/>
    <n v="3"/>
    <x v="31"/>
    <n v="1233"/>
    <n v="2293"/>
    <n v="1387"/>
    <s v="複合"/>
    <s v="RC"/>
    <n v="3"/>
    <n v="0"/>
    <s v="新"/>
    <s v="-"/>
    <x v="1"/>
    <m/>
    <m/>
    <m/>
    <n v="47"/>
    <s v="B"/>
    <s v="C"/>
    <s v="C"/>
    <s v="D"/>
    <s v="D"/>
    <s v="-"/>
    <s v="-"/>
    <s v="D"/>
    <s v="A"/>
    <s v="C"/>
    <n v="64.878048780487802"/>
    <x v="0"/>
    <x v="0"/>
    <m/>
    <m/>
    <s v="学校施設台帳"/>
    <s v="618"/>
    <s v="G600100"/>
    <x v="3"/>
    <x v="7"/>
  </r>
  <r>
    <s v="123"/>
    <s v="1021"/>
    <s v="伊丹小学校"/>
    <x v="19"/>
    <s v="06"/>
    <s v="EV"/>
    <x v="17"/>
    <n v="8"/>
    <x v="17"/>
    <n v="17"/>
    <n v="68"/>
    <n v="68"/>
    <s v="単独"/>
    <s v="S"/>
    <n v="4"/>
    <n v="0"/>
    <s v="新"/>
    <s v="-"/>
    <x v="1"/>
    <m/>
    <m/>
    <m/>
    <n v="34"/>
    <s v="A"/>
    <s v="C"/>
    <s v="C"/>
    <s v="D"/>
    <s v="C"/>
    <s v="-"/>
    <s v="-"/>
    <s v="-"/>
    <s v="-"/>
    <s v="C"/>
    <n v="57.333333333333329"/>
    <x v="0"/>
    <x v="0"/>
    <m/>
    <m/>
    <s v="学校施設台帳"/>
    <s v="618"/>
    <s v="G600100"/>
    <x v="3"/>
    <x v="7"/>
  </r>
  <r>
    <s v="123"/>
    <s v="1021"/>
    <s v="伊丹小学校"/>
    <x v="19"/>
    <s v="07"/>
    <s v="ポンプ室"/>
    <x v="26"/>
    <n v="3"/>
    <x v="26"/>
    <m/>
    <n v="25"/>
    <n v="25"/>
    <s v="単独"/>
    <s v="S"/>
    <n v="1"/>
    <n v="0"/>
    <s v="新"/>
    <s v="-"/>
    <x v="1"/>
    <m/>
    <m/>
    <m/>
    <n v="31"/>
    <s v="B"/>
    <s v="D"/>
    <s v="B"/>
    <s v="D"/>
    <s v="D"/>
    <s v="-"/>
    <s v="D"/>
    <s v="D"/>
    <s v="-"/>
    <s v="D"/>
    <n v="81.463414634146346"/>
    <x v="0"/>
    <x v="0"/>
    <m/>
    <m/>
    <s v="学校施設台帳"/>
    <s v="618"/>
    <s v="G600100"/>
    <x v="3"/>
    <x v="7"/>
  </r>
  <r>
    <s v="123"/>
    <s v="1021"/>
    <s v="伊丹小学校"/>
    <x v="19"/>
    <s v="08"/>
    <s v="倉庫"/>
    <x v="31"/>
    <n v="6"/>
    <x v="31"/>
    <m/>
    <n v="46"/>
    <n v="46"/>
    <s v="単独"/>
    <s v="RC"/>
    <n v="1"/>
    <n v="0"/>
    <s v="新"/>
    <s v="-"/>
    <x v="1"/>
    <m/>
    <m/>
    <m/>
    <n v="38"/>
    <s v="B"/>
    <s v="D"/>
    <s v="D"/>
    <s v="D"/>
    <s v="D"/>
    <s v="-"/>
    <s v="-"/>
    <s v="-"/>
    <s v="-"/>
    <s v="D"/>
    <n v="79.333333333333329"/>
    <x v="0"/>
    <x v="0"/>
    <m/>
    <m/>
    <s v="学校施設台帳"/>
    <s v="618"/>
    <s v="G600100"/>
    <x v="3"/>
    <x v="7"/>
  </r>
  <r>
    <s v="123"/>
    <s v="1021"/>
    <s v="伊丹小学校"/>
    <x v="19"/>
    <s v="09"/>
    <s v="機械室"/>
    <x v="31"/>
    <n v="6"/>
    <x v="31"/>
    <m/>
    <n v="12"/>
    <n v="12"/>
    <s v="単独"/>
    <s v="RC"/>
    <n v="1"/>
    <n v="0"/>
    <s v="新"/>
    <s v="-"/>
    <x v="1"/>
    <m/>
    <m/>
    <m/>
    <n v="38"/>
    <s v="B"/>
    <s v="D"/>
    <s v="D"/>
    <s v="D"/>
    <s v="D"/>
    <s v="-"/>
    <s v="-"/>
    <s v="-"/>
    <s v="-"/>
    <s v="D"/>
    <n v="79.333333333333329"/>
    <x v="0"/>
    <x v="0"/>
    <m/>
    <m/>
    <s v="学校施設台帳"/>
    <s v="618"/>
    <s v="G600100"/>
    <x v="3"/>
    <x v="7"/>
  </r>
  <r>
    <s v="124"/>
    <s v="1022"/>
    <s v="稲野小学校"/>
    <x v="19"/>
    <s v="01"/>
    <s v="校舎1"/>
    <x v="41"/>
    <n v="3"/>
    <x v="41"/>
    <n v="385"/>
    <n v="1219"/>
    <n v="1154"/>
    <s v="複合"/>
    <s v="RC"/>
    <n v="3"/>
    <n v="0"/>
    <s v="旧"/>
    <s v="済"/>
    <x v="1"/>
    <n v="0.8"/>
    <n v="2004"/>
    <n v="2016"/>
    <n v="47"/>
    <s v="C"/>
    <s v="A"/>
    <s v="A"/>
    <s v="D"/>
    <s v="A"/>
    <s v="A"/>
    <s v="A"/>
    <s v="A"/>
    <s v="A"/>
    <s v="B"/>
    <n v="36.4"/>
    <x v="0"/>
    <x v="0"/>
    <m/>
    <m/>
    <s v="学校施設台帳"/>
    <s v="618"/>
    <s v="G600100"/>
    <x v="3"/>
    <x v="7"/>
  </r>
  <r>
    <s v="124"/>
    <s v="1022"/>
    <s v="稲野小学校"/>
    <x v="19"/>
    <s v="02"/>
    <s v="校舎2"/>
    <x v="42"/>
    <n v="8"/>
    <x v="42"/>
    <n v="535"/>
    <n v="1605"/>
    <n v="1605"/>
    <s v="複合"/>
    <s v="RC"/>
    <n v="3"/>
    <n v="0"/>
    <s v="旧"/>
    <s v="済"/>
    <x v="1"/>
    <n v="0.76"/>
    <n v="2004"/>
    <n v="2016"/>
    <n v="47"/>
    <s v="C"/>
    <s v="A"/>
    <s v="A"/>
    <s v="D"/>
    <s v="A"/>
    <s v="A"/>
    <s v="A"/>
    <s v="A"/>
    <s v="B"/>
    <s v="B"/>
    <n v="40.800000000000004"/>
    <x v="0"/>
    <x v="0"/>
    <m/>
    <m/>
    <s v="学校施設台帳"/>
    <s v="618"/>
    <s v="G600100"/>
    <x v="3"/>
    <x v="7"/>
  </r>
  <r>
    <s v="124"/>
    <s v="1022"/>
    <s v="稲野小学校"/>
    <x v="19"/>
    <s v="03"/>
    <s v="校舎3"/>
    <x v="43"/>
    <n v="3"/>
    <x v="43"/>
    <n v="497"/>
    <n v="1536"/>
    <n v="1536"/>
    <s v="単独"/>
    <s v="RC"/>
    <n v="3"/>
    <n v="0"/>
    <s v="旧"/>
    <s v="済"/>
    <x v="1"/>
    <n v="0.76"/>
    <n v="2004"/>
    <n v="2015"/>
    <n v="47"/>
    <s v="C"/>
    <s v="C"/>
    <s v="D"/>
    <s v="D"/>
    <s v="D"/>
    <s v="D"/>
    <s v="A"/>
    <s v="D"/>
    <s v="A"/>
    <s v="D"/>
    <n v="73.20754716981132"/>
    <x v="0"/>
    <x v="0"/>
    <m/>
    <m/>
    <s v="学校施設台帳"/>
    <s v="618"/>
    <s v="G600100"/>
    <x v="3"/>
    <x v="7"/>
  </r>
  <r>
    <s v="124"/>
    <s v="1022"/>
    <s v="稲野小学校"/>
    <x v="19"/>
    <s v="04"/>
    <s v="校舎4"/>
    <x v="44"/>
    <n v="9"/>
    <x v="44"/>
    <n v="371"/>
    <n v="1126"/>
    <n v="1126"/>
    <s v="単独"/>
    <s v="RC"/>
    <n v="3"/>
    <n v="0"/>
    <s v="旧"/>
    <s v="済"/>
    <x v="1"/>
    <n v="0.79"/>
    <n v="2004"/>
    <n v="2015"/>
    <n v="47"/>
    <s v="C"/>
    <s v="D"/>
    <s v="D"/>
    <s v="D"/>
    <s v="D"/>
    <s v="D"/>
    <s v="A"/>
    <s v="D"/>
    <s v="A"/>
    <s v="D"/>
    <n v="75.272727272727266"/>
    <x v="0"/>
    <x v="0"/>
    <m/>
    <m/>
    <s v="学校施設台帳"/>
    <s v="618"/>
    <s v="G600100"/>
    <x v="3"/>
    <x v="7"/>
  </r>
  <r>
    <s v="124"/>
    <s v="1022"/>
    <s v="稲野小学校"/>
    <x v="19"/>
    <s v="05"/>
    <s v="校舎5"/>
    <x v="13"/>
    <n v="3"/>
    <x v="13"/>
    <n v="481"/>
    <n v="1678"/>
    <n v="1678"/>
    <s v="単独"/>
    <s v="RC"/>
    <n v="5"/>
    <n v="0"/>
    <s v="旧"/>
    <s v="済"/>
    <x v="1"/>
    <n v="0.75"/>
    <n v="2005"/>
    <m/>
    <n v="47"/>
    <s v="C"/>
    <s v="D"/>
    <s v="D"/>
    <s v="D"/>
    <s v="D"/>
    <s v="D"/>
    <s v="C"/>
    <s v="D"/>
    <s v="A"/>
    <s v="D"/>
    <n v="82.545454545454547"/>
    <x v="0"/>
    <x v="0"/>
    <m/>
    <m/>
    <s v="学校施設台帳"/>
    <s v="618"/>
    <s v="G600100"/>
    <x v="3"/>
    <x v="7"/>
  </r>
  <r>
    <s v="124"/>
    <s v="1022"/>
    <s v="稲野小学校"/>
    <x v="19"/>
    <s v="06"/>
    <s v="体育館"/>
    <x v="45"/>
    <n v="2"/>
    <x v="45"/>
    <n v="856"/>
    <n v="878"/>
    <n v="878"/>
    <s v="単独"/>
    <s v="RC"/>
    <n v="2"/>
    <n v="0"/>
    <s v="旧"/>
    <s v="済"/>
    <x v="1"/>
    <n v="0.83"/>
    <n v="2005"/>
    <n v="2014"/>
    <n v="47"/>
    <s v="C"/>
    <s v="A"/>
    <s v="A"/>
    <s v="D"/>
    <s v="A"/>
    <s v="-"/>
    <s v="C"/>
    <s v="A"/>
    <s v="A"/>
    <s v="C"/>
    <n v="52.340425531914889"/>
    <x v="0"/>
    <x v="0"/>
    <m/>
    <m/>
    <s v="学校施設台帳"/>
    <s v="618"/>
    <s v="G600100"/>
    <x v="3"/>
    <x v="7"/>
  </r>
  <r>
    <s v="124"/>
    <s v="1022"/>
    <s v="稲野小学校"/>
    <x v="19"/>
    <s v="07"/>
    <s v="食堂"/>
    <x v="46"/>
    <n v="2"/>
    <x v="46"/>
    <n v="286"/>
    <n v="328"/>
    <n v="328"/>
    <s v="単独"/>
    <s v="S"/>
    <n v="2"/>
    <n v="0"/>
    <s v="新"/>
    <s v="-"/>
    <x v="1"/>
    <m/>
    <m/>
    <n v="2015"/>
    <n v="31"/>
    <s v="B"/>
    <s v="D"/>
    <s v="B"/>
    <s v="D"/>
    <s v="D"/>
    <s v="D"/>
    <s v="A"/>
    <s v="D"/>
    <s v="D"/>
    <s v="C"/>
    <n v="67.666666666666671"/>
    <x v="0"/>
    <x v="0"/>
    <m/>
    <m/>
    <s v="学校施設台帳"/>
    <s v="618"/>
    <s v="G600100"/>
    <x v="3"/>
    <x v="7"/>
  </r>
  <r>
    <s v="124"/>
    <s v="1022"/>
    <s v="稲野小学校"/>
    <x v="19"/>
    <s v="08"/>
    <s v="渡廊下"/>
    <x v="42"/>
    <n v="8"/>
    <x v="42"/>
    <n v="289"/>
    <n v="692"/>
    <n v="692"/>
    <s v="単独"/>
    <s v="RC"/>
    <n v="3"/>
    <n v="0"/>
    <s v="旧"/>
    <s v="済"/>
    <x v="1"/>
    <n v="0.76"/>
    <n v="2010"/>
    <n v="2010"/>
    <n v="47"/>
    <s v="C"/>
    <s v="B"/>
    <s v="B"/>
    <s v="D"/>
    <s v="B"/>
    <s v="B"/>
    <s v="A"/>
    <s v="D"/>
    <s v="D"/>
    <s v="C"/>
    <n v="66.8"/>
    <x v="0"/>
    <x v="0"/>
    <m/>
    <m/>
    <s v="学校施設台帳"/>
    <s v="618"/>
    <s v="G600100"/>
    <x v="3"/>
    <x v="7"/>
  </r>
  <r>
    <s v="124"/>
    <s v="1022"/>
    <s v="稲野小学校"/>
    <x v="19"/>
    <s v="09"/>
    <s v="機械室"/>
    <x v="25"/>
    <n v="10"/>
    <x v="25"/>
    <n v="123"/>
    <n v="123"/>
    <n v="123"/>
    <s v="単独"/>
    <s v="RC"/>
    <n v="1"/>
    <n v="0"/>
    <s v="旧"/>
    <m/>
    <x v="2"/>
    <m/>
    <m/>
    <m/>
    <n v="38"/>
    <s v="C"/>
    <s v="D"/>
    <s v="D"/>
    <s v="D"/>
    <s v="B"/>
    <s v="-"/>
    <s v="-"/>
    <s v="-"/>
    <s v="-"/>
    <s v="D"/>
    <n v="78"/>
    <x v="0"/>
    <x v="0"/>
    <m/>
    <m/>
    <s v="学校施設台帳"/>
    <s v="618"/>
    <s v="G600100"/>
    <x v="3"/>
    <x v="7"/>
  </r>
  <r>
    <s v="124"/>
    <s v="1022"/>
    <s v="稲野小学校"/>
    <x v="19"/>
    <s v="10"/>
    <s v="機械室"/>
    <x v="7"/>
    <n v="10"/>
    <x v="7"/>
    <n v="84"/>
    <n v="84"/>
    <n v="84"/>
    <s v="単独"/>
    <s v="RC"/>
    <n v="1"/>
    <n v="0"/>
    <s v="旧"/>
    <m/>
    <x v="2"/>
    <m/>
    <m/>
    <n v="2015"/>
    <n v="38"/>
    <s v="C"/>
    <s v="D"/>
    <s v="D"/>
    <s v="D"/>
    <s v="D"/>
    <s v="-"/>
    <s v="-"/>
    <s v="-"/>
    <s v="-"/>
    <s v="D"/>
    <n v="84.375"/>
    <x v="0"/>
    <x v="0"/>
    <m/>
    <m/>
    <s v="学校施設台帳"/>
    <s v="618"/>
    <s v="G600100"/>
    <x v="3"/>
    <x v="7"/>
  </r>
  <r>
    <s v="124"/>
    <s v="1022"/>
    <s v="稲野小学校"/>
    <x v="19"/>
    <s v="11"/>
    <s v="EV"/>
    <x v="17"/>
    <n v="8"/>
    <x v="17"/>
    <n v="13"/>
    <n v="40"/>
    <n v="40"/>
    <s v="単独"/>
    <s v="S"/>
    <n v="3"/>
    <n v="0"/>
    <s v="新"/>
    <s v="-"/>
    <x v="1"/>
    <m/>
    <m/>
    <m/>
    <n v="34"/>
    <s v="A"/>
    <s v="C"/>
    <s v="C"/>
    <s v="D"/>
    <s v="C"/>
    <s v="-"/>
    <s v="-"/>
    <s v="-"/>
    <s v="-"/>
    <s v="C"/>
    <n v="57.333333333333329"/>
    <x v="0"/>
    <x v="0"/>
    <m/>
    <m/>
    <s v="学校施設台帳"/>
    <s v="618"/>
    <s v="G600100"/>
    <x v="3"/>
    <x v="7"/>
  </r>
  <r>
    <s v="124"/>
    <s v="1022"/>
    <s v="稲野小学校"/>
    <x v="19"/>
    <s v="12"/>
    <s v="プール付属室"/>
    <x v="35"/>
    <n v="3"/>
    <x v="35"/>
    <m/>
    <n v="14"/>
    <n v="14"/>
    <s v="単独"/>
    <s v="RC"/>
    <n v="1"/>
    <n v="0"/>
    <s v="新"/>
    <s v="-"/>
    <x v="1"/>
    <m/>
    <m/>
    <m/>
    <n v="38"/>
    <s v="B"/>
    <s v="C"/>
    <s v="D"/>
    <s v="D"/>
    <s v="D"/>
    <s v="-"/>
    <s v="-"/>
    <s v="D"/>
    <s v="C"/>
    <s v="D"/>
    <n v="80.930232558139537"/>
    <x v="0"/>
    <x v="0"/>
    <m/>
    <m/>
    <s v="学校施設台帳"/>
    <s v="618"/>
    <s v="G600100"/>
    <x v="3"/>
    <x v="7"/>
  </r>
  <r>
    <s v="124"/>
    <s v="1022"/>
    <s v="稲野小学校"/>
    <x v="19"/>
    <s v="13"/>
    <s v="機械室"/>
    <x v="35"/>
    <n v="3"/>
    <x v="35"/>
    <m/>
    <n v="23"/>
    <n v="23"/>
    <s v="単独"/>
    <s v="RC"/>
    <n v="1"/>
    <n v="0"/>
    <s v="新"/>
    <s v="-"/>
    <x v="1"/>
    <m/>
    <m/>
    <m/>
    <n v="38"/>
    <s v="B"/>
    <s v="C"/>
    <s v="D"/>
    <s v="D"/>
    <s v="-"/>
    <s v="-"/>
    <s v="-"/>
    <s v="D"/>
    <s v="-"/>
    <s v="D"/>
    <n v="76.363636363636374"/>
    <x v="0"/>
    <x v="0"/>
    <m/>
    <m/>
    <s v="学校施設台帳"/>
    <s v="618"/>
    <s v="G600100"/>
    <x v="3"/>
    <x v="7"/>
  </r>
  <r>
    <s v="124"/>
    <s v="1022"/>
    <s v="稲野小学校"/>
    <x v="19"/>
    <s v="14"/>
    <s v="校舎1(ﾃﾞｲｻｰﾋﾞｽ）"/>
    <x v="41"/>
    <n v="3"/>
    <x v="41"/>
    <n v="385"/>
    <n v="1219"/>
    <n v="66"/>
    <s v="単独"/>
    <s v="RC"/>
    <n v="3"/>
    <n v="0"/>
    <s v="旧"/>
    <s v="済"/>
    <x v="1"/>
    <n v="0.8"/>
    <n v="2004"/>
    <m/>
    <n v="47"/>
    <s v="-"/>
    <s v="-"/>
    <s v="-"/>
    <s v="-"/>
    <s v="-"/>
    <s v="-"/>
    <s v="-"/>
    <s v="-"/>
    <s v="-"/>
    <s v="-"/>
    <s v="-"/>
    <x v="0"/>
    <x v="0"/>
    <m/>
    <m/>
    <s v="学校施設台帳"/>
    <s v="618"/>
    <s v="G600100"/>
    <x v="3"/>
    <x v="7"/>
  </r>
  <r>
    <s v="125"/>
    <s v="1023"/>
    <s v="南小学校"/>
    <x v="19"/>
    <s v="01"/>
    <s v="校舎1"/>
    <x v="47"/>
    <n v="3"/>
    <x v="47"/>
    <n v="652"/>
    <n v="2043"/>
    <n v="1975"/>
    <s v="複合"/>
    <s v="RC"/>
    <n v="3"/>
    <n v="0"/>
    <s v="旧"/>
    <s v="済"/>
    <x v="1"/>
    <n v="0.78"/>
    <n v="2007"/>
    <n v="2014"/>
    <n v="47"/>
    <s v="C"/>
    <s v="A"/>
    <s v="C"/>
    <s v="A"/>
    <s v="A"/>
    <s v="A"/>
    <s v="A"/>
    <s v="A"/>
    <s v="A"/>
    <s v="B"/>
    <n v="31.599999999999994"/>
    <x v="0"/>
    <x v="0"/>
    <m/>
    <m/>
    <s v="学校施設台帳"/>
    <s v="618"/>
    <s v="G600100"/>
    <x v="3"/>
    <x v="7"/>
  </r>
  <r>
    <s v="125"/>
    <s v="1023"/>
    <s v="南小学校"/>
    <x v="19"/>
    <s v="02"/>
    <s v="校舎2"/>
    <x v="1"/>
    <n v="3"/>
    <x v="1"/>
    <n v="621"/>
    <n v="1887"/>
    <n v="1887"/>
    <s v="単独"/>
    <s v="RC"/>
    <n v="3"/>
    <n v="0"/>
    <s v="旧"/>
    <s v="済"/>
    <x v="1"/>
    <n v="0.77"/>
    <n v="2007"/>
    <m/>
    <n v="47"/>
    <s v="C"/>
    <s v="D"/>
    <s v="C"/>
    <s v="A"/>
    <s v="D"/>
    <s v="A"/>
    <s v="A"/>
    <s v="D"/>
    <s v="A"/>
    <s v="C"/>
    <n v="52.692307692307693"/>
    <x v="0"/>
    <x v="0"/>
    <m/>
    <m/>
    <s v="学校施設台帳"/>
    <s v="618"/>
    <s v="G600100"/>
    <x v="3"/>
    <x v="7"/>
  </r>
  <r>
    <s v="125"/>
    <s v="1023"/>
    <s v="南小学校"/>
    <x v="19"/>
    <s v="03"/>
    <s v="校舎3"/>
    <x v="43"/>
    <n v="3"/>
    <x v="43"/>
    <n v="449"/>
    <n v="1348"/>
    <n v="1348"/>
    <s v="複合"/>
    <s v="RC"/>
    <n v="3"/>
    <n v="0"/>
    <s v="旧"/>
    <s v="済"/>
    <x v="1"/>
    <n v="0.76"/>
    <n v="2005"/>
    <n v="2016"/>
    <n v="47"/>
    <s v="C"/>
    <s v="A"/>
    <s v="A"/>
    <s v="A"/>
    <s v="A"/>
    <s v="A"/>
    <s v="A"/>
    <s v="A"/>
    <s v="A"/>
    <s v="A"/>
    <n v="24.4"/>
    <x v="0"/>
    <x v="0"/>
    <m/>
    <m/>
    <s v="学校施設台帳"/>
    <s v="618"/>
    <s v="G600100"/>
    <x v="3"/>
    <x v="7"/>
  </r>
  <r>
    <s v="125"/>
    <s v="1023"/>
    <s v="南小学校"/>
    <x v="19"/>
    <s v="04"/>
    <s v="校舎4"/>
    <x v="45"/>
    <n v="8"/>
    <x v="45"/>
    <n v="403"/>
    <n v="1223"/>
    <n v="1223"/>
    <s v="単独"/>
    <s v="RC"/>
    <n v="3"/>
    <n v="0"/>
    <s v="旧"/>
    <s v="済"/>
    <x v="1"/>
    <n v="0.81"/>
    <n v="2005"/>
    <n v="2016"/>
    <n v="47"/>
    <s v="C"/>
    <s v="A"/>
    <s v="A"/>
    <s v="A"/>
    <s v="A"/>
    <s v="A"/>
    <s v="A"/>
    <s v="A"/>
    <s v="B"/>
    <s v="A"/>
    <n v="28.400000000000002"/>
    <x v="0"/>
    <x v="0"/>
    <m/>
    <m/>
    <s v="学校施設台帳"/>
    <s v="618"/>
    <s v="G600100"/>
    <x v="3"/>
    <x v="7"/>
  </r>
  <r>
    <s v="125"/>
    <s v="1023"/>
    <s v="南小学校"/>
    <x v="19"/>
    <s v="05"/>
    <s v="校舎5"/>
    <x v="48"/>
    <n v="8"/>
    <x v="48"/>
    <n v="583"/>
    <n v="1750"/>
    <n v="1750"/>
    <s v="単独"/>
    <s v="RC"/>
    <n v="3"/>
    <n v="0"/>
    <s v="旧"/>
    <s v="済"/>
    <x v="1"/>
    <n v="0.8"/>
    <n v="2005"/>
    <n v="2016"/>
    <n v="47"/>
    <s v="C"/>
    <s v="B"/>
    <s v="A"/>
    <s v="A"/>
    <s v="A"/>
    <s v="A"/>
    <s v="A"/>
    <s v="A"/>
    <s v="A"/>
    <s v="A"/>
    <n v="27.200000000000003"/>
    <x v="0"/>
    <x v="0"/>
    <m/>
    <m/>
    <s v="学校施設台帳"/>
    <s v="618"/>
    <s v="G600100"/>
    <x v="3"/>
    <x v="7"/>
  </r>
  <r>
    <s v="125"/>
    <s v="1023"/>
    <s v="南小学校"/>
    <x v="19"/>
    <s v="06"/>
    <s v="体育館"/>
    <x v="10"/>
    <n v="6"/>
    <x v="10"/>
    <n v="1041"/>
    <n v="1162"/>
    <n v="1162"/>
    <s v="単独"/>
    <s v="RC"/>
    <n v="2"/>
    <n v="0"/>
    <s v="旧"/>
    <s v="済"/>
    <x v="1"/>
    <n v="1.2"/>
    <n v="2007"/>
    <n v="2014"/>
    <n v="47"/>
    <s v="C"/>
    <s v="B"/>
    <s v="A"/>
    <s v="A"/>
    <s v="A"/>
    <s v="-"/>
    <s v="-"/>
    <s v="A"/>
    <s v="A"/>
    <s v="B"/>
    <n v="34.634146341463413"/>
    <x v="0"/>
    <x v="0"/>
    <m/>
    <m/>
    <s v="学校施設台帳"/>
    <s v="618"/>
    <s v="G600100"/>
    <x v="3"/>
    <x v="7"/>
  </r>
  <r>
    <s v="125"/>
    <s v="1023"/>
    <s v="南小学校"/>
    <x v="19"/>
    <s v="07"/>
    <s v="渡廊下"/>
    <x v="43"/>
    <n v="3"/>
    <x v="43"/>
    <n v="291"/>
    <n v="491"/>
    <n v="491"/>
    <s v="単独"/>
    <s v="RC"/>
    <n v="3"/>
    <n v="0"/>
    <s v="旧"/>
    <s v="済"/>
    <x v="1"/>
    <n v="0.82"/>
    <n v="2005"/>
    <n v="2014"/>
    <n v="47"/>
    <s v="C"/>
    <s v="A"/>
    <s v="A"/>
    <s v="A"/>
    <s v="A"/>
    <s v="-"/>
    <s v="A"/>
    <s v="A"/>
    <s v="A"/>
    <s v="B"/>
    <n v="30.212765957446809"/>
    <x v="0"/>
    <x v="0"/>
    <m/>
    <m/>
    <s v="学校施設台帳"/>
    <s v="618"/>
    <s v="G600100"/>
    <x v="3"/>
    <x v="7"/>
  </r>
  <r>
    <s v="125"/>
    <s v="1023"/>
    <s v="南小学校"/>
    <x v="19"/>
    <s v="08"/>
    <s v="渡廊下"/>
    <x v="36"/>
    <n v="3"/>
    <x v="36"/>
    <n v="220"/>
    <n v="328"/>
    <n v="328"/>
    <s v="単独"/>
    <s v="RC"/>
    <n v="2"/>
    <n v="0"/>
    <s v="新"/>
    <s v="-"/>
    <x v="1"/>
    <m/>
    <m/>
    <m/>
    <n v="47"/>
    <s v="B"/>
    <s v="D"/>
    <s v="D"/>
    <s v="A"/>
    <s v="A"/>
    <s v="-"/>
    <s v="-"/>
    <s v="-"/>
    <s v="-"/>
    <s v="B"/>
    <n v="46"/>
    <x v="0"/>
    <x v="0"/>
    <m/>
    <m/>
    <s v="学校施設台帳"/>
    <s v="618"/>
    <s v="G600100"/>
    <x v="3"/>
    <x v="7"/>
  </r>
  <r>
    <s v="125"/>
    <s v="1023"/>
    <s v="南小学校"/>
    <x v="19"/>
    <s v="09"/>
    <s v="EV"/>
    <x v="21"/>
    <n v="8"/>
    <x v="21"/>
    <n v="16"/>
    <n v="48"/>
    <n v="48"/>
    <s v="単独"/>
    <s v="S"/>
    <n v="3"/>
    <n v="0"/>
    <s v="新"/>
    <s v="-"/>
    <x v="1"/>
    <m/>
    <m/>
    <m/>
    <n v="34"/>
    <s v="A"/>
    <s v="A"/>
    <s v="C"/>
    <s v="A"/>
    <s v="C"/>
    <s v="-"/>
    <s v="-"/>
    <s v="-"/>
    <s v="-"/>
    <s v="A"/>
    <n v="26.666666666666671"/>
    <x v="0"/>
    <x v="0"/>
    <m/>
    <m/>
    <s v="学校施設台帳"/>
    <s v="618"/>
    <s v="G600100"/>
    <x v="3"/>
    <x v="7"/>
  </r>
  <r>
    <s v="125"/>
    <s v="1023"/>
    <s v="南小学校"/>
    <x v="19"/>
    <s v="10"/>
    <s v="機械室"/>
    <x v="49"/>
    <n v="3"/>
    <x v="49"/>
    <n v="148"/>
    <n v="148"/>
    <n v="148"/>
    <s v="単独"/>
    <s v="RC"/>
    <n v="1"/>
    <n v="0"/>
    <s v="旧"/>
    <m/>
    <x v="2"/>
    <m/>
    <m/>
    <m/>
    <n v="38"/>
    <s v="C"/>
    <s v="D"/>
    <s v="D"/>
    <s v="A"/>
    <s v="A"/>
    <s v="-"/>
    <s v="-"/>
    <s v="-"/>
    <s v="-"/>
    <s v="C"/>
    <n v="53.75"/>
    <x v="0"/>
    <x v="0"/>
    <m/>
    <m/>
    <s v="学校施設台帳"/>
    <s v="618"/>
    <s v="G600100"/>
    <x v="3"/>
    <x v="7"/>
  </r>
  <r>
    <s v="125"/>
    <s v="1023"/>
    <s v="南小学校"/>
    <x v="19"/>
    <s v="11"/>
    <s v="機械室"/>
    <x v="1"/>
    <n v="10"/>
    <x v="1"/>
    <n v="110"/>
    <n v="110"/>
    <n v="110"/>
    <s v="単独"/>
    <s v="RC"/>
    <n v="1"/>
    <n v="0"/>
    <s v="旧"/>
    <m/>
    <x v="2"/>
    <m/>
    <m/>
    <n v="2016"/>
    <n v="38"/>
    <s v="C"/>
    <s v="B"/>
    <s v="A"/>
    <s v="A"/>
    <s v="A"/>
    <s v="-"/>
    <s v="-"/>
    <s v="-"/>
    <s v="-"/>
    <s v="B"/>
    <n v="38"/>
    <x v="0"/>
    <x v="0"/>
    <m/>
    <m/>
    <s v="学校施設台帳"/>
    <s v="618"/>
    <s v="G600100"/>
    <x v="3"/>
    <x v="7"/>
  </r>
  <r>
    <s v="125"/>
    <s v="1023"/>
    <s v="南小学校"/>
    <x v="19"/>
    <s v="12"/>
    <s v="プール付属室"/>
    <x v="50"/>
    <n v="3"/>
    <x v="50"/>
    <m/>
    <n v="81"/>
    <n v="81"/>
    <s v="単独"/>
    <s v="S"/>
    <n v="1"/>
    <n v="0"/>
    <s v="新"/>
    <s v="-"/>
    <x v="1"/>
    <m/>
    <m/>
    <m/>
    <n v="31"/>
    <s v="B"/>
    <s v="D"/>
    <s v="D"/>
    <s v="A"/>
    <s v="D"/>
    <s v="-"/>
    <s v="-"/>
    <s v="C"/>
    <s v="C"/>
    <s v="C"/>
    <n v="62.439024390243901"/>
    <x v="0"/>
    <x v="0"/>
    <m/>
    <m/>
    <s v="学校施設台帳"/>
    <s v="618"/>
    <s v="G600100"/>
    <x v="3"/>
    <x v="7"/>
  </r>
  <r>
    <s v="126"/>
    <s v="1024"/>
    <s v="神津小学校"/>
    <x v="19"/>
    <s v="01"/>
    <s v="校舎1"/>
    <x v="29"/>
    <n v="8"/>
    <x v="29"/>
    <n v="956"/>
    <n v="4027"/>
    <n v="4027"/>
    <s v="複合"/>
    <s v="RC"/>
    <n v="5"/>
    <n v="0"/>
    <s v="旧"/>
    <s v="済"/>
    <x v="1"/>
    <n v="0.79"/>
    <n v="2005"/>
    <n v="2006"/>
    <n v="47"/>
    <s v="B"/>
    <s v="C"/>
    <s v="C"/>
    <s v="B"/>
    <s v="C"/>
    <s v="C"/>
    <s v="B"/>
    <s v="B"/>
    <s v="B"/>
    <s v="C"/>
    <n v="53.20754716981132"/>
    <x v="0"/>
    <x v="0"/>
    <m/>
    <m/>
    <s v="学校施設台帳"/>
    <s v="618"/>
    <s v="G600100"/>
    <x v="3"/>
    <x v="7"/>
  </r>
  <r>
    <s v="126"/>
    <s v="1024"/>
    <s v="神津小学校"/>
    <x v="19"/>
    <s v="02"/>
    <s v="校舎2"/>
    <x v="29"/>
    <n v="8"/>
    <x v="29"/>
    <n v="546"/>
    <n v="2301"/>
    <n v="2301"/>
    <s v="単独"/>
    <s v="RC"/>
    <n v="5"/>
    <n v="0"/>
    <s v="旧"/>
    <s v="済"/>
    <x v="1"/>
    <n v="0.75"/>
    <n v="2006"/>
    <n v="2007"/>
    <n v="47"/>
    <s v="B"/>
    <s v="B"/>
    <s v="C"/>
    <s v="B"/>
    <s v="B"/>
    <s v="D"/>
    <s v="B"/>
    <s v="B"/>
    <s v="B"/>
    <s v="C"/>
    <n v="50.4"/>
    <x v="0"/>
    <x v="0"/>
    <m/>
    <m/>
    <s v="学校施設台帳"/>
    <s v="618"/>
    <s v="G600100"/>
    <x v="3"/>
    <x v="7"/>
  </r>
  <r>
    <s v="126"/>
    <s v="1024"/>
    <s v="神津小学校"/>
    <x v="19"/>
    <s v="03"/>
    <s v="体育館棟"/>
    <x v="29"/>
    <n v="8"/>
    <x v="29"/>
    <n v="967"/>
    <n v="2133"/>
    <n v="2133"/>
    <s v="単独"/>
    <s v="RC"/>
    <n v="3"/>
    <n v="0"/>
    <s v="旧"/>
    <s v="済"/>
    <x v="1"/>
    <n v="0.77"/>
    <n v="2006"/>
    <n v="2007"/>
    <n v="47"/>
    <s v="B"/>
    <s v="B"/>
    <s v="C"/>
    <s v="B"/>
    <s v="B"/>
    <s v="D"/>
    <s v="-"/>
    <s v="B"/>
    <s v="B"/>
    <s v="C"/>
    <n v="51.81818181818182"/>
    <x v="0"/>
    <x v="0"/>
    <m/>
    <m/>
    <s v="学校施設台帳"/>
    <s v="618"/>
    <s v="G600100"/>
    <x v="3"/>
    <x v="7"/>
  </r>
  <r>
    <s v="126"/>
    <s v="1024"/>
    <s v="神津小学校"/>
    <x v="19"/>
    <s v="04"/>
    <s v="EV"/>
    <x v="22"/>
    <n v="9"/>
    <x v="22"/>
    <n v="16"/>
    <n v="63"/>
    <n v="63"/>
    <s v="単独"/>
    <s v="S"/>
    <n v="4"/>
    <n v="0"/>
    <s v="新"/>
    <s v="-"/>
    <x v="1"/>
    <m/>
    <m/>
    <m/>
    <n v="34"/>
    <s v="A"/>
    <s v="B"/>
    <s v="C"/>
    <s v="B"/>
    <s v="B"/>
    <s v="-"/>
    <s v="-"/>
    <s v="-"/>
    <s v="-"/>
    <s v="B"/>
    <n v="34"/>
    <x v="0"/>
    <x v="0"/>
    <m/>
    <m/>
    <s v="学校施設台帳"/>
    <s v="618"/>
    <s v="G600100"/>
    <x v="3"/>
    <x v="7"/>
  </r>
  <r>
    <s v="126"/>
    <s v="1024"/>
    <s v="神津小学校"/>
    <x v="19"/>
    <s v="05"/>
    <s v="プール付属室"/>
    <x v="34"/>
    <n v="7"/>
    <x v="34"/>
    <m/>
    <n v="80"/>
    <n v="80"/>
    <s v="単独"/>
    <s v="S"/>
    <n v="1"/>
    <n v="0"/>
    <s v="旧"/>
    <m/>
    <x v="2"/>
    <m/>
    <m/>
    <m/>
    <n v="31"/>
    <s v="B"/>
    <s v="D"/>
    <s v="D"/>
    <s v="B"/>
    <s v="D"/>
    <s v="-"/>
    <s v="-"/>
    <s v="D"/>
    <s v="D"/>
    <s v="D"/>
    <n v="76.585365853658544"/>
    <x v="0"/>
    <x v="0"/>
    <m/>
    <m/>
    <s v="学校施設台帳"/>
    <s v="618"/>
    <s v="G600100"/>
    <x v="3"/>
    <x v="7"/>
  </r>
  <r>
    <s v="127"/>
    <s v="1025"/>
    <s v="緑丘小学校"/>
    <x v="19"/>
    <s v="01"/>
    <s v="校舎1"/>
    <x v="42"/>
    <n v="8"/>
    <x v="42"/>
    <n v="350"/>
    <n v="1088"/>
    <n v="1088"/>
    <s v="単独"/>
    <s v="RC"/>
    <n v="3"/>
    <n v="0"/>
    <s v="旧"/>
    <s v="済"/>
    <x v="1"/>
    <n v="0.75"/>
    <n v="2009"/>
    <n v="2009"/>
    <n v="47"/>
    <s v="C"/>
    <s v="B"/>
    <s v="B"/>
    <s v="A"/>
    <s v="B"/>
    <s v="D"/>
    <s v="A"/>
    <s v="A"/>
    <s v="A"/>
    <s v="B"/>
    <n v="47.599999999999994"/>
    <x v="0"/>
    <x v="0"/>
    <m/>
    <m/>
    <s v="学校施設台帳"/>
    <s v="618"/>
    <s v="G600100"/>
    <x v="3"/>
    <x v="7"/>
  </r>
  <r>
    <s v="127"/>
    <s v="1025"/>
    <s v="緑丘小学校"/>
    <x v="19"/>
    <s v="02"/>
    <s v="校舎2"/>
    <x v="6"/>
    <n v="3"/>
    <x v="6"/>
    <n v="792"/>
    <n v="3265"/>
    <n v="3265"/>
    <s v="複合"/>
    <s v="RC"/>
    <n v="5"/>
    <n v="0"/>
    <s v="旧"/>
    <s v="済"/>
    <x v="1"/>
    <n v="0.75"/>
    <n v="2009"/>
    <n v="2009"/>
    <n v="47"/>
    <s v="C"/>
    <s v="B"/>
    <s v="B"/>
    <s v="A"/>
    <s v="B"/>
    <s v="C"/>
    <s v="A"/>
    <s v="A"/>
    <s v="A"/>
    <s v="B"/>
    <n v="45.283018867924532"/>
    <x v="0"/>
    <x v="0"/>
    <m/>
    <m/>
    <s v="学校施設台帳"/>
    <s v="618"/>
    <s v="G600100"/>
    <x v="3"/>
    <x v="7"/>
  </r>
  <r>
    <s v="127"/>
    <s v="1025"/>
    <s v="緑丘小学校"/>
    <x v="19"/>
    <s v="03"/>
    <s v="校舎3"/>
    <x v="0"/>
    <n v="3"/>
    <x v="0"/>
    <n v="548"/>
    <n v="2288"/>
    <n v="2288"/>
    <s v="単独"/>
    <s v="RC"/>
    <n v="5"/>
    <n v="0"/>
    <s v="旧"/>
    <s v="済"/>
    <x v="1"/>
    <n v="0.75"/>
    <n v="2009"/>
    <n v="2009"/>
    <n v="47"/>
    <s v="C"/>
    <s v="B"/>
    <s v="B"/>
    <s v="A"/>
    <s v="B"/>
    <s v="C"/>
    <s v="A"/>
    <s v="A"/>
    <s v="A"/>
    <s v="B"/>
    <n v="44.905660377358494"/>
    <x v="0"/>
    <x v="0"/>
    <m/>
    <m/>
    <s v="学校施設台帳"/>
    <s v="618"/>
    <s v="G600100"/>
    <x v="3"/>
    <x v="7"/>
  </r>
  <r>
    <s v="127"/>
    <s v="1025"/>
    <s v="緑丘小学校"/>
    <x v="19"/>
    <s v="04"/>
    <s v="渡廊下"/>
    <x v="0"/>
    <n v="3"/>
    <x v="0"/>
    <n v="287"/>
    <n v="673"/>
    <n v="673"/>
    <s v="単独"/>
    <s v="RC"/>
    <n v="4"/>
    <n v="0"/>
    <s v="旧"/>
    <s v="済"/>
    <x v="1"/>
    <n v="0.78"/>
    <n v="2009"/>
    <n v="2009"/>
    <n v="47"/>
    <s v="C"/>
    <s v="B"/>
    <s v="B"/>
    <s v="A"/>
    <s v="B"/>
    <s v="B"/>
    <s v="A"/>
    <s v="A"/>
    <s v="A"/>
    <s v="B"/>
    <n v="41.2"/>
    <x v="0"/>
    <x v="0"/>
    <m/>
    <m/>
    <s v="学校施設台帳"/>
    <s v="618"/>
    <s v="G600100"/>
    <x v="3"/>
    <x v="7"/>
  </r>
  <r>
    <s v="127"/>
    <s v="1025"/>
    <s v="緑丘小学校"/>
    <x v="19"/>
    <s v="05"/>
    <s v="下足室"/>
    <x v="28"/>
    <n v="3"/>
    <x v="28"/>
    <n v="183"/>
    <n v="183"/>
    <n v="183"/>
    <s v="単独"/>
    <s v="RC"/>
    <n v="2"/>
    <n v="0"/>
    <s v="新"/>
    <s v="-"/>
    <x v="1"/>
    <m/>
    <m/>
    <n v="2009"/>
    <n v="47"/>
    <s v="B"/>
    <s v="B"/>
    <s v="B"/>
    <s v="A"/>
    <s v="B"/>
    <s v="-"/>
    <s v="-"/>
    <s v="-"/>
    <s v="-"/>
    <s v="B"/>
    <n v="38.666666666666671"/>
    <x v="0"/>
    <x v="0"/>
    <m/>
    <m/>
    <s v="学校施設台帳"/>
    <s v="618"/>
    <s v="G600100"/>
    <x v="3"/>
    <x v="7"/>
  </r>
  <r>
    <s v="127"/>
    <s v="1025"/>
    <s v="緑丘小学校"/>
    <x v="19"/>
    <s v="06"/>
    <s v="体育館"/>
    <x v="9"/>
    <n v="1"/>
    <x v="9"/>
    <n v="959"/>
    <n v="1109"/>
    <n v="1109"/>
    <s v="単独"/>
    <s v="RC"/>
    <n v="2"/>
    <n v="0"/>
    <s v="新"/>
    <s v="-"/>
    <x v="1"/>
    <m/>
    <m/>
    <m/>
    <n v="47"/>
    <s v="B"/>
    <s v="A"/>
    <s v="D"/>
    <s v="A"/>
    <s v="D"/>
    <s v="-"/>
    <s v="A"/>
    <s v="D"/>
    <s v="A"/>
    <s v="B"/>
    <n v="46.808510638297875"/>
    <x v="0"/>
    <x v="0"/>
    <m/>
    <m/>
    <s v="学校施設台帳"/>
    <s v="618"/>
    <s v="G600100"/>
    <x v="3"/>
    <x v="7"/>
  </r>
  <r>
    <s v="127"/>
    <s v="1025"/>
    <s v="緑丘小学校"/>
    <x v="19"/>
    <s v="07"/>
    <s v="EV"/>
    <x v="51"/>
    <n v="3"/>
    <x v="51"/>
    <n v="10"/>
    <n v="40"/>
    <n v="40"/>
    <s v="単独"/>
    <s v="S"/>
    <n v="4"/>
    <n v="0"/>
    <s v="新"/>
    <s v="-"/>
    <x v="1"/>
    <m/>
    <m/>
    <m/>
    <n v="34"/>
    <s v="A"/>
    <s v="B"/>
    <s v="B"/>
    <s v="A"/>
    <s v="B"/>
    <s v="-"/>
    <s v="-"/>
    <s v="-"/>
    <s v="-"/>
    <s v="A"/>
    <n v="25.333333333333329"/>
    <x v="0"/>
    <x v="0"/>
    <m/>
    <m/>
    <s v="学校施設台帳"/>
    <s v="618"/>
    <s v="G600100"/>
    <x v="3"/>
    <x v="7"/>
  </r>
  <r>
    <s v="127"/>
    <s v="1025"/>
    <s v="緑丘小学校"/>
    <x v="19"/>
    <s v="08"/>
    <s v="プール付属室"/>
    <x v="39"/>
    <n v="6"/>
    <x v="39"/>
    <m/>
    <n v="105"/>
    <n v="105"/>
    <s v="単独"/>
    <s v="S"/>
    <n v="1"/>
    <n v="0"/>
    <s v="新"/>
    <s v="-"/>
    <x v="1"/>
    <m/>
    <m/>
    <n v="2015"/>
    <n v="31"/>
    <s v="B"/>
    <s v="A"/>
    <s v="A"/>
    <s v="A"/>
    <s v="A"/>
    <s v="-"/>
    <s v="-"/>
    <s v="A"/>
    <s v="A"/>
    <s v="A"/>
    <n v="22.926829268292682"/>
    <x v="0"/>
    <x v="0"/>
    <m/>
    <m/>
    <s v="学校施設台帳"/>
    <s v="618"/>
    <s v="G600100"/>
    <x v="3"/>
    <x v="7"/>
  </r>
  <r>
    <s v="128"/>
    <s v="1026"/>
    <s v="桜台小学校"/>
    <x v="19"/>
    <s v="01"/>
    <s v="校舎1"/>
    <x v="42"/>
    <n v="6"/>
    <x v="42"/>
    <n v="370"/>
    <n v="770"/>
    <n v="770"/>
    <s v="単独"/>
    <s v="RC"/>
    <n v="2"/>
    <n v="0"/>
    <s v="旧"/>
    <s v="済"/>
    <x v="1"/>
    <n v="0.97"/>
    <n v="2009"/>
    <n v="2009"/>
    <n v="47"/>
    <s v="C"/>
    <s v="B"/>
    <s v="B"/>
    <s v="D"/>
    <s v="B"/>
    <s v="C"/>
    <s v="A"/>
    <s v="A"/>
    <s v="A"/>
    <s v="C"/>
    <n v="56.226415094339622"/>
    <x v="0"/>
    <x v="0"/>
    <m/>
    <m/>
    <s v="学校施設台帳"/>
    <s v="618"/>
    <s v="G600100"/>
    <x v="3"/>
    <x v="7"/>
  </r>
  <r>
    <s v="128"/>
    <s v="1026"/>
    <s v="桜台小学校"/>
    <x v="19"/>
    <s v="02"/>
    <s v="校舎2"/>
    <x v="44"/>
    <n v="9"/>
    <x v="44"/>
    <n v="285"/>
    <n v="855"/>
    <n v="855"/>
    <s v="単独"/>
    <s v="RC"/>
    <n v="3"/>
    <n v="0"/>
    <s v="旧"/>
    <s v="済"/>
    <x v="1"/>
    <n v="0.75"/>
    <n v="2009"/>
    <n v="2009"/>
    <n v="47"/>
    <s v="C"/>
    <s v="B"/>
    <s v="B"/>
    <s v="D"/>
    <s v="B"/>
    <s v="C"/>
    <s v="A"/>
    <s v="A"/>
    <s v="A"/>
    <s v="C"/>
    <n v="54.716981132075468"/>
    <x v="0"/>
    <x v="0"/>
    <m/>
    <m/>
    <s v="学校施設台帳"/>
    <s v="618"/>
    <s v="G600100"/>
    <x v="3"/>
    <x v="7"/>
  </r>
  <r>
    <s v="128"/>
    <s v="1026"/>
    <s v="桜台小学校"/>
    <x v="19"/>
    <s v="03"/>
    <s v="校舎3"/>
    <x v="12"/>
    <n v="5"/>
    <x v="12"/>
    <n v="128"/>
    <n v="510"/>
    <n v="510"/>
    <s v="単独"/>
    <s v="RC"/>
    <n v="4"/>
    <n v="0"/>
    <s v="旧"/>
    <s v="済"/>
    <x v="1"/>
    <n v="0.75"/>
    <n v="2009"/>
    <n v="2009"/>
    <n v="47"/>
    <s v="C"/>
    <s v="B"/>
    <s v="B"/>
    <s v="D"/>
    <s v="B"/>
    <s v="D"/>
    <s v="A"/>
    <s v="A"/>
    <s v="A"/>
    <s v="C"/>
    <n v="52.400000000000006"/>
    <x v="0"/>
    <x v="0"/>
    <m/>
    <m/>
    <s v="学校施設台帳"/>
    <s v="618"/>
    <s v="G600100"/>
    <x v="3"/>
    <x v="7"/>
  </r>
  <r>
    <s v="128"/>
    <s v="1026"/>
    <s v="桜台小学校"/>
    <x v="19"/>
    <s v="04"/>
    <s v="校舎4"/>
    <x v="48"/>
    <n v="3"/>
    <x v="48"/>
    <n v="539"/>
    <n v="2186"/>
    <n v="2186"/>
    <s v="複合"/>
    <s v="RC"/>
    <n v="4"/>
    <n v="0"/>
    <s v="旧"/>
    <s v="済"/>
    <x v="1"/>
    <n v="0.75"/>
    <n v="2009"/>
    <n v="2009"/>
    <n v="47"/>
    <s v="C"/>
    <s v="B"/>
    <s v="B"/>
    <s v="D"/>
    <s v="B"/>
    <s v="C"/>
    <s v="A"/>
    <s v="A"/>
    <s v="A"/>
    <s v="C"/>
    <n v="54.339622641509436"/>
    <x v="0"/>
    <x v="0"/>
    <m/>
    <m/>
    <s v="学校施設台帳"/>
    <s v="618"/>
    <s v="G600100"/>
    <x v="3"/>
    <x v="7"/>
  </r>
  <r>
    <s v="128"/>
    <s v="1026"/>
    <s v="桜台小学校"/>
    <x v="19"/>
    <s v="05"/>
    <s v="校舎5"/>
    <x v="6"/>
    <n v="3"/>
    <x v="6"/>
    <n v="747"/>
    <n v="3016"/>
    <n v="3016"/>
    <s v="複合"/>
    <s v="RC"/>
    <n v="4"/>
    <n v="0"/>
    <s v="旧"/>
    <s v="済"/>
    <x v="1"/>
    <n v="0.76"/>
    <n v="2009"/>
    <n v="2009"/>
    <n v="47"/>
    <s v="C"/>
    <s v="B"/>
    <s v="B"/>
    <s v="D"/>
    <s v="B"/>
    <s v="C"/>
    <s v="A"/>
    <s v="A"/>
    <s v="A"/>
    <s v="C"/>
    <n v="53.584905660377359"/>
    <x v="0"/>
    <x v="0"/>
    <m/>
    <m/>
    <s v="学校施設台帳"/>
    <s v="618"/>
    <s v="G600100"/>
    <x v="3"/>
    <x v="7"/>
  </r>
  <r>
    <s v="128"/>
    <s v="1026"/>
    <s v="桜台小学校"/>
    <x v="19"/>
    <s v="06"/>
    <s v="体育館"/>
    <x v="2"/>
    <n v="3"/>
    <x v="2"/>
    <n v="1196"/>
    <n v="1546"/>
    <n v="1546"/>
    <s v="単独"/>
    <s v="RC"/>
    <n v="2"/>
    <n v="0"/>
    <s v="新"/>
    <s v="-"/>
    <x v="1"/>
    <m/>
    <m/>
    <m/>
    <n v="47"/>
    <s v="B"/>
    <s v="D"/>
    <s v="D"/>
    <s v="D"/>
    <s v="D"/>
    <s v="-"/>
    <s v="A"/>
    <s v="D"/>
    <s v="A"/>
    <s v="C"/>
    <n v="66.808510638297875"/>
    <x v="0"/>
    <x v="0"/>
    <m/>
    <m/>
    <s v="学校施設台帳"/>
    <s v="618"/>
    <s v="G600100"/>
    <x v="3"/>
    <x v="7"/>
  </r>
  <r>
    <s v="128"/>
    <s v="1026"/>
    <s v="桜台小学校"/>
    <x v="19"/>
    <s v="07"/>
    <s v="渡廊下"/>
    <x v="10"/>
    <n v="3"/>
    <x v="10"/>
    <n v="211"/>
    <n v="321"/>
    <n v="321"/>
    <s v="単独"/>
    <s v="RC"/>
    <n v="3"/>
    <n v="0"/>
    <s v="旧"/>
    <s v="済"/>
    <x v="1"/>
    <n v="0.9"/>
    <n v="2009"/>
    <n v="2009"/>
    <n v="47"/>
    <s v="C"/>
    <s v="B"/>
    <s v="B"/>
    <s v="D"/>
    <s v="B"/>
    <s v="B"/>
    <s v="A"/>
    <s v="A"/>
    <s v="A"/>
    <s v="C"/>
    <n v="50.4"/>
    <x v="0"/>
    <x v="0"/>
    <m/>
    <m/>
    <s v="学校施設台帳"/>
    <s v="618"/>
    <s v="G600100"/>
    <x v="3"/>
    <x v="7"/>
  </r>
  <r>
    <s v="128"/>
    <s v="1026"/>
    <s v="桜台小学校"/>
    <x v="19"/>
    <s v="08"/>
    <s v="機械室"/>
    <x v="6"/>
    <n v="10"/>
    <x v="6"/>
    <n v="105"/>
    <n v="105"/>
    <n v="105"/>
    <s v="単独"/>
    <s v="RC"/>
    <n v="1"/>
    <n v="0"/>
    <s v="旧"/>
    <s v="済"/>
    <x v="1"/>
    <m/>
    <m/>
    <n v="2009"/>
    <n v="38"/>
    <s v="C"/>
    <s v="B"/>
    <s v="B"/>
    <s v="D"/>
    <s v="B"/>
    <s v="-"/>
    <s v="-"/>
    <s v="-"/>
    <s v="-"/>
    <s v="C"/>
    <n v="65.333333333333329"/>
    <x v="0"/>
    <x v="0"/>
    <m/>
    <m/>
    <s v="学校施設台帳"/>
    <s v="618"/>
    <s v="G600100"/>
    <x v="3"/>
    <x v="7"/>
  </r>
  <r>
    <s v="128"/>
    <s v="1026"/>
    <s v="桜台小学校"/>
    <x v="19"/>
    <s v="09"/>
    <s v="機械室"/>
    <x v="6"/>
    <n v="3"/>
    <x v="6"/>
    <n v="63"/>
    <n v="63"/>
    <n v="63"/>
    <s v="単独"/>
    <s v="RC"/>
    <n v="1"/>
    <n v="0"/>
    <s v="旧"/>
    <m/>
    <x v="2"/>
    <m/>
    <m/>
    <n v="2009"/>
    <n v="38"/>
    <s v="C"/>
    <s v="B"/>
    <s v="B"/>
    <s v="D"/>
    <s v="B"/>
    <s v="-"/>
    <s v="-"/>
    <s v="-"/>
    <s v="-"/>
    <s v="C"/>
    <n v="65.333333333333329"/>
    <x v="0"/>
    <x v="0"/>
    <m/>
    <m/>
    <s v="学校施設台帳"/>
    <s v="618"/>
    <s v="G600100"/>
    <x v="3"/>
    <x v="7"/>
  </r>
  <r>
    <s v="128"/>
    <s v="1026"/>
    <s v="桜台小学校"/>
    <x v="19"/>
    <s v="10"/>
    <s v="EV"/>
    <x v="24"/>
    <n v="3"/>
    <x v="24"/>
    <n v="12"/>
    <n v="48"/>
    <n v="48"/>
    <s v="単独"/>
    <s v="S"/>
    <n v="4"/>
    <n v="0"/>
    <s v="新"/>
    <s v="-"/>
    <x v="1"/>
    <m/>
    <m/>
    <m/>
    <n v="34"/>
    <s v="A"/>
    <s v="B"/>
    <s v="B"/>
    <s v="D"/>
    <s v="B"/>
    <s v="-"/>
    <s v="-"/>
    <s v="-"/>
    <s v="-"/>
    <s v="B"/>
    <n v="40.666666666666664"/>
    <x v="0"/>
    <x v="0"/>
    <m/>
    <m/>
    <s v="学校施設台帳"/>
    <s v="618"/>
    <s v="G600100"/>
    <x v="3"/>
    <x v="7"/>
  </r>
  <r>
    <s v="128"/>
    <s v="1026"/>
    <s v="桜台小学校"/>
    <x v="19"/>
    <s v="11"/>
    <s v="プール付属室"/>
    <x v="28"/>
    <n v="3"/>
    <x v="28"/>
    <m/>
    <n v="72"/>
    <n v="72"/>
    <s v="単独"/>
    <s v="RC"/>
    <n v="1"/>
    <n v="0"/>
    <s v="新"/>
    <s v="-"/>
    <x v="1"/>
    <m/>
    <m/>
    <n v="2015"/>
    <n v="38"/>
    <s v="B"/>
    <s v="D"/>
    <s v="D"/>
    <s v="D"/>
    <s v="D"/>
    <s v="-"/>
    <s v="-"/>
    <s v="D"/>
    <s v="C"/>
    <s v="D"/>
    <n v="80"/>
    <x v="0"/>
    <x v="0"/>
    <m/>
    <m/>
    <s v="学校施設台帳"/>
    <s v="618"/>
    <s v="G600100"/>
    <x v="3"/>
    <x v="7"/>
  </r>
  <r>
    <s v="128"/>
    <s v="1026"/>
    <s v="桜台小学校"/>
    <x v="19"/>
    <s v="12"/>
    <s v="機械室"/>
    <x v="28"/>
    <n v="3"/>
    <x v="28"/>
    <m/>
    <n v="20"/>
    <n v="20"/>
    <s v="単独"/>
    <s v="RC"/>
    <n v="1"/>
    <n v="0"/>
    <s v="新"/>
    <s v="-"/>
    <x v="1"/>
    <m/>
    <m/>
    <m/>
    <n v="38"/>
    <s v="B"/>
    <s v="D"/>
    <s v="D"/>
    <s v="D"/>
    <s v="D"/>
    <s v="-"/>
    <s v="C"/>
    <s v="D"/>
    <s v="-"/>
    <s v="D"/>
    <n v="80"/>
    <x v="0"/>
    <x v="0"/>
    <m/>
    <m/>
    <s v="学校施設台帳"/>
    <s v="618"/>
    <s v="G600100"/>
    <x v="3"/>
    <x v="7"/>
  </r>
  <r>
    <s v="129"/>
    <s v="1027"/>
    <s v="天神川小学校"/>
    <x v="19"/>
    <s v="01"/>
    <s v="校舎1"/>
    <x v="42"/>
    <n v="8"/>
    <x v="42"/>
    <n v="723"/>
    <n v="2198"/>
    <n v="2198"/>
    <s v="単独"/>
    <s v="RC"/>
    <n v="3"/>
    <n v="0"/>
    <s v="旧"/>
    <s v="済"/>
    <x v="1"/>
    <n v="0.77"/>
    <n v="2005"/>
    <m/>
    <n v="47"/>
    <s v="C"/>
    <s v="C"/>
    <s v="B"/>
    <s v="D"/>
    <s v="D"/>
    <s v="C"/>
    <s v="D"/>
    <s v="D"/>
    <s v="B"/>
    <s v="D"/>
    <n v="80.377358490566039"/>
    <x v="0"/>
    <x v="0"/>
    <m/>
    <m/>
    <s v="学校施設台帳"/>
    <s v="618"/>
    <s v="G600100"/>
    <x v="3"/>
    <x v="7"/>
  </r>
  <r>
    <s v="129"/>
    <s v="1027"/>
    <s v="天神川小学校"/>
    <x v="19"/>
    <s v="02"/>
    <s v="校舎2"/>
    <x v="48"/>
    <n v="3"/>
    <x v="48"/>
    <n v="978"/>
    <n v="3951"/>
    <n v="3951"/>
    <s v="単独"/>
    <s v="RC"/>
    <n v="4"/>
    <n v="0"/>
    <s v="旧"/>
    <s v="済"/>
    <x v="1"/>
    <n v="0.79"/>
    <n v="2004"/>
    <m/>
    <n v="47"/>
    <s v="C"/>
    <s v="B"/>
    <s v="A"/>
    <s v="D"/>
    <s v="D"/>
    <s v="C"/>
    <s v="B"/>
    <s v="D"/>
    <s v="B"/>
    <s v="D"/>
    <n v="71.320754716981142"/>
    <x v="0"/>
    <x v="0"/>
    <m/>
    <m/>
    <s v="学校施設台帳"/>
    <s v="618"/>
    <s v="G600100"/>
    <x v="3"/>
    <x v="7"/>
  </r>
  <r>
    <s v="129"/>
    <s v="1027"/>
    <s v="天神川小学校"/>
    <x v="19"/>
    <s v="03"/>
    <s v="体育館"/>
    <x v="11"/>
    <n v="2"/>
    <x v="11"/>
    <n v="1060"/>
    <n v="1372"/>
    <n v="1372"/>
    <s v="単独"/>
    <s v="RC"/>
    <n v="2"/>
    <n v="0"/>
    <s v="新"/>
    <s v="-"/>
    <x v="1"/>
    <m/>
    <m/>
    <m/>
    <n v="47"/>
    <s v="B"/>
    <s v="D"/>
    <s v="D"/>
    <s v="D"/>
    <s v="D"/>
    <s v="-"/>
    <s v="D"/>
    <s v="D"/>
    <s v="A"/>
    <s v="D"/>
    <n v="73.191489361702125"/>
    <x v="0"/>
    <x v="0"/>
    <m/>
    <m/>
    <s v="学校施設台帳"/>
    <s v="618"/>
    <s v="G600100"/>
    <x v="3"/>
    <x v="7"/>
  </r>
  <r>
    <s v="129"/>
    <s v="1027"/>
    <s v="天神川小学校"/>
    <x v="19"/>
    <s v="04"/>
    <s v="渡廊下"/>
    <x v="48"/>
    <n v="3"/>
    <x v="48"/>
    <n v="190"/>
    <n v="316"/>
    <n v="316"/>
    <s v="単独"/>
    <s v="RC"/>
    <n v="3"/>
    <n v="0"/>
    <s v="旧"/>
    <s v="済"/>
    <x v="1"/>
    <n v="0.77"/>
    <n v="2010"/>
    <n v="2010"/>
    <n v="47"/>
    <s v="C"/>
    <s v="B"/>
    <s v="B"/>
    <s v="D"/>
    <s v="B"/>
    <s v="C"/>
    <s v="B"/>
    <s v="D"/>
    <s v="D"/>
    <s v="D"/>
    <n v="73.599999999999994"/>
    <x v="0"/>
    <x v="0"/>
    <m/>
    <m/>
    <s v="学校施設台帳"/>
    <s v="618"/>
    <s v="G600100"/>
    <x v="3"/>
    <x v="7"/>
  </r>
  <r>
    <s v="129"/>
    <s v="1027"/>
    <s v="天神川小学校"/>
    <x v="19"/>
    <s v="05"/>
    <s v="校舎3"/>
    <x v="33"/>
    <n v="10"/>
    <x v="33"/>
    <n v="180"/>
    <n v="540"/>
    <n v="540"/>
    <s v="複合"/>
    <s v="S"/>
    <n v="3"/>
    <n v="0"/>
    <s v="新"/>
    <s v="-"/>
    <x v="1"/>
    <m/>
    <m/>
    <m/>
    <n v="34"/>
    <s v="A"/>
    <s v="C"/>
    <s v="D"/>
    <s v="D"/>
    <s v="C"/>
    <s v="D"/>
    <s v="D"/>
    <s v="C"/>
    <s v="B"/>
    <s v="D"/>
    <n v="70"/>
    <x v="0"/>
    <x v="0"/>
    <m/>
    <m/>
    <s v="学校施設台帳"/>
    <s v="618"/>
    <s v="G600100"/>
    <x v="3"/>
    <x v="7"/>
  </r>
  <r>
    <s v="129"/>
    <s v="1027"/>
    <s v="天神川小学校"/>
    <x v="19"/>
    <s v="06"/>
    <s v="機械室"/>
    <x v="6"/>
    <n v="1"/>
    <x v="6"/>
    <n v="45"/>
    <n v="45"/>
    <n v="45"/>
    <s v="単独"/>
    <s v="RC"/>
    <n v="1"/>
    <n v="0"/>
    <s v="旧"/>
    <s v="済"/>
    <x v="1"/>
    <m/>
    <m/>
    <m/>
    <n v="38"/>
    <s v="C"/>
    <s v="B"/>
    <s v="B"/>
    <s v="D"/>
    <s v="D"/>
    <s v="-"/>
    <s v="-"/>
    <s v="-"/>
    <s v="-"/>
    <s v="D"/>
    <n v="73.333333333333343"/>
    <x v="0"/>
    <x v="0"/>
    <m/>
    <m/>
    <s v="学校施設台帳"/>
    <s v="618"/>
    <s v="G600100"/>
    <x v="3"/>
    <x v="7"/>
  </r>
  <r>
    <s v="130"/>
    <s v="1028"/>
    <s v="笹原小学校"/>
    <x v="19"/>
    <s v="01"/>
    <s v="校舎1"/>
    <x v="45"/>
    <n v="3"/>
    <x v="45"/>
    <n v="957"/>
    <n v="2945"/>
    <n v="2945"/>
    <s v="単独"/>
    <s v="RC"/>
    <n v="3"/>
    <n v="0"/>
    <s v="旧"/>
    <s v="済"/>
    <x v="1"/>
    <n v="0.79"/>
    <n v="2006"/>
    <n v="2015"/>
    <n v="47"/>
    <s v="C"/>
    <s v="D"/>
    <s v="A"/>
    <s v="D"/>
    <s v="D"/>
    <s v="D"/>
    <s v="D"/>
    <s v="D"/>
    <s v="A"/>
    <s v="D"/>
    <n v="81.090909090909093"/>
    <x v="0"/>
    <x v="0"/>
    <m/>
    <m/>
    <s v="学校施設台帳"/>
    <s v="618"/>
    <s v="G600100"/>
    <x v="3"/>
    <x v="7"/>
  </r>
  <r>
    <s v="130"/>
    <s v="1028"/>
    <s v="笹原小学校"/>
    <x v="19"/>
    <s v="02"/>
    <s v="体育館"/>
    <x v="45"/>
    <n v="7"/>
    <x v="45"/>
    <n v="805"/>
    <n v="833"/>
    <n v="833"/>
    <s v="単独"/>
    <s v="RC"/>
    <n v="2"/>
    <n v="0"/>
    <s v="旧"/>
    <s v="済"/>
    <x v="1"/>
    <n v="0.83"/>
    <n v="2006"/>
    <m/>
    <n v="47"/>
    <s v="C"/>
    <s v="D"/>
    <s v="D"/>
    <s v="D"/>
    <s v="A"/>
    <s v="-"/>
    <s v="D"/>
    <s v="A"/>
    <s v="A"/>
    <s v="C"/>
    <n v="66.808510638297875"/>
    <x v="0"/>
    <x v="0"/>
    <m/>
    <m/>
    <s v="学校施設台帳"/>
    <s v="618"/>
    <s v="G600100"/>
    <x v="3"/>
    <x v="7"/>
  </r>
  <r>
    <s v="130"/>
    <s v="1028"/>
    <s v="笹原小学校"/>
    <x v="19"/>
    <s v="03"/>
    <s v="校舎2"/>
    <x v="48"/>
    <n v="8"/>
    <x v="48"/>
    <n v="957"/>
    <n v="3940"/>
    <n v="3940"/>
    <s v="複合"/>
    <s v="RC"/>
    <n v="4"/>
    <n v="0"/>
    <s v="旧"/>
    <s v="済"/>
    <x v="1"/>
    <n v="0.81"/>
    <n v="2005"/>
    <m/>
    <n v="47"/>
    <s v="C"/>
    <s v="B"/>
    <s v="D"/>
    <s v="D"/>
    <s v="D"/>
    <s v="D"/>
    <s v="D"/>
    <s v="D"/>
    <s v="A"/>
    <s v="D"/>
    <n v="79.622641509433961"/>
    <x v="0"/>
    <x v="0"/>
    <m/>
    <m/>
    <s v="学校施設台帳"/>
    <s v="618"/>
    <s v="G600100"/>
    <x v="3"/>
    <x v="7"/>
  </r>
  <r>
    <s v="130"/>
    <s v="1028"/>
    <s v="笹原小学校"/>
    <x v="19"/>
    <s v="04"/>
    <s v="渡廊下"/>
    <x v="48"/>
    <n v="8"/>
    <x v="48"/>
    <n v="13"/>
    <n v="38"/>
    <n v="38"/>
    <s v="単独"/>
    <s v="RC"/>
    <n v="3"/>
    <n v="0"/>
    <s v="旧"/>
    <s v="済"/>
    <x v="1"/>
    <n v="0.9"/>
    <n v="2006"/>
    <m/>
    <n v="47"/>
    <s v="C"/>
    <s v="D"/>
    <s v="A"/>
    <s v="D"/>
    <s v="D"/>
    <s v="-"/>
    <s v="-"/>
    <s v="-"/>
    <s v="-"/>
    <s v="D"/>
    <n v="82.5"/>
    <x v="0"/>
    <x v="0"/>
    <m/>
    <m/>
    <s v="学校施設台帳"/>
    <s v="618"/>
    <s v="G600100"/>
    <x v="3"/>
    <x v="7"/>
  </r>
  <r>
    <s v="130"/>
    <s v="1028"/>
    <s v="笹原小学校"/>
    <x v="19"/>
    <s v="05"/>
    <s v="機械室"/>
    <x v="7"/>
    <n v="10"/>
    <x v="7"/>
    <n v="103"/>
    <n v="103"/>
    <n v="103"/>
    <s v="単独"/>
    <s v="RC"/>
    <n v="2"/>
    <n v="0"/>
    <s v="旧"/>
    <s v="済"/>
    <x v="1"/>
    <n v="1.99"/>
    <m/>
    <n v="2015"/>
    <n v="38"/>
    <s v="C"/>
    <s v="D"/>
    <s v="A"/>
    <s v="D"/>
    <s v="D"/>
    <s v="-"/>
    <s v="-"/>
    <s v="-"/>
    <s v="-"/>
    <s v="D"/>
    <n v="77.5"/>
    <x v="0"/>
    <x v="0"/>
    <m/>
    <m/>
    <s v="学校施設台帳"/>
    <s v="618"/>
    <s v="G600100"/>
    <x v="3"/>
    <x v="7"/>
  </r>
  <r>
    <s v="130"/>
    <s v="1028"/>
    <s v="笹原小学校"/>
    <x v="19"/>
    <s v="06"/>
    <s v="機械室"/>
    <x v="49"/>
    <n v="10"/>
    <x v="49"/>
    <n v="164"/>
    <n v="164"/>
    <n v="164"/>
    <s v="単独"/>
    <s v="RC"/>
    <n v="1"/>
    <n v="0"/>
    <s v="旧"/>
    <m/>
    <x v="2"/>
    <m/>
    <m/>
    <m/>
    <n v="38"/>
    <s v="C"/>
    <s v="D"/>
    <s v="D"/>
    <s v="D"/>
    <s v="D"/>
    <s v="-"/>
    <s v="-"/>
    <s v="-"/>
    <s v="-"/>
    <s v="D"/>
    <n v="83.75"/>
    <x v="0"/>
    <x v="0"/>
    <m/>
    <m/>
    <s v="学校施設台帳"/>
    <s v="618"/>
    <s v="G600100"/>
    <x v="3"/>
    <x v="7"/>
  </r>
  <r>
    <s v="130"/>
    <s v="1028"/>
    <s v="笹原小学校"/>
    <x v="19"/>
    <s v="07"/>
    <s v="校舎3"/>
    <x v="22"/>
    <n v="9"/>
    <x v="22"/>
    <n v="360"/>
    <n v="360"/>
    <n v="360"/>
    <s v="単独"/>
    <s v="S"/>
    <n v="1"/>
    <n v="0"/>
    <s v="新"/>
    <s v="-"/>
    <x v="1"/>
    <m/>
    <m/>
    <m/>
    <n v="34"/>
    <s v="A"/>
    <s v="B"/>
    <s v="A"/>
    <s v="D"/>
    <s v="B"/>
    <s v="C"/>
    <s v="D"/>
    <s v="B"/>
    <s v="B"/>
    <s v="B"/>
    <n v="47.636363636363633"/>
    <x v="0"/>
    <x v="0"/>
    <m/>
    <m/>
    <s v="学校施設台帳"/>
    <s v="618"/>
    <s v="G600100"/>
    <x v="3"/>
    <x v="7"/>
  </r>
  <r>
    <s v="130"/>
    <s v="1028"/>
    <s v="笹原小学校"/>
    <x v="19"/>
    <s v="08"/>
    <s v="EV"/>
    <x v="21"/>
    <n v="8"/>
    <x v="21"/>
    <n v="18"/>
    <n v="71"/>
    <n v="71"/>
    <s v="単独"/>
    <s v="S"/>
    <n v="4"/>
    <n v="0"/>
    <s v="新"/>
    <s v="-"/>
    <x v="1"/>
    <m/>
    <m/>
    <m/>
    <n v="34"/>
    <s v="A"/>
    <s v="C"/>
    <s v="C"/>
    <s v="D"/>
    <s v="C"/>
    <s v="-"/>
    <s v="-"/>
    <s v="-"/>
    <s v="-"/>
    <s v="C"/>
    <n v="52"/>
    <x v="0"/>
    <x v="0"/>
    <m/>
    <m/>
    <s v="学校施設台帳"/>
    <s v="618"/>
    <s v="G600100"/>
    <x v="3"/>
    <x v="7"/>
  </r>
  <r>
    <s v="130"/>
    <s v="1028"/>
    <s v="笹原小学校"/>
    <x v="19"/>
    <s v="09"/>
    <s v="プール付属室"/>
    <x v="39"/>
    <n v="3"/>
    <x v="39"/>
    <m/>
    <n v="72"/>
    <n v="72"/>
    <s v="単独"/>
    <s v="S"/>
    <n v="1"/>
    <n v="0"/>
    <s v="新"/>
    <s v="-"/>
    <x v="1"/>
    <m/>
    <m/>
    <n v="2015"/>
    <n v="31"/>
    <s v="B"/>
    <s v="A"/>
    <s v="A"/>
    <s v="D"/>
    <s v="A"/>
    <s v="-"/>
    <s v="-"/>
    <s v="A"/>
    <s v="A"/>
    <s v="B"/>
    <n v="33.658536585365852"/>
    <x v="0"/>
    <x v="0"/>
    <m/>
    <m/>
    <s v="学校施設台帳"/>
    <s v="618"/>
    <s v="G600100"/>
    <x v="3"/>
    <x v="7"/>
  </r>
  <r>
    <s v="131"/>
    <s v="1029"/>
    <s v="瑞穂小学校"/>
    <x v="19"/>
    <s v="01"/>
    <s v="校舎1"/>
    <x v="45"/>
    <n v="3"/>
    <x v="45"/>
    <n v="1004"/>
    <n v="3060"/>
    <n v="3060"/>
    <s v="単独"/>
    <s v="RC"/>
    <n v="3"/>
    <n v="0"/>
    <s v="旧"/>
    <s v="済"/>
    <x v="1"/>
    <n v="0.79"/>
    <n v="2009"/>
    <n v="2009"/>
    <n v="47"/>
    <s v="C"/>
    <s v="B"/>
    <s v="B"/>
    <s v="B"/>
    <s v="B"/>
    <s v="C"/>
    <s v="A"/>
    <s v="A"/>
    <s v="A"/>
    <s v="B"/>
    <n v="47.599999999999994"/>
    <x v="0"/>
    <x v="0"/>
    <m/>
    <m/>
    <s v="学校施設台帳"/>
    <s v="618"/>
    <s v="G600100"/>
    <x v="3"/>
    <x v="7"/>
  </r>
  <r>
    <s v="131"/>
    <s v="1029"/>
    <s v="瑞穂小学校"/>
    <x v="19"/>
    <s v="02"/>
    <s v="体育館"/>
    <x v="45"/>
    <n v="7"/>
    <x v="45"/>
    <n v="669"/>
    <n v="775"/>
    <n v="775"/>
    <s v="単独"/>
    <s v="RC"/>
    <n v="2"/>
    <n v="0"/>
    <s v="旧"/>
    <s v="済"/>
    <x v="1"/>
    <n v="1"/>
    <n v="2009"/>
    <n v="2009"/>
    <n v="47"/>
    <s v="C"/>
    <s v="B"/>
    <s v="B"/>
    <s v="B"/>
    <s v="B"/>
    <s v="-"/>
    <s v="A"/>
    <s v="A"/>
    <s v="A"/>
    <s v="B"/>
    <n v="45.106382978723403"/>
    <x v="0"/>
    <x v="0"/>
    <m/>
    <m/>
    <s v="学校施設台帳"/>
    <s v="618"/>
    <s v="G600100"/>
    <x v="3"/>
    <x v="7"/>
  </r>
  <r>
    <s v="131"/>
    <s v="1029"/>
    <s v="瑞穂小学校"/>
    <x v="19"/>
    <s v="03"/>
    <s v="校舎2"/>
    <x v="48"/>
    <n v="8"/>
    <x v="48"/>
    <n v="593"/>
    <n v="2399"/>
    <n v="2399"/>
    <s v="単独"/>
    <s v="RC"/>
    <n v="4"/>
    <n v="0"/>
    <s v="旧"/>
    <s v="済"/>
    <x v="1"/>
    <n v="0.79"/>
    <n v="2009"/>
    <n v="2009"/>
    <n v="47"/>
    <s v="C"/>
    <s v="B"/>
    <s v="B"/>
    <s v="B"/>
    <s v="B"/>
    <s v="B"/>
    <s v="A"/>
    <s v="A"/>
    <s v="A"/>
    <s v="B"/>
    <n v="43.773584905660378"/>
    <x v="0"/>
    <x v="0"/>
    <m/>
    <m/>
    <s v="学校施設台帳"/>
    <s v="618"/>
    <s v="G600100"/>
    <x v="3"/>
    <x v="7"/>
  </r>
  <r>
    <s v="131"/>
    <s v="1029"/>
    <s v="瑞穂小学校"/>
    <x v="19"/>
    <s v="04"/>
    <s v="渡廊下"/>
    <x v="48"/>
    <n v="8"/>
    <x v="48"/>
    <n v="39"/>
    <n v="96"/>
    <n v="96"/>
    <s v="単独"/>
    <s v="RC"/>
    <n v="3"/>
    <n v="0"/>
    <s v="旧"/>
    <s v="済"/>
    <x v="1"/>
    <n v="0.86"/>
    <n v="2009"/>
    <n v="2009"/>
    <n v="47"/>
    <s v="C"/>
    <s v="B"/>
    <s v="B"/>
    <s v="B"/>
    <s v="B"/>
    <s v="-"/>
    <s v="-"/>
    <s v="-"/>
    <s v="-"/>
    <s v="C"/>
    <n v="55.333333333333336"/>
    <x v="0"/>
    <x v="0"/>
    <m/>
    <m/>
    <s v="学校施設台帳"/>
    <s v="618"/>
    <s v="G600100"/>
    <x v="3"/>
    <x v="7"/>
  </r>
  <r>
    <s v="131"/>
    <s v="1029"/>
    <s v="瑞穂小学校"/>
    <x v="19"/>
    <s v="05"/>
    <s v="機械室"/>
    <x v="0"/>
    <n v="9"/>
    <x v="0"/>
    <n v="79"/>
    <n v="79"/>
    <n v="79"/>
    <s v="単独"/>
    <s v="RC"/>
    <n v="1"/>
    <n v="0"/>
    <s v="旧"/>
    <m/>
    <x v="2"/>
    <m/>
    <m/>
    <n v="2009"/>
    <n v="38"/>
    <s v="C"/>
    <s v="B"/>
    <s v="B"/>
    <s v="B"/>
    <s v="B"/>
    <s v="-"/>
    <s v="-"/>
    <s v="-"/>
    <s v="-"/>
    <s v="C"/>
    <n v="53.333333333333336"/>
    <x v="0"/>
    <x v="0"/>
    <m/>
    <m/>
    <s v="学校施設台帳"/>
    <s v="618"/>
    <s v="G600100"/>
    <x v="3"/>
    <x v="7"/>
  </r>
  <r>
    <s v="131"/>
    <s v="1029"/>
    <s v="瑞穂小学校"/>
    <x v="19"/>
    <s v="06"/>
    <s v="機械室"/>
    <x v="2"/>
    <n v="3"/>
    <x v="2"/>
    <n v="110"/>
    <n v="211"/>
    <n v="211"/>
    <s v="単独"/>
    <s v="RC"/>
    <n v="2"/>
    <n v="0"/>
    <s v="新"/>
    <s v="-"/>
    <x v="1"/>
    <m/>
    <m/>
    <n v="2009"/>
    <n v="38"/>
    <s v="B"/>
    <s v="B"/>
    <s v="B"/>
    <s v="B"/>
    <s v="B"/>
    <s v="-"/>
    <s v="-"/>
    <s v="-"/>
    <s v="-"/>
    <s v="B"/>
    <n v="45.333333333333336"/>
    <x v="0"/>
    <x v="0"/>
    <m/>
    <m/>
    <s v="学校施設台帳"/>
    <s v="618"/>
    <s v="G600100"/>
    <x v="3"/>
    <x v="7"/>
  </r>
  <r>
    <s v="131"/>
    <s v="1029"/>
    <s v="瑞穂小学校"/>
    <x v="19"/>
    <s v="07"/>
    <s v="EV"/>
    <x v="17"/>
    <n v="8"/>
    <x v="17"/>
    <n v="14"/>
    <n v="57"/>
    <n v="57"/>
    <s v="単独"/>
    <s v="S"/>
    <n v="4"/>
    <n v="0"/>
    <s v="新"/>
    <s v="-"/>
    <x v="1"/>
    <m/>
    <m/>
    <m/>
    <n v="34"/>
    <s v="A"/>
    <s v="C"/>
    <s v="C"/>
    <s v="B"/>
    <s v="C"/>
    <s v="-"/>
    <s v="-"/>
    <s v="-"/>
    <s v="-"/>
    <s v="B"/>
    <n v="46.666666666666664"/>
    <x v="0"/>
    <x v="0"/>
    <m/>
    <m/>
    <s v="学校施設台帳"/>
    <s v="618"/>
    <s v="G600100"/>
    <x v="3"/>
    <x v="7"/>
  </r>
  <r>
    <s v="131"/>
    <s v="1029"/>
    <s v="瑞穂小学校"/>
    <x v="19"/>
    <s v="08"/>
    <s v="倉庫"/>
    <x v="30"/>
    <n v="6"/>
    <x v="30"/>
    <m/>
    <n v="9"/>
    <n v="9"/>
    <s v="単独"/>
    <s v="RC"/>
    <n v="1"/>
    <n v="0"/>
    <s v="新"/>
    <s v="-"/>
    <x v="1"/>
    <m/>
    <m/>
    <m/>
    <n v="38"/>
    <s v="B"/>
    <s v="D"/>
    <s v="D"/>
    <s v="B"/>
    <s v="A"/>
    <s v="-"/>
    <s v="-"/>
    <s v="-"/>
    <s v="-"/>
    <s v="C"/>
    <n v="56.000000000000007"/>
    <x v="0"/>
    <x v="0"/>
    <m/>
    <m/>
    <s v="学校施設台帳"/>
    <s v="618"/>
    <s v="G600100"/>
    <x v="3"/>
    <x v="7"/>
  </r>
  <r>
    <s v="131"/>
    <s v="1029"/>
    <s v="瑞穂小学校"/>
    <x v="19"/>
    <s v="09"/>
    <s v="プール付属室"/>
    <x v="37"/>
    <n v="3"/>
    <x v="37"/>
    <m/>
    <n v="88"/>
    <n v="88"/>
    <s v="単独"/>
    <s v="S"/>
    <n v="1"/>
    <n v="0"/>
    <s v="新"/>
    <s v="-"/>
    <x v="1"/>
    <m/>
    <m/>
    <m/>
    <n v="31"/>
    <s v="B"/>
    <s v="D"/>
    <s v="D"/>
    <s v="B"/>
    <s v="D"/>
    <s v="-"/>
    <s v="-"/>
    <s v="D"/>
    <s v="C"/>
    <s v="C"/>
    <n v="69.756097560975604"/>
    <x v="0"/>
    <x v="0"/>
    <m/>
    <m/>
    <s v="学校施設台帳"/>
    <s v="618"/>
    <s v="G600100"/>
    <x v="3"/>
    <x v="7"/>
  </r>
  <r>
    <s v="132"/>
    <s v="1030"/>
    <s v="有岡小学校"/>
    <x v="19"/>
    <s v="01"/>
    <s v="校舎1"/>
    <x v="48"/>
    <n v="3"/>
    <x v="48"/>
    <n v="713"/>
    <n v="2882"/>
    <n v="2882"/>
    <s v="単独"/>
    <s v="RC"/>
    <n v="4"/>
    <n v="0"/>
    <s v="旧"/>
    <s v="済"/>
    <x v="1"/>
    <n v="0.74"/>
    <n v="1997"/>
    <m/>
    <n v="47"/>
    <s v="C"/>
    <s v="D"/>
    <s v="A"/>
    <s v="A"/>
    <s v="D"/>
    <s v="A"/>
    <s v="A"/>
    <s v="D"/>
    <s v="B"/>
    <s v="C"/>
    <n v="54"/>
    <x v="0"/>
    <x v="0"/>
    <m/>
    <m/>
    <s v="学校施設台帳"/>
    <s v="618"/>
    <s v="G600100"/>
    <x v="3"/>
    <x v="7"/>
  </r>
  <r>
    <s v="132"/>
    <s v="1030"/>
    <s v="有岡小学校"/>
    <x v="19"/>
    <s v="02"/>
    <s v="校舎2"/>
    <x v="6"/>
    <n v="5"/>
    <x v="6"/>
    <n v="259"/>
    <n v="810"/>
    <n v="810"/>
    <s v="単独"/>
    <s v="RC"/>
    <n v="3"/>
    <n v="0"/>
    <s v="旧"/>
    <s v="済"/>
    <x v="1"/>
    <n v="0.75"/>
    <n v="1997"/>
    <m/>
    <n v="47"/>
    <s v="C"/>
    <s v="A"/>
    <s v="B"/>
    <s v="A"/>
    <s v="D"/>
    <s v="A"/>
    <s v="A"/>
    <s v="D"/>
    <s v="-"/>
    <s v="B"/>
    <n v="49.523809523809526"/>
    <x v="0"/>
    <x v="0"/>
    <m/>
    <m/>
    <s v="学校施設台帳"/>
    <s v="618"/>
    <s v="G600100"/>
    <x v="3"/>
    <x v="7"/>
  </r>
  <r>
    <s v="132"/>
    <s v="1030"/>
    <s v="有岡小学校"/>
    <x v="19"/>
    <s v="03"/>
    <s v="体育館棟"/>
    <x v="48"/>
    <n v="8"/>
    <x v="48"/>
    <n v="713"/>
    <n v="1521"/>
    <n v="1521"/>
    <s v="単独"/>
    <s v="RC"/>
    <n v="3"/>
    <n v="0"/>
    <s v="旧"/>
    <s v="済"/>
    <x v="1"/>
    <n v="0.79"/>
    <n v="2010"/>
    <n v="2010"/>
    <n v="47"/>
    <s v="C"/>
    <s v="B"/>
    <s v="B"/>
    <s v="A"/>
    <s v="B"/>
    <s v="D"/>
    <s v="A"/>
    <s v="A"/>
    <s v="A"/>
    <s v="B"/>
    <n v="45.283018867924532"/>
    <x v="0"/>
    <x v="0"/>
    <m/>
    <m/>
    <s v="学校施設台帳"/>
    <s v="618"/>
    <s v="G600100"/>
    <x v="3"/>
    <x v="7"/>
  </r>
  <r>
    <s v="132"/>
    <s v="1030"/>
    <s v="有岡小学校"/>
    <x v="19"/>
    <s v="04"/>
    <s v="機械室"/>
    <x v="49"/>
    <n v="10"/>
    <x v="49"/>
    <n v="142"/>
    <n v="142"/>
    <n v="142"/>
    <s v="単独"/>
    <s v="RC"/>
    <n v="1"/>
    <n v="0"/>
    <s v="旧"/>
    <m/>
    <x v="2"/>
    <m/>
    <m/>
    <m/>
    <n v="38"/>
    <m/>
    <m/>
    <m/>
    <m/>
    <m/>
    <m/>
    <m/>
    <m/>
    <m/>
    <s v="-"/>
    <m/>
    <x v="0"/>
    <x v="1"/>
    <d v="2016-12-31T00:00:00"/>
    <m/>
    <s v="学校施設台帳"/>
    <s v="618"/>
    <s v="G600100"/>
    <x v="3"/>
    <x v="7"/>
  </r>
  <r>
    <s v="132"/>
    <s v="1030"/>
    <s v="有岡小学校"/>
    <x v="19"/>
    <s v="05"/>
    <s v="多目的"/>
    <x v="46"/>
    <n v="3"/>
    <x v="46"/>
    <n v="390"/>
    <n v="390"/>
    <n v="390"/>
    <s v="単独"/>
    <s v="RC"/>
    <n v="1"/>
    <n v="0"/>
    <s v="新"/>
    <s v="-"/>
    <x v="1"/>
    <m/>
    <m/>
    <m/>
    <n v="47"/>
    <m/>
    <m/>
    <m/>
    <m/>
    <m/>
    <m/>
    <m/>
    <m/>
    <m/>
    <s v="-"/>
    <m/>
    <x v="0"/>
    <x v="1"/>
    <d v="2016-12-31T00:00:00"/>
    <m/>
    <s v="学校施設台帳"/>
    <s v="618"/>
    <s v="G600100"/>
    <x v="3"/>
    <x v="7"/>
  </r>
  <r>
    <s v="132"/>
    <s v="1030"/>
    <s v="有岡小学校"/>
    <x v="19"/>
    <s v="06"/>
    <s v="下足室"/>
    <x v="46"/>
    <n v="3"/>
    <x v="46"/>
    <n v="173"/>
    <n v="173"/>
    <n v="173"/>
    <s v="単独"/>
    <s v="RC"/>
    <n v="1"/>
    <n v="0"/>
    <s v="新"/>
    <s v="-"/>
    <x v="1"/>
    <m/>
    <m/>
    <m/>
    <n v="47"/>
    <m/>
    <m/>
    <m/>
    <m/>
    <m/>
    <m/>
    <m/>
    <m/>
    <m/>
    <s v="-"/>
    <m/>
    <x v="0"/>
    <x v="1"/>
    <d v="2016-12-31T00:00:00"/>
    <m/>
    <s v="学校施設台帳"/>
    <s v="618"/>
    <s v="G600100"/>
    <x v="3"/>
    <x v="7"/>
  </r>
  <r>
    <s v="132"/>
    <s v="1030"/>
    <s v="有岡小学校"/>
    <x v="19"/>
    <s v="07"/>
    <s v="校舎3"/>
    <x v="52"/>
    <n v="3"/>
    <x v="52"/>
    <n v="141"/>
    <n v="497"/>
    <n v="282"/>
    <s v="複合"/>
    <s v="S"/>
    <n v="2"/>
    <n v="0"/>
    <s v="新"/>
    <s v="-"/>
    <x v="1"/>
    <m/>
    <m/>
    <m/>
    <n v="34"/>
    <s v="A"/>
    <s v="B"/>
    <s v="A"/>
    <s v="A"/>
    <s v="B"/>
    <s v="C"/>
    <s v="A"/>
    <s v="B"/>
    <s v="B"/>
    <s v="A"/>
    <n v="25.454545454545453"/>
    <x v="0"/>
    <x v="0"/>
    <m/>
    <m/>
    <s v="学校施設台帳"/>
    <s v="618"/>
    <s v="G600100"/>
    <x v="3"/>
    <x v="7"/>
  </r>
  <r>
    <s v="132"/>
    <s v="1030"/>
    <s v="有岡小学校"/>
    <x v="19"/>
    <s v="08"/>
    <s v="EV"/>
    <x v="22"/>
    <n v="9"/>
    <x v="22"/>
    <n v="15"/>
    <n v="58"/>
    <n v="58"/>
    <s v="単独"/>
    <s v="S"/>
    <n v="4"/>
    <n v="0"/>
    <s v="新"/>
    <s v="-"/>
    <x v="1"/>
    <m/>
    <m/>
    <m/>
    <n v="34"/>
    <s v="A"/>
    <s v="B"/>
    <s v="C"/>
    <s v="A"/>
    <s v="B"/>
    <s v="-"/>
    <s v="-"/>
    <s v="-"/>
    <s v="-"/>
    <s v="B"/>
    <n v="31.333333333333336"/>
    <x v="0"/>
    <x v="0"/>
    <m/>
    <m/>
    <s v="学校施設台帳"/>
    <s v="618"/>
    <s v="G600100"/>
    <x v="3"/>
    <x v="7"/>
  </r>
  <r>
    <s v="132"/>
    <s v="1030"/>
    <s v="有岡小学校"/>
    <x v="19"/>
    <s v="09"/>
    <s v="プール付属室"/>
    <x v="36"/>
    <n v="3"/>
    <x v="36"/>
    <m/>
    <n v="57"/>
    <n v="57"/>
    <s v="単独"/>
    <s v="S"/>
    <n v="1"/>
    <n v="0"/>
    <s v="新"/>
    <s v="-"/>
    <x v="1"/>
    <m/>
    <m/>
    <m/>
    <n v="31"/>
    <s v="B"/>
    <s v="D"/>
    <s v="D"/>
    <s v="A"/>
    <s v="D"/>
    <s v="-"/>
    <s v="-"/>
    <s v="D"/>
    <s v="C"/>
    <s v="D"/>
    <n v="70.731707317073173"/>
    <x v="0"/>
    <x v="0"/>
    <m/>
    <m/>
    <s v="学校施設台帳"/>
    <s v="618"/>
    <s v="G600100"/>
    <x v="3"/>
    <x v="7"/>
  </r>
  <r>
    <s v="132"/>
    <s v="1030"/>
    <s v="有岡小学校"/>
    <x v="19"/>
    <s v="10"/>
    <s v="校舎4"/>
    <x v="53"/>
    <n v="3"/>
    <x v="53"/>
    <n v="60"/>
    <n v="2351"/>
    <n v="2351"/>
    <s v="単独"/>
    <s v="RC"/>
    <n v="4"/>
    <n v="0"/>
    <s v="新"/>
    <s v="-"/>
    <x v="1"/>
    <m/>
    <m/>
    <m/>
    <m/>
    <s v="A"/>
    <s v="A"/>
    <s v="A"/>
    <s v="A"/>
    <s v="A"/>
    <s v="A"/>
    <s v="A"/>
    <s v="A"/>
    <s v="A"/>
    <s v="A"/>
    <n v="2.8000000000000025"/>
    <x v="0"/>
    <x v="0"/>
    <m/>
    <m/>
    <s v="学校施設台帳"/>
    <s v="618"/>
    <s v="G600100"/>
    <x v="3"/>
    <x v="7"/>
  </r>
  <r>
    <s v="133"/>
    <s v="1031"/>
    <s v="花里小学校"/>
    <x v="19"/>
    <s v="01"/>
    <s v="校舎1"/>
    <x v="10"/>
    <n v="3"/>
    <x v="10"/>
    <n v="689"/>
    <n v="2787"/>
    <n v="2787"/>
    <s v="単独"/>
    <s v="RC"/>
    <n v="4"/>
    <n v="0"/>
    <s v="旧"/>
    <s v="済"/>
    <x v="1"/>
    <n v="0.84"/>
    <n v="2008"/>
    <m/>
    <n v="47"/>
    <s v="C"/>
    <s v="D"/>
    <s v="C"/>
    <s v="A"/>
    <s v="D"/>
    <s v="C"/>
    <s v="A"/>
    <s v="D"/>
    <s v="B"/>
    <s v="C"/>
    <n v="63.396226415094347"/>
    <x v="0"/>
    <x v="0"/>
    <m/>
    <m/>
    <s v="学校施設台帳"/>
    <s v="618"/>
    <s v="G600100"/>
    <x v="3"/>
    <x v="7"/>
  </r>
  <r>
    <s v="133"/>
    <s v="1031"/>
    <s v="花里小学校"/>
    <x v="19"/>
    <s v="02"/>
    <s v="渡廊下"/>
    <x v="10"/>
    <n v="6"/>
    <x v="10"/>
    <n v="810"/>
    <n v="1641"/>
    <n v="1641"/>
    <s v="単独"/>
    <s v="RC"/>
    <n v="4"/>
    <n v="0"/>
    <s v="旧"/>
    <s v="済"/>
    <x v="1"/>
    <n v="1"/>
    <n v="2010"/>
    <n v="2010"/>
    <n v="47"/>
    <s v="C"/>
    <s v="B"/>
    <s v="B"/>
    <s v="A"/>
    <s v="B"/>
    <s v="D"/>
    <s v="-"/>
    <s v="A"/>
    <s v="A"/>
    <s v="B"/>
    <n v="47.27272727272728"/>
    <x v="0"/>
    <x v="0"/>
    <m/>
    <m/>
    <s v="学校施設台帳"/>
    <s v="618"/>
    <s v="G600100"/>
    <x v="3"/>
    <x v="7"/>
  </r>
  <r>
    <s v="133"/>
    <s v="1031"/>
    <s v="花里小学校"/>
    <x v="19"/>
    <s v="03"/>
    <s v="校舎2"/>
    <x v="6"/>
    <n v="5"/>
    <x v="6"/>
    <n v="541"/>
    <n v="2192"/>
    <n v="2192"/>
    <s v="複合"/>
    <s v="RC"/>
    <n v="4"/>
    <n v="0"/>
    <s v="旧"/>
    <s v="済"/>
    <x v="1"/>
    <n v="0.75"/>
    <n v="2010"/>
    <n v="2010"/>
    <n v="47"/>
    <s v="C"/>
    <s v="B"/>
    <s v="B"/>
    <s v="A"/>
    <s v="B"/>
    <s v="C"/>
    <s v="A"/>
    <s v="A"/>
    <s v="A"/>
    <s v="B"/>
    <n v="44.905660377358494"/>
    <x v="0"/>
    <x v="0"/>
    <m/>
    <m/>
    <s v="学校施設台帳"/>
    <s v="618"/>
    <s v="G600100"/>
    <x v="3"/>
    <x v="7"/>
  </r>
  <r>
    <s v="133"/>
    <s v="1031"/>
    <s v="花里小学校"/>
    <x v="19"/>
    <s v="04"/>
    <s v="体育館棟"/>
    <x v="10"/>
    <n v="7"/>
    <x v="10"/>
    <n v="640"/>
    <n v="663"/>
    <n v="663"/>
    <s v="単独"/>
    <s v="RC"/>
    <n v="2"/>
    <n v="0"/>
    <s v="旧"/>
    <s v="済"/>
    <x v="1"/>
    <n v="0.9"/>
    <n v="2008"/>
    <m/>
    <n v="47"/>
    <s v="C"/>
    <s v="B"/>
    <s v="C"/>
    <s v="A"/>
    <s v="D"/>
    <s v="-"/>
    <s v="A"/>
    <s v="D"/>
    <s v="D"/>
    <s v="C"/>
    <n v="65.531914893617028"/>
    <x v="0"/>
    <x v="0"/>
    <m/>
    <m/>
    <s v="学校施設台帳"/>
    <s v="618"/>
    <s v="G600100"/>
    <x v="3"/>
    <x v="7"/>
  </r>
  <r>
    <s v="133"/>
    <s v="1031"/>
    <s v="花里小学校"/>
    <x v="19"/>
    <s v="05"/>
    <s v="クラブ"/>
    <x v="9"/>
    <n v="3"/>
    <x v="9"/>
    <n v="202"/>
    <n v="202"/>
    <n v="202"/>
    <s v="単独"/>
    <s v="S"/>
    <n v="1"/>
    <n v="0"/>
    <s v="新"/>
    <s v="-"/>
    <x v="1"/>
    <m/>
    <m/>
    <m/>
    <n v="34"/>
    <s v="B"/>
    <s v="C"/>
    <s v="C"/>
    <s v="A"/>
    <s v="D"/>
    <s v="D"/>
    <s v="A"/>
    <s v="D"/>
    <s v="A"/>
    <s v="C"/>
    <n v="51.2"/>
    <x v="0"/>
    <x v="0"/>
    <m/>
    <m/>
    <s v="学校施設台帳"/>
    <s v="618"/>
    <s v="G600100"/>
    <x v="3"/>
    <x v="7"/>
  </r>
  <r>
    <s v="133"/>
    <s v="1031"/>
    <s v="花里小学校"/>
    <x v="19"/>
    <s v="06"/>
    <s v="EV"/>
    <x v="52"/>
    <n v="9"/>
    <x v="52"/>
    <n v="17"/>
    <n v="69"/>
    <n v="69"/>
    <s v="単独"/>
    <s v="S"/>
    <n v="4"/>
    <n v="0"/>
    <s v="新"/>
    <s v="-"/>
    <x v="1"/>
    <m/>
    <m/>
    <m/>
    <n v="34"/>
    <s v="A"/>
    <s v="B"/>
    <s v="C"/>
    <s v="A"/>
    <s v="B"/>
    <s v="-"/>
    <s v="-"/>
    <s v="-"/>
    <s v="-"/>
    <s v="A"/>
    <n v="28.666666666666664"/>
    <x v="0"/>
    <x v="0"/>
    <m/>
    <m/>
    <s v="学校施設台帳"/>
    <s v="618"/>
    <s v="G600100"/>
    <x v="3"/>
    <x v="7"/>
  </r>
  <r>
    <s v="134"/>
    <s v="1032"/>
    <s v="昆陽里小学校"/>
    <x v="19"/>
    <s v="01"/>
    <s v="校舎1"/>
    <x v="1"/>
    <n v="3"/>
    <x v="1"/>
    <n v="550"/>
    <n v="2351"/>
    <n v="2351"/>
    <s v="複合"/>
    <s v="RC"/>
    <n v="5"/>
    <n v="0"/>
    <s v="旧"/>
    <s v="済"/>
    <x v="1"/>
    <n v="0.76"/>
    <n v="2009"/>
    <n v="2009"/>
    <n v="47"/>
    <s v="C"/>
    <s v="B"/>
    <s v="B"/>
    <s v="B"/>
    <s v="B"/>
    <s v="D"/>
    <s v="A"/>
    <s v="B"/>
    <s v="A"/>
    <s v="B"/>
    <n v="47.599999999999994"/>
    <x v="0"/>
    <x v="0"/>
    <m/>
    <m/>
    <s v="学校施設台帳"/>
    <s v="618"/>
    <s v="G600100"/>
    <x v="3"/>
    <x v="7"/>
  </r>
  <r>
    <s v="134"/>
    <s v="1032"/>
    <s v="昆陽里小学校"/>
    <x v="19"/>
    <s v="02"/>
    <s v="校舎2"/>
    <x v="1"/>
    <n v="5"/>
    <x v="1"/>
    <n v="720"/>
    <n v="3019"/>
    <n v="3019"/>
    <s v="複合"/>
    <s v="RC"/>
    <n v="5"/>
    <n v="0"/>
    <s v="旧"/>
    <s v="済"/>
    <x v="1"/>
    <n v="0.75"/>
    <n v="2011"/>
    <n v="2011"/>
    <n v="47"/>
    <s v="C"/>
    <s v="C"/>
    <s v="B"/>
    <s v="B"/>
    <s v="B"/>
    <s v="C"/>
    <s v="A"/>
    <s v="A"/>
    <s v="A"/>
    <s v="B"/>
    <n v="46.79245283018868"/>
    <x v="0"/>
    <x v="0"/>
    <m/>
    <m/>
    <s v="学校施設台帳"/>
    <s v="618"/>
    <s v="G600100"/>
    <x v="3"/>
    <x v="7"/>
  </r>
  <r>
    <s v="134"/>
    <s v="1032"/>
    <s v="昆陽里小学校"/>
    <x v="19"/>
    <s v="03"/>
    <s v="体育館"/>
    <x v="1"/>
    <n v="5"/>
    <x v="1"/>
    <n v="960"/>
    <n v="2073"/>
    <n v="2073"/>
    <s v="単独"/>
    <s v="RC"/>
    <n v="3"/>
    <n v="0"/>
    <s v="旧"/>
    <s v="済"/>
    <x v="1"/>
    <n v="0.75"/>
    <n v="2011"/>
    <n v="2011"/>
    <n v="47"/>
    <s v="C"/>
    <s v="B"/>
    <s v="B"/>
    <s v="B"/>
    <s v="B"/>
    <s v="D"/>
    <s v="-"/>
    <s v="A"/>
    <s v="A"/>
    <s v="B"/>
    <n v="46.818181818181813"/>
    <x v="0"/>
    <x v="0"/>
    <m/>
    <m/>
    <s v="学校施設台帳"/>
    <s v="618"/>
    <s v="G600100"/>
    <x v="3"/>
    <x v="7"/>
  </r>
  <r>
    <s v="134"/>
    <s v="1032"/>
    <s v="昆陽里小学校"/>
    <x v="19"/>
    <s v="04"/>
    <s v="EV"/>
    <x v="52"/>
    <n v="10"/>
    <x v="52"/>
    <n v="13"/>
    <n v="50"/>
    <n v="50"/>
    <s v="単独"/>
    <s v="S"/>
    <n v="4"/>
    <n v="0"/>
    <s v="新"/>
    <s v="-"/>
    <x v="1"/>
    <m/>
    <m/>
    <m/>
    <n v="34"/>
    <s v="A"/>
    <s v="B"/>
    <s v="C"/>
    <s v="B"/>
    <s v="B"/>
    <s v="-"/>
    <s v="-"/>
    <s v="-"/>
    <s v="-"/>
    <s v="B"/>
    <n v="33.333333333333336"/>
    <x v="0"/>
    <x v="0"/>
    <m/>
    <m/>
    <s v="学校施設台帳"/>
    <s v="618"/>
    <s v="G600100"/>
    <x v="3"/>
    <x v="7"/>
  </r>
  <r>
    <s v="134"/>
    <s v="1032"/>
    <s v="昆陽里小学校"/>
    <x v="19"/>
    <s v="05"/>
    <s v="プール付属室"/>
    <x v="20"/>
    <n v="10"/>
    <x v="20"/>
    <m/>
    <n v="70"/>
    <n v="70"/>
    <s v="単独"/>
    <s v="S"/>
    <n v="1"/>
    <n v="0"/>
    <s v="新"/>
    <s v="-"/>
    <x v="1"/>
    <m/>
    <m/>
    <m/>
    <n v="31"/>
    <s v="A"/>
    <s v="A"/>
    <s v="A"/>
    <s v="B"/>
    <s v="A"/>
    <s v="-"/>
    <s v="-"/>
    <s v="A"/>
    <s v="A"/>
    <s v="A"/>
    <n v="15.609756097560979"/>
    <x v="0"/>
    <x v="0"/>
    <m/>
    <m/>
    <s v="学校施設台帳"/>
    <s v="618"/>
    <s v="G600100"/>
    <x v="3"/>
    <x v="7"/>
  </r>
  <r>
    <s v="134"/>
    <s v="1032"/>
    <s v="昆陽里小学校"/>
    <x v="19"/>
    <s v="06"/>
    <s v="機械室"/>
    <x v="20"/>
    <n v="10"/>
    <x v="20"/>
    <m/>
    <n v="76"/>
    <n v="76"/>
    <s v="単独"/>
    <s v="S"/>
    <n v="1"/>
    <n v="0"/>
    <s v="新"/>
    <s v="-"/>
    <x v="1"/>
    <m/>
    <m/>
    <m/>
    <n v="31"/>
    <s v="A"/>
    <s v="A"/>
    <s v="A"/>
    <s v="B"/>
    <s v="A"/>
    <s v="-"/>
    <s v="-"/>
    <s v="A"/>
    <s v="-"/>
    <s v="A"/>
    <n v="16.571428571428569"/>
    <x v="0"/>
    <x v="0"/>
    <m/>
    <m/>
    <s v="学校施設台帳"/>
    <s v="618"/>
    <s v="G600100"/>
    <x v="3"/>
    <x v="7"/>
  </r>
  <r>
    <s v="135"/>
    <s v="1033"/>
    <s v="摂陽小学校"/>
    <x v="19"/>
    <s v="01"/>
    <s v="校舎1"/>
    <x v="12"/>
    <n v="8"/>
    <x v="12"/>
    <n v="549"/>
    <n v="2354"/>
    <n v="2354"/>
    <s v="単独"/>
    <s v="RC"/>
    <n v="5"/>
    <n v="0"/>
    <s v="旧"/>
    <s v="済"/>
    <x v="1"/>
    <n v="0.78"/>
    <n v="2010"/>
    <n v="2010"/>
    <n v="47"/>
    <s v="C"/>
    <s v="B"/>
    <s v="B"/>
    <s v="C"/>
    <s v="B"/>
    <s v="B"/>
    <s v="C"/>
    <s v="A"/>
    <s v="A"/>
    <s v="C"/>
    <n v="50.188679245283019"/>
    <x v="0"/>
    <x v="0"/>
    <m/>
    <m/>
    <s v="学校施設台帳"/>
    <s v="618"/>
    <s v="G600100"/>
    <x v="3"/>
    <x v="7"/>
  </r>
  <r>
    <s v="135"/>
    <s v="1033"/>
    <s v="摂陽小学校"/>
    <x v="19"/>
    <s v="02"/>
    <s v="校舎2"/>
    <x v="12"/>
    <n v="8"/>
    <x v="12"/>
    <n v="645"/>
    <n v="2761"/>
    <n v="2761"/>
    <s v="単独"/>
    <s v="RC"/>
    <n v="5"/>
    <n v="0"/>
    <s v="旧"/>
    <s v="済"/>
    <x v="1"/>
    <n v="0.76"/>
    <n v="2011"/>
    <n v="2011"/>
    <n v="47"/>
    <s v="C"/>
    <s v="B"/>
    <s v="B"/>
    <s v="C"/>
    <s v="B"/>
    <s v="B"/>
    <s v="C"/>
    <s v="A"/>
    <s v="A"/>
    <s v="B"/>
    <n v="48.679245283018865"/>
    <x v="0"/>
    <x v="0"/>
    <m/>
    <m/>
    <s v="学校施設台帳"/>
    <s v="618"/>
    <s v="G600100"/>
    <x v="3"/>
    <x v="7"/>
  </r>
  <r>
    <s v="135"/>
    <s v="1033"/>
    <s v="摂陽小学校"/>
    <x v="19"/>
    <s v="03"/>
    <s v="体育館棟"/>
    <x v="12"/>
    <n v="8"/>
    <x v="12"/>
    <n v="955"/>
    <n v="2050"/>
    <n v="2050"/>
    <s v="単独"/>
    <s v="RC"/>
    <n v="3"/>
    <n v="0"/>
    <s v="旧"/>
    <s v="済"/>
    <x v="1"/>
    <n v="0.71"/>
    <n v="2010"/>
    <n v="2010"/>
    <n v="47"/>
    <s v="C"/>
    <s v="B"/>
    <s v="B"/>
    <s v="C"/>
    <s v="B"/>
    <s v="D"/>
    <s v="-"/>
    <s v="A"/>
    <s v="A"/>
    <s v="C"/>
    <n v="51.81818181818182"/>
    <x v="0"/>
    <x v="0"/>
    <m/>
    <m/>
    <s v="学校施設台帳"/>
    <s v="618"/>
    <s v="G600100"/>
    <x v="3"/>
    <x v="7"/>
  </r>
  <r>
    <s v="135"/>
    <s v="1033"/>
    <s v="摂陽小学校"/>
    <x v="19"/>
    <s v="04"/>
    <s v="校舎3"/>
    <x v="13"/>
    <n v="5"/>
    <x v="13"/>
    <n v="172"/>
    <n v="688"/>
    <n v="688"/>
    <s v="複合"/>
    <s v="RC"/>
    <n v="4"/>
    <n v="0"/>
    <s v="旧"/>
    <s v="済"/>
    <x v="1"/>
    <n v="0.75"/>
    <n v="2011"/>
    <n v="2011"/>
    <n v="47"/>
    <s v="C"/>
    <s v="B"/>
    <s v="B"/>
    <s v="C"/>
    <s v="B"/>
    <s v="D"/>
    <s v="C"/>
    <s v="A"/>
    <s v="A"/>
    <s v="C"/>
    <n v="51.2"/>
    <x v="0"/>
    <x v="0"/>
    <m/>
    <m/>
    <s v="学校施設台帳"/>
    <s v="618"/>
    <s v="G600100"/>
    <x v="3"/>
    <x v="7"/>
  </r>
  <r>
    <s v="135"/>
    <s v="1033"/>
    <s v="摂陽小学校"/>
    <x v="19"/>
    <s v="05"/>
    <s v="EV"/>
    <x v="17"/>
    <n v="8"/>
    <x v="17"/>
    <n v="14"/>
    <n v="54"/>
    <n v="54"/>
    <s v="単独"/>
    <s v="S"/>
    <n v="4"/>
    <n v="0"/>
    <s v="新"/>
    <s v="-"/>
    <x v="1"/>
    <m/>
    <m/>
    <m/>
    <n v="34"/>
    <s v="A"/>
    <s v="C"/>
    <s v="B"/>
    <s v="C"/>
    <s v="B"/>
    <s v="-"/>
    <s v="-"/>
    <s v="-"/>
    <s v="-"/>
    <s v="B"/>
    <n v="42.666666666666664"/>
    <x v="0"/>
    <x v="0"/>
    <m/>
    <m/>
    <s v="学校施設台帳"/>
    <s v="618"/>
    <s v="G600100"/>
    <x v="3"/>
    <x v="7"/>
  </r>
  <r>
    <s v="135"/>
    <s v="1033"/>
    <s v="摂陽小学校"/>
    <x v="19"/>
    <s v="06"/>
    <s v="機械室"/>
    <x v="12"/>
    <n v="6"/>
    <x v="12"/>
    <m/>
    <n v="25"/>
    <n v="25"/>
    <s v="単独"/>
    <s v="S"/>
    <n v="1"/>
    <n v="0"/>
    <s v="旧"/>
    <m/>
    <x v="2"/>
    <m/>
    <m/>
    <m/>
    <n v="31"/>
    <s v="C"/>
    <s v="B"/>
    <s v="B"/>
    <s v="C"/>
    <s v="B"/>
    <s v="-"/>
    <s v="-"/>
    <s v="A"/>
    <s v="-"/>
    <s v="C"/>
    <n v="50.857142857142854"/>
    <x v="0"/>
    <x v="0"/>
    <m/>
    <m/>
    <s v="学校施設台帳"/>
    <s v="618"/>
    <s v="G600100"/>
    <x v="3"/>
    <x v="7"/>
  </r>
  <r>
    <s v="135"/>
    <s v="1033"/>
    <s v="摂陽小学校"/>
    <x v="19"/>
    <s v="07"/>
    <s v="プール付属室"/>
    <x v="12"/>
    <n v="6"/>
    <x v="12"/>
    <m/>
    <n v="86"/>
    <n v="86"/>
    <s v="単独"/>
    <s v="S"/>
    <n v="1"/>
    <n v="0"/>
    <s v="旧"/>
    <m/>
    <x v="2"/>
    <m/>
    <m/>
    <m/>
    <n v="31"/>
    <s v="C"/>
    <s v="B"/>
    <s v="B"/>
    <s v="C"/>
    <s v="B"/>
    <s v="-"/>
    <s v="-"/>
    <s v="A"/>
    <s v="A"/>
    <s v="B"/>
    <n v="46.341463414634141"/>
    <x v="0"/>
    <x v="0"/>
    <m/>
    <m/>
    <s v="学校施設台帳"/>
    <s v="618"/>
    <s v="G600100"/>
    <x v="3"/>
    <x v="7"/>
  </r>
  <r>
    <s v="135"/>
    <s v="1033"/>
    <s v="摂陽小学校"/>
    <x v="19"/>
    <s v="08"/>
    <s v="倉庫"/>
    <x v="12"/>
    <n v="6"/>
    <x v="12"/>
    <m/>
    <n v="23"/>
    <n v="23"/>
    <s v="単独"/>
    <s v="S"/>
    <n v="1"/>
    <n v="0"/>
    <s v="旧"/>
    <m/>
    <x v="2"/>
    <m/>
    <m/>
    <m/>
    <n v="31"/>
    <s v="C"/>
    <s v="B"/>
    <s v="B"/>
    <s v="C"/>
    <s v="B"/>
    <s v="-"/>
    <s v="-"/>
    <s v="-"/>
    <s v="-"/>
    <s v="C"/>
    <n v="55.333333333333336"/>
    <x v="0"/>
    <x v="0"/>
    <m/>
    <m/>
    <s v="学校施設台帳"/>
    <s v="618"/>
    <s v="G600100"/>
    <x v="3"/>
    <x v="7"/>
  </r>
  <r>
    <s v="136"/>
    <s v="1034"/>
    <s v="鈴原小学校"/>
    <x v="19"/>
    <s v="01"/>
    <s v="校舎1"/>
    <x v="12"/>
    <n v="3"/>
    <x v="12"/>
    <n v="715"/>
    <n v="3017"/>
    <n v="3017"/>
    <s v="複合"/>
    <s v="RC"/>
    <n v="5"/>
    <n v="0"/>
    <s v="旧"/>
    <s v="済"/>
    <x v="1"/>
    <n v="0.76"/>
    <n v="1998"/>
    <n v="1997"/>
    <n v="47"/>
    <s v="C"/>
    <s v="B"/>
    <s v="D"/>
    <s v="D"/>
    <s v="D"/>
    <s v="C"/>
    <s v="C"/>
    <s v="D"/>
    <s v="C"/>
    <s v="D"/>
    <n v="78.49056603773586"/>
    <x v="0"/>
    <x v="0"/>
    <m/>
    <m/>
    <s v="学校施設台帳"/>
    <s v="618"/>
    <s v="G600100"/>
    <x v="3"/>
    <x v="7"/>
  </r>
  <r>
    <s v="136"/>
    <s v="1034"/>
    <s v="鈴原小学校"/>
    <x v="19"/>
    <s v="02"/>
    <s v="校舎2"/>
    <x v="13"/>
    <n v="5"/>
    <x v="13"/>
    <n v="518"/>
    <n v="2218"/>
    <n v="2218"/>
    <s v="単独"/>
    <s v="RC"/>
    <n v="5"/>
    <n v="0"/>
    <s v="旧"/>
    <s v="済"/>
    <x v="1"/>
    <n v="0.75"/>
    <n v="1998"/>
    <n v="1998"/>
    <n v="47"/>
    <s v="C"/>
    <s v="C"/>
    <s v="D"/>
    <s v="D"/>
    <s v="D"/>
    <s v="C"/>
    <s v="C"/>
    <s v="D"/>
    <s v="C"/>
    <s v="D"/>
    <n v="82.64150943396227"/>
    <x v="0"/>
    <x v="0"/>
    <m/>
    <m/>
    <s v="学校施設台帳"/>
    <s v="618"/>
    <s v="G600100"/>
    <x v="3"/>
    <x v="7"/>
  </r>
  <r>
    <s v="136"/>
    <s v="1034"/>
    <s v="鈴原小学校"/>
    <x v="19"/>
    <s v="03"/>
    <s v="体育館棟"/>
    <x v="12"/>
    <n v="8"/>
    <x v="12"/>
    <n v="955"/>
    <n v="2040"/>
    <n v="2040"/>
    <s v="単独"/>
    <s v="RC"/>
    <n v="3"/>
    <n v="0"/>
    <s v="旧"/>
    <s v="済"/>
    <x v="1"/>
    <n v="0.73"/>
    <m/>
    <n v="1997"/>
    <n v="47"/>
    <s v="C"/>
    <s v="D"/>
    <s v="D"/>
    <s v="D"/>
    <s v="D"/>
    <s v="B"/>
    <s v="C"/>
    <s v="D"/>
    <s v="C"/>
    <s v="D"/>
    <n v="79.2"/>
    <x v="0"/>
    <x v="0"/>
    <m/>
    <m/>
    <s v="学校施設台帳"/>
    <s v="618"/>
    <s v="G600100"/>
    <x v="3"/>
    <x v="7"/>
  </r>
  <r>
    <s v="136"/>
    <s v="1034"/>
    <s v="鈴原小学校"/>
    <x v="19"/>
    <s v="04"/>
    <s v="EV"/>
    <x v="24"/>
    <n v="9"/>
    <x v="24"/>
    <n v="42"/>
    <n v="87"/>
    <n v="87"/>
    <s v="単独"/>
    <s v="S"/>
    <n v="4"/>
    <n v="0"/>
    <s v="新"/>
    <s v="-"/>
    <x v="1"/>
    <m/>
    <m/>
    <m/>
    <n v="34"/>
    <s v="A"/>
    <s v="B"/>
    <s v="B"/>
    <s v="D"/>
    <s v="B"/>
    <s v="-"/>
    <s v="-"/>
    <s v="-"/>
    <s v="-"/>
    <s v="B"/>
    <n v="38.666666666666671"/>
    <x v="0"/>
    <x v="0"/>
    <m/>
    <m/>
    <s v="学校施設台帳"/>
    <s v="618"/>
    <s v="G600100"/>
    <x v="3"/>
    <x v="7"/>
  </r>
  <r>
    <s v="136"/>
    <s v="1034"/>
    <s v="鈴原小学校"/>
    <x v="19"/>
    <s v="05"/>
    <s v="プール付属室"/>
    <x v="12"/>
    <n v="6"/>
    <x v="12"/>
    <m/>
    <n v="144"/>
    <n v="144"/>
    <s v="単独"/>
    <s v="S"/>
    <n v="1"/>
    <n v="0"/>
    <s v="旧"/>
    <m/>
    <x v="2"/>
    <m/>
    <m/>
    <m/>
    <n v="31"/>
    <s v="C"/>
    <s v="A"/>
    <s v="A"/>
    <s v="D"/>
    <s v="A"/>
    <s v="-"/>
    <s v="-"/>
    <s v="A"/>
    <s v="A"/>
    <s v="B"/>
    <n v="42.926829268292686"/>
    <x v="0"/>
    <x v="0"/>
    <m/>
    <m/>
    <s v="学校施設台帳"/>
    <s v="618"/>
    <s v="G600100"/>
    <x v="3"/>
    <x v="7"/>
  </r>
  <r>
    <s v="136"/>
    <s v="1034"/>
    <s v="鈴原小学校"/>
    <x v="19"/>
    <s v="06"/>
    <s v="機械室"/>
    <x v="20"/>
    <n v="3"/>
    <x v="20"/>
    <m/>
    <n v="25"/>
    <n v="25"/>
    <s v="単独"/>
    <s v="S"/>
    <n v="1"/>
    <n v="0"/>
    <s v="新"/>
    <s v="-"/>
    <x v="1"/>
    <m/>
    <m/>
    <m/>
    <n v="31"/>
    <s v="A"/>
    <s v="A"/>
    <s v="A"/>
    <s v="D"/>
    <s v="A"/>
    <s v="-"/>
    <s v="-"/>
    <s v="A"/>
    <s v="-"/>
    <s v="A"/>
    <n v="25.714285714285712"/>
    <x v="0"/>
    <x v="0"/>
    <m/>
    <m/>
    <s v="学校施設台帳"/>
    <s v="618"/>
    <s v="G600100"/>
    <x v="3"/>
    <x v="7"/>
  </r>
  <r>
    <s v="137"/>
    <s v="1035"/>
    <s v="荻野小学校"/>
    <x v="19"/>
    <s v="01"/>
    <s v="校舎1"/>
    <x v="25"/>
    <n v="5"/>
    <x v="25"/>
    <n v="770"/>
    <n v="3229"/>
    <n v="3229"/>
    <s v="単独"/>
    <s v="RC"/>
    <n v="5"/>
    <n v="0"/>
    <s v="旧"/>
    <s v="済"/>
    <x v="1"/>
    <n v="0.75"/>
    <n v="2000"/>
    <n v="2000"/>
    <n v="47"/>
    <s v="C"/>
    <s v="C"/>
    <s v="D"/>
    <s v="D"/>
    <s v="C"/>
    <s v="C"/>
    <s v="C"/>
    <s v="C"/>
    <s v="C"/>
    <s v="D"/>
    <n v="73.584905660377359"/>
    <x v="0"/>
    <x v="0"/>
    <m/>
    <m/>
    <s v="学校施設台帳"/>
    <s v="618"/>
    <s v="G600100"/>
    <x v="3"/>
    <x v="7"/>
  </r>
  <r>
    <s v="137"/>
    <s v="1035"/>
    <s v="荻野小学校"/>
    <x v="19"/>
    <s v="02"/>
    <s v="校舎2"/>
    <x v="25"/>
    <n v="5"/>
    <x v="25"/>
    <n v="726"/>
    <n v="3038"/>
    <n v="3038"/>
    <s v="単独"/>
    <s v="RC"/>
    <n v="5"/>
    <n v="0"/>
    <s v="旧"/>
    <s v="済"/>
    <x v="1"/>
    <n v="0.75"/>
    <n v="2000"/>
    <n v="2000"/>
    <n v="47"/>
    <s v="C"/>
    <s v="C"/>
    <s v="D"/>
    <s v="D"/>
    <s v="C"/>
    <s v="D"/>
    <s v="C"/>
    <s v="C"/>
    <s v="C"/>
    <s v="D"/>
    <n v="76.400000000000006"/>
    <x v="0"/>
    <x v="0"/>
    <m/>
    <m/>
    <s v="学校施設台帳"/>
    <s v="618"/>
    <s v="G600100"/>
    <x v="3"/>
    <x v="7"/>
  </r>
  <r>
    <s v="137"/>
    <s v="1035"/>
    <s v="荻野小学校"/>
    <x v="19"/>
    <s v="03"/>
    <s v="体育館棟"/>
    <x v="25"/>
    <n v="5"/>
    <x v="25"/>
    <n v="968"/>
    <n v="2114"/>
    <n v="2114"/>
    <s v="単独"/>
    <s v="RC"/>
    <n v="3"/>
    <n v="0"/>
    <s v="旧"/>
    <s v="済"/>
    <x v="1"/>
    <n v="1.26"/>
    <n v="2001"/>
    <n v="2001"/>
    <n v="47"/>
    <s v="C"/>
    <s v="C"/>
    <s v="D"/>
    <s v="D"/>
    <s v="C"/>
    <s v="D"/>
    <s v="-"/>
    <s v="C"/>
    <s v="B"/>
    <s v="D"/>
    <n v="75.909090909090907"/>
    <x v="0"/>
    <x v="0"/>
    <m/>
    <m/>
    <s v="学校施設台帳"/>
    <s v="618"/>
    <s v="G600100"/>
    <x v="3"/>
    <x v="7"/>
  </r>
  <r>
    <s v="137"/>
    <s v="1035"/>
    <s v="荻野小学校"/>
    <x v="19"/>
    <s v="04"/>
    <s v="EV"/>
    <x v="19"/>
    <n v="11"/>
    <x v="19"/>
    <n v="17"/>
    <n v="68"/>
    <n v="68"/>
    <s v="単独"/>
    <s v="S"/>
    <n v="4"/>
    <n v="0"/>
    <s v="新"/>
    <s v="-"/>
    <x v="1"/>
    <m/>
    <m/>
    <m/>
    <n v="34"/>
    <s v="A"/>
    <s v="B"/>
    <s v="C"/>
    <s v="D"/>
    <s v="B"/>
    <s v="-"/>
    <s v="-"/>
    <s v="-"/>
    <s v="-"/>
    <s v="B"/>
    <n v="49.333333333333329"/>
    <x v="0"/>
    <x v="0"/>
    <m/>
    <m/>
    <s v="学校施設台帳"/>
    <s v="618"/>
    <s v="G600100"/>
    <x v="3"/>
    <x v="7"/>
  </r>
  <r>
    <s v="137"/>
    <s v="1035"/>
    <s v="荻野小学校"/>
    <x v="19"/>
    <s v="05"/>
    <s v="プール付属室"/>
    <x v="25"/>
    <n v="7"/>
    <x v="25"/>
    <m/>
    <n v="150"/>
    <n v="150"/>
    <s v="単独"/>
    <s v="S"/>
    <n v="1"/>
    <n v="0"/>
    <s v="旧"/>
    <m/>
    <x v="2"/>
    <m/>
    <m/>
    <n v="1997"/>
    <n v="31"/>
    <s v="C"/>
    <s v="D"/>
    <s v="D"/>
    <s v="D"/>
    <s v="D"/>
    <s v="-"/>
    <s v="-"/>
    <s v="D"/>
    <s v="A"/>
    <s v="D"/>
    <n v="73.658536585365852"/>
    <x v="0"/>
    <x v="0"/>
    <m/>
    <m/>
    <s v="学校施設台帳"/>
    <s v="618"/>
    <s v="G600100"/>
    <x v="3"/>
    <x v="7"/>
  </r>
  <r>
    <s v="137"/>
    <s v="1035"/>
    <s v="荻野小学校"/>
    <x v="19"/>
    <s v="06"/>
    <s v="機械室"/>
    <x v="25"/>
    <n v="7"/>
    <x v="25"/>
    <m/>
    <n v="26"/>
    <n v="26"/>
    <s v="単独"/>
    <s v="S"/>
    <n v="1"/>
    <n v="0"/>
    <s v="旧"/>
    <m/>
    <x v="2"/>
    <m/>
    <m/>
    <m/>
    <n v="31"/>
    <s v="C"/>
    <s v="D"/>
    <s v="D"/>
    <s v="D"/>
    <s v="D"/>
    <s v="-"/>
    <s v="-"/>
    <s v="D"/>
    <s v="-"/>
    <s v="D"/>
    <n v="86.285714285714292"/>
    <x v="0"/>
    <x v="0"/>
    <m/>
    <m/>
    <s v="学校施設台帳"/>
    <s v="618"/>
    <s v="G600100"/>
    <x v="3"/>
    <x v="7"/>
  </r>
  <r>
    <s v="138"/>
    <s v="1036"/>
    <s v="池尻小学校"/>
    <x v="19"/>
    <s v="01"/>
    <s v="校舎1"/>
    <x v="7"/>
    <n v="5"/>
    <x v="7"/>
    <n v="985"/>
    <n v="4125"/>
    <n v="4125"/>
    <s v="複合"/>
    <s v="RC"/>
    <n v="5"/>
    <n v="0"/>
    <s v="旧"/>
    <s v="済"/>
    <x v="1"/>
    <n v="0.7"/>
    <n v="2002"/>
    <n v="2002"/>
    <n v="47"/>
    <s v="C"/>
    <s v="C"/>
    <s v="D"/>
    <s v="B"/>
    <s v="C"/>
    <s v="B"/>
    <s v="B"/>
    <s v="C"/>
    <s v="B"/>
    <s v="C"/>
    <n v="61.509433962264147"/>
    <x v="0"/>
    <x v="0"/>
    <m/>
    <m/>
    <s v="学校施設台帳"/>
    <s v="618"/>
    <s v="G600100"/>
    <x v="3"/>
    <x v="7"/>
  </r>
  <r>
    <s v="138"/>
    <s v="1036"/>
    <s v="池尻小学校"/>
    <x v="19"/>
    <s v="02"/>
    <s v="校舎2"/>
    <x v="7"/>
    <n v="5"/>
    <x v="7"/>
    <n v="528"/>
    <n v="2254"/>
    <n v="2254"/>
    <s v="複合"/>
    <s v="RC"/>
    <n v="5"/>
    <n v="0"/>
    <s v="旧"/>
    <s v="済"/>
    <x v="1"/>
    <n v="0.78"/>
    <n v="2002"/>
    <n v="2002"/>
    <n v="47"/>
    <s v="C"/>
    <s v="C"/>
    <s v="D"/>
    <s v="B"/>
    <s v="C"/>
    <s v="D"/>
    <s v="B"/>
    <s v="C"/>
    <s v="B"/>
    <s v="C"/>
    <n v="64.8"/>
    <x v="0"/>
    <x v="0"/>
    <m/>
    <m/>
    <s v="学校施設台帳"/>
    <s v="618"/>
    <s v="G600100"/>
    <x v="3"/>
    <x v="7"/>
  </r>
  <r>
    <s v="138"/>
    <s v="1036"/>
    <s v="池尻小学校"/>
    <x v="19"/>
    <s v="03"/>
    <s v="体育館"/>
    <x v="49"/>
    <n v="5"/>
    <x v="49"/>
    <n v="1065"/>
    <n v="1268"/>
    <n v="1268"/>
    <s v="単独"/>
    <s v="RC"/>
    <n v="2"/>
    <n v="0"/>
    <s v="旧"/>
    <s v="済"/>
    <x v="1"/>
    <n v="0.7"/>
    <m/>
    <n v="2003"/>
    <n v="47"/>
    <s v="C"/>
    <s v="C"/>
    <s v="C"/>
    <s v="B"/>
    <s v="C"/>
    <s v="-"/>
    <s v="B"/>
    <s v="C"/>
    <s v="B"/>
    <s v="C"/>
    <n v="60.425531914893618"/>
    <x v="0"/>
    <x v="0"/>
    <m/>
    <m/>
    <s v="学校施設台帳"/>
    <s v="618"/>
    <s v="G600100"/>
    <x v="3"/>
    <x v="7"/>
  </r>
  <r>
    <s v="138"/>
    <s v="1036"/>
    <s v="池尻小学校"/>
    <x v="19"/>
    <s v="04"/>
    <s v="校舎3"/>
    <x v="33"/>
    <n v="12"/>
    <x v="33"/>
    <n v="128"/>
    <n v="256"/>
    <n v="256"/>
    <s v="単独"/>
    <s v="RC"/>
    <n v="2"/>
    <n v="0"/>
    <s v="新"/>
    <s v="-"/>
    <x v="1"/>
    <m/>
    <m/>
    <m/>
    <n v="47"/>
    <s v="A"/>
    <s v="C"/>
    <s v="D"/>
    <s v="B"/>
    <s v="C"/>
    <s v="D"/>
    <s v="B"/>
    <s v="C"/>
    <s v="B"/>
    <s v="C"/>
    <n v="58.000000000000007"/>
    <x v="0"/>
    <x v="0"/>
    <m/>
    <m/>
    <s v="学校施設台帳"/>
    <s v="618"/>
    <s v="G600100"/>
    <x v="3"/>
    <x v="7"/>
  </r>
  <r>
    <s v="138"/>
    <s v="1036"/>
    <s v="池尻小学校"/>
    <x v="19"/>
    <s v="05"/>
    <s v="玄関"/>
    <x v="54"/>
    <n v="8"/>
    <x v="54"/>
    <n v="91"/>
    <n v="91"/>
    <n v="91"/>
    <s v="単独"/>
    <s v="S"/>
    <n v="1"/>
    <n v="0"/>
    <s v="新"/>
    <s v="-"/>
    <x v="1"/>
    <m/>
    <m/>
    <m/>
    <n v="34"/>
    <s v="A"/>
    <s v="C"/>
    <s v="A"/>
    <s v="B"/>
    <s v="C"/>
    <s v="D"/>
    <s v="B"/>
    <s v="C"/>
    <s v="B"/>
    <s v="B"/>
    <n v="45.666666666666664"/>
    <x v="0"/>
    <x v="0"/>
    <m/>
    <m/>
    <s v="学校施設台帳"/>
    <s v="618"/>
    <s v="G600100"/>
    <x v="3"/>
    <x v="7"/>
  </r>
  <r>
    <s v="138"/>
    <s v="1036"/>
    <s v="池尻小学校"/>
    <x v="19"/>
    <s v="06"/>
    <s v="EV"/>
    <x v="54"/>
    <n v="8"/>
    <x v="54"/>
    <n v="12"/>
    <n v="46"/>
    <n v="46"/>
    <s v="単独"/>
    <s v="S"/>
    <n v="4"/>
    <n v="0"/>
    <s v="新"/>
    <s v="-"/>
    <x v="1"/>
    <m/>
    <m/>
    <m/>
    <n v="34"/>
    <s v="A"/>
    <s v="C"/>
    <s v="D"/>
    <s v="B"/>
    <s v="C"/>
    <s v="-"/>
    <s v="-"/>
    <s v="-"/>
    <s v="-"/>
    <s v="C"/>
    <n v="51.333333333333329"/>
    <x v="0"/>
    <x v="0"/>
    <m/>
    <m/>
    <s v="学校施設台帳"/>
    <s v="618"/>
    <s v="G600100"/>
    <x v="3"/>
    <x v="7"/>
  </r>
  <r>
    <s v="138"/>
    <s v="1036"/>
    <s v="池尻小学校"/>
    <x v="19"/>
    <s v="07"/>
    <s v="プール付属室"/>
    <x v="7"/>
    <n v="6"/>
    <x v="7"/>
    <m/>
    <n v="64"/>
    <n v="64"/>
    <s v="単独"/>
    <s v="S"/>
    <n v="1"/>
    <n v="0"/>
    <s v="旧"/>
    <m/>
    <x v="2"/>
    <m/>
    <m/>
    <m/>
    <n v="31"/>
    <s v="C"/>
    <s v="C"/>
    <s v="D"/>
    <s v="B"/>
    <s v="D"/>
    <s v="-"/>
    <s v="-"/>
    <s v="D"/>
    <s v="D"/>
    <s v="D"/>
    <n v="80.487804878048792"/>
    <x v="0"/>
    <x v="0"/>
    <m/>
    <m/>
    <s v="学校施設台帳"/>
    <s v="618"/>
    <s v="G600100"/>
    <x v="3"/>
    <x v="7"/>
  </r>
  <r>
    <s v="138"/>
    <s v="1036"/>
    <s v="池尻小学校"/>
    <x v="19"/>
    <s v="08"/>
    <s v="機械室"/>
    <x v="7"/>
    <n v="6"/>
    <x v="7"/>
    <m/>
    <n v="28"/>
    <n v="28"/>
    <s v="単独"/>
    <s v="S"/>
    <n v="1"/>
    <n v="0"/>
    <s v="旧"/>
    <m/>
    <x v="2"/>
    <m/>
    <m/>
    <m/>
    <n v="31"/>
    <s v="C"/>
    <s v="C"/>
    <s v="D"/>
    <s v="B"/>
    <s v="D"/>
    <s v="-"/>
    <s v="-"/>
    <s v="D"/>
    <s v="D"/>
    <s v="D"/>
    <n v="80.487804878048792"/>
    <x v="0"/>
    <x v="0"/>
    <m/>
    <m/>
    <s v="学校施設台帳"/>
    <s v="618"/>
    <s v="G600100"/>
    <x v="3"/>
    <x v="7"/>
  </r>
  <r>
    <s v="139"/>
    <s v="1037"/>
    <s v="鴻池小学校"/>
    <x v="19"/>
    <s v="01"/>
    <s v="校舎1"/>
    <x v="26"/>
    <n v="5"/>
    <x v="26"/>
    <n v="568"/>
    <n v="2401"/>
    <n v="2401"/>
    <s v="複合"/>
    <s v="RC"/>
    <n v="5"/>
    <n v="0"/>
    <s v="新"/>
    <s v="-"/>
    <x v="1"/>
    <m/>
    <m/>
    <m/>
    <n v="47"/>
    <s v="B"/>
    <s v="D"/>
    <s v="A"/>
    <s v="D"/>
    <s v="D"/>
    <s v="B"/>
    <s v="D"/>
    <s v="D"/>
    <s v="D"/>
    <s v="D"/>
    <n v="79.245283018867923"/>
    <x v="0"/>
    <x v="0"/>
    <m/>
    <m/>
    <s v="学校施設台帳"/>
    <s v="618"/>
    <s v="G600100"/>
    <x v="3"/>
    <x v="7"/>
  </r>
  <r>
    <s v="139"/>
    <s v="1037"/>
    <s v="鴻池小学校"/>
    <x v="19"/>
    <s v="02"/>
    <s v="校舎2"/>
    <x v="26"/>
    <n v="5"/>
    <x v="26"/>
    <n v="534"/>
    <n v="2221"/>
    <n v="2221"/>
    <s v="単独"/>
    <s v="RC"/>
    <n v="5"/>
    <n v="0"/>
    <s v="新"/>
    <s v="-"/>
    <x v="1"/>
    <m/>
    <m/>
    <m/>
    <n v="47"/>
    <s v="B"/>
    <s v="D"/>
    <s v="A"/>
    <s v="D"/>
    <s v="D"/>
    <s v="D"/>
    <s v="D"/>
    <s v="D"/>
    <s v="A"/>
    <s v="D"/>
    <n v="73.2"/>
    <x v="0"/>
    <x v="0"/>
    <m/>
    <m/>
    <s v="学校施設台帳"/>
    <s v="618"/>
    <s v="G600100"/>
    <x v="3"/>
    <x v="7"/>
  </r>
  <r>
    <s v="139"/>
    <s v="1037"/>
    <s v="鴻池小学校"/>
    <x v="19"/>
    <s v="03"/>
    <s v="体育館棟"/>
    <x v="26"/>
    <n v="5"/>
    <x v="26"/>
    <n v="968"/>
    <n v="2130"/>
    <n v="2130"/>
    <s v="単独"/>
    <s v="RC"/>
    <n v="3"/>
    <n v="0"/>
    <s v="新"/>
    <s v="-"/>
    <x v="1"/>
    <m/>
    <m/>
    <m/>
    <n v="47"/>
    <s v="B"/>
    <s v="A"/>
    <s v="D"/>
    <s v="D"/>
    <s v="C"/>
    <s v="D"/>
    <s v="-"/>
    <s v="D"/>
    <s v="A"/>
    <s v="C"/>
    <n v="65.909090909090921"/>
    <x v="0"/>
    <x v="0"/>
    <m/>
    <m/>
    <s v="学校施設台帳"/>
    <s v="618"/>
    <s v="G600100"/>
    <x v="3"/>
    <x v="7"/>
  </r>
  <r>
    <s v="139"/>
    <s v="1037"/>
    <s v="鴻池小学校"/>
    <x v="19"/>
    <s v="04"/>
    <s v="食堂"/>
    <x v="31"/>
    <n v="3"/>
    <x v="31"/>
    <n v="354"/>
    <n v="354"/>
    <n v="354"/>
    <s v="単独"/>
    <s v="RC"/>
    <n v="1"/>
    <n v="0"/>
    <s v="新"/>
    <s v="-"/>
    <x v="1"/>
    <m/>
    <m/>
    <m/>
    <n v="41"/>
    <s v="B"/>
    <s v="D"/>
    <s v="D"/>
    <s v="D"/>
    <s v="D"/>
    <s v="D"/>
    <s v="-"/>
    <s v="D"/>
    <s v="D"/>
    <s v="D"/>
    <n v="85.909090909090907"/>
    <x v="0"/>
    <x v="0"/>
    <m/>
    <m/>
    <s v="学校施設台帳"/>
    <s v="618"/>
    <s v="G600100"/>
    <x v="3"/>
    <x v="7"/>
  </r>
  <r>
    <s v="139"/>
    <s v="1037"/>
    <s v="鴻池小学校"/>
    <x v="19"/>
    <s v="05"/>
    <s v="校舎3"/>
    <x v="19"/>
    <n v="2"/>
    <x v="19"/>
    <n v="279"/>
    <n v="1116"/>
    <n v="1116"/>
    <s v="複合"/>
    <s v="RC"/>
    <n v="4"/>
    <n v="0"/>
    <s v="新"/>
    <s v="-"/>
    <x v="1"/>
    <m/>
    <m/>
    <m/>
    <n v="47"/>
    <s v="A"/>
    <s v="B"/>
    <s v="C"/>
    <s v="D"/>
    <s v="B"/>
    <s v="C"/>
    <s v="D"/>
    <s v="B"/>
    <s v="B"/>
    <s v="C"/>
    <n v="54.400000000000006"/>
    <x v="0"/>
    <x v="0"/>
    <m/>
    <m/>
    <s v="学校施設台帳"/>
    <s v="618"/>
    <s v="G600100"/>
    <x v="3"/>
    <x v="7"/>
  </r>
  <r>
    <s v="139"/>
    <s v="1037"/>
    <s v="鴻池小学校"/>
    <x v="19"/>
    <s v="06"/>
    <s v="EV"/>
    <x v="19"/>
    <n v="2"/>
    <x v="19"/>
    <n v="17"/>
    <n v="69"/>
    <n v="69"/>
    <s v="単独"/>
    <s v="S"/>
    <n v="4"/>
    <n v="0"/>
    <s v="新"/>
    <s v="-"/>
    <x v="1"/>
    <m/>
    <m/>
    <m/>
    <n v="34"/>
    <s v="A"/>
    <s v="B"/>
    <s v="C"/>
    <s v="D"/>
    <s v="B"/>
    <s v="-"/>
    <s v="-"/>
    <s v="-"/>
    <s v="-"/>
    <s v="B"/>
    <n v="49.333333333333329"/>
    <x v="0"/>
    <x v="0"/>
    <m/>
    <m/>
    <s v="学校施設台帳"/>
    <s v="618"/>
    <s v="G600100"/>
    <x v="3"/>
    <x v="7"/>
  </r>
  <r>
    <s v="139"/>
    <s v="1037"/>
    <s v="鴻池小学校"/>
    <x v="19"/>
    <s v="07"/>
    <s v="プール付属室"/>
    <x v="26"/>
    <n v="10"/>
    <x v="26"/>
    <m/>
    <n v="24"/>
    <n v="24"/>
    <s v="単独"/>
    <s v="RC"/>
    <n v="1"/>
    <n v="0"/>
    <s v="新"/>
    <s v="-"/>
    <x v="1"/>
    <m/>
    <m/>
    <m/>
    <n v="38"/>
    <s v="B"/>
    <s v="D"/>
    <s v="D"/>
    <s v="D"/>
    <s v="D"/>
    <s v="-"/>
    <s v="-"/>
    <s v="D"/>
    <s v="A"/>
    <s v="D"/>
    <n v="71.707317073170728"/>
    <x v="0"/>
    <x v="0"/>
    <m/>
    <m/>
    <s v="学校施設台帳"/>
    <s v="618"/>
    <s v="G600100"/>
    <x v="3"/>
    <x v="7"/>
  </r>
  <r>
    <s v="140"/>
    <s v="0360"/>
    <s v="伊丹児童くらぶ"/>
    <x v="20"/>
    <s v="01"/>
    <s v="伊丹児童くらぶ"/>
    <x v="18"/>
    <n v="4"/>
    <x v="18"/>
    <m/>
    <n v="410.17"/>
    <n v="410.17"/>
    <s v="単独"/>
    <s v="S"/>
    <n v="2"/>
    <n v="0"/>
    <s v="新"/>
    <s v="-"/>
    <x v="1"/>
    <m/>
    <m/>
    <m/>
    <n v="34"/>
    <s v="-"/>
    <s v="-"/>
    <s v="-"/>
    <s v="-"/>
    <s v="-"/>
    <s v="-"/>
    <s v="-"/>
    <s v="-"/>
    <s v="-"/>
    <s v="-"/>
    <s v="-"/>
    <x v="0"/>
    <x v="0"/>
    <m/>
    <m/>
    <s v="公財台帳・固資台帳"/>
    <s v="390"/>
    <s v="G061400"/>
    <x v="3"/>
    <x v="8"/>
  </r>
  <r>
    <s v="141"/>
    <s v="0361"/>
    <s v="稲野児童くらぶ"/>
    <x v="20"/>
    <s v="01"/>
    <s v="稲野小_校舎1・2"/>
    <x v="41"/>
    <n v="3"/>
    <x v="41"/>
    <n v="385"/>
    <n v="1219"/>
    <n v="0"/>
    <s v="複合"/>
    <s v="RC"/>
    <n v="3"/>
    <n v="0"/>
    <s v="旧"/>
    <s v="済"/>
    <x v="1"/>
    <n v="0.8"/>
    <n v="2004"/>
    <m/>
    <n v="47"/>
    <s v="-"/>
    <s v="-"/>
    <s v="-"/>
    <s v="-"/>
    <s v="-"/>
    <s v="-"/>
    <s v="-"/>
    <s v="-"/>
    <s v="-"/>
    <s v="-"/>
    <s v="-"/>
    <x v="0"/>
    <x v="0"/>
    <m/>
    <m/>
    <s v="公財台帳・固資台帳"/>
    <s v="390"/>
    <s v="G061400"/>
    <x v="3"/>
    <x v="8"/>
  </r>
  <r>
    <s v="142"/>
    <s v="0362"/>
    <s v="南児童くらぶ"/>
    <x v="20"/>
    <s v="01"/>
    <s v="南小_校舎1"/>
    <x v="47"/>
    <n v="3"/>
    <x v="47"/>
    <n v="652"/>
    <n v="2043"/>
    <n v="68"/>
    <s v="複合"/>
    <s v="RC"/>
    <n v="3"/>
    <n v="0"/>
    <s v="旧"/>
    <s v="済"/>
    <x v="1"/>
    <n v="0.78"/>
    <n v="2007"/>
    <n v="2014"/>
    <n v="47"/>
    <s v="-"/>
    <s v="-"/>
    <s v="-"/>
    <s v="-"/>
    <s v="-"/>
    <s v="-"/>
    <s v="-"/>
    <s v="-"/>
    <s v="-"/>
    <s v="-"/>
    <s v="-"/>
    <x v="0"/>
    <x v="0"/>
    <m/>
    <m/>
    <s v="公財台帳・固資台帳"/>
    <s v="390"/>
    <s v="G061400"/>
    <x v="3"/>
    <x v="8"/>
  </r>
  <r>
    <s v="143"/>
    <s v="0363"/>
    <s v="神津児童くらぶ"/>
    <x v="20"/>
    <s v="01"/>
    <s v="神津小_校舎1"/>
    <x v="29"/>
    <n v="8"/>
    <x v="29"/>
    <n v="956"/>
    <n v="4027"/>
    <n v="0"/>
    <s v="複合"/>
    <s v="RC"/>
    <n v="5"/>
    <n v="0"/>
    <s v="旧"/>
    <s v="済"/>
    <x v="1"/>
    <n v="0.79"/>
    <n v="2005"/>
    <n v="2006"/>
    <n v="47"/>
    <s v="-"/>
    <s v="-"/>
    <s v="-"/>
    <s v="-"/>
    <s v="-"/>
    <s v="-"/>
    <s v="-"/>
    <s v="-"/>
    <s v="-"/>
    <s v="-"/>
    <s v="-"/>
    <x v="0"/>
    <x v="0"/>
    <m/>
    <m/>
    <s v="公財台帳・固資台帳"/>
    <s v="390"/>
    <s v="G061400"/>
    <x v="3"/>
    <x v="8"/>
  </r>
  <r>
    <s v="144"/>
    <s v="0364"/>
    <s v="緑丘児童くらぶ"/>
    <x v="20"/>
    <s v="01"/>
    <s v="緑丘小_校舎2"/>
    <x v="29"/>
    <n v="8"/>
    <x v="29"/>
    <n v="546"/>
    <n v="2301"/>
    <n v="0"/>
    <s v="複合"/>
    <s v="RC"/>
    <n v="5"/>
    <n v="0"/>
    <s v="旧"/>
    <s v="済"/>
    <x v="1"/>
    <n v="0.75"/>
    <n v="2006"/>
    <n v="2007"/>
    <n v="47"/>
    <s v="-"/>
    <s v="-"/>
    <s v="-"/>
    <s v="-"/>
    <s v="-"/>
    <s v="-"/>
    <s v="-"/>
    <s v="-"/>
    <s v="-"/>
    <s v="-"/>
    <s v="-"/>
    <x v="0"/>
    <x v="0"/>
    <m/>
    <m/>
    <s v="公財台帳・固資台帳"/>
    <s v="390"/>
    <s v="G061400"/>
    <x v="3"/>
    <x v="8"/>
  </r>
  <r>
    <s v="145"/>
    <s v="0365"/>
    <s v="桜台児童くらぶ"/>
    <x v="20"/>
    <s v="01"/>
    <s v="桜台小_校舎4・5"/>
    <x v="48"/>
    <n v="3"/>
    <x v="48"/>
    <n v="539"/>
    <n v="2186"/>
    <n v="0"/>
    <s v="複合"/>
    <s v="RC"/>
    <n v="4"/>
    <n v="0"/>
    <s v="旧"/>
    <s v="済"/>
    <x v="1"/>
    <n v="0.75"/>
    <n v="2009"/>
    <n v="2009"/>
    <n v="47"/>
    <s v="-"/>
    <s v="-"/>
    <s v="-"/>
    <s v="-"/>
    <s v="-"/>
    <s v="-"/>
    <s v="-"/>
    <s v="-"/>
    <s v="-"/>
    <s v="-"/>
    <s v="-"/>
    <x v="0"/>
    <x v="0"/>
    <m/>
    <m/>
    <s v="公財台帳・固資台帳"/>
    <s v="390"/>
    <s v="G061400"/>
    <x v="3"/>
    <x v="8"/>
  </r>
  <r>
    <s v="146"/>
    <s v="0366"/>
    <s v="天神川児童くらぶ"/>
    <x v="20"/>
    <s v="01"/>
    <s v="天神川小_校舎3"/>
    <x v="33"/>
    <n v="10"/>
    <x v="33"/>
    <n v="180"/>
    <n v="540"/>
    <n v="0"/>
    <s v="単独"/>
    <s v="S"/>
    <n v="3"/>
    <n v="0"/>
    <s v="新"/>
    <s v="-"/>
    <x v="1"/>
    <m/>
    <m/>
    <m/>
    <n v="34"/>
    <s v="-"/>
    <s v="-"/>
    <s v="-"/>
    <s v="-"/>
    <s v="-"/>
    <s v="-"/>
    <s v="-"/>
    <s v="-"/>
    <s v="-"/>
    <s v="-"/>
    <s v="-"/>
    <x v="0"/>
    <x v="0"/>
    <m/>
    <m/>
    <s v="公財台帳・固資台帳"/>
    <s v="390"/>
    <s v="G061400"/>
    <x v="3"/>
    <x v="8"/>
  </r>
  <r>
    <s v="147"/>
    <s v="0367"/>
    <s v="笹原児童くらぶ"/>
    <x v="20"/>
    <s v="01"/>
    <s v="笹原児童くらぶ"/>
    <x v="19"/>
    <n v="7"/>
    <x v="19"/>
    <m/>
    <n v="160.74"/>
    <n v="160.74"/>
    <s v="複合"/>
    <s v="S"/>
    <n v="1"/>
    <n v="0"/>
    <s v="新"/>
    <s v="-"/>
    <x v="1"/>
    <m/>
    <m/>
    <m/>
    <n v="34"/>
    <s v="-"/>
    <s v="-"/>
    <s v="-"/>
    <s v="-"/>
    <s v="-"/>
    <s v="-"/>
    <s v="-"/>
    <s v="-"/>
    <s v="-"/>
    <s v="-"/>
    <s v="-"/>
    <x v="0"/>
    <x v="0"/>
    <m/>
    <m/>
    <s v="公財台帳・固資台帳"/>
    <s v="390"/>
    <s v="G061400"/>
    <x v="3"/>
    <x v="8"/>
  </r>
  <r>
    <s v="148"/>
    <s v="0368"/>
    <s v="瑞穂児童くらぶ"/>
    <x v="20"/>
    <s v="01"/>
    <s v="瑞穂児童くらぶ"/>
    <x v="24"/>
    <n v="2"/>
    <x v="24"/>
    <m/>
    <n v="198.74"/>
    <n v="198.74"/>
    <s v="単独"/>
    <s v="S"/>
    <n v="2"/>
    <n v="0"/>
    <s v="新"/>
    <s v="-"/>
    <x v="1"/>
    <m/>
    <m/>
    <m/>
    <n v="34"/>
    <s v="-"/>
    <s v="-"/>
    <s v="-"/>
    <s v="-"/>
    <s v="-"/>
    <s v="-"/>
    <s v="-"/>
    <s v="-"/>
    <s v="-"/>
    <s v="-"/>
    <s v="-"/>
    <x v="0"/>
    <x v="0"/>
    <m/>
    <m/>
    <s v="公財台帳・固資台帳"/>
    <s v="390"/>
    <s v="G061400"/>
    <x v="3"/>
    <x v="8"/>
  </r>
  <r>
    <s v="149"/>
    <s v="0369"/>
    <s v="有岡児童くらぶ"/>
    <x v="20"/>
    <s v="01"/>
    <s v="有岡小_校舎3"/>
    <x v="52"/>
    <n v="3"/>
    <x v="52"/>
    <n v="141"/>
    <n v="497"/>
    <n v="211.64"/>
    <s v="複合"/>
    <s v="S"/>
    <n v="2"/>
    <n v="0"/>
    <s v="新"/>
    <s v="-"/>
    <x v="1"/>
    <m/>
    <m/>
    <m/>
    <n v="34"/>
    <s v="-"/>
    <s v="-"/>
    <s v="-"/>
    <s v="-"/>
    <s v="-"/>
    <s v="-"/>
    <s v="-"/>
    <s v="-"/>
    <s v="-"/>
    <s v="-"/>
    <s v="-"/>
    <x v="0"/>
    <x v="0"/>
    <m/>
    <m/>
    <s v="公財台帳・固資台帳"/>
    <s v="390"/>
    <s v="G061400"/>
    <x v="3"/>
    <x v="8"/>
  </r>
  <r>
    <s v="150"/>
    <s v="0370"/>
    <s v="花里児童くらぶ"/>
    <x v="20"/>
    <s v="01"/>
    <s v="花里小_校舎2"/>
    <x v="6"/>
    <n v="5"/>
    <x v="6"/>
    <n v="541"/>
    <n v="2192"/>
    <n v="0"/>
    <s v="複合"/>
    <s v="RC"/>
    <n v="4"/>
    <n v="0"/>
    <s v="旧"/>
    <s v="済"/>
    <x v="1"/>
    <n v="0.75"/>
    <n v="2010"/>
    <n v="2010"/>
    <n v="47"/>
    <s v="-"/>
    <s v="-"/>
    <s v="-"/>
    <s v="-"/>
    <s v="-"/>
    <s v="-"/>
    <s v="-"/>
    <s v="-"/>
    <s v="-"/>
    <s v="-"/>
    <s v="-"/>
    <x v="0"/>
    <x v="0"/>
    <m/>
    <m/>
    <s v="公財台帳・固資台帳"/>
    <s v="390"/>
    <s v="G061400"/>
    <x v="3"/>
    <x v="8"/>
  </r>
  <r>
    <s v="151"/>
    <s v="0371"/>
    <s v="昆陽里児童くらぶ"/>
    <x v="20"/>
    <s v="01"/>
    <s v="昆陽里小_校舎1・2"/>
    <x v="1"/>
    <n v="3"/>
    <x v="1"/>
    <n v="550"/>
    <n v="2351"/>
    <n v="0"/>
    <s v="複合"/>
    <s v="RC"/>
    <n v="5"/>
    <n v="0"/>
    <s v="旧"/>
    <s v="済"/>
    <x v="1"/>
    <n v="0.76"/>
    <n v="2009"/>
    <n v="2009"/>
    <n v="47"/>
    <s v="-"/>
    <s v="-"/>
    <s v="-"/>
    <s v="-"/>
    <s v="-"/>
    <s v="-"/>
    <s v="-"/>
    <s v="-"/>
    <s v="-"/>
    <s v="-"/>
    <s v="-"/>
    <x v="0"/>
    <x v="0"/>
    <m/>
    <m/>
    <s v="公財台帳・固資台帳"/>
    <s v="390"/>
    <s v="G061400"/>
    <x v="3"/>
    <x v="8"/>
  </r>
  <r>
    <s v="152"/>
    <s v="0372"/>
    <s v="摂陽児童くらぶ"/>
    <x v="20"/>
    <s v="01"/>
    <s v="摂陽小_校舎3"/>
    <x v="13"/>
    <n v="5"/>
    <x v="13"/>
    <n v="172"/>
    <n v="688"/>
    <n v="0"/>
    <s v="複合"/>
    <s v="RC"/>
    <n v="4"/>
    <n v="0"/>
    <s v="旧"/>
    <s v="済"/>
    <x v="1"/>
    <n v="0.75"/>
    <n v="2011"/>
    <n v="2011"/>
    <n v="47"/>
    <s v="-"/>
    <s v="-"/>
    <s v="-"/>
    <s v="-"/>
    <s v="-"/>
    <s v="-"/>
    <s v="-"/>
    <s v="-"/>
    <s v="-"/>
    <s v="-"/>
    <s v="-"/>
    <x v="0"/>
    <x v="0"/>
    <m/>
    <m/>
    <s v="公財台帳・固資台帳"/>
    <s v="390"/>
    <s v="G061400"/>
    <x v="3"/>
    <x v="8"/>
  </r>
  <r>
    <s v="153"/>
    <s v="0373"/>
    <s v="鈴原児童くらぶ"/>
    <x v="20"/>
    <s v="01"/>
    <s v="鈴原小_校舎1"/>
    <x v="12"/>
    <n v="3"/>
    <x v="12"/>
    <n v="715"/>
    <n v="3017"/>
    <n v="0"/>
    <s v="複合"/>
    <s v="RC"/>
    <n v="5"/>
    <n v="0"/>
    <s v="旧"/>
    <s v="済"/>
    <x v="1"/>
    <n v="0.76"/>
    <n v="1998"/>
    <n v="1997"/>
    <n v="47"/>
    <s v="-"/>
    <s v="-"/>
    <s v="-"/>
    <s v="-"/>
    <s v="-"/>
    <s v="-"/>
    <s v="-"/>
    <s v="-"/>
    <s v="-"/>
    <s v="-"/>
    <s v="-"/>
    <x v="0"/>
    <x v="0"/>
    <m/>
    <m/>
    <s v="公財台帳・固資台帳"/>
    <s v="390"/>
    <s v="G061400"/>
    <x v="3"/>
    <x v="8"/>
  </r>
  <r>
    <s v="154"/>
    <s v="0374"/>
    <s v="荻野児童くらぶ"/>
    <x v="20"/>
    <s v="01"/>
    <s v="荻野児童くらぶ"/>
    <x v="5"/>
    <n v="1"/>
    <x v="5"/>
    <m/>
    <n v="214.59"/>
    <n v="214.59"/>
    <s v="単独"/>
    <s v="S"/>
    <n v="2"/>
    <n v="0"/>
    <s v="新"/>
    <s v="-"/>
    <x v="1"/>
    <m/>
    <m/>
    <m/>
    <n v="34"/>
    <s v="-"/>
    <s v="-"/>
    <s v="-"/>
    <s v="-"/>
    <s v="-"/>
    <s v="-"/>
    <s v="-"/>
    <s v="-"/>
    <s v="-"/>
    <s v="-"/>
    <s v="-"/>
    <x v="0"/>
    <x v="0"/>
    <m/>
    <m/>
    <s v="公財台帳・固資台帳"/>
    <s v="390"/>
    <s v="G061400"/>
    <x v="3"/>
    <x v="8"/>
  </r>
  <r>
    <s v="155"/>
    <s v="0375"/>
    <s v="池尻児童くらぶ"/>
    <x v="20"/>
    <s v="01"/>
    <s v="池尻小_校舎2"/>
    <x v="7"/>
    <n v="5"/>
    <x v="7"/>
    <n v="528"/>
    <n v="2254"/>
    <n v="0"/>
    <s v="複合"/>
    <s v="RC"/>
    <n v="5"/>
    <n v="0"/>
    <s v="旧"/>
    <s v="済"/>
    <x v="1"/>
    <n v="0.78"/>
    <n v="2002"/>
    <n v="2002"/>
    <n v="47"/>
    <s v="-"/>
    <s v="-"/>
    <s v="-"/>
    <s v="-"/>
    <s v="-"/>
    <s v="-"/>
    <s v="-"/>
    <s v="-"/>
    <s v="-"/>
    <s v="-"/>
    <s v="-"/>
    <x v="0"/>
    <x v="0"/>
    <m/>
    <m/>
    <s v="公財台帳・固資台帳"/>
    <s v="390"/>
    <s v="G061400"/>
    <x v="3"/>
    <x v="8"/>
  </r>
  <r>
    <s v="156"/>
    <s v="0376"/>
    <s v="鴻池児童くらぶ"/>
    <x v="20"/>
    <s v="01"/>
    <s v="鴻池小_校舎3"/>
    <x v="19"/>
    <n v="2"/>
    <x v="19"/>
    <n v="279"/>
    <n v="1116"/>
    <n v="0"/>
    <s v="複合"/>
    <s v="RC"/>
    <n v="4"/>
    <n v="0"/>
    <s v="新"/>
    <s v="-"/>
    <x v="1"/>
    <m/>
    <m/>
    <m/>
    <n v="47"/>
    <s v="-"/>
    <s v="-"/>
    <s v="-"/>
    <s v="-"/>
    <s v="-"/>
    <s v="-"/>
    <s v="-"/>
    <s v="-"/>
    <s v="-"/>
    <s v="-"/>
    <s v="-"/>
    <x v="0"/>
    <x v="0"/>
    <m/>
    <m/>
    <s v="公財台帳・固資台帳"/>
    <s v="390"/>
    <s v="G061400"/>
    <x v="3"/>
    <x v="8"/>
  </r>
  <r>
    <s v="157"/>
    <s v="1041"/>
    <s v="東中学校"/>
    <x v="19"/>
    <s v="01"/>
    <s v="校舎1"/>
    <x v="55"/>
    <n v="3"/>
    <x v="55"/>
    <n v="317"/>
    <n v="982"/>
    <n v="982"/>
    <s v="単独"/>
    <s v="RC"/>
    <n v="3"/>
    <n v="0"/>
    <s v="旧"/>
    <s v="済"/>
    <x v="1"/>
    <n v="0.78"/>
    <n v="2010"/>
    <n v="2010"/>
    <n v="47"/>
    <s v="C"/>
    <s v="B"/>
    <s v="B"/>
    <s v="C"/>
    <s v="B"/>
    <s v="D"/>
    <s v="-"/>
    <s v="A"/>
    <s v="A"/>
    <s v="C"/>
    <n v="57.727272727272727"/>
    <x v="0"/>
    <x v="0"/>
    <m/>
    <m/>
    <s v="学校施設台帳"/>
    <s v="618"/>
    <s v="G600100"/>
    <x v="3"/>
    <x v="9"/>
  </r>
  <r>
    <s v="157"/>
    <s v="1041"/>
    <s v="東中学校"/>
    <x v="19"/>
    <s v="02"/>
    <s v="校舎2"/>
    <x v="42"/>
    <n v="10"/>
    <x v="42"/>
    <n v="220"/>
    <n v="695"/>
    <n v="695"/>
    <s v="単独"/>
    <s v="RC"/>
    <n v="3"/>
    <n v="0"/>
    <s v="旧"/>
    <s v="済"/>
    <x v="1"/>
    <n v="0.75"/>
    <n v="2010"/>
    <n v="2010"/>
    <n v="47"/>
    <s v="C"/>
    <s v="B"/>
    <s v="B"/>
    <s v="C"/>
    <s v="B"/>
    <s v="C"/>
    <s v="-"/>
    <s v="-"/>
    <s v="-"/>
    <s v="C"/>
    <n v="68.333333333333329"/>
    <x v="0"/>
    <x v="0"/>
    <m/>
    <m/>
    <s v="学校施設台帳"/>
    <s v="618"/>
    <s v="G600100"/>
    <x v="3"/>
    <x v="9"/>
  </r>
  <r>
    <s v="157"/>
    <s v="1041"/>
    <s v="東中学校"/>
    <x v="19"/>
    <s v="03"/>
    <s v="校舎3"/>
    <x v="6"/>
    <n v="3"/>
    <x v="6"/>
    <n v="338"/>
    <n v="1052"/>
    <n v="1052"/>
    <s v="単独"/>
    <s v="RC"/>
    <n v="3"/>
    <n v="0"/>
    <s v="旧"/>
    <s v="済"/>
    <x v="1"/>
    <n v="0.75"/>
    <n v="2010"/>
    <n v="2010"/>
    <n v="47"/>
    <s v="C"/>
    <s v="B"/>
    <s v="B"/>
    <s v="C"/>
    <s v="B"/>
    <s v="C"/>
    <s v="B"/>
    <s v="A"/>
    <s v="A"/>
    <s v="C"/>
    <n v="52.452830188679243"/>
    <x v="0"/>
    <x v="0"/>
    <m/>
    <m/>
    <s v="学校施設台帳"/>
    <s v="618"/>
    <s v="G600100"/>
    <x v="3"/>
    <x v="9"/>
  </r>
  <r>
    <s v="157"/>
    <s v="1041"/>
    <s v="東中学校"/>
    <x v="19"/>
    <s v="04"/>
    <s v="校舎4"/>
    <x v="0"/>
    <n v="3"/>
    <x v="0"/>
    <n v="845"/>
    <n v="3447"/>
    <n v="3447"/>
    <s v="単独"/>
    <s v="RC"/>
    <n v="3"/>
    <n v="0"/>
    <s v="旧"/>
    <s v="済"/>
    <x v="1"/>
    <n v="0.75"/>
    <n v="2008"/>
    <m/>
    <n v="47"/>
    <s v="C"/>
    <s v="C"/>
    <s v="C"/>
    <s v="C"/>
    <s v="D"/>
    <s v="C"/>
    <s v="B"/>
    <s v="D"/>
    <s v="B"/>
    <s v="C"/>
    <n v="66.037735849056617"/>
    <x v="0"/>
    <x v="0"/>
    <m/>
    <m/>
    <s v="学校施設台帳"/>
    <s v="618"/>
    <s v="G600100"/>
    <x v="3"/>
    <x v="9"/>
  </r>
  <r>
    <s v="157"/>
    <s v="1041"/>
    <s v="東中学校"/>
    <x v="19"/>
    <s v="05"/>
    <s v="渡廊下"/>
    <x v="0"/>
    <n v="3"/>
    <x v="0"/>
    <n v="166"/>
    <n v="290"/>
    <n v="290"/>
    <s v="単独"/>
    <s v="RC"/>
    <n v="3"/>
    <n v="0"/>
    <s v="旧"/>
    <s v="済"/>
    <x v="1"/>
    <n v="0.75"/>
    <n v="2008"/>
    <m/>
    <n v="47"/>
    <s v="C"/>
    <s v="B"/>
    <s v="C"/>
    <s v="C"/>
    <s v="D"/>
    <s v="-"/>
    <s v="-"/>
    <s v="-"/>
    <s v="-"/>
    <s v="D"/>
    <n v="70.666666666666671"/>
    <x v="0"/>
    <x v="0"/>
    <m/>
    <m/>
    <s v="学校施設台帳"/>
    <s v="618"/>
    <s v="G600100"/>
    <x v="3"/>
    <x v="9"/>
  </r>
  <r>
    <s v="157"/>
    <s v="1041"/>
    <s v="東中学校"/>
    <x v="19"/>
    <s v="06"/>
    <s v="体育館棟"/>
    <x v="9"/>
    <n v="2"/>
    <x v="9"/>
    <n v="1070"/>
    <n v="2514"/>
    <n v="2514"/>
    <s v="単独"/>
    <s v="RC"/>
    <n v="3"/>
    <n v="0"/>
    <s v="新"/>
    <s v="-"/>
    <x v="1"/>
    <m/>
    <m/>
    <m/>
    <n v="47"/>
    <s v="B"/>
    <s v="A"/>
    <s v="D"/>
    <s v="C"/>
    <s v="D"/>
    <s v="B"/>
    <s v="B"/>
    <s v="D"/>
    <s v="A"/>
    <s v="C"/>
    <n v="53.6"/>
    <x v="0"/>
    <x v="0"/>
    <m/>
    <m/>
    <s v="学校施設台帳"/>
    <s v="618"/>
    <s v="G600100"/>
    <x v="3"/>
    <x v="9"/>
  </r>
  <r>
    <s v="157"/>
    <s v="1041"/>
    <s v="東中学校"/>
    <x v="19"/>
    <s v="07"/>
    <s v="機械室"/>
    <x v="12"/>
    <n v="3"/>
    <x v="12"/>
    <n v="46"/>
    <n v="46"/>
    <n v="46"/>
    <s v="単独"/>
    <s v="RC"/>
    <n v="1"/>
    <n v="0"/>
    <s v="旧"/>
    <m/>
    <x v="2"/>
    <m/>
    <m/>
    <m/>
    <n v="38"/>
    <s v="C"/>
    <s v="D"/>
    <s v="D"/>
    <s v="C"/>
    <s v="D"/>
    <s v="-"/>
    <s v="-"/>
    <s v="-"/>
    <s v="-"/>
    <s v="D"/>
    <n v="83.78378378378379"/>
    <x v="0"/>
    <x v="0"/>
    <m/>
    <m/>
    <s v="学校施設台帳"/>
    <s v="618"/>
    <s v="G600100"/>
    <x v="3"/>
    <x v="9"/>
  </r>
  <r>
    <s v="157"/>
    <s v="1041"/>
    <s v="東中学校"/>
    <x v="19"/>
    <s v="08"/>
    <s v="部室"/>
    <x v="39"/>
    <n v="3"/>
    <x v="39"/>
    <n v="195"/>
    <n v="390"/>
    <n v="390"/>
    <s v="単独"/>
    <s v="RC"/>
    <n v="2"/>
    <n v="0"/>
    <s v="新"/>
    <s v="-"/>
    <x v="1"/>
    <m/>
    <m/>
    <m/>
    <n v="47"/>
    <s v="B"/>
    <s v="D"/>
    <s v="D"/>
    <s v="C"/>
    <s v="D"/>
    <s v="-"/>
    <s v="B"/>
    <s v="D"/>
    <s v="C"/>
    <s v="C"/>
    <n v="69.361702127659569"/>
    <x v="0"/>
    <x v="0"/>
    <m/>
    <m/>
    <s v="学校施設台帳"/>
    <s v="618"/>
    <s v="G600100"/>
    <x v="3"/>
    <x v="9"/>
  </r>
  <r>
    <s v="157"/>
    <s v="1041"/>
    <s v="東中学校"/>
    <x v="19"/>
    <s v="09"/>
    <s v="EV"/>
    <x v="52"/>
    <n v="9"/>
    <x v="52"/>
    <n v="16"/>
    <n v="63"/>
    <n v="63"/>
    <s v="単独"/>
    <s v="S"/>
    <n v="4"/>
    <n v="0"/>
    <s v="新"/>
    <s v="-"/>
    <x v="1"/>
    <m/>
    <m/>
    <m/>
    <n v="34"/>
    <s v="A"/>
    <s v="B"/>
    <s v="C"/>
    <s v="C"/>
    <s v="B"/>
    <s v="-"/>
    <s v="-"/>
    <s v="-"/>
    <s v="-"/>
    <s v="B"/>
    <n v="40"/>
    <x v="0"/>
    <x v="0"/>
    <m/>
    <m/>
    <s v="学校施設台帳"/>
    <s v="618"/>
    <s v="G600100"/>
    <x v="3"/>
    <x v="9"/>
  </r>
  <r>
    <s v="157"/>
    <s v="1041"/>
    <s v="東中学校"/>
    <x v="19"/>
    <s v="10"/>
    <s v="挌技棟"/>
    <x v="5"/>
    <n v="1"/>
    <x v="5"/>
    <m/>
    <n v="546"/>
    <n v="546"/>
    <s v="単独"/>
    <s v="S"/>
    <n v="1"/>
    <n v="0"/>
    <s v="新"/>
    <s v="-"/>
    <x v="1"/>
    <m/>
    <m/>
    <m/>
    <n v="34"/>
    <s v="A"/>
    <s v="B"/>
    <s v="B"/>
    <s v="C"/>
    <s v="B"/>
    <s v="-"/>
    <s v="-"/>
    <s v="A"/>
    <s v="A"/>
    <s v="A"/>
    <n v="28.292682926829272"/>
    <x v="0"/>
    <x v="0"/>
    <m/>
    <m/>
    <s v="学校施設台帳"/>
    <s v="618"/>
    <s v="G600100"/>
    <x v="3"/>
    <x v="9"/>
  </r>
  <r>
    <s v="157"/>
    <s v="1041"/>
    <s v="東中学校"/>
    <x v="19"/>
    <s v="11"/>
    <s v="機械室"/>
    <x v="39"/>
    <n v="3"/>
    <x v="39"/>
    <m/>
    <n v="20"/>
    <n v="20"/>
    <s v="単独"/>
    <s v="S"/>
    <n v="1"/>
    <n v="0"/>
    <s v="新"/>
    <s v="-"/>
    <x v="1"/>
    <m/>
    <m/>
    <n v="2015"/>
    <n v="31"/>
    <s v="B"/>
    <s v="A"/>
    <s v="A"/>
    <s v="C"/>
    <s v="A"/>
    <s v="-"/>
    <s v="-"/>
    <s v="A"/>
    <s v="-"/>
    <s v="B"/>
    <n v="33.714285714285722"/>
    <x v="0"/>
    <x v="0"/>
    <m/>
    <m/>
    <s v="学校施設台帳"/>
    <s v="618"/>
    <s v="G600100"/>
    <x v="3"/>
    <x v="9"/>
  </r>
  <r>
    <s v="158"/>
    <s v="1042"/>
    <s v="西中学校"/>
    <x v="19"/>
    <s v="01"/>
    <s v="校舎1"/>
    <x v="56"/>
    <n v="3"/>
    <x v="56"/>
    <n v="350"/>
    <n v="1050"/>
    <n v="1050"/>
    <s v="単独"/>
    <s v="RC"/>
    <n v="3"/>
    <n v="0"/>
    <s v="旧"/>
    <s v="済"/>
    <x v="1"/>
    <n v="0.77"/>
    <n v="1997"/>
    <n v="2015"/>
    <n v="47"/>
    <s v="C"/>
    <s v="B"/>
    <s v="C"/>
    <s v="D"/>
    <s v="B"/>
    <s v="D"/>
    <s v="D"/>
    <s v="C"/>
    <s v="D"/>
    <s v="D"/>
    <n v="87.169811320754718"/>
    <x v="0"/>
    <x v="0"/>
    <m/>
    <m/>
    <s v="学校施設台帳"/>
    <s v="618"/>
    <s v="G600100"/>
    <x v="3"/>
    <x v="9"/>
  </r>
  <r>
    <s v="158"/>
    <s v="1042"/>
    <s v="西中学校"/>
    <x v="19"/>
    <s v="02"/>
    <s v="校舎2"/>
    <x v="43"/>
    <n v="3"/>
    <x v="43"/>
    <n v="972"/>
    <n v="3156"/>
    <n v="3156"/>
    <s v="単独"/>
    <s v="RC"/>
    <n v="3"/>
    <n v="0"/>
    <s v="旧"/>
    <s v="済"/>
    <x v="1"/>
    <n v="0.79"/>
    <n v="1997"/>
    <m/>
    <n v="47"/>
    <s v="C"/>
    <s v="D"/>
    <s v="C"/>
    <s v="D"/>
    <s v="B"/>
    <s v="D"/>
    <s v="D"/>
    <s v="C"/>
    <s v="B"/>
    <s v="D"/>
    <n v="81.818181818181813"/>
    <x v="0"/>
    <x v="0"/>
    <m/>
    <m/>
    <s v="学校施設台帳"/>
    <s v="618"/>
    <s v="G600100"/>
    <x v="3"/>
    <x v="9"/>
  </r>
  <r>
    <s v="158"/>
    <s v="1042"/>
    <s v="西中学校"/>
    <x v="19"/>
    <s v="03"/>
    <s v="体育館棟"/>
    <x v="10"/>
    <n v="3"/>
    <x v="10"/>
    <n v="840"/>
    <n v="1832"/>
    <n v="1832"/>
    <s v="単独"/>
    <s v="RC"/>
    <n v="3"/>
    <n v="0"/>
    <s v="旧"/>
    <s v="済"/>
    <x v="1"/>
    <n v="0.78"/>
    <n v="2008"/>
    <n v="2015"/>
    <n v="47"/>
    <s v="C"/>
    <s v="B"/>
    <s v="-"/>
    <s v="D"/>
    <s v="B"/>
    <s v="D"/>
    <s v="D"/>
    <s v="C"/>
    <s v="A"/>
    <s v="D"/>
    <n v="73.2"/>
    <x v="0"/>
    <x v="0"/>
    <m/>
    <m/>
    <s v="学校施設台帳"/>
    <s v="618"/>
    <s v="G600100"/>
    <x v="3"/>
    <x v="9"/>
  </r>
  <r>
    <s v="158"/>
    <s v="1042"/>
    <s v="西中学校"/>
    <x v="19"/>
    <s v="04"/>
    <s v="校舎3"/>
    <x v="12"/>
    <n v="8"/>
    <x v="12"/>
    <n v="419"/>
    <n v="1630"/>
    <n v="1630"/>
    <s v="単独"/>
    <s v="RC"/>
    <n v="4"/>
    <n v="0"/>
    <s v="旧"/>
    <s v="済"/>
    <x v="1"/>
    <n v="0.79"/>
    <n v="2010"/>
    <n v="2010"/>
    <n v="47"/>
    <s v="C"/>
    <s v="B"/>
    <s v="B"/>
    <s v="D"/>
    <s v="B"/>
    <s v="D"/>
    <s v="A"/>
    <s v="A"/>
    <s v="A"/>
    <s v="C"/>
    <n v="55.849056603773583"/>
    <x v="0"/>
    <x v="0"/>
    <m/>
    <m/>
    <s v="学校施設台帳"/>
    <s v="618"/>
    <s v="G600100"/>
    <x v="3"/>
    <x v="9"/>
  </r>
  <r>
    <s v="158"/>
    <s v="1042"/>
    <s v="西中学校"/>
    <x v="19"/>
    <s v="05"/>
    <s v="格技棟"/>
    <x v="28"/>
    <n v="3"/>
    <x v="28"/>
    <n v="497"/>
    <n v="896"/>
    <n v="896"/>
    <s v="単独"/>
    <s v="RC"/>
    <n v="2"/>
    <n v="0"/>
    <s v="新"/>
    <s v="-"/>
    <x v="1"/>
    <m/>
    <m/>
    <m/>
    <n v="47"/>
    <s v="B"/>
    <s v="D"/>
    <s v="D"/>
    <s v="D"/>
    <s v="C"/>
    <s v="D"/>
    <s v="A"/>
    <s v="D"/>
    <s v="C"/>
    <s v="D"/>
    <n v="72.399999999999991"/>
    <x v="0"/>
    <x v="0"/>
    <m/>
    <m/>
    <s v="学校施設台帳"/>
    <s v="618"/>
    <s v="G600100"/>
    <x v="3"/>
    <x v="9"/>
  </r>
  <r>
    <s v="158"/>
    <s v="1042"/>
    <s v="西中学校"/>
    <x v="19"/>
    <s v="06"/>
    <s v="EV"/>
    <x v="22"/>
    <n v="9"/>
    <x v="22"/>
    <n v="16"/>
    <n v="48"/>
    <n v="48"/>
    <s v="単独"/>
    <s v="S"/>
    <n v="3"/>
    <n v="0"/>
    <s v="新"/>
    <s v="-"/>
    <x v="1"/>
    <m/>
    <m/>
    <m/>
    <n v="34"/>
    <s v="A"/>
    <s v="B"/>
    <s v="C"/>
    <s v="D"/>
    <s v="B"/>
    <s v="-"/>
    <s v="-"/>
    <s v="-"/>
    <s v="-"/>
    <s v="B"/>
    <n v="46.666666666666664"/>
    <x v="0"/>
    <x v="0"/>
    <m/>
    <m/>
    <s v="学校施設台帳"/>
    <s v="618"/>
    <s v="G600100"/>
    <x v="3"/>
    <x v="9"/>
  </r>
  <r>
    <s v="159"/>
    <s v="1043"/>
    <s v="南中学校"/>
    <x v="19"/>
    <s v="01"/>
    <s v="校舎1"/>
    <x v="56"/>
    <n v="3"/>
    <x v="56"/>
    <n v="350"/>
    <n v="1050"/>
    <n v="1050"/>
    <s v="単独"/>
    <s v="RC"/>
    <n v="3"/>
    <n v="0"/>
    <s v="旧"/>
    <s v="済"/>
    <x v="1"/>
    <n v="0.76"/>
    <n v="1997"/>
    <n v="2014"/>
    <n v="47"/>
    <s v="C"/>
    <s v="A"/>
    <s v="A"/>
    <s v="D"/>
    <s v="A"/>
    <s v="A"/>
    <s v="A"/>
    <s v="A"/>
    <s v="A"/>
    <s v="B"/>
    <n v="43.600000000000009"/>
    <x v="0"/>
    <x v="0"/>
    <m/>
    <m/>
    <s v="学校施設台帳"/>
    <s v="618"/>
    <s v="G600100"/>
    <x v="3"/>
    <x v="9"/>
  </r>
  <r>
    <s v="159"/>
    <s v="1043"/>
    <s v="南中学校"/>
    <x v="19"/>
    <s v="02"/>
    <s v="校舎2"/>
    <x v="56"/>
    <n v="10"/>
    <x v="56"/>
    <n v="219"/>
    <n v="658"/>
    <n v="658"/>
    <s v="単独"/>
    <s v="RC"/>
    <n v="3"/>
    <n v="0"/>
    <s v="旧"/>
    <s v="済"/>
    <x v="1"/>
    <n v="0.77"/>
    <n v="1997"/>
    <n v="2011"/>
    <n v="47"/>
    <s v="C"/>
    <s v="B"/>
    <s v="B"/>
    <s v="D"/>
    <s v="B"/>
    <s v="A"/>
    <s v="A"/>
    <s v="A"/>
    <s v="A"/>
    <s v="C"/>
    <n v="50"/>
    <x v="0"/>
    <x v="0"/>
    <m/>
    <m/>
    <s v="学校施設台帳"/>
    <s v="618"/>
    <s v="G600100"/>
    <x v="3"/>
    <x v="9"/>
  </r>
  <r>
    <s v="159"/>
    <s v="1043"/>
    <s v="南中学校"/>
    <x v="19"/>
    <s v="03"/>
    <s v="体育館棟"/>
    <x v="0"/>
    <n v="3"/>
    <x v="0"/>
    <n v="1097"/>
    <n v="2466"/>
    <n v="2466"/>
    <s v="単独"/>
    <s v="RC"/>
    <n v="3"/>
    <n v="0"/>
    <s v="旧"/>
    <s v="済"/>
    <x v="1"/>
    <n v="0.77"/>
    <n v="2011"/>
    <n v="2011"/>
    <n v="47"/>
    <s v="C"/>
    <s v="B"/>
    <s v="B"/>
    <s v="D"/>
    <s v="B"/>
    <s v="B"/>
    <s v="-"/>
    <s v="A"/>
    <s v="A"/>
    <s v="C"/>
    <n v="50.454545454545453"/>
    <x v="0"/>
    <x v="0"/>
    <m/>
    <m/>
    <s v="学校施設台帳"/>
    <s v="618"/>
    <s v="G600100"/>
    <x v="3"/>
    <x v="9"/>
  </r>
  <r>
    <s v="159"/>
    <s v="1043"/>
    <s v="南中学校"/>
    <x v="19"/>
    <s v="04"/>
    <s v="校舎3"/>
    <x v="1"/>
    <n v="3"/>
    <x v="1"/>
    <n v="685"/>
    <n v="3521"/>
    <n v="3521"/>
    <s v="単独"/>
    <s v="RC"/>
    <n v="6"/>
    <n v="0"/>
    <s v="旧"/>
    <s v="済"/>
    <x v="1"/>
    <n v="0.75"/>
    <n v="2010"/>
    <n v="2010"/>
    <n v="47"/>
    <s v="C"/>
    <s v="B"/>
    <s v="B"/>
    <s v="D"/>
    <s v="B"/>
    <s v="A"/>
    <s v="A"/>
    <s v="A"/>
    <s v="A"/>
    <s v="B"/>
    <n v="47.199999999999996"/>
    <x v="0"/>
    <x v="0"/>
    <m/>
    <m/>
    <s v="学校施設台帳"/>
    <s v="618"/>
    <s v="G600100"/>
    <x v="3"/>
    <x v="9"/>
  </r>
  <r>
    <s v="159"/>
    <s v="1043"/>
    <s v="南中学校"/>
    <x v="19"/>
    <s v="05"/>
    <s v="校舎4"/>
    <x v="12"/>
    <n v="5"/>
    <x v="12"/>
    <n v="414"/>
    <n v="1755"/>
    <n v="1755"/>
    <s v="単独"/>
    <s v="RC"/>
    <n v="5"/>
    <n v="0"/>
    <s v="旧"/>
    <s v="済"/>
    <x v="1"/>
    <n v="0.77"/>
    <n v="2011"/>
    <n v="2011"/>
    <n v="47"/>
    <s v="C"/>
    <s v="B"/>
    <s v="B"/>
    <s v="D"/>
    <s v="B"/>
    <s v="A"/>
    <s v="A"/>
    <s v="A"/>
    <s v="A"/>
    <s v="B"/>
    <n v="45.199999999999996"/>
    <x v="0"/>
    <x v="0"/>
    <m/>
    <m/>
    <s v="学校施設台帳"/>
    <s v="618"/>
    <s v="G600100"/>
    <x v="3"/>
    <x v="9"/>
  </r>
  <r>
    <s v="159"/>
    <s v="1043"/>
    <s v="南中学校"/>
    <x v="19"/>
    <s v="06"/>
    <s v="格技棟"/>
    <x v="39"/>
    <n v="5"/>
    <x v="39"/>
    <n v="390"/>
    <n v="780"/>
    <n v="780"/>
    <s v="単独"/>
    <s v="RC"/>
    <n v="2"/>
    <n v="0"/>
    <s v="新"/>
    <s v="-"/>
    <x v="1"/>
    <m/>
    <m/>
    <m/>
    <n v="47"/>
    <s v="B"/>
    <s v="D"/>
    <s v="D"/>
    <s v="D"/>
    <s v="D"/>
    <s v="D"/>
    <s v="A"/>
    <s v="D"/>
    <s v="A"/>
    <s v="C"/>
    <n v="63.6"/>
    <x v="0"/>
    <x v="0"/>
    <m/>
    <m/>
    <s v="学校施設台帳"/>
    <s v="618"/>
    <s v="G600100"/>
    <x v="3"/>
    <x v="9"/>
  </r>
  <r>
    <s v="159"/>
    <s v="1043"/>
    <s v="南中学校"/>
    <x v="19"/>
    <s v="07"/>
    <s v="EV"/>
    <x v="17"/>
    <n v="8"/>
    <x v="17"/>
    <n v="14"/>
    <n v="70"/>
    <n v="70"/>
    <s v="単独"/>
    <s v="S"/>
    <n v="5"/>
    <n v="0"/>
    <s v="新"/>
    <s v="-"/>
    <x v="1"/>
    <m/>
    <m/>
    <m/>
    <n v="34"/>
    <s v="A"/>
    <s v="C"/>
    <s v="C"/>
    <s v="D"/>
    <s v="C"/>
    <s v="-"/>
    <s v="-"/>
    <s v="-"/>
    <s v="-"/>
    <s v="C"/>
    <n v="58.000000000000007"/>
    <x v="0"/>
    <x v="0"/>
    <m/>
    <m/>
    <s v="学校施設台帳"/>
    <s v="618"/>
    <s v="G600100"/>
    <x v="3"/>
    <x v="9"/>
  </r>
  <r>
    <s v="159"/>
    <s v="1043"/>
    <s v="南中学校"/>
    <x v="19"/>
    <s v="08"/>
    <s v="校舎5"/>
    <x v="55"/>
    <n v="3"/>
    <x v="55"/>
    <m/>
    <n v="142"/>
    <n v="142"/>
    <s v="単独"/>
    <s v="RC"/>
    <n v="1"/>
    <n v="0"/>
    <s v="旧"/>
    <m/>
    <x v="2"/>
    <m/>
    <m/>
    <m/>
    <n v="47"/>
    <s v="C"/>
    <s v="B"/>
    <s v="D"/>
    <s v="D"/>
    <s v="B"/>
    <s v="B"/>
    <s v="-"/>
    <s v="D"/>
    <s v="D"/>
    <s v="D"/>
    <n v="78.63636363636364"/>
    <x v="0"/>
    <x v="0"/>
    <m/>
    <m/>
    <s v="学校施設台帳"/>
    <s v="618"/>
    <s v="G600100"/>
    <x v="3"/>
    <x v="9"/>
  </r>
  <r>
    <s v="160"/>
    <s v="1044"/>
    <s v="北中学校"/>
    <x v="19"/>
    <s v="01"/>
    <s v="校舎1"/>
    <x v="56"/>
    <n v="3"/>
    <x v="56"/>
    <n v="310"/>
    <n v="930"/>
    <n v="930"/>
    <s v="単独"/>
    <s v="RC"/>
    <n v="3"/>
    <n v="0"/>
    <s v="旧"/>
    <s v="済"/>
    <x v="1"/>
    <n v="0.77"/>
    <n v="1995"/>
    <m/>
    <n v="47"/>
    <s v="C"/>
    <s v="A"/>
    <s v="B"/>
    <s v="B"/>
    <s v="D"/>
    <s v="C"/>
    <s v="D"/>
    <s v="D"/>
    <s v="D"/>
    <s v="D"/>
    <n v="75.2"/>
    <x v="0"/>
    <x v="0"/>
    <m/>
    <m/>
    <s v="学校施設台帳"/>
    <s v="618"/>
    <s v="G600100"/>
    <x v="3"/>
    <x v="9"/>
  </r>
  <r>
    <s v="160"/>
    <s v="1044"/>
    <s v="北中学校"/>
    <x v="19"/>
    <s v="02"/>
    <s v="校舎2"/>
    <x v="42"/>
    <n v="10"/>
    <x v="42"/>
    <n v="590"/>
    <n v="1802"/>
    <n v="1802"/>
    <s v="単独"/>
    <s v="RC"/>
    <n v="3"/>
    <n v="0"/>
    <s v="旧"/>
    <s v="済"/>
    <x v="1"/>
    <n v="0.76"/>
    <n v="2006"/>
    <m/>
    <n v="47"/>
    <s v="C"/>
    <s v="B"/>
    <s v="B"/>
    <s v="B"/>
    <s v="D"/>
    <s v="C"/>
    <s v="D"/>
    <s v="D"/>
    <s v="A"/>
    <s v="C"/>
    <n v="67.599999999999994"/>
    <x v="0"/>
    <x v="0"/>
    <m/>
    <m/>
    <s v="学校施設台帳"/>
    <s v="618"/>
    <s v="G600100"/>
    <x v="3"/>
    <x v="9"/>
  </r>
  <r>
    <s v="160"/>
    <s v="1044"/>
    <s v="北中学校"/>
    <x v="19"/>
    <s v="03"/>
    <s v="体育館"/>
    <x v="43"/>
    <n v="3"/>
    <x v="43"/>
    <n v="936"/>
    <n v="936"/>
    <n v="936"/>
    <s v="単独"/>
    <s v="RC"/>
    <n v="1"/>
    <n v="0"/>
    <s v="旧"/>
    <s v="済"/>
    <x v="1"/>
    <n v="0.79"/>
    <n v="2006"/>
    <m/>
    <n v="47"/>
    <s v="C"/>
    <s v="D"/>
    <s v="C"/>
    <s v="B"/>
    <s v="D"/>
    <s v="-"/>
    <s v="D"/>
    <s v="D"/>
    <s v="D"/>
    <s v="D"/>
    <n v="85.106382978723403"/>
    <x v="0"/>
    <x v="0"/>
    <m/>
    <m/>
    <s v="学校施設台帳"/>
    <s v="618"/>
    <s v="G600100"/>
    <x v="3"/>
    <x v="9"/>
  </r>
  <r>
    <s v="160"/>
    <s v="1044"/>
    <s v="北中学校"/>
    <x v="19"/>
    <s v="04"/>
    <s v="格技棟"/>
    <x v="36"/>
    <n v="3"/>
    <x v="36"/>
    <n v="360"/>
    <n v="720"/>
    <n v="720"/>
    <s v="単独"/>
    <s v="RC"/>
    <n v="2"/>
    <n v="0"/>
    <s v="新"/>
    <s v="-"/>
    <x v="1"/>
    <m/>
    <m/>
    <m/>
    <n v="47"/>
    <s v="B"/>
    <s v="D"/>
    <s v="D"/>
    <s v="B"/>
    <s v="D"/>
    <s v="-"/>
    <s v="D"/>
    <s v="D"/>
    <s v="C"/>
    <s v="D"/>
    <n v="75.744680851063833"/>
    <x v="0"/>
    <x v="0"/>
    <m/>
    <m/>
    <s v="学校施設台帳"/>
    <s v="618"/>
    <s v="G600100"/>
    <x v="3"/>
    <x v="9"/>
  </r>
  <r>
    <s v="160"/>
    <s v="1044"/>
    <s v="北中学校"/>
    <x v="19"/>
    <s v="05"/>
    <s v="校舎3"/>
    <x v="6"/>
    <n v="3"/>
    <x v="6"/>
    <n v="940"/>
    <n v="3223"/>
    <n v="3223"/>
    <s v="単独"/>
    <s v="RC"/>
    <n v="4"/>
    <n v="0"/>
    <s v="旧"/>
    <s v="済"/>
    <x v="1"/>
    <n v="0.75"/>
    <n v="2005"/>
    <m/>
    <n v="47"/>
    <s v="C"/>
    <s v="B"/>
    <s v="A"/>
    <s v="B"/>
    <s v="D"/>
    <s v="C"/>
    <s v="D"/>
    <s v="D"/>
    <s v="B"/>
    <s v="C"/>
    <n v="64.8"/>
    <x v="0"/>
    <x v="0"/>
    <m/>
    <m/>
    <s v="学校施設台帳"/>
    <s v="618"/>
    <s v="G600100"/>
    <x v="3"/>
    <x v="9"/>
  </r>
  <r>
    <s v="160"/>
    <s v="1044"/>
    <s v="北中学校"/>
    <x v="19"/>
    <s v="06"/>
    <s v="校舎4"/>
    <x v="9"/>
    <n v="3"/>
    <x v="9"/>
    <n v="115"/>
    <n v="520"/>
    <n v="520"/>
    <s v="単独"/>
    <s v="RC"/>
    <n v="4"/>
    <n v="0"/>
    <s v="新"/>
    <s v="-"/>
    <x v="1"/>
    <m/>
    <m/>
    <m/>
    <n v="47"/>
    <s v="B"/>
    <s v="D"/>
    <s v="A"/>
    <s v="B"/>
    <s v="D"/>
    <s v="C"/>
    <s v="D"/>
    <s v="D"/>
    <s v="D"/>
    <s v="D"/>
    <n v="72"/>
    <x v="0"/>
    <x v="0"/>
    <m/>
    <m/>
    <s v="学校施設台帳"/>
    <s v="618"/>
    <s v="G600100"/>
    <x v="3"/>
    <x v="9"/>
  </r>
  <r>
    <s v="160"/>
    <s v="1044"/>
    <s v="北中学校"/>
    <x v="19"/>
    <s v="07"/>
    <s v="渡廊下"/>
    <x v="0"/>
    <n v="3"/>
    <x v="0"/>
    <n v="69"/>
    <n v="137"/>
    <n v="137"/>
    <s v="単独"/>
    <s v="RC"/>
    <n v="3"/>
    <n v="0"/>
    <s v="旧"/>
    <s v="済"/>
    <x v="1"/>
    <n v="0.74"/>
    <m/>
    <m/>
    <n v="47"/>
    <s v="C"/>
    <s v="B"/>
    <s v="B"/>
    <s v="B"/>
    <s v="D"/>
    <s v="-"/>
    <s v="-"/>
    <s v="-"/>
    <s v="-"/>
    <s v="C"/>
    <n v="62"/>
    <x v="0"/>
    <x v="0"/>
    <m/>
    <m/>
    <s v="学校施設台帳"/>
    <s v="618"/>
    <s v="G600100"/>
    <x v="3"/>
    <x v="9"/>
  </r>
  <r>
    <s v="160"/>
    <s v="1044"/>
    <s v="北中学校"/>
    <x v="19"/>
    <s v="08"/>
    <s v="校舎5"/>
    <x v="26"/>
    <n v="3"/>
    <x v="26"/>
    <n v="393"/>
    <n v="412"/>
    <n v="412"/>
    <s v="単独"/>
    <s v="RC"/>
    <n v="2"/>
    <n v="0"/>
    <s v="旧"/>
    <s v="済"/>
    <x v="1"/>
    <n v="1.61"/>
    <m/>
    <m/>
    <n v="47"/>
    <s v="B"/>
    <s v="B"/>
    <s v="B"/>
    <s v="B"/>
    <s v="D"/>
    <s v="C"/>
    <s v="D"/>
    <s v="D"/>
    <s v="A"/>
    <s v="C"/>
    <n v="60"/>
    <x v="0"/>
    <x v="0"/>
    <m/>
    <m/>
    <s v="学校施設台帳"/>
    <s v="618"/>
    <s v="G600100"/>
    <x v="3"/>
    <x v="9"/>
  </r>
  <r>
    <s v="160"/>
    <s v="1044"/>
    <s v="北中学校"/>
    <x v="19"/>
    <s v="09"/>
    <s v="機械室"/>
    <x v="1"/>
    <n v="10"/>
    <x v="1"/>
    <n v="24"/>
    <n v="24"/>
    <n v="24"/>
    <s v="単独"/>
    <s v="RC"/>
    <n v="1"/>
    <n v="0"/>
    <s v="旧"/>
    <m/>
    <x v="2"/>
    <m/>
    <m/>
    <m/>
    <n v="38"/>
    <s v="C"/>
    <s v="D"/>
    <s v="B"/>
    <s v="B"/>
    <s v="D"/>
    <s v="-"/>
    <s v="-"/>
    <s v="-"/>
    <s v="-"/>
    <s v="C"/>
    <n v="67.333333333333329"/>
    <x v="0"/>
    <x v="0"/>
    <m/>
    <m/>
    <s v="学校施設台帳"/>
    <s v="618"/>
    <s v="G600100"/>
    <x v="3"/>
    <x v="9"/>
  </r>
  <r>
    <s v="160"/>
    <s v="1044"/>
    <s v="北中学校"/>
    <x v="19"/>
    <s v="10"/>
    <s v="EV"/>
    <x v="21"/>
    <n v="8"/>
    <x v="21"/>
    <n v="13"/>
    <n v="50"/>
    <n v="50"/>
    <s v="単独"/>
    <s v="S"/>
    <n v="4"/>
    <n v="0"/>
    <s v="新"/>
    <s v="-"/>
    <x v="1"/>
    <m/>
    <m/>
    <m/>
    <n v="34"/>
    <s v="A"/>
    <s v="C"/>
    <s v="C"/>
    <s v="B"/>
    <s v="C"/>
    <s v="-"/>
    <s v="-"/>
    <s v="-"/>
    <s v="-"/>
    <s v="B"/>
    <n v="38.666666666666671"/>
    <x v="0"/>
    <x v="0"/>
    <m/>
    <m/>
    <s v="学校施設台帳"/>
    <s v="618"/>
    <s v="G600100"/>
    <x v="3"/>
    <x v="9"/>
  </r>
  <r>
    <s v="160"/>
    <s v="1044"/>
    <s v="北中学校"/>
    <x v="19"/>
    <s v="11"/>
    <s v="便所"/>
    <x v="43"/>
    <n v="10"/>
    <x v="43"/>
    <m/>
    <n v="15"/>
    <n v="15"/>
    <s v="単独"/>
    <s v="W"/>
    <n v="1"/>
    <n v="0"/>
    <s v="旧"/>
    <m/>
    <x v="2"/>
    <m/>
    <m/>
    <m/>
    <n v="15"/>
    <s v="D"/>
    <s v="D"/>
    <s v="D"/>
    <s v="B"/>
    <s v="C"/>
    <s v="-"/>
    <s v="-"/>
    <s v="D"/>
    <s v="D"/>
    <s v="D"/>
    <n v="85.975609756097555"/>
    <x v="0"/>
    <x v="0"/>
    <m/>
    <m/>
    <s v="学校施設台帳"/>
    <s v="618"/>
    <s v="G600100"/>
    <x v="3"/>
    <x v="9"/>
  </r>
  <r>
    <s v="160"/>
    <s v="1044"/>
    <s v="北中学校"/>
    <x v="19"/>
    <s v="12"/>
    <s v="倉庫"/>
    <x v="2"/>
    <n v="3"/>
    <x v="2"/>
    <m/>
    <n v="78"/>
    <n v="78"/>
    <s v="単独"/>
    <s v="S"/>
    <n v="1"/>
    <n v="0"/>
    <s v="新"/>
    <s v="-"/>
    <x v="1"/>
    <m/>
    <m/>
    <m/>
    <n v="31"/>
    <m/>
    <m/>
    <m/>
    <m/>
    <m/>
    <m/>
    <m/>
    <m/>
    <m/>
    <s v="-"/>
    <m/>
    <x v="0"/>
    <x v="1"/>
    <d v="2016-10-01T00:00:00"/>
    <m/>
    <s v="学校施設台帳"/>
    <s v="618"/>
    <s v="G600100"/>
    <x v="3"/>
    <x v="9"/>
  </r>
  <r>
    <s v="161"/>
    <s v="1045"/>
    <s v="天王寺川中学校"/>
    <x v="19"/>
    <s v="01"/>
    <s v="校舎1"/>
    <x v="10"/>
    <n v="3"/>
    <x v="10"/>
    <n v="681"/>
    <n v="2825"/>
    <n v="2825"/>
    <s v="単独"/>
    <s v="RC"/>
    <n v="5"/>
    <n v="0"/>
    <s v="旧"/>
    <s v="済"/>
    <x v="1"/>
    <n v="0.76"/>
    <n v="1997"/>
    <m/>
    <n v="47"/>
    <s v="C"/>
    <s v="B"/>
    <s v="A"/>
    <s v="A"/>
    <s v="D"/>
    <s v="C"/>
    <s v="A"/>
    <s v="D"/>
    <s v="A"/>
    <s v="C"/>
    <n v="55.849056603773583"/>
    <x v="0"/>
    <x v="0"/>
    <m/>
    <m/>
    <s v="学校施設台帳"/>
    <s v="618"/>
    <s v="G600100"/>
    <x v="3"/>
    <x v="9"/>
  </r>
  <r>
    <s v="161"/>
    <s v="1045"/>
    <s v="天王寺川中学校"/>
    <x v="19"/>
    <s v="02"/>
    <s v="渡廊下"/>
    <x v="10"/>
    <n v="6"/>
    <x v="10"/>
    <n v="223"/>
    <n v="611"/>
    <n v="611"/>
    <s v="単独"/>
    <s v="RC"/>
    <n v="4"/>
    <n v="0"/>
    <s v="旧"/>
    <s v="済"/>
    <x v="1"/>
    <n v="0.71"/>
    <n v="2010"/>
    <n v="2010"/>
    <n v="47"/>
    <s v="C"/>
    <s v="B"/>
    <s v="B"/>
    <s v="A"/>
    <s v="B"/>
    <s v="-"/>
    <s v="A"/>
    <s v="A"/>
    <s v="A"/>
    <s v="B"/>
    <n v="40.851063829787236"/>
    <x v="0"/>
    <x v="0"/>
    <m/>
    <m/>
    <s v="学校施設台帳"/>
    <s v="618"/>
    <s v="G600100"/>
    <x v="3"/>
    <x v="9"/>
  </r>
  <r>
    <s v="161"/>
    <s v="1045"/>
    <s v="天王寺川中学校"/>
    <x v="19"/>
    <s v="03"/>
    <s v="校舎2"/>
    <x v="10"/>
    <n v="6"/>
    <x v="10"/>
    <n v="955"/>
    <n v="3938"/>
    <n v="3938"/>
    <s v="単独"/>
    <s v="RC"/>
    <n v="5"/>
    <n v="0"/>
    <s v="旧"/>
    <s v="済"/>
    <x v="1"/>
    <n v="0.78"/>
    <n v="1997"/>
    <m/>
    <n v="47"/>
    <s v="C"/>
    <s v="B"/>
    <s v="A"/>
    <s v="A"/>
    <s v="D"/>
    <s v="C"/>
    <s v="A"/>
    <s v="D"/>
    <s v="A"/>
    <s v="C"/>
    <n v="56.981132075471699"/>
    <x v="0"/>
    <x v="0"/>
    <m/>
    <m/>
    <s v="学校施設台帳"/>
    <s v="618"/>
    <s v="G600100"/>
    <x v="3"/>
    <x v="9"/>
  </r>
  <r>
    <s v="161"/>
    <s v="1045"/>
    <s v="天王寺川中学校"/>
    <x v="19"/>
    <s v="04"/>
    <s v="体育館棟"/>
    <x v="10"/>
    <n v="7"/>
    <x v="10"/>
    <n v="800"/>
    <n v="1672"/>
    <n v="1672"/>
    <s v="単独"/>
    <s v="RC"/>
    <n v="3"/>
    <n v="0"/>
    <s v="旧"/>
    <s v="済"/>
    <x v="1"/>
    <n v="0.8"/>
    <n v="2009"/>
    <n v="2009"/>
    <n v="47"/>
    <s v="C"/>
    <s v="B"/>
    <s v="B"/>
    <s v="A"/>
    <s v="B"/>
    <s v="D"/>
    <s v="A"/>
    <s v="B"/>
    <s v="A"/>
    <s v="B"/>
    <n v="46.4"/>
    <x v="0"/>
    <x v="0"/>
    <m/>
    <m/>
    <s v="学校施設台帳"/>
    <s v="618"/>
    <s v="G600100"/>
    <x v="3"/>
    <x v="9"/>
  </r>
  <r>
    <s v="161"/>
    <s v="1045"/>
    <s v="天王寺川中学校"/>
    <x v="19"/>
    <s v="05"/>
    <s v="校舎3"/>
    <x v="0"/>
    <n v="3"/>
    <x v="0"/>
    <n v="378"/>
    <n v="378"/>
    <n v="378"/>
    <s v="単独"/>
    <s v="S"/>
    <n v="1"/>
    <n v="0"/>
    <s v="旧"/>
    <s v="済"/>
    <x v="1"/>
    <n v="0.78"/>
    <n v="2010"/>
    <n v="2010"/>
    <n v="34"/>
    <s v="C"/>
    <s v="B"/>
    <s v="B"/>
    <s v="A"/>
    <s v="D"/>
    <s v="C"/>
    <s v="A"/>
    <s v="D"/>
    <s v="A"/>
    <s v="C"/>
    <n v="54.400000000000006"/>
    <x v="0"/>
    <x v="0"/>
    <m/>
    <m/>
    <s v="学校施設台帳"/>
    <s v="618"/>
    <s v="G600100"/>
    <x v="3"/>
    <x v="9"/>
  </r>
  <r>
    <s v="161"/>
    <s v="1045"/>
    <s v="天王寺川中学校"/>
    <x v="19"/>
    <s v="06"/>
    <s v="下足棟"/>
    <x v="9"/>
    <n v="3"/>
    <x v="9"/>
    <n v="147"/>
    <n v="147"/>
    <n v="147"/>
    <s v="単独"/>
    <s v="S"/>
    <n v="1"/>
    <n v="0"/>
    <s v="新"/>
    <s v="-"/>
    <x v="1"/>
    <m/>
    <m/>
    <n v="2010"/>
    <n v="34"/>
    <s v="B"/>
    <s v="B"/>
    <s v="B"/>
    <s v="A"/>
    <s v="D"/>
    <s v="-"/>
    <s v="-"/>
    <s v="-"/>
    <s v="-"/>
    <s v="B"/>
    <n v="48.666666666666671"/>
    <x v="0"/>
    <x v="0"/>
    <m/>
    <m/>
    <s v="学校施設台帳"/>
    <s v="618"/>
    <s v="G600100"/>
    <x v="3"/>
    <x v="9"/>
  </r>
  <r>
    <s v="161"/>
    <s v="1045"/>
    <s v="天王寺川中学校"/>
    <x v="19"/>
    <s v="07"/>
    <s v="格技棟"/>
    <x v="35"/>
    <n v="3"/>
    <x v="35"/>
    <n v="370"/>
    <n v="739"/>
    <n v="739"/>
    <s v="単独"/>
    <s v="RC"/>
    <n v="2"/>
    <n v="0"/>
    <s v="新"/>
    <s v="-"/>
    <x v="1"/>
    <m/>
    <m/>
    <m/>
    <n v="47"/>
    <s v="B"/>
    <s v="D"/>
    <s v="D"/>
    <s v="A"/>
    <s v="D"/>
    <s v="D"/>
    <s v="A"/>
    <s v="D"/>
    <s v="C"/>
    <s v="C"/>
    <n v="65.999999999999986"/>
    <x v="0"/>
    <x v="0"/>
    <m/>
    <m/>
    <s v="学校施設台帳"/>
    <s v="618"/>
    <s v="G600100"/>
    <x v="3"/>
    <x v="9"/>
  </r>
  <r>
    <s v="161"/>
    <s v="1045"/>
    <s v="天王寺川中学校"/>
    <x v="19"/>
    <s v="08"/>
    <s v="EV"/>
    <x v="19"/>
    <n v="10"/>
    <x v="19"/>
    <n v="17"/>
    <n v="68"/>
    <n v="68"/>
    <s v="単独"/>
    <s v="S"/>
    <n v="4"/>
    <n v="0"/>
    <s v="新"/>
    <s v="-"/>
    <x v="1"/>
    <m/>
    <m/>
    <m/>
    <n v="34"/>
    <s v="A"/>
    <s v="B"/>
    <s v="C"/>
    <s v="A"/>
    <s v="B"/>
    <s v="-"/>
    <s v="-"/>
    <s v="-"/>
    <s v="-"/>
    <s v="B"/>
    <n v="34"/>
    <x v="0"/>
    <x v="0"/>
    <m/>
    <m/>
    <s v="学校施設台帳"/>
    <s v="618"/>
    <s v="G600100"/>
    <x v="3"/>
    <x v="9"/>
  </r>
  <r>
    <s v="161"/>
    <s v="1045"/>
    <s v="天王寺川中学校"/>
    <x v="19"/>
    <s v="09"/>
    <s v="プール付属室"/>
    <x v="20"/>
    <n v="3"/>
    <x v="20"/>
    <m/>
    <n v="83"/>
    <n v="83"/>
    <s v="単独"/>
    <s v="S"/>
    <n v="1"/>
    <n v="0"/>
    <s v="新"/>
    <s v="-"/>
    <x v="1"/>
    <m/>
    <m/>
    <n v="2015"/>
    <n v="31"/>
    <s v="A"/>
    <s v="A"/>
    <s v="A"/>
    <s v="A"/>
    <s v="A"/>
    <s v="-"/>
    <s v="-"/>
    <s v="A"/>
    <s v="A"/>
    <s v="A"/>
    <n v="12.195121951219512"/>
    <x v="0"/>
    <x v="0"/>
    <m/>
    <m/>
    <s v="学校施設台帳"/>
    <s v="618"/>
    <s v="G600100"/>
    <x v="3"/>
    <x v="9"/>
  </r>
  <r>
    <s v="162"/>
    <s v="1046"/>
    <s v="松崎中学校"/>
    <x v="19"/>
    <s v="01"/>
    <s v="校舎1"/>
    <x v="13"/>
    <n v="5"/>
    <x v="13"/>
    <n v="556"/>
    <n v="2912"/>
    <n v="2912"/>
    <s v="単独"/>
    <s v="RC"/>
    <n v="6"/>
    <n v="0"/>
    <s v="旧"/>
    <s v="済"/>
    <x v="1"/>
    <n v="0.73"/>
    <n v="2004"/>
    <n v="2004"/>
    <n v="47"/>
    <s v="C"/>
    <s v="C"/>
    <s v="C"/>
    <s v="B"/>
    <s v="C"/>
    <s v="B"/>
    <s v="B"/>
    <s v="B"/>
    <s v="B"/>
    <s v="C"/>
    <n v="57.358490566037737"/>
    <x v="0"/>
    <x v="0"/>
    <m/>
    <m/>
    <s v="学校施設台帳"/>
    <s v="618"/>
    <s v="G600100"/>
    <x v="3"/>
    <x v="9"/>
  </r>
  <r>
    <s v="162"/>
    <s v="1046"/>
    <s v="松崎中学校"/>
    <x v="19"/>
    <s v="02"/>
    <s v="校舎2"/>
    <x v="13"/>
    <n v="5"/>
    <x v="13"/>
    <n v="677"/>
    <n v="3583"/>
    <n v="3583"/>
    <s v="単独"/>
    <s v="RC"/>
    <n v="6"/>
    <n v="0"/>
    <s v="旧"/>
    <s v="済"/>
    <x v="1"/>
    <n v="0.71"/>
    <n v="2003"/>
    <n v="2003"/>
    <n v="47"/>
    <s v="C"/>
    <s v="C"/>
    <s v="C"/>
    <s v="B"/>
    <s v="C"/>
    <s v="D"/>
    <s v="B"/>
    <s v="B"/>
    <s v="B"/>
    <s v="C"/>
    <n v="62.8"/>
    <x v="0"/>
    <x v="0"/>
    <m/>
    <m/>
    <s v="学校施設台帳"/>
    <s v="618"/>
    <s v="G600100"/>
    <x v="3"/>
    <x v="9"/>
  </r>
  <r>
    <s v="162"/>
    <s v="1046"/>
    <s v="松崎中学校"/>
    <x v="19"/>
    <s v="03"/>
    <s v="体育館棟"/>
    <x v="13"/>
    <n v="5"/>
    <x v="13"/>
    <n v="968"/>
    <n v="2093"/>
    <n v="2093"/>
    <s v="単独"/>
    <s v="RC"/>
    <n v="3"/>
    <n v="0"/>
    <s v="旧"/>
    <s v="済"/>
    <x v="1"/>
    <n v="0.7"/>
    <n v="2004"/>
    <n v="2004"/>
    <n v="47"/>
    <s v="C"/>
    <s v="C"/>
    <s v="C"/>
    <s v="B"/>
    <s v="C"/>
    <s v="D"/>
    <s v="-"/>
    <s v="B"/>
    <s v="B"/>
    <s v="C"/>
    <n v="62.27272727272728"/>
    <x v="0"/>
    <x v="0"/>
    <m/>
    <m/>
    <s v="学校施設台帳"/>
    <s v="618"/>
    <s v="G600100"/>
    <x v="3"/>
    <x v="9"/>
  </r>
  <r>
    <s v="162"/>
    <s v="1046"/>
    <s v="松崎中学校"/>
    <x v="19"/>
    <s v="04"/>
    <s v="校舎3"/>
    <x v="46"/>
    <n v="3"/>
    <x v="46"/>
    <n v="179"/>
    <n v="516"/>
    <n v="516"/>
    <s v="単独"/>
    <s v="RC"/>
    <n v="3"/>
    <n v="0"/>
    <s v="新"/>
    <s v="-"/>
    <x v="1"/>
    <n v="1.26"/>
    <n v="2003"/>
    <n v="2003"/>
    <n v="47"/>
    <s v="B"/>
    <s v="C"/>
    <s v="C"/>
    <s v="B"/>
    <s v="C"/>
    <s v="D"/>
    <s v="B"/>
    <s v="B"/>
    <s v="B"/>
    <s v="C"/>
    <n v="58.000000000000007"/>
    <x v="0"/>
    <x v="0"/>
    <m/>
    <m/>
    <s v="学校施設台帳"/>
    <s v="618"/>
    <s v="G600100"/>
    <x v="3"/>
    <x v="9"/>
  </r>
  <r>
    <s v="162"/>
    <s v="1046"/>
    <s v="松崎中学校"/>
    <x v="19"/>
    <s v="05"/>
    <s v="格技棟"/>
    <x v="11"/>
    <n v="3"/>
    <x v="11"/>
    <n v="384"/>
    <n v="384"/>
    <n v="384"/>
    <s v="単独"/>
    <s v="RC"/>
    <n v="1"/>
    <n v="0"/>
    <s v="新"/>
    <s v="-"/>
    <x v="1"/>
    <m/>
    <m/>
    <n v="2003"/>
    <n v="47"/>
    <s v="B"/>
    <s v="D"/>
    <s v="C"/>
    <s v="B"/>
    <s v="D"/>
    <s v="-"/>
    <s v="-"/>
    <s v="-"/>
    <s v="-"/>
    <s v="C"/>
    <n v="68.125"/>
    <x v="0"/>
    <x v="0"/>
    <m/>
    <m/>
    <s v="学校施設台帳"/>
    <s v="618"/>
    <s v="G600100"/>
    <x v="3"/>
    <x v="9"/>
  </r>
  <r>
    <s v="162"/>
    <s v="1046"/>
    <s v="松崎中学校"/>
    <x v="19"/>
    <s v="06"/>
    <s v="部室棟"/>
    <x v="50"/>
    <n v="8"/>
    <x v="50"/>
    <n v="187"/>
    <n v="378"/>
    <n v="378"/>
    <s v="単独"/>
    <s v="RC"/>
    <n v="2"/>
    <n v="0"/>
    <s v="新"/>
    <s v="-"/>
    <x v="1"/>
    <m/>
    <m/>
    <m/>
    <n v="47"/>
    <s v="B"/>
    <s v="D"/>
    <s v="D"/>
    <s v="B"/>
    <s v="D"/>
    <s v="D"/>
    <s v="B"/>
    <s v="C"/>
    <s v="C"/>
    <s v="C"/>
    <n v="68.399999999999991"/>
    <x v="0"/>
    <x v="0"/>
    <m/>
    <m/>
    <s v="学校施設台帳"/>
    <s v="618"/>
    <s v="G600100"/>
    <x v="3"/>
    <x v="9"/>
  </r>
  <r>
    <s v="162"/>
    <s v="1046"/>
    <s v="松崎中学校"/>
    <x v="19"/>
    <s v="07"/>
    <s v="EV"/>
    <x v="17"/>
    <n v="9"/>
    <x v="17"/>
    <n v="13"/>
    <n v="60"/>
    <n v="60"/>
    <s v="単独"/>
    <s v="S"/>
    <n v="5"/>
    <n v="0"/>
    <s v="新"/>
    <s v="-"/>
    <x v="1"/>
    <m/>
    <m/>
    <m/>
    <n v="34"/>
    <s v="A"/>
    <s v="C"/>
    <s v="C"/>
    <s v="B"/>
    <s v="C"/>
    <s v="-"/>
    <s v="-"/>
    <s v="-"/>
    <s v="-"/>
    <s v="B"/>
    <n v="48"/>
    <x v="0"/>
    <x v="0"/>
    <m/>
    <m/>
    <s v="学校施設台帳"/>
    <s v="618"/>
    <s v="G600100"/>
    <x v="3"/>
    <x v="9"/>
  </r>
  <r>
    <s v="162"/>
    <s v="1046"/>
    <s v="松崎中学校"/>
    <x v="19"/>
    <s v="08"/>
    <s v="校舎4"/>
    <x v="4"/>
    <n v="9"/>
    <x v="4"/>
    <n v="14"/>
    <n v="71"/>
    <n v="71"/>
    <s v="単独"/>
    <s v="S"/>
    <n v="5"/>
    <n v="0"/>
    <s v="新"/>
    <s v="-"/>
    <x v="1"/>
    <m/>
    <m/>
    <m/>
    <n v="34"/>
    <s v="A"/>
    <s v="C"/>
    <s v="C"/>
    <s v="B"/>
    <s v="C"/>
    <s v="-"/>
    <s v="B"/>
    <s v="B"/>
    <s v="B"/>
    <s v="B"/>
    <n v="45.531914893617021"/>
    <x v="0"/>
    <x v="0"/>
    <m/>
    <m/>
    <s v="学校施設台帳"/>
    <s v="618"/>
    <s v="G600100"/>
    <x v="3"/>
    <x v="9"/>
  </r>
  <r>
    <s v="162"/>
    <s v="1046"/>
    <s v="松崎中学校"/>
    <x v="19"/>
    <s v="09"/>
    <s v="倉庫"/>
    <x v="13"/>
    <n v="5"/>
    <x v="13"/>
    <m/>
    <n v="23"/>
    <n v="23"/>
    <s v="単独"/>
    <s v="S"/>
    <n v="1"/>
    <n v="0"/>
    <s v="旧"/>
    <m/>
    <x v="2"/>
    <m/>
    <m/>
    <m/>
    <n v="31"/>
    <s v="C"/>
    <s v="A"/>
    <s v="A"/>
    <s v="B"/>
    <s v="A"/>
    <s v="-"/>
    <s v="-"/>
    <s v="-"/>
    <s v="-"/>
    <s v="B"/>
    <n v="43.999999999999993"/>
    <x v="0"/>
    <x v="0"/>
    <m/>
    <m/>
    <s v="学校施設台帳"/>
    <s v="618"/>
    <s v="G600100"/>
    <x v="3"/>
    <x v="9"/>
  </r>
  <r>
    <s v="162"/>
    <s v="1046"/>
    <s v="松崎中学校"/>
    <x v="19"/>
    <s v="10"/>
    <s v="倉庫"/>
    <x v="20"/>
    <n v="3"/>
    <x v="20"/>
    <m/>
    <n v="45"/>
    <n v="45"/>
    <s v="単独"/>
    <s v="S"/>
    <n v="1"/>
    <n v="0"/>
    <s v="新"/>
    <s v="-"/>
    <x v="1"/>
    <m/>
    <m/>
    <m/>
    <n v="31"/>
    <s v="A"/>
    <s v="A"/>
    <s v="A"/>
    <s v="B"/>
    <s v="A"/>
    <s v="-"/>
    <s v="-"/>
    <s v="-"/>
    <s v="-"/>
    <s v="A"/>
    <n v="18.000000000000004"/>
    <x v="0"/>
    <x v="0"/>
    <m/>
    <m/>
    <s v="学校施設台帳"/>
    <s v="618"/>
    <s v="G600100"/>
    <x v="3"/>
    <x v="9"/>
  </r>
  <r>
    <s v="162"/>
    <s v="1046"/>
    <s v="松崎中学校"/>
    <x v="19"/>
    <s v="11"/>
    <s v="プール付属室"/>
    <x v="20"/>
    <n v="3"/>
    <x v="20"/>
    <m/>
    <n v="87"/>
    <n v="87"/>
    <s v="単独"/>
    <s v="S"/>
    <n v="1"/>
    <n v="0"/>
    <s v="新"/>
    <s v="-"/>
    <x v="1"/>
    <m/>
    <m/>
    <n v="2015"/>
    <n v="31"/>
    <s v="A"/>
    <s v="A"/>
    <s v="A"/>
    <s v="B"/>
    <s v="A"/>
    <s v="-"/>
    <s v="-"/>
    <s v="A"/>
    <s v="A"/>
    <s v="A"/>
    <n v="16.09756097560976"/>
    <x v="0"/>
    <x v="0"/>
    <m/>
    <m/>
    <s v="学校施設台帳"/>
    <s v="618"/>
    <s v="G600100"/>
    <x v="3"/>
    <x v="9"/>
  </r>
  <r>
    <s v="163"/>
    <s v="1047"/>
    <s v="荒牧中学校"/>
    <x v="19"/>
    <s v="01"/>
    <s v="体育館棟"/>
    <x v="34"/>
    <n v="5"/>
    <x v="34"/>
    <n v="973"/>
    <n v="2103"/>
    <n v="2103"/>
    <s v="単独"/>
    <s v="RC"/>
    <n v="3"/>
    <n v="0"/>
    <s v="旧"/>
    <s v="済"/>
    <x v="1"/>
    <n v="0.78"/>
    <n v="2009"/>
    <n v="2009"/>
    <n v="47"/>
    <s v="B"/>
    <s v="B"/>
    <s v="B"/>
    <s v="C"/>
    <s v="B"/>
    <s v="D"/>
    <s v="-"/>
    <s v="B"/>
    <s v="A"/>
    <s v="C"/>
    <n v="50"/>
    <x v="0"/>
    <x v="0"/>
    <m/>
    <m/>
    <s v="学校施設台帳"/>
    <s v="618"/>
    <s v="G600100"/>
    <x v="3"/>
    <x v="9"/>
  </r>
  <r>
    <s v="163"/>
    <s v="1047"/>
    <s v="荒牧中学校"/>
    <x v="19"/>
    <s v="02"/>
    <s v="校舎1"/>
    <x v="34"/>
    <n v="5"/>
    <x v="34"/>
    <n v="470"/>
    <n v="2496"/>
    <n v="2496"/>
    <s v="単独"/>
    <s v="RC"/>
    <n v="6"/>
    <n v="0"/>
    <s v="旧"/>
    <s v="済"/>
    <x v="1"/>
    <n v="0.76"/>
    <n v="2008"/>
    <n v="2008"/>
    <n v="47"/>
    <s v="B"/>
    <s v="B"/>
    <s v="C"/>
    <s v="C"/>
    <s v="B"/>
    <s v="C"/>
    <s v="B"/>
    <s v="B"/>
    <s v="B"/>
    <s v="B"/>
    <n v="47.924528301886795"/>
    <x v="0"/>
    <x v="0"/>
    <m/>
    <m/>
    <s v="学校施設台帳"/>
    <s v="618"/>
    <s v="G600100"/>
    <x v="3"/>
    <x v="9"/>
  </r>
  <r>
    <s v="163"/>
    <s v="1047"/>
    <s v="荒牧中学校"/>
    <x v="19"/>
    <s v="03"/>
    <s v="校舎2"/>
    <x v="31"/>
    <n v="3"/>
    <x v="31"/>
    <n v="312"/>
    <n v="1072"/>
    <n v="1072"/>
    <s v="単独"/>
    <s v="RC"/>
    <n v="6"/>
    <n v="0"/>
    <s v="新"/>
    <s v="-"/>
    <x v="1"/>
    <m/>
    <m/>
    <n v="2008"/>
    <n v="47"/>
    <s v="B"/>
    <s v="B"/>
    <s v="C"/>
    <s v="C"/>
    <s v="B"/>
    <s v="C"/>
    <s v="B"/>
    <s v="B"/>
    <s v="B"/>
    <s v="B"/>
    <n v="46.79245283018868"/>
    <x v="0"/>
    <x v="0"/>
    <m/>
    <m/>
    <s v="学校施設台帳"/>
    <s v="618"/>
    <s v="G600100"/>
    <x v="3"/>
    <x v="9"/>
  </r>
  <r>
    <s v="163"/>
    <s v="1047"/>
    <s v="荒牧中学校"/>
    <x v="19"/>
    <s v="04"/>
    <s v="格技棟"/>
    <x v="31"/>
    <n v="3"/>
    <x v="31"/>
    <n v="276"/>
    <n v="443"/>
    <n v="443"/>
    <s v="単独"/>
    <s v="RC"/>
    <n v="2"/>
    <n v="0"/>
    <s v="新"/>
    <s v="-"/>
    <x v="1"/>
    <m/>
    <m/>
    <n v="2008"/>
    <n v="47"/>
    <s v="B"/>
    <s v="B"/>
    <s v="C"/>
    <s v="C"/>
    <s v="B"/>
    <s v="-"/>
    <s v="-"/>
    <s v="B"/>
    <s v="B"/>
    <s v="B"/>
    <n v="47.317073170731703"/>
    <x v="0"/>
    <x v="0"/>
    <m/>
    <m/>
    <s v="学校施設台帳"/>
    <s v="618"/>
    <s v="G600100"/>
    <x v="3"/>
    <x v="9"/>
  </r>
  <r>
    <s v="163"/>
    <s v="1047"/>
    <s v="荒牧中学校"/>
    <x v="19"/>
    <s v="05"/>
    <s v="校舎3"/>
    <x v="34"/>
    <n v="5"/>
    <x v="34"/>
    <n v="441"/>
    <n v="2342"/>
    <n v="2342"/>
    <s v="単独"/>
    <s v="RC"/>
    <n v="6"/>
    <n v="0"/>
    <s v="旧"/>
    <s v="済"/>
    <x v="1"/>
    <n v="0.76"/>
    <n v="2009"/>
    <n v="2009"/>
    <n v="47"/>
    <s v="C"/>
    <s v="B"/>
    <s v="B"/>
    <s v="C"/>
    <s v="B"/>
    <s v="D"/>
    <s v="B"/>
    <s v="B"/>
    <s v="A"/>
    <s v="C"/>
    <n v="52"/>
    <x v="0"/>
    <x v="0"/>
    <m/>
    <m/>
    <s v="学校施設台帳"/>
    <s v="618"/>
    <s v="G600100"/>
    <x v="3"/>
    <x v="9"/>
  </r>
  <r>
    <s v="163"/>
    <s v="1047"/>
    <s v="荒牧中学校"/>
    <x v="19"/>
    <s v="06"/>
    <s v="部室棟"/>
    <x v="37"/>
    <n v="3"/>
    <x v="37"/>
    <n v="176"/>
    <n v="357"/>
    <n v="357"/>
    <s v="単独"/>
    <s v="RC"/>
    <n v="2"/>
    <n v="0"/>
    <s v="新"/>
    <s v="-"/>
    <x v="1"/>
    <m/>
    <m/>
    <m/>
    <n v="47"/>
    <s v="B"/>
    <s v="D"/>
    <s v="C"/>
    <s v="C"/>
    <s v="B"/>
    <s v="-"/>
    <s v="-"/>
    <s v="D"/>
    <s v="C"/>
    <s v="C"/>
    <n v="63.913043478260867"/>
    <x v="0"/>
    <x v="0"/>
    <m/>
    <m/>
    <s v="学校施設台帳"/>
    <s v="618"/>
    <s v="G600100"/>
    <x v="3"/>
    <x v="9"/>
  </r>
  <r>
    <s v="163"/>
    <s v="1047"/>
    <s v="荒牧中学校"/>
    <x v="19"/>
    <s v="07"/>
    <s v="EV"/>
    <x v="17"/>
    <n v="8"/>
    <x v="17"/>
    <n v="15"/>
    <n v="73"/>
    <n v="73"/>
    <s v="単独"/>
    <s v="S"/>
    <n v="5"/>
    <n v="0"/>
    <s v="新"/>
    <s v="-"/>
    <x v="1"/>
    <m/>
    <m/>
    <m/>
    <n v="34"/>
    <s v="A"/>
    <s v="C"/>
    <s v="C"/>
    <s v="C"/>
    <s v="C"/>
    <s v="-"/>
    <s v="-"/>
    <s v="-"/>
    <s v="-"/>
    <s v="B"/>
    <n v="49.333333333333329"/>
    <x v="0"/>
    <x v="0"/>
    <m/>
    <m/>
    <s v="学校施設台帳"/>
    <s v="618"/>
    <s v="G600100"/>
    <x v="3"/>
    <x v="9"/>
  </r>
  <r>
    <s v="163"/>
    <s v="1047"/>
    <s v="荒牧中学校"/>
    <x v="19"/>
    <s v="08"/>
    <s v="校舎4"/>
    <x v="52"/>
    <n v="9"/>
    <x v="52"/>
    <n v="22"/>
    <n v="109"/>
    <n v="109"/>
    <s v="単独"/>
    <s v="RC"/>
    <n v="5"/>
    <n v="0"/>
    <s v="新"/>
    <s v="-"/>
    <x v="1"/>
    <m/>
    <m/>
    <m/>
    <n v="47"/>
    <s v="A"/>
    <s v="B"/>
    <s v="C"/>
    <s v="C"/>
    <s v="B"/>
    <s v="-"/>
    <s v="B"/>
    <s v="B"/>
    <s v="B"/>
    <s v="B"/>
    <n v="34.468085106382986"/>
    <x v="0"/>
    <x v="0"/>
    <m/>
    <m/>
    <s v="学校施設台帳"/>
    <s v="618"/>
    <s v="G600100"/>
    <x v="3"/>
    <x v="9"/>
  </r>
  <r>
    <s v="163"/>
    <s v="1047"/>
    <s v="荒牧中学校"/>
    <x v="19"/>
    <s v="09"/>
    <s v="プール付属室"/>
    <x v="34"/>
    <n v="7"/>
    <x v="34"/>
    <m/>
    <n v="123"/>
    <n v="123"/>
    <s v="単独"/>
    <s v="S"/>
    <n v="1"/>
    <n v="0"/>
    <s v="旧"/>
    <m/>
    <x v="2"/>
    <m/>
    <m/>
    <m/>
    <n v="31"/>
    <s v="B"/>
    <s v="B"/>
    <s v="B"/>
    <s v="C"/>
    <s v="D"/>
    <s v="-"/>
    <s v="-"/>
    <s v="C"/>
    <s v="A"/>
    <s v="C"/>
    <n v="51.707317073170735"/>
    <x v="0"/>
    <x v="0"/>
    <m/>
    <m/>
    <s v="学校施設台帳"/>
    <s v="618"/>
    <s v="G600100"/>
    <x v="3"/>
    <x v="9"/>
  </r>
  <r>
    <s v="164"/>
    <s v="1048"/>
    <s v="笹原中学校"/>
    <x v="19"/>
    <s v="01"/>
    <s v="校舎1"/>
    <x v="31"/>
    <n v="5"/>
    <x v="31"/>
    <n v="436"/>
    <n v="1324"/>
    <n v="1324"/>
    <s v="単独"/>
    <s v="RC"/>
    <n v="4"/>
    <n v="0"/>
    <s v="新"/>
    <s v="-"/>
    <x v="1"/>
    <m/>
    <m/>
    <n v="2015"/>
    <n v="47"/>
    <s v="B"/>
    <s v="D"/>
    <s v="D"/>
    <s v="D"/>
    <s v="D"/>
    <s v="D"/>
    <s v="D"/>
    <s v="D"/>
    <s v="B"/>
    <s v="D"/>
    <n v="81.132075471698116"/>
    <x v="0"/>
    <x v="0"/>
    <m/>
    <m/>
    <s v="学校施設台帳"/>
    <s v="618"/>
    <s v="G600100"/>
    <x v="3"/>
    <x v="9"/>
  </r>
  <r>
    <s v="164"/>
    <s v="1048"/>
    <s v="笹原中学校"/>
    <x v="19"/>
    <s v="02"/>
    <s v="校舎2"/>
    <x v="31"/>
    <n v="5"/>
    <x v="31"/>
    <n v="587"/>
    <n v="1821"/>
    <n v="1821"/>
    <s v="単独"/>
    <s v="RC"/>
    <n v="4"/>
    <n v="0"/>
    <s v="新"/>
    <s v="-"/>
    <x v="1"/>
    <m/>
    <m/>
    <n v="2015"/>
    <n v="47"/>
    <s v="B"/>
    <s v="D"/>
    <s v="D"/>
    <s v="D"/>
    <s v="D"/>
    <s v="D"/>
    <s v="D"/>
    <s v="D"/>
    <s v="A"/>
    <s v="D"/>
    <n v="78.49056603773586"/>
    <x v="0"/>
    <x v="0"/>
    <m/>
    <m/>
    <s v="学校施設台帳"/>
    <s v="618"/>
    <s v="G600100"/>
    <x v="3"/>
    <x v="9"/>
  </r>
  <r>
    <s v="164"/>
    <s v="1048"/>
    <s v="笹原中学校"/>
    <x v="19"/>
    <s v="03"/>
    <s v="校舎3"/>
    <x v="31"/>
    <n v="5"/>
    <x v="31"/>
    <n v="790"/>
    <n v="2500"/>
    <n v="2500"/>
    <s v="単独"/>
    <s v="RC"/>
    <n v="4"/>
    <n v="0"/>
    <s v="新"/>
    <s v="-"/>
    <x v="1"/>
    <m/>
    <m/>
    <m/>
    <n v="47"/>
    <s v="B"/>
    <s v="D"/>
    <s v="D"/>
    <s v="D"/>
    <s v="D"/>
    <s v="D"/>
    <s v="D"/>
    <s v="D"/>
    <s v="D"/>
    <s v="D"/>
    <n v="88.301886792452834"/>
    <x v="0"/>
    <x v="0"/>
    <m/>
    <m/>
    <s v="学校施設台帳"/>
    <s v="618"/>
    <s v="G600100"/>
    <x v="3"/>
    <x v="9"/>
  </r>
  <r>
    <s v="164"/>
    <s v="1048"/>
    <s v="笹原中学校"/>
    <x v="19"/>
    <s v="04"/>
    <s v="体育館棟"/>
    <x v="31"/>
    <n v="5"/>
    <x v="31"/>
    <n v="964"/>
    <n v="2078"/>
    <n v="2078"/>
    <s v="単独"/>
    <s v="RC"/>
    <n v="3"/>
    <n v="0"/>
    <s v="新"/>
    <s v="-"/>
    <x v="1"/>
    <m/>
    <m/>
    <m/>
    <n v="47"/>
    <s v="B"/>
    <s v="A"/>
    <s v="D"/>
    <s v="D"/>
    <s v="A"/>
    <s v="D"/>
    <s v="D"/>
    <s v="D"/>
    <s v="A"/>
    <s v="C"/>
    <n v="65.28301886792454"/>
    <x v="0"/>
    <x v="0"/>
    <m/>
    <m/>
    <s v="学校施設台帳"/>
    <s v="618"/>
    <s v="G600100"/>
    <x v="3"/>
    <x v="9"/>
  </r>
  <r>
    <s v="164"/>
    <s v="1048"/>
    <s v="笹原中学校"/>
    <x v="19"/>
    <s v="05"/>
    <s v="格技棟"/>
    <x v="31"/>
    <n v="7"/>
    <x v="31"/>
    <n v="1193"/>
    <n v="1197"/>
    <n v="1197"/>
    <s v="単独"/>
    <s v="RC"/>
    <n v="2"/>
    <n v="0"/>
    <s v="新"/>
    <s v="-"/>
    <x v="1"/>
    <m/>
    <m/>
    <m/>
    <n v="47"/>
    <s v="B"/>
    <s v="A"/>
    <s v="C"/>
    <s v="D"/>
    <s v="D"/>
    <s v="-"/>
    <s v="D"/>
    <s v="D"/>
    <s v="D"/>
    <s v="D"/>
    <n v="79.230769230769226"/>
    <x v="0"/>
    <x v="0"/>
    <m/>
    <m/>
    <s v="学校施設台帳"/>
    <s v="618"/>
    <s v="G600100"/>
    <x v="3"/>
    <x v="9"/>
  </r>
  <r>
    <s v="164"/>
    <s v="1048"/>
    <s v="笹原中学校"/>
    <x v="19"/>
    <s v="06"/>
    <s v="EV"/>
    <x v="4"/>
    <n v="9"/>
    <x v="4"/>
    <n v="16"/>
    <n v="48"/>
    <n v="48"/>
    <s v="単独"/>
    <s v="S"/>
    <n v="3"/>
    <n v="0"/>
    <s v="新"/>
    <s v="-"/>
    <x v="1"/>
    <m/>
    <m/>
    <m/>
    <n v="34"/>
    <s v="A"/>
    <s v="C"/>
    <s v="C"/>
    <s v="D"/>
    <s v="C"/>
    <s v="-"/>
    <s v="-"/>
    <s v="-"/>
    <s v="-"/>
    <s v="C"/>
    <n v="54.666666666666664"/>
    <x v="0"/>
    <x v="0"/>
    <m/>
    <m/>
    <s v="学校施設台帳"/>
    <s v="618"/>
    <s v="G600100"/>
    <x v="3"/>
    <x v="9"/>
  </r>
  <r>
    <s v="164"/>
    <s v="1048"/>
    <s v="笹原中学校"/>
    <x v="19"/>
    <s v="07"/>
    <s v="ポンプ室"/>
    <x v="31"/>
    <n v="5"/>
    <x v="31"/>
    <m/>
    <n v="32"/>
    <n v="32"/>
    <s v="単独"/>
    <s v="RC"/>
    <n v="1"/>
    <n v="0"/>
    <s v="新"/>
    <s v="-"/>
    <x v="1"/>
    <m/>
    <m/>
    <m/>
    <n v="38"/>
    <s v="A"/>
    <s v="D"/>
    <s v="D"/>
    <s v="D"/>
    <s v="D"/>
    <s v="-"/>
    <s v="D"/>
    <s v="D"/>
    <s v="-"/>
    <s v="D"/>
    <n v="74.634146341463421"/>
    <x v="0"/>
    <x v="0"/>
    <m/>
    <m/>
    <s v="学校施設台帳"/>
    <s v="618"/>
    <s v="G600100"/>
    <x v="3"/>
    <x v="9"/>
  </r>
  <r>
    <s v="165"/>
    <s v="1061"/>
    <s v="市立伊丹高等学校"/>
    <x v="19"/>
    <s v="01"/>
    <s v="校舎1"/>
    <x v="41"/>
    <n v="3"/>
    <x v="41"/>
    <n v="529"/>
    <n v="2080"/>
    <n v="2080"/>
    <s v="単独"/>
    <s v="RC"/>
    <n v="4"/>
    <n v="0"/>
    <s v="旧"/>
    <s v="済"/>
    <x v="1"/>
    <n v="0.83"/>
    <n v="1995"/>
    <n v="2013"/>
    <n v="47"/>
    <s v="C"/>
    <s v="A"/>
    <s v="A"/>
    <s v="A"/>
    <s v="A"/>
    <s v="A"/>
    <s v="B"/>
    <s v="A"/>
    <s v="A"/>
    <s v="B"/>
    <n v="39.6"/>
    <x v="0"/>
    <x v="0"/>
    <m/>
    <m/>
    <s v="学校施設台帳"/>
    <s v="618"/>
    <s v="G600100"/>
    <x v="3"/>
    <x v="10"/>
  </r>
  <r>
    <s v="165"/>
    <s v="1061"/>
    <s v="市立伊丹高等学校"/>
    <x v="19"/>
    <s v="02"/>
    <s v="校舎2"/>
    <x v="41"/>
    <n v="8"/>
    <x v="41"/>
    <n v="58"/>
    <n v="232"/>
    <n v="232"/>
    <s v="単独"/>
    <s v="RC"/>
    <n v="4"/>
    <n v="0"/>
    <s v="旧"/>
    <s v="済"/>
    <x v="1"/>
    <n v="0.77"/>
    <n v="2011"/>
    <n v="2011"/>
    <n v="47"/>
    <s v="C"/>
    <s v="B"/>
    <s v="B"/>
    <s v="A"/>
    <s v="A"/>
    <s v="-"/>
    <s v="B"/>
    <s v="A"/>
    <s v="A"/>
    <s v="B"/>
    <n v="43.829787234042549"/>
    <x v="0"/>
    <x v="0"/>
    <m/>
    <m/>
    <s v="学校施設台帳"/>
    <s v="618"/>
    <s v="G600100"/>
    <x v="3"/>
    <x v="10"/>
  </r>
  <r>
    <s v="165"/>
    <s v="1061"/>
    <s v="市立伊丹高等学校"/>
    <x v="19"/>
    <s v="03"/>
    <s v="校舎3"/>
    <x v="57"/>
    <n v="1"/>
    <x v="57"/>
    <n v="533"/>
    <n v="2205"/>
    <n v="2205"/>
    <s v="単独"/>
    <s v="RC"/>
    <n v="4"/>
    <n v="0"/>
    <s v="新"/>
    <s v="-"/>
    <x v="1"/>
    <m/>
    <m/>
    <m/>
    <n v="47"/>
    <s v="B"/>
    <s v="D"/>
    <s v="B"/>
    <s v="A"/>
    <s v="D"/>
    <s v="A"/>
    <s v="C"/>
    <s v="C"/>
    <s v="C"/>
    <s v="C"/>
    <n v="53.454545454545453"/>
    <x v="0"/>
    <x v="0"/>
    <m/>
    <m/>
    <s v="学校施設台帳"/>
    <s v="618"/>
    <s v="G600100"/>
    <x v="3"/>
    <x v="10"/>
  </r>
  <r>
    <s v="165"/>
    <s v="1061"/>
    <s v="市立伊丹高等学校"/>
    <x v="19"/>
    <s v="04"/>
    <s v="校舎4"/>
    <x v="1"/>
    <n v="3"/>
    <x v="1"/>
    <n v="666"/>
    <n v="3494"/>
    <n v="3494"/>
    <s v="単独"/>
    <s v="RC"/>
    <n v="5"/>
    <n v="1"/>
    <s v="旧"/>
    <s v="済"/>
    <x v="1"/>
    <n v="0.75"/>
    <n v="2010"/>
    <m/>
    <n v="47"/>
    <s v="C"/>
    <s v="B"/>
    <s v="B"/>
    <s v="D"/>
    <s v="C"/>
    <s v="A"/>
    <s v="B"/>
    <s v="C"/>
    <s v="B"/>
    <s v="C"/>
    <n v="65.384615384615387"/>
    <x v="0"/>
    <x v="0"/>
    <m/>
    <m/>
    <s v="学校施設台帳"/>
    <s v="618"/>
    <s v="G600100"/>
    <x v="3"/>
    <x v="10"/>
  </r>
  <r>
    <s v="165"/>
    <s v="1061"/>
    <s v="市立伊丹高等学校"/>
    <x v="19"/>
    <s v="05"/>
    <s v="校舎5"/>
    <x v="29"/>
    <n v="12"/>
    <x v="29"/>
    <n v="386"/>
    <n v="1158"/>
    <n v="1158"/>
    <s v="単独"/>
    <s v="RC"/>
    <n v="4"/>
    <n v="0"/>
    <s v="旧"/>
    <s v="済"/>
    <x v="1"/>
    <n v="0.8"/>
    <n v="2010"/>
    <m/>
    <n v="47"/>
    <s v="B"/>
    <s v="B"/>
    <s v="B"/>
    <s v="D"/>
    <s v="C"/>
    <s v="A"/>
    <s v="B"/>
    <s v="C"/>
    <s v="D"/>
    <s v="C"/>
    <n v="68.07692307692308"/>
    <x v="0"/>
    <x v="0"/>
    <m/>
    <m/>
    <s v="学校施設台帳"/>
    <s v="618"/>
    <s v="G600100"/>
    <x v="3"/>
    <x v="10"/>
  </r>
  <r>
    <s v="165"/>
    <s v="1061"/>
    <s v="市立伊丹高等学校"/>
    <x v="19"/>
    <s v="06"/>
    <s v="校舎6"/>
    <x v="11"/>
    <n v="1"/>
    <x v="11"/>
    <n v="90"/>
    <n v="160"/>
    <n v="160"/>
    <s v="単独"/>
    <s v="RC"/>
    <n v="2"/>
    <n v="0"/>
    <s v="新"/>
    <s v="-"/>
    <x v="1"/>
    <m/>
    <m/>
    <m/>
    <n v="47"/>
    <s v="B"/>
    <s v="D"/>
    <s v="D"/>
    <s v="A"/>
    <s v="D"/>
    <s v="D"/>
    <s v="B"/>
    <s v="D"/>
    <s v="D"/>
    <s v="D"/>
    <n v="70.399999999999991"/>
    <x v="0"/>
    <x v="0"/>
    <m/>
    <m/>
    <s v="学校施設台帳"/>
    <s v="618"/>
    <s v="G600100"/>
    <x v="3"/>
    <x v="10"/>
  </r>
  <r>
    <s v="165"/>
    <s v="1061"/>
    <s v="市立伊丹高等学校"/>
    <x v="19"/>
    <s v="07"/>
    <s v="機械室"/>
    <x v="7"/>
    <n v="3"/>
    <x v="7"/>
    <n v="154"/>
    <n v="154"/>
    <n v="154"/>
    <s v="単独"/>
    <s v="RC"/>
    <n v="1"/>
    <n v="0"/>
    <s v="旧"/>
    <m/>
    <x v="2"/>
    <m/>
    <m/>
    <m/>
    <n v="38"/>
    <s v="C"/>
    <s v="D"/>
    <s v="D"/>
    <s v="A"/>
    <s v="D"/>
    <s v="-"/>
    <s v="-"/>
    <s v="-"/>
    <s v="-"/>
    <s v="C"/>
    <n v="68.125"/>
    <x v="0"/>
    <x v="0"/>
    <m/>
    <m/>
    <s v="学校施設台帳"/>
    <s v="618"/>
    <s v="G600100"/>
    <x v="3"/>
    <x v="10"/>
  </r>
  <r>
    <s v="165"/>
    <s v="1061"/>
    <s v="市立伊丹高等学校"/>
    <x v="19"/>
    <s v="08"/>
    <s v="機械室"/>
    <x v="7"/>
    <n v="10"/>
    <x v="7"/>
    <n v="154"/>
    <n v="154"/>
    <n v="154"/>
    <s v="単独"/>
    <s v="RC"/>
    <n v="1"/>
    <n v="0"/>
    <s v="旧"/>
    <m/>
    <x v="2"/>
    <m/>
    <m/>
    <m/>
    <n v="38"/>
    <s v="C"/>
    <s v="A"/>
    <s v="A"/>
    <s v="A"/>
    <s v="A"/>
    <s v="-"/>
    <s v="-"/>
    <s v="-"/>
    <s v="-"/>
    <s v="B"/>
    <n v="37.333333333333329"/>
    <x v="0"/>
    <x v="0"/>
    <m/>
    <m/>
    <s v="学校施設台帳"/>
    <s v="618"/>
    <s v="G600100"/>
    <x v="3"/>
    <x v="10"/>
  </r>
  <r>
    <s v="165"/>
    <s v="1061"/>
    <s v="市立伊丹高等学校"/>
    <x v="19"/>
    <s v="09"/>
    <s v="部室棟"/>
    <x v="27"/>
    <n v="3"/>
    <x v="27"/>
    <n v="207"/>
    <n v="414"/>
    <n v="414"/>
    <s v="単独"/>
    <s v="S"/>
    <n v="2"/>
    <n v="0"/>
    <s v="新"/>
    <s v="-"/>
    <x v="1"/>
    <m/>
    <m/>
    <m/>
    <n v="34"/>
    <s v="A"/>
    <s v="A"/>
    <s v="B"/>
    <s v="C"/>
    <s v="A"/>
    <s v="-"/>
    <s v="-"/>
    <s v="A"/>
    <s v="A"/>
    <s v="A"/>
    <n v="27.31707317073171"/>
    <x v="0"/>
    <x v="0"/>
    <m/>
    <m/>
    <s v="学校施設台帳"/>
    <s v="618"/>
    <s v="G600100"/>
    <x v="3"/>
    <x v="10"/>
  </r>
  <r>
    <s v="165"/>
    <s v="1061"/>
    <s v="市立伊丹高等学校"/>
    <x v="19"/>
    <s v="10"/>
    <s v="体育館棟"/>
    <x v="43"/>
    <n v="2"/>
    <x v="43"/>
    <n v="1138"/>
    <n v="2568"/>
    <n v="2568"/>
    <s v="単独"/>
    <s v="RC"/>
    <n v="3"/>
    <n v="0"/>
    <s v="旧"/>
    <s v="済"/>
    <x v="1"/>
    <n v="0.9"/>
    <n v="1997"/>
    <n v="2009"/>
    <n v="47"/>
    <s v="C"/>
    <s v="D"/>
    <s v="C"/>
    <s v="C"/>
    <s v="B"/>
    <s v="D"/>
    <s v="-"/>
    <s v="D"/>
    <s v="B"/>
    <s v="D"/>
    <n v="74.545454545454547"/>
    <x v="0"/>
    <x v="0"/>
    <m/>
    <m/>
    <s v="学校施設台帳"/>
    <s v="618"/>
    <s v="G600100"/>
    <x v="3"/>
    <x v="10"/>
  </r>
  <r>
    <s v="165"/>
    <s v="1061"/>
    <s v="市立伊丹高等学校"/>
    <x v="19"/>
    <s v="11"/>
    <s v="校舎7"/>
    <x v="45"/>
    <n v="7"/>
    <x v="45"/>
    <m/>
    <n v="81"/>
    <n v="81"/>
    <s v="単独"/>
    <s v="RC"/>
    <n v="1"/>
    <n v="0"/>
    <s v="旧"/>
    <m/>
    <x v="2"/>
    <m/>
    <m/>
    <n v="2013"/>
    <n v="47"/>
    <s v="C"/>
    <s v="A"/>
    <s v="A"/>
    <s v="A"/>
    <s v="A"/>
    <s v="A"/>
    <s v="A"/>
    <s v="A"/>
    <s v="A"/>
    <s v="B"/>
    <n v="32.799999999999997"/>
    <x v="0"/>
    <x v="0"/>
    <m/>
    <m/>
    <s v="学校施設台帳"/>
    <s v="618"/>
    <s v="G600100"/>
    <x v="3"/>
    <x v="10"/>
  </r>
  <r>
    <s v="165"/>
    <s v="1061"/>
    <s v="市立伊丹高等学校"/>
    <x v="19"/>
    <s v="12"/>
    <s v="校舎8"/>
    <x v="13"/>
    <n v="3"/>
    <x v="13"/>
    <m/>
    <n v="119"/>
    <n v="119"/>
    <s v="単独"/>
    <s v="RC"/>
    <n v="1"/>
    <n v="0"/>
    <s v="旧"/>
    <m/>
    <x v="2"/>
    <m/>
    <m/>
    <n v="2013"/>
    <n v="47"/>
    <s v="C"/>
    <s v="A"/>
    <s v="A"/>
    <s v="A"/>
    <s v="A"/>
    <s v="A"/>
    <s v="A"/>
    <s v="A"/>
    <s v="A"/>
    <s v="A"/>
    <n v="29.600000000000005"/>
    <x v="0"/>
    <x v="0"/>
    <m/>
    <m/>
    <s v="学校施設台帳"/>
    <s v="618"/>
    <s v="G600100"/>
    <x v="3"/>
    <x v="10"/>
  </r>
  <r>
    <s v="166"/>
    <s v="1071"/>
    <s v="伊丹特別支援学校"/>
    <x v="19"/>
    <s v="01"/>
    <s v="校舎1"/>
    <x v="13"/>
    <n v="5"/>
    <x v="13"/>
    <n v="858"/>
    <n v="1761"/>
    <n v="1761"/>
    <s v="単独"/>
    <s v="RC"/>
    <n v="2"/>
    <n v="0"/>
    <s v="旧"/>
    <s v="済"/>
    <x v="1"/>
    <n v="0.78"/>
    <n v="2010"/>
    <n v="2010"/>
    <n v="47"/>
    <s v="C"/>
    <s v="B"/>
    <s v="B"/>
    <s v="B"/>
    <s v="B"/>
    <s v="D"/>
    <s v="A"/>
    <s v="A"/>
    <s v="A"/>
    <s v="B"/>
    <n v="44.8"/>
    <x v="0"/>
    <x v="0"/>
    <m/>
    <m/>
    <s v="学校施設台帳"/>
    <s v="618"/>
    <s v="G600100"/>
    <x v="3"/>
    <x v="10"/>
  </r>
  <r>
    <s v="166"/>
    <s v="1071"/>
    <s v="伊丹特別支援学校"/>
    <x v="19"/>
    <s v="02"/>
    <s v="校舎2"/>
    <x v="25"/>
    <n v="5"/>
    <x v="25"/>
    <n v="733"/>
    <n v="1735"/>
    <n v="1735"/>
    <s v="単独"/>
    <s v="RC"/>
    <n v="3"/>
    <n v="0"/>
    <s v="旧"/>
    <s v="済"/>
    <x v="1"/>
    <n v="0.77"/>
    <n v="2011"/>
    <n v="2011"/>
    <n v="47"/>
    <s v="C"/>
    <s v="B"/>
    <s v="B"/>
    <s v="B"/>
    <s v="B"/>
    <s v="D"/>
    <s v="A"/>
    <s v="A"/>
    <s v="A"/>
    <s v="B"/>
    <n v="42.800000000000004"/>
    <x v="0"/>
    <x v="0"/>
    <m/>
    <m/>
    <s v="学校施設台帳"/>
    <s v="618"/>
    <s v="G600100"/>
    <x v="3"/>
    <x v="10"/>
  </r>
  <r>
    <s v="166"/>
    <s v="1071"/>
    <s v="伊丹特別支援学校"/>
    <x v="19"/>
    <s v="03"/>
    <s v="校舎3"/>
    <x v="30"/>
    <n v="3"/>
    <x v="30"/>
    <n v="329"/>
    <n v="360"/>
    <n v="360"/>
    <s v="単独"/>
    <s v="RC"/>
    <n v="1"/>
    <n v="0"/>
    <s v="新"/>
    <s v="-"/>
    <x v="1"/>
    <m/>
    <m/>
    <n v="2011"/>
    <n v="47"/>
    <s v="B"/>
    <s v="B"/>
    <s v="B"/>
    <s v="B"/>
    <s v="B"/>
    <s v="D"/>
    <s v="A"/>
    <s v="A"/>
    <s v="A"/>
    <s v="B"/>
    <n v="40.400000000000006"/>
    <x v="0"/>
    <x v="0"/>
    <m/>
    <m/>
    <s v="学校施設台帳"/>
    <s v="618"/>
    <s v="G600100"/>
    <x v="3"/>
    <x v="10"/>
  </r>
  <r>
    <s v="167"/>
    <s v="1078"/>
    <s v="伊丹市立学校給食センター"/>
    <x v="21"/>
    <s v="01"/>
    <s v="調理場（第1）"/>
    <x v="23"/>
    <n v="3"/>
    <x v="23"/>
    <n v="1319.72"/>
    <n v="1608.53"/>
    <n v="1608.53"/>
    <s v="単独"/>
    <s v="S"/>
    <n v="2"/>
    <n v="0"/>
    <s v="新"/>
    <s v="-"/>
    <x v="1"/>
    <m/>
    <m/>
    <m/>
    <n v="31"/>
    <s v="A"/>
    <s v="C"/>
    <s v="D"/>
    <s v="-"/>
    <s v="C"/>
    <s v="A"/>
    <s v="C"/>
    <s v="-"/>
    <s v="-"/>
    <s v="C"/>
    <n v="53.939393939393931"/>
    <x v="0"/>
    <x v="0"/>
    <m/>
    <m/>
    <s v="学校施設台帳"/>
    <s v="658"/>
    <s v="G600204"/>
    <x v="3"/>
    <x v="10"/>
  </r>
  <r>
    <s v="167"/>
    <s v="1078"/>
    <s v="伊丹市立学校給食センター"/>
    <x v="21"/>
    <s v="02"/>
    <s v="駐輪場（第1）"/>
    <x v="23"/>
    <n v="3"/>
    <x v="23"/>
    <n v="37.5"/>
    <n v="14.56"/>
    <n v="14.56"/>
    <s v="単独"/>
    <s v="S"/>
    <n v="1"/>
    <n v="0"/>
    <s v="新"/>
    <s v="-"/>
    <x v="1"/>
    <m/>
    <m/>
    <m/>
    <n v="31"/>
    <s v="-"/>
    <s v="-"/>
    <s v="-"/>
    <s v="-"/>
    <s v="-"/>
    <s v="-"/>
    <s v="-"/>
    <s v="-"/>
    <s v="-"/>
    <s v="-"/>
    <s v="-"/>
    <x v="1"/>
    <x v="0"/>
    <m/>
    <m/>
    <s v="学校施設台帳"/>
    <s v="658"/>
    <s v="G600204"/>
    <x v="3"/>
    <x v="10"/>
  </r>
  <r>
    <s v="167"/>
    <s v="1078"/>
    <s v="伊丹市立学校給食センター"/>
    <x v="21"/>
    <s v="03"/>
    <s v="厨芥処理（第1）"/>
    <x v="23"/>
    <n v="3"/>
    <x v="23"/>
    <n v="35.200000000000003"/>
    <n v="35.200000000000003"/>
    <n v="35.200000000000003"/>
    <s v="単独"/>
    <s v="S"/>
    <n v="1"/>
    <n v="0"/>
    <s v="新"/>
    <s v="-"/>
    <x v="1"/>
    <m/>
    <m/>
    <m/>
    <n v="31"/>
    <s v="-"/>
    <s v="-"/>
    <s v="-"/>
    <s v="-"/>
    <s v="-"/>
    <s v="-"/>
    <s v="-"/>
    <s v="-"/>
    <s v="-"/>
    <s v="-"/>
    <s v="-"/>
    <x v="3"/>
    <x v="0"/>
    <m/>
    <m/>
    <s v="学校施設台帳"/>
    <s v="658"/>
    <s v="G600204"/>
    <x v="3"/>
    <x v="10"/>
  </r>
  <r>
    <s v="167"/>
    <s v="1078"/>
    <s v="伊丹市立学校給食センター"/>
    <x v="21"/>
    <s v="04"/>
    <s v="排水処理（第1）"/>
    <x v="23"/>
    <n v="3"/>
    <x v="23"/>
    <n v="46.04"/>
    <n v="46.04"/>
    <n v="46.04"/>
    <s v="単独"/>
    <s v="S"/>
    <n v="1"/>
    <n v="0"/>
    <s v="新"/>
    <s v="-"/>
    <x v="1"/>
    <m/>
    <m/>
    <m/>
    <n v="41"/>
    <s v="-"/>
    <s v="-"/>
    <s v="-"/>
    <s v="-"/>
    <s v="-"/>
    <s v="-"/>
    <s v="-"/>
    <s v="-"/>
    <s v="-"/>
    <s v="-"/>
    <s v="-"/>
    <x v="3"/>
    <x v="0"/>
    <m/>
    <m/>
    <s v="学校施設台帳"/>
    <s v="658"/>
    <s v="G600204"/>
    <x v="3"/>
    <x v="10"/>
  </r>
  <r>
    <s v="167"/>
    <s v="1078"/>
    <s v="伊丹市立学校給食センター"/>
    <x v="21"/>
    <s v="05"/>
    <s v="ガス遮断装置（第1）"/>
    <x v="23"/>
    <n v="3"/>
    <x v="23"/>
    <n v="8.61"/>
    <n v="8.61"/>
    <n v="8.61"/>
    <s v="単独"/>
    <s v="B"/>
    <n v="1"/>
    <n v="0"/>
    <s v="新"/>
    <s v="-"/>
    <x v="1"/>
    <m/>
    <m/>
    <m/>
    <n v="38"/>
    <s v="-"/>
    <s v="-"/>
    <s v="-"/>
    <s v="-"/>
    <s v="-"/>
    <s v="-"/>
    <s v="-"/>
    <s v="-"/>
    <s v="-"/>
    <s v="-"/>
    <s v="-"/>
    <x v="3"/>
    <x v="0"/>
    <m/>
    <m/>
    <s v="学校施設台帳"/>
    <s v="658"/>
    <s v="G600204"/>
    <x v="3"/>
    <x v="10"/>
  </r>
  <r>
    <s v="167"/>
    <s v="1078"/>
    <s v="伊丹市立学校給食センター"/>
    <x v="21"/>
    <s v="06"/>
    <s v="調理場（第2）"/>
    <x v="25"/>
    <n v="9"/>
    <x v="25"/>
    <n v="1019.1"/>
    <n v="1130.8900000000001"/>
    <n v="1130.8900000000001"/>
    <s v="単独"/>
    <s v="S"/>
    <n v="2"/>
    <n v="0"/>
    <s v="旧"/>
    <m/>
    <x v="2"/>
    <m/>
    <m/>
    <n v="2000"/>
    <n v="31"/>
    <s v="A"/>
    <s v="B"/>
    <s v="D"/>
    <s v="-"/>
    <s v="C"/>
    <s v="D"/>
    <s v="B"/>
    <s v="-"/>
    <s v="-"/>
    <s v="C"/>
    <n v="56.000000000000007"/>
    <x v="0"/>
    <x v="0"/>
    <m/>
    <m/>
    <s v="学校施設台帳"/>
    <s v="658"/>
    <s v="G600204"/>
    <x v="3"/>
    <x v="10"/>
  </r>
  <r>
    <s v="167"/>
    <s v="1078"/>
    <s v="伊丹市立学校給食センター"/>
    <x v="21"/>
    <s v="07"/>
    <s v="駐輪場（第2）"/>
    <x v="33"/>
    <n v="1"/>
    <x v="33"/>
    <n v="161.16999999999999"/>
    <n v="37.5"/>
    <n v="37.5"/>
    <s v="単独"/>
    <s v="S"/>
    <n v="1"/>
    <n v="0"/>
    <s v="新"/>
    <s v="-"/>
    <x v="1"/>
    <m/>
    <m/>
    <m/>
    <m/>
    <s v="-"/>
    <s v="-"/>
    <s v="-"/>
    <s v="-"/>
    <s v="-"/>
    <s v="-"/>
    <s v="-"/>
    <s v="-"/>
    <s v="-"/>
    <s v="-"/>
    <s v="-"/>
    <x v="1"/>
    <x v="0"/>
    <m/>
    <m/>
    <s v="学校施設台帳"/>
    <s v="658"/>
    <s v="G600204"/>
    <x v="3"/>
    <x v="10"/>
  </r>
  <r>
    <s v="167"/>
    <s v="1078"/>
    <s v="伊丹市立学校給食センター"/>
    <x v="21"/>
    <s v="08"/>
    <s v="調理場（第2）"/>
    <x v="33"/>
    <n v="1"/>
    <x v="33"/>
    <n v="14.56"/>
    <n v="267.49"/>
    <n v="267.49"/>
    <s v="単独"/>
    <s v="S"/>
    <n v="1"/>
    <n v="0"/>
    <s v="新"/>
    <s v="-"/>
    <x v="1"/>
    <m/>
    <m/>
    <n v="2000"/>
    <n v="31"/>
    <s v="A"/>
    <s v="B"/>
    <s v="D"/>
    <s v="-"/>
    <s v="C"/>
    <s v="D"/>
    <s v="B"/>
    <s v="-"/>
    <s v="-"/>
    <s v="C"/>
    <n v="56.000000000000007"/>
    <x v="0"/>
    <x v="0"/>
    <m/>
    <m/>
    <s v="学校施設台帳"/>
    <s v="658"/>
    <s v="G600204"/>
    <x v="3"/>
    <x v="10"/>
  </r>
  <r>
    <s v="167"/>
    <s v="1078"/>
    <s v="伊丹市立学校給食センター"/>
    <x v="21"/>
    <s v="09"/>
    <s v="厨芥処理（第2）"/>
    <x v="33"/>
    <n v="1"/>
    <x v="33"/>
    <n v="35.200000000000003"/>
    <n v="35.200000000000003"/>
    <n v="35.200000000000003"/>
    <s v="単独"/>
    <s v="S"/>
    <n v="1"/>
    <n v="0"/>
    <s v="新"/>
    <s v="-"/>
    <x v="1"/>
    <m/>
    <m/>
    <m/>
    <m/>
    <s v="-"/>
    <s v="-"/>
    <s v="-"/>
    <s v="-"/>
    <s v="-"/>
    <s v="-"/>
    <s v="-"/>
    <s v="-"/>
    <s v="-"/>
    <s v="-"/>
    <s v="-"/>
    <x v="3"/>
    <x v="0"/>
    <m/>
    <m/>
    <s v="学校施設台帳"/>
    <s v="658"/>
    <s v="G600204"/>
    <x v="3"/>
    <x v="10"/>
  </r>
  <r>
    <s v="167"/>
    <s v="1078"/>
    <s v="伊丹市立学校給食センター"/>
    <x v="21"/>
    <s v="10"/>
    <s v="空き缶置場（第2）"/>
    <x v="33"/>
    <n v="1"/>
    <x v="33"/>
    <m/>
    <n v="5"/>
    <n v="5"/>
    <s v="単独"/>
    <s v="S"/>
    <n v="1"/>
    <n v="0"/>
    <s v="新"/>
    <s v="-"/>
    <x v="1"/>
    <m/>
    <m/>
    <m/>
    <m/>
    <s v="-"/>
    <s v="-"/>
    <s v="-"/>
    <s v="-"/>
    <s v="-"/>
    <s v="-"/>
    <s v="-"/>
    <s v="-"/>
    <s v="-"/>
    <s v="-"/>
    <s v="-"/>
    <x v="3"/>
    <x v="0"/>
    <m/>
    <m/>
    <s v="学校施設台帳"/>
    <s v="658"/>
    <s v="G600204"/>
    <x v="3"/>
    <x v="10"/>
  </r>
  <r>
    <s v="168"/>
    <s v="0301"/>
    <s v="中央保育所"/>
    <x v="22"/>
    <s v="01"/>
    <s v="保育所"/>
    <x v="12"/>
    <n v="3"/>
    <x v="12"/>
    <n v="632.08000000000004"/>
    <n v="1220.77"/>
    <n v="1220.77"/>
    <s v="単独"/>
    <s v="RC"/>
    <n v="2"/>
    <n v="0"/>
    <s v="旧"/>
    <s v="済"/>
    <x v="1"/>
    <n v="0.82"/>
    <m/>
    <m/>
    <n v="47"/>
    <s v="C"/>
    <s v="C"/>
    <s v="C"/>
    <s v="-"/>
    <s v="B"/>
    <s v="C"/>
    <s v="B"/>
    <s v="-"/>
    <s v="-"/>
    <s v="C"/>
    <n v="63.428571428571431"/>
    <x v="0"/>
    <x v="0"/>
    <m/>
    <m/>
    <s v="公財台帳・固資台帳"/>
    <s v="355"/>
    <s v="G061200"/>
    <x v="4"/>
    <x v="11"/>
  </r>
  <r>
    <s v="169"/>
    <s v="0302"/>
    <s v="西保育所"/>
    <x v="22"/>
    <s v="01"/>
    <s v="保育所"/>
    <x v="30"/>
    <n v="3"/>
    <x v="30"/>
    <n v="444.67"/>
    <n v="683.56"/>
    <n v="683.56"/>
    <s v="単独"/>
    <s v="RC"/>
    <n v="2"/>
    <n v="0"/>
    <s v="新"/>
    <s v="-"/>
    <x v="1"/>
    <m/>
    <m/>
    <m/>
    <n v="47"/>
    <s v="B"/>
    <s v="D"/>
    <s v="D"/>
    <s v="-"/>
    <s v="C"/>
    <s v="D"/>
    <s v="C"/>
    <s v="-"/>
    <s v="-"/>
    <s v="D"/>
    <n v="76.969696969696969"/>
    <x v="0"/>
    <x v="0"/>
    <m/>
    <m/>
    <s v="公財台帳・固資台帳"/>
    <s v="355"/>
    <s v="G061200"/>
    <x v="4"/>
    <x v="11"/>
  </r>
  <r>
    <s v="169"/>
    <s v="0302"/>
    <s v="西保育所"/>
    <x v="22"/>
    <s v="02"/>
    <s v="保育所"/>
    <x v="30"/>
    <n v="3"/>
    <x v="30"/>
    <n v="167.42"/>
    <n v="300.88"/>
    <n v="300.88"/>
    <s v="単独"/>
    <s v="RC"/>
    <n v="2"/>
    <n v="0"/>
    <s v="新"/>
    <s v="-"/>
    <x v="1"/>
    <m/>
    <m/>
    <m/>
    <n v="47"/>
    <s v="B"/>
    <s v="D"/>
    <s v="D"/>
    <s v="-"/>
    <s v="C"/>
    <s v="D"/>
    <s v="C"/>
    <s v="-"/>
    <s v="-"/>
    <s v="D"/>
    <n v="76.969696969696969"/>
    <x v="0"/>
    <x v="0"/>
    <m/>
    <m/>
    <s v="公財台帳・固資台帳"/>
    <s v="355"/>
    <s v="G061200"/>
    <x v="4"/>
    <x v="11"/>
  </r>
  <r>
    <s v="170"/>
    <s v="0303"/>
    <s v="神津こども園"/>
    <x v="22"/>
    <s v="01"/>
    <s v="園舎"/>
    <x v="18"/>
    <n v="3"/>
    <x v="18"/>
    <n v="1806"/>
    <n v="1873.72"/>
    <n v="1873.72"/>
    <s v="単独"/>
    <s v="RC"/>
    <n v="1"/>
    <n v="0"/>
    <s v="新"/>
    <s v="-"/>
    <x v="1"/>
    <m/>
    <m/>
    <m/>
    <n v="47"/>
    <s v="A"/>
    <s v="A"/>
    <s v="A"/>
    <s v="-"/>
    <s v="A"/>
    <s v="A"/>
    <s v="A"/>
    <s v="-"/>
    <s v="-"/>
    <s v="A"/>
    <n v="13.714285714285712"/>
    <x v="0"/>
    <x v="0"/>
    <m/>
    <m/>
    <s v="公財台帳・固資台帳"/>
    <s v="355"/>
    <s v="G061200"/>
    <x v="4"/>
    <x v="11"/>
  </r>
  <r>
    <s v="171"/>
    <s v="0304"/>
    <s v="桜台保育所"/>
    <x v="22"/>
    <s v="01"/>
    <s v="保育所"/>
    <x v="0"/>
    <n v="5"/>
    <x v="0"/>
    <n v="506.43"/>
    <n v="1016.22"/>
    <n v="462.83"/>
    <s v="複合"/>
    <s v="RC"/>
    <n v="2"/>
    <n v="0"/>
    <s v="旧"/>
    <s v="済"/>
    <x v="1"/>
    <n v="0.95"/>
    <m/>
    <m/>
    <n v="47"/>
    <s v="C"/>
    <s v="C"/>
    <s v="D"/>
    <s v="-"/>
    <s v="D"/>
    <s v="D"/>
    <s v="D"/>
    <s v="-"/>
    <s v="-"/>
    <s v="D"/>
    <n v="85.714285714285722"/>
    <x v="0"/>
    <x v="0"/>
    <m/>
    <m/>
    <s v="公財台帳・固資台帳"/>
    <s v="355"/>
    <s v="G061200"/>
    <x v="4"/>
    <x v="11"/>
  </r>
  <r>
    <s v="172"/>
    <s v="0305"/>
    <s v="北保育所"/>
    <x v="22"/>
    <s v="01"/>
    <s v="園舎"/>
    <x v="1"/>
    <n v="3"/>
    <x v="1"/>
    <n v="903.14"/>
    <n v="1504"/>
    <n v="624.62"/>
    <s v="複合"/>
    <s v="RC"/>
    <n v="2"/>
    <n v="0"/>
    <s v="旧"/>
    <s v="済"/>
    <x v="1"/>
    <m/>
    <m/>
    <m/>
    <n v="47"/>
    <s v="C"/>
    <s v="C"/>
    <s v="D"/>
    <s v="-"/>
    <s v="C"/>
    <s v="D"/>
    <s v="B"/>
    <s v="-"/>
    <s v="-"/>
    <s v="D"/>
    <n v="72.121212121212125"/>
    <x v="0"/>
    <x v="0"/>
    <m/>
    <m/>
    <s v="公財台帳・固資台帳"/>
    <s v="355"/>
    <s v="G061200"/>
    <x v="4"/>
    <x v="11"/>
  </r>
  <r>
    <s v="172"/>
    <s v="0305"/>
    <s v="北保育所"/>
    <x v="22"/>
    <s v="02"/>
    <s v="更衣室"/>
    <x v="9"/>
    <n v="3"/>
    <x v="9"/>
    <n v="903.14"/>
    <n v="12.96"/>
    <n v="12.96"/>
    <s v="単独"/>
    <s v="S"/>
    <n v="1"/>
    <n v="0"/>
    <s v="旧"/>
    <s v="済"/>
    <x v="1"/>
    <m/>
    <m/>
    <m/>
    <n v="27"/>
    <s v="C"/>
    <s v="C"/>
    <s v="D"/>
    <s v="-"/>
    <s v="C"/>
    <s v="D"/>
    <s v="B"/>
    <s v="-"/>
    <s v="-"/>
    <s v="D"/>
    <n v="72.121212121212125"/>
    <x v="0"/>
    <x v="0"/>
    <m/>
    <m/>
    <s v="公財台帳・固資台帳"/>
    <s v="355"/>
    <s v="G061200"/>
    <x v="4"/>
    <x v="11"/>
  </r>
  <r>
    <s v="172"/>
    <s v="0305"/>
    <s v="北保育所"/>
    <x v="22"/>
    <s v="03"/>
    <s v="保育室"/>
    <x v="38"/>
    <n v="3"/>
    <x v="38"/>
    <n v="903.14"/>
    <n v="64.08"/>
    <n v="64.08"/>
    <s v="単独"/>
    <s v="S"/>
    <n v="2"/>
    <n v="0"/>
    <s v="旧"/>
    <s v="済"/>
    <x v="1"/>
    <m/>
    <m/>
    <m/>
    <n v="34"/>
    <s v="C"/>
    <s v="C"/>
    <s v="D"/>
    <s v="-"/>
    <s v="C"/>
    <s v="D"/>
    <s v="B"/>
    <s v="-"/>
    <s v="-"/>
    <s v="D"/>
    <n v="72.121212121212125"/>
    <x v="0"/>
    <x v="0"/>
    <m/>
    <m/>
    <s v="公財台帳・固資台帳"/>
    <s v="355"/>
    <s v="G061200"/>
    <x v="4"/>
    <x v="11"/>
  </r>
  <r>
    <s v="172"/>
    <s v="0305"/>
    <s v="北保育所"/>
    <x v="22"/>
    <s v="04"/>
    <s v="園舎"/>
    <x v="8"/>
    <n v="3"/>
    <x v="8"/>
    <n v="903.14"/>
    <n v="173.67"/>
    <n v="173.67"/>
    <s v="単独"/>
    <s v="RC"/>
    <n v="1"/>
    <n v="0"/>
    <s v="旧"/>
    <s v="済"/>
    <x v="1"/>
    <m/>
    <m/>
    <m/>
    <n v="47"/>
    <s v="C"/>
    <s v="C"/>
    <s v="D"/>
    <s v="-"/>
    <s v="C"/>
    <s v="D"/>
    <s v="B"/>
    <s v="-"/>
    <s v="-"/>
    <s v="D"/>
    <n v="72.121212121212125"/>
    <x v="0"/>
    <x v="0"/>
    <m/>
    <m/>
    <s v="公財台帳・固資台帳"/>
    <s v="355"/>
    <s v="G061200"/>
    <x v="4"/>
    <x v="11"/>
  </r>
  <r>
    <s v="173"/>
    <s v="0306"/>
    <s v="こばと保育所"/>
    <x v="22"/>
    <s v="01"/>
    <s v="保育所"/>
    <x v="12"/>
    <n v="3"/>
    <x v="12"/>
    <n v="447.99"/>
    <n v="834.97"/>
    <n v="834.97"/>
    <s v="単独"/>
    <s v="RC"/>
    <n v="3"/>
    <n v="0"/>
    <s v="旧"/>
    <s v="済"/>
    <x v="1"/>
    <n v="0.61"/>
    <m/>
    <m/>
    <n v="47"/>
    <s v="C"/>
    <s v="D"/>
    <s v="D"/>
    <s v="-"/>
    <s v="C"/>
    <s v="D"/>
    <s v="B"/>
    <s v="-"/>
    <s v="-"/>
    <s v="D"/>
    <n v="73.333333333333343"/>
    <x v="0"/>
    <x v="0"/>
    <m/>
    <m/>
    <s v="公財台帳・固資台帳"/>
    <s v="355"/>
    <s v="G061200"/>
    <x v="4"/>
    <x v="11"/>
  </r>
  <r>
    <s v="174"/>
    <s v="0307"/>
    <s v="ひかり保育園"/>
    <x v="22"/>
    <s v="01"/>
    <s v="保育所"/>
    <x v="12"/>
    <n v="7"/>
    <x v="12"/>
    <n v="628.17999999999995"/>
    <n v="1149.3399999999999"/>
    <n v="1149.3399999999999"/>
    <s v="単独"/>
    <s v="RC"/>
    <n v="2"/>
    <n v="0"/>
    <s v="旧"/>
    <s v="済"/>
    <x v="1"/>
    <n v="0.77"/>
    <m/>
    <m/>
    <n v="47"/>
    <s v="C"/>
    <s v="D"/>
    <s v="D"/>
    <s v="-"/>
    <s v="D"/>
    <s v="D"/>
    <s v="D"/>
    <s v="-"/>
    <s v="-"/>
    <s v="D"/>
    <n v="86.666666666666671"/>
    <x v="0"/>
    <x v="0"/>
    <m/>
    <m/>
    <s v="公財台帳・固資台帳"/>
    <s v="355"/>
    <s v="G061200"/>
    <x v="4"/>
    <x v="11"/>
  </r>
  <r>
    <s v="175"/>
    <s v="0308"/>
    <s v="荻野保育所"/>
    <x v="22"/>
    <s v="01"/>
    <s v="保育所"/>
    <x v="3"/>
    <n v="3"/>
    <x v="3"/>
    <n v="709.28"/>
    <n v="1096.3"/>
    <n v="1096.3"/>
    <s v="単独"/>
    <s v="RC"/>
    <n v="2"/>
    <n v="0"/>
    <s v="新"/>
    <s v="-"/>
    <x v="1"/>
    <m/>
    <m/>
    <m/>
    <n v="47"/>
    <s v="A"/>
    <s v="A"/>
    <s v="A"/>
    <s v="-"/>
    <s v="A"/>
    <s v="A"/>
    <s v="A"/>
    <s v="-"/>
    <s v="-"/>
    <s v="A"/>
    <n v="7.2727272727272751"/>
    <x v="0"/>
    <x v="0"/>
    <m/>
    <m/>
    <s v="公財台帳・固資台帳"/>
    <s v="355"/>
    <s v="G061200"/>
    <x v="4"/>
    <x v="11"/>
  </r>
  <r>
    <s v="176"/>
    <s v="1001"/>
    <s v="伊丹幼稚園"/>
    <x v="19"/>
    <s v="01"/>
    <s v="園舎"/>
    <x v="13"/>
    <n v="3"/>
    <x v="13"/>
    <n v="436"/>
    <n v="832"/>
    <n v="832"/>
    <s v="複合"/>
    <s v="RC"/>
    <n v="2"/>
    <n v="0"/>
    <s v="旧"/>
    <s v="済"/>
    <x v="1"/>
    <n v="0.74"/>
    <m/>
    <m/>
    <n v="47"/>
    <s v="C"/>
    <s v="C"/>
    <s v="D"/>
    <s v="-"/>
    <s v="C"/>
    <s v="C"/>
    <s v="-"/>
    <s v="D"/>
    <s v="D"/>
    <s v="D"/>
    <n v="85.263157894736835"/>
    <x v="0"/>
    <x v="0"/>
    <m/>
    <m/>
    <s v="学校施設台帳"/>
    <s v="618"/>
    <s v="G600100"/>
    <x v="4"/>
    <x v="12"/>
  </r>
  <r>
    <s v="177"/>
    <s v="1002"/>
    <s v="稲野幼稚園"/>
    <x v="19"/>
    <s v="01"/>
    <s v="園舎"/>
    <x v="1"/>
    <n v="3"/>
    <x v="1"/>
    <n v="395"/>
    <n v="801"/>
    <n v="801"/>
    <s v="単独"/>
    <s v="RC"/>
    <n v="2"/>
    <n v="0"/>
    <s v="旧"/>
    <s v="済"/>
    <x v="1"/>
    <n v="0.71"/>
    <m/>
    <m/>
    <n v="47"/>
    <s v="C"/>
    <s v="C"/>
    <s v="C"/>
    <s v="C"/>
    <s v="C"/>
    <s v="D"/>
    <s v="-"/>
    <s v="D"/>
    <s v="D"/>
    <s v="D"/>
    <n v="78.695652173913047"/>
    <x v="0"/>
    <x v="0"/>
    <m/>
    <m/>
    <s v="学校施設台帳"/>
    <s v="618"/>
    <s v="G600100"/>
    <x v="4"/>
    <x v="12"/>
  </r>
  <r>
    <s v="178"/>
    <s v="1003"/>
    <s v="南幼稚園"/>
    <x v="19"/>
    <s v="01"/>
    <s v="園舎１"/>
    <x v="0"/>
    <n v="3"/>
    <x v="0"/>
    <n v="240"/>
    <n v="474"/>
    <n v="474"/>
    <s v="単独"/>
    <s v="RC"/>
    <n v="2"/>
    <n v="0"/>
    <s v="旧"/>
    <s v="済"/>
    <x v="1"/>
    <n v="0.86"/>
    <m/>
    <n v="2011"/>
    <n v="47"/>
    <s v="C"/>
    <s v="C"/>
    <s v="B"/>
    <s v="-"/>
    <s v="B"/>
    <s v="D"/>
    <s v="-"/>
    <s v="A"/>
    <s v="A"/>
    <s v="C"/>
    <n v="52.10526315789474"/>
    <x v="0"/>
    <x v="0"/>
    <m/>
    <m/>
    <s v="学校施設台帳"/>
    <s v="618"/>
    <s v="G600100"/>
    <x v="4"/>
    <x v="12"/>
  </r>
  <r>
    <s v="178"/>
    <s v="1003"/>
    <s v="南幼稚園"/>
    <x v="19"/>
    <s v="02"/>
    <s v="園舎２"/>
    <x v="0"/>
    <n v="3"/>
    <x v="0"/>
    <n v="205"/>
    <n v="409"/>
    <n v="409"/>
    <s v="単独"/>
    <s v="RC"/>
    <n v="2"/>
    <n v="0"/>
    <s v="旧"/>
    <s v="済"/>
    <x v="1"/>
    <n v="0.85"/>
    <n v="2011"/>
    <n v="2011"/>
    <n v="24"/>
    <s v="C"/>
    <s v="B"/>
    <s v="B"/>
    <s v="-"/>
    <s v="B"/>
    <s v="D"/>
    <s v="-"/>
    <s v="A"/>
    <s v="A"/>
    <s v="B"/>
    <n v="48.421052631578945"/>
    <x v="0"/>
    <x v="0"/>
    <m/>
    <m/>
    <s v="学校施設台帳"/>
    <s v="618"/>
    <s v="G600100"/>
    <x v="4"/>
    <x v="12"/>
  </r>
  <r>
    <s v="179"/>
    <s v="1005"/>
    <s v="緑幼稚園"/>
    <x v="19"/>
    <s v="01"/>
    <s v="園舎"/>
    <x v="12"/>
    <n v="5"/>
    <x v="12"/>
    <n v="440"/>
    <n v="841"/>
    <n v="841"/>
    <s v="単独"/>
    <s v="RC"/>
    <n v="2"/>
    <n v="0"/>
    <s v="旧"/>
    <s v="済"/>
    <x v="1"/>
    <n v="0.77"/>
    <n v="2013"/>
    <m/>
    <n v="47"/>
    <s v="C"/>
    <s v="A"/>
    <s v="C"/>
    <s v="C"/>
    <s v="D"/>
    <s v="D"/>
    <s v="-"/>
    <s v="D"/>
    <s v="D"/>
    <s v="D"/>
    <n v="78.181818181818187"/>
    <x v="0"/>
    <x v="0"/>
    <m/>
    <m/>
    <s v="学校施設台帳"/>
    <s v="618"/>
    <s v="G600100"/>
    <x v="4"/>
    <x v="12"/>
  </r>
  <r>
    <s v="180"/>
    <s v="1006"/>
    <s v="桜台幼稚園"/>
    <x v="19"/>
    <s v="01"/>
    <s v="園舎"/>
    <x v="0"/>
    <n v="9"/>
    <x v="0"/>
    <n v="439"/>
    <n v="796"/>
    <n v="796"/>
    <s v="単独"/>
    <s v="RC"/>
    <n v="2"/>
    <n v="0"/>
    <s v="旧"/>
    <s v="済"/>
    <x v="1"/>
    <n v="0.89"/>
    <n v="2011"/>
    <n v="2011"/>
    <n v="47"/>
    <s v="C"/>
    <s v="B"/>
    <s v="B"/>
    <s v="-"/>
    <s v="B"/>
    <s v="D"/>
    <s v="-"/>
    <s v="A"/>
    <s v="A"/>
    <s v="B"/>
    <n v="47.368421052631582"/>
    <x v="0"/>
    <x v="0"/>
    <m/>
    <m/>
    <s v="学校施設台帳"/>
    <s v="618"/>
    <s v="G600100"/>
    <x v="4"/>
    <x v="12"/>
  </r>
  <r>
    <s v="181"/>
    <s v="1007"/>
    <s v="天神川幼稚園"/>
    <x v="19"/>
    <s v="01"/>
    <s v="園舎"/>
    <x v="0"/>
    <n v="9"/>
    <x v="0"/>
    <n v="433"/>
    <n v="832"/>
    <n v="832"/>
    <s v="単独"/>
    <s v="RC"/>
    <n v="2"/>
    <n v="0"/>
    <s v="旧"/>
    <s v="済"/>
    <x v="1"/>
    <n v="0.75"/>
    <n v="2012"/>
    <m/>
    <n v="47"/>
    <s v="C"/>
    <s v="B"/>
    <s v="B"/>
    <s v="-"/>
    <s v="D"/>
    <s v="D"/>
    <s v="-"/>
    <s v="A"/>
    <s v="A"/>
    <s v="C"/>
    <n v="53.684210526315788"/>
    <x v="0"/>
    <x v="0"/>
    <m/>
    <m/>
    <s v="学校施設台帳"/>
    <s v="618"/>
    <s v="G600100"/>
    <x v="4"/>
    <x v="12"/>
  </r>
  <r>
    <s v="182"/>
    <s v="1008"/>
    <s v="ささはら幼稚園"/>
    <x v="19"/>
    <s v="01"/>
    <s v="園舎"/>
    <x v="7"/>
    <n v="3"/>
    <x v="7"/>
    <n v="376"/>
    <n v="747"/>
    <n v="747"/>
    <s v="単独"/>
    <s v="RC"/>
    <n v="2"/>
    <n v="0"/>
    <s v="旧"/>
    <s v="済"/>
    <x v="1"/>
    <n v="2.52"/>
    <m/>
    <m/>
    <n v="47"/>
    <s v="C"/>
    <s v="D"/>
    <s v="C"/>
    <s v="D"/>
    <s v="D"/>
    <s v="D"/>
    <s v="-"/>
    <s v="D"/>
    <s v="D"/>
    <s v="D"/>
    <n v="86.818181818181813"/>
    <x v="0"/>
    <x v="0"/>
    <m/>
    <m/>
    <s v="学校施設台帳"/>
    <s v="618"/>
    <s v="G600100"/>
    <x v="4"/>
    <x v="12"/>
  </r>
  <r>
    <s v="183"/>
    <s v="1009"/>
    <s v="みずほ幼稚園"/>
    <x v="19"/>
    <s v="01"/>
    <s v="園舎１"/>
    <x v="44"/>
    <n v="8"/>
    <x v="44"/>
    <n v="147"/>
    <n v="294"/>
    <n v="294"/>
    <s v="単独"/>
    <s v="S"/>
    <n v="2"/>
    <n v="0"/>
    <s v="旧"/>
    <s v="済"/>
    <x v="1"/>
    <n v="0.75"/>
    <n v="2013"/>
    <m/>
    <n v="34"/>
    <s v="C"/>
    <s v="D"/>
    <s v="D"/>
    <s v="-"/>
    <s v="D"/>
    <s v="D"/>
    <s v="-"/>
    <s v="D"/>
    <s v="D"/>
    <s v="D"/>
    <n v="92"/>
    <x v="0"/>
    <x v="0"/>
    <m/>
    <m/>
    <s v="学校施設台帳"/>
    <s v="618"/>
    <s v="G600100"/>
    <x v="4"/>
    <x v="12"/>
  </r>
  <r>
    <s v="183"/>
    <s v="1009"/>
    <s v="みずほ幼稚園"/>
    <x v="19"/>
    <s v="02"/>
    <s v="園舎２"/>
    <x v="13"/>
    <n v="3"/>
    <x v="13"/>
    <n v="338"/>
    <n v="499"/>
    <n v="499"/>
    <s v="単独"/>
    <s v="RC"/>
    <n v="2"/>
    <n v="0"/>
    <s v="旧"/>
    <s v="済"/>
    <x v="1"/>
    <n v="0.85"/>
    <n v="2013"/>
    <m/>
    <n v="47"/>
    <s v="B"/>
    <s v="D"/>
    <s v="D"/>
    <s v="-"/>
    <s v="D"/>
    <s v="A"/>
    <s v="-"/>
    <s v="D"/>
    <s v="D"/>
    <s v="D"/>
    <n v="77.89473684210526"/>
    <x v="0"/>
    <x v="0"/>
    <m/>
    <m/>
    <s v="学校施設台帳"/>
    <s v="618"/>
    <s v="G600100"/>
    <x v="4"/>
    <x v="12"/>
  </r>
  <r>
    <s v="184"/>
    <s v="1010"/>
    <s v="ありおか幼稚園"/>
    <x v="19"/>
    <s v="01"/>
    <s v="園舎"/>
    <x v="48"/>
    <n v="3"/>
    <x v="48"/>
    <n v="156"/>
    <n v="328"/>
    <n v="328"/>
    <s v="単独"/>
    <s v="RC"/>
    <n v="2"/>
    <n v="0"/>
    <s v="旧"/>
    <s v="済"/>
    <x v="1"/>
    <n v="0.71"/>
    <m/>
    <m/>
    <n v="47"/>
    <s v="C"/>
    <s v="C"/>
    <s v="C"/>
    <s v="-"/>
    <s v="D"/>
    <s v="C"/>
    <s v="-"/>
    <s v="D"/>
    <s v="D"/>
    <s v="D"/>
    <n v="86.31578947368422"/>
    <x v="0"/>
    <x v="0"/>
    <m/>
    <m/>
    <s v="学校施設台帳"/>
    <s v="618"/>
    <s v="G600100"/>
    <x v="4"/>
    <x v="12"/>
  </r>
  <r>
    <s v="184"/>
    <s v="1010"/>
    <s v="ありおか幼稚園"/>
    <x v="19"/>
    <s v="02"/>
    <s v="機械室"/>
    <x v="49"/>
    <n v="10"/>
    <x v="49"/>
    <n v="30"/>
    <n v="30"/>
    <n v="30"/>
    <s v="単独"/>
    <s v="RC"/>
    <n v="1"/>
    <n v="0"/>
    <s v="旧"/>
    <m/>
    <x v="2"/>
    <m/>
    <m/>
    <m/>
    <n v="38"/>
    <s v="C"/>
    <s v="C"/>
    <s v="C"/>
    <s v="-"/>
    <s v="D"/>
    <s v="-"/>
    <s v="-"/>
    <s v="-"/>
    <s v="-"/>
    <s v="D"/>
    <n v="72.5"/>
    <x v="0"/>
    <x v="0"/>
    <m/>
    <m/>
    <s v="学校施設台帳"/>
    <s v="618"/>
    <s v="G600100"/>
    <x v="4"/>
    <x v="12"/>
  </r>
  <r>
    <s v="184"/>
    <s v="1010"/>
    <s v="ありおか幼稚園"/>
    <x v="19"/>
    <s v="03"/>
    <s v="遊戯室"/>
    <x v="36"/>
    <n v="3"/>
    <x v="36"/>
    <n v="159"/>
    <n v="159"/>
    <n v="159"/>
    <s v="単独"/>
    <s v="RC"/>
    <n v="1"/>
    <n v="0"/>
    <s v="新"/>
    <s v="-"/>
    <x v="1"/>
    <m/>
    <m/>
    <m/>
    <n v="47"/>
    <s v="B"/>
    <s v="C"/>
    <s v="C"/>
    <s v="-"/>
    <s v="D"/>
    <s v="C"/>
    <s v="-"/>
    <s v="-"/>
    <s v="-"/>
    <s v="D"/>
    <n v="70.588235294117638"/>
    <x v="0"/>
    <x v="0"/>
    <m/>
    <m/>
    <s v="学校施設台帳"/>
    <s v="618"/>
    <s v="G600100"/>
    <x v="4"/>
    <x v="12"/>
  </r>
  <r>
    <s v="185"/>
    <s v="1011"/>
    <s v="はなさと幼稚園"/>
    <x v="19"/>
    <s v="01"/>
    <s v="園舎"/>
    <x v="10"/>
    <n v="3"/>
    <x v="10"/>
    <n v="221"/>
    <n v="442"/>
    <n v="442"/>
    <s v="単独"/>
    <s v="RC"/>
    <n v="2"/>
    <n v="0"/>
    <s v="旧"/>
    <s v="済"/>
    <x v="1"/>
    <n v="0.86"/>
    <n v="2009"/>
    <m/>
    <n v="47"/>
    <s v="C"/>
    <s v="D"/>
    <s v="D"/>
    <s v="-"/>
    <s v="D"/>
    <s v="D"/>
    <s v="-"/>
    <s v="C"/>
    <s v="B"/>
    <s v="D"/>
    <n v="78.5"/>
    <x v="0"/>
    <x v="0"/>
    <m/>
    <m/>
    <s v="学校施設台帳"/>
    <s v="618"/>
    <s v="G600100"/>
    <x v="4"/>
    <x v="12"/>
  </r>
  <r>
    <s v="185"/>
    <s v="1011"/>
    <s v="はなさと幼稚園"/>
    <x v="19"/>
    <s v="02"/>
    <s v="遊戯室"/>
    <x v="30"/>
    <n v="3"/>
    <x v="30"/>
    <n v="174"/>
    <n v="174"/>
    <n v="174"/>
    <s v="単独"/>
    <s v="RC"/>
    <n v="1"/>
    <n v="0"/>
    <s v="新"/>
    <s v="-"/>
    <x v="1"/>
    <m/>
    <m/>
    <m/>
    <n v="15"/>
    <s v="B"/>
    <s v="D"/>
    <s v="D"/>
    <s v="-"/>
    <s v="D"/>
    <s v="D"/>
    <s v="-"/>
    <s v="-"/>
    <s v="-"/>
    <s v="D"/>
    <n v="77.777777777777786"/>
    <x v="0"/>
    <x v="0"/>
    <m/>
    <m/>
    <s v="学校施設台帳"/>
    <s v="618"/>
    <s v="G600100"/>
    <x v="4"/>
    <x v="12"/>
  </r>
  <r>
    <s v="186"/>
    <s v="1012"/>
    <s v="こやのさと幼稚園"/>
    <x v="19"/>
    <s v="01"/>
    <s v="園舎"/>
    <x v="1"/>
    <n v="3"/>
    <x v="1"/>
    <n v="558"/>
    <n v="912"/>
    <n v="912"/>
    <s v="単独"/>
    <s v="RC"/>
    <n v="2"/>
    <n v="0"/>
    <s v="旧"/>
    <s v="済"/>
    <x v="1"/>
    <n v="1.06"/>
    <m/>
    <n v="1994"/>
    <n v="47"/>
    <s v="C"/>
    <s v="A"/>
    <s v="D"/>
    <s v="-"/>
    <s v="D"/>
    <s v="D"/>
    <s v="-"/>
    <s v="D"/>
    <s v="D"/>
    <s v="D"/>
    <n v="81.05263157894737"/>
    <x v="0"/>
    <x v="0"/>
    <m/>
    <m/>
    <s v="学校施設台帳"/>
    <s v="618"/>
    <s v="G600100"/>
    <x v="4"/>
    <x v="12"/>
  </r>
  <r>
    <s v="187"/>
    <s v="1013"/>
    <s v="せつよう幼稚園"/>
    <x v="19"/>
    <s v="01"/>
    <s v="園舎"/>
    <x v="12"/>
    <n v="8"/>
    <x v="12"/>
    <n v="432"/>
    <n v="840"/>
    <n v="840"/>
    <s v="単独"/>
    <s v="RC"/>
    <n v="2"/>
    <n v="0"/>
    <s v="旧"/>
    <s v="済"/>
    <x v="1"/>
    <n v="0.81"/>
    <n v="2013"/>
    <m/>
    <n v="47"/>
    <s v="C"/>
    <s v="C"/>
    <s v="D"/>
    <s v="D"/>
    <s v="C"/>
    <s v="D"/>
    <s v="-"/>
    <s v="D"/>
    <s v="D"/>
    <s v="D"/>
    <n v="86.36363636363636"/>
    <x v="0"/>
    <x v="0"/>
    <m/>
    <m/>
    <s v="学校施設台帳"/>
    <s v="618"/>
    <s v="G600100"/>
    <x v="4"/>
    <x v="12"/>
  </r>
  <r>
    <s v="188"/>
    <s v="1014"/>
    <s v="すずはら幼稚園"/>
    <x v="19"/>
    <s v="01"/>
    <s v="園舎"/>
    <x v="12"/>
    <n v="5"/>
    <x v="12"/>
    <n v="470"/>
    <n v="858"/>
    <n v="858"/>
    <s v="複合"/>
    <s v="RC"/>
    <n v="2"/>
    <n v="0"/>
    <s v="旧"/>
    <s v="済"/>
    <x v="1"/>
    <n v="0.82"/>
    <n v="2013"/>
    <m/>
    <n v="47"/>
    <s v="C"/>
    <s v="C"/>
    <s v="D"/>
    <s v="D"/>
    <s v="D"/>
    <s v="D"/>
    <s v="-"/>
    <s v="D"/>
    <s v="D"/>
    <s v="D"/>
    <n v="88.63636363636364"/>
    <x v="0"/>
    <x v="0"/>
    <m/>
    <m/>
    <s v="学校施設台帳"/>
    <s v="618"/>
    <s v="G600100"/>
    <x v="4"/>
    <x v="12"/>
  </r>
  <r>
    <s v="189"/>
    <s v="1015"/>
    <s v="おぎの幼稚園"/>
    <x v="19"/>
    <s v="01"/>
    <s v="園舎"/>
    <x v="7"/>
    <n v="3"/>
    <x v="7"/>
    <n v="456"/>
    <n v="848"/>
    <n v="848"/>
    <s v="単独"/>
    <s v="RC"/>
    <n v="2"/>
    <n v="0"/>
    <s v="旧"/>
    <s v="済"/>
    <x v="1"/>
    <n v="0.76"/>
    <m/>
    <m/>
    <n v="47"/>
    <s v="C"/>
    <s v="C"/>
    <s v="D"/>
    <s v="-"/>
    <s v="C"/>
    <s v="D"/>
    <s v="-"/>
    <s v="D"/>
    <s v="D"/>
    <s v="D"/>
    <n v="80.526315789473685"/>
    <x v="0"/>
    <x v="0"/>
    <m/>
    <m/>
    <s v="学校施設台帳"/>
    <s v="618"/>
    <s v="G600100"/>
    <x v="4"/>
    <x v="12"/>
  </r>
  <r>
    <s v="190"/>
    <s v="1016"/>
    <s v="いけじり幼稚園"/>
    <x v="19"/>
    <s v="01"/>
    <s v="園舎"/>
    <x v="29"/>
    <n v="5"/>
    <x v="29"/>
    <n v="443"/>
    <n v="849"/>
    <n v="849"/>
    <s v="単独"/>
    <s v="RC"/>
    <n v="2"/>
    <n v="0"/>
    <s v="旧"/>
    <s v="済"/>
    <x v="1"/>
    <n v="0.77"/>
    <m/>
    <m/>
    <n v="47"/>
    <s v="B"/>
    <s v="B"/>
    <s v="D"/>
    <s v="C"/>
    <s v="D"/>
    <s v="D"/>
    <s v="-"/>
    <s v="D"/>
    <s v="D"/>
    <s v="D"/>
    <n v="77.272727272727266"/>
    <x v="0"/>
    <x v="0"/>
    <m/>
    <m/>
    <s v="学校施設台帳"/>
    <s v="618"/>
    <s v="G600100"/>
    <x v="4"/>
    <x v="12"/>
  </r>
  <r>
    <s v="191"/>
    <s v="1017"/>
    <s v="こうのいけ幼稚園"/>
    <x v="19"/>
    <s v="01"/>
    <s v="園舎１"/>
    <x v="30"/>
    <n v="5"/>
    <x v="30"/>
    <n v="230"/>
    <n v="230"/>
    <n v="230"/>
    <s v="単独"/>
    <s v="RC"/>
    <n v="1"/>
    <n v="0"/>
    <s v="新"/>
    <s v="-"/>
    <x v="1"/>
    <m/>
    <m/>
    <m/>
    <n v="47"/>
    <s v="B"/>
    <s v="D"/>
    <s v="B"/>
    <s v="-"/>
    <s v="C"/>
    <s v="D"/>
    <s v="-"/>
    <s v="D"/>
    <s v="D"/>
    <s v="D"/>
    <n v="76.84210526315789"/>
    <x v="0"/>
    <x v="0"/>
    <m/>
    <m/>
    <s v="学校施設台帳"/>
    <s v="618"/>
    <s v="G600100"/>
    <x v="4"/>
    <x v="12"/>
  </r>
  <r>
    <s v="191"/>
    <s v="1017"/>
    <s v="こうのいけ幼稚園"/>
    <x v="19"/>
    <s v="02"/>
    <s v="遊戯室"/>
    <x v="30"/>
    <n v="5"/>
    <x v="30"/>
    <n v="203"/>
    <n v="203"/>
    <n v="203"/>
    <s v="単独"/>
    <s v="RC"/>
    <n v="1"/>
    <n v="0"/>
    <s v="新"/>
    <s v="-"/>
    <x v="1"/>
    <m/>
    <m/>
    <m/>
    <n v="47"/>
    <s v="B"/>
    <s v="D"/>
    <s v="B"/>
    <s v="-"/>
    <s v="C"/>
    <s v="D"/>
    <s v="-"/>
    <s v="D"/>
    <s v="D"/>
    <s v="D"/>
    <n v="76.84210526315789"/>
    <x v="0"/>
    <x v="0"/>
    <m/>
    <m/>
    <s v="学校施設台帳"/>
    <s v="618"/>
    <s v="G600100"/>
    <x v="4"/>
    <x v="12"/>
  </r>
  <r>
    <s v="191"/>
    <s v="1017"/>
    <s v="こうのいけ幼稚園"/>
    <x v="19"/>
    <s v="03"/>
    <s v="園舎２"/>
    <x v="30"/>
    <n v="5"/>
    <x v="30"/>
    <n v="79"/>
    <n v="79"/>
    <n v="79"/>
    <s v="単独"/>
    <s v="RC"/>
    <n v="1"/>
    <n v="0"/>
    <s v="新"/>
    <s v="-"/>
    <x v="1"/>
    <m/>
    <m/>
    <m/>
    <n v="47"/>
    <s v="B"/>
    <s v="D"/>
    <s v="B"/>
    <s v="-"/>
    <s v="C"/>
    <s v="D"/>
    <s v="-"/>
    <s v="D"/>
    <s v="D"/>
    <s v="D"/>
    <n v="76.84210526315789"/>
    <x v="0"/>
    <x v="0"/>
    <m/>
    <m/>
    <s v="学校施設台帳"/>
    <s v="618"/>
    <s v="G600100"/>
    <x v="4"/>
    <x v="12"/>
  </r>
  <r>
    <s v="191"/>
    <s v="1017"/>
    <s v="こうのいけ幼稚園"/>
    <x v="19"/>
    <s v="04"/>
    <s v="園舎３"/>
    <x v="54"/>
    <n v="2"/>
    <x v="54"/>
    <n v="80"/>
    <n v="80"/>
    <n v="80"/>
    <s v="単独"/>
    <s v="RC"/>
    <n v="1"/>
    <n v="0"/>
    <s v="新"/>
    <s v="-"/>
    <x v="1"/>
    <m/>
    <m/>
    <m/>
    <n v="47"/>
    <s v="A"/>
    <s v="C"/>
    <s v="D"/>
    <s v="-"/>
    <s v="C"/>
    <s v="D"/>
    <s v="-"/>
    <s v="C"/>
    <s v="B"/>
    <s v="C"/>
    <n v="55.263157894736835"/>
    <x v="0"/>
    <x v="0"/>
    <m/>
    <m/>
    <s v="学校施設台帳"/>
    <s v="618"/>
    <s v="G600100"/>
    <x v="4"/>
    <x v="12"/>
  </r>
  <r>
    <s v="191"/>
    <s v="1017"/>
    <s v="こうのいけ幼稚園"/>
    <x v="19"/>
    <s v="05"/>
    <s v="倉庫"/>
    <x v="30"/>
    <n v="5"/>
    <x v="30"/>
    <m/>
    <n v="10"/>
    <n v="10"/>
    <s v="単独"/>
    <s v="RC"/>
    <n v="1"/>
    <n v="0"/>
    <s v="新"/>
    <s v="-"/>
    <x v="1"/>
    <m/>
    <m/>
    <m/>
    <n v="38"/>
    <s v="B"/>
    <s v="D"/>
    <s v="D"/>
    <s v="-"/>
    <s v="D"/>
    <s v="-"/>
    <s v="-"/>
    <s v="-"/>
    <s v="-"/>
    <s v="D"/>
    <n v="75"/>
    <x v="0"/>
    <x v="0"/>
    <m/>
    <m/>
    <s v="学校施設台帳"/>
    <s v="618"/>
    <s v="G600100"/>
    <x v="4"/>
    <x v="12"/>
  </r>
  <r>
    <s v="192"/>
    <s v="0350"/>
    <s v="地域福祉総合センター"/>
    <x v="23"/>
    <s v="01"/>
    <s v="福祉総合ｾﾝﾀｰ"/>
    <x v="8"/>
    <n v="2"/>
    <x v="8"/>
    <n v="842.27"/>
    <n v="2556.71"/>
    <n v="2556.71"/>
    <s v="単独"/>
    <s v="RC"/>
    <n v="4"/>
    <n v="0"/>
    <s v="新"/>
    <s v="-"/>
    <x v="1"/>
    <m/>
    <m/>
    <m/>
    <n v="50"/>
    <s v="A"/>
    <s v="B"/>
    <s v="D"/>
    <s v="-"/>
    <s v="C"/>
    <s v="D"/>
    <s v="B"/>
    <s v="-"/>
    <s v="-"/>
    <s v="C"/>
    <n v="53.714285714285715"/>
    <x v="0"/>
    <x v="0"/>
    <m/>
    <m/>
    <s v="公財台帳・固資台帳"/>
    <s v="285"/>
    <s v="G052100"/>
    <x v="5"/>
    <x v="13"/>
  </r>
  <r>
    <s v="193"/>
    <s v="0337"/>
    <s v="サンシティホール"/>
    <x v="23"/>
    <s v="01"/>
    <s v="ｻﾝｼﾃｨﾎｰﾙ"/>
    <x v="28"/>
    <n v="3"/>
    <x v="28"/>
    <n v="1870.89"/>
    <n v="3177.31"/>
    <n v="3177.31"/>
    <s v="単独"/>
    <s v="RC"/>
    <n v="2"/>
    <n v="0"/>
    <s v="新"/>
    <s v="-"/>
    <x v="1"/>
    <m/>
    <m/>
    <m/>
    <n v="50"/>
    <s v="B"/>
    <s v="C"/>
    <s v="C"/>
    <s v="A"/>
    <s v="D"/>
    <s v="D"/>
    <s v="C"/>
    <s v="-"/>
    <s v="-"/>
    <s v="C"/>
    <n v="60.909090909090914"/>
    <x v="0"/>
    <x v="0"/>
    <m/>
    <m/>
    <s v="公財台帳・固資台帳"/>
    <s v="285"/>
    <s v="G052100"/>
    <x v="5"/>
    <x v="13"/>
  </r>
  <r>
    <s v="193"/>
    <s v="0337"/>
    <s v="サンシティホール"/>
    <x v="23"/>
    <s v="02"/>
    <s v="ポンプ室"/>
    <x v="28"/>
    <n v="3"/>
    <x v="28"/>
    <m/>
    <n v="67.88"/>
    <n v="67.88"/>
    <s v="単独"/>
    <m/>
    <m/>
    <m/>
    <s v="新"/>
    <s v="-"/>
    <x v="1"/>
    <m/>
    <m/>
    <m/>
    <n v="38"/>
    <s v="-"/>
    <s v="-"/>
    <s v="-"/>
    <s v="-"/>
    <s v="-"/>
    <s v="-"/>
    <s v="-"/>
    <s v="-"/>
    <s v="-"/>
    <s v="-"/>
    <s v="-"/>
    <x v="0"/>
    <x v="0"/>
    <m/>
    <m/>
    <s v="公財台帳・固資台帳"/>
    <s v="285"/>
    <s v="G052100"/>
    <x v="5"/>
    <x v="13"/>
  </r>
  <r>
    <s v="194"/>
    <s v="0347"/>
    <s v="神津福祉センター"/>
    <x v="23"/>
    <s v="01"/>
    <s v="神津福祉ｾﾝﾀｰ"/>
    <x v="23"/>
    <m/>
    <x v="23"/>
    <n v="2721.42"/>
    <n v="1190.1300000000001"/>
    <n v="1190.1300000000001"/>
    <s v="複合"/>
    <s v="RC"/>
    <n v="4"/>
    <n v="0"/>
    <s v="新"/>
    <s v="-"/>
    <x v="1"/>
    <m/>
    <m/>
    <m/>
    <n v="50"/>
    <s v="A"/>
    <s v="C"/>
    <s v="A"/>
    <s v="-"/>
    <s v="C"/>
    <s v="D"/>
    <s v="C"/>
    <s v="-"/>
    <s v="-"/>
    <s v="B"/>
    <n v="46.666666666666664"/>
    <x v="0"/>
    <x v="0"/>
    <m/>
    <m/>
    <s v="公財台帳・固資台帳"/>
    <s v="285"/>
    <s v="G052100"/>
    <x v="5"/>
    <x v="13"/>
  </r>
  <r>
    <s v="195"/>
    <s v="0321"/>
    <s v="高齢者憩のセンター"/>
    <x v="23"/>
    <s v="01"/>
    <s v="高齢者憩のｾﾝﾀｰ"/>
    <x v="26"/>
    <n v="11"/>
    <x v="26"/>
    <n v="380.07"/>
    <n v="291.45"/>
    <n v="291.45"/>
    <s v="複合"/>
    <s v="RC"/>
    <n v="2"/>
    <n v="0"/>
    <s v="旧"/>
    <m/>
    <x v="2"/>
    <m/>
    <m/>
    <m/>
    <n v="50"/>
    <s v="B"/>
    <s v="D"/>
    <s v="D"/>
    <s v="-"/>
    <s v="D"/>
    <s v="D"/>
    <s v="D"/>
    <s v="-"/>
    <s v="-"/>
    <s v="D"/>
    <n v="83.428571428571431"/>
    <x v="0"/>
    <x v="0"/>
    <m/>
    <m/>
    <s v="公財台帳・固資台帳"/>
    <s v="285"/>
    <s v="G052100"/>
    <x v="5"/>
    <x v="13"/>
  </r>
  <r>
    <s v="196"/>
    <s v="0344"/>
    <s v="ふれあいセンター"/>
    <x v="5"/>
    <s v="01"/>
    <s v="ふれあいｾﾝﾀｰ"/>
    <x v="14"/>
    <n v="3"/>
    <x v="14"/>
    <n v="461.58"/>
    <n v="735.91"/>
    <n v="735.91"/>
    <s v="単独"/>
    <s v="RC"/>
    <n v="2"/>
    <n v="0"/>
    <s v="新"/>
    <s v="-"/>
    <x v="1"/>
    <m/>
    <m/>
    <m/>
    <n v="47"/>
    <s v="B"/>
    <s v="D"/>
    <s v="B"/>
    <s v="-"/>
    <s v="D"/>
    <s v="D"/>
    <s v="C"/>
    <s v="-"/>
    <s v="-"/>
    <s v="C"/>
    <n v="57.674418604651166"/>
    <x v="0"/>
    <x v="0"/>
    <m/>
    <m/>
    <s v="公財台帳・固資台帳"/>
    <s v="220"/>
    <s v="G043300"/>
    <x v="5"/>
    <x v="13"/>
  </r>
  <r>
    <s v="197"/>
    <s v="0319"/>
    <s v="障害者福祉センター"/>
    <x v="24"/>
    <s v="01"/>
    <s v="本館棟"/>
    <x v="12"/>
    <n v="3"/>
    <x v="12"/>
    <n v="1675.29"/>
    <n v="2813.27"/>
    <n v="2813.27"/>
    <s v="単独"/>
    <s v="RC"/>
    <n v="4"/>
    <n v="0"/>
    <s v="旧"/>
    <s v="済"/>
    <x v="1"/>
    <n v="0.52"/>
    <n v="2014"/>
    <n v="2014"/>
    <n v="50"/>
    <s v="C"/>
    <s v="A"/>
    <s v="A"/>
    <s v="-"/>
    <s v="A"/>
    <s v="A"/>
    <s v="A"/>
    <s v="-"/>
    <s v="-"/>
    <s v="B"/>
    <n v="35.151515151515156"/>
    <x v="0"/>
    <x v="0"/>
    <m/>
    <m/>
    <s v="公財台帳・固資台帳"/>
    <s v="300"/>
    <s v="G052400"/>
    <x v="5"/>
    <x v="14"/>
  </r>
  <r>
    <s v="197"/>
    <s v="0319"/>
    <s v="障害者福祉センター"/>
    <x v="24"/>
    <s v="02"/>
    <s v="プール棟"/>
    <x v="12"/>
    <n v="3"/>
    <x v="12"/>
    <m/>
    <n v="459.12"/>
    <n v="459.12"/>
    <s v="単独"/>
    <m/>
    <m/>
    <m/>
    <s v="旧"/>
    <s v="済"/>
    <x v="1"/>
    <m/>
    <m/>
    <m/>
    <n v="50"/>
    <s v="-"/>
    <s v="-"/>
    <s v="-"/>
    <s v="-"/>
    <s v="-"/>
    <s v="-"/>
    <s v="-"/>
    <s v="-"/>
    <s v="-"/>
    <s v="-"/>
    <s v="-"/>
    <x v="0"/>
    <x v="0"/>
    <m/>
    <m/>
    <s v="公財台帳・固資台帳"/>
    <s v="300"/>
    <s v="G052400"/>
    <x v="5"/>
    <x v="14"/>
  </r>
  <r>
    <s v="197"/>
    <s v="0319"/>
    <s v="障害者福祉センター"/>
    <x v="24"/>
    <s v="03"/>
    <s v="車寄せ"/>
    <x v="12"/>
    <n v="3"/>
    <x v="12"/>
    <m/>
    <n v="172.75"/>
    <n v="172.75"/>
    <s v="単独"/>
    <m/>
    <m/>
    <m/>
    <s v="旧"/>
    <s v="済"/>
    <x v="1"/>
    <m/>
    <m/>
    <m/>
    <n v="50"/>
    <s v="-"/>
    <s v="-"/>
    <s v="-"/>
    <s v="-"/>
    <s v="-"/>
    <s v="-"/>
    <s v="-"/>
    <s v="-"/>
    <s v="-"/>
    <s v="-"/>
    <s v="-"/>
    <x v="0"/>
    <x v="0"/>
    <m/>
    <m/>
    <s v="公財台帳・固資台帳"/>
    <s v="300"/>
    <s v="G052400"/>
    <x v="5"/>
    <x v="14"/>
  </r>
  <r>
    <s v="198"/>
    <s v="0354"/>
    <s v="障害者デイサービスセンター"/>
    <x v="24"/>
    <s v="01"/>
    <s v="ﾃﾞｲｻｰﾋﾞｽｾﾝﾀｰ"/>
    <x v="32"/>
    <n v="3"/>
    <x v="32"/>
    <n v="415.74"/>
    <n v="998.2"/>
    <n v="998.2"/>
    <s v="単独"/>
    <s v="RC"/>
    <n v="2"/>
    <n v="0"/>
    <s v="新"/>
    <s v="-"/>
    <x v="1"/>
    <m/>
    <m/>
    <m/>
    <n v="50"/>
    <s v="B"/>
    <s v="C"/>
    <s v="D"/>
    <s v="-"/>
    <s v="D"/>
    <s v="C"/>
    <s v="C"/>
    <s v="-"/>
    <s v="-"/>
    <s v="C"/>
    <n v="62.631578947368418"/>
    <x v="0"/>
    <x v="0"/>
    <m/>
    <m/>
    <s v="公財台帳・固資台帳"/>
    <s v="300"/>
    <s v="G052400"/>
    <x v="5"/>
    <x v="14"/>
  </r>
  <r>
    <s v="199"/>
    <s v="0310"/>
    <s v="つつじ学園"/>
    <x v="25"/>
    <s v="01"/>
    <s v="園舎"/>
    <x v="47"/>
    <n v="3"/>
    <x v="47"/>
    <n v="389"/>
    <n v="383.2"/>
    <n v="383.2"/>
    <s v="単独"/>
    <s v="RC"/>
    <n v="1"/>
    <n v="0"/>
    <s v="旧"/>
    <m/>
    <x v="2"/>
    <m/>
    <m/>
    <m/>
    <n v="47"/>
    <s v="-"/>
    <s v="-"/>
    <s v="-"/>
    <s v="-"/>
    <s v="-"/>
    <s v="-"/>
    <s v="-"/>
    <s v="-"/>
    <s v="-"/>
    <s v="-"/>
    <s v="-"/>
    <x v="0"/>
    <x v="1"/>
    <d v="2016-03-31T00:00:00"/>
    <m/>
    <s v="公財台帳・固資台帳"/>
    <s v="395"/>
    <s v="G061800"/>
    <x v="5"/>
    <x v="14"/>
  </r>
  <r>
    <s v="199"/>
    <s v="0310"/>
    <s v="つつじ学園"/>
    <x v="25"/>
    <s v="02"/>
    <s v="機械室"/>
    <x v="49"/>
    <n v="9"/>
    <x v="49"/>
    <m/>
    <n v="12.41"/>
    <n v="12.41"/>
    <s v="単独"/>
    <m/>
    <m/>
    <m/>
    <s v="旧"/>
    <m/>
    <x v="2"/>
    <m/>
    <m/>
    <m/>
    <n v="47"/>
    <s v="-"/>
    <s v="-"/>
    <s v="-"/>
    <s v="-"/>
    <s v="-"/>
    <s v="-"/>
    <s v="-"/>
    <s v="-"/>
    <s v="-"/>
    <s v="-"/>
    <s v="-"/>
    <x v="0"/>
    <x v="1"/>
    <d v="2016-03-31T00:00:00"/>
    <m/>
    <s v="公財台帳・固資台帳"/>
    <s v="395"/>
    <s v="G061800"/>
    <x v="5"/>
    <x v="14"/>
  </r>
  <r>
    <s v="199"/>
    <s v="0310"/>
    <s v="つつじ学園"/>
    <x v="25"/>
    <s v="03"/>
    <s v="ﾌﾟﾚｲﾙｰﾑ"/>
    <x v="29"/>
    <n v="8"/>
    <x v="29"/>
    <m/>
    <n v="19.440000000000001"/>
    <n v="19.440000000000001"/>
    <s v="単独"/>
    <m/>
    <m/>
    <m/>
    <s v="旧"/>
    <m/>
    <x v="2"/>
    <m/>
    <m/>
    <m/>
    <n v="27"/>
    <s v="-"/>
    <s v="-"/>
    <s v="-"/>
    <s v="-"/>
    <s v="-"/>
    <s v="-"/>
    <s v="-"/>
    <s v="-"/>
    <s v="-"/>
    <s v="-"/>
    <s v="-"/>
    <x v="0"/>
    <x v="1"/>
    <d v="2016-03-31T00:00:00"/>
    <m/>
    <s v="公財台帳・固資台帳"/>
    <s v="395"/>
    <s v="G061800"/>
    <x v="5"/>
    <x v="14"/>
  </r>
  <r>
    <s v="200"/>
    <s v="0311"/>
    <s v="きぼう園"/>
    <x v="25"/>
    <s v="01"/>
    <s v="園舎"/>
    <x v="35"/>
    <n v="3"/>
    <x v="35"/>
    <n v="772.12"/>
    <n v="1052"/>
    <n v="740"/>
    <s v="複合"/>
    <s v="RC"/>
    <n v="2"/>
    <n v="0"/>
    <s v="新"/>
    <s v="-"/>
    <x v="1"/>
    <m/>
    <m/>
    <m/>
    <n v="50"/>
    <s v="-"/>
    <s v="-"/>
    <s v="-"/>
    <s v="-"/>
    <s v="-"/>
    <s v="-"/>
    <s v="-"/>
    <s v="-"/>
    <s v="-"/>
    <s v="-"/>
    <s v="-"/>
    <x v="0"/>
    <x v="1"/>
    <d v="2016-03-31T00:00:00"/>
    <m/>
    <s v="公財台帳・固資台帳"/>
    <s v="395"/>
    <s v="G061800"/>
    <x v="5"/>
    <x v="14"/>
  </r>
  <r>
    <s v="201"/>
    <s v="0013"/>
    <s v="児童発達支援事業所(カルミア)"/>
    <x v="25"/>
    <s v="01"/>
    <s v="園舎"/>
    <x v="35"/>
    <n v="3"/>
    <x v="35"/>
    <n v="772.12"/>
    <n v="1052"/>
    <n v="312"/>
    <s v="複合"/>
    <s v="RC"/>
    <n v="2"/>
    <n v="0"/>
    <s v="新"/>
    <s v="-"/>
    <x v="1"/>
    <m/>
    <m/>
    <m/>
    <n v="50"/>
    <s v="-"/>
    <s v="-"/>
    <s v="-"/>
    <s v="-"/>
    <s v="-"/>
    <s v="-"/>
    <s v="-"/>
    <s v="-"/>
    <s v="-"/>
    <s v="-"/>
    <s v="-"/>
    <x v="0"/>
    <x v="1"/>
    <d v="2016-03-31T00:00:00"/>
    <m/>
    <s v="公財台帳・固資台帳"/>
    <s v="395"/>
    <s v="G061800"/>
    <x v="5"/>
    <x v="14"/>
  </r>
  <r>
    <s v="202"/>
    <s v="0312"/>
    <s v="こども発達支援センター"/>
    <x v="25"/>
    <s v="01"/>
    <s v="こども発達支援センター"/>
    <x v="3"/>
    <n v="3"/>
    <x v="3"/>
    <m/>
    <n v="2795.75"/>
    <n v="2795.75"/>
    <s v="単独"/>
    <s v="RC"/>
    <n v="4"/>
    <n v="0"/>
    <s v="新"/>
    <s v="-"/>
    <x v="1"/>
    <m/>
    <m/>
    <m/>
    <n v="50"/>
    <s v="A"/>
    <s v="A"/>
    <s v="A"/>
    <s v="A"/>
    <s v="A"/>
    <s v="A"/>
    <s v="A"/>
    <s v="A"/>
    <s v="A"/>
    <s v="A"/>
    <n v="3.6000000000000032"/>
    <x v="0"/>
    <x v="0"/>
    <m/>
    <m/>
    <s v="公財台帳・固資台帳"/>
    <s v="395"/>
    <s v="G061800"/>
    <x v="5"/>
    <x v="14"/>
  </r>
  <r>
    <s v="203"/>
    <s v="0822"/>
    <s v="長尾住宅"/>
    <x v="26"/>
    <s v="01"/>
    <s v="1号館"/>
    <x v="57"/>
    <m/>
    <x v="57"/>
    <n v="726.68"/>
    <n v="2410.17"/>
    <n v="2410.17"/>
    <s v="単独"/>
    <s v="RC"/>
    <n v="4"/>
    <n v="0"/>
    <s v="新"/>
    <s v="-"/>
    <x v="1"/>
    <m/>
    <m/>
    <m/>
    <n v="47"/>
    <s v="A"/>
    <s v="A"/>
    <s v="A"/>
    <s v="-"/>
    <s v="-"/>
    <s v="-"/>
    <s v="C"/>
    <s v="C"/>
    <s v="-"/>
    <s v="B"/>
    <n v="41.935483870967737"/>
    <x v="0"/>
    <x v="0"/>
    <m/>
    <m/>
    <s v="公財台帳・固資台帳"/>
    <s v="454"/>
    <s v="G051100"/>
    <x v="6"/>
    <x v="15"/>
  </r>
  <r>
    <s v="203"/>
    <s v="0822"/>
    <s v="長尾住宅"/>
    <x v="26"/>
    <s v="02"/>
    <s v="2号館"/>
    <x v="57"/>
    <m/>
    <x v="57"/>
    <n v="547.9348"/>
    <n v="3344.58"/>
    <n v="3344.58"/>
    <s v="単独"/>
    <s v="RC"/>
    <n v="3"/>
    <n v="0"/>
    <s v="新"/>
    <s v="-"/>
    <x v="1"/>
    <m/>
    <m/>
    <m/>
    <n v="47"/>
    <s v="A"/>
    <s v="A"/>
    <s v="A"/>
    <s v="-"/>
    <s v="-"/>
    <s v="-"/>
    <s v="C"/>
    <s v="C"/>
    <s v="-"/>
    <s v="B"/>
    <n v="41.935483870967737"/>
    <x v="0"/>
    <x v="0"/>
    <m/>
    <m/>
    <s v="公財台帳・固資台帳"/>
    <s v="454"/>
    <s v="G051100"/>
    <x v="6"/>
    <x v="15"/>
  </r>
  <r>
    <s v="203"/>
    <s v="0822"/>
    <s v="長尾住宅"/>
    <x v="26"/>
    <s v="03"/>
    <s v="3号館"/>
    <x v="38"/>
    <m/>
    <x v="38"/>
    <n v="769.96"/>
    <n v="2430.81"/>
    <n v="2430.81"/>
    <s v="単独"/>
    <s v="RC"/>
    <n v="4"/>
    <n v="0"/>
    <s v="新"/>
    <s v="-"/>
    <x v="1"/>
    <m/>
    <m/>
    <m/>
    <n v="47"/>
    <s v="B"/>
    <s v="A"/>
    <s v="A"/>
    <s v="-"/>
    <s v="-"/>
    <s v="-"/>
    <s v="C"/>
    <s v="C"/>
    <s v="-"/>
    <s v="B"/>
    <n v="43.870967741935488"/>
    <x v="0"/>
    <x v="0"/>
    <m/>
    <m/>
    <s v="公財台帳・固資台帳"/>
    <s v="454"/>
    <s v="G051100"/>
    <x v="6"/>
    <x v="15"/>
  </r>
  <r>
    <s v="204"/>
    <s v="0827"/>
    <s v="鴻池南住宅"/>
    <x v="26"/>
    <s v="01"/>
    <s v="鴻池南住宅"/>
    <x v="57"/>
    <m/>
    <x v="57"/>
    <n v="778.18"/>
    <n v="2731.48"/>
    <n v="2731.48"/>
    <s v="単独"/>
    <s v="RC"/>
    <n v="4"/>
    <n v="0"/>
    <s v="新"/>
    <s v="-"/>
    <x v="1"/>
    <m/>
    <m/>
    <m/>
    <n v="47"/>
    <s v="B"/>
    <s v="A"/>
    <s v="A"/>
    <s v="-"/>
    <s v="-"/>
    <s v="-"/>
    <s v="C"/>
    <s v="A"/>
    <s v="-"/>
    <s v="B"/>
    <n v="30.967741935483872"/>
    <x v="0"/>
    <x v="0"/>
    <m/>
    <m/>
    <s v="公財台帳・固資台帳"/>
    <s v="454"/>
    <s v="G051100"/>
    <x v="6"/>
    <x v="15"/>
  </r>
  <r>
    <s v="205"/>
    <s v="0806"/>
    <s v="玉田団地"/>
    <x v="26"/>
    <s v="01"/>
    <s v="1号館"/>
    <x v="55"/>
    <m/>
    <x v="55"/>
    <n v="230.66"/>
    <n v="934.08"/>
    <n v="934.08"/>
    <s v="単独"/>
    <s v="RC"/>
    <n v="4"/>
    <n v="0"/>
    <s v="旧"/>
    <m/>
    <x v="2"/>
    <m/>
    <m/>
    <m/>
    <n v="47"/>
    <s v="C"/>
    <s v="C"/>
    <s v="D"/>
    <s v="-"/>
    <s v="-"/>
    <s v="-"/>
    <s v="B"/>
    <s v="C"/>
    <s v="-"/>
    <s v="D"/>
    <n v="78.709677419354847"/>
    <x v="0"/>
    <x v="0"/>
    <m/>
    <m/>
    <s v="公財台帳・固資台帳"/>
    <s v="454"/>
    <s v="G051100"/>
    <x v="6"/>
    <x v="15"/>
  </r>
  <r>
    <s v="205"/>
    <s v="0806"/>
    <s v="玉田団地"/>
    <x v="26"/>
    <s v="02"/>
    <s v="2号館"/>
    <x v="42"/>
    <m/>
    <x v="42"/>
    <n v="373.07799999999997"/>
    <n v="1071.98"/>
    <n v="1071.98"/>
    <s v="単独"/>
    <s v="RC"/>
    <n v="4"/>
    <n v="0"/>
    <s v="旧"/>
    <m/>
    <x v="2"/>
    <m/>
    <m/>
    <m/>
    <n v="47"/>
    <s v="C"/>
    <s v="C"/>
    <s v="D"/>
    <s v="-"/>
    <s v="-"/>
    <s v="-"/>
    <s v="B"/>
    <s v="C"/>
    <s v="-"/>
    <s v="D"/>
    <n v="78.064516129032256"/>
    <x v="0"/>
    <x v="0"/>
    <m/>
    <m/>
    <s v="公財台帳・固資台帳"/>
    <s v="454"/>
    <s v="G051100"/>
    <x v="6"/>
    <x v="15"/>
  </r>
  <r>
    <s v="205"/>
    <s v="0806"/>
    <s v="玉田団地"/>
    <x v="26"/>
    <s v="03"/>
    <s v="3号館"/>
    <x v="42"/>
    <m/>
    <x v="42"/>
    <n v="264.86"/>
    <n v="1046"/>
    <n v="1046"/>
    <s v="単独"/>
    <s v="RC"/>
    <n v="5"/>
    <n v="0"/>
    <s v="旧"/>
    <m/>
    <x v="2"/>
    <m/>
    <m/>
    <m/>
    <n v="47"/>
    <s v="C"/>
    <s v="D"/>
    <s v="D"/>
    <s v="-"/>
    <s v="-"/>
    <s v="-"/>
    <s v="B"/>
    <s v="C"/>
    <s v="-"/>
    <s v="D"/>
    <n v="80.645161290322577"/>
    <x v="0"/>
    <x v="0"/>
    <m/>
    <m/>
    <s v="公財台帳・固資台帳"/>
    <s v="454"/>
    <s v="G051100"/>
    <x v="6"/>
    <x v="15"/>
  </r>
  <r>
    <s v="205"/>
    <s v="0806"/>
    <s v="玉田団地"/>
    <x v="26"/>
    <s v="04"/>
    <s v="5号館"/>
    <x v="42"/>
    <m/>
    <x v="42"/>
    <n v="170.22"/>
    <n v="697.35"/>
    <n v="697.35"/>
    <s v="単独"/>
    <s v="RC"/>
    <n v="5"/>
    <n v="0"/>
    <s v="旧"/>
    <m/>
    <x v="2"/>
    <m/>
    <m/>
    <m/>
    <n v="47"/>
    <s v="C"/>
    <s v="D"/>
    <s v="D"/>
    <s v="-"/>
    <s v="-"/>
    <s v="-"/>
    <s v="B"/>
    <s v="C"/>
    <s v="-"/>
    <s v="D"/>
    <n v="80.645161290322577"/>
    <x v="0"/>
    <x v="0"/>
    <m/>
    <m/>
    <s v="公財台帳・固資台帳"/>
    <s v="454"/>
    <s v="G051100"/>
    <x v="6"/>
    <x v="15"/>
  </r>
  <r>
    <s v="205"/>
    <s v="0806"/>
    <s v="玉田団地"/>
    <x v="26"/>
    <s v="05"/>
    <s v="6号館"/>
    <x v="9"/>
    <m/>
    <x v="9"/>
    <n v="499.15"/>
    <n v="2404.3200000000002"/>
    <n v="2404.3200000000002"/>
    <s v="単独"/>
    <s v="RC"/>
    <n v="5"/>
    <n v="0"/>
    <s v="新"/>
    <s v="-"/>
    <x v="1"/>
    <m/>
    <m/>
    <m/>
    <n v="47"/>
    <s v="B"/>
    <s v="A"/>
    <s v="A"/>
    <s v="-"/>
    <s v="-"/>
    <s v="-"/>
    <s v="D"/>
    <s v="D"/>
    <s v="-"/>
    <s v="C"/>
    <n v="60.645161290322577"/>
    <x v="0"/>
    <x v="0"/>
    <m/>
    <m/>
    <s v="公財台帳・固資台帳"/>
    <s v="454"/>
    <s v="G051100"/>
    <x v="6"/>
    <x v="15"/>
  </r>
  <r>
    <s v="205"/>
    <s v="0806"/>
    <s v="玉田団地"/>
    <x v="26"/>
    <s v="06"/>
    <s v="7号館"/>
    <x v="46"/>
    <m/>
    <x v="46"/>
    <n v="520.24"/>
    <n v="1912.52"/>
    <n v="1912.52"/>
    <s v="単独"/>
    <s v="RC"/>
    <n v="4"/>
    <n v="0"/>
    <s v="新"/>
    <s v="-"/>
    <x v="1"/>
    <m/>
    <m/>
    <m/>
    <n v="47"/>
    <s v="B"/>
    <s v="A"/>
    <s v="A"/>
    <s v="-"/>
    <s v="-"/>
    <s v="-"/>
    <s v="D"/>
    <s v="D"/>
    <s v="-"/>
    <s v="C"/>
    <n v="60.645161290322577"/>
    <x v="0"/>
    <x v="0"/>
    <m/>
    <m/>
    <s v="公財台帳・固資台帳"/>
    <s v="454"/>
    <s v="G051100"/>
    <x v="6"/>
    <x v="15"/>
  </r>
  <r>
    <s v="205"/>
    <s v="0806"/>
    <s v="玉田団地"/>
    <x v="26"/>
    <s v="07"/>
    <s v="8号館"/>
    <x v="11"/>
    <m/>
    <x v="11"/>
    <n v="349.51"/>
    <n v="1289.1600000000001"/>
    <n v="1289.1600000000001"/>
    <s v="単独"/>
    <s v="RC"/>
    <n v="4"/>
    <n v="0"/>
    <s v="新"/>
    <s v="-"/>
    <x v="1"/>
    <m/>
    <m/>
    <m/>
    <n v="47"/>
    <s v="B"/>
    <s v="A"/>
    <s v="A"/>
    <s v="-"/>
    <s v="-"/>
    <s v="-"/>
    <s v="D"/>
    <s v="C"/>
    <s v="-"/>
    <s v="C"/>
    <n v="58.709677419354847"/>
    <x v="0"/>
    <x v="0"/>
    <m/>
    <m/>
    <s v="公財台帳・固資台帳"/>
    <s v="454"/>
    <s v="G051100"/>
    <x v="6"/>
    <x v="15"/>
  </r>
  <r>
    <s v="205"/>
    <s v="0806"/>
    <s v="玉田団地"/>
    <x v="26"/>
    <s v="08"/>
    <s v="9号館"/>
    <x v="36"/>
    <m/>
    <x v="36"/>
    <n v="320.33999999999997"/>
    <n v="1212.6600000000001"/>
    <n v="1212.6600000000001"/>
    <s v="単独"/>
    <s v="RC"/>
    <n v="4"/>
    <n v="0"/>
    <s v="新"/>
    <s v="-"/>
    <x v="1"/>
    <m/>
    <m/>
    <m/>
    <n v="47"/>
    <s v="B"/>
    <s v="A"/>
    <s v="A"/>
    <s v="-"/>
    <s v="-"/>
    <s v="-"/>
    <s v="D"/>
    <s v="D"/>
    <s v="-"/>
    <s v="C"/>
    <n v="58.709677419354847"/>
    <x v="0"/>
    <x v="0"/>
    <m/>
    <m/>
    <s v="公財台帳・固資台帳"/>
    <s v="454"/>
    <s v="G051100"/>
    <x v="6"/>
    <x v="15"/>
  </r>
  <r>
    <s v="205"/>
    <s v="0806"/>
    <s v="玉田団地"/>
    <x v="26"/>
    <s v="09"/>
    <s v="集会室"/>
    <x v="42"/>
    <n v="4"/>
    <x v="42"/>
    <m/>
    <n v="63"/>
    <n v="63"/>
    <s v="単独"/>
    <s v="RC"/>
    <m/>
    <m/>
    <s v="旧"/>
    <s v="-"/>
    <x v="2"/>
    <m/>
    <m/>
    <m/>
    <n v="47"/>
    <s v="-"/>
    <s v="-"/>
    <s v="-"/>
    <s v="-"/>
    <s v="-"/>
    <s v="-"/>
    <s v="-"/>
    <s v="-"/>
    <s v="-"/>
    <s v="-"/>
    <s v="-"/>
    <x v="0"/>
    <x v="0"/>
    <m/>
    <m/>
    <s v="公財台帳・固資台帳"/>
    <s v="454"/>
    <s v="G051100"/>
    <x v="6"/>
    <x v="15"/>
  </r>
  <r>
    <s v="205"/>
    <s v="0806"/>
    <s v="玉田団地"/>
    <x v="26"/>
    <s v="10"/>
    <s v="受水槽ポンプ室"/>
    <x v="55"/>
    <n v="4"/>
    <x v="55"/>
    <m/>
    <n v="6.1"/>
    <n v="6.1"/>
    <s v="単独"/>
    <s v="RC"/>
    <m/>
    <m/>
    <m/>
    <m/>
    <x v="3"/>
    <m/>
    <m/>
    <m/>
    <n v="38"/>
    <s v="-"/>
    <s v="-"/>
    <s v="-"/>
    <s v="-"/>
    <s v="-"/>
    <s v="-"/>
    <s v="-"/>
    <s v="-"/>
    <s v="-"/>
    <s v="-"/>
    <s v="-"/>
    <x v="3"/>
    <x v="0"/>
    <m/>
    <m/>
    <s v="公財台帳・固資台帳"/>
    <s v="454"/>
    <s v="G051100"/>
    <x v="6"/>
    <x v="15"/>
  </r>
  <r>
    <s v="205"/>
    <s v="0806"/>
    <s v="玉田団地"/>
    <x v="26"/>
    <s v="11"/>
    <s v="浄化槽ポンプ室"/>
    <x v="55"/>
    <n v="4"/>
    <x v="55"/>
    <m/>
    <n v="1.72"/>
    <n v="1.72"/>
    <s v="単独"/>
    <s v="RC"/>
    <m/>
    <m/>
    <m/>
    <m/>
    <x v="3"/>
    <m/>
    <m/>
    <m/>
    <n v="38"/>
    <s v="-"/>
    <s v="-"/>
    <s v="-"/>
    <s v="-"/>
    <s v="-"/>
    <s v="-"/>
    <s v="-"/>
    <s v="-"/>
    <s v="-"/>
    <s v="-"/>
    <s v="-"/>
    <x v="3"/>
    <x v="0"/>
    <m/>
    <m/>
    <s v="公財台帳・固資台帳"/>
    <s v="454"/>
    <s v="G051100"/>
    <x v="6"/>
    <x v="15"/>
  </r>
  <r>
    <s v="205"/>
    <s v="0806"/>
    <s v="玉田団地"/>
    <x v="26"/>
    <s v="12"/>
    <s v="浄化槽ポンプ室"/>
    <x v="42"/>
    <n v="4"/>
    <x v="42"/>
    <m/>
    <n v="2.79"/>
    <n v="2.79"/>
    <s v="単独"/>
    <s v="CB"/>
    <m/>
    <m/>
    <m/>
    <m/>
    <x v="3"/>
    <m/>
    <m/>
    <m/>
    <n v="34"/>
    <s v="-"/>
    <s v="-"/>
    <s v="-"/>
    <s v="-"/>
    <s v="-"/>
    <s v="-"/>
    <s v="-"/>
    <s v="-"/>
    <s v="-"/>
    <s v="-"/>
    <s v="-"/>
    <x v="3"/>
    <x v="0"/>
    <m/>
    <m/>
    <s v="公財台帳・固資台帳"/>
    <s v="454"/>
    <s v="G051100"/>
    <x v="6"/>
    <x v="15"/>
  </r>
  <r>
    <s v="205"/>
    <s v="0806"/>
    <s v="玉田団地"/>
    <x v="26"/>
    <s v="13"/>
    <s v="自転車置場"/>
    <x v="42"/>
    <n v="4"/>
    <x v="42"/>
    <m/>
    <n v="37.799999999999997"/>
    <n v="37.799999999999997"/>
    <s v="単独"/>
    <s v="W"/>
    <m/>
    <m/>
    <m/>
    <m/>
    <x v="3"/>
    <m/>
    <m/>
    <m/>
    <n v="15"/>
    <s v="-"/>
    <s v="-"/>
    <s v="-"/>
    <s v="-"/>
    <s v="-"/>
    <s v="-"/>
    <s v="-"/>
    <s v="-"/>
    <s v="-"/>
    <s v="-"/>
    <s v="-"/>
    <x v="1"/>
    <x v="0"/>
    <m/>
    <m/>
    <s v="公財台帳・固資台帳"/>
    <s v="454"/>
    <s v="G051100"/>
    <x v="6"/>
    <x v="15"/>
  </r>
  <r>
    <s v="205"/>
    <s v="0806"/>
    <s v="玉田団地"/>
    <x v="26"/>
    <s v="14"/>
    <s v="物置"/>
    <x v="42"/>
    <n v="4"/>
    <x v="42"/>
    <m/>
    <n v="2.44"/>
    <n v="2.44"/>
    <s v="単独"/>
    <s v="W"/>
    <m/>
    <m/>
    <m/>
    <m/>
    <x v="3"/>
    <m/>
    <m/>
    <m/>
    <n v="15"/>
    <s v="-"/>
    <s v="-"/>
    <s v="-"/>
    <s v="-"/>
    <s v="-"/>
    <s v="-"/>
    <s v="-"/>
    <s v="-"/>
    <s v="-"/>
    <s v="-"/>
    <s v="-"/>
    <x v="3"/>
    <x v="0"/>
    <m/>
    <m/>
    <s v="公財台帳・固資台帳"/>
    <s v="454"/>
    <s v="G051100"/>
    <x v="6"/>
    <x v="15"/>
  </r>
  <r>
    <s v="205"/>
    <s v="0806"/>
    <s v="玉田団地"/>
    <x v="26"/>
    <s v="15"/>
    <s v="自転車置場"/>
    <x v="42"/>
    <n v="4"/>
    <x v="42"/>
    <m/>
    <n v="12.6"/>
    <n v="12.6"/>
    <s v="単独"/>
    <s v="W"/>
    <m/>
    <m/>
    <m/>
    <m/>
    <x v="3"/>
    <m/>
    <m/>
    <m/>
    <n v="15"/>
    <s v="-"/>
    <s v="-"/>
    <s v="-"/>
    <s v="-"/>
    <s v="-"/>
    <s v="-"/>
    <s v="-"/>
    <s v="-"/>
    <s v="-"/>
    <s v="-"/>
    <s v="-"/>
    <x v="1"/>
    <x v="0"/>
    <m/>
    <m/>
    <s v="公財台帳・固資台帳"/>
    <s v="454"/>
    <s v="G051100"/>
    <x v="6"/>
    <x v="15"/>
  </r>
  <r>
    <s v="205"/>
    <s v="0806"/>
    <s v="玉田団地"/>
    <x v="26"/>
    <s v="16"/>
    <s v="浄化槽ポンプ室"/>
    <x v="42"/>
    <n v="4"/>
    <x v="42"/>
    <m/>
    <n v="3.24"/>
    <n v="3.24"/>
    <s v="単独"/>
    <s v="CB"/>
    <m/>
    <m/>
    <m/>
    <m/>
    <x v="3"/>
    <m/>
    <m/>
    <m/>
    <n v="34"/>
    <s v="-"/>
    <s v="-"/>
    <s v="-"/>
    <s v="-"/>
    <s v="-"/>
    <s v="-"/>
    <s v="-"/>
    <s v="-"/>
    <s v="-"/>
    <s v="-"/>
    <s v="-"/>
    <x v="3"/>
    <x v="0"/>
    <m/>
    <m/>
    <s v="公財台帳・固資台帳"/>
    <s v="454"/>
    <s v="G051100"/>
    <x v="6"/>
    <x v="15"/>
  </r>
  <r>
    <s v="205"/>
    <s v="0806"/>
    <s v="玉田団地"/>
    <x v="26"/>
    <s v="17"/>
    <s v="受水槽ポンプ室"/>
    <x v="42"/>
    <n v="4"/>
    <x v="42"/>
    <m/>
    <n v="12"/>
    <n v="12"/>
    <s v="単独"/>
    <s v="CB"/>
    <m/>
    <m/>
    <m/>
    <m/>
    <x v="3"/>
    <m/>
    <m/>
    <m/>
    <n v="34"/>
    <s v="-"/>
    <s v="-"/>
    <s v="-"/>
    <s v="-"/>
    <s v="-"/>
    <s v="-"/>
    <s v="-"/>
    <s v="-"/>
    <s v="-"/>
    <s v="-"/>
    <s v="-"/>
    <x v="3"/>
    <x v="0"/>
    <m/>
    <m/>
    <s v="公財台帳・固資台帳"/>
    <s v="454"/>
    <s v="G051100"/>
    <x v="6"/>
    <x v="15"/>
  </r>
  <r>
    <s v="205"/>
    <s v="0806"/>
    <s v="玉田団地"/>
    <x v="26"/>
    <s v="18"/>
    <s v="自転車置場"/>
    <x v="42"/>
    <n v="4"/>
    <x v="42"/>
    <m/>
    <n v="25.2"/>
    <n v="25.2"/>
    <s v="単独"/>
    <s v="W"/>
    <m/>
    <m/>
    <m/>
    <m/>
    <x v="3"/>
    <m/>
    <m/>
    <m/>
    <n v="15"/>
    <s v="-"/>
    <s v="-"/>
    <s v="-"/>
    <s v="-"/>
    <s v="-"/>
    <s v="-"/>
    <s v="-"/>
    <s v="-"/>
    <s v="-"/>
    <s v="-"/>
    <s v="-"/>
    <x v="1"/>
    <x v="0"/>
    <m/>
    <m/>
    <s v="公財台帳・固資台帳"/>
    <s v="454"/>
    <s v="G051100"/>
    <x v="6"/>
    <x v="15"/>
  </r>
  <r>
    <s v="205"/>
    <s v="0806"/>
    <s v="玉田団地"/>
    <x v="26"/>
    <s v="19"/>
    <s v="自転車置場"/>
    <x v="42"/>
    <n v="10"/>
    <x v="42"/>
    <m/>
    <n v="41.58"/>
    <n v="41.58"/>
    <s v="単独"/>
    <s v="S"/>
    <m/>
    <m/>
    <m/>
    <m/>
    <x v="3"/>
    <m/>
    <m/>
    <m/>
    <n v="24"/>
    <s v="-"/>
    <s v="-"/>
    <s v="-"/>
    <s v="-"/>
    <s v="-"/>
    <s v="-"/>
    <s v="-"/>
    <s v="-"/>
    <s v="-"/>
    <s v="-"/>
    <s v="-"/>
    <x v="1"/>
    <x v="0"/>
    <m/>
    <m/>
    <s v="公財台帳・固資台帳"/>
    <s v="454"/>
    <s v="G051100"/>
    <x v="6"/>
    <x v="15"/>
  </r>
  <r>
    <s v="205"/>
    <s v="0806"/>
    <s v="玉田団地"/>
    <x v="26"/>
    <s v="20"/>
    <s v="3号館自転車置場"/>
    <x v="49"/>
    <n v="3"/>
    <x v="49"/>
    <m/>
    <n v="25.8"/>
    <n v="25.8"/>
    <s v="単独"/>
    <s v="S"/>
    <m/>
    <m/>
    <m/>
    <m/>
    <x v="3"/>
    <m/>
    <m/>
    <m/>
    <n v="24"/>
    <s v="-"/>
    <s v="-"/>
    <s v="-"/>
    <s v="-"/>
    <s v="-"/>
    <s v="-"/>
    <s v="-"/>
    <s v="-"/>
    <s v="-"/>
    <s v="-"/>
    <s v="-"/>
    <x v="1"/>
    <x v="0"/>
    <m/>
    <m/>
    <s v="公財台帳・固資台帳"/>
    <s v="454"/>
    <s v="G051100"/>
    <x v="6"/>
    <x v="15"/>
  </r>
  <r>
    <s v="205"/>
    <s v="0806"/>
    <s v="玉田団地"/>
    <x v="26"/>
    <s v="21"/>
    <s v="3・5号館自転車置場"/>
    <x v="2"/>
    <n v="9"/>
    <x v="2"/>
    <m/>
    <n v="36.36"/>
    <n v="36.36"/>
    <s v="単独"/>
    <s v="S"/>
    <m/>
    <m/>
    <m/>
    <m/>
    <x v="3"/>
    <m/>
    <m/>
    <m/>
    <n v="24"/>
    <s v="-"/>
    <s v="-"/>
    <s v="-"/>
    <s v="-"/>
    <s v="-"/>
    <s v="-"/>
    <s v="-"/>
    <s v="-"/>
    <s v="-"/>
    <s v="-"/>
    <s v="-"/>
    <x v="1"/>
    <x v="0"/>
    <m/>
    <m/>
    <s v="公財台帳・固資台帳"/>
    <s v="454"/>
    <s v="G051100"/>
    <x v="6"/>
    <x v="15"/>
  </r>
  <r>
    <s v="205"/>
    <s v="0806"/>
    <s v="玉田団地"/>
    <x v="26"/>
    <s v="22"/>
    <s v="ポンプ室"/>
    <x v="46"/>
    <n v="9"/>
    <x v="46"/>
    <m/>
    <n v="14"/>
    <n v="14"/>
    <s v="単独"/>
    <s v="CB"/>
    <m/>
    <m/>
    <m/>
    <m/>
    <x v="3"/>
    <m/>
    <m/>
    <m/>
    <n v="34"/>
    <s v="-"/>
    <s v="-"/>
    <s v="-"/>
    <s v="-"/>
    <s v="-"/>
    <s v="-"/>
    <s v="-"/>
    <s v="-"/>
    <s v="-"/>
    <s v="-"/>
    <s v="-"/>
    <x v="3"/>
    <x v="0"/>
    <m/>
    <m/>
    <s v="公財台帳・固資台帳"/>
    <s v="454"/>
    <s v="G051100"/>
    <x v="6"/>
    <x v="15"/>
  </r>
  <r>
    <s v="205"/>
    <s v="0806"/>
    <s v="玉田団地"/>
    <x v="26"/>
    <s v="23"/>
    <s v="自転車置場2箇所"/>
    <x v="46"/>
    <n v="6"/>
    <x v="46"/>
    <m/>
    <n v="64"/>
    <n v="64"/>
    <s v="単独"/>
    <s v="S"/>
    <m/>
    <m/>
    <m/>
    <m/>
    <x v="3"/>
    <m/>
    <m/>
    <m/>
    <n v="31"/>
    <s v="-"/>
    <s v="-"/>
    <s v="-"/>
    <s v="-"/>
    <s v="-"/>
    <s v="-"/>
    <s v="-"/>
    <s v="-"/>
    <s v="-"/>
    <s v="-"/>
    <s v="-"/>
    <x v="1"/>
    <x v="0"/>
    <m/>
    <m/>
    <s v="公財台帳・固資台帳"/>
    <s v="454"/>
    <s v="G051100"/>
    <x v="6"/>
    <x v="15"/>
  </r>
  <r>
    <s v="205"/>
    <s v="0806"/>
    <s v="玉田団地"/>
    <x v="26"/>
    <s v="24"/>
    <s v="7号棟自転車置場"/>
    <x v="11"/>
    <n v="6"/>
    <x v="11"/>
    <m/>
    <n v="24"/>
    <n v="24"/>
    <s v="単独"/>
    <s v="S"/>
    <m/>
    <m/>
    <m/>
    <m/>
    <x v="3"/>
    <m/>
    <m/>
    <m/>
    <n v="31"/>
    <s v="-"/>
    <s v="-"/>
    <s v="-"/>
    <s v="-"/>
    <s v="-"/>
    <s v="-"/>
    <s v="-"/>
    <s v="-"/>
    <s v="-"/>
    <s v="-"/>
    <s v="-"/>
    <x v="1"/>
    <x v="0"/>
    <m/>
    <m/>
    <s v="公財台帳・固資台帳"/>
    <s v="454"/>
    <s v="G051100"/>
    <x v="6"/>
    <x v="15"/>
  </r>
  <r>
    <s v="205"/>
    <s v="0806"/>
    <s v="玉田団地"/>
    <x v="26"/>
    <s v="25"/>
    <s v="7号棟自転車置場"/>
    <x v="11"/>
    <n v="6"/>
    <x v="11"/>
    <m/>
    <n v="20"/>
    <n v="20"/>
    <s v="単独"/>
    <s v="S"/>
    <m/>
    <m/>
    <m/>
    <m/>
    <x v="3"/>
    <m/>
    <m/>
    <m/>
    <n v="31"/>
    <s v="-"/>
    <s v="-"/>
    <s v="-"/>
    <s v="-"/>
    <s v="-"/>
    <s v="-"/>
    <s v="-"/>
    <s v="-"/>
    <s v="-"/>
    <s v="-"/>
    <s v="-"/>
    <x v="1"/>
    <x v="0"/>
    <m/>
    <m/>
    <s v="公財台帳・固資台帳"/>
    <s v="454"/>
    <s v="G051100"/>
    <x v="6"/>
    <x v="15"/>
  </r>
  <r>
    <s v="205"/>
    <s v="0806"/>
    <s v="玉田団地"/>
    <x v="26"/>
    <s v="26"/>
    <s v="8号棟自転車置場"/>
    <x v="36"/>
    <n v="10"/>
    <x v="36"/>
    <m/>
    <n v="32"/>
    <n v="32"/>
    <s v="単独"/>
    <s v="S"/>
    <m/>
    <m/>
    <m/>
    <m/>
    <x v="3"/>
    <m/>
    <m/>
    <m/>
    <n v="31"/>
    <s v="-"/>
    <s v="-"/>
    <s v="-"/>
    <s v="-"/>
    <s v="-"/>
    <s v="-"/>
    <s v="-"/>
    <s v="-"/>
    <s v="-"/>
    <s v="-"/>
    <s v="-"/>
    <x v="1"/>
    <x v="0"/>
    <m/>
    <m/>
    <s v="公財台帳・固資台帳"/>
    <s v="454"/>
    <s v="G051100"/>
    <x v="6"/>
    <x v="15"/>
  </r>
  <r>
    <s v="205"/>
    <s v="0806"/>
    <s v="玉田団地"/>
    <x v="26"/>
    <s v="27"/>
    <s v="管理用倉庫"/>
    <x v="12"/>
    <n v="3"/>
    <x v="12"/>
    <m/>
    <n v="20.420000000000002"/>
    <n v="20.420000000000002"/>
    <s v="単独"/>
    <s v="S"/>
    <m/>
    <m/>
    <m/>
    <m/>
    <x v="3"/>
    <m/>
    <m/>
    <m/>
    <n v="24"/>
    <s v="-"/>
    <s v="-"/>
    <s v="-"/>
    <s v="-"/>
    <s v="-"/>
    <s v="-"/>
    <s v="-"/>
    <s v="-"/>
    <s v="-"/>
    <s v="-"/>
    <s v="-"/>
    <x v="3"/>
    <x v="0"/>
    <m/>
    <m/>
    <s v="公財台帳・固資台帳"/>
    <s v="454"/>
    <s v="G051100"/>
    <x v="6"/>
    <x v="15"/>
  </r>
  <r>
    <s v="205"/>
    <s v="0806"/>
    <s v="玉田団地"/>
    <x v="26"/>
    <s v="28"/>
    <s v="管理用倉庫"/>
    <x v="17"/>
    <m/>
    <x v="17"/>
    <m/>
    <n v="20.14"/>
    <n v="20.14"/>
    <s v="単独"/>
    <s v="S"/>
    <m/>
    <m/>
    <m/>
    <m/>
    <x v="3"/>
    <m/>
    <m/>
    <m/>
    <n v="24"/>
    <s v="-"/>
    <s v="-"/>
    <s v="-"/>
    <s v="-"/>
    <s v="-"/>
    <s v="-"/>
    <s v="-"/>
    <s v="-"/>
    <s v="-"/>
    <s v="-"/>
    <s v="-"/>
    <x v="3"/>
    <x v="0"/>
    <m/>
    <m/>
    <s v="公財台帳・固資台帳"/>
    <s v="454"/>
    <s v="G051100"/>
    <x v="6"/>
    <x v="15"/>
  </r>
  <r>
    <s v="206"/>
    <s v="0804"/>
    <s v="荒牧第７団地"/>
    <x v="26"/>
    <s v="01"/>
    <s v="1号館"/>
    <x v="43"/>
    <m/>
    <x v="43"/>
    <n v="271.91000000000003"/>
    <n v="1234.78"/>
    <n v="1234.78"/>
    <s v="単独"/>
    <s v="RC"/>
    <n v="5"/>
    <n v="0"/>
    <s v="旧"/>
    <m/>
    <x v="2"/>
    <m/>
    <m/>
    <m/>
    <n v="47"/>
    <s v="C"/>
    <s v="B"/>
    <s v="D"/>
    <s v="-"/>
    <s v="-"/>
    <s v="-"/>
    <s v="B"/>
    <s v="D"/>
    <s v="-"/>
    <s v="D"/>
    <n v="74.838709677419359"/>
    <x v="0"/>
    <x v="0"/>
    <m/>
    <m/>
    <s v="公財台帳・固資台帳"/>
    <s v="454"/>
    <s v="G051100"/>
    <x v="6"/>
    <x v="15"/>
  </r>
  <r>
    <s v="206"/>
    <s v="0804"/>
    <s v="荒牧第７団地"/>
    <x v="26"/>
    <s v="02"/>
    <s v="2号館"/>
    <x v="43"/>
    <m/>
    <x v="43"/>
    <n v="255.39"/>
    <n v="1118.9000000000001"/>
    <n v="1118.9000000000001"/>
    <s v="単独"/>
    <s v="RC"/>
    <n v="5"/>
    <n v="0"/>
    <s v="旧"/>
    <m/>
    <x v="2"/>
    <m/>
    <m/>
    <m/>
    <n v="47"/>
    <s v="C"/>
    <s v="B"/>
    <s v="D"/>
    <s v="-"/>
    <s v="-"/>
    <s v="-"/>
    <s v="B"/>
    <s v="D"/>
    <s v="-"/>
    <s v="D"/>
    <n v="74.838709677419359"/>
    <x v="0"/>
    <x v="0"/>
    <m/>
    <m/>
    <s v="公財台帳・固資台帳"/>
    <s v="454"/>
    <s v="G051100"/>
    <x v="6"/>
    <x v="15"/>
  </r>
  <r>
    <s v="206"/>
    <s v="0804"/>
    <s v="荒牧第７団地"/>
    <x v="26"/>
    <s v="03"/>
    <s v="ポンプ室"/>
    <x v="43"/>
    <n v="3"/>
    <x v="43"/>
    <m/>
    <n v="9.64"/>
    <n v="9.64"/>
    <s v="単独"/>
    <s v="CB"/>
    <m/>
    <m/>
    <m/>
    <m/>
    <x v="3"/>
    <m/>
    <m/>
    <m/>
    <n v="34"/>
    <s v="-"/>
    <s v="-"/>
    <s v="-"/>
    <s v="-"/>
    <s v="-"/>
    <s v="-"/>
    <s v="-"/>
    <s v="-"/>
    <s v="-"/>
    <s v="-"/>
    <s v="-"/>
    <x v="3"/>
    <x v="0"/>
    <m/>
    <m/>
    <s v="公財台帳・固資台帳"/>
    <s v="454"/>
    <s v="G051100"/>
    <x v="6"/>
    <x v="15"/>
  </r>
  <r>
    <s v="206"/>
    <s v="0804"/>
    <s v="荒牧第７団地"/>
    <x v="26"/>
    <s v="04"/>
    <s v="自転車置場"/>
    <x v="43"/>
    <n v="3"/>
    <x v="43"/>
    <m/>
    <n v="18.899999999999999"/>
    <n v="18.899999999999999"/>
    <s v="単独"/>
    <s v="W"/>
    <m/>
    <m/>
    <m/>
    <m/>
    <x v="3"/>
    <m/>
    <m/>
    <m/>
    <n v="15"/>
    <s v="-"/>
    <s v="-"/>
    <s v="-"/>
    <s v="-"/>
    <s v="-"/>
    <s v="-"/>
    <s v="-"/>
    <s v="-"/>
    <s v="-"/>
    <s v="-"/>
    <s v="-"/>
    <x v="1"/>
    <x v="0"/>
    <m/>
    <m/>
    <s v="公財台帳・固資台帳"/>
    <s v="454"/>
    <s v="G051100"/>
    <x v="6"/>
    <x v="15"/>
  </r>
  <r>
    <s v="206"/>
    <s v="0804"/>
    <s v="荒牧第７団地"/>
    <x v="26"/>
    <s v="05"/>
    <s v="ポンプ室"/>
    <x v="43"/>
    <n v="3"/>
    <x v="43"/>
    <m/>
    <n v="9.64"/>
    <n v="9.64"/>
    <s v="単独"/>
    <s v="CB"/>
    <m/>
    <m/>
    <m/>
    <m/>
    <x v="3"/>
    <m/>
    <m/>
    <m/>
    <n v="34"/>
    <s v="-"/>
    <s v="-"/>
    <s v="-"/>
    <s v="-"/>
    <s v="-"/>
    <s v="-"/>
    <s v="-"/>
    <s v="-"/>
    <s v="-"/>
    <s v="-"/>
    <s v="-"/>
    <x v="3"/>
    <x v="0"/>
    <m/>
    <m/>
    <s v="公財台帳・固資台帳"/>
    <s v="454"/>
    <s v="G051100"/>
    <x v="6"/>
    <x v="15"/>
  </r>
  <r>
    <s v="206"/>
    <s v="0804"/>
    <s v="荒牧第７団地"/>
    <x v="26"/>
    <s v="06"/>
    <s v="自転車置場"/>
    <x v="26"/>
    <n v="6"/>
    <x v="26"/>
    <m/>
    <n v="18.899999999999999"/>
    <n v="18.899999999999999"/>
    <s v="単独"/>
    <s v="W"/>
    <m/>
    <m/>
    <m/>
    <m/>
    <x v="3"/>
    <m/>
    <m/>
    <m/>
    <n v="15"/>
    <s v="-"/>
    <s v="-"/>
    <s v="-"/>
    <s v="-"/>
    <s v="-"/>
    <s v="-"/>
    <s v="-"/>
    <s v="-"/>
    <s v="-"/>
    <s v="-"/>
    <s v="-"/>
    <x v="1"/>
    <x v="0"/>
    <m/>
    <m/>
    <s v="公財台帳・固資台帳"/>
    <s v="454"/>
    <s v="G051100"/>
    <x v="6"/>
    <x v="15"/>
  </r>
  <r>
    <s v="206"/>
    <s v="0804"/>
    <s v="荒牧第７団地"/>
    <x v="26"/>
    <s v="07"/>
    <s v="自転車置場(1; 2号棟)"/>
    <x v="26"/>
    <n v="6"/>
    <x v="26"/>
    <m/>
    <n v="36.36"/>
    <n v="36.36"/>
    <s v="単独"/>
    <s v="S"/>
    <m/>
    <m/>
    <m/>
    <m/>
    <x v="3"/>
    <m/>
    <m/>
    <m/>
    <n v="24"/>
    <s v="-"/>
    <s v="-"/>
    <s v="-"/>
    <s v="-"/>
    <s v="-"/>
    <s v="-"/>
    <s v="-"/>
    <s v="-"/>
    <s v="-"/>
    <s v="-"/>
    <s v="-"/>
    <x v="1"/>
    <x v="0"/>
    <m/>
    <m/>
    <s v="公財台帳・固資台帳"/>
    <s v="454"/>
    <s v="G051100"/>
    <x v="6"/>
    <x v="15"/>
  </r>
  <r>
    <s v="207"/>
    <s v="0803"/>
    <s v="荒牧第６団地"/>
    <x v="26"/>
    <s v="01"/>
    <s v="3号館"/>
    <x v="47"/>
    <m/>
    <x v="47"/>
    <n v="171.9325"/>
    <n v="726.62"/>
    <n v="726.62"/>
    <s v="単独"/>
    <s v="RC"/>
    <n v="5"/>
    <n v="0"/>
    <s v="旧"/>
    <m/>
    <x v="2"/>
    <m/>
    <m/>
    <m/>
    <n v="47"/>
    <s v="C"/>
    <s v="A"/>
    <s v="A"/>
    <s v="-"/>
    <s v="-"/>
    <s v="-"/>
    <s v="D"/>
    <s v="D"/>
    <s v="-"/>
    <s v="D"/>
    <n v="72.903225806451616"/>
    <x v="0"/>
    <x v="0"/>
    <m/>
    <m/>
    <s v="公財台帳・固資台帳"/>
    <s v="454"/>
    <s v="G051100"/>
    <x v="6"/>
    <x v="15"/>
  </r>
  <r>
    <s v="207"/>
    <s v="0803"/>
    <s v="荒牧第６団地"/>
    <x v="26"/>
    <s v="02"/>
    <s v="5号館"/>
    <x v="47"/>
    <m/>
    <x v="47"/>
    <n v="171.9325"/>
    <n v="726.62"/>
    <n v="726.62"/>
    <s v="単独"/>
    <s v="RC"/>
    <n v="5"/>
    <n v="0"/>
    <s v="旧"/>
    <m/>
    <x v="2"/>
    <m/>
    <m/>
    <m/>
    <n v="47"/>
    <s v="C"/>
    <s v="A"/>
    <s v="A"/>
    <s v="-"/>
    <s v="-"/>
    <s v="-"/>
    <s v="D"/>
    <s v="D"/>
    <s v="-"/>
    <s v="D"/>
    <n v="72.903225806451616"/>
    <x v="0"/>
    <x v="0"/>
    <m/>
    <m/>
    <s v="公財台帳・固資台帳"/>
    <s v="454"/>
    <s v="G051100"/>
    <x v="6"/>
    <x v="15"/>
  </r>
  <r>
    <s v="207"/>
    <s v="0803"/>
    <s v="荒牧第６団地"/>
    <x v="26"/>
    <s v="03"/>
    <s v="ポンプ室"/>
    <x v="47"/>
    <n v="1"/>
    <x v="47"/>
    <m/>
    <m/>
    <n v="8.75"/>
    <s v="単独"/>
    <s v="CB"/>
    <m/>
    <m/>
    <m/>
    <m/>
    <x v="3"/>
    <m/>
    <m/>
    <m/>
    <n v="34"/>
    <s v="-"/>
    <s v="-"/>
    <s v="-"/>
    <s v="-"/>
    <s v="-"/>
    <s v="-"/>
    <s v="-"/>
    <s v="-"/>
    <s v="-"/>
    <s v="-"/>
    <s v="-"/>
    <x v="3"/>
    <x v="0"/>
    <m/>
    <m/>
    <s v="公財台帳・固資台帳"/>
    <s v="454"/>
    <s v="G051100"/>
    <x v="6"/>
    <x v="15"/>
  </r>
  <r>
    <s v="207"/>
    <s v="0803"/>
    <s v="荒牧第６団地"/>
    <x v="26"/>
    <s v="04"/>
    <s v="自転車置場"/>
    <x v="47"/>
    <n v="1"/>
    <x v="47"/>
    <m/>
    <m/>
    <n v="12.6"/>
    <s v="単独"/>
    <s v="W"/>
    <m/>
    <m/>
    <m/>
    <m/>
    <x v="3"/>
    <m/>
    <m/>
    <m/>
    <n v="15"/>
    <s v="-"/>
    <s v="-"/>
    <s v="-"/>
    <s v="-"/>
    <s v="-"/>
    <s v="-"/>
    <s v="-"/>
    <s v="-"/>
    <s v="-"/>
    <s v="-"/>
    <s v="-"/>
    <x v="1"/>
    <x v="0"/>
    <m/>
    <m/>
    <s v="公財台帳・固資台帳"/>
    <s v="454"/>
    <s v="G051100"/>
    <x v="6"/>
    <x v="15"/>
  </r>
  <r>
    <s v="207"/>
    <s v="0803"/>
    <s v="荒牧第６団地"/>
    <x v="26"/>
    <s v="05"/>
    <s v="自転車置場"/>
    <x v="47"/>
    <n v="1"/>
    <x v="47"/>
    <m/>
    <m/>
    <n v="12.42"/>
    <s v="単独"/>
    <s v="W"/>
    <m/>
    <m/>
    <m/>
    <m/>
    <x v="3"/>
    <m/>
    <m/>
    <m/>
    <n v="15"/>
    <s v="-"/>
    <s v="-"/>
    <s v="-"/>
    <s v="-"/>
    <s v="-"/>
    <s v="-"/>
    <s v="-"/>
    <s v="-"/>
    <s v="-"/>
    <s v="-"/>
    <s v="-"/>
    <x v="1"/>
    <x v="0"/>
    <m/>
    <m/>
    <s v="公財台帳・固資台帳"/>
    <s v="454"/>
    <s v="G051100"/>
    <x v="6"/>
    <x v="15"/>
  </r>
  <r>
    <s v="208"/>
    <s v="0807"/>
    <s v="山道団地"/>
    <x v="26"/>
    <s v="01"/>
    <s v="1号館"/>
    <x v="47"/>
    <m/>
    <x v="47"/>
    <n v="181.44"/>
    <n v="751.56"/>
    <n v="751.56"/>
    <s v="単独"/>
    <s v="RC"/>
    <n v="5"/>
    <n v="0"/>
    <s v="旧"/>
    <m/>
    <x v="2"/>
    <m/>
    <m/>
    <m/>
    <n v="47"/>
    <s v="C"/>
    <s v="B"/>
    <s v="D"/>
    <s v="-"/>
    <s v="-"/>
    <s v="-"/>
    <s v="B"/>
    <s v="D"/>
    <s v="-"/>
    <s v="D"/>
    <n v="74.193548387096769"/>
    <x v="0"/>
    <x v="0"/>
    <m/>
    <m/>
    <s v="公財台帳・固資台帳"/>
    <s v="454"/>
    <s v="G051100"/>
    <x v="6"/>
    <x v="15"/>
  </r>
  <r>
    <s v="208"/>
    <s v="0807"/>
    <s v="山道団地"/>
    <x v="26"/>
    <s v="02"/>
    <s v="2号館"/>
    <x v="47"/>
    <m/>
    <x v="47"/>
    <n v="295.56"/>
    <n v="1254.78"/>
    <n v="1254.78"/>
    <s v="単独"/>
    <s v="RC"/>
    <n v="5"/>
    <n v="0"/>
    <s v="旧"/>
    <m/>
    <x v="2"/>
    <m/>
    <m/>
    <m/>
    <n v="50"/>
    <s v="C"/>
    <s v="D"/>
    <s v="D"/>
    <s v="-"/>
    <s v="-"/>
    <s v="-"/>
    <s v="B"/>
    <s v="D"/>
    <s v="-"/>
    <s v="D"/>
    <n v="82.58064516129032"/>
    <x v="0"/>
    <x v="0"/>
    <m/>
    <m/>
    <s v="公財台帳・固資台帳"/>
    <s v="454"/>
    <s v="G051100"/>
    <x v="6"/>
    <x v="15"/>
  </r>
  <r>
    <s v="208"/>
    <s v="0807"/>
    <s v="山道団地"/>
    <x v="26"/>
    <s v="03"/>
    <s v="3号館"/>
    <x v="43"/>
    <m/>
    <x v="43"/>
    <n v="197.04"/>
    <n v="773.76"/>
    <n v="773.76"/>
    <s v="単独"/>
    <s v="RC"/>
    <n v="4"/>
    <n v="0"/>
    <s v="旧"/>
    <m/>
    <x v="2"/>
    <m/>
    <m/>
    <m/>
    <n v="50"/>
    <s v="C"/>
    <s v="B"/>
    <s v="D"/>
    <s v="-"/>
    <s v="-"/>
    <s v="-"/>
    <s v="B"/>
    <s v="D"/>
    <s v="-"/>
    <s v="D"/>
    <n v="73.548387096774192"/>
    <x v="0"/>
    <x v="0"/>
    <m/>
    <m/>
    <s v="公財台帳・固資台帳"/>
    <s v="454"/>
    <s v="G051100"/>
    <x v="6"/>
    <x v="15"/>
  </r>
  <r>
    <s v="208"/>
    <s v="0807"/>
    <s v="山道団地"/>
    <x v="26"/>
    <s v="04"/>
    <s v="ポンプ室"/>
    <x v="47"/>
    <n v="1"/>
    <x v="47"/>
    <m/>
    <n v="5"/>
    <n v="5"/>
    <s v="単独"/>
    <s v="CB"/>
    <m/>
    <m/>
    <m/>
    <m/>
    <x v="3"/>
    <m/>
    <m/>
    <m/>
    <n v="34"/>
    <s v="-"/>
    <s v="-"/>
    <s v="-"/>
    <s v="-"/>
    <s v="-"/>
    <s v="-"/>
    <s v="-"/>
    <s v="-"/>
    <s v="-"/>
    <s v="-"/>
    <s v="-"/>
    <x v="3"/>
    <x v="0"/>
    <m/>
    <m/>
    <s v="公財台帳・固資台帳"/>
    <s v="454"/>
    <s v="G051100"/>
    <x v="6"/>
    <x v="15"/>
  </r>
  <r>
    <s v="208"/>
    <s v="0807"/>
    <s v="山道団地"/>
    <x v="26"/>
    <s v="05"/>
    <s v="自転車置場"/>
    <x v="47"/>
    <n v="1"/>
    <x v="47"/>
    <m/>
    <n v="13.68"/>
    <n v="13.68"/>
    <s v="単独"/>
    <s v="S"/>
    <m/>
    <m/>
    <m/>
    <m/>
    <x v="3"/>
    <m/>
    <m/>
    <m/>
    <n v="31"/>
    <s v="-"/>
    <s v="-"/>
    <s v="-"/>
    <s v="-"/>
    <s v="-"/>
    <s v="-"/>
    <s v="-"/>
    <s v="-"/>
    <s v="-"/>
    <s v="-"/>
    <s v="-"/>
    <x v="1"/>
    <x v="0"/>
    <m/>
    <m/>
    <s v="公財台帳・固資台帳"/>
    <s v="454"/>
    <s v="G051100"/>
    <x v="6"/>
    <x v="15"/>
  </r>
  <r>
    <s v="208"/>
    <s v="0807"/>
    <s v="山道団地"/>
    <x v="26"/>
    <s v="06"/>
    <s v="自転車置場"/>
    <x v="47"/>
    <n v="1"/>
    <x v="47"/>
    <m/>
    <n v="20.52"/>
    <n v="20.52"/>
    <s v="単独"/>
    <s v="S"/>
    <m/>
    <m/>
    <m/>
    <m/>
    <x v="3"/>
    <m/>
    <m/>
    <m/>
    <n v="31"/>
    <s v="-"/>
    <s v="-"/>
    <s v="-"/>
    <s v="-"/>
    <s v="-"/>
    <s v="-"/>
    <s v="-"/>
    <s v="-"/>
    <s v="-"/>
    <s v="-"/>
    <s v="-"/>
    <x v="1"/>
    <x v="0"/>
    <m/>
    <m/>
    <s v="公財台帳・固資台帳"/>
    <s v="454"/>
    <s v="G051100"/>
    <x v="6"/>
    <x v="15"/>
  </r>
  <r>
    <s v="208"/>
    <s v="0807"/>
    <s v="山道団地"/>
    <x v="26"/>
    <s v="07"/>
    <s v="ポンプ室"/>
    <x v="47"/>
    <n v="1"/>
    <x v="47"/>
    <m/>
    <n v="6.25"/>
    <n v="6.25"/>
    <s v="単独"/>
    <s v="CB"/>
    <m/>
    <m/>
    <m/>
    <m/>
    <x v="3"/>
    <m/>
    <m/>
    <m/>
    <n v="34"/>
    <s v="-"/>
    <s v="-"/>
    <s v="-"/>
    <s v="-"/>
    <s v="-"/>
    <s v="-"/>
    <s v="-"/>
    <s v="-"/>
    <s v="-"/>
    <s v="-"/>
    <s v="-"/>
    <x v="3"/>
    <x v="0"/>
    <m/>
    <m/>
    <s v="公財台帳・固資台帳"/>
    <s v="454"/>
    <s v="G051100"/>
    <x v="6"/>
    <x v="15"/>
  </r>
  <r>
    <s v="208"/>
    <s v="0807"/>
    <s v="山道団地"/>
    <x v="26"/>
    <s v="08"/>
    <s v="ポンプ室"/>
    <x v="43"/>
    <n v="1"/>
    <x v="43"/>
    <m/>
    <n v="5.75"/>
    <n v="5.75"/>
    <s v="単独"/>
    <s v="CB"/>
    <m/>
    <m/>
    <m/>
    <m/>
    <x v="3"/>
    <m/>
    <m/>
    <m/>
    <n v="34"/>
    <s v="-"/>
    <s v="-"/>
    <s v="-"/>
    <s v="-"/>
    <s v="-"/>
    <s v="-"/>
    <s v="-"/>
    <s v="-"/>
    <s v="-"/>
    <s v="-"/>
    <s v="-"/>
    <x v="3"/>
    <x v="0"/>
    <m/>
    <m/>
    <s v="公財台帳・固資台帳"/>
    <s v="454"/>
    <s v="G051100"/>
    <x v="6"/>
    <x v="15"/>
  </r>
  <r>
    <s v="208"/>
    <s v="0807"/>
    <s v="山道団地"/>
    <x v="26"/>
    <s v="09"/>
    <s v="自転車置場"/>
    <x v="43"/>
    <n v="1"/>
    <x v="43"/>
    <m/>
    <n v="13.68"/>
    <n v="13.68"/>
    <s v="単独"/>
    <s v="S"/>
    <m/>
    <m/>
    <m/>
    <m/>
    <x v="3"/>
    <m/>
    <m/>
    <m/>
    <n v="31"/>
    <s v="-"/>
    <s v="-"/>
    <s v="-"/>
    <s v="-"/>
    <s v="-"/>
    <s v="-"/>
    <s v="-"/>
    <s v="-"/>
    <s v="-"/>
    <s v="-"/>
    <s v="-"/>
    <x v="1"/>
    <x v="0"/>
    <m/>
    <m/>
    <s v="公財台帳・固資台帳"/>
    <s v="454"/>
    <s v="G051100"/>
    <x v="6"/>
    <x v="15"/>
  </r>
  <r>
    <s v="208"/>
    <s v="0807"/>
    <s v="山道団地"/>
    <x v="26"/>
    <s v="10"/>
    <s v="集会所"/>
    <x v="49"/>
    <n v="6"/>
    <x v="49"/>
    <m/>
    <n v="28.35"/>
    <n v="28.35"/>
    <s v="単独"/>
    <s v="S"/>
    <m/>
    <m/>
    <m/>
    <m/>
    <x v="3"/>
    <m/>
    <m/>
    <m/>
    <n v="27"/>
    <s v="-"/>
    <s v="-"/>
    <s v="-"/>
    <s v="-"/>
    <s v="-"/>
    <s v="-"/>
    <s v="-"/>
    <s v="-"/>
    <s v="-"/>
    <s v="-"/>
    <s v="-"/>
    <x v="3"/>
    <x v="0"/>
    <m/>
    <m/>
    <s v="公財台帳・固資台帳"/>
    <s v="454"/>
    <s v="G051100"/>
    <x v="6"/>
    <x v="15"/>
  </r>
  <r>
    <s v="208"/>
    <s v="0807"/>
    <s v="山道団地"/>
    <x v="26"/>
    <s v="11"/>
    <s v="駐輪場"/>
    <x v="21"/>
    <n v="3"/>
    <x v="21"/>
    <m/>
    <n v="25.24"/>
    <n v="25.24"/>
    <s v="単独"/>
    <s v="S"/>
    <m/>
    <m/>
    <m/>
    <m/>
    <x v="3"/>
    <m/>
    <m/>
    <m/>
    <n v="24"/>
    <s v="-"/>
    <s v="-"/>
    <s v="-"/>
    <s v="-"/>
    <s v="-"/>
    <s v="-"/>
    <s v="-"/>
    <s v="-"/>
    <s v="-"/>
    <s v="-"/>
    <s v="-"/>
    <x v="1"/>
    <x v="0"/>
    <m/>
    <m/>
    <s v="公財台帳・固資台帳"/>
    <s v="454"/>
    <s v="G051100"/>
    <x v="6"/>
    <x v="15"/>
  </r>
  <r>
    <s v="209"/>
    <s v="0810"/>
    <s v="荻野団地"/>
    <x v="26"/>
    <s v="01"/>
    <s v="1号館"/>
    <x v="44"/>
    <m/>
    <x v="44"/>
    <n v="258.86799999999999"/>
    <n v="1269.29"/>
    <n v="1269.29"/>
    <s v="単独"/>
    <s v="RC"/>
    <n v="5"/>
    <n v="0"/>
    <s v="旧"/>
    <m/>
    <x v="2"/>
    <m/>
    <m/>
    <m/>
    <n v="47"/>
    <s v="C"/>
    <s v="D"/>
    <s v="D"/>
    <s v="-"/>
    <s v="-"/>
    <s v="-"/>
    <s v="D"/>
    <s v="D"/>
    <s v="-"/>
    <s v="D"/>
    <n v="89.677419354838705"/>
    <x v="0"/>
    <x v="0"/>
    <m/>
    <m/>
    <s v="公財台帳・固資台帳"/>
    <s v="454"/>
    <s v="G051100"/>
    <x v="6"/>
    <x v="15"/>
  </r>
  <r>
    <s v="209"/>
    <s v="0810"/>
    <s v="荻野団地"/>
    <x v="26"/>
    <s v="02"/>
    <s v="2号館"/>
    <x v="44"/>
    <m/>
    <x v="44"/>
    <n v="260.71300000000002"/>
    <n v="1245.5899999999999"/>
    <n v="1245.5899999999999"/>
    <s v="単独"/>
    <s v="RC"/>
    <n v="5"/>
    <n v="0"/>
    <s v="旧"/>
    <m/>
    <x v="2"/>
    <m/>
    <m/>
    <m/>
    <n v="47"/>
    <s v="C"/>
    <s v="D"/>
    <s v="D"/>
    <s v="-"/>
    <s v="-"/>
    <s v="-"/>
    <s v="D"/>
    <s v="D"/>
    <s v="-"/>
    <s v="D"/>
    <n v="89.677419354838705"/>
    <x v="0"/>
    <x v="0"/>
    <m/>
    <m/>
    <s v="公財台帳・固資台帳"/>
    <s v="454"/>
    <s v="G051100"/>
    <x v="6"/>
    <x v="15"/>
  </r>
  <r>
    <s v="209"/>
    <s v="0810"/>
    <s v="荻野団地"/>
    <x v="26"/>
    <s v="03"/>
    <s v="3号館"/>
    <x v="48"/>
    <m/>
    <x v="48"/>
    <n v="260.71199999999999"/>
    <n v="1245.5899999999999"/>
    <n v="1245.5899999999999"/>
    <s v="単独"/>
    <s v="RC"/>
    <n v="5"/>
    <n v="0"/>
    <s v="旧"/>
    <m/>
    <x v="2"/>
    <m/>
    <m/>
    <m/>
    <n v="47"/>
    <s v="C"/>
    <s v="D"/>
    <s v="D"/>
    <s v="-"/>
    <s v="-"/>
    <s v="-"/>
    <s v="D"/>
    <s v="D"/>
    <s v="-"/>
    <s v="D"/>
    <n v="89.032258064516128"/>
    <x v="0"/>
    <x v="0"/>
    <m/>
    <m/>
    <s v="公財台帳・固資台帳"/>
    <s v="454"/>
    <s v="G051100"/>
    <x v="6"/>
    <x v="15"/>
  </r>
  <r>
    <s v="209"/>
    <s v="0810"/>
    <s v="荻野団地"/>
    <x v="26"/>
    <s v="04"/>
    <s v="4号館"/>
    <x v="48"/>
    <m/>
    <x v="48"/>
    <n v="236.80799999999999"/>
    <n v="1132.8599999999999"/>
    <n v="1132.8599999999999"/>
    <s v="単独"/>
    <s v="RC"/>
    <n v="5"/>
    <n v="0"/>
    <s v="旧"/>
    <m/>
    <x v="2"/>
    <m/>
    <m/>
    <m/>
    <n v="47"/>
    <s v="C"/>
    <s v="D"/>
    <s v="D"/>
    <s v="-"/>
    <s v="-"/>
    <s v="-"/>
    <s v="D"/>
    <s v="D"/>
    <s v="-"/>
    <s v="D"/>
    <n v="89.032258064516128"/>
    <x v="0"/>
    <x v="0"/>
    <m/>
    <m/>
    <s v="公財台帳・固資台帳"/>
    <s v="454"/>
    <s v="G051100"/>
    <x v="6"/>
    <x v="15"/>
  </r>
  <r>
    <s v="209"/>
    <s v="0810"/>
    <s v="荻野団地"/>
    <x v="26"/>
    <s v="05"/>
    <s v="5号館"/>
    <x v="48"/>
    <m/>
    <x v="48"/>
    <n v="258.86799999999999"/>
    <n v="1269.29"/>
    <n v="1269.29"/>
    <s v="単独"/>
    <s v="RC"/>
    <n v="5"/>
    <n v="0"/>
    <s v="旧"/>
    <m/>
    <x v="2"/>
    <m/>
    <m/>
    <m/>
    <n v="47"/>
    <s v="C"/>
    <s v="D"/>
    <s v="D"/>
    <s v="-"/>
    <s v="-"/>
    <s v="-"/>
    <s v="D"/>
    <s v="D"/>
    <s v="-"/>
    <s v="D"/>
    <n v="89.032258064516128"/>
    <x v="0"/>
    <x v="0"/>
    <m/>
    <m/>
    <s v="公財台帳・固資台帳"/>
    <s v="454"/>
    <s v="G051100"/>
    <x v="6"/>
    <x v="15"/>
  </r>
  <r>
    <s v="209"/>
    <s v="0810"/>
    <s v="荻野団地"/>
    <x v="26"/>
    <s v="06"/>
    <s v="6号館"/>
    <x v="48"/>
    <m/>
    <x v="48"/>
    <n v="235.18199999999999"/>
    <n v="1154.1300000000001"/>
    <n v="1154.1300000000001"/>
    <s v="単独"/>
    <s v="RC"/>
    <n v="5"/>
    <n v="0"/>
    <s v="旧"/>
    <m/>
    <x v="2"/>
    <m/>
    <m/>
    <m/>
    <n v="47"/>
    <s v="C"/>
    <s v="D"/>
    <s v="D"/>
    <s v="-"/>
    <s v="-"/>
    <s v="-"/>
    <s v="D"/>
    <s v="D"/>
    <s v="-"/>
    <s v="D"/>
    <n v="90.322580645161281"/>
    <x v="0"/>
    <x v="0"/>
    <m/>
    <m/>
    <s v="公財台帳・固資台帳"/>
    <s v="454"/>
    <s v="G051100"/>
    <x v="6"/>
    <x v="15"/>
  </r>
  <r>
    <s v="209"/>
    <s v="0810"/>
    <s v="荻野団地"/>
    <x v="26"/>
    <s v="07"/>
    <s v="7号館"/>
    <x v="10"/>
    <m/>
    <x v="10"/>
    <n v="270.77999999999997"/>
    <n v="1397.15"/>
    <n v="1397.15"/>
    <s v="単独"/>
    <s v="RC"/>
    <n v="5"/>
    <n v="0"/>
    <s v="旧"/>
    <m/>
    <x v="2"/>
    <m/>
    <m/>
    <m/>
    <n v="47"/>
    <s v="C"/>
    <s v="D"/>
    <s v="D"/>
    <s v="-"/>
    <s v="-"/>
    <s v="-"/>
    <s v="D"/>
    <s v="D"/>
    <s v="-"/>
    <s v="D"/>
    <n v="90.322580645161281"/>
    <x v="0"/>
    <x v="0"/>
    <m/>
    <m/>
    <s v="公財台帳・固資台帳"/>
    <s v="454"/>
    <s v="G051100"/>
    <x v="6"/>
    <x v="15"/>
  </r>
  <r>
    <s v="209"/>
    <s v="0810"/>
    <s v="荻野団地"/>
    <x v="26"/>
    <s v="08"/>
    <s v="8号館"/>
    <x v="10"/>
    <m/>
    <x v="10"/>
    <n v="167.61"/>
    <n v="864.85"/>
    <n v="864.85"/>
    <s v="単独"/>
    <s v="RC"/>
    <n v="5"/>
    <n v="0"/>
    <s v="旧"/>
    <m/>
    <x v="2"/>
    <m/>
    <m/>
    <m/>
    <n v="47"/>
    <s v="C"/>
    <s v="D"/>
    <s v="D"/>
    <s v="-"/>
    <s v="-"/>
    <s v="-"/>
    <s v="D"/>
    <s v="D"/>
    <s v="-"/>
    <s v="D"/>
    <n v="90.322580645161281"/>
    <x v="0"/>
    <x v="0"/>
    <m/>
    <m/>
    <s v="公財台帳・固資台帳"/>
    <s v="454"/>
    <s v="G051100"/>
    <x v="6"/>
    <x v="15"/>
  </r>
  <r>
    <s v="209"/>
    <s v="0810"/>
    <s v="荻野団地"/>
    <x v="26"/>
    <s v="09"/>
    <s v="9号館"/>
    <x v="6"/>
    <m/>
    <x v="6"/>
    <n v="270.77999999999997"/>
    <n v="1397.15"/>
    <n v="1397.15"/>
    <s v="単独"/>
    <s v="RC"/>
    <n v="5"/>
    <n v="0"/>
    <s v="旧"/>
    <m/>
    <x v="2"/>
    <m/>
    <m/>
    <m/>
    <n v="47"/>
    <s v="C"/>
    <s v="D"/>
    <s v="D"/>
    <s v="-"/>
    <s v="-"/>
    <s v="-"/>
    <s v="D"/>
    <s v="D"/>
    <s v="-"/>
    <s v="D"/>
    <n v="90.322580645161281"/>
    <x v="0"/>
    <x v="0"/>
    <m/>
    <m/>
    <s v="公財台帳・固資台帳"/>
    <s v="454"/>
    <s v="G051100"/>
    <x v="6"/>
    <x v="15"/>
  </r>
  <r>
    <s v="209"/>
    <s v="0810"/>
    <s v="荻野団地"/>
    <x v="26"/>
    <s v="10"/>
    <s v="10号館"/>
    <x v="10"/>
    <m/>
    <x v="10"/>
    <n v="167.61"/>
    <n v="864.85"/>
    <n v="864.85"/>
    <s v="単独"/>
    <s v="RC"/>
    <n v="5"/>
    <n v="0"/>
    <s v="旧"/>
    <m/>
    <x v="2"/>
    <m/>
    <m/>
    <m/>
    <n v="47"/>
    <s v="C"/>
    <s v="D"/>
    <s v="D"/>
    <s v="-"/>
    <s v="-"/>
    <s v="-"/>
    <s v="D"/>
    <s v="D"/>
    <s v="-"/>
    <s v="D"/>
    <n v="90.322580645161281"/>
    <x v="0"/>
    <x v="0"/>
    <m/>
    <m/>
    <s v="公財台帳・固資台帳"/>
    <s v="454"/>
    <s v="G051100"/>
    <x v="6"/>
    <x v="15"/>
  </r>
  <r>
    <s v="209"/>
    <s v="0810"/>
    <s v="荻野団地"/>
    <x v="26"/>
    <s v="11"/>
    <s v="集会所"/>
    <x v="6"/>
    <n v="3"/>
    <x v="6"/>
    <m/>
    <n v="99.9"/>
    <n v="99.9"/>
    <s v="単独"/>
    <s v="RC"/>
    <m/>
    <m/>
    <s v="旧"/>
    <s v="-"/>
    <x v="2"/>
    <m/>
    <m/>
    <m/>
    <n v="47"/>
    <s v="-"/>
    <s v="-"/>
    <s v="-"/>
    <s v="-"/>
    <s v="-"/>
    <s v="-"/>
    <s v="-"/>
    <s v="-"/>
    <s v="-"/>
    <s v="-"/>
    <s v="-"/>
    <x v="0"/>
    <x v="0"/>
    <m/>
    <m/>
    <s v="公財台帳・固資台帳"/>
    <s v="454"/>
    <s v="G051100"/>
    <x v="6"/>
    <x v="15"/>
  </r>
  <r>
    <s v="209"/>
    <s v="0810"/>
    <s v="荻野団地"/>
    <x v="26"/>
    <s v="12"/>
    <s v="ポンプ室"/>
    <x v="48"/>
    <n v="3"/>
    <x v="48"/>
    <m/>
    <n v="8.0500000000000007"/>
    <n v="8.0500000000000007"/>
    <s v="単独"/>
    <s v="RC"/>
    <m/>
    <m/>
    <m/>
    <m/>
    <x v="3"/>
    <m/>
    <m/>
    <m/>
    <n v="38"/>
    <s v="-"/>
    <s v="-"/>
    <s v="-"/>
    <s v="-"/>
    <s v="-"/>
    <s v="-"/>
    <s v="-"/>
    <s v="-"/>
    <s v="-"/>
    <s v="-"/>
    <s v="-"/>
    <x v="3"/>
    <x v="0"/>
    <m/>
    <m/>
    <s v="公財台帳・固資台帳"/>
    <s v="454"/>
    <s v="G051100"/>
    <x v="6"/>
    <x v="15"/>
  </r>
  <r>
    <s v="209"/>
    <s v="0810"/>
    <s v="荻野団地"/>
    <x v="26"/>
    <s v="13"/>
    <s v="自転車置場"/>
    <x v="48"/>
    <n v="3"/>
    <x v="48"/>
    <m/>
    <n v="69.12"/>
    <n v="69.12"/>
    <s v="単独"/>
    <s v="S"/>
    <m/>
    <m/>
    <m/>
    <m/>
    <x v="3"/>
    <m/>
    <m/>
    <m/>
    <n v="31"/>
    <s v="-"/>
    <s v="-"/>
    <s v="-"/>
    <s v="-"/>
    <s v="-"/>
    <s v="-"/>
    <s v="-"/>
    <s v="-"/>
    <s v="-"/>
    <s v="-"/>
    <s v="-"/>
    <x v="1"/>
    <x v="0"/>
    <m/>
    <m/>
    <s v="公財台帳・固資台帳"/>
    <s v="454"/>
    <s v="G051100"/>
    <x v="6"/>
    <x v="15"/>
  </r>
  <r>
    <s v="209"/>
    <s v="0810"/>
    <s v="荻野団地"/>
    <x v="26"/>
    <s v="14"/>
    <s v="ポンプ室"/>
    <x v="10"/>
    <n v="3"/>
    <x v="10"/>
    <m/>
    <n v="8.0500000000000007"/>
    <n v="8.0500000000000007"/>
    <s v="単独"/>
    <s v="RC"/>
    <m/>
    <m/>
    <m/>
    <m/>
    <x v="3"/>
    <m/>
    <m/>
    <m/>
    <n v="38"/>
    <s v="-"/>
    <s v="-"/>
    <s v="-"/>
    <s v="-"/>
    <s v="-"/>
    <s v="-"/>
    <s v="-"/>
    <s v="-"/>
    <s v="-"/>
    <s v="-"/>
    <s v="-"/>
    <x v="3"/>
    <x v="0"/>
    <m/>
    <m/>
    <s v="公財台帳・固資台帳"/>
    <s v="454"/>
    <s v="G051100"/>
    <x v="6"/>
    <x v="15"/>
  </r>
  <r>
    <s v="209"/>
    <s v="0810"/>
    <s v="荻野団地"/>
    <x v="26"/>
    <s v="15"/>
    <s v="ポンプ室"/>
    <x v="10"/>
    <n v="3"/>
    <x v="10"/>
    <m/>
    <n v="8.0500000000000007"/>
    <n v="8.0500000000000007"/>
    <s v="単独"/>
    <s v="RC"/>
    <m/>
    <m/>
    <m/>
    <m/>
    <x v="3"/>
    <m/>
    <m/>
    <m/>
    <n v="38"/>
    <s v="-"/>
    <s v="-"/>
    <s v="-"/>
    <s v="-"/>
    <s v="-"/>
    <s v="-"/>
    <s v="-"/>
    <s v="-"/>
    <s v="-"/>
    <s v="-"/>
    <s v="-"/>
    <x v="3"/>
    <x v="0"/>
    <m/>
    <m/>
    <s v="公財台帳・固資台帳"/>
    <s v="454"/>
    <s v="G051100"/>
    <x v="6"/>
    <x v="15"/>
  </r>
  <r>
    <s v="209"/>
    <s v="0810"/>
    <s v="荻野団地"/>
    <x v="26"/>
    <s v="16"/>
    <s v="自転車置場"/>
    <x v="0"/>
    <n v="3"/>
    <x v="0"/>
    <m/>
    <n v="36.479999999999997"/>
    <n v="36.479999999999997"/>
    <s v="単独"/>
    <s v="S"/>
    <m/>
    <m/>
    <m/>
    <m/>
    <x v="3"/>
    <m/>
    <m/>
    <m/>
    <n v="31"/>
    <s v="-"/>
    <s v="-"/>
    <s v="-"/>
    <s v="-"/>
    <s v="-"/>
    <s v="-"/>
    <s v="-"/>
    <s v="-"/>
    <s v="-"/>
    <s v="-"/>
    <s v="-"/>
    <x v="1"/>
    <x v="0"/>
    <m/>
    <m/>
    <s v="公財台帳・固資台帳"/>
    <s v="454"/>
    <s v="G051100"/>
    <x v="6"/>
    <x v="15"/>
  </r>
  <r>
    <s v="209"/>
    <s v="0810"/>
    <s v="荻野団地"/>
    <x v="26"/>
    <s v="17"/>
    <s v="ポンプ室"/>
    <x v="6"/>
    <n v="3"/>
    <x v="6"/>
    <m/>
    <n v="16.100000000000001"/>
    <n v="16.100000000000001"/>
    <s v="単独"/>
    <s v="RC"/>
    <m/>
    <m/>
    <m/>
    <m/>
    <x v="3"/>
    <m/>
    <m/>
    <m/>
    <n v="38"/>
    <s v="-"/>
    <s v="-"/>
    <s v="-"/>
    <s v="-"/>
    <s v="-"/>
    <s v="-"/>
    <s v="-"/>
    <s v="-"/>
    <s v="-"/>
    <s v="-"/>
    <s v="-"/>
    <x v="3"/>
    <x v="0"/>
    <m/>
    <m/>
    <s v="公財台帳・固資台帳"/>
    <s v="454"/>
    <s v="G051100"/>
    <x v="6"/>
    <x v="15"/>
  </r>
  <r>
    <s v="209"/>
    <s v="0810"/>
    <s v="荻野団地"/>
    <x v="26"/>
    <s v="18"/>
    <s v="集会所"/>
    <x v="29"/>
    <n v="3"/>
    <x v="29"/>
    <m/>
    <n v="25.92"/>
    <n v="25.92"/>
    <s v="単独"/>
    <s v="S"/>
    <m/>
    <m/>
    <m/>
    <m/>
    <x v="3"/>
    <m/>
    <m/>
    <m/>
    <n v="27"/>
    <s v="-"/>
    <s v="-"/>
    <s v="-"/>
    <s v="-"/>
    <s v="-"/>
    <s v="-"/>
    <s v="-"/>
    <s v="-"/>
    <s v="-"/>
    <s v="-"/>
    <s v="-"/>
    <x v="3"/>
    <x v="0"/>
    <m/>
    <m/>
    <s v="公財台帳・固資台帳"/>
    <s v="454"/>
    <s v="G051100"/>
    <x v="6"/>
    <x v="15"/>
  </r>
  <r>
    <s v="209"/>
    <s v="0810"/>
    <s v="荻野団地"/>
    <x v="26"/>
    <s v="19"/>
    <s v="自転車置場(1; 2; 3; 4号館)"/>
    <x v="34"/>
    <n v="11"/>
    <x v="34"/>
    <m/>
    <n v="43.44"/>
    <n v="43.44"/>
    <s v="単独"/>
    <s v="S"/>
    <m/>
    <m/>
    <m/>
    <m/>
    <x v="3"/>
    <m/>
    <m/>
    <m/>
    <n v="24"/>
    <s v="-"/>
    <s v="-"/>
    <s v="-"/>
    <s v="-"/>
    <s v="-"/>
    <s v="-"/>
    <s v="-"/>
    <s v="-"/>
    <s v="-"/>
    <s v="-"/>
    <s v="-"/>
    <x v="1"/>
    <x v="0"/>
    <m/>
    <m/>
    <s v="公財台帳・固資台帳"/>
    <s v="454"/>
    <s v="G051100"/>
    <x v="6"/>
    <x v="15"/>
  </r>
  <r>
    <s v="209"/>
    <s v="0810"/>
    <s v="荻野団地"/>
    <x v="26"/>
    <s v="20"/>
    <s v="自転車置場(5; 6号館)"/>
    <x v="26"/>
    <n v="6"/>
    <x v="26"/>
    <m/>
    <n v="36.36"/>
    <n v="36.36"/>
    <s v="単独"/>
    <s v="S"/>
    <m/>
    <m/>
    <m/>
    <m/>
    <x v="3"/>
    <m/>
    <m/>
    <m/>
    <n v="24"/>
    <s v="-"/>
    <s v="-"/>
    <s v="-"/>
    <s v="-"/>
    <s v="-"/>
    <s v="-"/>
    <s v="-"/>
    <s v="-"/>
    <s v="-"/>
    <s v="-"/>
    <s v="-"/>
    <x v="1"/>
    <x v="0"/>
    <m/>
    <m/>
    <s v="公財台帳・固資台帳"/>
    <s v="454"/>
    <s v="G051100"/>
    <x v="6"/>
    <x v="15"/>
  </r>
  <r>
    <s v="209"/>
    <s v="0810"/>
    <s v="荻野団地"/>
    <x v="26"/>
    <s v="21"/>
    <s v="自転車置場(7号館)"/>
    <x v="30"/>
    <n v="7"/>
    <x v="30"/>
    <m/>
    <n v="18.18"/>
    <n v="18.18"/>
    <s v="単独"/>
    <s v="S"/>
    <m/>
    <m/>
    <m/>
    <m/>
    <x v="3"/>
    <m/>
    <m/>
    <m/>
    <n v="24"/>
    <s v="-"/>
    <s v="-"/>
    <s v="-"/>
    <s v="-"/>
    <s v="-"/>
    <s v="-"/>
    <s v="-"/>
    <s v="-"/>
    <s v="-"/>
    <s v="-"/>
    <s v="-"/>
    <x v="1"/>
    <x v="0"/>
    <m/>
    <m/>
    <s v="公財台帳・固資台帳"/>
    <s v="454"/>
    <s v="G051100"/>
    <x v="6"/>
    <x v="15"/>
  </r>
  <r>
    <s v="209"/>
    <s v="0810"/>
    <s v="荻野団地"/>
    <x v="26"/>
    <s v="22"/>
    <s v="自転車置場(8号館)"/>
    <x v="30"/>
    <n v="7"/>
    <x v="30"/>
    <m/>
    <n v="18.18"/>
    <n v="18.18"/>
    <s v="単独"/>
    <s v="S"/>
    <m/>
    <m/>
    <m/>
    <m/>
    <x v="3"/>
    <m/>
    <m/>
    <m/>
    <n v="24"/>
    <s v="-"/>
    <s v="-"/>
    <s v="-"/>
    <s v="-"/>
    <s v="-"/>
    <s v="-"/>
    <s v="-"/>
    <s v="-"/>
    <s v="-"/>
    <s v="-"/>
    <s v="-"/>
    <x v="1"/>
    <x v="0"/>
    <m/>
    <m/>
    <s v="公財台帳・固資台帳"/>
    <s v="454"/>
    <s v="G051100"/>
    <x v="6"/>
    <x v="15"/>
  </r>
  <r>
    <s v="209"/>
    <s v="0810"/>
    <s v="荻野団地"/>
    <x v="26"/>
    <s v="23"/>
    <s v="自転車置場(10号館)"/>
    <x v="30"/>
    <n v="7"/>
    <x v="30"/>
    <m/>
    <n v="34.200000000000003"/>
    <n v="34.200000000000003"/>
    <s v="単独"/>
    <s v="S"/>
    <m/>
    <m/>
    <m/>
    <m/>
    <x v="3"/>
    <m/>
    <m/>
    <m/>
    <n v="24"/>
    <s v="-"/>
    <s v="-"/>
    <s v="-"/>
    <s v="-"/>
    <s v="-"/>
    <s v="-"/>
    <s v="-"/>
    <s v="-"/>
    <s v="-"/>
    <s v="-"/>
    <s v="-"/>
    <x v="1"/>
    <x v="0"/>
    <m/>
    <m/>
    <s v="公財台帳・固資台帳"/>
    <s v="454"/>
    <s v="G051100"/>
    <x v="6"/>
    <x v="15"/>
  </r>
  <r>
    <s v="209"/>
    <s v="0810"/>
    <s v="荻野団地"/>
    <x v="26"/>
    <s v="24"/>
    <s v="集会所"/>
    <x v="32"/>
    <n v="3"/>
    <x v="32"/>
    <m/>
    <n v="45.37"/>
    <n v="45.37"/>
    <s v="単独"/>
    <s v="RC"/>
    <m/>
    <m/>
    <m/>
    <m/>
    <x v="3"/>
    <m/>
    <m/>
    <m/>
    <n v="47"/>
    <s v="-"/>
    <s v="-"/>
    <s v="-"/>
    <s v="-"/>
    <s v="-"/>
    <s v="-"/>
    <s v="-"/>
    <s v="-"/>
    <s v="-"/>
    <s v="-"/>
    <s v="-"/>
    <x v="3"/>
    <x v="0"/>
    <m/>
    <m/>
    <s v="公財台帳・固資台帳"/>
    <s v="454"/>
    <s v="G051100"/>
    <x v="6"/>
    <x v="15"/>
  </r>
  <r>
    <s v="210"/>
    <s v="0808"/>
    <s v="天神川団地"/>
    <x v="26"/>
    <s v="01"/>
    <s v="1号館"/>
    <x v="45"/>
    <m/>
    <x v="45"/>
    <n v="255.24"/>
    <n v="1267.96"/>
    <n v="1267.96"/>
    <s v="単独"/>
    <s v="RC"/>
    <n v="5"/>
    <n v="0"/>
    <s v="旧"/>
    <m/>
    <x v="2"/>
    <m/>
    <m/>
    <m/>
    <n v="47"/>
    <s v="C"/>
    <s v="B"/>
    <s v="D"/>
    <s v="-"/>
    <s v="-"/>
    <s v="-"/>
    <s v="C"/>
    <s v="D"/>
    <s v="-"/>
    <s v="D"/>
    <n v="74.838709677419359"/>
    <x v="0"/>
    <x v="0"/>
    <m/>
    <m/>
    <s v="公財台帳・固資台帳"/>
    <s v="454"/>
    <s v="G051100"/>
    <x v="6"/>
    <x v="15"/>
  </r>
  <r>
    <s v="210"/>
    <s v="0808"/>
    <s v="天神川団地"/>
    <x v="26"/>
    <s v="02"/>
    <s v="2号館"/>
    <x v="45"/>
    <m/>
    <x v="45"/>
    <n v="299.64"/>
    <n v="1086.79"/>
    <n v="1086.79"/>
    <s v="単独"/>
    <s v="RC"/>
    <n v="5"/>
    <n v="0"/>
    <s v="旧"/>
    <m/>
    <x v="2"/>
    <m/>
    <m/>
    <m/>
    <n v="47"/>
    <s v="C"/>
    <s v="D"/>
    <s v="D"/>
    <s v="-"/>
    <s v="-"/>
    <s v="-"/>
    <s v="C"/>
    <s v="D"/>
    <s v="-"/>
    <s v="D"/>
    <n v="82.58064516129032"/>
    <x v="0"/>
    <x v="0"/>
    <m/>
    <m/>
    <s v="公財台帳・固資台帳"/>
    <s v="454"/>
    <s v="G051100"/>
    <x v="6"/>
    <x v="15"/>
  </r>
  <r>
    <s v="210"/>
    <s v="0808"/>
    <s v="天神川団地"/>
    <x v="26"/>
    <s v="03"/>
    <s v="3号館"/>
    <x v="45"/>
    <m/>
    <x v="45"/>
    <n v="299.64"/>
    <n v="1086.79"/>
    <n v="1086.79"/>
    <s v="単独"/>
    <s v="RC"/>
    <n v="5"/>
    <n v="0"/>
    <s v="旧"/>
    <m/>
    <x v="2"/>
    <m/>
    <m/>
    <m/>
    <n v="47"/>
    <s v="C"/>
    <s v="B"/>
    <s v="D"/>
    <s v="-"/>
    <s v="-"/>
    <s v="-"/>
    <s v="C"/>
    <s v="D"/>
    <s v="-"/>
    <s v="D"/>
    <n v="76.129032258064512"/>
    <x v="0"/>
    <x v="0"/>
    <m/>
    <m/>
    <s v="公財台帳・固資台帳"/>
    <s v="454"/>
    <s v="G051100"/>
    <x v="6"/>
    <x v="15"/>
  </r>
  <r>
    <s v="210"/>
    <s v="0808"/>
    <s v="天神川団地"/>
    <x v="26"/>
    <s v="04"/>
    <s v="4号館"/>
    <x v="44"/>
    <m/>
    <x v="44"/>
    <n v="230.89"/>
    <n v="1134.05"/>
    <n v="1134.05"/>
    <s v="単独"/>
    <s v="RC"/>
    <n v="5"/>
    <n v="0"/>
    <s v="旧"/>
    <m/>
    <x v="2"/>
    <m/>
    <m/>
    <m/>
    <n v="47"/>
    <s v="C"/>
    <s v="B"/>
    <s v="D"/>
    <s v="-"/>
    <s v="-"/>
    <s v="-"/>
    <s v="C"/>
    <s v="D"/>
    <s v="-"/>
    <s v="D"/>
    <n v="74.193548387096769"/>
    <x v="0"/>
    <x v="0"/>
    <m/>
    <m/>
    <s v="公財台帳・固資台帳"/>
    <s v="454"/>
    <s v="G051100"/>
    <x v="6"/>
    <x v="15"/>
  </r>
  <r>
    <s v="210"/>
    <s v="0808"/>
    <s v="天神川団地"/>
    <x v="26"/>
    <s v="05"/>
    <s v="5号館"/>
    <x v="44"/>
    <m/>
    <x v="44"/>
    <n v="230.89"/>
    <n v="1134.05"/>
    <n v="1134.05"/>
    <s v="単独"/>
    <s v="RC"/>
    <n v="5"/>
    <n v="0"/>
    <s v="旧"/>
    <m/>
    <x v="2"/>
    <m/>
    <m/>
    <m/>
    <n v="47"/>
    <s v="C"/>
    <s v="B"/>
    <s v="D"/>
    <s v="-"/>
    <s v="-"/>
    <s v="-"/>
    <s v="C"/>
    <s v="D"/>
    <s v="-"/>
    <s v="D"/>
    <n v="75.483870967741936"/>
    <x v="0"/>
    <x v="0"/>
    <m/>
    <m/>
    <s v="公財台帳・固資台帳"/>
    <s v="454"/>
    <s v="G051100"/>
    <x v="6"/>
    <x v="15"/>
  </r>
  <r>
    <s v="210"/>
    <s v="0808"/>
    <s v="天神川団地"/>
    <x v="26"/>
    <s v="06"/>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07"/>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08"/>
    <s v="受水槽ポンプ室"/>
    <x v="44"/>
    <n v="1"/>
    <x v="44"/>
    <m/>
    <n v="8.0500000000000007"/>
    <n v="8.0500000000000007"/>
    <s v="単独"/>
    <s v="RC"/>
    <m/>
    <m/>
    <m/>
    <m/>
    <x v="3"/>
    <m/>
    <m/>
    <m/>
    <n v="38"/>
    <s v="-"/>
    <s v="-"/>
    <s v="-"/>
    <s v="-"/>
    <s v="-"/>
    <s v="-"/>
    <s v="-"/>
    <s v="-"/>
    <s v="-"/>
    <s v="-"/>
    <s v="-"/>
    <x v="3"/>
    <x v="0"/>
    <m/>
    <m/>
    <s v="公財台帳・固資台帳"/>
    <s v="454"/>
    <s v="G051100"/>
    <x v="6"/>
    <x v="15"/>
  </r>
  <r>
    <s v="210"/>
    <s v="0808"/>
    <s v="天神川団地"/>
    <x v="26"/>
    <s v="09"/>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10"/>
    <s v="自転車置場"/>
    <x v="44"/>
    <n v="1"/>
    <x v="44"/>
    <m/>
    <n v="129.6"/>
    <n v="129.6"/>
    <s v="単独"/>
    <s v="S"/>
    <m/>
    <m/>
    <m/>
    <m/>
    <x v="3"/>
    <m/>
    <m/>
    <m/>
    <n v="31"/>
    <s v="-"/>
    <s v="-"/>
    <s v="-"/>
    <s v="-"/>
    <s v="-"/>
    <s v="-"/>
    <s v="-"/>
    <s v="-"/>
    <s v="-"/>
    <s v="-"/>
    <s v="-"/>
    <x v="1"/>
    <x v="0"/>
    <m/>
    <m/>
    <s v="公財台帳・固資台帳"/>
    <s v="454"/>
    <s v="G051100"/>
    <x v="6"/>
    <x v="15"/>
  </r>
  <r>
    <s v="210"/>
    <s v="0808"/>
    <s v="天神川団地"/>
    <x v="26"/>
    <s v="11"/>
    <s v="自転車置場"/>
    <x v="49"/>
    <n v="10"/>
    <x v="49"/>
    <m/>
    <n v="97.2"/>
    <n v="97.2"/>
    <s v="単独"/>
    <s v="S"/>
    <m/>
    <m/>
    <m/>
    <m/>
    <x v="3"/>
    <m/>
    <m/>
    <m/>
    <n v="24"/>
    <s v="-"/>
    <s v="-"/>
    <s v="-"/>
    <s v="-"/>
    <s v="-"/>
    <s v="-"/>
    <s v="-"/>
    <s v="-"/>
    <s v="-"/>
    <s v="-"/>
    <s v="-"/>
    <x v="1"/>
    <x v="0"/>
    <m/>
    <m/>
    <s v="公財台帳・固資台帳"/>
    <s v="454"/>
    <s v="G051100"/>
    <x v="6"/>
    <x v="15"/>
  </r>
  <r>
    <s v="210"/>
    <s v="0808"/>
    <s v="天神川団地"/>
    <x v="26"/>
    <s v="12"/>
    <s v="1号館自転車置場"/>
    <x v="34"/>
    <n v="10"/>
    <x v="34"/>
    <m/>
    <n v="26.52"/>
    <n v="26.52"/>
    <s v="単独"/>
    <s v="S"/>
    <m/>
    <m/>
    <m/>
    <m/>
    <x v="3"/>
    <m/>
    <m/>
    <m/>
    <n v="24"/>
    <s v="-"/>
    <s v="-"/>
    <s v="-"/>
    <s v="-"/>
    <s v="-"/>
    <s v="-"/>
    <s v="-"/>
    <s v="-"/>
    <s v="-"/>
    <s v="-"/>
    <s v="-"/>
    <x v="1"/>
    <x v="0"/>
    <m/>
    <m/>
    <s v="公財台帳・固資台帳"/>
    <s v="454"/>
    <s v="G051100"/>
    <x v="6"/>
    <x v="15"/>
  </r>
  <r>
    <s v="211"/>
    <s v="0813"/>
    <s v="中曽根団地"/>
    <x v="26"/>
    <s v="01"/>
    <s v="中曽根団地"/>
    <x v="48"/>
    <m/>
    <x v="48"/>
    <n v="162.31899999999999"/>
    <n v="837.6"/>
    <n v="837.6"/>
    <s v="単独"/>
    <s v="RC"/>
    <n v="5"/>
    <n v="0"/>
    <s v="旧"/>
    <m/>
    <x v="2"/>
    <m/>
    <m/>
    <m/>
    <n v="47"/>
    <s v="C"/>
    <s v="B"/>
    <s v="B"/>
    <s v="-"/>
    <s v="-"/>
    <s v="-"/>
    <s v="D"/>
    <s v="D"/>
    <s v="-"/>
    <s v="D"/>
    <n v="74.193548387096769"/>
    <x v="0"/>
    <x v="0"/>
    <m/>
    <m/>
    <s v="公財台帳・固資台帳"/>
    <s v="454"/>
    <s v="G051100"/>
    <x v="6"/>
    <x v="15"/>
  </r>
  <r>
    <s v="211"/>
    <s v="0813"/>
    <s v="中曽根団地"/>
    <x v="26"/>
    <s v="02"/>
    <s v="物置"/>
    <x v="1"/>
    <n v="8"/>
    <x v="1"/>
    <m/>
    <n v="66.67"/>
    <n v="66.67"/>
    <s v="単独"/>
    <s v="S"/>
    <m/>
    <m/>
    <m/>
    <m/>
    <x v="3"/>
    <m/>
    <m/>
    <m/>
    <n v="31"/>
    <s v="-"/>
    <s v="-"/>
    <s v="-"/>
    <s v="-"/>
    <s v="-"/>
    <s v="-"/>
    <s v="-"/>
    <s v="-"/>
    <s v="-"/>
    <s v="-"/>
    <s v="-"/>
    <x v="5"/>
    <x v="0"/>
    <m/>
    <m/>
    <s v="公財台帳・固資台帳"/>
    <s v="454"/>
    <s v="G051100"/>
    <x v="6"/>
    <x v="15"/>
  </r>
  <r>
    <s v="211"/>
    <s v="0813"/>
    <s v="中曽根団地"/>
    <x v="26"/>
    <s v="03"/>
    <s v="集会室"/>
    <x v="49"/>
    <n v="5"/>
    <x v="49"/>
    <m/>
    <n v="24.3"/>
    <n v="24.3"/>
    <s v="単独"/>
    <s v="S"/>
    <m/>
    <m/>
    <m/>
    <m/>
    <x v="3"/>
    <m/>
    <m/>
    <m/>
    <n v="27"/>
    <s v="-"/>
    <s v="-"/>
    <s v="-"/>
    <s v="-"/>
    <s v="-"/>
    <s v="-"/>
    <s v="-"/>
    <s v="-"/>
    <s v="-"/>
    <s v="-"/>
    <s v="-"/>
    <x v="3"/>
    <x v="0"/>
    <m/>
    <m/>
    <s v="公財台帳・固資台帳"/>
    <s v="454"/>
    <s v="G051100"/>
    <x v="6"/>
    <x v="15"/>
  </r>
  <r>
    <s v="211"/>
    <s v="0813"/>
    <s v="中曽根団地"/>
    <x v="26"/>
    <s v="04"/>
    <s v="ポンプ室"/>
    <x v="48"/>
    <n v="4"/>
    <x v="48"/>
    <m/>
    <n v="11.75"/>
    <n v="11.75"/>
    <s v="単独"/>
    <s v="RC"/>
    <m/>
    <m/>
    <m/>
    <m/>
    <x v="3"/>
    <m/>
    <m/>
    <m/>
    <n v="38"/>
    <s v="-"/>
    <s v="-"/>
    <s v="-"/>
    <s v="-"/>
    <s v="-"/>
    <s v="-"/>
    <s v="-"/>
    <s v="-"/>
    <s v="-"/>
    <s v="-"/>
    <s v="-"/>
    <x v="3"/>
    <x v="0"/>
    <m/>
    <m/>
    <s v="公財台帳・固資台帳"/>
    <s v="454"/>
    <s v="G051100"/>
    <x v="6"/>
    <x v="15"/>
  </r>
  <r>
    <s v="212"/>
    <s v="0809"/>
    <s v="天神川第２団地"/>
    <x v="26"/>
    <s v="01"/>
    <s v="1号館"/>
    <x v="6"/>
    <m/>
    <x v="6"/>
    <n v="362.11"/>
    <n v="1781.2"/>
    <n v="1781.2"/>
    <s v="単独"/>
    <s v="RC"/>
    <n v="5"/>
    <n v="0"/>
    <s v="旧"/>
    <m/>
    <x v="2"/>
    <m/>
    <m/>
    <m/>
    <n v="47"/>
    <s v="C"/>
    <s v="A"/>
    <s v="A"/>
    <s v="-"/>
    <s v="-"/>
    <s v="-"/>
    <s v="B"/>
    <s v="D"/>
    <s v="-"/>
    <s v="C"/>
    <n v="61.935483870967744"/>
    <x v="0"/>
    <x v="0"/>
    <m/>
    <m/>
    <s v="公財台帳・固資台帳"/>
    <s v="454"/>
    <s v="G051100"/>
    <x v="6"/>
    <x v="15"/>
  </r>
  <r>
    <s v="212"/>
    <s v="0809"/>
    <s v="天神川第２団地"/>
    <x v="26"/>
    <s v="02"/>
    <s v="2号館"/>
    <x v="6"/>
    <m/>
    <x v="6"/>
    <n v="362.11"/>
    <n v="1781.3"/>
    <n v="1781.3"/>
    <s v="単独"/>
    <s v="RC"/>
    <n v="5"/>
    <n v="0"/>
    <s v="旧"/>
    <m/>
    <x v="2"/>
    <m/>
    <m/>
    <m/>
    <n v="47"/>
    <s v="C"/>
    <s v="A"/>
    <s v="B"/>
    <s v="-"/>
    <s v="-"/>
    <s v="-"/>
    <s v="B"/>
    <s v="D"/>
    <s v="-"/>
    <s v="C"/>
    <n v="63.225806451612911"/>
    <x v="0"/>
    <x v="0"/>
    <m/>
    <m/>
    <s v="公財台帳・固資台帳"/>
    <s v="454"/>
    <s v="G051100"/>
    <x v="6"/>
    <x v="15"/>
  </r>
  <r>
    <s v="212"/>
    <s v="0809"/>
    <s v="天神川第２団地"/>
    <x v="26"/>
    <s v="03"/>
    <s v="3号館"/>
    <x v="6"/>
    <m/>
    <x v="6"/>
    <n v="271.64"/>
    <n v="1336.1"/>
    <n v="1336.1"/>
    <s v="単独"/>
    <s v="RC"/>
    <n v="5"/>
    <n v="0"/>
    <s v="旧"/>
    <m/>
    <x v="2"/>
    <m/>
    <m/>
    <m/>
    <n v="47"/>
    <s v="C"/>
    <s v="A"/>
    <s v="A"/>
    <s v="-"/>
    <s v="-"/>
    <s v="-"/>
    <s v="B"/>
    <s v="D"/>
    <s v="-"/>
    <s v="C"/>
    <n v="61.935483870967744"/>
    <x v="0"/>
    <x v="0"/>
    <m/>
    <m/>
    <s v="公財台帳・固資台帳"/>
    <s v="454"/>
    <s v="G051100"/>
    <x v="6"/>
    <x v="15"/>
  </r>
  <r>
    <s v="212"/>
    <s v="0809"/>
    <s v="天神川第２団地"/>
    <x v="26"/>
    <s v="04"/>
    <s v="4号館"/>
    <x v="6"/>
    <m/>
    <x v="6"/>
    <n v="271.64"/>
    <n v="1325.75"/>
    <n v="1325.75"/>
    <s v="単独"/>
    <s v="RC"/>
    <n v="5"/>
    <n v="0"/>
    <s v="旧"/>
    <m/>
    <x v="2"/>
    <m/>
    <m/>
    <m/>
    <n v="47"/>
    <s v="C"/>
    <s v="A"/>
    <s v="A"/>
    <s v="-"/>
    <s v="-"/>
    <s v="-"/>
    <s v="B"/>
    <s v="D"/>
    <s v="-"/>
    <s v="C"/>
    <n v="61.29032258064516"/>
    <x v="0"/>
    <x v="0"/>
    <m/>
    <m/>
    <s v="公財台帳・固資台帳"/>
    <s v="454"/>
    <s v="G051100"/>
    <x v="6"/>
    <x v="15"/>
  </r>
  <r>
    <s v="212"/>
    <s v="0809"/>
    <s v="天神川第２団地"/>
    <x v="26"/>
    <s v="05"/>
    <s v="集会所"/>
    <x v="1"/>
    <n v="12"/>
    <x v="1"/>
    <m/>
    <n v="99.56"/>
    <n v="99.56"/>
    <s v="単独"/>
    <s v="RC"/>
    <m/>
    <m/>
    <s v="旧"/>
    <s v="-"/>
    <x v="2"/>
    <m/>
    <m/>
    <m/>
    <n v="47"/>
    <s v="-"/>
    <s v="-"/>
    <s v="-"/>
    <s v="-"/>
    <s v="-"/>
    <s v="-"/>
    <s v="-"/>
    <s v="-"/>
    <s v="-"/>
    <s v="-"/>
    <s v="-"/>
    <x v="0"/>
    <x v="0"/>
    <m/>
    <m/>
    <s v="公財台帳・固資台帳"/>
    <s v="454"/>
    <s v="G051100"/>
    <x v="6"/>
    <x v="15"/>
  </r>
  <r>
    <s v="212"/>
    <s v="0809"/>
    <s v="天神川第２団地"/>
    <x v="26"/>
    <s v="06"/>
    <s v="受水槽ポンプ室"/>
    <x v="0"/>
    <n v="3"/>
    <x v="0"/>
    <m/>
    <n v="11"/>
    <n v="11"/>
    <s v="単独"/>
    <s v="RC"/>
    <m/>
    <m/>
    <m/>
    <m/>
    <x v="3"/>
    <m/>
    <m/>
    <m/>
    <n v="38"/>
    <s v="-"/>
    <s v="-"/>
    <s v="-"/>
    <s v="-"/>
    <s v="-"/>
    <s v="-"/>
    <s v="-"/>
    <s v="-"/>
    <s v="-"/>
    <s v="-"/>
    <s v="-"/>
    <x v="3"/>
    <x v="0"/>
    <m/>
    <m/>
    <s v="公財台帳・固資台帳"/>
    <s v="454"/>
    <s v="G051100"/>
    <x v="6"/>
    <x v="15"/>
  </r>
  <r>
    <s v="212"/>
    <s v="0809"/>
    <s v="天神川第２団地"/>
    <x v="26"/>
    <s v="07"/>
    <s v="自転車置場"/>
    <x v="0"/>
    <n v="3"/>
    <x v="0"/>
    <m/>
    <n v="44"/>
    <n v="44"/>
    <s v="単独"/>
    <s v="S"/>
    <m/>
    <m/>
    <m/>
    <m/>
    <x v="3"/>
    <m/>
    <m/>
    <m/>
    <n v="31"/>
    <s v="-"/>
    <s v="-"/>
    <s v="-"/>
    <s v="-"/>
    <s v="-"/>
    <s v="-"/>
    <s v="-"/>
    <s v="-"/>
    <s v="-"/>
    <s v="-"/>
    <s v="-"/>
    <x v="1"/>
    <x v="0"/>
    <m/>
    <m/>
    <s v="公財台帳・固資台帳"/>
    <s v="454"/>
    <s v="G051100"/>
    <x v="6"/>
    <x v="15"/>
  </r>
  <r>
    <s v="212"/>
    <s v="0809"/>
    <s v="天神川第２団地"/>
    <x v="26"/>
    <s v="08"/>
    <s v="自転車置場"/>
    <x v="1"/>
    <n v="2"/>
    <x v="1"/>
    <m/>
    <n v="44"/>
    <n v="44"/>
    <s v="単独"/>
    <s v="S"/>
    <m/>
    <m/>
    <m/>
    <m/>
    <x v="3"/>
    <m/>
    <m/>
    <m/>
    <n v="31"/>
    <s v="-"/>
    <s v="-"/>
    <s v="-"/>
    <s v="-"/>
    <s v="-"/>
    <s v="-"/>
    <s v="-"/>
    <s v="-"/>
    <s v="-"/>
    <s v="-"/>
    <s v="-"/>
    <x v="1"/>
    <x v="0"/>
    <m/>
    <m/>
    <s v="公財台帳・固資台帳"/>
    <s v="454"/>
    <s v="G051100"/>
    <x v="6"/>
    <x v="15"/>
  </r>
  <r>
    <s v="212"/>
    <s v="0809"/>
    <s v="天神川第２団地"/>
    <x v="26"/>
    <s v="09"/>
    <s v="自転車置場"/>
    <x v="1"/>
    <n v="2"/>
    <x v="1"/>
    <m/>
    <n v="35.200000000000003"/>
    <n v="35.200000000000003"/>
    <s v="単独"/>
    <s v="S"/>
    <m/>
    <m/>
    <m/>
    <m/>
    <x v="3"/>
    <m/>
    <m/>
    <m/>
    <n v="31"/>
    <s v="-"/>
    <s v="-"/>
    <s v="-"/>
    <s v="-"/>
    <s v="-"/>
    <s v="-"/>
    <s v="-"/>
    <s v="-"/>
    <s v="-"/>
    <s v="-"/>
    <s v="-"/>
    <x v="1"/>
    <x v="0"/>
    <m/>
    <m/>
    <s v="公財台帳・固資台帳"/>
    <s v="454"/>
    <s v="G051100"/>
    <x v="6"/>
    <x v="15"/>
  </r>
  <r>
    <s v="212"/>
    <s v="0809"/>
    <s v="天神川第２団地"/>
    <x v="26"/>
    <s v="10"/>
    <s v="ポンプ室"/>
    <x v="1"/>
    <n v="2"/>
    <x v="1"/>
    <m/>
    <n v="11"/>
    <n v="11"/>
    <s v="単独"/>
    <s v="RC"/>
    <m/>
    <m/>
    <m/>
    <m/>
    <x v="3"/>
    <m/>
    <m/>
    <m/>
    <n v="38"/>
    <s v="-"/>
    <s v="-"/>
    <s v="-"/>
    <s v="-"/>
    <s v="-"/>
    <s v="-"/>
    <s v="-"/>
    <s v="-"/>
    <s v="-"/>
    <s v="-"/>
    <s v="-"/>
    <x v="3"/>
    <x v="0"/>
    <m/>
    <m/>
    <s v="公財台帳・固資台帳"/>
    <s v="454"/>
    <s v="G051100"/>
    <x v="6"/>
    <x v="15"/>
  </r>
  <r>
    <s v="212"/>
    <s v="0809"/>
    <s v="天神川第２団地"/>
    <x v="26"/>
    <s v="11"/>
    <s v="自転車置場"/>
    <x v="1"/>
    <n v="12"/>
    <x v="1"/>
    <m/>
    <n v="42.5"/>
    <n v="42.5"/>
    <s v="単独"/>
    <s v="S"/>
    <m/>
    <m/>
    <m/>
    <m/>
    <x v="3"/>
    <m/>
    <m/>
    <m/>
    <n v="31"/>
    <s v="-"/>
    <s v="-"/>
    <s v="-"/>
    <s v="-"/>
    <s v="-"/>
    <s v="-"/>
    <s v="-"/>
    <s v="-"/>
    <s v="-"/>
    <s v="-"/>
    <s v="-"/>
    <x v="1"/>
    <x v="0"/>
    <m/>
    <m/>
    <s v="公財台帳・固資台帳"/>
    <s v="454"/>
    <s v="G051100"/>
    <x v="6"/>
    <x v="15"/>
  </r>
  <r>
    <s v="213"/>
    <s v="0805"/>
    <s v="荒牧第８団地"/>
    <x v="26"/>
    <s v="01"/>
    <s v="荒牧第８団地"/>
    <x v="48"/>
    <m/>
    <x v="48"/>
    <n v="249.53"/>
    <n v="1295.4000000000001"/>
    <n v="1295.4000000000001"/>
    <s v="単独"/>
    <s v="RC"/>
    <n v="5"/>
    <n v="0"/>
    <s v="旧"/>
    <m/>
    <x v="2"/>
    <m/>
    <m/>
    <m/>
    <n v="47"/>
    <s v="C"/>
    <s v="D"/>
    <s v="C"/>
    <s v="-"/>
    <s v="-"/>
    <s v="-"/>
    <s v="D"/>
    <s v="C"/>
    <s v="-"/>
    <s v="D"/>
    <n v="86.451612903225808"/>
    <x v="0"/>
    <x v="0"/>
    <m/>
    <m/>
    <s v="公財台帳・固資台帳"/>
    <s v="454"/>
    <s v="G051100"/>
    <x v="6"/>
    <x v="15"/>
  </r>
  <r>
    <s v="214"/>
    <s v="0811"/>
    <s v="行基団地"/>
    <x v="26"/>
    <s v="01"/>
    <s v="行基団地"/>
    <x v="44"/>
    <n v="1"/>
    <x v="44"/>
    <n v="295.01"/>
    <n v="1215.18"/>
    <n v="1215.18"/>
    <s v="単独"/>
    <s v="RC"/>
    <n v="5"/>
    <n v="0"/>
    <s v="旧"/>
    <m/>
    <x v="2"/>
    <m/>
    <m/>
    <m/>
    <n v="47"/>
    <s v="C"/>
    <s v="D"/>
    <s v="D"/>
    <s v="-"/>
    <s v="-"/>
    <s v="-"/>
    <s v="D"/>
    <s v="C"/>
    <s v="-"/>
    <s v="D"/>
    <n v="89.032258064516128"/>
    <x v="0"/>
    <x v="0"/>
    <m/>
    <m/>
    <s v="公財台帳・固資台帳"/>
    <s v="454"/>
    <s v="G051100"/>
    <x v="6"/>
    <x v="15"/>
  </r>
  <r>
    <s v="214"/>
    <s v="0811"/>
    <s v="行基団地"/>
    <x v="26"/>
    <s v="02"/>
    <s v="ポンプ室"/>
    <x v="44"/>
    <n v="1"/>
    <x v="44"/>
    <m/>
    <n v="8.8699999999999992"/>
    <n v="8.8699999999999992"/>
    <s v="単独"/>
    <s v="RC"/>
    <m/>
    <m/>
    <m/>
    <m/>
    <x v="3"/>
    <m/>
    <m/>
    <m/>
    <n v="38"/>
    <s v="-"/>
    <s v="-"/>
    <s v="-"/>
    <s v="-"/>
    <s v="-"/>
    <s v="-"/>
    <s v="-"/>
    <s v="-"/>
    <s v="-"/>
    <s v="-"/>
    <s v="-"/>
    <x v="3"/>
    <x v="0"/>
    <m/>
    <m/>
    <s v="公財台帳・固資台帳"/>
    <s v="454"/>
    <s v="G051100"/>
    <x v="6"/>
    <x v="15"/>
  </r>
  <r>
    <s v="214"/>
    <s v="0811"/>
    <s v="行基団地"/>
    <x v="26"/>
    <s v="03"/>
    <s v="自転車置場"/>
    <x v="49"/>
    <n v="10"/>
    <x v="49"/>
    <m/>
    <n v="7.44"/>
    <n v="7.44"/>
    <s v="単独"/>
    <s v="S"/>
    <m/>
    <m/>
    <m/>
    <m/>
    <x v="3"/>
    <m/>
    <m/>
    <m/>
    <n v="24"/>
    <s v="-"/>
    <s v="-"/>
    <s v="-"/>
    <s v="-"/>
    <s v="-"/>
    <s v="-"/>
    <s v="-"/>
    <s v="-"/>
    <s v="-"/>
    <s v="-"/>
    <s v="-"/>
    <x v="1"/>
    <x v="0"/>
    <m/>
    <m/>
    <s v="公財台帳・固資台帳"/>
    <s v="454"/>
    <s v="G051100"/>
    <x v="6"/>
    <x v="15"/>
  </r>
  <r>
    <s v="215"/>
    <s v="0812"/>
    <s v="若松団地"/>
    <x v="26"/>
    <s v="01"/>
    <s v="若松団地"/>
    <x v="48"/>
    <m/>
    <x v="48"/>
    <n v="197.18"/>
    <n v="853.34"/>
    <n v="853.34"/>
    <s v="単独"/>
    <s v="RC"/>
    <n v="5"/>
    <n v="0"/>
    <s v="旧"/>
    <m/>
    <x v="2"/>
    <m/>
    <m/>
    <m/>
    <n v="47"/>
    <s v="C"/>
    <s v="D"/>
    <s v="D"/>
    <s v="-"/>
    <s v="-"/>
    <s v="-"/>
    <s v="B"/>
    <s v="D"/>
    <s v="-"/>
    <s v="D"/>
    <n v="79.354838709677423"/>
    <x v="0"/>
    <x v="0"/>
    <m/>
    <m/>
    <s v="公財台帳・固資台帳"/>
    <s v="454"/>
    <s v="G051100"/>
    <x v="6"/>
    <x v="15"/>
  </r>
  <r>
    <s v="216"/>
    <s v="0814"/>
    <s v="緑団地"/>
    <x v="26"/>
    <s v="01"/>
    <s v="緑団地"/>
    <x v="6"/>
    <m/>
    <x v="6"/>
    <n v="154.61000000000001"/>
    <n v="755.22"/>
    <n v="755.22"/>
    <s v="単独"/>
    <s v="RC"/>
    <n v="5"/>
    <n v="0"/>
    <s v="旧"/>
    <m/>
    <x v="2"/>
    <m/>
    <m/>
    <m/>
    <n v="47"/>
    <s v="C"/>
    <s v="D"/>
    <s v="C"/>
    <s v="-"/>
    <s v="-"/>
    <s v="-"/>
    <s v="D"/>
    <s v="D"/>
    <s v="-"/>
    <s v="D"/>
    <n v="86.451612903225808"/>
    <x v="0"/>
    <x v="0"/>
    <m/>
    <m/>
    <s v="公財台帳・固資台帳"/>
    <s v="454"/>
    <s v="G051100"/>
    <x v="6"/>
    <x v="15"/>
  </r>
  <r>
    <s v="216"/>
    <s v="0814"/>
    <s v="緑団地"/>
    <x v="26"/>
    <s v="02"/>
    <s v="受水槽ポンプ室"/>
    <x v="0"/>
    <n v="2"/>
    <x v="0"/>
    <m/>
    <n v="8.0500000000000007"/>
    <n v="8.0500000000000007"/>
    <s v="単独"/>
    <s v="RC"/>
    <m/>
    <m/>
    <m/>
    <m/>
    <x v="3"/>
    <m/>
    <m/>
    <m/>
    <n v="38"/>
    <s v="-"/>
    <s v="-"/>
    <s v="-"/>
    <s v="-"/>
    <s v="-"/>
    <s v="-"/>
    <s v="-"/>
    <s v="-"/>
    <s v="-"/>
    <s v="-"/>
    <s v="-"/>
    <x v="3"/>
    <x v="0"/>
    <m/>
    <m/>
    <s v="公財台帳・固資台帳"/>
    <s v="454"/>
    <s v="G051100"/>
    <x v="6"/>
    <x v="15"/>
  </r>
  <r>
    <s v="216"/>
    <s v="0814"/>
    <s v="緑団地"/>
    <x v="26"/>
    <s v="03"/>
    <s v="プロパンボンベ室"/>
    <x v="0"/>
    <n v="2"/>
    <x v="0"/>
    <m/>
    <n v="8"/>
    <n v="8"/>
    <s v="単独"/>
    <s v="RC"/>
    <m/>
    <m/>
    <m/>
    <m/>
    <x v="3"/>
    <m/>
    <m/>
    <m/>
    <n v="38"/>
    <s v="-"/>
    <s v="-"/>
    <s v="-"/>
    <s v="-"/>
    <s v="-"/>
    <s v="-"/>
    <s v="-"/>
    <s v="-"/>
    <s v="-"/>
    <s v="-"/>
    <s v="-"/>
    <x v="3"/>
    <x v="0"/>
    <m/>
    <m/>
    <s v="公財台帳・固資台帳"/>
    <s v="454"/>
    <s v="G051100"/>
    <x v="6"/>
    <x v="15"/>
  </r>
  <r>
    <s v="216"/>
    <s v="0814"/>
    <s v="緑団地"/>
    <x v="26"/>
    <s v="04"/>
    <s v="物置"/>
    <x v="1"/>
    <n v="8"/>
    <x v="1"/>
    <m/>
    <n v="46.66"/>
    <n v="46.66"/>
    <s v="単独"/>
    <s v="S"/>
    <m/>
    <m/>
    <m/>
    <m/>
    <x v="3"/>
    <m/>
    <m/>
    <m/>
    <n v="24"/>
    <s v="-"/>
    <s v="-"/>
    <s v="-"/>
    <s v="-"/>
    <s v="-"/>
    <s v="-"/>
    <s v="-"/>
    <s v="-"/>
    <s v="-"/>
    <s v="-"/>
    <s v="-"/>
    <x v="3"/>
    <x v="0"/>
    <m/>
    <m/>
    <s v="公財台帳・固資台帳"/>
    <s v="454"/>
    <s v="G051100"/>
    <x v="6"/>
    <x v="15"/>
  </r>
  <r>
    <s v="216"/>
    <s v="0814"/>
    <s v="緑団地"/>
    <x v="26"/>
    <s v="05"/>
    <s v="物置"/>
    <x v="1"/>
    <n v="8"/>
    <x v="1"/>
    <m/>
    <n v="19.989999999999998"/>
    <n v="19.989999999999998"/>
    <s v="単独"/>
    <s v="S"/>
    <m/>
    <m/>
    <m/>
    <m/>
    <x v="3"/>
    <m/>
    <m/>
    <m/>
    <n v="24"/>
    <s v="-"/>
    <s v="-"/>
    <s v="-"/>
    <s v="-"/>
    <s v="-"/>
    <s v="-"/>
    <s v="-"/>
    <s v="-"/>
    <s v="-"/>
    <s v="-"/>
    <s v="-"/>
    <x v="3"/>
    <x v="0"/>
    <m/>
    <m/>
    <s v="公財台帳・固資台帳"/>
    <s v="454"/>
    <s v="G051100"/>
    <x v="6"/>
    <x v="15"/>
  </r>
  <r>
    <s v="216"/>
    <s v="0814"/>
    <s v="緑団地"/>
    <x v="26"/>
    <s v="06"/>
    <s v="集会所"/>
    <x v="29"/>
    <n v="8"/>
    <x v="29"/>
    <m/>
    <n v="24.3"/>
    <n v="24.3"/>
    <s v="単独"/>
    <s v="S"/>
    <m/>
    <m/>
    <m/>
    <m/>
    <x v="3"/>
    <m/>
    <m/>
    <m/>
    <n v="27"/>
    <s v="-"/>
    <s v="-"/>
    <s v="-"/>
    <s v="-"/>
    <s v="-"/>
    <s v="-"/>
    <s v="-"/>
    <s v="-"/>
    <s v="-"/>
    <s v="-"/>
    <s v="-"/>
    <x v="3"/>
    <x v="0"/>
    <m/>
    <m/>
    <s v="公財台帳・固資台帳"/>
    <s v="454"/>
    <s v="G051100"/>
    <x v="6"/>
    <x v="15"/>
  </r>
  <r>
    <s v="217"/>
    <s v="0815"/>
    <s v="新光明団地"/>
    <x v="26"/>
    <s v="01"/>
    <s v="新光明団地"/>
    <x v="1"/>
    <m/>
    <x v="1"/>
    <n v="334"/>
    <n v="1336.1"/>
    <n v="1336.1"/>
    <s v="単独"/>
    <s v="RC"/>
    <n v="5"/>
    <n v="0"/>
    <s v="旧"/>
    <m/>
    <x v="2"/>
    <m/>
    <m/>
    <m/>
    <n v="47"/>
    <s v="C"/>
    <s v="C"/>
    <s v="D"/>
    <s v="-"/>
    <s v="-"/>
    <s v="-"/>
    <s v="D"/>
    <s v="D"/>
    <s v="-"/>
    <s v="D"/>
    <n v="85.161290322580641"/>
    <x v="0"/>
    <x v="0"/>
    <m/>
    <m/>
    <s v="公財台帳・固資台帳"/>
    <s v="454"/>
    <s v="G051100"/>
    <x v="6"/>
    <x v="15"/>
  </r>
  <r>
    <s v="217"/>
    <s v="0815"/>
    <s v="新光明団地"/>
    <x v="26"/>
    <s v="02"/>
    <s v="ポンプ室"/>
    <x v="12"/>
    <n v="12"/>
    <x v="12"/>
    <m/>
    <n v="18"/>
    <n v="18"/>
    <s v="単独"/>
    <s v="RC"/>
    <m/>
    <m/>
    <m/>
    <m/>
    <x v="3"/>
    <m/>
    <m/>
    <m/>
    <n v="38"/>
    <s v="-"/>
    <s v="-"/>
    <s v="-"/>
    <s v="-"/>
    <s v="-"/>
    <s v="-"/>
    <s v="-"/>
    <s v="-"/>
    <s v="-"/>
    <s v="-"/>
    <s v="-"/>
    <x v="3"/>
    <x v="0"/>
    <m/>
    <m/>
    <s v="公財台帳・固資台帳"/>
    <s v="454"/>
    <s v="G051100"/>
    <x v="6"/>
    <x v="15"/>
  </r>
  <r>
    <s v="217"/>
    <s v="0815"/>
    <s v="新光明団地"/>
    <x v="26"/>
    <s v="03"/>
    <s v="プロパン庫"/>
    <x v="12"/>
    <n v="12"/>
    <x v="12"/>
    <m/>
    <n v="8.44"/>
    <n v="8.44"/>
    <s v="単独"/>
    <s v="CB"/>
    <m/>
    <m/>
    <m/>
    <m/>
    <x v="3"/>
    <m/>
    <m/>
    <m/>
    <n v="34"/>
    <s v="-"/>
    <s v="-"/>
    <s v="-"/>
    <s v="-"/>
    <s v="-"/>
    <s v="-"/>
    <s v="-"/>
    <s v="-"/>
    <s v="-"/>
    <s v="-"/>
    <s v="-"/>
    <x v="3"/>
    <x v="0"/>
    <m/>
    <m/>
    <s v="公財台帳・固資台帳"/>
    <s v="454"/>
    <s v="G051100"/>
    <x v="6"/>
    <x v="15"/>
  </r>
  <r>
    <s v="217"/>
    <s v="0815"/>
    <s v="新光明団地"/>
    <x v="26"/>
    <s v="04"/>
    <s v="自転車置場"/>
    <x v="31"/>
    <n v="3"/>
    <x v="31"/>
    <m/>
    <n v="18.18"/>
    <n v="18.18"/>
    <s v="単独"/>
    <s v="S"/>
    <m/>
    <m/>
    <m/>
    <m/>
    <x v="3"/>
    <m/>
    <m/>
    <m/>
    <n v="24"/>
    <s v="-"/>
    <s v="-"/>
    <s v="-"/>
    <s v="-"/>
    <s v="-"/>
    <s v="-"/>
    <s v="-"/>
    <s v="-"/>
    <s v="-"/>
    <s v="-"/>
    <s v="-"/>
    <x v="1"/>
    <x v="0"/>
    <m/>
    <m/>
    <s v="公財台帳・固資台帳"/>
    <s v="454"/>
    <s v="G051100"/>
    <x v="6"/>
    <x v="15"/>
  </r>
  <r>
    <s v="217"/>
    <s v="0815"/>
    <s v="新光明団地"/>
    <x v="26"/>
    <s v="05"/>
    <s v="集会所"/>
    <x v="57"/>
    <n v="2"/>
    <x v="57"/>
    <m/>
    <n v="29.14"/>
    <n v="29.14"/>
    <s v="単独"/>
    <s v="S"/>
    <m/>
    <m/>
    <m/>
    <m/>
    <x v="3"/>
    <m/>
    <m/>
    <m/>
    <n v="27"/>
    <s v="-"/>
    <s v="-"/>
    <s v="-"/>
    <s v="-"/>
    <s v="-"/>
    <s v="-"/>
    <s v="-"/>
    <s v="-"/>
    <s v="-"/>
    <s v="-"/>
    <s v="-"/>
    <x v="3"/>
    <x v="0"/>
    <m/>
    <m/>
    <s v="公財台帳・固資台帳"/>
    <s v="454"/>
    <s v="G051100"/>
    <x v="6"/>
    <x v="15"/>
  </r>
  <r>
    <s v="217"/>
    <s v="0815"/>
    <s v="新光明団地"/>
    <x v="26"/>
    <s v="06"/>
    <s v="自転車置場"/>
    <x v="4"/>
    <n v="12"/>
    <x v="4"/>
    <m/>
    <n v="25.01"/>
    <n v="25.01"/>
    <s v="単独"/>
    <s v="S"/>
    <m/>
    <m/>
    <m/>
    <m/>
    <x v="3"/>
    <m/>
    <m/>
    <m/>
    <n v="24"/>
    <s v="-"/>
    <s v="-"/>
    <s v="-"/>
    <s v="-"/>
    <s v="-"/>
    <s v="-"/>
    <s v="-"/>
    <s v="-"/>
    <s v="-"/>
    <s v="-"/>
    <s v="-"/>
    <x v="1"/>
    <x v="0"/>
    <m/>
    <m/>
    <s v="公財台帳・固資台帳"/>
    <s v="454"/>
    <s v="G051100"/>
    <x v="6"/>
    <x v="15"/>
  </r>
  <r>
    <s v="218"/>
    <s v="0816"/>
    <s v="堀池団地"/>
    <x v="26"/>
    <s v="01"/>
    <s v="1号館"/>
    <x v="13"/>
    <m/>
    <x v="13"/>
    <n v="317.58"/>
    <n v="1468"/>
    <n v="1468"/>
    <s v="単独"/>
    <s v="RC"/>
    <n v="5"/>
    <n v="0"/>
    <s v="旧"/>
    <m/>
    <x v="2"/>
    <m/>
    <m/>
    <m/>
    <n v="27"/>
    <s v="C"/>
    <s v="C"/>
    <s v="D"/>
    <s v="-"/>
    <s v="-"/>
    <s v="-"/>
    <s v="D"/>
    <s v="D"/>
    <s v="-"/>
    <s v="D"/>
    <n v="81.290322580645153"/>
    <x v="0"/>
    <x v="0"/>
    <m/>
    <m/>
    <s v="公財台帳・固資台帳"/>
    <s v="454"/>
    <s v="G051100"/>
    <x v="6"/>
    <x v="15"/>
  </r>
  <r>
    <s v="218"/>
    <s v="0816"/>
    <s v="堀池団地"/>
    <x v="26"/>
    <s v="02"/>
    <s v="2号館"/>
    <x v="13"/>
    <m/>
    <x v="13"/>
    <n v="637.54"/>
    <n v="2935.7"/>
    <n v="2935.7"/>
    <s v="単独"/>
    <s v="RC"/>
    <n v="5"/>
    <n v="0"/>
    <s v="旧"/>
    <m/>
    <x v="2"/>
    <m/>
    <m/>
    <m/>
    <n v="27"/>
    <s v="C"/>
    <s v="C"/>
    <s v="D"/>
    <s v="-"/>
    <s v="-"/>
    <s v="-"/>
    <s v="D"/>
    <s v="D"/>
    <s v="-"/>
    <s v="D"/>
    <n v="81.290322580645153"/>
    <x v="0"/>
    <x v="0"/>
    <m/>
    <m/>
    <s v="公財台帳・固資台帳"/>
    <s v="454"/>
    <s v="G051100"/>
    <x v="6"/>
    <x v="15"/>
  </r>
  <r>
    <s v="218"/>
    <s v="0816"/>
    <s v="堀池団地"/>
    <x v="26"/>
    <s v="03"/>
    <s v="3号館"/>
    <x v="30"/>
    <m/>
    <x v="30"/>
    <n v="306.69"/>
    <n v="1481.8"/>
    <n v="1481.8"/>
    <s v="単独"/>
    <s v="RC"/>
    <n v="5"/>
    <n v="0"/>
    <s v="新"/>
    <s v="-"/>
    <x v="1"/>
    <m/>
    <m/>
    <m/>
    <n v="27"/>
    <s v="B"/>
    <s v="C"/>
    <s v="D"/>
    <s v="-"/>
    <s v="-"/>
    <s v="-"/>
    <s v="D"/>
    <s v="D"/>
    <s v="-"/>
    <s v="D"/>
    <n v="75.483870967741936"/>
    <x v="0"/>
    <x v="0"/>
    <m/>
    <m/>
    <s v="公財台帳・固資台帳"/>
    <s v="454"/>
    <s v="G051100"/>
    <x v="6"/>
    <x v="15"/>
  </r>
  <r>
    <s v="218"/>
    <s v="0816"/>
    <s v="堀池団地"/>
    <x v="26"/>
    <s v="04"/>
    <s v="集会所"/>
    <x v="30"/>
    <n v="3"/>
    <x v="30"/>
    <m/>
    <n v="104.5"/>
    <n v="104.5"/>
    <s v="単独"/>
    <s v="RC"/>
    <m/>
    <m/>
    <s v="旧"/>
    <s v="-"/>
    <x v="2"/>
    <m/>
    <m/>
    <m/>
    <n v="47"/>
    <s v="-"/>
    <s v="-"/>
    <s v="-"/>
    <s v="-"/>
    <s v="-"/>
    <s v="-"/>
    <s v="-"/>
    <s v="-"/>
    <s v="-"/>
    <s v="-"/>
    <s v="-"/>
    <x v="0"/>
    <x v="0"/>
    <m/>
    <m/>
    <s v="公財台帳・固資台帳"/>
    <s v="454"/>
    <s v="G051100"/>
    <x v="6"/>
    <x v="15"/>
  </r>
  <r>
    <s v="218"/>
    <s v="0816"/>
    <s v="堀池団地"/>
    <x v="26"/>
    <s v="05"/>
    <s v="ポンプ室"/>
    <x v="13"/>
    <n v="9"/>
    <x v="13"/>
    <m/>
    <n v="26.25"/>
    <n v="26.25"/>
    <s v="単独"/>
    <s v="RC"/>
    <m/>
    <m/>
    <m/>
    <m/>
    <x v="3"/>
    <m/>
    <m/>
    <m/>
    <n v="38"/>
    <s v="-"/>
    <s v="-"/>
    <s v="-"/>
    <s v="-"/>
    <s v="-"/>
    <s v="-"/>
    <s v="-"/>
    <s v="-"/>
    <s v="-"/>
    <s v="-"/>
    <s v="-"/>
    <x v="3"/>
    <x v="0"/>
    <m/>
    <m/>
    <s v="公財台帳・固資台帳"/>
    <s v="454"/>
    <s v="G051100"/>
    <x v="6"/>
    <x v="15"/>
  </r>
  <r>
    <s v="218"/>
    <s v="0816"/>
    <s v="堀池団地"/>
    <x v="26"/>
    <s v="06"/>
    <s v="物置"/>
    <x v="13"/>
    <n v="9"/>
    <x v="13"/>
    <m/>
    <n v="196.68"/>
    <n v="196.68"/>
    <s v="単独"/>
    <s v="RC"/>
    <m/>
    <m/>
    <m/>
    <m/>
    <x v="3"/>
    <m/>
    <m/>
    <m/>
    <n v="47"/>
    <s v="-"/>
    <s v="-"/>
    <s v="-"/>
    <s v="-"/>
    <s v="-"/>
    <s v="-"/>
    <s v="-"/>
    <s v="-"/>
    <s v="-"/>
    <s v="-"/>
    <s v="-"/>
    <x v="5"/>
    <x v="0"/>
    <m/>
    <m/>
    <s v="公財台帳・固資台帳"/>
    <s v="454"/>
    <s v="G051100"/>
    <x v="6"/>
    <x v="15"/>
  </r>
  <r>
    <s v="218"/>
    <s v="0816"/>
    <s v="堀池団地"/>
    <x v="26"/>
    <s v="07"/>
    <s v="物置"/>
    <x v="30"/>
    <n v="2"/>
    <x v="30"/>
    <m/>
    <n v="65.56"/>
    <n v="65.56"/>
    <s v="単独"/>
    <s v="S"/>
    <m/>
    <m/>
    <m/>
    <m/>
    <x v="3"/>
    <m/>
    <m/>
    <m/>
    <n v="24"/>
    <s v="-"/>
    <s v="-"/>
    <s v="-"/>
    <s v="-"/>
    <s v="-"/>
    <s v="-"/>
    <s v="-"/>
    <s v="-"/>
    <s v="-"/>
    <s v="-"/>
    <s v="-"/>
    <x v="5"/>
    <x v="0"/>
    <m/>
    <m/>
    <s v="公財台帳・固資台帳"/>
    <s v="454"/>
    <s v="G051100"/>
    <x v="6"/>
    <x v="15"/>
  </r>
  <r>
    <s v="219"/>
    <s v="0817"/>
    <s v="鶴田団地"/>
    <x v="26"/>
    <s v="01"/>
    <s v="1号館"/>
    <x v="13"/>
    <m/>
    <x v="13"/>
    <n v="344.99"/>
    <n v="1749.5"/>
    <n v="1749.5"/>
    <s v="単独"/>
    <s v="RC"/>
    <n v="5"/>
    <n v="0"/>
    <s v="旧"/>
    <m/>
    <x v="2"/>
    <m/>
    <m/>
    <m/>
    <n v="27"/>
    <s v="C"/>
    <s v="C"/>
    <s v="A"/>
    <s v="-"/>
    <s v="-"/>
    <s v="-"/>
    <s v="D"/>
    <s v="D"/>
    <s v="-"/>
    <s v="D"/>
    <n v="76.129032258064512"/>
    <x v="0"/>
    <x v="0"/>
    <m/>
    <m/>
    <s v="公財台帳・固資台帳"/>
    <s v="454"/>
    <s v="G051100"/>
    <x v="6"/>
    <x v="15"/>
  </r>
  <r>
    <s v="219"/>
    <s v="0817"/>
    <s v="鶴田団地"/>
    <x v="26"/>
    <s v="02"/>
    <s v="2号館"/>
    <x v="13"/>
    <m/>
    <x v="13"/>
    <n v="459.91"/>
    <n v="2332.3000000000002"/>
    <n v="2332.3000000000002"/>
    <s v="単独"/>
    <s v="RC"/>
    <n v="5"/>
    <n v="0"/>
    <s v="旧"/>
    <m/>
    <x v="2"/>
    <m/>
    <m/>
    <m/>
    <n v="47"/>
    <s v="C"/>
    <s v="C"/>
    <s v="A"/>
    <s v="-"/>
    <s v="-"/>
    <s v="-"/>
    <s v="D"/>
    <s v="D"/>
    <s v="-"/>
    <s v="D"/>
    <n v="76.129032258064512"/>
    <x v="0"/>
    <x v="0"/>
    <m/>
    <m/>
    <s v="公財台帳・固資台帳"/>
    <s v="454"/>
    <s v="G051100"/>
    <x v="6"/>
    <x v="15"/>
  </r>
  <r>
    <s v="219"/>
    <s v="0817"/>
    <s v="鶴田団地"/>
    <x v="26"/>
    <s v="03"/>
    <s v="3号館"/>
    <x v="32"/>
    <m/>
    <x v="32"/>
    <n v="326.24"/>
    <n v="1234.93"/>
    <n v="1234.93"/>
    <s v="単独"/>
    <s v="RC"/>
    <n v="5"/>
    <n v="0"/>
    <s v="新"/>
    <s v="-"/>
    <x v="1"/>
    <m/>
    <m/>
    <m/>
    <n v="47"/>
    <s v="B"/>
    <s v="D"/>
    <s v="A"/>
    <s v="-"/>
    <s v="-"/>
    <s v="-"/>
    <s v="C"/>
    <s v="C"/>
    <s v="-"/>
    <s v="C"/>
    <n v="56.129032258064512"/>
    <x v="0"/>
    <x v="0"/>
    <m/>
    <m/>
    <s v="公財台帳・固資台帳"/>
    <s v="454"/>
    <s v="G051100"/>
    <x v="6"/>
    <x v="15"/>
  </r>
  <r>
    <s v="219"/>
    <s v="0817"/>
    <s v="鶴田団地"/>
    <x v="26"/>
    <s v="04"/>
    <s v="ポンプ室"/>
    <x v="13"/>
    <n v="9"/>
    <x v="13"/>
    <m/>
    <n v="26.25"/>
    <n v="26.25"/>
    <s v="単独"/>
    <s v="RC"/>
    <m/>
    <m/>
    <m/>
    <m/>
    <x v="3"/>
    <m/>
    <m/>
    <m/>
    <n v="38"/>
    <s v="-"/>
    <s v="-"/>
    <s v="-"/>
    <s v="-"/>
    <s v="-"/>
    <s v="-"/>
    <s v="-"/>
    <s v="-"/>
    <s v="-"/>
    <s v="-"/>
    <s v="-"/>
    <x v="3"/>
    <x v="0"/>
    <m/>
    <m/>
    <s v="公財台帳・固資台帳"/>
    <s v="454"/>
    <s v="G051100"/>
    <x v="6"/>
    <x v="15"/>
  </r>
  <r>
    <s v="219"/>
    <s v="0817"/>
    <s v="鶴田団地"/>
    <x v="26"/>
    <s v="05"/>
    <s v="自転車置場"/>
    <x v="13"/>
    <n v="9"/>
    <x v="13"/>
    <m/>
    <n v="125"/>
    <n v="125"/>
    <s v="単独"/>
    <s v="S"/>
    <m/>
    <m/>
    <m/>
    <m/>
    <x v="3"/>
    <m/>
    <m/>
    <m/>
    <n v="24"/>
    <s v="-"/>
    <s v="-"/>
    <s v="-"/>
    <s v="-"/>
    <s v="-"/>
    <s v="-"/>
    <s v="-"/>
    <s v="-"/>
    <s v="-"/>
    <s v="-"/>
    <s v="-"/>
    <x v="1"/>
    <x v="0"/>
    <m/>
    <m/>
    <s v="公財台帳・固資台帳"/>
    <s v="454"/>
    <s v="G051100"/>
    <x v="6"/>
    <x v="15"/>
  </r>
  <r>
    <s v="220"/>
    <s v="0818"/>
    <s v="北野団地"/>
    <x v="26"/>
    <s v="01"/>
    <s v="北野団地"/>
    <x v="25"/>
    <m/>
    <x v="25"/>
    <n v="344.99"/>
    <n v="1399.68"/>
    <n v="1399.68"/>
    <s v="単独"/>
    <s v="RC"/>
    <n v="4"/>
    <n v="0"/>
    <s v="旧"/>
    <m/>
    <x v="2"/>
    <m/>
    <m/>
    <m/>
    <n v="47"/>
    <s v="C"/>
    <s v="D"/>
    <s v="A"/>
    <s v="-"/>
    <s v="-"/>
    <s v="-"/>
    <s v="D"/>
    <s v="D"/>
    <s v="-"/>
    <s v="D"/>
    <n v="77.41935483870968"/>
    <x v="0"/>
    <x v="0"/>
    <m/>
    <m/>
    <s v="公財台帳・固資台帳"/>
    <s v="454"/>
    <s v="G051100"/>
    <x v="6"/>
    <x v="15"/>
  </r>
  <r>
    <s v="220"/>
    <s v="0818"/>
    <s v="北野団地"/>
    <x v="26"/>
    <s v="02"/>
    <s v="ポンプ室"/>
    <x v="25"/>
    <n v="9"/>
    <x v="25"/>
    <m/>
    <n v="14"/>
    <n v="14"/>
    <s v="単独"/>
    <s v="RC"/>
    <m/>
    <m/>
    <m/>
    <m/>
    <x v="3"/>
    <m/>
    <m/>
    <m/>
    <n v="38"/>
    <s v="-"/>
    <s v="-"/>
    <s v="-"/>
    <s v="-"/>
    <s v="-"/>
    <s v="-"/>
    <s v="-"/>
    <s v="-"/>
    <s v="-"/>
    <s v="-"/>
    <s v="-"/>
    <x v="3"/>
    <x v="0"/>
    <m/>
    <m/>
    <s v="公財台帳・固資台帳"/>
    <s v="454"/>
    <s v="G051100"/>
    <x v="6"/>
    <x v="15"/>
  </r>
  <r>
    <s v="220"/>
    <s v="0818"/>
    <s v="北野団地"/>
    <x v="26"/>
    <s v="03"/>
    <s v="自転車置場"/>
    <x v="25"/>
    <n v="9"/>
    <x v="25"/>
    <m/>
    <n v="67.400000000000006"/>
    <n v="67.400000000000006"/>
    <s v="単独"/>
    <s v="RC"/>
    <m/>
    <m/>
    <m/>
    <m/>
    <x v="3"/>
    <m/>
    <m/>
    <m/>
    <n v="38"/>
    <s v="-"/>
    <s v="-"/>
    <s v="-"/>
    <s v="-"/>
    <s v="-"/>
    <s v="-"/>
    <s v="-"/>
    <s v="-"/>
    <s v="-"/>
    <s v="-"/>
    <s v="-"/>
    <x v="1"/>
    <x v="0"/>
    <m/>
    <m/>
    <s v="公財台帳・固資台帳"/>
    <s v="454"/>
    <s v="G051100"/>
    <x v="6"/>
    <x v="15"/>
  </r>
  <r>
    <s v="221"/>
    <s v="0819"/>
    <s v="荻野北団地"/>
    <x v="26"/>
    <s v="01"/>
    <s v="荻野北団地"/>
    <x v="31"/>
    <m/>
    <x v="31"/>
    <n v="282.56"/>
    <n v="1309"/>
    <n v="1309"/>
    <s v="単独"/>
    <s v="RC"/>
    <n v="5"/>
    <n v="0"/>
    <s v="新"/>
    <s v="-"/>
    <x v="1"/>
    <m/>
    <m/>
    <m/>
    <n v="50"/>
    <s v="B"/>
    <s v="A"/>
    <s v="A"/>
    <s v="-"/>
    <s v="-"/>
    <s v="-"/>
    <s v="D"/>
    <s v="D"/>
    <s v="-"/>
    <s v="C"/>
    <n v="61.935483870967744"/>
    <x v="0"/>
    <x v="0"/>
    <m/>
    <m/>
    <s v="公財台帳・固資台帳"/>
    <s v="454"/>
    <s v="G051100"/>
    <x v="6"/>
    <x v="15"/>
  </r>
  <r>
    <s v="221"/>
    <s v="0819"/>
    <s v="荻野北団地"/>
    <x v="26"/>
    <s v="02"/>
    <s v="自転車置場"/>
    <x v="2"/>
    <n v="8"/>
    <x v="2"/>
    <m/>
    <n v="28"/>
    <n v="28"/>
    <s v="単独"/>
    <s v="S"/>
    <m/>
    <m/>
    <m/>
    <m/>
    <x v="3"/>
    <m/>
    <m/>
    <m/>
    <n v="31"/>
    <s v="-"/>
    <s v="-"/>
    <s v="-"/>
    <s v="-"/>
    <s v="-"/>
    <s v="-"/>
    <s v="-"/>
    <s v="-"/>
    <s v="-"/>
    <s v="-"/>
    <s v="-"/>
    <x v="1"/>
    <x v="0"/>
    <m/>
    <m/>
    <s v="公財台帳・固資台帳"/>
    <s v="454"/>
    <s v="G051100"/>
    <x v="6"/>
    <x v="15"/>
  </r>
  <r>
    <s v="221"/>
    <s v="0819"/>
    <s v="荻野北団地"/>
    <x v="26"/>
    <s v="03"/>
    <s v="ポンプ室"/>
    <x v="2"/>
    <n v="8"/>
    <x v="2"/>
    <m/>
    <n v="6.18"/>
    <n v="6.18"/>
    <s v="単独"/>
    <s v="RC"/>
    <m/>
    <m/>
    <m/>
    <m/>
    <x v="3"/>
    <m/>
    <m/>
    <m/>
    <n v="38"/>
    <s v="-"/>
    <s v="-"/>
    <s v="-"/>
    <s v="-"/>
    <s v="-"/>
    <s v="-"/>
    <s v="-"/>
    <s v="-"/>
    <s v="-"/>
    <s v="-"/>
    <s v="-"/>
    <x v="3"/>
    <x v="0"/>
    <m/>
    <m/>
    <s v="公財台帳・固資台帳"/>
    <s v="454"/>
    <s v="G051100"/>
    <x v="6"/>
    <x v="15"/>
  </r>
  <r>
    <s v="222"/>
    <s v="0820"/>
    <s v="シルバーハイツ桃源荘"/>
    <x v="26"/>
    <s v="01"/>
    <s v="ｼﾙﾊﾞｰﾊｲﾂ桃源荘"/>
    <x v="36"/>
    <m/>
    <x v="36"/>
    <n v="857.93"/>
    <n v="2096.16"/>
    <n v="2096.16"/>
    <s v="単独"/>
    <s v="RC"/>
    <n v="3"/>
    <n v="0"/>
    <s v="新"/>
    <s v="-"/>
    <x v="1"/>
    <m/>
    <m/>
    <m/>
    <n v="47"/>
    <s v="B"/>
    <s v="C"/>
    <s v="A"/>
    <s v="-"/>
    <s v="-"/>
    <s v="-"/>
    <s v="C"/>
    <s v="D"/>
    <s v="-"/>
    <s v="C"/>
    <n v="63.87096774193548"/>
    <x v="0"/>
    <x v="0"/>
    <m/>
    <m/>
    <s v="公財台帳・固資台帳"/>
    <s v="454"/>
    <s v="G051100"/>
    <x v="6"/>
    <x v="15"/>
  </r>
  <r>
    <s v="223"/>
    <s v="0821"/>
    <s v="荒牧御影団地"/>
    <x v="26"/>
    <s v="01"/>
    <s v="荒牧御影団地"/>
    <x v="40"/>
    <m/>
    <x v="40"/>
    <n v="821.02"/>
    <n v="5285.7"/>
    <n v="5285.7"/>
    <s v="単独"/>
    <s v="RC"/>
    <n v="8"/>
    <n v="0"/>
    <s v="新"/>
    <s v="-"/>
    <x v="1"/>
    <m/>
    <m/>
    <m/>
    <n v="47"/>
    <s v="B"/>
    <s v="D"/>
    <s v="A"/>
    <s v="-"/>
    <s v="-"/>
    <s v="-"/>
    <s v="C"/>
    <s v="C"/>
    <s v="-"/>
    <s v="C"/>
    <n v="54.838709677419352"/>
    <x v="0"/>
    <x v="0"/>
    <m/>
    <m/>
    <s v="公財台帳・固資台帳"/>
    <s v="454"/>
    <s v="G051100"/>
    <x v="6"/>
    <x v="15"/>
  </r>
  <r>
    <s v="224"/>
    <s v="0824"/>
    <s v="新田中野住宅"/>
    <x v="26"/>
    <s v="01"/>
    <s v="1号館"/>
    <x v="32"/>
    <m/>
    <x v="32"/>
    <n v="675.57"/>
    <n v="3145.5"/>
    <n v="3145.5"/>
    <s v="単独"/>
    <s v="RC"/>
    <n v="5"/>
    <n v="0"/>
    <s v="新"/>
    <s v="-"/>
    <x v="1"/>
    <m/>
    <m/>
    <m/>
    <n v="47"/>
    <s v="B"/>
    <s v="D"/>
    <s v="A"/>
    <s v="-"/>
    <s v="-"/>
    <s v="-"/>
    <s v="C"/>
    <s v="C"/>
    <s v="-"/>
    <s v="C"/>
    <n v="54.193548387096783"/>
    <x v="0"/>
    <x v="0"/>
    <m/>
    <m/>
    <s v="公財台帳・固資台帳"/>
    <s v="454"/>
    <s v="G051100"/>
    <x v="6"/>
    <x v="15"/>
  </r>
  <r>
    <s v="224"/>
    <s v="0824"/>
    <s v="新田中野住宅"/>
    <x v="26"/>
    <s v="02"/>
    <s v="2号館"/>
    <x v="38"/>
    <m/>
    <x v="38"/>
    <n v="675.57"/>
    <n v="3025.78"/>
    <n v="3025.78"/>
    <s v="単独"/>
    <s v="RC"/>
    <n v="5"/>
    <n v="0"/>
    <s v="新"/>
    <s v="-"/>
    <x v="1"/>
    <m/>
    <m/>
    <m/>
    <n v="47"/>
    <s v="A"/>
    <s v="C"/>
    <s v="A"/>
    <s v="-"/>
    <s v="-"/>
    <s v="-"/>
    <s v="C"/>
    <s v="C"/>
    <s v="-"/>
    <s v="B"/>
    <n v="49.032258064516135"/>
    <x v="0"/>
    <x v="0"/>
    <m/>
    <m/>
    <s v="公財台帳・固資台帳"/>
    <s v="454"/>
    <s v="G051100"/>
    <x v="6"/>
    <x v="15"/>
  </r>
  <r>
    <s v="224"/>
    <s v="0824"/>
    <s v="新田中野住宅"/>
    <x v="26"/>
    <s v="03"/>
    <s v="3号館"/>
    <x v="23"/>
    <m/>
    <x v="23"/>
    <n v="754.85"/>
    <n v="3238.88"/>
    <n v="3238.88"/>
    <s v="単独"/>
    <s v="RC"/>
    <n v="5"/>
    <n v="0"/>
    <s v="新"/>
    <s v="-"/>
    <x v="1"/>
    <m/>
    <m/>
    <m/>
    <n v="47"/>
    <s v="A"/>
    <s v="C"/>
    <s v="A"/>
    <s v="-"/>
    <s v="-"/>
    <s v="-"/>
    <s v="B"/>
    <s v="C"/>
    <s v="-"/>
    <s v="B"/>
    <n v="45.161290322580648"/>
    <x v="0"/>
    <x v="0"/>
    <m/>
    <m/>
    <s v="公財台帳・固資台帳"/>
    <s v="454"/>
    <s v="G051100"/>
    <x v="6"/>
    <x v="15"/>
  </r>
  <r>
    <s v="225"/>
    <s v="0830"/>
    <s v="北野第１住宅"/>
    <x v="26"/>
    <s v="01"/>
    <s v="北野第１住宅"/>
    <x v="38"/>
    <m/>
    <x v="38"/>
    <n v="1104.73"/>
    <n v="4562.6899999999996"/>
    <n v="4562.6899999999996"/>
    <s v="単独"/>
    <s v="RC"/>
    <n v="5"/>
    <n v="0"/>
    <s v="新"/>
    <s v="-"/>
    <x v="1"/>
    <m/>
    <m/>
    <m/>
    <n v="47"/>
    <s v="A"/>
    <s v="C"/>
    <s v="D"/>
    <s v="-"/>
    <s v="-"/>
    <s v="-"/>
    <s v="B"/>
    <s v="C"/>
    <s v="-"/>
    <s v="C"/>
    <n v="53.548387096774185"/>
    <x v="0"/>
    <x v="0"/>
    <m/>
    <m/>
    <s v="公財台帳・固資台帳"/>
    <s v="454"/>
    <s v="G051100"/>
    <x v="6"/>
    <x v="15"/>
  </r>
  <r>
    <s v="225"/>
    <s v="0830"/>
    <s v="北野第１住宅"/>
    <x v="26"/>
    <s v="02"/>
    <s v="自転車置場"/>
    <x v="23"/>
    <n v="7"/>
    <x v="23"/>
    <m/>
    <n v="89.53"/>
    <n v="89.53"/>
    <s v="単独"/>
    <s v="S"/>
    <m/>
    <m/>
    <m/>
    <m/>
    <x v="3"/>
    <m/>
    <m/>
    <m/>
    <n v="31"/>
    <s v="-"/>
    <s v="-"/>
    <s v="-"/>
    <s v="-"/>
    <s v="-"/>
    <s v="-"/>
    <s v="-"/>
    <s v="-"/>
    <s v="-"/>
    <s v="-"/>
    <s v="-"/>
    <x v="1"/>
    <x v="0"/>
    <m/>
    <m/>
    <s v="公財台帳・固資台帳"/>
    <s v="454"/>
    <s v="G051100"/>
    <x v="6"/>
    <x v="15"/>
  </r>
  <r>
    <s v="225"/>
    <s v="0830"/>
    <s v="北野第１住宅"/>
    <x v="26"/>
    <s v="03"/>
    <s v="ポンプ室"/>
    <x v="23"/>
    <n v="7"/>
    <x v="23"/>
    <m/>
    <n v="29.19"/>
    <n v="29.19"/>
    <s v="単独"/>
    <s v="RC"/>
    <m/>
    <m/>
    <m/>
    <m/>
    <x v="3"/>
    <m/>
    <m/>
    <m/>
    <n v="38"/>
    <s v="-"/>
    <s v="-"/>
    <s v="-"/>
    <s v="-"/>
    <s v="-"/>
    <s v="-"/>
    <s v="-"/>
    <s v="-"/>
    <s v="-"/>
    <s v="-"/>
    <s v="-"/>
    <x v="3"/>
    <x v="0"/>
    <m/>
    <m/>
    <s v="公財台帳・固資台帳"/>
    <s v="454"/>
    <s v="G051100"/>
    <x v="6"/>
    <x v="15"/>
  </r>
  <r>
    <s v="226"/>
    <s v="0831"/>
    <s v="北野第２住宅"/>
    <x v="26"/>
    <s v="01"/>
    <s v="北野第２住宅"/>
    <x v="33"/>
    <m/>
    <x v="33"/>
    <n v="1061.8499999999999"/>
    <n v="4181.01"/>
    <n v="4181.01"/>
    <s v="単独"/>
    <s v="RC"/>
    <n v="5"/>
    <n v="0"/>
    <s v="新"/>
    <s v="-"/>
    <x v="1"/>
    <m/>
    <m/>
    <m/>
    <n v="47"/>
    <s v="A"/>
    <s v="C"/>
    <s v="D"/>
    <s v="-"/>
    <s v="-"/>
    <s v="-"/>
    <s v="B"/>
    <s v="C"/>
    <s v="-"/>
    <s v="C"/>
    <n v="50.967741935483879"/>
    <x v="0"/>
    <x v="0"/>
    <m/>
    <m/>
    <s v="公財台帳・固資台帳"/>
    <s v="454"/>
    <s v="G051100"/>
    <x v="6"/>
    <x v="15"/>
  </r>
  <r>
    <s v="227"/>
    <s v="0801"/>
    <s v="平松住宅"/>
    <x v="26"/>
    <s v="01"/>
    <s v="平松住宅"/>
    <x v="54"/>
    <m/>
    <x v="54"/>
    <n v="838.67"/>
    <n v="2323.7600000000002"/>
    <n v="2323.7600000000002"/>
    <s v="単独"/>
    <s v="RC"/>
    <n v="4"/>
    <n v="0"/>
    <s v="新"/>
    <s v="-"/>
    <x v="1"/>
    <m/>
    <m/>
    <m/>
    <n v="47"/>
    <s v="A"/>
    <s v="C"/>
    <s v="C"/>
    <s v="-"/>
    <s v="-"/>
    <s v="-"/>
    <s v="B"/>
    <s v="B"/>
    <s v="-"/>
    <s v="B"/>
    <n v="45.161290322580648"/>
    <x v="0"/>
    <x v="0"/>
    <m/>
    <m/>
    <s v="公財台帳・固資台帳"/>
    <s v="454"/>
    <s v="G051100"/>
    <x v="6"/>
    <x v="15"/>
  </r>
  <r>
    <s v="227"/>
    <s v="0801"/>
    <s v="平松住宅"/>
    <x v="26"/>
    <s v="02"/>
    <s v="電気室"/>
    <x v="54"/>
    <n v="9"/>
    <x v="54"/>
    <m/>
    <n v="22.62"/>
    <n v="22.62"/>
    <s v="単独"/>
    <s v="RC"/>
    <m/>
    <m/>
    <m/>
    <m/>
    <x v="3"/>
    <m/>
    <m/>
    <m/>
    <n v="38"/>
    <s v="-"/>
    <s v="-"/>
    <s v="-"/>
    <s v="-"/>
    <s v="-"/>
    <s v="-"/>
    <s v="-"/>
    <s v="-"/>
    <s v="-"/>
    <s v="-"/>
    <s v="-"/>
    <x v="3"/>
    <x v="0"/>
    <m/>
    <m/>
    <s v="公財台帳・固資台帳"/>
    <s v="454"/>
    <s v="G051100"/>
    <x v="6"/>
    <x v="15"/>
  </r>
  <r>
    <s v="227"/>
    <s v="0801"/>
    <s v="平松住宅"/>
    <x v="26"/>
    <s v="03"/>
    <s v="自転車置場"/>
    <x v="54"/>
    <n v="9"/>
    <x v="54"/>
    <m/>
    <n v="48.55"/>
    <n v="48.55"/>
    <s v="単独"/>
    <s v="S"/>
    <m/>
    <m/>
    <m/>
    <m/>
    <x v="3"/>
    <m/>
    <m/>
    <m/>
    <n v="24"/>
    <s v="-"/>
    <s v="-"/>
    <s v="-"/>
    <s v="-"/>
    <s v="-"/>
    <s v="-"/>
    <s v="-"/>
    <s v="-"/>
    <s v="-"/>
    <s v="-"/>
    <s v="-"/>
    <x v="1"/>
    <x v="0"/>
    <m/>
    <m/>
    <s v="公財台帳・固資台帳"/>
    <s v="454"/>
    <s v="G051100"/>
    <x v="6"/>
    <x v="15"/>
  </r>
  <r>
    <s v="227"/>
    <s v="0801"/>
    <s v="平松住宅"/>
    <x v="26"/>
    <s v="04"/>
    <s v="ポンプ室"/>
    <x v="54"/>
    <n v="9"/>
    <x v="54"/>
    <m/>
    <n v="4"/>
    <n v="4"/>
    <s v="単独"/>
    <s v="CB"/>
    <m/>
    <m/>
    <m/>
    <m/>
    <x v="3"/>
    <m/>
    <m/>
    <m/>
    <n v="34"/>
    <s v="-"/>
    <s v="-"/>
    <s v="-"/>
    <s v="-"/>
    <s v="-"/>
    <s v="-"/>
    <s v="-"/>
    <s v="-"/>
    <s v="-"/>
    <s v="-"/>
    <s v="-"/>
    <x v="3"/>
    <x v="0"/>
    <m/>
    <m/>
    <s v="公財台帳・固資台帳"/>
    <s v="454"/>
    <s v="G051100"/>
    <x v="6"/>
    <x v="15"/>
  </r>
  <r>
    <s v="228"/>
    <s v="0832"/>
    <s v="桑津住宅"/>
    <x v="26"/>
    <s v="01"/>
    <s v="桑津住宅"/>
    <x v="19"/>
    <m/>
    <x v="19"/>
    <m/>
    <n v="4284.75"/>
    <n v="4284.75"/>
    <s v="単独"/>
    <s v="RC"/>
    <n v="5"/>
    <n v="0"/>
    <s v="新"/>
    <s v="-"/>
    <x v="1"/>
    <m/>
    <m/>
    <m/>
    <n v="47"/>
    <s v="A"/>
    <s v="B"/>
    <s v="C"/>
    <s v="-"/>
    <s v="-"/>
    <s v="-"/>
    <s v="B"/>
    <s v="B"/>
    <s v="-"/>
    <s v="A"/>
    <n v="29.032258064516125"/>
    <x v="0"/>
    <x v="0"/>
    <m/>
    <m/>
    <s v="公財台帳・固資台帳"/>
    <s v="454"/>
    <s v="G051100"/>
    <x v="6"/>
    <x v="15"/>
  </r>
  <r>
    <s v="228"/>
    <s v="0832"/>
    <s v="桑津住宅"/>
    <x v="26"/>
    <s v="02"/>
    <s v="桑津住宅"/>
    <x v="19"/>
    <m/>
    <x v="19"/>
    <m/>
    <n v="3563.45"/>
    <n v="3563.45"/>
    <s v="単独"/>
    <s v="RC"/>
    <n v="5"/>
    <n v="0"/>
    <s v="新"/>
    <s v="-"/>
    <x v="1"/>
    <m/>
    <m/>
    <m/>
    <n v="47"/>
    <s v="-"/>
    <s v="-"/>
    <s v="-"/>
    <s v="-"/>
    <s v="-"/>
    <s v="-"/>
    <s v="-"/>
    <s v="-"/>
    <s v="-"/>
    <s v="-"/>
    <s v="-"/>
    <x v="0"/>
    <x v="0"/>
    <m/>
    <m/>
    <s v="公財台帳・固資台帳"/>
    <s v="454"/>
    <s v="G051100"/>
    <x v="6"/>
    <x v="15"/>
  </r>
  <r>
    <s v="228"/>
    <s v="0832"/>
    <s v="桑津住宅"/>
    <x v="26"/>
    <s v="03"/>
    <s v="集会所"/>
    <x v="22"/>
    <n v="2"/>
    <x v="22"/>
    <m/>
    <n v="139.47999999999999"/>
    <n v="139.47999999999999"/>
    <s v="単独"/>
    <s v="RC"/>
    <m/>
    <m/>
    <s v="旧"/>
    <s v="-"/>
    <x v="2"/>
    <m/>
    <m/>
    <m/>
    <n v="47"/>
    <s v="-"/>
    <s v="-"/>
    <s v="-"/>
    <s v="-"/>
    <s v="-"/>
    <s v="-"/>
    <s v="-"/>
    <s v="-"/>
    <s v="-"/>
    <s v="-"/>
    <s v="-"/>
    <x v="0"/>
    <x v="0"/>
    <m/>
    <m/>
    <s v="公財台帳・固資台帳"/>
    <s v="454"/>
    <s v="G051100"/>
    <x v="6"/>
    <x v="15"/>
  </r>
  <r>
    <s v="228"/>
    <s v="0832"/>
    <s v="桑津住宅"/>
    <x v="26"/>
    <s v="04"/>
    <s v="駐輪場"/>
    <x v="22"/>
    <n v="2"/>
    <x v="22"/>
    <m/>
    <n v="99.2"/>
    <n v="99.2"/>
    <s v="単独"/>
    <s v="S"/>
    <m/>
    <m/>
    <m/>
    <m/>
    <x v="3"/>
    <m/>
    <m/>
    <m/>
    <n v="31"/>
    <s v="-"/>
    <s v="-"/>
    <s v="-"/>
    <s v="-"/>
    <s v="-"/>
    <s v="-"/>
    <s v="-"/>
    <s v="-"/>
    <s v="-"/>
    <s v="-"/>
    <s v="-"/>
    <x v="1"/>
    <x v="0"/>
    <m/>
    <m/>
    <s v="公財台帳・固資台帳"/>
    <s v="454"/>
    <s v="G051100"/>
    <x v="6"/>
    <x v="15"/>
  </r>
  <r>
    <s v="228"/>
    <s v="0832"/>
    <s v="桑津住宅"/>
    <x v="26"/>
    <s v="05"/>
    <s v="設備棟"/>
    <x v="22"/>
    <n v="2"/>
    <x v="22"/>
    <m/>
    <n v="37.65"/>
    <n v="37.65"/>
    <s v="単独"/>
    <s v="RC"/>
    <m/>
    <m/>
    <m/>
    <m/>
    <x v="3"/>
    <m/>
    <m/>
    <m/>
    <n v="38"/>
    <s v="-"/>
    <s v="-"/>
    <s v="-"/>
    <s v="-"/>
    <s v="-"/>
    <s v="-"/>
    <s v="-"/>
    <s v="-"/>
    <s v="-"/>
    <s v="-"/>
    <s v="-"/>
    <x v="3"/>
    <x v="0"/>
    <m/>
    <m/>
    <s v="公財台帳・固資台帳"/>
    <s v="454"/>
    <s v="G051100"/>
    <x v="6"/>
    <x v="15"/>
  </r>
  <r>
    <s v="228"/>
    <s v="0832"/>
    <s v="桑津住宅"/>
    <x v="26"/>
    <s v="06"/>
    <s v="駐輪場"/>
    <x v="52"/>
    <n v="1"/>
    <x v="52"/>
    <m/>
    <n v="89.6"/>
    <n v="89.6"/>
    <s v="単独"/>
    <s v="S"/>
    <m/>
    <m/>
    <m/>
    <m/>
    <x v="3"/>
    <m/>
    <m/>
    <m/>
    <n v="31"/>
    <s v="-"/>
    <s v="-"/>
    <s v="-"/>
    <s v="-"/>
    <s v="-"/>
    <s v="-"/>
    <s v="-"/>
    <s v="-"/>
    <s v="-"/>
    <s v="-"/>
    <s v="-"/>
    <x v="1"/>
    <x v="0"/>
    <m/>
    <m/>
    <s v="公財台帳・固資台帳"/>
    <s v="454"/>
    <s v="G051100"/>
    <x v="6"/>
    <x v="15"/>
  </r>
  <r>
    <s v="229"/>
    <s v="0823"/>
    <s v="宮ノ下住宅"/>
    <x v="26"/>
    <s v="01"/>
    <s v="宮ノ下住宅"/>
    <x v="50"/>
    <m/>
    <x v="50"/>
    <n v="256.48"/>
    <n v="454.08"/>
    <n v="454.08"/>
    <s v="単独"/>
    <s v="S"/>
    <n v="2"/>
    <n v="0"/>
    <s v="新"/>
    <s v="-"/>
    <x v="1"/>
    <m/>
    <m/>
    <m/>
    <n v="27"/>
    <s v="B"/>
    <s v="D"/>
    <s v="D"/>
    <s v="-"/>
    <s v="-"/>
    <s v="-"/>
    <s v="C"/>
    <s v="C"/>
    <s v="-"/>
    <s v="C"/>
    <n v="67.096774193548384"/>
    <x v="0"/>
    <x v="0"/>
    <m/>
    <m/>
    <s v="公財台帳・固資台帳"/>
    <s v="454"/>
    <s v="G051100"/>
    <x v="6"/>
    <x v="15"/>
  </r>
  <r>
    <s v="230"/>
    <s v="0845"/>
    <s v="北池尻団地"/>
    <x v="26"/>
    <s v="01"/>
    <s v="1号館"/>
    <x v="12"/>
    <m/>
    <x v="12"/>
    <n v="488.97"/>
    <n v="2759.57"/>
    <n v="2759.57"/>
    <s v="単独"/>
    <s v="RC"/>
    <n v="5"/>
    <n v="1"/>
    <s v="旧"/>
    <m/>
    <x v="2"/>
    <m/>
    <m/>
    <m/>
    <n v="47"/>
    <s v="C"/>
    <s v="D"/>
    <s v="D"/>
    <s v="-"/>
    <s v="-"/>
    <s v="-"/>
    <s v="C"/>
    <s v="B"/>
    <s v="-"/>
    <s v="D"/>
    <n v="71.612903225806448"/>
    <x v="0"/>
    <x v="0"/>
    <m/>
    <m/>
    <s v="公財台帳・固資台帳"/>
    <s v="454"/>
    <s v="G051100"/>
    <x v="6"/>
    <x v="15"/>
  </r>
  <r>
    <s v="230"/>
    <s v="0845"/>
    <s v="北池尻団地"/>
    <x v="26"/>
    <s v="02"/>
    <s v="2号館"/>
    <x v="12"/>
    <m/>
    <x v="12"/>
    <n v="389.58"/>
    <n v="2388.6999999999998"/>
    <n v="2388.6999999999998"/>
    <s v="単独"/>
    <s v="RC"/>
    <n v="5"/>
    <n v="1"/>
    <s v="旧"/>
    <m/>
    <x v="2"/>
    <m/>
    <m/>
    <m/>
    <n v="47"/>
    <s v="C"/>
    <s v="D"/>
    <s v="D"/>
    <s v="-"/>
    <s v="-"/>
    <s v="-"/>
    <s v="B"/>
    <s v="B"/>
    <s v="-"/>
    <s v="C"/>
    <n v="67.741935483870975"/>
    <x v="0"/>
    <x v="0"/>
    <m/>
    <m/>
    <s v="公財台帳・固資台帳"/>
    <s v="454"/>
    <s v="G051100"/>
    <x v="6"/>
    <x v="15"/>
  </r>
  <r>
    <s v="230"/>
    <s v="0845"/>
    <s v="北池尻団地"/>
    <x v="26"/>
    <s v="03"/>
    <s v="ポンプ室"/>
    <x v="12"/>
    <n v="1"/>
    <x v="12"/>
    <m/>
    <n v="26.25"/>
    <n v="26.25"/>
    <s v="単独"/>
    <s v="RC"/>
    <m/>
    <m/>
    <m/>
    <m/>
    <x v="3"/>
    <m/>
    <m/>
    <m/>
    <n v="38"/>
    <s v="-"/>
    <s v="-"/>
    <s v="-"/>
    <s v="-"/>
    <s v="-"/>
    <s v="-"/>
    <s v="-"/>
    <s v="-"/>
    <s v="-"/>
    <s v="-"/>
    <s v="-"/>
    <x v="3"/>
    <x v="0"/>
    <m/>
    <m/>
    <s v="公財台帳・固資台帳"/>
    <s v="454"/>
    <s v="G051100"/>
    <x v="6"/>
    <x v="15"/>
  </r>
  <r>
    <s v="231"/>
    <s v="0851"/>
    <s v="昆陽池公園施設"/>
    <x v="9"/>
    <s v="01"/>
    <s v="公園管理事務所(詰所)"/>
    <x v="35"/>
    <n v="3"/>
    <x v="35"/>
    <n v="164.7"/>
    <n v="329.4"/>
    <n v="329.4"/>
    <s v="単独"/>
    <s v="S"/>
    <n v="2"/>
    <m/>
    <s v="新"/>
    <s v="-"/>
    <x v="1"/>
    <m/>
    <m/>
    <m/>
    <n v="30"/>
    <s v="B"/>
    <s v="C"/>
    <s v="D"/>
    <s v="-"/>
    <s v="D"/>
    <s v="D"/>
    <s v="C"/>
    <s v="-"/>
    <s v="-"/>
    <s v="D"/>
    <n v="76.571428571428569"/>
    <x v="0"/>
    <x v="0"/>
    <m/>
    <m/>
    <s v="公財台帳・固資台帳"/>
    <s v="240"/>
    <s v="G044300"/>
    <x v="7"/>
    <x v="16"/>
  </r>
  <r>
    <s v="231"/>
    <s v="0851"/>
    <s v="昆陽池公園施設"/>
    <x v="9"/>
    <s v="02"/>
    <s v="管理事務所"/>
    <x v="9"/>
    <n v="3"/>
    <x v="9"/>
    <n v="180.25"/>
    <n v="169.29"/>
    <n v="169.29"/>
    <s v="単独"/>
    <s v="S"/>
    <n v="1"/>
    <m/>
    <s v="新"/>
    <s v="-"/>
    <x v="1"/>
    <m/>
    <m/>
    <m/>
    <n v="38"/>
    <s v="-"/>
    <s v="-"/>
    <s v="-"/>
    <s v="-"/>
    <s v="-"/>
    <s v="-"/>
    <s v="-"/>
    <s v="-"/>
    <s v="-"/>
    <s v="-"/>
    <s v="-"/>
    <x v="0"/>
    <x v="0"/>
    <m/>
    <m/>
    <s v="公財台帳・固資台帳"/>
    <s v="240"/>
    <s v="G044300"/>
    <x v="7"/>
    <x v="16"/>
  </r>
  <r>
    <s v="231"/>
    <s v="0851"/>
    <s v="昆陽池公園施設"/>
    <x v="9"/>
    <s v="03"/>
    <s v="倉庫"/>
    <x v="9"/>
    <n v="3"/>
    <x v="9"/>
    <m/>
    <n v="77.760000000000005"/>
    <n v="77.760000000000005"/>
    <s v="単独"/>
    <s v="S"/>
    <m/>
    <m/>
    <s v="新"/>
    <s v="-"/>
    <x v="1"/>
    <m/>
    <m/>
    <m/>
    <n v="31"/>
    <s v="-"/>
    <s v="-"/>
    <s v="-"/>
    <s v="-"/>
    <s v="-"/>
    <s v="-"/>
    <s v="-"/>
    <s v="-"/>
    <s v="-"/>
    <s v="-"/>
    <s v="-"/>
    <x v="0"/>
    <x v="0"/>
    <m/>
    <m/>
    <s v="公財台帳・固資台帳"/>
    <s v="240"/>
    <s v="G044300"/>
    <x v="7"/>
    <x v="16"/>
  </r>
  <r>
    <s v="231"/>
    <s v="0851"/>
    <s v="昆陽池公園施設"/>
    <x v="9"/>
    <s v="04"/>
    <s v="危険物倉庫"/>
    <x v="9"/>
    <n v="3"/>
    <x v="9"/>
    <m/>
    <n v="3.44"/>
    <n v="3.44"/>
    <s v="単独"/>
    <s v="S"/>
    <m/>
    <m/>
    <m/>
    <m/>
    <x v="3"/>
    <m/>
    <m/>
    <m/>
    <n v="31"/>
    <s v="-"/>
    <s v="-"/>
    <s v="-"/>
    <s v="-"/>
    <s v="-"/>
    <s v="-"/>
    <s v="-"/>
    <s v="-"/>
    <s v="-"/>
    <s v="-"/>
    <s v="-"/>
    <x v="3"/>
    <x v="0"/>
    <m/>
    <m/>
    <s v="公財台帳・固資台帳"/>
    <s v="240"/>
    <s v="G044300"/>
    <x v="7"/>
    <x v="16"/>
  </r>
  <r>
    <s v="231"/>
    <s v="0851"/>
    <s v="昆陽池公園施設"/>
    <x v="9"/>
    <s v="05"/>
    <s v="作業場"/>
    <x v="9"/>
    <n v="3"/>
    <x v="9"/>
    <m/>
    <n v="38.880000000000003"/>
    <n v="38.880000000000003"/>
    <s v="単独"/>
    <s v="S"/>
    <m/>
    <m/>
    <m/>
    <m/>
    <x v="3"/>
    <m/>
    <m/>
    <m/>
    <n v="38"/>
    <s v="-"/>
    <s v="-"/>
    <s v="-"/>
    <s v="-"/>
    <s v="-"/>
    <s v="-"/>
    <s v="-"/>
    <s v="-"/>
    <s v="-"/>
    <s v="-"/>
    <s v="-"/>
    <x v="3"/>
    <x v="0"/>
    <m/>
    <m/>
    <s v="公財台帳・固資台帳"/>
    <s v="240"/>
    <s v="G044300"/>
    <x v="7"/>
    <x v="16"/>
  </r>
  <r>
    <s v="231"/>
    <s v="0851"/>
    <s v="昆陽池公園施設"/>
    <x v="9"/>
    <s v="06"/>
    <s v="便所"/>
    <x v="9"/>
    <n v="3"/>
    <x v="9"/>
    <m/>
    <n v="2.33"/>
    <n v="2.33"/>
    <s v="単独"/>
    <s v="RC"/>
    <m/>
    <m/>
    <m/>
    <m/>
    <x v="3"/>
    <m/>
    <m/>
    <m/>
    <n v="38"/>
    <s v="-"/>
    <s v="-"/>
    <s v="-"/>
    <s v="-"/>
    <s v="-"/>
    <s v="-"/>
    <s v="-"/>
    <s v="-"/>
    <s v="-"/>
    <s v="-"/>
    <s v="-"/>
    <x v="3"/>
    <x v="0"/>
    <m/>
    <m/>
    <s v="公財台帳・固資台帳"/>
    <s v="240"/>
    <s v="G044300"/>
    <x v="7"/>
    <x v="16"/>
  </r>
  <r>
    <s v="231"/>
    <s v="0851"/>
    <s v="昆陽池公園施設"/>
    <x v="9"/>
    <s v="07"/>
    <s v="公衆便所"/>
    <x v="29"/>
    <n v="3"/>
    <x v="29"/>
    <m/>
    <n v="31.81"/>
    <n v="31.81"/>
    <s v="単独"/>
    <s v="RC"/>
    <m/>
    <m/>
    <m/>
    <m/>
    <x v="3"/>
    <m/>
    <m/>
    <m/>
    <n v="38"/>
    <s v="-"/>
    <s v="-"/>
    <s v="-"/>
    <s v="-"/>
    <s v="-"/>
    <s v="-"/>
    <s v="-"/>
    <s v="-"/>
    <s v="-"/>
    <s v="-"/>
    <s v="-"/>
    <x v="3"/>
    <x v="0"/>
    <m/>
    <m/>
    <s v="公財台帳・固資台帳"/>
    <s v="240"/>
    <s v="G044300"/>
    <x v="7"/>
    <x v="16"/>
  </r>
  <r>
    <s v="231"/>
    <s v="0851"/>
    <s v="昆陽池公園施設"/>
    <x v="9"/>
    <s v="08"/>
    <s v="公衆便所"/>
    <x v="29"/>
    <n v="11"/>
    <x v="29"/>
    <m/>
    <n v="31.81"/>
    <n v="31.81"/>
    <s v="単独"/>
    <s v="RC"/>
    <m/>
    <m/>
    <m/>
    <m/>
    <x v="3"/>
    <m/>
    <m/>
    <m/>
    <n v="38"/>
    <s v="-"/>
    <s v="-"/>
    <s v="-"/>
    <s v="-"/>
    <s v="-"/>
    <s v="-"/>
    <s v="-"/>
    <s v="-"/>
    <s v="-"/>
    <s v="-"/>
    <s v="-"/>
    <x v="3"/>
    <x v="0"/>
    <m/>
    <m/>
    <s v="公財台帳・固資台帳"/>
    <s v="240"/>
    <s v="G044300"/>
    <x v="7"/>
    <x v="16"/>
  </r>
  <r>
    <s v="231"/>
    <s v="0851"/>
    <s v="昆陽池公園施設"/>
    <x v="9"/>
    <s v="09"/>
    <s v="作業員用詰所・売店"/>
    <x v="34"/>
    <n v="1"/>
    <x v="34"/>
    <m/>
    <n v="58.32"/>
    <n v="58.32"/>
    <s v="単独"/>
    <s v="S"/>
    <m/>
    <m/>
    <s v="旧"/>
    <s v="-"/>
    <x v="2"/>
    <m/>
    <m/>
    <m/>
    <n v="30"/>
    <s v="-"/>
    <s v="-"/>
    <s v="-"/>
    <s v="-"/>
    <s v="-"/>
    <s v="-"/>
    <s v="-"/>
    <s v="-"/>
    <s v="-"/>
    <s v="-"/>
    <s v="-"/>
    <x v="0"/>
    <x v="0"/>
    <m/>
    <m/>
    <s v="公財台帳・固資台帳"/>
    <s v="240"/>
    <s v="G044300"/>
    <x v="7"/>
    <x v="16"/>
  </r>
  <r>
    <s v="231"/>
    <s v="0851"/>
    <s v="昆陽池公園施設"/>
    <x v="9"/>
    <s v="10"/>
    <s v="ボート収納倉庫"/>
    <x v="12"/>
    <n v="3"/>
    <x v="12"/>
    <m/>
    <n v="14.3"/>
    <n v="14.3"/>
    <s v="単独"/>
    <s v="CB"/>
    <m/>
    <m/>
    <m/>
    <m/>
    <x v="3"/>
    <m/>
    <m/>
    <m/>
    <n v="34"/>
    <s v="-"/>
    <s v="-"/>
    <s v="-"/>
    <s v="-"/>
    <s v="-"/>
    <s v="-"/>
    <s v="-"/>
    <s v="-"/>
    <s v="-"/>
    <s v="-"/>
    <s v="-"/>
    <x v="3"/>
    <x v="0"/>
    <m/>
    <m/>
    <s v="公財台帳・固資台帳"/>
    <s v="240"/>
    <s v="G044300"/>
    <x v="7"/>
    <x v="16"/>
  </r>
  <r>
    <s v="231"/>
    <s v="0851"/>
    <s v="昆陽池公園施設"/>
    <x v="9"/>
    <s v="11"/>
    <s v="餌切場"/>
    <x v="12"/>
    <n v="3"/>
    <x v="12"/>
    <m/>
    <n v="10.69"/>
    <n v="10.69"/>
    <s v="単独"/>
    <s v="CB"/>
    <m/>
    <m/>
    <m/>
    <m/>
    <x v="3"/>
    <m/>
    <m/>
    <m/>
    <n v="41"/>
    <s v="-"/>
    <s v="-"/>
    <s v="-"/>
    <s v="-"/>
    <s v="-"/>
    <s v="-"/>
    <s v="-"/>
    <s v="-"/>
    <s v="-"/>
    <s v="-"/>
    <s v="-"/>
    <x v="3"/>
    <x v="0"/>
    <m/>
    <m/>
    <s v="公財台帳・固資台帳"/>
    <s v="240"/>
    <s v="G044300"/>
    <x v="7"/>
    <x v="16"/>
  </r>
  <r>
    <s v="231"/>
    <s v="0851"/>
    <s v="昆陽池公園施設"/>
    <x v="9"/>
    <s v="12"/>
    <s v="便益施設"/>
    <x v="46"/>
    <n v="3"/>
    <x v="46"/>
    <m/>
    <n v="92.81"/>
    <n v="92.81"/>
    <s v="単独"/>
    <s v="RC"/>
    <m/>
    <m/>
    <m/>
    <m/>
    <x v="3"/>
    <m/>
    <m/>
    <m/>
    <n v="50"/>
    <s v="-"/>
    <s v="-"/>
    <s v="-"/>
    <s v="-"/>
    <s v="-"/>
    <s v="-"/>
    <s v="-"/>
    <s v="-"/>
    <s v="-"/>
    <s v="-"/>
    <s v="-"/>
    <x v="5"/>
    <x v="0"/>
    <m/>
    <m/>
    <s v="公財台帳・固資台帳"/>
    <s v="240"/>
    <s v="G044300"/>
    <x v="7"/>
    <x v="16"/>
  </r>
  <r>
    <s v="231"/>
    <s v="0851"/>
    <s v="昆陽池公園施設"/>
    <x v="9"/>
    <s v="13"/>
    <s v="公衆便所"/>
    <x v="46"/>
    <n v="1"/>
    <x v="46"/>
    <m/>
    <n v="20.13"/>
    <n v="20.13"/>
    <s v="単独"/>
    <s v="RC"/>
    <m/>
    <m/>
    <m/>
    <m/>
    <x v="3"/>
    <m/>
    <m/>
    <m/>
    <n v="38"/>
    <s v="-"/>
    <s v="-"/>
    <s v="-"/>
    <s v="-"/>
    <s v="-"/>
    <s v="-"/>
    <s v="-"/>
    <s v="-"/>
    <s v="-"/>
    <s v="-"/>
    <s v="-"/>
    <x v="3"/>
    <x v="0"/>
    <m/>
    <m/>
    <s v="公財台帳・固資台帳"/>
    <s v="240"/>
    <s v="G044300"/>
    <x v="7"/>
    <x v="16"/>
  </r>
  <r>
    <s v="231"/>
    <s v="0851"/>
    <s v="昆陽池公園施設"/>
    <x v="9"/>
    <s v="14"/>
    <s v="作業員用事務所"/>
    <x v="39"/>
    <n v="3"/>
    <x v="39"/>
    <m/>
    <n v="48"/>
    <n v="48"/>
    <s v="単独"/>
    <s v="S"/>
    <m/>
    <m/>
    <m/>
    <m/>
    <x v="3"/>
    <m/>
    <m/>
    <m/>
    <n v="30"/>
    <s v="-"/>
    <s v="-"/>
    <s v="-"/>
    <s v="-"/>
    <s v="-"/>
    <s v="-"/>
    <s v="-"/>
    <s v="-"/>
    <s v="-"/>
    <s v="-"/>
    <s v="-"/>
    <x v="3"/>
    <x v="0"/>
    <m/>
    <m/>
    <s v="公財台帳・固資台帳"/>
    <s v="240"/>
    <s v="G044300"/>
    <x v="7"/>
    <x v="16"/>
  </r>
  <r>
    <s v="231"/>
    <s v="0851"/>
    <s v="昆陽池公園施設"/>
    <x v="9"/>
    <s v="15"/>
    <s v="ポンプ室"/>
    <x v="46"/>
    <n v="3"/>
    <x v="46"/>
    <m/>
    <n v="20.8"/>
    <n v="20.8"/>
    <s v="単独"/>
    <s v="RC"/>
    <m/>
    <m/>
    <m/>
    <m/>
    <x v="3"/>
    <m/>
    <m/>
    <m/>
    <n v="38"/>
    <s v="-"/>
    <s v="-"/>
    <s v="-"/>
    <s v="-"/>
    <s v="-"/>
    <s v="-"/>
    <s v="-"/>
    <s v="-"/>
    <s v="-"/>
    <s v="-"/>
    <s v="-"/>
    <x v="3"/>
    <x v="0"/>
    <m/>
    <m/>
    <s v="公財台帳・固資台帳"/>
    <s v="240"/>
    <s v="G044300"/>
    <x v="7"/>
    <x v="16"/>
  </r>
  <r>
    <s v="231"/>
    <s v="0851"/>
    <s v="昆陽池公園施設"/>
    <x v="9"/>
    <s v="16"/>
    <s v="公園管理事務所内プレハブ倉庫"/>
    <x v="3"/>
    <n v="2"/>
    <x v="3"/>
    <m/>
    <n v="48.6"/>
    <n v="48.6"/>
    <s v="単独"/>
    <s v="S"/>
    <m/>
    <m/>
    <m/>
    <m/>
    <x v="3"/>
    <m/>
    <m/>
    <m/>
    <n v="31"/>
    <s v="-"/>
    <s v="-"/>
    <s v="-"/>
    <s v="-"/>
    <s v="-"/>
    <s v="-"/>
    <s v="-"/>
    <s v="-"/>
    <s v="-"/>
    <s v="-"/>
    <s v="-"/>
    <x v="3"/>
    <x v="0"/>
    <m/>
    <m/>
    <s v="公財台帳・固資台帳"/>
    <s v="240"/>
    <s v="G044300"/>
    <x v="7"/>
    <x v="16"/>
  </r>
  <r>
    <s v="231"/>
    <s v="0851"/>
    <s v="昆陽池公園施設"/>
    <x v="9"/>
    <s v="17"/>
    <s v="多目的トイレ"/>
    <x v="24"/>
    <n v="3"/>
    <x v="24"/>
    <m/>
    <n v="5.5"/>
    <n v="5.5"/>
    <s v="単独"/>
    <s v="RC"/>
    <m/>
    <m/>
    <m/>
    <m/>
    <x v="3"/>
    <m/>
    <m/>
    <m/>
    <n v="38"/>
    <s v="-"/>
    <s v="-"/>
    <s v="-"/>
    <s v="-"/>
    <s v="-"/>
    <s v="-"/>
    <s v="-"/>
    <s v="-"/>
    <s v="-"/>
    <s v="-"/>
    <s v="-"/>
    <x v="3"/>
    <x v="0"/>
    <m/>
    <m/>
    <s v="公財台帳・固資台帳"/>
    <s v="240"/>
    <s v="G044300"/>
    <x v="7"/>
    <x v="16"/>
  </r>
  <r>
    <s v="231"/>
    <s v="0851"/>
    <s v="昆陽池公園施設"/>
    <x v="9"/>
    <s v="18"/>
    <s v="多目的トイレ"/>
    <x v="24"/>
    <n v="3"/>
    <x v="24"/>
    <m/>
    <n v="5.5"/>
    <n v="5.5"/>
    <s v="単独"/>
    <s v="RC"/>
    <m/>
    <m/>
    <m/>
    <m/>
    <x v="3"/>
    <m/>
    <m/>
    <m/>
    <n v="38"/>
    <s v="-"/>
    <s v="-"/>
    <s v="-"/>
    <s v="-"/>
    <s v="-"/>
    <s v="-"/>
    <s v="-"/>
    <s v="-"/>
    <s v="-"/>
    <s v="-"/>
    <s v="-"/>
    <x v="3"/>
    <x v="0"/>
    <m/>
    <m/>
    <s v="公財台帳・固資台帳"/>
    <s v="240"/>
    <s v="G044300"/>
    <x v="7"/>
    <x v="16"/>
  </r>
  <r>
    <s v="231"/>
    <s v="0851"/>
    <s v="昆陽池公園施設"/>
    <x v="9"/>
    <s v="19"/>
    <s v="多目的トイレ"/>
    <x v="5"/>
    <n v="3"/>
    <x v="5"/>
    <m/>
    <n v="4.53"/>
    <n v="4.53"/>
    <s v="単独"/>
    <s v="S"/>
    <m/>
    <m/>
    <m/>
    <m/>
    <x v="3"/>
    <m/>
    <m/>
    <m/>
    <n v="31"/>
    <s v="-"/>
    <s v="-"/>
    <s v="-"/>
    <s v="-"/>
    <s v="-"/>
    <s v="-"/>
    <s v="-"/>
    <s v="-"/>
    <s v="-"/>
    <s v="-"/>
    <s v="-"/>
    <x v="3"/>
    <x v="0"/>
    <m/>
    <m/>
    <s v="公財台帳・固資台帳"/>
    <s v="240"/>
    <s v="G044300"/>
    <x v="7"/>
    <x v="16"/>
  </r>
  <r>
    <s v="231"/>
    <s v="0851"/>
    <s v="昆陽池公園施設"/>
    <x v="9"/>
    <s v="20"/>
    <s v="多目的トイレ"/>
    <x v="5"/>
    <n v="3"/>
    <x v="5"/>
    <m/>
    <n v="4.53"/>
    <n v="4.53"/>
    <s v="単独"/>
    <s v="S"/>
    <m/>
    <m/>
    <m/>
    <m/>
    <x v="3"/>
    <m/>
    <m/>
    <m/>
    <n v="31"/>
    <s v="-"/>
    <s v="-"/>
    <s v="-"/>
    <s v="-"/>
    <s v="-"/>
    <s v="-"/>
    <s v="-"/>
    <s v="-"/>
    <s v="-"/>
    <s v="-"/>
    <s v="-"/>
    <x v="3"/>
    <x v="0"/>
    <m/>
    <m/>
    <s v="公財台帳・固資台帳"/>
    <s v="240"/>
    <s v="G044300"/>
    <x v="7"/>
    <x v="16"/>
  </r>
  <r>
    <s v="232"/>
    <s v="0854"/>
    <s v="荒牧バラ公園施設"/>
    <x v="9"/>
    <s v="01"/>
    <s v="管理事務所"/>
    <x v="28"/>
    <n v="3"/>
    <x v="28"/>
    <m/>
    <n v="72"/>
    <n v="72"/>
    <s v="単独"/>
    <s v="RC"/>
    <m/>
    <m/>
    <s v="新"/>
    <s v="-"/>
    <x v="1"/>
    <m/>
    <m/>
    <m/>
    <n v="50"/>
    <s v="-"/>
    <s v="-"/>
    <s v="-"/>
    <s v="-"/>
    <s v="-"/>
    <s v="-"/>
    <s v="-"/>
    <s v="-"/>
    <s v="-"/>
    <s v="-"/>
    <s v="-"/>
    <x v="0"/>
    <x v="0"/>
    <m/>
    <m/>
    <s v="公財台帳・固資台帳"/>
    <s v="240"/>
    <s v="G044300"/>
    <x v="7"/>
    <x v="16"/>
  </r>
  <r>
    <s v="232"/>
    <s v="0854"/>
    <s v="荒牧バラ公園施設"/>
    <x v="9"/>
    <s v="02"/>
    <s v="発券所"/>
    <x v="37"/>
    <n v="3"/>
    <x v="37"/>
    <m/>
    <n v="7"/>
    <n v="7"/>
    <s v="単独"/>
    <s v="RC"/>
    <m/>
    <m/>
    <m/>
    <m/>
    <x v="3"/>
    <m/>
    <m/>
    <m/>
    <n v="50"/>
    <s v="-"/>
    <s v="-"/>
    <s v="-"/>
    <s v="-"/>
    <s v="-"/>
    <s v="-"/>
    <s v="-"/>
    <s v="-"/>
    <s v="-"/>
    <s v="-"/>
    <s v="-"/>
    <x v="3"/>
    <x v="0"/>
    <m/>
    <m/>
    <s v="公財台帳・固資台帳"/>
    <s v="240"/>
    <s v="G044300"/>
    <x v="7"/>
    <x v="16"/>
  </r>
  <r>
    <s v="232"/>
    <s v="0854"/>
    <s v="荒牧バラ公園施設"/>
    <x v="9"/>
    <s v="03"/>
    <s v="便所（南側）"/>
    <x v="37"/>
    <n v="3"/>
    <x v="37"/>
    <m/>
    <n v="29.7"/>
    <n v="29.7"/>
    <s v="単独"/>
    <s v="RC"/>
    <m/>
    <m/>
    <m/>
    <m/>
    <x v="3"/>
    <m/>
    <m/>
    <m/>
    <n v="50"/>
    <s v="-"/>
    <s v="-"/>
    <s v="-"/>
    <s v="-"/>
    <s v="-"/>
    <s v="-"/>
    <s v="-"/>
    <s v="-"/>
    <s v="-"/>
    <s v="-"/>
    <s v="-"/>
    <x v="3"/>
    <x v="0"/>
    <m/>
    <m/>
    <s v="公財台帳・固資台帳"/>
    <s v="240"/>
    <s v="G044300"/>
    <x v="7"/>
    <x v="16"/>
  </r>
  <r>
    <s v="232"/>
    <s v="0854"/>
    <s v="荒牧バラ公園施設"/>
    <x v="9"/>
    <s v="04"/>
    <s v="便所（北側）"/>
    <x v="37"/>
    <n v="3"/>
    <x v="37"/>
    <m/>
    <n v="31.5"/>
    <n v="31.5"/>
    <s v="単独"/>
    <s v="RC"/>
    <m/>
    <m/>
    <m/>
    <m/>
    <x v="3"/>
    <m/>
    <m/>
    <m/>
    <n v="50"/>
    <s v="-"/>
    <s v="-"/>
    <s v="-"/>
    <s v="-"/>
    <s v="-"/>
    <s v="-"/>
    <s v="-"/>
    <s v="-"/>
    <s v="-"/>
    <s v="-"/>
    <s v="-"/>
    <x v="3"/>
    <x v="0"/>
    <m/>
    <m/>
    <s v="公財台帳・固資台帳"/>
    <s v="240"/>
    <s v="G044300"/>
    <x v="7"/>
    <x v="16"/>
  </r>
  <r>
    <s v="232"/>
    <s v="0854"/>
    <s v="荒牧バラ公園施設"/>
    <x v="9"/>
    <s v="05"/>
    <s v="レストハウス"/>
    <x v="37"/>
    <n v="3"/>
    <x v="37"/>
    <m/>
    <n v="43.9"/>
    <n v="43.9"/>
    <s v="単独"/>
    <s v="RC"/>
    <m/>
    <m/>
    <m/>
    <m/>
    <x v="3"/>
    <m/>
    <m/>
    <m/>
    <n v="50"/>
    <s v="-"/>
    <s v="-"/>
    <s v="-"/>
    <s v="-"/>
    <s v="-"/>
    <s v="-"/>
    <s v="-"/>
    <s v="-"/>
    <s v="-"/>
    <s v="-"/>
    <s v="-"/>
    <x v="1"/>
    <x v="0"/>
    <m/>
    <m/>
    <s v="公財台帳・固資台帳"/>
    <s v="240"/>
    <s v="G044300"/>
    <x v="7"/>
    <x v="16"/>
  </r>
  <r>
    <s v="232"/>
    <s v="0854"/>
    <s v="荒牧バラ公園施設"/>
    <x v="9"/>
    <s v="06"/>
    <s v="地下ﾎｰﾙ"/>
    <x v="39"/>
    <n v="3"/>
    <x v="39"/>
    <n v="1300"/>
    <n v="1746"/>
    <n v="1746"/>
    <s v="単独"/>
    <s v="RC"/>
    <n v="1"/>
    <n v="1"/>
    <s v="新"/>
    <s v="-"/>
    <x v="1"/>
    <m/>
    <m/>
    <m/>
    <n v="50"/>
    <s v="B"/>
    <s v="-"/>
    <s v="-"/>
    <s v="-"/>
    <s v="D"/>
    <s v="C"/>
    <s v="C"/>
    <s v="-"/>
    <s v="-"/>
    <s v="C"/>
    <n v="69.65517241379311"/>
    <x v="0"/>
    <x v="0"/>
    <m/>
    <m/>
    <s v="公財台帳・固資台帳"/>
    <s v="240"/>
    <s v="G044300"/>
    <x v="7"/>
    <x v="16"/>
  </r>
  <r>
    <s v="232"/>
    <s v="0854"/>
    <s v="荒牧バラ公園施設"/>
    <x v="9"/>
    <s v="07"/>
    <s v="簡易上屋"/>
    <x v="37"/>
    <n v="3"/>
    <x v="37"/>
    <m/>
    <n v="3.3"/>
    <n v="3.3"/>
    <s v="単独"/>
    <s v="RC"/>
    <m/>
    <m/>
    <m/>
    <m/>
    <x v="3"/>
    <m/>
    <m/>
    <m/>
    <n v="38"/>
    <s v="-"/>
    <s v="-"/>
    <s v="-"/>
    <s v="-"/>
    <s v="-"/>
    <s v="-"/>
    <s v="-"/>
    <s v="-"/>
    <s v="-"/>
    <s v="-"/>
    <s v="-"/>
    <x v="3"/>
    <x v="0"/>
    <m/>
    <m/>
    <s v="公財台帳・固資台帳"/>
    <s v="240"/>
    <s v="G044300"/>
    <x v="7"/>
    <x v="16"/>
  </r>
  <r>
    <s v="232"/>
    <s v="0854"/>
    <s v="荒牧バラ公園施設"/>
    <x v="9"/>
    <s v="08"/>
    <s v="便所"/>
    <x v="37"/>
    <n v="3"/>
    <x v="37"/>
    <m/>
    <n v="7.2"/>
    <n v="7.2"/>
    <s v="単独"/>
    <s v="RC"/>
    <m/>
    <m/>
    <m/>
    <m/>
    <x v="3"/>
    <m/>
    <m/>
    <m/>
    <n v="38"/>
    <s v="-"/>
    <s v="-"/>
    <s v="-"/>
    <s v="-"/>
    <s v="-"/>
    <s v="-"/>
    <s v="-"/>
    <s v="-"/>
    <s v="-"/>
    <s v="-"/>
    <s v="-"/>
    <x v="3"/>
    <x v="0"/>
    <m/>
    <m/>
    <s v="公財台帳・固資台帳"/>
    <s v="240"/>
    <s v="G044300"/>
    <x v="7"/>
    <x v="16"/>
  </r>
  <r>
    <s v="233"/>
    <s v="0867"/>
    <s v="荒牧第三公園施設"/>
    <x v="9"/>
    <s v="01"/>
    <s v="体験学習施設"/>
    <x v="23"/>
    <n v="2"/>
    <x v="23"/>
    <n v="223.37"/>
    <n v="196.84"/>
    <n v="196.84"/>
    <s v="単独"/>
    <s v="RC"/>
    <n v="1"/>
    <m/>
    <s v="新"/>
    <s v="-"/>
    <x v="1"/>
    <m/>
    <m/>
    <m/>
    <n v="50"/>
    <s v="A"/>
    <s v="C"/>
    <s v="D"/>
    <s v="-"/>
    <s v="C"/>
    <s v="D"/>
    <s v="C"/>
    <s v="-"/>
    <s v="-"/>
    <s v="C"/>
    <n v="58.285714285714285"/>
    <x v="0"/>
    <x v="0"/>
    <m/>
    <m/>
    <s v="公財台帳・固資台帳"/>
    <s v="240"/>
    <s v="G044300"/>
    <x v="7"/>
    <x v="16"/>
  </r>
  <r>
    <s v="234"/>
    <s v="0868"/>
    <s v="十六名公園施設"/>
    <x v="9"/>
    <s v="01"/>
    <s v="ﾊﾟｰｸｾﾝﾀｰ"/>
    <x v="23"/>
    <n v="2"/>
    <x v="23"/>
    <n v="236.01"/>
    <n v="112.36"/>
    <n v="112.36"/>
    <s v="単独"/>
    <s v="RC"/>
    <n v="1"/>
    <m/>
    <s v="新"/>
    <s v="-"/>
    <x v="1"/>
    <m/>
    <m/>
    <m/>
    <n v="50"/>
    <s v="A"/>
    <s v="C"/>
    <s v="-"/>
    <s v="-"/>
    <s v="C"/>
    <s v="D"/>
    <s v="C"/>
    <s v="-"/>
    <s v="-"/>
    <s v="C"/>
    <n v="58.000000000000007"/>
    <x v="0"/>
    <x v="0"/>
    <m/>
    <m/>
    <s v="公財台帳・固資台帳"/>
    <s v="240"/>
    <s v="G044300"/>
    <x v="7"/>
    <x v="16"/>
  </r>
  <r>
    <s v="234"/>
    <s v="0868"/>
    <s v="十六名公園施設"/>
    <x v="9"/>
    <s v="02"/>
    <s v="倉庫・ﾄｲﾚ"/>
    <x v="23"/>
    <n v="2"/>
    <x v="23"/>
    <n v="236.01"/>
    <n v="158.27000000000001"/>
    <n v="158.27000000000001"/>
    <s v="単独"/>
    <s v="RC"/>
    <n v="2"/>
    <m/>
    <s v="新"/>
    <s v="-"/>
    <x v="1"/>
    <m/>
    <m/>
    <m/>
    <n v="50"/>
    <s v="-"/>
    <s v="-"/>
    <s v="-"/>
    <s v="-"/>
    <s v="-"/>
    <s v="-"/>
    <s v="-"/>
    <s v="-"/>
    <s v="-"/>
    <s v="-"/>
    <s v="-"/>
    <x v="0"/>
    <x v="0"/>
    <m/>
    <m/>
    <s v="公財台帳・固資台帳"/>
    <s v="240"/>
    <s v="G044300"/>
    <x v="7"/>
    <x v="16"/>
  </r>
  <r>
    <s v="234"/>
    <s v="0868"/>
    <s v="十六名公園施設"/>
    <x v="9"/>
    <s v="03"/>
    <s v="東屋"/>
    <x v="57"/>
    <n v="7"/>
    <x v="57"/>
    <m/>
    <n v="19.62"/>
    <n v="19.62"/>
    <s v="単独"/>
    <s v="W"/>
    <m/>
    <m/>
    <m/>
    <m/>
    <x v="3"/>
    <m/>
    <m/>
    <m/>
    <n v="24"/>
    <s v="-"/>
    <s v="-"/>
    <s v="-"/>
    <s v="-"/>
    <s v="-"/>
    <s v="-"/>
    <s v="-"/>
    <s v="-"/>
    <s v="-"/>
    <s v="-"/>
    <s v="-"/>
    <x v="1"/>
    <x v="0"/>
    <m/>
    <m/>
    <s v="公財台帳・固資台帳"/>
    <s v="240"/>
    <s v="G044300"/>
    <x v="7"/>
    <x v="16"/>
  </r>
  <r>
    <s v="234"/>
    <s v="0868"/>
    <s v="十六名公園施設"/>
    <x v="9"/>
    <s v="04"/>
    <s v="ｼｪﾙﾀｰ"/>
    <x v="38"/>
    <n v="3"/>
    <x v="38"/>
    <m/>
    <n v="22.94"/>
    <n v="22.94"/>
    <s v="単独"/>
    <s v="W"/>
    <m/>
    <m/>
    <m/>
    <m/>
    <x v="3"/>
    <m/>
    <m/>
    <m/>
    <n v="15"/>
    <s v="-"/>
    <s v="-"/>
    <s v="-"/>
    <s v="-"/>
    <s v="-"/>
    <s v="-"/>
    <s v="-"/>
    <s v="-"/>
    <s v="-"/>
    <s v="-"/>
    <s v="-"/>
    <x v="3"/>
    <x v="0"/>
    <m/>
    <m/>
    <s v="公財台帳・固資台帳"/>
    <s v="240"/>
    <s v="G044300"/>
    <x v="7"/>
    <x v="16"/>
  </r>
  <r>
    <s v="234"/>
    <s v="0868"/>
    <s v="十六名公園施設"/>
    <x v="9"/>
    <s v="05"/>
    <s v="機械室"/>
    <x v="38"/>
    <n v="3"/>
    <x v="38"/>
    <m/>
    <n v="10.99"/>
    <n v="10.99"/>
    <s v="単独"/>
    <s v="RC"/>
    <m/>
    <m/>
    <m/>
    <m/>
    <x v="3"/>
    <m/>
    <m/>
    <m/>
    <n v="38"/>
    <s v="-"/>
    <s v="-"/>
    <s v="-"/>
    <s v="-"/>
    <s v="-"/>
    <s v="-"/>
    <s v="-"/>
    <s v="-"/>
    <s v="-"/>
    <s v="-"/>
    <s v="-"/>
    <x v="3"/>
    <x v="0"/>
    <m/>
    <m/>
    <s v="公財台帳・固資台帳"/>
    <s v="240"/>
    <s v="G044300"/>
    <x v="7"/>
    <x v="16"/>
  </r>
  <r>
    <s v="235"/>
    <s v="0870"/>
    <s v="大阪国際空港周辺緑地"/>
    <x v="9"/>
    <s v="01"/>
    <s v="体験学習施設"/>
    <x v="4"/>
    <n v="3"/>
    <x v="4"/>
    <n v="457.08"/>
    <n v="431.6"/>
    <n v="431.6"/>
    <s v="単独"/>
    <s v="RC"/>
    <n v="1"/>
    <n v="0"/>
    <s v="新"/>
    <s v="-"/>
    <x v="1"/>
    <m/>
    <m/>
    <m/>
    <n v="50"/>
    <s v="A"/>
    <s v="B"/>
    <s v="C"/>
    <s v="-"/>
    <s v="C"/>
    <s v="C"/>
    <s v="B"/>
    <s v="-"/>
    <s v="-"/>
    <s v="B"/>
    <n v="41.142857142857146"/>
    <x v="0"/>
    <x v="0"/>
    <m/>
    <m/>
    <s v="公財台帳・固資台帳"/>
    <s v="240"/>
    <s v="G044300"/>
    <x v="7"/>
    <x v="16"/>
  </r>
  <r>
    <s v="235"/>
    <s v="0870"/>
    <s v="大阪国際空港周辺緑地"/>
    <x v="9"/>
    <s v="02"/>
    <s v="展望施設"/>
    <x v="4"/>
    <n v="3"/>
    <x v="4"/>
    <n v="326.08999999999997"/>
    <n v="768.6"/>
    <n v="768.6"/>
    <s v="単独"/>
    <s v="RC"/>
    <n v="2"/>
    <n v="1"/>
    <s v="新"/>
    <s v="-"/>
    <x v="1"/>
    <m/>
    <m/>
    <m/>
    <n v="50"/>
    <s v="A"/>
    <s v="B"/>
    <s v="C"/>
    <s v="-"/>
    <s v="C"/>
    <s v="C"/>
    <s v="B"/>
    <s v="-"/>
    <s v="-"/>
    <s v="B"/>
    <n v="41.142857142857146"/>
    <x v="0"/>
    <x v="0"/>
    <m/>
    <m/>
    <s v="公財台帳・固資台帳"/>
    <s v="240"/>
    <s v="G044300"/>
    <x v="7"/>
    <x v="16"/>
  </r>
  <r>
    <s v="235"/>
    <s v="0870"/>
    <s v="大阪国際空港周辺緑地"/>
    <x v="9"/>
    <s v="03"/>
    <s v="管理棟"/>
    <x v="4"/>
    <n v="3"/>
    <x v="4"/>
    <n v="98.47"/>
    <n v="98.47"/>
    <n v="98.47"/>
    <s v="単独"/>
    <s v="RC"/>
    <n v="1"/>
    <n v="0"/>
    <s v="新"/>
    <s v="-"/>
    <x v="1"/>
    <m/>
    <m/>
    <m/>
    <n v="50"/>
    <s v="A"/>
    <s v="B"/>
    <s v="C"/>
    <s v="-"/>
    <s v="C"/>
    <s v="C"/>
    <s v="B"/>
    <s v="-"/>
    <s v="-"/>
    <s v="B"/>
    <n v="41.142857142857146"/>
    <x v="0"/>
    <x v="0"/>
    <m/>
    <m/>
    <s v="公財台帳・固資台帳"/>
    <s v="240"/>
    <s v="G044300"/>
    <x v="7"/>
    <x v="16"/>
  </r>
  <r>
    <s v="235"/>
    <s v="0870"/>
    <s v="大阪国際空港周辺緑地"/>
    <x v="9"/>
    <s v="04"/>
    <s v="便所2"/>
    <x v="19"/>
    <n v="7"/>
    <x v="19"/>
    <m/>
    <n v="46.38"/>
    <n v="46.38"/>
    <s v="単独"/>
    <s v="RC"/>
    <m/>
    <m/>
    <m/>
    <m/>
    <x v="3"/>
    <m/>
    <m/>
    <m/>
    <n v="38"/>
    <s v="-"/>
    <s v="-"/>
    <s v="-"/>
    <s v="-"/>
    <s v="-"/>
    <s v="-"/>
    <s v="-"/>
    <s v="-"/>
    <s v="-"/>
    <s v="-"/>
    <s v="-"/>
    <x v="3"/>
    <x v="0"/>
    <m/>
    <m/>
    <s v="公財台帳・固資台帳"/>
    <s v="240"/>
    <s v="G044300"/>
    <x v="7"/>
    <x v="16"/>
  </r>
  <r>
    <s v="235"/>
    <s v="0870"/>
    <s v="大阪国際空港周辺緑地"/>
    <x v="9"/>
    <s v="05"/>
    <s v="便所3"/>
    <x v="19"/>
    <n v="7"/>
    <x v="19"/>
    <m/>
    <n v="31.85"/>
    <n v="31.85"/>
    <s v="単独"/>
    <s v="RC"/>
    <m/>
    <m/>
    <m/>
    <m/>
    <x v="3"/>
    <m/>
    <m/>
    <m/>
    <n v="38"/>
    <s v="-"/>
    <s v="-"/>
    <s v="-"/>
    <s v="-"/>
    <s v="-"/>
    <s v="-"/>
    <s v="-"/>
    <s v="-"/>
    <s v="-"/>
    <s v="-"/>
    <s v="-"/>
    <x v="3"/>
    <x v="0"/>
    <m/>
    <m/>
    <s v="公財台帳・固資台帳"/>
    <s v="240"/>
    <s v="G044300"/>
    <x v="7"/>
    <x v="16"/>
  </r>
  <r>
    <s v="235"/>
    <s v="0870"/>
    <s v="大阪国際空港周辺緑地"/>
    <x v="9"/>
    <s v="06"/>
    <s v="温室"/>
    <x v="22"/>
    <n v="1"/>
    <x v="22"/>
    <m/>
    <n v="347.07"/>
    <n v="347.07"/>
    <s v="単独"/>
    <s v="S"/>
    <m/>
    <m/>
    <m/>
    <m/>
    <x v="3"/>
    <m/>
    <m/>
    <m/>
    <n v="31"/>
    <s v="-"/>
    <s v="-"/>
    <s v="-"/>
    <s v="-"/>
    <s v="-"/>
    <s v="-"/>
    <s v="-"/>
    <s v="-"/>
    <s v="-"/>
    <s v="-"/>
    <s v="-"/>
    <x v="5"/>
    <x v="0"/>
    <m/>
    <m/>
    <s v="公財台帳・固資台帳"/>
    <s v="240"/>
    <s v="G044300"/>
    <x v="7"/>
    <x v="16"/>
  </r>
  <r>
    <s v="235"/>
    <s v="0870"/>
    <s v="大阪国際空港周辺緑地"/>
    <x v="9"/>
    <s v="07"/>
    <s v="トイレ"/>
    <x v="22"/>
    <n v="7"/>
    <x v="22"/>
    <m/>
    <n v="31.85"/>
    <n v="31.85"/>
    <s v="単独"/>
    <s v="RC"/>
    <m/>
    <m/>
    <m/>
    <m/>
    <x v="3"/>
    <m/>
    <m/>
    <m/>
    <n v="38"/>
    <s v="-"/>
    <s v="-"/>
    <s v="-"/>
    <s v="-"/>
    <s v="-"/>
    <s v="-"/>
    <s v="-"/>
    <s v="-"/>
    <s v="-"/>
    <s v="-"/>
    <s v="-"/>
    <x v="3"/>
    <x v="0"/>
    <m/>
    <m/>
    <s v="公財台帳・固資台帳"/>
    <s v="240"/>
    <s v="G044300"/>
    <x v="7"/>
    <x v="16"/>
  </r>
  <r>
    <s v="235"/>
    <s v="0870"/>
    <s v="大阪国際空港周辺緑地"/>
    <x v="9"/>
    <s v="08"/>
    <s v="南管理倉庫"/>
    <x v="52"/>
    <n v="2"/>
    <x v="52"/>
    <m/>
    <n v="30.8"/>
    <n v="30.8"/>
    <s v="単独"/>
    <s v="RC"/>
    <m/>
    <m/>
    <m/>
    <m/>
    <x v="3"/>
    <m/>
    <m/>
    <m/>
    <n v="38"/>
    <s v="-"/>
    <s v="-"/>
    <s v="-"/>
    <s v="-"/>
    <s v="-"/>
    <s v="-"/>
    <s v="-"/>
    <s v="-"/>
    <s v="-"/>
    <s v="-"/>
    <s v="-"/>
    <x v="3"/>
    <x v="0"/>
    <m/>
    <m/>
    <s v="公財台帳・固資台帳"/>
    <s v="240"/>
    <s v="G044300"/>
    <x v="7"/>
    <x v="16"/>
  </r>
  <r>
    <s v="236"/>
    <s v="0858"/>
    <s v="昆陽南公園施設"/>
    <x v="9"/>
    <s v="01"/>
    <s v="体験学習施設"/>
    <x v="17"/>
    <n v="3"/>
    <x v="17"/>
    <n v="242.51"/>
    <n v="225.89"/>
    <n v="225.89"/>
    <s v="単独"/>
    <s v="S"/>
    <n v="1"/>
    <m/>
    <s v="新"/>
    <s v="-"/>
    <x v="1"/>
    <m/>
    <m/>
    <m/>
    <n v="38"/>
    <s v="A"/>
    <s v="B"/>
    <s v="C"/>
    <s v="-"/>
    <s v="C"/>
    <s v="C"/>
    <s v="B"/>
    <s v="-"/>
    <s v="-"/>
    <s v="B"/>
    <n v="44.571428571428569"/>
    <x v="0"/>
    <x v="0"/>
    <m/>
    <m/>
    <s v="公財台帳・固資台帳"/>
    <s v="240"/>
    <s v="G044300"/>
    <x v="7"/>
    <x v="16"/>
  </r>
  <r>
    <s v="236"/>
    <s v="0858"/>
    <s v="昆陽南公園施設"/>
    <x v="9"/>
    <s v="02"/>
    <s v="東屋"/>
    <x v="21"/>
    <n v="3"/>
    <x v="21"/>
    <m/>
    <n v="24"/>
    <n v="24"/>
    <s v="単独"/>
    <s v="W"/>
    <m/>
    <m/>
    <m/>
    <m/>
    <x v="3"/>
    <m/>
    <m/>
    <m/>
    <n v="24"/>
    <s v="-"/>
    <s v="-"/>
    <s v="-"/>
    <s v="-"/>
    <s v="-"/>
    <s v="-"/>
    <s v="-"/>
    <s v="-"/>
    <s v="-"/>
    <s v="-"/>
    <s v="-"/>
    <x v="1"/>
    <x v="0"/>
    <m/>
    <m/>
    <s v="公財台帳・固資台帳"/>
    <s v="240"/>
    <s v="G044300"/>
    <x v="7"/>
    <x v="16"/>
  </r>
  <r>
    <s v="237"/>
    <s v="0877"/>
    <s v="笹原公園施設"/>
    <x v="9"/>
    <s v="01"/>
    <s v="備蓄倉庫"/>
    <x v="21"/>
    <m/>
    <x v="21"/>
    <n v="190.9"/>
    <n v="180.52"/>
    <n v="180.52"/>
    <s v="単独"/>
    <s v="RC"/>
    <n v="1"/>
    <m/>
    <s v="新"/>
    <s v="-"/>
    <x v="1"/>
    <m/>
    <m/>
    <m/>
    <n v="50"/>
    <s v="-"/>
    <s v="-"/>
    <s v="-"/>
    <s v="-"/>
    <s v="-"/>
    <s v="-"/>
    <s v="-"/>
    <s v="-"/>
    <s v="-"/>
    <s v="-"/>
    <s v="-"/>
    <x v="0"/>
    <x v="0"/>
    <m/>
    <m/>
    <s v="原課報告"/>
    <s v="240"/>
    <s v="G044300"/>
    <x v="7"/>
    <x v="16"/>
  </r>
  <r>
    <s v="238"/>
    <s v="0289"/>
    <s v="伊丹市公館（鴻臚館）"/>
    <x v="27"/>
    <s v="01"/>
    <s v="鴻臚館"/>
    <x v="2"/>
    <n v="3"/>
    <x v="2"/>
    <n v="190.77"/>
    <n v="175.69"/>
    <n v="175.69"/>
    <s v="単独"/>
    <s v="W"/>
    <n v="1"/>
    <n v="0"/>
    <s v="新"/>
    <s v="-"/>
    <x v="1"/>
    <m/>
    <m/>
    <m/>
    <n v="24"/>
    <s v="D"/>
    <s v="D"/>
    <s v="-"/>
    <s v="-"/>
    <s v="D"/>
    <s v="-"/>
    <s v="D"/>
    <s v="-"/>
    <s v="-"/>
    <s v="D"/>
    <n v="100"/>
    <x v="0"/>
    <x v="0"/>
    <m/>
    <m/>
    <s v="公財台帳・固資台帳"/>
    <s v="013"/>
    <s v="G020200"/>
    <x v="7"/>
    <x v="16"/>
  </r>
  <r>
    <s v="238"/>
    <s v="0289"/>
    <s v="伊丹市公館（鴻臚館）"/>
    <x v="27"/>
    <s v="02"/>
    <s v="管理棟"/>
    <x v="2"/>
    <n v="6"/>
    <x v="2"/>
    <m/>
    <n v="48.51"/>
    <n v="48.51"/>
    <s v="単独"/>
    <s v="W"/>
    <m/>
    <m/>
    <s v="新"/>
    <s v="-"/>
    <x v="1"/>
    <m/>
    <m/>
    <m/>
    <n v="24"/>
    <s v="-"/>
    <s v="-"/>
    <s v="-"/>
    <s v="-"/>
    <s v="-"/>
    <s v="-"/>
    <s v="-"/>
    <s v="-"/>
    <s v="-"/>
    <s v="-"/>
    <s v="-"/>
    <x v="0"/>
    <x v="0"/>
    <m/>
    <m/>
    <s v="公財台帳・固資台帳"/>
    <s v="013"/>
    <s v="G020200"/>
    <x v="7"/>
    <x v="16"/>
  </r>
  <r>
    <s v="238"/>
    <s v="0289"/>
    <s v="伊丹市公館（鴻臚館）"/>
    <x v="27"/>
    <s v="03"/>
    <s v="寝所・腰掛待合棟"/>
    <x v="2"/>
    <n v="6"/>
    <x v="2"/>
    <m/>
    <n v="41.99"/>
    <n v="41.99"/>
    <s v="単独"/>
    <s v="W"/>
    <m/>
    <m/>
    <s v="新"/>
    <s v="-"/>
    <x v="1"/>
    <m/>
    <m/>
    <m/>
    <n v="22"/>
    <s v="-"/>
    <s v="-"/>
    <s v="-"/>
    <s v="-"/>
    <s v="-"/>
    <s v="-"/>
    <s v="-"/>
    <s v="-"/>
    <s v="-"/>
    <s v="-"/>
    <s v="-"/>
    <x v="0"/>
    <x v="0"/>
    <m/>
    <m/>
    <s v="公財台帳・固資台帳"/>
    <s v="013"/>
    <s v="G020200"/>
    <x v="7"/>
    <x v="16"/>
  </r>
  <r>
    <s v="239"/>
    <s v="0341"/>
    <s v="遺族会館"/>
    <x v="23"/>
    <s v="01"/>
    <s v="集会所"/>
    <x v="2"/>
    <n v="3"/>
    <x v="2"/>
    <n v="171"/>
    <n v="155.52000000000001"/>
    <n v="155.52000000000001"/>
    <s v="単独"/>
    <s v="W"/>
    <n v="1"/>
    <n v="0"/>
    <s v="新"/>
    <s v="-"/>
    <x v="1"/>
    <m/>
    <m/>
    <m/>
    <n v="22"/>
    <s v="D"/>
    <s v="D"/>
    <s v="-"/>
    <s v="-"/>
    <s v="D"/>
    <s v="A"/>
    <s v="D"/>
    <s v="-"/>
    <s v="-"/>
    <s v="D"/>
    <n v="90.756302521008408"/>
    <x v="0"/>
    <x v="0"/>
    <m/>
    <m/>
    <s v="公財台帳・固資台帳"/>
    <s v="285"/>
    <s v="G052100"/>
    <x v="7"/>
    <x v="16"/>
  </r>
  <r>
    <s v="240"/>
    <s v="9901"/>
    <s v="伊丹スポーツセンター"/>
    <x v="28"/>
    <s v="01"/>
    <s v="体育館"/>
    <x v="0"/>
    <m/>
    <x v="0"/>
    <m/>
    <n v="5446"/>
    <n v="5446"/>
    <s v="単独"/>
    <s v="RC"/>
    <n v="3"/>
    <m/>
    <s v="旧"/>
    <s v="済"/>
    <x v="1"/>
    <n v="1.27"/>
    <n v="2016"/>
    <n v="2003"/>
    <n v="47"/>
    <s v="-"/>
    <s v="-"/>
    <s v="-"/>
    <s v="-"/>
    <s v="-"/>
    <s v="-"/>
    <s v="-"/>
    <s v="-"/>
    <s v="-"/>
    <s v="-"/>
    <s v="-"/>
    <x v="0"/>
    <x v="0"/>
    <m/>
    <m/>
    <s v="原課報告"/>
    <s v="678"/>
    <s v="G600307"/>
    <x v="8"/>
    <x v="17"/>
  </r>
  <r>
    <s v="240"/>
    <s v="9901"/>
    <s v="伊丹スポーツセンター"/>
    <x v="28"/>
    <s v="02"/>
    <s v="ﾌﾟｰﾙ"/>
    <x v="0"/>
    <m/>
    <x v="0"/>
    <m/>
    <n v="1312"/>
    <n v="1312"/>
    <s v="単独"/>
    <s v="S"/>
    <n v="1"/>
    <m/>
    <s v="旧"/>
    <m/>
    <x v="2"/>
    <m/>
    <m/>
    <m/>
    <n v="34"/>
    <s v="-"/>
    <s v="-"/>
    <s v="-"/>
    <s v="-"/>
    <s v="-"/>
    <s v="-"/>
    <s v="-"/>
    <s v="-"/>
    <s v="-"/>
    <s v="-"/>
    <s v="-"/>
    <x v="0"/>
    <x v="0"/>
    <m/>
    <m/>
    <s v="原課報告"/>
    <s v="678"/>
    <s v="G600307"/>
    <x v="8"/>
    <x v="17"/>
  </r>
  <r>
    <s v="240"/>
    <s v="9901"/>
    <s v="伊丹スポーツセンター"/>
    <x v="28"/>
    <s v="03"/>
    <s v="ｸﾗﾌﾞﾊｳｽ"/>
    <x v="0"/>
    <m/>
    <x v="0"/>
    <m/>
    <n v="317"/>
    <n v="317"/>
    <s v="単独"/>
    <s v="S"/>
    <n v="2"/>
    <m/>
    <s v="旧"/>
    <m/>
    <x v="2"/>
    <m/>
    <m/>
    <n v="2003"/>
    <n v="34"/>
    <s v="-"/>
    <s v="-"/>
    <s v="-"/>
    <s v="-"/>
    <s v="-"/>
    <s v="-"/>
    <s v="-"/>
    <s v="-"/>
    <s v="-"/>
    <s v="-"/>
    <s v="-"/>
    <x v="0"/>
    <x v="0"/>
    <m/>
    <m/>
    <s v="原課報告"/>
    <s v="678"/>
    <s v="G600307"/>
    <x v="8"/>
    <x v="17"/>
  </r>
  <r>
    <s v="240"/>
    <s v="9901"/>
    <s v="伊丹スポーツセンター"/>
    <x v="28"/>
    <s v="04"/>
    <s v="野球場"/>
    <x v="6"/>
    <m/>
    <x v="6"/>
    <m/>
    <n v="1645"/>
    <n v="1645"/>
    <s v="単独"/>
    <s v="RC"/>
    <n v="1"/>
    <m/>
    <s v="旧"/>
    <m/>
    <x v="2"/>
    <m/>
    <m/>
    <m/>
    <n v="50"/>
    <s v="-"/>
    <s v="-"/>
    <s v="-"/>
    <s v="-"/>
    <s v="-"/>
    <s v="-"/>
    <s v="-"/>
    <s v="-"/>
    <s v="-"/>
    <s v="-"/>
    <s v="-"/>
    <x v="0"/>
    <x v="0"/>
    <m/>
    <m/>
    <s v="原課報告"/>
    <s v="678"/>
    <s v="G600307"/>
    <x v="8"/>
    <x v="17"/>
  </r>
  <r>
    <s v="240"/>
    <s v="9901"/>
    <s v="伊丹スポーツセンター"/>
    <x v="28"/>
    <s v="05"/>
    <s v="陸上競技場"/>
    <x v="0"/>
    <m/>
    <x v="0"/>
    <m/>
    <n v="1258"/>
    <n v="1258"/>
    <s v="単独"/>
    <s v="RC"/>
    <n v="1"/>
    <m/>
    <s v="旧"/>
    <m/>
    <x v="2"/>
    <m/>
    <m/>
    <m/>
    <n v="50"/>
    <s v="-"/>
    <s v="-"/>
    <s v="-"/>
    <s v="-"/>
    <s v="-"/>
    <s v="-"/>
    <s v="-"/>
    <s v="-"/>
    <s v="-"/>
    <s v="-"/>
    <s v="-"/>
    <x v="0"/>
    <x v="0"/>
    <m/>
    <m/>
    <s v="原課報告"/>
    <s v="678"/>
    <s v="G600307"/>
    <x v="8"/>
    <x v="17"/>
  </r>
  <r>
    <s v="240"/>
    <s v="9901"/>
    <s v="伊丹スポーツセンター"/>
    <x v="28"/>
    <s v="06"/>
    <s v="ﾃﾆｽｺｰﾄ管理棟①"/>
    <x v="0"/>
    <m/>
    <x v="0"/>
    <m/>
    <n v="114"/>
    <n v="114"/>
    <s v="単独"/>
    <s v="CB"/>
    <n v="1"/>
    <m/>
    <s v="旧"/>
    <m/>
    <x v="2"/>
    <m/>
    <m/>
    <m/>
    <n v="41"/>
    <s v="-"/>
    <s v="-"/>
    <s v="-"/>
    <s v="-"/>
    <s v="-"/>
    <s v="-"/>
    <s v="-"/>
    <s v="-"/>
    <s v="-"/>
    <s v="-"/>
    <s v="-"/>
    <x v="0"/>
    <x v="0"/>
    <m/>
    <m/>
    <s v="原課報告"/>
    <s v="678"/>
    <s v="G600307"/>
    <x v="8"/>
    <x v="17"/>
  </r>
  <r>
    <s v="240"/>
    <s v="9901"/>
    <s v="伊丹スポーツセンター"/>
    <x v="28"/>
    <s v="07"/>
    <s v="ﾃﾆｽｺｰﾄ管理棟②"/>
    <x v="0"/>
    <m/>
    <x v="0"/>
    <m/>
    <n v="81"/>
    <n v="81"/>
    <s v="単独"/>
    <s v="CB"/>
    <n v="1"/>
    <m/>
    <s v="旧"/>
    <m/>
    <x v="2"/>
    <m/>
    <m/>
    <m/>
    <n v="41"/>
    <s v="-"/>
    <s v="-"/>
    <s v="-"/>
    <s v="-"/>
    <s v="-"/>
    <s v="-"/>
    <s v="-"/>
    <s v="-"/>
    <s v="-"/>
    <s v="-"/>
    <s v="-"/>
    <x v="0"/>
    <x v="0"/>
    <m/>
    <m/>
    <s v="原課報告"/>
    <s v="678"/>
    <s v="G600307"/>
    <x v="8"/>
    <x v="17"/>
  </r>
  <r>
    <s v="241"/>
    <s v="1080"/>
    <s v="緑ケ丘体育館・武道館"/>
    <x v="28"/>
    <s v="01"/>
    <s v="体育館"/>
    <x v="30"/>
    <m/>
    <x v="30"/>
    <m/>
    <n v="1423.01"/>
    <n v="1423.01"/>
    <s v="単独"/>
    <s v="RC"/>
    <m/>
    <m/>
    <s v="新"/>
    <s v="-"/>
    <x v="1"/>
    <m/>
    <m/>
    <n v="2011"/>
    <n v="47"/>
    <s v="B"/>
    <s v="A"/>
    <s v="B"/>
    <s v="-"/>
    <s v="C"/>
    <s v="D"/>
    <s v="D"/>
    <s v="-"/>
    <s v="-"/>
    <s v="C"/>
    <n v="66.060606060606062"/>
    <x v="0"/>
    <x v="0"/>
    <m/>
    <m/>
    <s v="公財台帳・固資台帳"/>
    <s v="678"/>
    <s v="G600307"/>
    <x v="8"/>
    <x v="17"/>
  </r>
  <r>
    <s v="241"/>
    <s v="1080"/>
    <s v="緑ケ丘体育館・武道館"/>
    <x v="28"/>
    <s v="02"/>
    <s v="事務所・武道館等"/>
    <x v="30"/>
    <m/>
    <x v="30"/>
    <m/>
    <n v="1614.2"/>
    <n v="1614.2"/>
    <s v="単独"/>
    <s v="RC"/>
    <m/>
    <m/>
    <s v="新"/>
    <s v="-"/>
    <x v="1"/>
    <m/>
    <m/>
    <n v="2011"/>
    <n v="47"/>
    <s v="B"/>
    <s v="A"/>
    <s v="B"/>
    <s v="-"/>
    <s v="C"/>
    <s v="D"/>
    <s v="D"/>
    <s v="-"/>
    <s v="-"/>
    <s v="C"/>
    <n v="66.060606060606062"/>
    <x v="0"/>
    <x v="0"/>
    <m/>
    <m/>
    <s v="公財台帳・固資台帳"/>
    <s v="678"/>
    <s v="G600307"/>
    <x v="8"/>
    <x v="17"/>
  </r>
  <r>
    <s v="242"/>
    <s v="1082"/>
    <s v="ローラースケート場"/>
    <x v="28"/>
    <s v="01"/>
    <s v="管理棟"/>
    <x v="30"/>
    <n v="7"/>
    <x v="30"/>
    <n v="24.49"/>
    <n v="24.49"/>
    <n v="24.49"/>
    <s v="単独"/>
    <s v="S"/>
    <n v="1"/>
    <n v="0"/>
    <s v="新"/>
    <s v="-"/>
    <x v="1"/>
    <m/>
    <m/>
    <m/>
    <n v="30"/>
    <s v="-"/>
    <s v="-"/>
    <s v="-"/>
    <s v="-"/>
    <s v="-"/>
    <s v="-"/>
    <s v="-"/>
    <s v="-"/>
    <s v="-"/>
    <s v="-"/>
    <s v="-"/>
    <x v="0"/>
    <x v="0"/>
    <m/>
    <m/>
    <s v="公財台帳・固資台帳"/>
    <s v="678"/>
    <s v="G600307"/>
    <x v="8"/>
    <x v="17"/>
  </r>
  <r>
    <s v="242"/>
    <s v="1082"/>
    <s v="ローラースケート場"/>
    <x v="28"/>
    <s v="02"/>
    <s v="倉庫"/>
    <x v="30"/>
    <n v="7"/>
    <x v="30"/>
    <m/>
    <n v="6.38"/>
    <n v="6.38"/>
    <s v="単独"/>
    <s v="S"/>
    <m/>
    <m/>
    <s v="新"/>
    <s v="-"/>
    <x v="1"/>
    <m/>
    <m/>
    <m/>
    <n v="24"/>
    <s v="-"/>
    <s v="-"/>
    <s v="-"/>
    <s v="-"/>
    <s v="-"/>
    <s v="-"/>
    <s v="-"/>
    <s v="-"/>
    <s v="-"/>
    <s v="-"/>
    <s v="-"/>
    <x v="0"/>
    <x v="0"/>
    <m/>
    <m/>
    <s v="公財台帳・固資台帳"/>
    <s v="678"/>
    <s v="G600307"/>
    <x v="8"/>
    <x v="17"/>
  </r>
  <r>
    <s v="242"/>
    <s v="1082"/>
    <s v="ローラースケート場"/>
    <x v="28"/>
    <s v="03"/>
    <s v="便所"/>
    <x v="46"/>
    <n v="8"/>
    <x v="46"/>
    <m/>
    <n v="3.16"/>
    <n v="3.16"/>
    <s v="単独"/>
    <s v="S"/>
    <m/>
    <m/>
    <s v="新"/>
    <s v="-"/>
    <x v="1"/>
    <m/>
    <m/>
    <m/>
    <n v="24"/>
    <s v="-"/>
    <s v="-"/>
    <s v="-"/>
    <s v="-"/>
    <s v="-"/>
    <s v="-"/>
    <s v="-"/>
    <s v="-"/>
    <s v="-"/>
    <s v="-"/>
    <s v="-"/>
    <x v="0"/>
    <x v="0"/>
    <m/>
    <m/>
    <s v="公財台帳・固資台帳"/>
    <s v="678"/>
    <s v="G600307"/>
    <x v="8"/>
    <x v="17"/>
  </r>
  <r>
    <s v="243"/>
    <s v="1083"/>
    <s v="稲野公園運動施設"/>
    <x v="28"/>
    <s v="01"/>
    <s v="ｸﾗﾌﾞﾊｳｽ"/>
    <x v="30"/>
    <n v="10"/>
    <x v="30"/>
    <n v="278.45999999999998"/>
    <n v="278.45999999999998"/>
    <n v="278.45999999999998"/>
    <s v="単独"/>
    <s v="S"/>
    <n v="1"/>
    <n v="0"/>
    <s v="新"/>
    <s v="-"/>
    <x v="1"/>
    <m/>
    <m/>
    <m/>
    <n v="38"/>
    <s v="B"/>
    <s v="D"/>
    <s v="D"/>
    <s v="-"/>
    <s v="D"/>
    <s v="D"/>
    <s v="D"/>
    <s v="-"/>
    <s v="-"/>
    <s v="D"/>
    <n v="81.142857142857139"/>
    <x v="0"/>
    <x v="0"/>
    <m/>
    <m/>
    <s v="公財台帳・固資台帳"/>
    <s v="678"/>
    <s v="G600307"/>
    <x v="8"/>
    <x v="17"/>
  </r>
  <r>
    <s v="244"/>
    <s v="0334"/>
    <s v="野外活動センター"/>
    <x v="16"/>
    <s v="01"/>
    <s v="野外活動ｾﾝﾀｰ(管理棟)"/>
    <x v="48"/>
    <n v="9"/>
    <x v="48"/>
    <n v="176"/>
    <n v="258"/>
    <n v="258"/>
    <s v="単独"/>
    <s v="W"/>
    <n v="1"/>
    <n v="1"/>
    <s v="旧"/>
    <m/>
    <x v="2"/>
    <m/>
    <m/>
    <m/>
    <n v="50"/>
    <s v="D"/>
    <s v="D"/>
    <s v="-"/>
    <s v="-"/>
    <s v="B"/>
    <s v="-"/>
    <s v="B"/>
    <s v="-"/>
    <s v="-"/>
    <s v="D"/>
    <n v="73.07692307692308"/>
    <x v="0"/>
    <x v="1"/>
    <d v="2017-03-31T00:00:00"/>
    <m/>
    <s v="公財台帳・固資台帳"/>
    <s v="345"/>
    <s v="G061100"/>
    <x v="8"/>
    <x v="17"/>
  </r>
  <r>
    <s v="244"/>
    <s v="0334"/>
    <s v="野外活動センター"/>
    <x v="16"/>
    <s v="02"/>
    <s v="山小屋(5棟)"/>
    <x v="47"/>
    <n v="4"/>
    <x v="47"/>
    <n v="567"/>
    <n v="567"/>
    <n v="567"/>
    <s v="単独"/>
    <s v="W"/>
    <n v="1"/>
    <n v="0"/>
    <s v="旧"/>
    <m/>
    <x v="2"/>
    <m/>
    <m/>
    <m/>
    <n v="24"/>
    <s v="D"/>
    <s v="D"/>
    <s v="D"/>
    <s v="-"/>
    <s v="D"/>
    <s v="-"/>
    <s v="D"/>
    <s v="-"/>
    <s v="-"/>
    <s v="D"/>
    <n v="100"/>
    <x v="0"/>
    <x v="1"/>
    <d v="2017-03-31T00:00:00"/>
    <m/>
    <s v="公財台帳・固資台帳"/>
    <s v="345"/>
    <s v="G061100"/>
    <x v="8"/>
    <x v="17"/>
  </r>
  <r>
    <s v="244"/>
    <s v="0334"/>
    <s v="野外活動センター"/>
    <x v="16"/>
    <s v="03"/>
    <s v="ﾊﾞﾝｶﾞﾛｰ(7棟)"/>
    <x v="32"/>
    <m/>
    <x v="32"/>
    <n v="62.3"/>
    <n v="102.2"/>
    <n v="102.2"/>
    <s v="単独"/>
    <s v="W"/>
    <n v="1"/>
    <n v="0"/>
    <s v="新"/>
    <s v="-"/>
    <x v="1"/>
    <m/>
    <m/>
    <m/>
    <n v="24"/>
    <s v="C"/>
    <s v="C"/>
    <s v="D"/>
    <s v="-"/>
    <s v="D"/>
    <s v="-"/>
    <s v="-"/>
    <s v="-"/>
    <s v="-"/>
    <s v="D"/>
    <n v="86.516853932584269"/>
    <x v="0"/>
    <x v="1"/>
    <d v="2017-03-31T00:00:00"/>
    <m/>
    <s v="公財台帳・固資台帳"/>
    <s v="345"/>
    <s v="G061100"/>
    <x v="8"/>
    <x v="17"/>
  </r>
  <r>
    <s v="244"/>
    <s v="0334"/>
    <s v="野外活動センター"/>
    <x v="16"/>
    <s v="04"/>
    <s v="体育館"/>
    <x v="37"/>
    <n v="3"/>
    <x v="37"/>
    <n v="1100.32"/>
    <n v="1115.58"/>
    <n v="1115.58"/>
    <s v="単独"/>
    <s v="RC"/>
    <n v="1"/>
    <n v="0"/>
    <s v="新"/>
    <s v="-"/>
    <x v="1"/>
    <m/>
    <m/>
    <m/>
    <n v="47"/>
    <s v="B"/>
    <s v="C"/>
    <s v="D"/>
    <s v="-"/>
    <s v="D"/>
    <s v="-"/>
    <s v="D"/>
    <s v="-"/>
    <s v="-"/>
    <s v="C"/>
    <n v="69.375"/>
    <x v="0"/>
    <x v="1"/>
    <d v="2017-03-31T00:00:00"/>
    <m/>
    <s v="公財台帳・固資台帳"/>
    <s v="345"/>
    <s v="G061100"/>
    <x v="8"/>
    <x v="17"/>
  </r>
  <r>
    <s v="244"/>
    <s v="0334"/>
    <s v="野外活動センター"/>
    <x v="16"/>
    <s v="05"/>
    <s v="売店"/>
    <x v="48"/>
    <n v="4"/>
    <x v="48"/>
    <m/>
    <n v="9.7200000000000006"/>
    <n v="9.7200000000000006"/>
    <s v="単独"/>
    <s v="W"/>
    <m/>
    <m/>
    <m/>
    <m/>
    <x v="3"/>
    <m/>
    <m/>
    <m/>
    <n v="24"/>
    <s v="-"/>
    <s v="-"/>
    <s v="-"/>
    <s v="-"/>
    <s v="-"/>
    <s v="-"/>
    <s v="-"/>
    <s v="-"/>
    <s v="-"/>
    <s v="-"/>
    <s v="-"/>
    <x v="3"/>
    <x v="1"/>
    <d v="2017-03-31T00:00:00"/>
    <m/>
    <s v="公財台帳・固資台帳"/>
    <s v="345"/>
    <s v="G061100"/>
    <x v="8"/>
    <x v="17"/>
  </r>
  <r>
    <s v="244"/>
    <s v="0334"/>
    <s v="野外活動センター"/>
    <x v="16"/>
    <s v="06"/>
    <s v="便所"/>
    <x v="43"/>
    <n v="4"/>
    <x v="43"/>
    <m/>
    <n v="54"/>
    <n v="54"/>
    <s v="単独"/>
    <s v="W"/>
    <m/>
    <m/>
    <m/>
    <m/>
    <x v="3"/>
    <m/>
    <m/>
    <m/>
    <n v="15"/>
    <s v="-"/>
    <s v="-"/>
    <s v="-"/>
    <s v="-"/>
    <s v="-"/>
    <s v="-"/>
    <s v="-"/>
    <s v="-"/>
    <s v="-"/>
    <s v="-"/>
    <s v="-"/>
    <x v="5"/>
    <x v="1"/>
    <d v="2017-03-31T00:00:00"/>
    <m/>
    <s v="公財台帳・固資台帳"/>
    <s v="345"/>
    <s v="G061100"/>
    <x v="8"/>
    <x v="17"/>
  </r>
  <r>
    <s v="244"/>
    <s v="0334"/>
    <s v="野外活動センター"/>
    <x v="16"/>
    <s v="07"/>
    <s v="炊事場"/>
    <x v="43"/>
    <n v="4"/>
    <x v="43"/>
    <m/>
    <n v="113"/>
    <n v="113"/>
    <s v="単独"/>
    <s v="W"/>
    <m/>
    <m/>
    <m/>
    <m/>
    <x v="3"/>
    <m/>
    <m/>
    <m/>
    <n v="20"/>
    <s v="-"/>
    <s v="-"/>
    <s v="-"/>
    <s v="-"/>
    <s v="-"/>
    <s v="-"/>
    <s v="-"/>
    <s v="-"/>
    <s v="-"/>
    <s v="-"/>
    <s v="-"/>
    <x v="1"/>
    <x v="1"/>
    <d v="2017-03-31T00:00:00"/>
    <m/>
    <s v="公財台帳・固資台帳"/>
    <s v="345"/>
    <s v="G061100"/>
    <x v="8"/>
    <x v="17"/>
  </r>
  <r>
    <s v="244"/>
    <s v="0334"/>
    <s v="野外活動センター"/>
    <x v="16"/>
    <s v="08"/>
    <s v="脱衣場"/>
    <x v="43"/>
    <n v="4"/>
    <x v="43"/>
    <m/>
    <n v="25.92"/>
    <n v="25.92"/>
    <s v="単独"/>
    <s v="W"/>
    <m/>
    <m/>
    <m/>
    <m/>
    <x v="3"/>
    <m/>
    <m/>
    <m/>
    <n v="22"/>
    <s v="-"/>
    <s v="-"/>
    <s v="-"/>
    <s v="-"/>
    <s v="-"/>
    <s v="-"/>
    <s v="-"/>
    <s v="-"/>
    <s v="-"/>
    <s v="-"/>
    <s v="-"/>
    <x v="3"/>
    <x v="1"/>
    <d v="2017-03-31T00:00:00"/>
    <m/>
    <s v="公財台帳・固資台帳"/>
    <s v="345"/>
    <s v="G061100"/>
    <x v="8"/>
    <x v="17"/>
  </r>
  <r>
    <s v="244"/>
    <s v="0334"/>
    <s v="野外活動センター"/>
    <x v="16"/>
    <s v="09"/>
    <s v="炊事場"/>
    <x v="43"/>
    <n v="4"/>
    <x v="43"/>
    <m/>
    <n v="28"/>
    <n v="28"/>
    <s v="単独"/>
    <s v="W"/>
    <m/>
    <m/>
    <m/>
    <m/>
    <x v="3"/>
    <m/>
    <m/>
    <m/>
    <n v="20"/>
    <s v="-"/>
    <s v="-"/>
    <s v="-"/>
    <s v="-"/>
    <s v="-"/>
    <s v="-"/>
    <s v="-"/>
    <s v="-"/>
    <s v="-"/>
    <s v="-"/>
    <s v="-"/>
    <x v="3"/>
    <x v="1"/>
    <d v="2017-03-31T00:00:00"/>
    <m/>
    <s v="公財台帳・固資台帳"/>
    <s v="345"/>
    <s v="G061100"/>
    <x v="8"/>
    <x v="17"/>
  </r>
  <r>
    <s v="244"/>
    <s v="0334"/>
    <s v="野外活動センター"/>
    <x v="16"/>
    <s v="10"/>
    <s v="炊事場"/>
    <x v="43"/>
    <n v="4"/>
    <x v="43"/>
    <m/>
    <n v="9.93"/>
    <n v="9.93"/>
    <s v="単独"/>
    <s v="W"/>
    <m/>
    <m/>
    <m/>
    <m/>
    <x v="3"/>
    <m/>
    <m/>
    <m/>
    <n v="20"/>
    <s v="-"/>
    <s v="-"/>
    <s v="-"/>
    <s v="-"/>
    <s v="-"/>
    <s v="-"/>
    <s v="-"/>
    <s v="-"/>
    <s v="-"/>
    <s v="-"/>
    <s v="-"/>
    <x v="3"/>
    <x v="1"/>
    <d v="2017-03-31T00:00:00"/>
    <m/>
    <s v="公財台帳・固資台帳"/>
    <s v="345"/>
    <s v="G061100"/>
    <x v="8"/>
    <x v="17"/>
  </r>
  <r>
    <s v="244"/>
    <s v="0334"/>
    <s v="野外活動センター"/>
    <x v="16"/>
    <s v="11"/>
    <s v="倉庫"/>
    <x v="6"/>
    <n v="6"/>
    <x v="6"/>
    <m/>
    <n v="11.34"/>
    <n v="11.34"/>
    <s v="単独"/>
    <s v="W"/>
    <m/>
    <m/>
    <m/>
    <m/>
    <x v="3"/>
    <m/>
    <m/>
    <m/>
    <n v="15"/>
    <s v="-"/>
    <s v="-"/>
    <s v="-"/>
    <s v="-"/>
    <s v="-"/>
    <s v="-"/>
    <s v="-"/>
    <s v="-"/>
    <s v="-"/>
    <s v="-"/>
    <s v="-"/>
    <x v="3"/>
    <x v="1"/>
    <d v="2017-03-31T00:00:00"/>
    <m/>
    <s v="公財台帳・固資台帳"/>
    <s v="345"/>
    <s v="G061100"/>
    <x v="8"/>
    <x v="17"/>
  </r>
  <r>
    <s v="244"/>
    <s v="0334"/>
    <s v="野外活動センター"/>
    <x v="16"/>
    <s v="12"/>
    <s v="雨天休憩所"/>
    <x v="13"/>
    <n v="4"/>
    <x v="13"/>
    <m/>
    <n v="50.29"/>
    <n v="50.29"/>
    <s v="単独"/>
    <s v="S"/>
    <m/>
    <m/>
    <m/>
    <m/>
    <x v="3"/>
    <m/>
    <m/>
    <m/>
    <n v="38"/>
    <s v="-"/>
    <s v="-"/>
    <s v="-"/>
    <s v="-"/>
    <s v="-"/>
    <s v="-"/>
    <s v="-"/>
    <s v="-"/>
    <s v="-"/>
    <s v="-"/>
    <s v="-"/>
    <x v="1"/>
    <x v="1"/>
    <d v="2017-03-31T00:00:00"/>
    <m/>
    <s v="公財台帳・固資台帳"/>
    <s v="345"/>
    <s v="G061100"/>
    <x v="8"/>
    <x v="17"/>
  </r>
  <r>
    <s v="244"/>
    <s v="0334"/>
    <s v="野外活動センター"/>
    <x v="16"/>
    <s v="13"/>
    <s v="便所"/>
    <x v="8"/>
    <n v="3"/>
    <x v="8"/>
    <m/>
    <n v="14.72"/>
    <n v="14.72"/>
    <s v="単独"/>
    <s v="W"/>
    <m/>
    <m/>
    <m/>
    <m/>
    <x v="3"/>
    <m/>
    <m/>
    <m/>
    <n v="15"/>
    <s v="-"/>
    <s v="-"/>
    <s v="-"/>
    <s v="-"/>
    <s v="-"/>
    <s v="-"/>
    <s v="-"/>
    <s v="-"/>
    <s v="-"/>
    <s v="-"/>
    <s v="-"/>
    <x v="3"/>
    <x v="1"/>
    <d v="2017-03-31T00:00:00"/>
    <m/>
    <s v="公財台帳・固資台帳"/>
    <s v="345"/>
    <s v="G061100"/>
    <x v="8"/>
    <x v="17"/>
  </r>
  <r>
    <s v="244"/>
    <s v="0334"/>
    <s v="野外活動センター"/>
    <x v="16"/>
    <s v="14"/>
    <s v="シャワー棟"/>
    <x v="21"/>
    <n v="8"/>
    <x v="21"/>
    <m/>
    <n v="44.1"/>
    <n v="44.1"/>
    <s v="単独"/>
    <s v="W"/>
    <m/>
    <m/>
    <m/>
    <m/>
    <x v="3"/>
    <m/>
    <m/>
    <m/>
    <n v="22"/>
    <s v="-"/>
    <s v="-"/>
    <s v="-"/>
    <s v="-"/>
    <s v="-"/>
    <s v="-"/>
    <s v="-"/>
    <s v="-"/>
    <s v="-"/>
    <s v="-"/>
    <s v="-"/>
    <x v="3"/>
    <x v="1"/>
    <d v="2017-03-31T00:00:00"/>
    <m/>
    <s v="公財台帳・固資台帳"/>
    <s v="345"/>
    <s v="G061100"/>
    <x v="8"/>
    <x v="17"/>
  </r>
  <r>
    <s v="244"/>
    <s v="0334"/>
    <s v="野外活動センター"/>
    <x v="16"/>
    <s v="15"/>
    <s v="シャワー棟"/>
    <x v="21"/>
    <n v="10"/>
    <x v="21"/>
    <m/>
    <n v="44.1"/>
    <n v="44.1"/>
    <s v="単独"/>
    <s v="W"/>
    <m/>
    <m/>
    <m/>
    <m/>
    <x v="3"/>
    <m/>
    <m/>
    <m/>
    <n v="22"/>
    <s v="-"/>
    <s v="-"/>
    <s v="-"/>
    <s v="-"/>
    <s v="-"/>
    <s v="-"/>
    <s v="-"/>
    <s v="-"/>
    <s v="-"/>
    <s v="-"/>
    <s v="-"/>
    <x v="3"/>
    <x v="1"/>
    <d v="2017-03-31T00:00:00"/>
    <m/>
    <s v="公財台帳・固資台帳"/>
    <s v="345"/>
    <s v="G061100"/>
    <x v="8"/>
    <x v="17"/>
  </r>
  <r>
    <s v="244"/>
    <s v="0334"/>
    <s v="野外活動センター"/>
    <x v="16"/>
    <s v="16"/>
    <s v="和風集会所"/>
    <x v="35"/>
    <n v="6"/>
    <x v="35"/>
    <m/>
    <n v="65.62"/>
    <n v="65.62"/>
    <s v="単独"/>
    <s v="W"/>
    <m/>
    <m/>
    <m/>
    <m/>
    <x v="3"/>
    <m/>
    <m/>
    <m/>
    <n v="22"/>
    <s v="-"/>
    <s v="-"/>
    <s v="-"/>
    <s v="-"/>
    <s v="-"/>
    <s v="-"/>
    <s v="-"/>
    <s v="-"/>
    <s v="-"/>
    <s v="-"/>
    <s v="-"/>
    <x v="1"/>
    <x v="1"/>
    <d v="2017-03-31T00:00:00"/>
    <m/>
    <s v="公財台帳・固資台帳"/>
    <s v="345"/>
    <s v="G061100"/>
    <x v="8"/>
    <x v="17"/>
  </r>
  <r>
    <s v="244"/>
    <s v="0334"/>
    <s v="野外活動センター"/>
    <x v="16"/>
    <s v="17"/>
    <s v="和風管理棟"/>
    <x v="28"/>
    <n v="3"/>
    <x v="28"/>
    <m/>
    <n v="55.98"/>
    <n v="55.98"/>
    <s v="単独"/>
    <s v="W"/>
    <m/>
    <m/>
    <m/>
    <m/>
    <x v="3"/>
    <m/>
    <m/>
    <m/>
    <n v="24"/>
    <s v="-"/>
    <s v="-"/>
    <s v="-"/>
    <s v="-"/>
    <s v="-"/>
    <s v="-"/>
    <s v="-"/>
    <s v="-"/>
    <s v="-"/>
    <s v="-"/>
    <s v="-"/>
    <x v="1"/>
    <x v="1"/>
    <d v="2017-03-31T00:00:00"/>
    <m/>
    <s v="公財台帳・固資台帳"/>
    <s v="345"/>
    <s v="G061100"/>
    <x v="8"/>
    <x v="17"/>
  </r>
  <r>
    <s v="244"/>
    <s v="0334"/>
    <s v="野外活動センター"/>
    <x v="16"/>
    <s v="18"/>
    <s v="便所"/>
    <x v="32"/>
    <n v="3"/>
    <x v="32"/>
    <m/>
    <n v="9"/>
    <n v="9"/>
    <s v="単独"/>
    <s v="W"/>
    <m/>
    <m/>
    <m/>
    <m/>
    <x v="3"/>
    <m/>
    <m/>
    <m/>
    <n v="15"/>
    <s v="-"/>
    <s v="-"/>
    <s v="-"/>
    <s v="-"/>
    <s v="-"/>
    <s v="-"/>
    <s v="-"/>
    <s v="-"/>
    <s v="-"/>
    <s v="-"/>
    <s v="-"/>
    <x v="3"/>
    <x v="1"/>
    <d v="2017-03-31T00:00:00"/>
    <m/>
    <s v="公財台帳・固資台帳"/>
    <s v="345"/>
    <s v="G061100"/>
    <x v="8"/>
    <x v="17"/>
  </r>
  <r>
    <s v="244"/>
    <s v="0334"/>
    <s v="野外活動センター"/>
    <x v="16"/>
    <s v="19"/>
    <s v="総合汚水処理施設"/>
    <x v="35"/>
    <n v="3"/>
    <x v="35"/>
    <m/>
    <n v="59.62"/>
    <n v="59.62"/>
    <s v="単独"/>
    <s v="RC"/>
    <m/>
    <m/>
    <m/>
    <m/>
    <x v="3"/>
    <m/>
    <m/>
    <m/>
    <n v="38"/>
    <s v="-"/>
    <s v="-"/>
    <s v="-"/>
    <s v="-"/>
    <s v="-"/>
    <s v="-"/>
    <s v="-"/>
    <s v="-"/>
    <s v="-"/>
    <s v="-"/>
    <s v="-"/>
    <x v="1"/>
    <x v="1"/>
    <d v="2017-03-31T00:00:00"/>
    <m/>
    <s v="公財台帳・固資台帳"/>
    <s v="345"/>
    <s v="G061100"/>
    <x v="8"/>
    <x v="17"/>
  </r>
  <r>
    <s v="244"/>
    <s v="0334"/>
    <s v="野外活動センター"/>
    <x v="16"/>
    <s v="20"/>
    <s v="リーダー棟"/>
    <x v="35"/>
    <n v="3"/>
    <x v="35"/>
    <m/>
    <n v="75"/>
    <n v="75"/>
    <s v="単独"/>
    <s v="S"/>
    <m/>
    <m/>
    <m/>
    <m/>
    <x v="3"/>
    <m/>
    <m/>
    <m/>
    <n v="27"/>
    <s v="-"/>
    <s v="-"/>
    <s v="-"/>
    <s v="-"/>
    <s v="-"/>
    <s v="-"/>
    <s v="-"/>
    <s v="-"/>
    <s v="-"/>
    <s v="-"/>
    <s v="-"/>
    <x v="1"/>
    <x v="1"/>
    <d v="2017-03-31T00:00:00"/>
    <m/>
    <s v="公財台帳・固資台帳"/>
    <s v="345"/>
    <s v="G061100"/>
    <x v="8"/>
    <x v="17"/>
  </r>
  <r>
    <s v="245"/>
    <s v="0896"/>
    <s v="JR伊丹駅前駐車場"/>
    <x v="29"/>
    <s v="01"/>
    <s v="駐車場"/>
    <x v="39"/>
    <n v="3"/>
    <x v="37"/>
    <m/>
    <n v="6345.47"/>
    <n v="6345.47"/>
    <s v="単独"/>
    <s v="S"/>
    <m/>
    <m/>
    <s v="新"/>
    <s v="-"/>
    <x v="1"/>
    <m/>
    <m/>
    <m/>
    <n v="31"/>
    <s v="B"/>
    <s v="D"/>
    <s v="D"/>
    <s v="-"/>
    <s v="D"/>
    <s v="D"/>
    <s v="C"/>
    <s v="-"/>
    <s v="-"/>
    <s v="-"/>
    <s v="-"/>
    <x v="0"/>
    <x v="0"/>
    <m/>
    <m/>
    <s v="公財台帳・固資台帳"/>
    <s v="480"/>
    <s v="G081100"/>
    <x v="9"/>
    <x v="18"/>
  </r>
  <r>
    <s v="246"/>
    <s v="0898"/>
    <s v="アリオ地下駐車場"/>
    <x v="29"/>
    <s v="01"/>
    <s v="駐車場"/>
    <x v="11"/>
    <n v="3"/>
    <x v="36"/>
    <m/>
    <n v="3806.31"/>
    <n v="3806.31"/>
    <s v="単独"/>
    <s v="RC"/>
    <m/>
    <m/>
    <s v="新"/>
    <s v="-"/>
    <x v="1"/>
    <m/>
    <m/>
    <m/>
    <n v="31"/>
    <s v="-"/>
    <s v="-"/>
    <s v="-"/>
    <s v="-"/>
    <s v="-"/>
    <s v="-"/>
    <s v="-"/>
    <s v="-"/>
    <s v="-"/>
    <s v="-"/>
    <s v="-"/>
    <x v="0"/>
    <x v="0"/>
    <m/>
    <m/>
    <s v="公財台帳・固資台帳"/>
    <s v="480"/>
    <s v="G081100"/>
    <x v="9"/>
    <x v="18"/>
  </r>
  <r>
    <s v="247"/>
    <s v="0897"/>
    <s v="宮ノ前地区地下駐車場"/>
    <x v="29"/>
    <s v="01"/>
    <s v="宮ノ前地下"/>
    <x v="57"/>
    <m/>
    <x v="38"/>
    <m/>
    <n v="8480.16"/>
    <n v="8480.16"/>
    <s v="単独"/>
    <s v="SRC"/>
    <n v="1"/>
    <n v="0"/>
    <s v="新"/>
    <s v="-"/>
    <x v="1"/>
    <m/>
    <m/>
    <m/>
    <n v="38"/>
    <s v="A"/>
    <s v="-"/>
    <s v="-"/>
    <s v="-"/>
    <s v="C"/>
    <s v="D"/>
    <s v="C"/>
    <s v="-"/>
    <s v="-"/>
    <s v="-"/>
    <s v="-"/>
    <x v="0"/>
    <x v="0"/>
    <m/>
    <m/>
    <s v="公財台帳・固資台帳"/>
    <s v="480"/>
    <s v="G081100"/>
    <x v="9"/>
    <x v="18"/>
  </r>
  <r>
    <s v="247"/>
    <s v="0897"/>
    <s v="宮ノ前地区地下駐車場"/>
    <x v="29"/>
    <s v="02"/>
    <s v="第三街区"/>
    <x v="23"/>
    <m/>
    <x v="33"/>
    <m/>
    <n v="2408.87"/>
    <n v="2408.87"/>
    <s v="単独"/>
    <s v="RC"/>
    <n v="1"/>
    <n v="0"/>
    <s v="新"/>
    <s v="-"/>
    <x v="1"/>
    <m/>
    <m/>
    <m/>
    <n v="38"/>
    <s v="-"/>
    <s v="-"/>
    <s v="-"/>
    <s v="-"/>
    <s v="-"/>
    <s v="-"/>
    <s v="-"/>
    <s v="-"/>
    <s v="-"/>
    <s v="-"/>
    <s v="-"/>
    <x v="0"/>
    <x v="0"/>
    <m/>
    <m/>
    <s v="公財台帳・固資台帳"/>
    <s v="480"/>
    <s v="G081100"/>
    <x v="9"/>
    <x v="18"/>
  </r>
  <r>
    <s v="247"/>
    <s v="0897"/>
    <s v="宮ノ前地区地下駐車場"/>
    <x v="29"/>
    <s v="03"/>
    <s v="みやのまち地下"/>
    <x v="40"/>
    <m/>
    <x v="32"/>
    <m/>
    <n v="2677.69"/>
    <n v="2677.69"/>
    <s v="単独"/>
    <s v="RC"/>
    <n v="1"/>
    <n v="0"/>
    <s v="新"/>
    <s v="-"/>
    <x v="1"/>
    <m/>
    <m/>
    <m/>
    <n v="38"/>
    <s v="-"/>
    <s v="-"/>
    <s v="-"/>
    <s v="-"/>
    <s v="-"/>
    <s v="-"/>
    <s v="-"/>
    <s v="-"/>
    <s v="-"/>
    <s v="-"/>
    <s v="-"/>
    <x v="0"/>
    <x v="0"/>
    <m/>
    <m/>
    <s v="公財台帳・固資台帳"/>
    <s v="480"/>
    <s v="G081100"/>
    <x v="9"/>
    <x v="18"/>
  </r>
  <r>
    <s v="248"/>
    <s v="0881"/>
    <s v="船原自転車駐車場"/>
    <x v="29"/>
    <s v="01"/>
    <s v="駐輪場"/>
    <x v="31"/>
    <n v="3"/>
    <x v="2"/>
    <n v="906.3"/>
    <n v="901.79"/>
    <n v="901.79"/>
    <s v="複合"/>
    <s v="RC"/>
    <n v="1"/>
    <m/>
    <s v="新"/>
    <s v="-"/>
    <x v="1"/>
    <m/>
    <m/>
    <m/>
    <n v="38"/>
    <s v="B"/>
    <s v="B"/>
    <s v="C"/>
    <s v="D"/>
    <s v="D"/>
    <s v="-"/>
    <s v="-"/>
    <s v="D"/>
    <s v="D"/>
    <s v="D"/>
    <s v="D"/>
    <x v="0"/>
    <x v="0"/>
    <m/>
    <m/>
    <s v="公財台帳・固資台帳"/>
    <s v="480"/>
    <s v="G081100"/>
    <x v="9"/>
    <x v="18"/>
  </r>
  <r>
    <s v="249"/>
    <s v="0882"/>
    <s v="西台自転車駐車場"/>
    <x v="29"/>
    <s v="01"/>
    <s v="駐輪場"/>
    <x v="31"/>
    <n v="7"/>
    <x v="2"/>
    <n v="380.65"/>
    <n v="1141.01"/>
    <n v="1141.01"/>
    <s v="単独"/>
    <s v="RC"/>
    <n v="3"/>
    <m/>
    <s v="新"/>
    <s v="-"/>
    <x v="1"/>
    <m/>
    <m/>
    <m/>
    <n v="31"/>
    <s v="-"/>
    <s v="-"/>
    <s v="-"/>
    <s v="-"/>
    <s v="-"/>
    <s v="-"/>
    <s v="-"/>
    <s v="-"/>
    <s v="-"/>
    <s v="-"/>
    <s v="-"/>
    <x v="0"/>
    <x v="0"/>
    <m/>
    <m/>
    <s v="公財台帳・固資台帳"/>
    <s v="480"/>
    <s v="G081100"/>
    <x v="9"/>
    <x v="18"/>
  </r>
  <r>
    <s v="250"/>
    <s v="0884"/>
    <s v="平松自転車駐車場"/>
    <x v="29"/>
    <s v="01"/>
    <s v="駐輪場"/>
    <x v="11"/>
    <n v="3"/>
    <x v="36"/>
    <n v="47.58"/>
    <n v="1603.54"/>
    <n v="1603.54"/>
    <s v="単独"/>
    <s v="RC"/>
    <n v="1"/>
    <n v="0"/>
    <s v="新"/>
    <s v="-"/>
    <x v="1"/>
    <m/>
    <m/>
    <m/>
    <n v="38"/>
    <s v="B"/>
    <s v="D"/>
    <s v="D"/>
    <s v="-"/>
    <s v="B"/>
    <s v="D"/>
    <s v="C"/>
    <s v="-"/>
    <s v="-"/>
    <s v="-"/>
    <s v="-"/>
    <x v="0"/>
    <x v="0"/>
    <m/>
    <m/>
    <s v="公財台帳・固資台帳"/>
    <s v="480"/>
    <s v="G081100"/>
    <x v="9"/>
    <x v="18"/>
  </r>
  <r>
    <s v="251"/>
    <s v="0885"/>
    <s v="JR伊丹駅前第1自転車駐車場"/>
    <x v="29"/>
    <s v="01"/>
    <s v="管理ブース"/>
    <x v="39"/>
    <n v="3"/>
    <x v="37"/>
    <m/>
    <n v="9"/>
    <n v="9"/>
    <s v="単独"/>
    <s v="S"/>
    <m/>
    <m/>
    <m/>
    <s v="-"/>
    <x v="4"/>
    <m/>
    <m/>
    <m/>
    <n v="31"/>
    <s v="-"/>
    <s v="-"/>
    <s v="-"/>
    <s v="-"/>
    <s v="-"/>
    <s v="-"/>
    <s v="-"/>
    <s v="-"/>
    <s v="-"/>
    <s v="-"/>
    <s v="-"/>
    <x v="1"/>
    <x v="0"/>
    <m/>
    <m/>
    <s v="公財台帳・固資台帳"/>
    <s v="480"/>
    <s v="G081100"/>
    <x v="9"/>
    <x v="18"/>
  </r>
  <r>
    <s v="252"/>
    <s v="0886"/>
    <s v="JR伊丹駅前第2自転車駐車場"/>
    <x v="29"/>
    <s v="01"/>
    <s v="管理ブース"/>
    <x v="39"/>
    <n v="3"/>
    <x v="37"/>
    <m/>
    <n v="4.57"/>
    <n v="4.57"/>
    <s v="単独"/>
    <s v="S"/>
    <m/>
    <m/>
    <m/>
    <s v="-"/>
    <x v="4"/>
    <m/>
    <m/>
    <m/>
    <n v="31"/>
    <s v="-"/>
    <s v="-"/>
    <s v="-"/>
    <s v="-"/>
    <s v="-"/>
    <s v="-"/>
    <s v="-"/>
    <s v="-"/>
    <s v="-"/>
    <s v="-"/>
    <s v="-"/>
    <x v="4"/>
    <x v="0"/>
    <m/>
    <m/>
    <s v="公財台帳・固資台帳"/>
    <s v="480"/>
    <s v="G081100"/>
    <x v="9"/>
    <x v="18"/>
  </r>
  <r>
    <s v="253"/>
    <s v="0887"/>
    <s v="東有岡自転車駐車場"/>
    <x v="29"/>
    <s v="01"/>
    <s v="管理ブース"/>
    <x v="15"/>
    <m/>
    <x v="15"/>
    <m/>
    <n v="2.38"/>
    <n v="2.38"/>
    <s v="単独"/>
    <s v="S"/>
    <m/>
    <m/>
    <m/>
    <s v="-"/>
    <x v="4"/>
    <m/>
    <m/>
    <m/>
    <m/>
    <s v="-"/>
    <s v="-"/>
    <s v="-"/>
    <s v="-"/>
    <s v="-"/>
    <s v="-"/>
    <s v="-"/>
    <s v="-"/>
    <s v="-"/>
    <s v="-"/>
    <s v="-"/>
    <x v="4"/>
    <x v="0"/>
    <m/>
    <m/>
    <s v="公財台帳・固資台帳"/>
    <s v="480"/>
    <s v="G081100"/>
    <x v="9"/>
    <x v="18"/>
  </r>
  <r>
    <s v="254"/>
    <s v="0888"/>
    <s v="JR北伊丹駅前自転車駐車場"/>
    <x v="29"/>
    <s v="01"/>
    <s v="管理ブース"/>
    <x v="57"/>
    <n v="10"/>
    <x v="38"/>
    <m/>
    <n v="8.57"/>
    <n v="8.57"/>
    <s v="単独"/>
    <s v="S"/>
    <m/>
    <m/>
    <m/>
    <s v="-"/>
    <x v="4"/>
    <m/>
    <m/>
    <m/>
    <n v="30"/>
    <s v="-"/>
    <s v="-"/>
    <s v="-"/>
    <s v="-"/>
    <s v="-"/>
    <s v="-"/>
    <s v="-"/>
    <s v="-"/>
    <s v="-"/>
    <s v="-"/>
    <s v="-"/>
    <x v="3"/>
    <x v="0"/>
    <m/>
    <m/>
    <s v="公財台帳・固資台帳"/>
    <s v="480"/>
    <s v="G081100"/>
    <x v="9"/>
    <x v="18"/>
  </r>
  <r>
    <s v="255"/>
    <s v="0890"/>
    <s v="JR伊丹駅前第3自転車駐車場"/>
    <x v="29"/>
    <s v="01"/>
    <m/>
    <x v="15"/>
    <m/>
    <x v="15"/>
    <m/>
    <m/>
    <m/>
    <s v="単独"/>
    <m/>
    <m/>
    <m/>
    <m/>
    <s v="-"/>
    <x v="4"/>
    <m/>
    <m/>
    <m/>
    <m/>
    <s v="-"/>
    <s v="-"/>
    <s v="-"/>
    <s v="-"/>
    <s v="-"/>
    <s v="-"/>
    <s v="-"/>
    <s v="-"/>
    <s v="-"/>
    <s v="-"/>
    <s v="-"/>
    <x v="4"/>
    <x v="0"/>
    <m/>
    <m/>
    <s v="公財台帳・固資台帳"/>
    <s v="480"/>
    <s v="G081100"/>
    <x v="9"/>
    <x v="18"/>
  </r>
  <r>
    <s v="256"/>
    <s v="0891"/>
    <s v="阪急伊丹駅前地下自転車駐車場"/>
    <x v="29"/>
    <s v="01"/>
    <s v="駐輪場"/>
    <x v="33"/>
    <n v="12"/>
    <x v="8"/>
    <m/>
    <n v="3024.11"/>
    <n v="3024.11"/>
    <s v="単独"/>
    <s v="RC"/>
    <n v="1"/>
    <m/>
    <s v="新"/>
    <s v="-"/>
    <x v="1"/>
    <m/>
    <m/>
    <m/>
    <n v="38"/>
    <s v="A"/>
    <s v="-"/>
    <s v="-"/>
    <s v="-"/>
    <s v="C"/>
    <s v="D"/>
    <s v="B"/>
    <s v="-"/>
    <s v="-"/>
    <s v="-"/>
    <s v="-"/>
    <x v="0"/>
    <x v="0"/>
    <m/>
    <m/>
    <s v="公財台帳・固資台帳"/>
    <s v="480"/>
    <s v="G081100"/>
    <x v="9"/>
    <x v="18"/>
  </r>
  <r>
    <s v="257"/>
    <s v="0019"/>
    <s v="昆陽里自転車駐車場"/>
    <x v="29"/>
    <s v="01"/>
    <m/>
    <x v="15"/>
    <m/>
    <x v="15"/>
    <m/>
    <m/>
    <m/>
    <s v="単独"/>
    <m/>
    <m/>
    <m/>
    <m/>
    <s v="-"/>
    <x v="4"/>
    <m/>
    <m/>
    <m/>
    <m/>
    <s v="-"/>
    <s v="-"/>
    <s v="-"/>
    <s v="-"/>
    <s v="-"/>
    <s v="-"/>
    <s v="-"/>
    <s v="-"/>
    <s v="-"/>
    <s v="-"/>
    <s v="-"/>
    <x v="4"/>
    <x v="0"/>
    <m/>
    <m/>
    <s v="公財台帳・固資台帳"/>
    <s v="480"/>
    <s v="G081100"/>
    <x v="9"/>
    <x v="18"/>
  </r>
  <r>
    <s v="258"/>
    <s v="0297"/>
    <s v="藤ノ木自転車保管返還所"/>
    <x v="29"/>
    <s v="01"/>
    <s v="事務所"/>
    <x v="4"/>
    <n v="3"/>
    <x v="21"/>
    <m/>
    <n v="22"/>
    <n v="22"/>
    <s v="単独"/>
    <s v="S"/>
    <m/>
    <m/>
    <m/>
    <s v="-"/>
    <x v="4"/>
    <m/>
    <m/>
    <m/>
    <n v="30"/>
    <s v="-"/>
    <s v="-"/>
    <s v="-"/>
    <s v="-"/>
    <s v="-"/>
    <s v="-"/>
    <s v="-"/>
    <s v="-"/>
    <s v="-"/>
    <s v="-"/>
    <s v="-"/>
    <x v="3"/>
    <x v="0"/>
    <m/>
    <m/>
    <s v="公財台帳・固資台帳"/>
    <s v="480"/>
    <s v="G081100"/>
    <x v="9"/>
    <x v="18"/>
  </r>
  <r>
    <s v="258"/>
    <s v="0297"/>
    <s v="藤ノ木自転車保管返還所"/>
    <x v="29"/>
    <s v="02"/>
    <s v="便所"/>
    <x v="4"/>
    <n v="3"/>
    <x v="21"/>
    <m/>
    <n v="1.83"/>
    <n v="1.83"/>
    <s v="単独"/>
    <s v="S"/>
    <m/>
    <m/>
    <m/>
    <m/>
    <x v="3"/>
    <m/>
    <m/>
    <m/>
    <n v="24"/>
    <m/>
    <m/>
    <m/>
    <m/>
    <m/>
    <m/>
    <m/>
    <m/>
    <m/>
    <m/>
    <m/>
    <x v="3"/>
    <x v="0"/>
    <m/>
    <m/>
    <s v="公財台帳・固資台帳"/>
    <s v="480"/>
    <s v="G081100"/>
    <x v="9"/>
    <x v="18"/>
  </r>
  <r>
    <s v="259"/>
    <s v="0404"/>
    <s v="環境クリーンセンター"/>
    <x v="30"/>
    <s v="01"/>
    <s v="管理棟"/>
    <x v="13"/>
    <n v="8"/>
    <x v="13"/>
    <n v="675.06799999999998"/>
    <n v="1380.06"/>
    <n v="1380.06"/>
    <s v="単独"/>
    <s v="RC"/>
    <n v="3"/>
    <n v="0"/>
    <s v="旧"/>
    <m/>
    <x v="1"/>
    <m/>
    <m/>
    <m/>
    <n v="50"/>
    <s v="C"/>
    <s v="A"/>
    <s v="D"/>
    <s v="-"/>
    <s v="C"/>
    <s v="D"/>
    <s v="D"/>
    <s v="-"/>
    <s v="-"/>
    <s v="D"/>
    <n v="73.333333333333343"/>
    <x v="0"/>
    <x v="0"/>
    <m/>
    <m/>
    <s v="公財台帳・固資台帳"/>
    <s v="250"/>
    <s v="G045000"/>
    <x v="9"/>
    <x v="19"/>
  </r>
  <r>
    <s v="259"/>
    <s v="0404"/>
    <s v="環境クリーンセンター"/>
    <x v="30"/>
    <s v="02"/>
    <s v="し尿公共下水放流施設"/>
    <x v="39"/>
    <n v="4"/>
    <x v="39"/>
    <n v="284.39999999999998"/>
    <n v="541.20000000000005"/>
    <n v="541.20000000000005"/>
    <s v="単独"/>
    <s v="S,RC"/>
    <n v="2"/>
    <n v="1"/>
    <s v="新"/>
    <s v="-"/>
    <x v="1"/>
    <m/>
    <m/>
    <m/>
    <n v="38"/>
    <s v="B"/>
    <s v="D"/>
    <s v="D"/>
    <s v="-"/>
    <s v="D"/>
    <s v="-"/>
    <s v="C"/>
    <s v="-"/>
    <s v="-"/>
    <s v="D"/>
    <n v="71.333333333333343"/>
    <x v="0"/>
    <x v="0"/>
    <m/>
    <m/>
    <s v="公財台帳・固資台帳"/>
    <s v="250"/>
    <s v="G045000"/>
    <x v="9"/>
    <x v="19"/>
  </r>
  <r>
    <s v="259"/>
    <s v="0404"/>
    <s v="環境クリーンセンター"/>
    <x v="30"/>
    <s v="03"/>
    <s v="車庫"/>
    <x v="13"/>
    <n v="8"/>
    <x v="13"/>
    <m/>
    <n v="32.5"/>
    <n v="32.5"/>
    <s v="単独"/>
    <s v="RC"/>
    <m/>
    <m/>
    <m/>
    <m/>
    <x v="3"/>
    <m/>
    <m/>
    <m/>
    <n v="38"/>
    <s v="-"/>
    <s v="-"/>
    <s v="-"/>
    <s v="-"/>
    <s v="-"/>
    <s v="-"/>
    <s v="-"/>
    <s v="-"/>
    <s v="-"/>
    <s v="-"/>
    <s v="-"/>
    <x v="3"/>
    <x v="0"/>
    <m/>
    <m/>
    <s v="公財台帳・固資台帳"/>
    <s v="250"/>
    <s v="G045000"/>
    <x v="9"/>
    <x v="19"/>
  </r>
  <r>
    <s v="259"/>
    <s v="0404"/>
    <s v="環境クリーンセンター"/>
    <x v="30"/>
    <s v="04"/>
    <s v="車庫"/>
    <x v="13"/>
    <n v="8"/>
    <x v="13"/>
    <m/>
    <n v="32.5"/>
    <n v="32.5"/>
    <s v="単独"/>
    <s v="RC"/>
    <m/>
    <m/>
    <m/>
    <m/>
    <x v="3"/>
    <m/>
    <m/>
    <m/>
    <n v="38"/>
    <s v="-"/>
    <s v="-"/>
    <s v="-"/>
    <s v="-"/>
    <s v="-"/>
    <s v="-"/>
    <s v="-"/>
    <s v="-"/>
    <s v="-"/>
    <s v="-"/>
    <s v="-"/>
    <x v="3"/>
    <x v="0"/>
    <m/>
    <m/>
    <s v="公財台帳・固資台帳"/>
    <s v="250"/>
    <s v="G045000"/>
    <x v="9"/>
    <x v="19"/>
  </r>
  <r>
    <s v="259"/>
    <s v="0404"/>
    <s v="環境クリーンセンター"/>
    <x v="30"/>
    <s v="05"/>
    <s v="雨かっぱ掛棟"/>
    <x v="23"/>
    <n v="3"/>
    <x v="23"/>
    <m/>
    <n v="57.51"/>
    <n v="57.51"/>
    <s v="単独"/>
    <s v="RC"/>
    <m/>
    <m/>
    <m/>
    <m/>
    <x v="3"/>
    <m/>
    <m/>
    <m/>
    <n v="38"/>
    <s v="-"/>
    <s v="-"/>
    <s v="-"/>
    <s v="-"/>
    <s v="-"/>
    <s v="-"/>
    <s v="-"/>
    <s v="-"/>
    <s v="-"/>
    <s v="-"/>
    <s v="-"/>
    <x v="5"/>
    <x v="0"/>
    <m/>
    <m/>
    <s v="公財台帳・固資台帳"/>
    <s v="250"/>
    <s v="G045000"/>
    <x v="9"/>
    <x v="19"/>
  </r>
  <r>
    <s v="259"/>
    <s v="0404"/>
    <s v="環境クリーンセンター"/>
    <x v="30"/>
    <s v="06"/>
    <s v="プロパン庫"/>
    <x v="13"/>
    <n v="8"/>
    <x v="13"/>
    <m/>
    <n v="6.72"/>
    <n v="6.72"/>
    <s v="単独"/>
    <s v="CB"/>
    <m/>
    <m/>
    <m/>
    <m/>
    <x v="3"/>
    <m/>
    <m/>
    <m/>
    <n v="34"/>
    <s v="-"/>
    <s v="-"/>
    <s v="-"/>
    <s v="-"/>
    <s v="-"/>
    <s v="-"/>
    <s v="-"/>
    <s v="-"/>
    <s v="-"/>
    <s v="-"/>
    <s v="-"/>
    <x v="3"/>
    <x v="0"/>
    <m/>
    <m/>
    <s v="公財台帳・固資台帳"/>
    <s v="250"/>
    <s v="G045000"/>
    <x v="9"/>
    <x v="19"/>
  </r>
  <r>
    <s v="259"/>
    <s v="0404"/>
    <s v="環境クリーンセンター"/>
    <x v="30"/>
    <s v="07"/>
    <s v="車庫(A)"/>
    <x v="25"/>
    <n v="1"/>
    <x v="25"/>
    <m/>
    <n v="293.22000000000003"/>
    <n v="293.22000000000003"/>
    <s v="単独"/>
    <s v="S"/>
    <m/>
    <m/>
    <m/>
    <m/>
    <x v="3"/>
    <m/>
    <m/>
    <m/>
    <n v="31"/>
    <s v="-"/>
    <s v="-"/>
    <s v="-"/>
    <s v="-"/>
    <s v="-"/>
    <s v="-"/>
    <s v="-"/>
    <s v="-"/>
    <s v="-"/>
    <s v="-"/>
    <s v="-"/>
    <x v="5"/>
    <x v="0"/>
    <m/>
    <m/>
    <s v="公財台帳・固資台帳"/>
    <s v="250"/>
    <s v="G045000"/>
    <x v="9"/>
    <x v="19"/>
  </r>
  <r>
    <s v="259"/>
    <s v="0404"/>
    <s v="環境クリーンセンター"/>
    <x v="30"/>
    <s v="08"/>
    <s v="車庫(B)"/>
    <x v="25"/>
    <n v="1"/>
    <x v="25"/>
    <m/>
    <n v="223.56"/>
    <n v="223.56"/>
    <s v="単独"/>
    <s v="S"/>
    <m/>
    <m/>
    <m/>
    <m/>
    <x v="3"/>
    <m/>
    <m/>
    <m/>
    <n v="31"/>
    <s v="-"/>
    <s v="-"/>
    <s v="-"/>
    <s v="-"/>
    <s v="-"/>
    <s v="-"/>
    <s v="-"/>
    <s v="-"/>
    <s v="-"/>
    <s v="-"/>
    <s v="-"/>
    <x v="5"/>
    <x v="0"/>
    <m/>
    <m/>
    <s v="公財台帳・固資台帳"/>
    <s v="250"/>
    <s v="G045000"/>
    <x v="9"/>
    <x v="19"/>
  </r>
  <r>
    <s v="259"/>
    <s v="0404"/>
    <s v="環境クリーンセンター"/>
    <x v="30"/>
    <s v="09"/>
    <s v="車庫(C)"/>
    <x v="25"/>
    <n v="1"/>
    <x v="25"/>
    <m/>
    <n v="50.63"/>
    <n v="50.63"/>
    <s v="単独"/>
    <s v="S"/>
    <m/>
    <m/>
    <m/>
    <m/>
    <x v="3"/>
    <m/>
    <m/>
    <m/>
    <n v="31"/>
    <s v="-"/>
    <s v="-"/>
    <s v="-"/>
    <s v="-"/>
    <s v="-"/>
    <s v="-"/>
    <s v="-"/>
    <s v="-"/>
    <s v="-"/>
    <s v="-"/>
    <s v="-"/>
    <x v="5"/>
    <x v="0"/>
    <m/>
    <m/>
    <s v="公財台帳・固資台帳"/>
    <s v="250"/>
    <s v="G045000"/>
    <x v="9"/>
    <x v="19"/>
  </r>
  <r>
    <s v="259"/>
    <s v="0404"/>
    <s v="環境クリーンセンター"/>
    <x v="30"/>
    <s v="10"/>
    <s v="車庫(D)"/>
    <x v="39"/>
    <n v="3"/>
    <x v="39"/>
    <m/>
    <n v="116.88"/>
    <n v="116.88"/>
    <s v="単独"/>
    <s v="S"/>
    <m/>
    <m/>
    <m/>
    <m/>
    <x v="3"/>
    <m/>
    <m/>
    <m/>
    <n v="31"/>
    <s v="-"/>
    <s v="-"/>
    <s v="-"/>
    <s v="-"/>
    <s v="-"/>
    <s v="-"/>
    <s v="-"/>
    <s v="-"/>
    <s v="-"/>
    <s v="-"/>
    <s v="-"/>
    <x v="5"/>
    <x v="0"/>
    <m/>
    <m/>
    <s v="公財台帳・固資台帳"/>
    <s v="250"/>
    <s v="G045000"/>
    <x v="9"/>
    <x v="19"/>
  </r>
  <r>
    <s v="259"/>
    <s v="0404"/>
    <s v="環境クリーンセンター"/>
    <x v="30"/>
    <s v="11"/>
    <s v="車庫(E)"/>
    <x v="39"/>
    <n v="3"/>
    <x v="39"/>
    <m/>
    <n v="170.45"/>
    <n v="170.45"/>
    <s v="単独"/>
    <s v="S"/>
    <m/>
    <m/>
    <m/>
    <m/>
    <x v="3"/>
    <m/>
    <m/>
    <m/>
    <n v="31"/>
    <s v="-"/>
    <s v="-"/>
    <s v="-"/>
    <s v="-"/>
    <s v="-"/>
    <s v="-"/>
    <s v="-"/>
    <s v="-"/>
    <s v="-"/>
    <s v="-"/>
    <s v="-"/>
    <x v="5"/>
    <x v="0"/>
    <m/>
    <m/>
    <s v="公財台帳・固資台帳"/>
    <s v="250"/>
    <s v="G045000"/>
    <x v="9"/>
    <x v="19"/>
  </r>
  <r>
    <s v="259"/>
    <s v="0404"/>
    <s v="環境クリーンセンター"/>
    <x v="30"/>
    <s v="12"/>
    <s v="車庫(F)"/>
    <x v="39"/>
    <n v="3"/>
    <x v="39"/>
    <m/>
    <n v="44.55"/>
    <n v="44.55"/>
    <s v="単独"/>
    <s v="S"/>
    <m/>
    <m/>
    <m/>
    <m/>
    <x v="3"/>
    <m/>
    <m/>
    <m/>
    <n v="31"/>
    <s v="-"/>
    <s v="-"/>
    <s v="-"/>
    <s v="-"/>
    <s v="-"/>
    <s v="-"/>
    <s v="-"/>
    <s v="-"/>
    <s v="-"/>
    <s v="-"/>
    <s v="-"/>
    <x v="3"/>
    <x v="0"/>
    <m/>
    <m/>
    <s v="公財台帳・固資台帳"/>
    <s v="250"/>
    <s v="G045000"/>
    <x v="9"/>
    <x v="19"/>
  </r>
  <r>
    <s v="259"/>
    <s v="0404"/>
    <s v="環境クリーンセンター"/>
    <x v="30"/>
    <s v="13"/>
    <s v="倉庫(A)"/>
    <x v="25"/>
    <n v="1"/>
    <x v="25"/>
    <m/>
    <n v="46.88"/>
    <n v="46.88"/>
    <s v="単独"/>
    <s v="CB"/>
    <m/>
    <m/>
    <m/>
    <m/>
    <x v="3"/>
    <m/>
    <m/>
    <m/>
    <n v="34"/>
    <s v="-"/>
    <s v="-"/>
    <s v="-"/>
    <s v="-"/>
    <s v="-"/>
    <s v="-"/>
    <s v="-"/>
    <s v="-"/>
    <s v="-"/>
    <s v="-"/>
    <s v="-"/>
    <x v="3"/>
    <x v="0"/>
    <m/>
    <m/>
    <s v="公財台帳・固資台帳"/>
    <s v="250"/>
    <s v="G045000"/>
    <x v="9"/>
    <x v="19"/>
  </r>
  <r>
    <s v="259"/>
    <s v="0404"/>
    <s v="環境クリーンセンター"/>
    <x v="30"/>
    <s v="14"/>
    <s v="倉庫(B)"/>
    <x v="25"/>
    <n v="1"/>
    <x v="25"/>
    <m/>
    <n v="17.28"/>
    <n v="17.28"/>
    <s v="単独"/>
    <s v="CB"/>
    <m/>
    <m/>
    <m/>
    <m/>
    <x v="3"/>
    <m/>
    <m/>
    <m/>
    <n v="34"/>
    <s v="-"/>
    <s v="-"/>
    <s v="-"/>
    <s v="-"/>
    <s v="-"/>
    <s v="-"/>
    <s v="-"/>
    <s v="-"/>
    <s v="-"/>
    <s v="-"/>
    <s v="-"/>
    <x v="3"/>
    <x v="0"/>
    <m/>
    <m/>
    <s v="公財台帳・固資台帳"/>
    <s v="250"/>
    <s v="G045000"/>
    <x v="9"/>
    <x v="19"/>
  </r>
  <r>
    <s v="259"/>
    <s v="0404"/>
    <s v="環境クリーンセンター"/>
    <x v="30"/>
    <s v="15"/>
    <s v="倉庫(C)"/>
    <x v="25"/>
    <n v="1"/>
    <x v="25"/>
    <m/>
    <n v="28.96"/>
    <n v="28.96"/>
    <s v="単独"/>
    <s v="CB"/>
    <m/>
    <m/>
    <m/>
    <m/>
    <x v="3"/>
    <m/>
    <m/>
    <m/>
    <n v="34"/>
    <s v="-"/>
    <s v="-"/>
    <s v="-"/>
    <s v="-"/>
    <s v="-"/>
    <s v="-"/>
    <s v="-"/>
    <s v="-"/>
    <s v="-"/>
    <s v="-"/>
    <s v="-"/>
    <x v="3"/>
    <x v="0"/>
    <m/>
    <m/>
    <s v="公財台帳・固資台帳"/>
    <s v="250"/>
    <s v="G045000"/>
    <x v="9"/>
    <x v="19"/>
  </r>
  <r>
    <s v="259"/>
    <s v="0404"/>
    <s v="環境クリーンセンター"/>
    <x v="30"/>
    <s v="16"/>
    <s v="倉庫(D)"/>
    <x v="25"/>
    <n v="1"/>
    <x v="25"/>
    <m/>
    <n v="17.28"/>
    <n v="17.28"/>
    <s v="単独"/>
    <s v="CB"/>
    <m/>
    <m/>
    <m/>
    <m/>
    <x v="3"/>
    <m/>
    <m/>
    <m/>
    <n v="34"/>
    <s v="-"/>
    <s v="-"/>
    <s v="-"/>
    <s v="-"/>
    <s v="-"/>
    <s v="-"/>
    <s v="-"/>
    <s v="-"/>
    <s v="-"/>
    <s v="-"/>
    <s v="-"/>
    <x v="3"/>
    <x v="0"/>
    <m/>
    <m/>
    <s v="公財台帳・固資台帳"/>
    <s v="250"/>
    <s v="G045000"/>
    <x v="9"/>
    <x v="19"/>
  </r>
  <r>
    <s v="259"/>
    <s v="0404"/>
    <s v="環境クリーンセンター"/>
    <x v="30"/>
    <s v="17"/>
    <s v="倉庫(E)"/>
    <x v="25"/>
    <n v="3"/>
    <x v="25"/>
    <m/>
    <n v="19.440000000000001"/>
    <n v="19.440000000000001"/>
    <s v="単独"/>
    <s v="S"/>
    <m/>
    <m/>
    <m/>
    <m/>
    <x v="3"/>
    <m/>
    <m/>
    <m/>
    <n v="24"/>
    <s v="-"/>
    <s v="-"/>
    <s v="-"/>
    <s v="-"/>
    <s v="-"/>
    <s v="-"/>
    <s v="-"/>
    <s v="-"/>
    <s v="-"/>
    <s v="-"/>
    <s v="-"/>
    <x v="3"/>
    <x v="0"/>
    <m/>
    <m/>
    <s v="公財台帳・固資台帳"/>
    <s v="250"/>
    <s v="G045000"/>
    <x v="9"/>
    <x v="19"/>
  </r>
  <r>
    <s v="259"/>
    <s v="0404"/>
    <s v="環境クリーンセンター"/>
    <x v="30"/>
    <s v="18"/>
    <s v="警備員詰所"/>
    <x v="25"/>
    <n v="3"/>
    <x v="25"/>
    <m/>
    <n v="22.68"/>
    <n v="22.68"/>
    <s v="単独"/>
    <s v="S"/>
    <m/>
    <m/>
    <m/>
    <m/>
    <x v="3"/>
    <m/>
    <m/>
    <m/>
    <n v="30"/>
    <s v="-"/>
    <s v="-"/>
    <s v="-"/>
    <s v="-"/>
    <s v="-"/>
    <s v="-"/>
    <s v="-"/>
    <s v="-"/>
    <s v="-"/>
    <s v="-"/>
    <s v="-"/>
    <x v="3"/>
    <x v="0"/>
    <m/>
    <m/>
    <s v="公財台帳・固資台帳"/>
    <s v="250"/>
    <s v="G045000"/>
    <x v="9"/>
    <x v="19"/>
  </r>
  <r>
    <s v="259"/>
    <s v="0404"/>
    <s v="環境クリーンセンター"/>
    <x v="30"/>
    <s v="19"/>
    <s v="警備員詰所物置"/>
    <x v="25"/>
    <n v="3"/>
    <x v="25"/>
    <m/>
    <n v="3.42"/>
    <n v="3.42"/>
    <s v="単独"/>
    <s v="S"/>
    <m/>
    <m/>
    <m/>
    <m/>
    <x v="3"/>
    <m/>
    <m/>
    <m/>
    <n v="24"/>
    <s v="-"/>
    <s v="-"/>
    <s v="-"/>
    <s v="-"/>
    <s v="-"/>
    <s v="-"/>
    <s v="-"/>
    <s v="-"/>
    <s v="-"/>
    <s v="-"/>
    <s v="-"/>
    <x v="3"/>
    <x v="0"/>
    <m/>
    <m/>
    <s v="公財台帳・固資台帳"/>
    <s v="250"/>
    <s v="G045000"/>
    <x v="9"/>
    <x v="19"/>
  </r>
  <r>
    <s v="259"/>
    <s v="0404"/>
    <s v="環境クリーンセンター"/>
    <x v="30"/>
    <s v="20"/>
    <s v="倉庫"/>
    <x v="36"/>
    <n v="7"/>
    <x v="36"/>
    <m/>
    <n v="43.35"/>
    <n v="43.35"/>
    <s v="単独"/>
    <s v="CB"/>
    <m/>
    <m/>
    <m/>
    <m/>
    <x v="3"/>
    <m/>
    <m/>
    <m/>
    <n v="34"/>
    <s v="-"/>
    <s v="-"/>
    <s v="-"/>
    <s v="-"/>
    <s v="-"/>
    <s v="-"/>
    <s v="-"/>
    <s v="-"/>
    <s v="-"/>
    <s v="-"/>
    <s v="-"/>
    <x v="3"/>
    <x v="0"/>
    <m/>
    <m/>
    <s v="公財台帳・固資台帳"/>
    <s v="250"/>
    <s v="G045000"/>
    <x v="9"/>
    <x v="19"/>
  </r>
  <r>
    <s v="259"/>
    <s v="0404"/>
    <s v="環境クリーンセンター"/>
    <x v="30"/>
    <s v="21"/>
    <s v="屋外便所"/>
    <x v="39"/>
    <n v="3"/>
    <x v="39"/>
    <m/>
    <n v="12.48"/>
    <n v="12.48"/>
    <s v="単独"/>
    <s v="S"/>
    <m/>
    <m/>
    <m/>
    <m/>
    <x v="3"/>
    <m/>
    <m/>
    <m/>
    <n v="31"/>
    <s v="-"/>
    <s v="-"/>
    <s v="-"/>
    <s v="-"/>
    <s v="-"/>
    <s v="-"/>
    <s v="-"/>
    <s v="-"/>
    <s v="-"/>
    <s v="-"/>
    <s v="-"/>
    <x v="3"/>
    <x v="0"/>
    <m/>
    <m/>
    <s v="公財台帳・固資台帳"/>
    <s v="250"/>
    <s v="G045000"/>
    <x v="9"/>
    <x v="19"/>
  </r>
  <r>
    <s v="259"/>
    <s v="0404"/>
    <s v="環境クリーンセンター"/>
    <x v="30"/>
    <s v="22"/>
    <s v="ブレハブA"/>
    <x v="39"/>
    <n v="3"/>
    <x v="39"/>
    <m/>
    <n v="4.4400000000000004"/>
    <n v="4.4400000000000004"/>
    <s v="単独"/>
    <s v="S"/>
    <m/>
    <m/>
    <m/>
    <m/>
    <x v="3"/>
    <m/>
    <m/>
    <m/>
    <n v="24"/>
    <s v="-"/>
    <s v="-"/>
    <s v="-"/>
    <s v="-"/>
    <s v="-"/>
    <s v="-"/>
    <s v="-"/>
    <s v="-"/>
    <s v="-"/>
    <s v="-"/>
    <s v="-"/>
    <x v="3"/>
    <x v="0"/>
    <m/>
    <m/>
    <s v="公財台帳・固資台帳"/>
    <s v="250"/>
    <s v="G045000"/>
    <x v="9"/>
    <x v="19"/>
  </r>
  <r>
    <s v="259"/>
    <s v="0404"/>
    <s v="環境クリーンセンター"/>
    <x v="30"/>
    <s v="23"/>
    <s v="ブレハブB"/>
    <x v="39"/>
    <n v="3"/>
    <x v="39"/>
    <m/>
    <n v="8.2100000000000009"/>
    <n v="8.2100000000000009"/>
    <s v="単独"/>
    <s v="S"/>
    <m/>
    <m/>
    <m/>
    <m/>
    <x v="3"/>
    <m/>
    <m/>
    <m/>
    <n v="24"/>
    <s v="-"/>
    <s v="-"/>
    <s v="-"/>
    <s v="-"/>
    <s v="-"/>
    <s v="-"/>
    <s v="-"/>
    <s v="-"/>
    <s v="-"/>
    <s v="-"/>
    <s v="-"/>
    <x v="3"/>
    <x v="0"/>
    <m/>
    <m/>
    <s v="公財台帳・固資台帳"/>
    <s v="250"/>
    <s v="G045000"/>
    <x v="9"/>
    <x v="19"/>
  </r>
  <r>
    <s v="259"/>
    <s v="0404"/>
    <s v="環境クリーンセンター"/>
    <x v="30"/>
    <s v="24"/>
    <s v="喫煙室"/>
    <x v="39"/>
    <n v="3"/>
    <x v="39"/>
    <m/>
    <n v="6.48"/>
    <n v="6.48"/>
    <s v="単独"/>
    <s v="S"/>
    <m/>
    <m/>
    <m/>
    <m/>
    <x v="3"/>
    <m/>
    <m/>
    <m/>
    <n v="30"/>
    <s v="-"/>
    <s v="-"/>
    <s v="-"/>
    <s v="-"/>
    <s v="-"/>
    <s v="-"/>
    <s v="-"/>
    <s v="-"/>
    <s v="-"/>
    <s v="-"/>
    <s v="-"/>
    <x v="3"/>
    <x v="0"/>
    <m/>
    <m/>
    <s v="公財台帳・固資台帳"/>
    <s v="250"/>
    <s v="G045000"/>
    <x v="9"/>
    <x v="19"/>
  </r>
  <r>
    <s v="260"/>
    <s v="0405"/>
    <s v="市営斎場"/>
    <x v="31"/>
    <s v="01"/>
    <s v="斎場"/>
    <x v="39"/>
    <n v="3"/>
    <x v="39"/>
    <n v="572.34"/>
    <n v="1182"/>
    <n v="1182"/>
    <s v="単独"/>
    <s v="RC"/>
    <n v="1"/>
    <n v="0"/>
    <s v="新"/>
    <s v="-"/>
    <x v="1"/>
    <m/>
    <m/>
    <m/>
    <n v="50"/>
    <s v="B"/>
    <s v="D"/>
    <s v="B"/>
    <s v="-"/>
    <s v="D"/>
    <s v="C"/>
    <s v="C"/>
    <s v="-"/>
    <s v="-"/>
    <s v="C"/>
    <n v="62.608695652173907"/>
    <x v="0"/>
    <x v="0"/>
    <m/>
    <m/>
    <s v="公財台帳・固資台帳"/>
    <s v="230"/>
    <s v="G044100"/>
    <x v="9"/>
    <x v="19"/>
  </r>
  <r>
    <s v="261"/>
    <s v="9601"/>
    <s v="公設市場"/>
    <x v="32"/>
    <s v="01"/>
    <s v="管理棟"/>
    <x v="11"/>
    <n v="7"/>
    <x v="11"/>
    <n v="1515"/>
    <n v="2164.21"/>
    <n v="2164.21"/>
    <s v="単独"/>
    <s v="鉄骨ＡＬＣ"/>
    <n v="2"/>
    <n v="0"/>
    <s v="新"/>
    <s v="-"/>
    <x v="1"/>
    <m/>
    <m/>
    <m/>
    <n v="38"/>
    <s v="B"/>
    <s v="D"/>
    <s v="D"/>
    <s v="-"/>
    <s v="D"/>
    <s v="B"/>
    <s v="D"/>
    <s v="-"/>
    <s v="-"/>
    <s v="D"/>
    <n v="76"/>
    <x v="0"/>
    <x v="0"/>
    <m/>
    <m/>
    <s v="原課報告"/>
    <s v="460"/>
    <s v="G073200"/>
    <x v="9"/>
    <x v="19"/>
  </r>
  <r>
    <s v="261"/>
    <s v="9601"/>
    <s v="公設市場"/>
    <x v="32"/>
    <s v="02"/>
    <s v="店舗Ｄ棟"/>
    <x v="11"/>
    <n v="7"/>
    <x v="11"/>
    <n v="214"/>
    <n v="441.7"/>
    <n v="441.7"/>
    <s v="単独"/>
    <s v="鉄骨ＡＬＣ"/>
    <n v="2"/>
    <n v="0"/>
    <s v="新"/>
    <s v="-"/>
    <x v="1"/>
    <m/>
    <m/>
    <m/>
    <n v="31"/>
    <s v="B"/>
    <s v="D"/>
    <s v="D"/>
    <s v="-"/>
    <s v="D"/>
    <s v="B"/>
    <s v="D"/>
    <s v="-"/>
    <s v="-"/>
    <s v="D"/>
    <n v="76"/>
    <x v="0"/>
    <x v="0"/>
    <m/>
    <m/>
    <s v="原課報告"/>
    <s v="460"/>
    <s v="G073200"/>
    <x v="9"/>
    <x v="19"/>
  </r>
  <r>
    <s v="261"/>
    <s v="9601"/>
    <s v="公設市場"/>
    <x v="32"/>
    <s v="03"/>
    <s v="店舗Ａ棟・Ｂ棟"/>
    <x v="11"/>
    <n v="7"/>
    <x v="11"/>
    <n v="596"/>
    <n v="595.75"/>
    <n v="595.75"/>
    <s v="単独"/>
    <s v="鉄骨ＡＬＣ"/>
    <n v="1"/>
    <n v="0"/>
    <s v="新"/>
    <s v="-"/>
    <x v="1"/>
    <m/>
    <m/>
    <m/>
    <n v="38"/>
    <s v="B"/>
    <s v="D"/>
    <s v="D"/>
    <s v="-"/>
    <s v="D"/>
    <s v="B"/>
    <s v="D"/>
    <s v="-"/>
    <s v="-"/>
    <s v="D"/>
    <n v="76"/>
    <x v="0"/>
    <x v="0"/>
    <m/>
    <m/>
    <s v="原課報告"/>
    <s v="460"/>
    <s v="G073200"/>
    <x v="9"/>
    <x v="19"/>
  </r>
  <r>
    <s v="261"/>
    <s v="9601"/>
    <s v="公設市場"/>
    <x v="32"/>
    <s v="04"/>
    <s v="店舗Ｃ棟"/>
    <x v="11"/>
    <n v="7"/>
    <x v="11"/>
    <n v="218"/>
    <n v="217.5"/>
    <n v="217.5"/>
    <s v="単独"/>
    <s v="鉄骨ＡＬＣ"/>
    <n v="1"/>
    <n v="0"/>
    <s v="新"/>
    <s v="-"/>
    <x v="1"/>
    <m/>
    <m/>
    <m/>
    <n v="31"/>
    <s v="B"/>
    <s v="D"/>
    <s v="D"/>
    <s v="-"/>
    <s v="D"/>
    <s v="B"/>
    <s v="D"/>
    <s v="-"/>
    <s v="-"/>
    <s v="D"/>
    <n v="76"/>
    <x v="0"/>
    <x v="0"/>
    <m/>
    <m/>
    <s v="原課報告"/>
    <s v="460"/>
    <s v="G073200"/>
    <x v="9"/>
    <x v="19"/>
  </r>
  <r>
    <s v="261"/>
    <s v="9601"/>
    <s v="公設市場"/>
    <x v="32"/>
    <s v="05"/>
    <s v="便所"/>
    <x v="11"/>
    <n v="7"/>
    <x v="11"/>
    <n v="22"/>
    <n v="22.45"/>
    <n v="22.45"/>
    <s v="単独"/>
    <s v="鉄骨ＡＬＣ"/>
    <n v="1"/>
    <n v="0"/>
    <s v="新"/>
    <s v="-"/>
    <x v="1"/>
    <m/>
    <m/>
    <m/>
    <n v="31"/>
    <s v="B"/>
    <s v="D"/>
    <s v="D"/>
    <s v="-"/>
    <s v="D"/>
    <s v="B"/>
    <s v="D"/>
    <s v="-"/>
    <s v="-"/>
    <s v="D"/>
    <n v="76"/>
    <x v="3"/>
    <x v="0"/>
    <m/>
    <m/>
    <s v="原課報告"/>
    <s v="460"/>
    <s v="G073200"/>
    <x v="9"/>
    <x v="19"/>
  </r>
  <r>
    <s v="261"/>
    <s v="9601"/>
    <s v="公設市場"/>
    <x v="32"/>
    <s v="06"/>
    <s v="下屋"/>
    <x v="50"/>
    <n v="3"/>
    <x v="50"/>
    <n v="246"/>
    <n v="246.4"/>
    <n v="246.4"/>
    <s v="単独"/>
    <s v="鉄骨折板葺"/>
    <n v="1"/>
    <n v="0"/>
    <s v="新"/>
    <s v="-"/>
    <x v="1"/>
    <m/>
    <m/>
    <m/>
    <n v="31"/>
    <s v="B"/>
    <s v="C"/>
    <s v="D"/>
    <s v="-"/>
    <s v="D"/>
    <s v="-"/>
    <s v="C"/>
    <s v="-"/>
    <s v="-"/>
    <s v="C"/>
    <n v="66.875"/>
    <x v="0"/>
    <x v="0"/>
    <m/>
    <m/>
    <s v="原課報告"/>
    <s v="460"/>
    <s v="G073200"/>
    <x v="9"/>
    <x v="19"/>
  </r>
  <r>
    <s v="261"/>
    <s v="9601"/>
    <s v="公設市場"/>
    <x v="32"/>
    <s v="07"/>
    <s v="買荷保管所"/>
    <x v="32"/>
    <n v="9"/>
    <x v="32"/>
    <n v="395"/>
    <n v="394.9"/>
    <n v="394.9"/>
    <s v="単独"/>
    <s v="鉄骨折板葺"/>
    <n v="1"/>
    <n v="0"/>
    <s v="新"/>
    <s v="-"/>
    <x v="1"/>
    <m/>
    <m/>
    <m/>
    <n v="31"/>
    <s v="B"/>
    <s v="C"/>
    <s v="D"/>
    <s v="-"/>
    <s v="D"/>
    <s v="-"/>
    <s v="C"/>
    <s v="-"/>
    <s v="-"/>
    <s v="C"/>
    <n v="61.250000000000007"/>
    <x v="0"/>
    <x v="0"/>
    <m/>
    <m/>
    <s v="原課報告"/>
    <s v="460"/>
    <s v="G073200"/>
    <x v="9"/>
    <x v="19"/>
  </r>
  <r>
    <s v="261"/>
    <s v="9601"/>
    <s v="公設市場"/>
    <x v="32"/>
    <s v="08"/>
    <s v="冷凍冷蔵庫"/>
    <x v="11"/>
    <n v="7"/>
    <x v="11"/>
    <n v="258"/>
    <n v="257.77999999999997"/>
    <n v="257.77999999999997"/>
    <s v="単独"/>
    <s v="S"/>
    <m/>
    <m/>
    <s v="新"/>
    <s v="-"/>
    <x v="1"/>
    <m/>
    <m/>
    <m/>
    <n v="31"/>
    <s v="-"/>
    <s v="-"/>
    <s v="-"/>
    <s v="-"/>
    <s v="-"/>
    <s v="-"/>
    <s v="-"/>
    <s v="-"/>
    <s v="-"/>
    <s v="-"/>
    <s v="-"/>
    <x v="0"/>
    <x v="0"/>
    <m/>
    <m/>
    <s v="原課報告"/>
    <s v="460"/>
    <s v="G073200"/>
    <x v="9"/>
    <x v="19"/>
  </r>
  <r>
    <s v="261"/>
    <s v="9601"/>
    <s v="公設市場"/>
    <x v="32"/>
    <s v="09"/>
    <s v="(スマイル阪神)"/>
    <x v="52"/>
    <n v="10"/>
    <x v="52"/>
    <m/>
    <n v="824.2"/>
    <n v="824.2"/>
    <s v="単独"/>
    <s v="S"/>
    <m/>
    <m/>
    <s v="新"/>
    <s v="-"/>
    <x v="1"/>
    <m/>
    <m/>
    <m/>
    <n v="38"/>
    <s v="-"/>
    <s v="-"/>
    <s v="-"/>
    <s v="-"/>
    <s v="-"/>
    <s v="-"/>
    <s v="-"/>
    <s v="-"/>
    <s v="-"/>
    <s v="-"/>
    <s v="-"/>
    <x v="0"/>
    <x v="0"/>
    <m/>
    <m/>
    <s v="原課報告"/>
    <s v="460"/>
    <s v="G073200"/>
    <x v="9"/>
    <x v="19"/>
  </r>
  <r>
    <s v="261"/>
    <s v="9601"/>
    <s v="公設市場"/>
    <x v="32"/>
    <s v="10"/>
    <s v="多目的トイレ"/>
    <x v="51"/>
    <n v="10"/>
    <x v="51"/>
    <n v="45"/>
    <n v="45"/>
    <n v="45"/>
    <s v="単独"/>
    <s v="S"/>
    <m/>
    <m/>
    <m/>
    <m/>
    <x v="3"/>
    <m/>
    <m/>
    <m/>
    <n v="31"/>
    <s v="-"/>
    <s v="-"/>
    <s v="-"/>
    <s v="-"/>
    <s v="-"/>
    <s v="-"/>
    <s v="-"/>
    <s v="-"/>
    <s v="-"/>
    <s v="-"/>
    <s v="-"/>
    <x v="3"/>
    <x v="0"/>
    <m/>
    <m/>
    <s v="原課報告"/>
    <s v="460"/>
    <s v="G073200"/>
    <x v="9"/>
    <x v="19"/>
  </r>
  <r>
    <s v="261"/>
    <s v="9601"/>
    <s v="公設市場"/>
    <x v="32"/>
    <s v="11"/>
    <s v="(鮮魚販売所・Ｅ棟)"/>
    <x v="16"/>
    <n v="4"/>
    <x v="16"/>
    <m/>
    <n v="180"/>
    <n v="180"/>
    <s v="単独"/>
    <s v="S"/>
    <m/>
    <m/>
    <s v="新"/>
    <s v="-"/>
    <x v="1"/>
    <m/>
    <m/>
    <m/>
    <n v="38"/>
    <m/>
    <m/>
    <m/>
    <m/>
    <m/>
    <m/>
    <m/>
    <m/>
    <m/>
    <m/>
    <m/>
    <x v="0"/>
    <x v="0"/>
    <m/>
    <m/>
    <s v="原課報告"/>
    <m/>
    <m/>
    <x v="9"/>
    <x v="19"/>
  </r>
  <r>
    <s v="261"/>
    <s v="9601"/>
    <s v="公設市場"/>
    <x v="32"/>
    <s v="12"/>
    <s v="(野菜冷蔵庫)"/>
    <x v="3"/>
    <n v="10"/>
    <x v="3"/>
    <m/>
    <n v="156"/>
    <n v="156"/>
    <s v="単独"/>
    <s v="S"/>
    <m/>
    <m/>
    <s v="新"/>
    <s v="-"/>
    <x v="1"/>
    <m/>
    <m/>
    <m/>
    <n v="38"/>
    <m/>
    <m/>
    <m/>
    <m/>
    <m/>
    <m/>
    <m/>
    <m/>
    <m/>
    <m/>
    <m/>
    <x v="0"/>
    <x v="0"/>
    <m/>
    <m/>
    <s v="原課報告"/>
    <m/>
    <m/>
    <x v="9"/>
    <x v="19"/>
  </r>
  <r>
    <s v="262"/>
    <s v="0704"/>
    <s v="イベント倉庫"/>
    <x v="17"/>
    <s v="01"/>
    <s v="倉庫"/>
    <x v="57"/>
    <m/>
    <x v="57"/>
    <n v="36.32"/>
    <n v="56.3"/>
    <n v="56.3"/>
    <s v="単独"/>
    <s v="S"/>
    <n v="2"/>
    <n v="0"/>
    <s v="新"/>
    <s v="-"/>
    <x v="1"/>
    <m/>
    <m/>
    <m/>
    <n v="24"/>
    <s v="B"/>
    <s v="A"/>
    <s v="A"/>
    <s v="-"/>
    <s v="-"/>
    <s v="-"/>
    <s v="-"/>
    <s v="-"/>
    <s v="-"/>
    <s v="A"/>
    <n v="19.999999999999996"/>
    <x v="0"/>
    <x v="0"/>
    <m/>
    <m/>
    <s v="原課報告"/>
    <s v="424"/>
    <s v="G071100"/>
    <x v="9"/>
    <x v="19"/>
  </r>
  <r>
    <s v="263"/>
    <s v="9711"/>
    <s v="阪神北広域こども急病センター"/>
    <x v="33"/>
    <s v="01"/>
    <s v="急病ｾﾝﾀｰ"/>
    <x v="52"/>
    <n v="2"/>
    <x v="52"/>
    <m/>
    <n v="1000.96"/>
    <n v="1000.96"/>
    <s v="単独"/>
    <s v="RC"/>
    <n v="1"/>
    <n v="0"/>
    <s v="新"/>
    <s v="-"/>
    <x v="1"/>
    <m/>
    <m/>
    <m/>
    <n v="50"/>
    <s v="A"/>
    <s v="B"/>
    <s v="A"/>
    <s v="-"/>
    <s v="B"/>
    <s v="C"/>
    <s v="B"/>
    <s v="-"/>
    <s v="-"/>
    <s v="A"/>
    <n v="24"/>
    <x v="0"/>
    <x v="0"/>
    <m/>
    <m/>
    <s v="公財台帳・固資台帳"/>
    <s v="330"/>
    <s v="G053200"/>
    <x v="9"/>
    <x v="19"/>
  </r>
  <r>
    <s v="263"/>
    <s v="9711"/>
    <s v="阪神北広域こども急病センター"/>
    <x v="33"/>
    <s v="02"/>
    <s v="ﾏﾆﾎｰﾙﾄﾞ"/>
    <x v="52"/>
    <n v="2"/>
    <x v="52"/>
    <m/>
    <n v="5.5"/>
    <n v="5.5"/>
    <s v="単独"/>
    <s v="CB"/>
    <m/>
    <m/>
    <m/>
    <m/>
    <x v="3"/>
    <m/>
    <m/>
    <m/>
    <n v="41"/>
    <s v="-"/>
    <s v="-"/>
    <s v="-"/>
    <s v="-"/>
    <s v="-"/>
    <s v="-"/>
    <s v="-"/>
    <s v="-"/>
    <s v="-"/>
    <s v="-"/>
    <s v="-"/>
    <x v="3"/>
    <x v="0"/>
    <m/>
    <m/>
    <s v="公財台帳・固資台帳"/>
    <s v="330"/>
    <s v="G053200"/>
    <x v="9"/>
    <x v="19"/>
  </r>
  <r>
    <s v="263"/>
    <s v="9711"/>
    <s v="阪神北広域こども急病センター"/>
    <x v="33"/>
    <s v="03"/>
    <s v="駐輪場"/>
    <x v="52"/>
    <n v="2"/>
    <x v="52"/>
    <m/>
    <n v="12"/>
    <n v="12"/>
    <s v="単独"/>
    <s v="S"/>
    <m/>
    <m/>
    <m/>
    <m/>
    <x v="3"/>
    <m/>
    <m/>
    <m/>
    <n v="31"/>
    <s v="-"/>
    <s v="-"/>
    <s v="-"/>
    <s v="-"/>
    <s v="-"/>
    <s v="-"/>
    <s v="-"/>
    <s v="-"/>
    <s v="-"/>
    <s v="-"/>
    <s v="-"/>
    <x v="1"/>
    <x v="0"/>
    <m/>
    <m/>
    <s v="公財台帳・固資台帳"/>
    <s v="330"/>
    <s v="G053200"/>
    <x v="9"/>
    <x v="19"/>
  </r>
  <r>
    <s v="264"/>
    <s v="9701"/>
    <s v="伊丹病院"/>
    <x v="34"/>
    <s v="01"/>
    <s v="本館"/>
    <x v="31"/>
    <n v="3"/>
    <x v="31"/>
    <n v="7590.85"/>
    <n v="26003.37"/>
    <n v="26003.37"/>
    <s v="単独"/>
    <s v="SRC"/>
    <n v="6"/>
    <n v="1"/>
    <s v="新"/>
    <s v="-"/>
    <x v="1"/>
    <m/>
    <m/>
    <m/>
    <n v="50"/>
    <s v="-"/>
    <s v="-"/>
    <s v="-"/>
    <s v="-"/>
    <s v="-"/>
    <s v="-"/>
    <s v="-"/>
    <s v="-"/>
    <s v="-"/>
    <s v="-"/>
    <s v="-"/>
    <x v="0"/>
    <x v="0"/>
    <m/>
    <m/>
    <s v="原課報告"/>
    <s v="838"/>
    <s v="G570000"/>
    <x v="10"/>
    <x v="20"/>
  </r>
  <r>
    <s v="264"/>
    <s v="9701"/>
    <s v="伊丹病院"/>
    <x v="34"/>
    <s v="02"/>
    <s v="機械室"/>
    <x v="31"/>
    <n v="3"/>
    <x v="31"/>
    <n v="8"/>
    <n v="8"/>
    <n v="8"/>
    <s v="単独"/>
    <m/>
    <m/>
    <m/>
    <s v="新"/>
    <s v="-"/>
    <x v="1"/>
    <m/>
    <m/>
    <m/>
    <m/>
    <s v="-"/>
    <s v="-"/>
    <s v="-"/>
    <s v="-"/>
    <s v="-"/>
    <s v="-"/>
    <s v="-"/>
    <s v="-"/>
    <s v="-"/>
    <s v="-"/>
    <s v="-"/>
    <x v="0"/>
    <x v="0"/>
    <m/>
    <m/>
    <s v="原課報告"/>
    <s v="838"/>
    <s v="G570000"/>
    <x v="10"/>
    <x v="20"/>
  </r>
  <r>
    <s v="264"/>
    <s v="9701"/>
    <s v="伊丹病院"/>
    <x v="34"/>
    <s v="03"/>
    <s v="医療ガス機械室"/>
    <x v="31"/>
    <n v="3"/>
    <x v="31"/>
    <n v="48.59"/>
    <n v="48.59"/>
    <n v="48.59"/>
    <s v="単独"/>
    <m/>
    <m/>
    <m/>
    <s v="新"/>
    <s v="-"/>
    <x v="1"/>
    <m/>
    <m/>
    <m/>
    <m/>
    <s v="-"/>
    <s v="-"/>
    <s v="-"/>
    <s v="-"/>
    <s v="-"/>
    <s v="-"/>
    <s v="-"/>
    <s v="-"/>
    <s v="-"/>
    <s v="-"/>
    <s v="-"/>
    <x v="0"/>
    <x v="0"/>
    <m/>
    <m/>
    <s v="原課報告"/>
    <s v="838"/>
    <s v="G570000"/>
    <x v="10"/>
    <x v="20"/>
  </r>
  <r>
    <s v="264"/>
    <s v="9701"/>
    <s v="伊丹病院"/>
    <x v="34"/>
    <s v="04"/>
    <s v="受水槽ポンプ室"/>
    <x v="31"/>
    <n v="3"/>
    <x v="31"/>
    <n v="135.75"/>
    <n v="135.75"/>
    <n v="135.75"/>
    <s v="単独"/>
    <m/>
    <m/>
    <m/>
    <s v="新"/>
    <s v="-"/>
    <x v="1"/>
    <m/>
    <m/>
    <m/>
    <m/>
    <s v="-"/>
    <s v="-"/>
    <s v="-"/>
    <s v="-"/>
    <s v="-"/>
    <s v="-"/>
    <s v="-"/>
    <s v="-"/>
    <s v="-"/>
    <s v="-"/>
    <s v="-"/>
    <x v="0"/>
    <x v="0"/>
    <m/>
    <m/>
    <s v="原課報告"/>
    <s v="838"/>
    <s v="G570000"/>
    <x v="10"/>
    <x v="20"/>
  </r>
  <r>
    <s v="264"/>
    <s v="9701"/>
    <s v="伊丹病院"/>
    <x v="34"/>
    <s v="05"/>
    <s v="自転車置場②"/>
    <x v="31"/>
    <n v="3"/>
    <x v="31"/>
    <n v="226"/>
    <n v="226"/>
    <n v="226"/>
    <s v="単独"/>
    <m/>
    <m/>
    <m/>
    <m/>
    <m/>
    <x v="3"/>
    <m/>
    <m/>
    <m/>
    <m/>
    <s v="-"/>
    <s v="-"/>
    <s v="-"/>
    <s v="-"/>
    <s v="-"/>
    <s v="-"/>
    <s v="-"/>
    <s v="-"/>
    <s v="-"/>
    <s v="-"/>
    <s v="-"/>
    <x v="1"/>
    <x v="0"/>
    <m/>
    <m/>
    <s v="原課報告"/>
    <s v="838"/>
    <s v="G570000"/>
    <x v="10"/>
    <x v="20"/>
  </r>
  <r>
    <s v="264"/>
    <s v="9701"/>
    <s v="伊丹病院"/>
    <x v="34"/>
    <s v="06"/>
    <s v="看護師宿舎A（さつき）"/>
    <x v="31"/>
    <n v="3"/>
    <x v="31"/>
    <n v="400.38"/>
    <n v="1255.3499999999999"/>
    <n v="1255.3499999999999"/>
    <s v="単独"/>
    <m/>
    <m/>
    <m/>
    <s v="新"/>
    <s v="-"/>
    <x v="1"/>
    <m/>
    <m/>
    <m/>
    <m/>
    <s v="-"/>
    <s v="-"/>
    <s v="-"/>
    <s v="-"/>
    <s v="-"/>
    <s v="-"/>
    <s v="-"/>
    <s v="-"/>
    <s v="-"/>
    <s v="-"/>
    <s v="-"/>
    <x v="0"/>
    <x v="0"/>
    <m/>
    <m/>
    <s v="原課報告"/>
    <s v="838"/>
    <s v="G570000"/>
    <x v="10"/>
    <x v="20"/>
  </r>
  <r>
    <s v="264"/>
    <s v="9701"/>
    <s v="伊丹病院"/>
    <x v="34"/>
    <s v="07"/>
    <s v="看護師宿舎B（ハイツ）"/>
    <x v="31"/>
    <n v="3"/>
    <x v="31"/>
    <n v="299.33"/>
    <n v="1041.5999999999999"/>
    <n v="1041.5999999999999"/>
    <s v="単独"/>
    <m/>
    <m/>
    <m/>
    <s v="新"/>
    <s v="-"/>
    <x v="1"/>
    <m/>
    <m/>
    <m/>
    <m/>
    <s v="-"/>
    <s v="-"/>
    <s v="-"/>
    <s v="-"/>
    <s v="-"/>
    <s v="-"/>
    <s v="-"/>
    <s v="-"/>
    <s v="-"/>
    <s v="-"/>
    <s v="-"/>
    <x v="0"/>
    <x v="0"/>
    <m/>
    <m/>
    <s v="原課報告"/>
    <s v="838"/>
    <s v="G570000"/>
    <x v="10"/>
    <x v="20"/>
  </r>
  <r>
    <s v="264"/>
    <s v="9701"/>
    <s v="伊丹病院"/>
    <x v="34"/>
    <s v="08"/>
    <s v="看護師宿舎電気室"/>
    <x v="31"/>
    <n v="3"/>
    <x v="31"/>
    <n v="31.05"/>
    <n v="31.05"/>
    <n v="31.05"/>
    <s v="単独"/>
    <m/>
    <m/>
    <m/>
    <s v="新"/>
    <s v="-"/>
    <x v="1"/>
    <m/>
    <m/>
    <m/>
    <m/>
    <s v="-"/>
    <s v="-"/>
    <s v="-"/>
    <s v="-"/>
    <s v="-"/>
    <s v="-"/>
    <s v="-"/>
    <s v="-"/>
    <s v="-"/>
    <s v="-"/>
    <s v="-"/>
    <x v="0"/>
    <x v="0"/>
    <m/>
    <m/>
    <s v="原課報告"/>
    <s v="838"/>
    <s v="G570000"/>
    <x v="10"/>
    <x v="20"/>
  </r>
  <r>
    <s v="264"/>
    <s v="9701"/>
    <s v="伊丹病院"/>
    <x v="34"/>
    <s v="09"/>
    <s v="自転車置場③"/>
    <x v="31"/>
    <n v="3"/>
    <x v="31"/>
    <n v="37.58"/>
    <n v="37.58"/>
    <n v="37.58"/>
    <s v="単独"/>
    <m/>
    <m/>
    <m/>
    <m/>
    <m/>
    <x v="3"/>
    <m/>
    <m/>
    <m/>
    <m/>
    <s v="-"/>
    <s v="-"/>
    <s v="-"/>
    <s v="-"/>
    <s v="-"/>
    <s v="-"/>
    <s v="-"/>
    <s v="-"/>
    <s v="-"/>
    <s v="-"/>
    <s v="-"/>
    <x v="1"/>
    <x v="0"/>
    <m/>
    <m/>
    <s v="原課報告"/>
    <s v="838"/>
    <s v="G570000"/>
    <x v="10"/>
    <x v="20"/>
  </r>
  <r>
    <s v="264"/>
    <s v="9701"/>
    <s v="伊丹病院"/>
    <x v="34"/>
    <s v="10"/>
    <s v="増築（SPD倉庫）"/>
    <x v="31"/>
    <n v="3"/>
    <x v="31"/>
    <n v="84.28"/>
    <n v="79.819999999999993"/>
    <n v="79.819999999999993"/>
    <s v="単独"/>
    <m/>
    <m/>
    <m/>
    <s v="新"/>
    <s v="-"/>
    <x v="1"/>
    <m/>
    <m/>
    <m/>
    <m/>
    <s v="-"/>
    <s v="-"/>
    <s v="-"/>
    <s v="-"/>
    <s v="-"/>
    <s v="-"/>
    <s v="-"/>
    <s v="-"/>
    <s v="-"/>
    <s v="-"/>
    <s v="-"/>
    <x v="0"/>
    <x v="0"/>
    <m/>
    <m/>
    <s v="原課報告"/>
    <s v="838"/>
    <s v="G570000"/>
    <x v="10"/>
    <x v="20"/>
  </r>
  <r>
    <s v="264"/>
    <s v="9701"/>
    <s v="伊丹病院"/>
    <x v="34"/>
    <s v="11"/>
    <s v="増築（医局）"/>
    <x v="20"/>
    <n v="3"/>
    <x v="20"/>
    <n v="922.79"/>
    <n v="2726.4"/>
    <n v="2726.4"/>
    <s v="単独"/>
    <m/>
    <m/>
    <m/>
    <s v="新"/>
    <s v="-"/>
    <x v="1"/>
    <m/>
    <m/>
    <m/>
    <m/>
    <s v="-"/>
    <s v="-"/>
    <s v="-"/>
    <s v="-"/>
    <s v="-"/>
    <s v="-"/>
    <s v="-"/>
    <s v="-"/>
    <s v="-"/>
    <s v="-"/>
    <s v="-"/>
    <x v="0"/>
    <x v="0"/>
    <m/>
    <m/>
    <s v="原課報告"/>
    <s v="838"/>
    <s v="G570000"/>
    <x v="10"/>
    <x v="20"/>
  </r>
  <r>
    <s v="264"/>
    <s v="9701"/>
    <s v="伊丹病院"/>
    <x v="34"/>
    <s v="12"/>
    <s v="増築（医局渡り廊下）"/>
    <x v="20"/>
    <n v="3"/>
    <x v="20"/>
    <n v="56.58"/>
    <n v="66.83"/>
    <n v="66.83"/>
    <s v="単独"/>
    <m/>
    <m/>
    <m/>
    <s v="新"/>
    <s v="-"/>
    <x v="1"/>
    <m/>
    <m/>
    <m/>
    <m/>
    <s v="-"/>
    <s v="-"/>
    <s v="-"/>
    <s v="-"/>
    <s v="-"/>
    <s v="-"/>
    <s v="-"/>
    <s v="-"/>
    <s v="-"/>
    <s v="-"/>
    <s v="-"/>
    <x v="0"/>
    <x v="0"/>
    <m/>
    <m/>
    <s v="原課報告"/>
    <s v="838"/>
    <s v="G570000"/>
    <x v="10"/>
    <x v="20"/>
  </r>
  <r>
    <s v="265"/>
    <s v="9501"/>
    <s v="上下水道局"/>
    <x v="35"/>
    <s v="01"/>
    <s v="局舎"/>
    <x v="0"/>
    <n v="3"/>
    <x v="0"/>
    <n v="708.62"/>
    <n v="2485"/>
    <n v="2485"/>
    <s v="単独"/>
    <s v="RC"/>
    <n v="3"/>
    <n v="1"/>
    <s v="旧"/>
    <s v="済"/>
    <x v="0"/>
    <m/>
    <m/>
    <m/>
    <m/>
    <s v="-"/>
    <s v="-"/>
    <s v="-"/>
    <s v="-"/>
    <s v="-"/>
    <s v="-"/>
    <s v="-"/>
    <s v="-"/>
    <s v="-"/>
    <s v="-"/>
    <s v="-"/>
    <x v="0"/>
    <x v="0"/>
    <m/>
    <m/>
    <s v="原課報告"/>
    <s v="819"/>
    <s v="G561100"/>
    <x v="10"/>
    <x v="21"/>
  </r>
  <r>
    <s v="266"/>
    <s v="9502"/>
    <s v="千僧浄水場"/>
    <x v="36"/>
    <s v="01"/>
    <s v="ﾎﾟﾝﾌﾟ棟　第１ﾎﾟﾝﾌﾟ室"/>
    <x v="47"/>
    <n v="3"/>
    <x v="47"/>
    <n v="379.21"/>
    <n v="374.49"/>
    <n v="374.49"/>
    <s v="単独"/>
    <s v="RC"/>
    <n v="1"/>
    <n v="1"/>
    <s v="旧"/>
    <s v="済"/>
    <x v="1"/>
    <n v="0.81"/>
    <n v="2015"/>
    <m/>
    <m/>
    <s v="-"/>
    <s v="-"/>
    <s v="-"/>
    <s v="-"/>
    <s v="-"/>
    <s v="-"/>
    <s v="-"/>
    <s v="-"/>
    <s v="-"/>
    <s v="-"/>
    <s v="-"/>
    <x v="0"/>
    <x v="0"/>
    <m/>
    <m/>
    <s v="原課報告"/>
    <s v="834"/>
    <s v="G562300"/>
    <x v="10"/>
    <x v="21"/>
  </r>
  <r>
    <s v="266"/>
    <s v="9502"/>
    <s v="千僧浄水場"/>
    <x v="36"/>
    <s v="02"/>
    <s v="ﾎﾟﾝﾌﾟ棟　渡り通路1"/>
    <x v="48"/>
    <n v="3"/>
    <x v="48"/>
    <n v="2.93"/>
    <n v="4.66"/>
    <n v="4.66"/>
    <s v="単独"/>
    <s v="S"/>
    <n v="1"/>
    <n v="0"/>
    <s v="旧"/>
    <m/>
    <x v="2"/>
    <m/>
    <m/>
    <m/>
    <m/>
    <s v="-"/>
    <s v="-"/>
    <s v="-"/>
    <s v="-"/>
    <s v="-"/>
    <s v="-"/>
    <s v="-"/>
    <s v="-"/>
    <s v="-"/>
    <s v="-"/>
    <s v="-"/>
    <x v="0"/>
    <x v="1"/>
    <d v="2015-03-31T00:00:00"/>
    <m/>
    <s v="原課報告"/>
    <s v="834"/>
    <s v="G562300"/>
    <x v="10"/>
    <x v="21"/>
  </r>
  <r>
    <s v="266"/>
    <s v="9502"/>
    <s v="千僧浄水場"/>
    <x v="36"/>
    <s v="03"/>
    <s v="ﾎﾟﾝﾌﾟ棟　第2ﾎﾟﾝﾌﾟ室"/>
    <x v="48"/>
    <n v="3"/>
    <x v="48"/>
    <n v="196.02"/>
    <n v="192.29"/>
    <n v="192.29"/>
    <s v="単独"/>
    <s v="RC"/>
    <n v="1"/>
    <n v="1"/>
    <s v="旧"/>
    <s v="済"/>
    <x v="1"/>
    <n v="2.4"/>
    <m/>
    <m/>
    <m/>
    <s v="-"/>
    <s v="-"/>
    <s v="-"/>
    <s v="-"/>
    <s v="-"/>
    <s v="-"/>
    <s v="-"/>
    <s v="-"/>
    <s v="-"/>
    <s v="-"/>
    <s v="-"/>
    <x v="0"/>
    <x v="0"/>
    <m/>
    <m/>
    <s v="原課報告"/>
    <s v="834"/>
    <s v="G562300"/>
    <x v="10"/>
    <x v="21"/>
  </r>
  <r>
    <s v="266"/>
    <s v="9502"/>
    <s v="千僧浄水場"/>
    <x v="36"/>
    <s v="04"/>
    <s v="No.1～4ろ過池棟"/>
    <x v="47"/>
    <n v="3"/>
    <x v="47"/>
    <n v="209.36"/>
    <n v="198.82"/>
    <n v="198.82"/>
    <s v="単独"/>
    <s v="RC"/>
    <n v="2"/>
    <n v="0"/>
    <s v="旧"/>
    <s v="済"/>
    <x v="1"/>
    <n v="1.25"/>
    <m/>
    <m/>
    <m/>
    <s v="-"/>
    <s v="-"/>
    <s v="-"/>
    <s v="-"/>
    <s v="-"/>
    <s v="-"/>
    <s v="-"/>
    <s v="-"/>
    <s v="-"/>
    <s v="-"/>
    <s v="-"/>
    <x v="0"/>
    <x v="0"/>
    <m/>
    <m/>
    <s v="原課報告"/>
    <s v="834"/>
    <s v="G562300"/>
    <x v="10"/>
    <x v="21"/>
  </r>
  <r>
    <s v="266"/>
    <s v="9502"/>
    <s v="千僧浄水場"/>
    <x v="36"/>
    <s v="05"/>
    <s v="ろ過池棟　渡廊下"/>
    <x v="48"/>
    <n v="3"/>
    <x v="48"/>
    <n v="6.25"/>
    <n v="9.59"/>
    <n v="9.59"/>
    <s v="単独"/>
    <s v="S"/>
    <n v="1"/>
    <n v="0"/>
    <s v="旧"/>
    <s v="済"/>
    <x v="1"/>
    <n v="0.77"/>
    <m/>
    <m/>
    <m/>
    <s v="-"/>
    <s v="-"/>
    <s v="-"/>
    <s v="-"/>
    <s v="-"/>
    <s v="-"/>
    <s v="-"/>
    <s v="-"/>
    <s v="-"/>
    <s v="-"/>
    <s v="-"/>
    <x v="0"/>
    <x v="0"/>
    <m/>
    <m/>
    <s v="原課報告"/>
    <s v="834"/>
    <s v="G562300"/>
    <x v="10"/>
    <x v="21"/>
  </r>
  <r>
    <s v="266"/>
    <s v="9502"/>
    <s v="千僧浄水場"/>
    <x v="36"/>
    <s v="06"/>
    <s v="No.5～10ろ過池棟"/>
    <x v="48"/>
    <n v="3"/>
    <x v="48"/>
    <n v="50.59"/>
    <n v="212.85"/>
    <n v="212.85"/>
    <s v="単独"/>
    <s v="RC"/>
    <n v="2"/>
    <n v="0"/>
    <s v="旧"/>
    <s v="済"/>
    <x v="1"/>
    <n v="0.77"/>
    <m/>
    <m/>
    <m/>
    <s v="-"/>
    <s v="-"/>
    <s v="-"/>
    <s v="-"/>
    <s v="-"/>
    <s v="-"/>
    <s v="-"/>
    <s v="-"/>
    <s v="-"/>
    <s v="-"/>
    <s v="-"/>
    <x v="0"/>
    <x v="0"/>
    <m/>
    <m/>
    <s v="原課報告"/>
    <s v="834"/>
    <s v="G562300"/>
    <x v="10"/>
    <x v="21"/>
  </r>
  <r>
    <s v="266"/>
    <s v="9502"/>
    <s v="千僧浄水場"/>
    <x v="36"/>
    <s v="07"/>
    <s v="汚泥処理用倉庫・車庫棟"/>
    <x v="5"/>
    <n v="3"/>
    <x v="5"/>
    <n v="188.75"/>
    <n v="186.83"/>
    <n v="186.83"/>
    <s v="単独"/>
    <s v="S"/>
    <n v="1"/>
    <n v="0"/>
    <s v="新"/>
    <s v="-"/>
    <x v="1"/>
    <m/>
    <m/>
    <m/>
    <m/>
    <s v="-"/>
    <s v="-"/>
    <s v="-"/>
    <s v="-"/>
    <s v="-"/>
    <s v="-"/>
    <s v="-"/>
    <s v="-"/>
    <s v="-"/>
    <s v="-"/>
    <s v="-"/>
    <x v="0"/>
    <x v="0"/>
    <m/>
    <m/>
    <s v="原課報告"/>
    <s v="834"/>
    <s v="G562300"/>
    <x v="10"/>
    <x v="21"/>
  </r>
  <r>
    <s v="266"/>
    <s v="9502"/>
    <s v="千僧浄水場"/>
    <x v="36"/>
    <s v="08"/>
    <s v="排水処理棟"/>
    <x v="46"/>
    <n v="3"/>
    <x v="46"/>
    <n v="417.8"/>
    <n v="835.6"/>
    <n v="835.6"/>
    <s v="単独"/>
    <s v="S"/>
    <n v="2"/>
    <n v="0"/>
    <s v="新"/>
    <s v="-"/>
    <x v="1"/>
    <m/>
    <m/>
    <m/>
    <m/>
    <s v="-"/>
    <s v="-"/>
    <s v="-"/>
    <s v="-"/>
    <s v="-"/>
    <s v="-"/>
    <s v="-"/>
    <s v="-"/>
    <s v="-"/>
    <s v="-"/>
    <s v="-"/>
    <x v="0"/>
    <x v="0"/>
    <m/>
    <m/>
    <s v="原課報告"/>
    <s v="834"/>
    <s v="G562300"/>
    <x v="10"/>
    <x v="21"/>
  </r>
  <r>
    <s v="266"/>
    <s v="9502"/>
    <s v="千僧浄水場"/>
    <x v="36"/>
    <s v="09"/>
    <s v="次亜注入機室"/>
    <x v="44"/>
    <n v="3"/>
    <x v="44"/>
    <n v="267.39999999999998"/>
    <n v="255.8"/>
    <n v="255.8"/>
    <s v="単独"/>
    <s v="RC"/>
    <n v="1"/>
    <n v="0"/>
    <s v="旧"/>
    <s v="済"/>
    <x v="1"/>
    <n v="0.76200000000000001"/>
    <m/>
    <m/>
    <m/>
    <s v="-"/>
    <s v="-"/>
    <s v="-"/>
    <s v="-"/>
    <s v="-"/>
    <s v="-"/>
    <s v="-"/>
    <s v="-"/>
    <s v="-"/>
    <s v="-"/>
    <s v="-"/>
    <x v="0"/>
    <x v="0"/>
    <m/>
    <m/>
    <s v="原課報告"/>
    <s v="834"/>
    <s v="G562300"/>
    <x v="10"/>
    <x v="21"/>
  </r>
  <r>
    <s v="266"/>
    <s v="9502"/>
    <s v="千僧浄水場"/>
    <x v="36"/>
    <s v="10"/>
    <s v="車庫"/>
    <x v="47"/>
    <n v="3"/>
    <x v="47"/>
    <n v="165.2"/>
    <n v="165.2"/>
    <n v="165.2"/>
    <s v="単独"/>
    <s v="S"/>
    <n v="1"/>
    <n v="0"/>
    <s v="旧"/>
    <m/>
    <x v="2"/>
    <m/>
    <m/>
    <m/>
    <m/>
    <s v="-"/>
    <s v="-"/>
    <s v="-"/>
    <s v="-"/>
    <s v="-"/>
    <s v="-"/>
    <s v="-"/>
    <s v="-"/>
    <s v="-"/>
    <s v="-"/>
    <s v="-"/>
    <x v="0"/>
    <x v="0"/>
    <m/>
    <m/>
    <s v="原課報告"/>
    <s v="834"/>
    <s v="G562300"/>
    <x v="10"/>
    <x v="21"/>
  </r>
  <r>
    <s v="266"/>
    <s v="9502"/>
    <s v="千僧浄水場"/>
    <x v="36"/>
    <s v="11"/>
    <s v="倉庫"/>
    <x v="47"/>
    <n v="3"/>
    <x v="47"/>
    <n v="59.49"/>
    <n v="59.49"/>
    <n v="59.49"/>
    <s v="単独"/>
    <s v="S"/>
    <n v="1"/>
    <n v="0"/>
    <s v="旧"/>
    <m/>
    <x v="2"/>
    <m/>
    <m/>
    <m/>
    <m/>
    <s v="-"/>
    <s v="-"/>
    <s v="-"/>
    <s v="-"/>
    <s v="-"/>
    <s v="-"/>
    <s v="-"/>
    <s v="-"/>
    <s v="-"/>
    <s v="-"/>
    <s v="-"/>
    <x v="0"/>
    <x v="0"/>
    <m/>
    <m/>
    <s v="原課報告"/>
    <s v="834"/>
    <s v="G562300"/>
    <x v="10"/>
    <x v="21"/>
  </r>
  <r>
    <s v="266"/>
    <s v="9502"/>
    <s v="千僧浄水場"/>
    <x v="36"/>
    <s v="12"/>
    <s v="操作盤室（No.11～18）"/>
    <x v="12"/>
    <n v="3"/>
    <x v="12"/>
    <n v="9.83"/>
    <n v="9.83"/>
    <n v="9.83"/>
    <s v="単独"/>
    <s v="CB"/>
    <n v="2"/>
    <n v="0"/>
    <s v="旧"/>
    <m/>
    <x v="2"/>
    <m/>
    <m/>
    <m/>
    <m/>
    <s v="-"/>
    <s v="-"/>
    <s v="-"/>
    <s v="-"/>
    <s v="-"/>
    <s v="-"/>
    <s v="-"/>
    <s v="-"/>
    <s v="-"/>
    <s v="-"/>
    <s v="-"/>
    <x v="0"/>
    <x v="0"/>
    <m/>
    <m/>
    <s v="原課報告"/>
    <s v="834"/>
    <s v="G562300"/>
    <x v="10"/>
    <x v="21"/>
  </r>
  <r>
    <s v="266"/>
    <s v="9502"/>
    <s v="千僧浄水場"/>
    <x v="36"/>
    <s v="13"/>
    <s v="管理棟　北館"/>
    <x v="47"/>
    <n v="3"/>
    <x v="47"/>
    <n v="431.8"/>
    <n v="1274.22"/>
    <n v="1274.22"/>
    <s v="単独"/>
    <s v="RC"/>
    <n v="4"/>
    <n v="0"/>
    <s v="旧"/>
    <s v="済"/>
    <x v="1"/>
    <n v="0.76100000000000001"/>
    <n v="2000"/>
    <m/>
    <m/>
    <s v="-"/>
    <s v="-"/>
    <s v="-"/>
    <s v="-"/>
    <s v="-"/>
    <s v="-"/>
    <s v="-"/>
    <s v="-"/>
    <s v="-"/>
    <s v="-"/>
    <s v="-"/>
    <x v="0"/>
    <x v="0"/>
    <m/>
    <m/>
    <s v="原課報告"/>
    <s v="834"/>
    <s v="G562300"/>
    <x v="10"/>
    <x v="21"/>
  </r>
  <r>
    <s v="266"/>
    <s v="9502"/>
    <s v="千僧浄水場"/>
    <x v="36"/>
    <s v="14"/>
    <s v="管理棟　南館"/>
    <x v="33"/>
    <n v="3"/>
    <x v="33"/>
    <n v="408.93"/>
    <n v="1506.32"/>
    <n v="1506.32"/>
    <s v="単独"/>
    <s v="RC"/>
    <n v="5"/>
    <n v="0"/>
    <s v="新"/>
    <s v="-"/>
    <x v="1"/>
    <m/>
    <m/>
    <m/>
    <m/>
    <s v="-"/>
    <s v="-"/>
    <s v="-"/>
    <s v="-"/>
    <s v="-"/>
    <s v="-"/>
    <s v="-"/>
    <s v="-"/>
    <s v="-"/>
    <s v="-"/>
    <s v="-"/>
    <x v="0"/>
    <x v="0"/>
    <m/>
    <m/>
    <s v="原課報告"/>
    <s v="834"/>
    <s v="G562300"/>
    <x v="10"/>
    <x v="21"/>
  </r>
  <r>
    <s v="266"/>
    <s v="9502"/>
    <s v="千僧浄水場"/>
    <x v="36"/>
    <s v="15"/>
    <s v="中間ﾎﾟﾝﾌﾟ棟"/>
    <x v="21"/>
    <n v="10"/>
    <x v="21"/>
    <n v="356.75"/>
    <n v="519.73"/>
    <n v="519.73"/>
    <s v="単独"/>
    <s v="RC"/>
    <n v="2"/>
    <n v="0"/>
    <s v="新"/>
    <s v="-"/>
    <x v="1"/>
    <m/>
    <m/>
    <m/>
    <m/>
    <s v="-"/>
    <s v="-"/>
    <s v="-"/>
    <s v="-"/>
    <s v="-"/>
    <s v="-"/>
    <s v="-"/>
    <s v="-"/>
    <s v="-"/>
    <s v="-"/>
    <s v="-"/>
    <x v="0"/>
    <x v="0"/>
    <m/>
    <m/>
    <s v="原課報告"/>
    <s v="834"/>
    <s v="G562300"/>
    <x v="10"/>
    <x v="21"/>
  </r>
  <r>
    <s v="266"/>
    <s v="9502"/>
    <s v="千僧浄水場"/>
    <x v="36"/>
    <s v="16"/>
    <s v="ｵｿﾞﾝ処理棟"/>
    <x v="21"/>
    <n v="10"/>
    <x v="21"/>
    <n v="699.32"/>
    <n v="906.22"/>
    <n v="906.22"/>
    <s v="単独"/>
    <s v="RC"/>
    <n v="3"/>
    <n v="0"/>
    <s v="新"/>
    <s v="-"/>
    <x v="1"/>
    <m/>
    <m/>
    <m/>
    <m/>
    <s v="-"/>
    <s v="-"/>
    <s v="-"/>
    <s v="-"/>
    <s v="-"/>
    <s v="-"/>
    <s v="-"/>
    <s v="-"/>
    <s v="-"/>
    <s v="-"/>
    <s v="-"/>
    <x v="0"/>
    <x v="0"/>
    <m/>
    <m/>
    <s v="原課報告"/>
    <s v="834"/>
    <s v="G562300"/>
    <x v="10"/>
    <x v="21"/>
  </r>
  <r>
    <s v="266"/>
    <s v="9502"/>
    <s v="千僧浄水場"/>
    <x v="36"/>
    <s v="17"/>
    <s v="活性炭処理棟"/>
    <x v="21"/>
    <n v="10"/>
    <x v="21"/>
    <n v="1293.5"/>
    <n v="688.34"/>
    <n v="688.34"/>
    <s v="単独"/>
    <s v="RC"/>
    <n v="2"/>
    <n v="0"/>
    <s v="新"/>
    <s v="-"/>
    <x v="1"/>
    <m/>
    <m/>
    <m/>
    <m/>
    <s v="-"/>
    <s v="-"/>
    <s v="-"/>
    <s v="-"/>
    <s v="-"/>
    <s v="-"/>
    <s v="-"/>
    <s v="-"/>
    <s v="-"/>
    <s v="-"/>
    <s v="-"/>
    <x v="0"/>
    <x v="0"/>
    <m/>
    <m/>
    <s v="原課報告"/>
    <s v="834"/>
    <s v="G562300"/>
    <x v="10"/>
    <x v="21"/>
  </r>
  <r>
    <s v="266"/>
    <s v="9502"/>
    <s v="千僧浄水場"/>
    <x v="36"/>
    <s v="18"/>
    <s v="空気源設備棟"/>
    <x v="21"/>
    <n v="10"/>
    <x v="21"/>
    <n v="29.87"/>
    <n v="29.87"/>
    <n v="29.87"/>
    <s v="単独"/>
    <s v="RC"/>
    <n v="1"/>
    <n v="0"/>
    <s v="新"/>
    <s v="-"/>
    <x v="1"/>
    <m/>
    <m/>
    <m/>
    <m/>
    <s v="-"/>
    <s v="-"/>
    <s v="-"/>
    <s v="-"/>
    <s v="-"/>
    <s v="-"/>
    <s v="-"/>
    <s v="-"/>
    <s v="-"/>
    <s v="-"/>
    <s v="-"/>
    <x v="0"/>
    <x v="0"/>
    <m/>
    <m/>
    <s v="原課報告"/>
    <s v="834"/>
    <s v="G562300"/>
    <x v="10"/>
    <x v="21"/>
  </r>
  <r>
    <s v="267"/>
    <s v="9503"/>
    <s v="北村水源地"/>
    <x v="36"/>
    <s v="01"/>
    <s v="ポンプ棟"/>
    <x v="55"/>
    <n v="3"/>
    <x v="55"/>
    <n v="212.95"/>
    <n v="232.06"/>
    <n v="232.06"/>
    <s v="単独"/>
    <s v="RC"/>
    <n v="2"/>
    <n v="0"/>
    <s v="旧"/>
    <s v="済"/>
    <x v="1"/>
    <n v="1.1240000000000001"/>
    <m/>
    <m/>
    <m/>
    <s v="-"/>
    <s v="-"/>
    <s v="-"/>
    <s v="-"/>
    <s v="-"/>
    <s v="-"/>
    <s v="-"/>
    <s v="-"/>
    <s v="-"/>
    <s v="-"/>
    <s v="-"/>
    <x v="0"/>
    <x v="0"/>
    <m/>
    <m/>
    <s v="原課報告"/>
    <s v="834"/>
    <s v="G562300"/>
    <x v="10"/>
    <x v="21"/>
  </r>
  <r>
    <s v="268"/>
    <s v="9504"/>
    <s v="武庫川水源地"/>
    <x v="36"/>
    <s v="01"/>
    <s v="ポンプ棟"/>
    <x v="39"/>
    <n v="6"/>
    <x v="39"/>
    <n v="109.94"/>
    <n v="215.78"/>
    <n v="215.78"/>
    <s v="単独"/>
    <s v="S"/>
    <n v="2"/>
    <n v="0"/>
    <s v="新"/>
    <s v="-"/>
    <x v="1"/>
    <m/>
    <m/>
    <m/>
    <m/>
    <s v="-"/>
    <s v="-"/>
    <s v="-"/>
    <s v="-"/>
    <s v="-"/>
    <s v="-"/>
    <s v="-"/>
    <s v="-"/>
    <s v="-"/>
    <s v="-"/>
    <s v="-"/>
    <x v="0"/>
    <x v="0"/>
    <m/>
    <m/>
    <s v="原課報告"/>
    <s v="834"/>
    <s v="G562300"/>
    <x v="10"/>
    <x v="21"/>
  </r>
  <r>
    <s v="278"/>
    <s v="9505"/>
    <s v="荻野配水池"/>
    <x v="36"/>
    <s v="01"/>
    <s v="ポンプ棟"/>
    <x v="3"/>
    <n v="3"/>
    <x v="3"/>
    <n v="705.8"/>
    <n v="465.79"/>
    <n v="465.79"/>
    <s v="単独"/>
    <s v="RC"/>
    <n v="3"/>
    <n v="0"/>
    <s v="新"/>
    <s v="-"/>
    <x v="1"/>
    <m/>
    <m/>
    <m/>
    <m/>
    <s v="-"/>
    <s v="-"/>
    <s v="-"/>
    <s v="-"/>
    <s v="-"/>
    <s v="-"/>
    <s v="-"/>
    <s v="-"/>
    <s v="-"/>
    <s v="-"/>
    <s v="-"/>
    <x v="0"/>
    <x v="0"/>
    <m/>
    <m/>
    <s v="原課報告"/>
    <s v="834"/>
    <s v="G562300"/>
    <x v="10"/>
    <x v="21"/>
  </r>
  <r>
    <s v="269"/>
    <s v="0857"/>
    <s v="金岡雨水貯留管関連管理棟"/>
    <x v="37"/>
    <s v="01"/>
    <s v="管理棟"/>
    <x v="8"/>
    <m/>
    <x v="8"/>
    <n v="74.400000000000006"/>
    <n v="133"/>
    <n v="133"/>
    <s v="単独"/>
    <s v="RC"/>
    <n v="2"/>
    <n v="1"/>
    <s v="新"/>
    <s v="-"/>
    <x v="1"/>
    <m/>
    <m/>
    <m/>
    <m/>
    <s v="-"/>
    <s v="-"/>
    <s v="-"/>
    <s v="-"/>
    <s v="-"/>
    <s v="-"/>
    <s v="-"/>
    <s v="-"/>
    <s v="-"/>
    <s v="-"/>
    <s v="-"/>
    <x v="0"/>
    <x v="0"/>
    <m/>
    <m/>
    <s v="原課報告"/>
    <s v="831"/>
    <s v="G562200"/>
    <x v="10"/>
    <x v="21"/>
  </r>
  <r>
    <s v="270"/>
    <s v="0872"/>
    <s v="天神川雨水ポンプ場"/>
    <x v="37"/>
    <s v="01"/>
    <s v="ポンプ棟"/>
    <x v="33"/>
    <m/>
    <x v="33"/>
    <n v="148"/>
    <n v="148"/>
    <n v="148"/>
    <s v="単独"/>
    <m/>
    <n v="1"/>
    <n v="0"/>
    <s v="新"/>
    <s v="-"/>
    <x v="1"/>
    <m/>
    <m/>
    <m/>
    <m/>
    <s v="-"/>
    <s v="-"/>
    <s v="-"/>
    <s v="-"/>
    <s v="-"/>
    <s v="-"/>
    <s v="-"/>
    <s v="-"/>
    <s v="-"/>
    <s v="-"/>
    <s v="-"/>
    <x v="0"/>
    <x v="1"/>
    <d v="2016-03-31T00:00:00"/>
    <m/>
    <s v="原課報告"/>
    <s v="831"/>
    <s v="G562200"/>
    <x v="10"/>
    <x v="21"/>
  </r>
  <r>
    <s v="271"/>
    <s v="0874"/>
    <s v="西野雨水ポンプ場"/>
    <x v="37"/>
    <s v="01"/>
    <s v="ポンプ棟"/>
    <x v="57"/>
    <m/>
    <x v="57"/>
    <n v="446"/>
    <n v="446"/>
    <n v="446"/>
    <s v="単独"/>
    <s v="RC"/>
    <n v="2"/>
    <n v="1"/>
    <s v="新"/>
    <s v="-"/>
    <x v="1"/>
    <m/>
    <m/>
    <m/>
    <m/>
    <s v="-"/>
    <s v="-"/>
    <s v="-"/>
    <s v="-"/>
    <s v="-"/>
    <s v="-"/>
    <s v="-"/>
    <s v="-"/>
    <s v="-"/>
    <s v="-"/>
    <s v="-"/>
    <x v="0"/>
    <x v="0"/>
    <m/>
    <m/>
    <s v="原課報告"/>
    <s v="831"/>
    <s v="G562200"/>
    <x v="10"/>
    <x v="21"/>
  </r>
  <r>
    <s v="272"/>
    <s v="0875"/>
    <s v="中野東雨水ポンプ場"/>
    <x v="37"/>
    <s v="01"/>
    <s v="ポンプ棟"/>
    <x v="57"/>
    <m/>
    <x v="57"/>
    <n v="215"/>
    <n v="215"/>
    <n v="215"/>
    <s v="単独"/>
    <s v="RC"/>
    <n v="2"/>
    <n v="0"/>
    <s v="新"/>
    <s v="-"/>
    <x v="1"/>
    <m/>
    <m/>
    <m/>
    <m/>
    <s v="-"/>
    <s v="-"/>
    <s v="-"/>
    <s v="-"/>
    <s v="-"/>
    <s v="-"/>
    <s v="-"/>
    <s v="-"/>
    <s v="-"/>
    <s v="-"/>
    <s v="-"/>
    <x v="0"/>
    <x v="0"/>
    <m/>
    <m/>
    <s v="原課報告"/>
    <s v="831"/>
    <s v="G562200"/>
    <x v="10"/>
    <x v="21"/>
  </r>
  <r>
    <s v="273"/>
    <s v="0869"/>
    <s v="三平雨水ポンプ場"/>
    <x v="37"/>
    <s v="01"/>
    <s v="ポンプ棟"/>
    <x v="21"/>
    <m/>
    <x v="21"/>
    <n v="363.94"/>
    <n v="364"/>
    <n v="364"/>
    <s v="単独"/>
    <s v="RC"/>
    <n v="3"/>
    <n v="1"/>
    <s v="新"/>
    <s v="-"/>
    <x v="1"/>
    <m/>
    <m/>
    <m/>
    <m/>
    <s v="-"/>
    <s v="-"/>
    <s v="-"/>
    <s v="-"/>
    <s v="-"/>
    <s v="-"/>
    <s v="-"/>
    <s v="-"/>
    <s v="-"/>
    <s v="-"/>
    <s v="-"/>
    <x v="0"/>
    <x v="0"/>
    <m/>
    <m/>
    <s v="原課報告"/>
    <s v="831"/>
    <s v="G562200"/>
    <x v="10"/>
    <x v="21"/>
  </r>
  <r>
    <s v="274"/>
    <s v="0871"/>
    <s v="渕雨水ポンプ場"/>
    <x v="37"/>
    <s v="01"/>
    <s v="ポンプ棟"/>
    <x v="19"/>
    <m/>
    <x v="19"/>
    <n v="915.2"/>
    <n v="915"/>
    <n v="915"/>
    <s v="単独"/>
    <s v="RC"/>
    <n v="2"/>
    <n v="2"/>
    <s v="新"/>
    <s v="-"/>
    <x v="1"/>
    <m/>
    <m/>
    <m/>
    <m/>
    <s v="-"/>
    <s v="-"/>
    <s v="-"/>
    <s v="-"/>
    <s v="-"/>
    <s v="-"/>
    <s v="-"/>
    <s v="-"/>
    <s v="-"/>
    <s v="-"/>
    <s v="-"/>
    <x v="0"/>
    <x v="0"/>
    <m/>
    <m/>
    <s v="原課報告"/>
    <s v="831"/>
    <s v="G562200"/>
    <x v="10"/>
    <x v="21"/>
  </r>
  <r>
    <s v="275"/>
    <s v="0876"/>
    <s v="鶴田雨水ポンプ場"/>
    <x v="37"/>
    <s v="01"/>
    <s v="ポンプ棟"/>
    <x v="31"/>
    <m/>
    <x v="31"/>
    <n v="340"/>
    <n v="340"/>
    <n v="340"/>
    <s v="単独"/>
    <s v="RC"/>
    <n v="3"/>
    <n v="0"/>
    <s v="旧"/>
    <s v="済"/>
    <x v="2"/>
    <m/>
    <m/>
    <m/>
    <m/>
    <s v="-"/>
    <s v="-"/>
    <s v="-"/>
    <s v="-"/>
    <s v="-"/>
    <s v="-"/>
    <s v="-"/>
    <s v="-"/>
    <s v="-"/>
    <s v="-"/>
    <s v="-"/>
    <x v="0"/>
    <x v="0"/>
    <m/>
    <m/>
    <s v="原課報告"/>
    <s v="831"/>
    <s v="G562200"/>
    <x v="10"/>
    <x v="21"/>
  </r>
  <r>
    <s v="276"/>
    <s v="0873"/>
    <s v="北河原雨水ポンプ場"/>
    <x v="37"/>
    <s v="01"/>
    <s v="ポンプ棟"/>
    <x v="52"/>
    <m/>
    <x v="52"/>
    <m/>
    <n v="92"/>
    <n v="92"/>
    <s v="単独"/>
    <s v="RC"/>
    <n v="2"/>
    <n v="0"/>
    <s v="新"/>
    <s v="-"/>
    <x v="1"/>
    <m/>
    <m/>
    <m/>
    <m/>
    <s v="-"/>
    <s v="-"/>
    <s v="-"/>
    <s v="-"/>
    <s v="-"/>
    <s v="-"/>
    <s v="-"/>
    <s v="-"/>
    <s v="-"/>
    <s v="-"/>
    <s v="-"/>
    <x v="0"/>
    <x v="0"/>
    <m/>
    <m/>
    <s v="原課報告"/>
    <s v="831"/>
    <s v="G562200"/>
    <x v="10"/>
    <x v="21"/>
  </r>
  <r>
    <s v="277"/>
    <s v="9801"/>
    <s v="交通局"/>
    <x v="38"/>
    <s v="01"/>
    <s v="局舎"/>
    <x v="45"/>
    <m/>
    <x v="45"/>
    <m/>
    <n v="1145"/>
    <n v="1145"/>
    <s v="単独"/>
    <s v="RC"/>
    <n v="3"/>
    <n v="0"/>
    <s v="旧"/>
    <s v="済"/>
    <x v="0"/>
    <m/>
    <m/>
    <m/>
    <m/>
    <s v="-"/>
    <s v="-"/>
    <s v="-"/>
    <s v="-"/>
    <s v="-"/>
    <s v="-"/>
    <s v="-"/>
    <s v="-"/>
    <s v="-"/>
    <s v="-"/>
    <s v="-"/>
    <x v="0"/>
    <x v="0"/>
    <m/>
    <m/>
    <s v="原課報告"/>
    <s v="798"/>
    <s v="G550000"/>
    <x v="10"/>
    <x v="22"/>
  </r>
  <r>
    <s v="279"/>
    <s v="1076"/>
    <s v="埋蔵文化財口酒井整理事務所"/>
    <x v="11"/>
    <s v="01"/>
    <s v="事務所"/>
    <x v="33"/>
    <n v="3"/>
    <x v="33"/>
    <m/>
    <m/>
    <n v="341.28"/>
    <s v="単独"/>
    <m/>
    <n v="2"/>
    <n v="0"/>
    <s v="新"/>
    <s v="-"/>
    <x v="1"/>
    <m/>
    <m/>
    <m/>
    <n v="30"/>
    <s v="-"/>
    <s v="-"/>
    <s v="-"/>
    <s v="-"/>
    <s v="-"/>
    <s v="-"/>
    <s v="-"/>
    <s v="-"/>
    <s v="-"/>
    <s v="-"/>
    <s v="-"/>
    <x v="0"/>
    <x v="1"/>
    <d v="2017-03-31T00:00:00"/>
    <m/>
    <s v="公財台帳・固資台帳"/>
    <s v="668"/>
    <s v="G600302"/>
    <x v="2"/>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ﾋﾟﾎﾞｯﾄﾃｰﾌﾞﾙ7" cacheId="1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E42" firstHeaderRow="1" firstDataRow="2" firstDataCol="2"/>
  <pivotFields count="69">
    <pivotField showAll="0"/>
    <pivotField showAll="0"/>
    <pivotField showAll="0"/>
    <pivotField showAll="0"/>
    <pivotField axis="axisRow" outline="0" showAll="0" defaultSubtotal="0">
      <items count="39">
        <item x="20"/>
        <item x="16"/>
        <item x="25"/>
        <item x="22"/>
        <item x="34"/>
        <item x="21"/>
        <item x="6"/>
        <item x="19"/>
        <item x="28"/>
        <item x="10"/>
        <item x="11"/>
        <item x="18"/>
        <item x="14"/>
        <item x="24"/>
        <item x="23"/>
        <item x="3"/>
        <item x="33"/>
        <item x="38"/>
        <item x="7"/>
        <item x="1"/>
        <item x="2"/>
        <item x="30"/>
        <item x="15"/>
        <item x="9"/>
        <item x="31"/>
        <item x="5"/>
        <item x="4"/>
        <item x="8"/>
        <item x="35"/>
        <item x="37"/>
        <item x="36"/>
        <item x="27"/>
        <item x="0"/>
        <item x="17"/>
        <item x="12"/>
        <item x="32"/>
        <item x="13"/>
        <item x="26"/>
        <item x="29"/>
      </items>
    </pivotField>
    <pivotField axis="axisRow" outline="0" showAll="0" defaultSubtotal="0">
      <items count="39">
        <item x="27"/>
        <item x="0"/>
        <item x="7"/>
        <item x="2"/>
        <item x="1"/>
        <item x="4"/>
        <item x="5"/>
        <item x="31"/>
        <item x="9"/>
        <item x="15"/>
        <item x="30"/>
        <item x="23"/>
        <item x="24"/>
        <item x="3"/>
        <item x="33"/>
        <item x="16"/>
        <item x="22"/>
        <item x="20"/>
        <item x="25"/>
        <item x="17"/>
        <item x="13"/>
        <item x="26"/>
        <item x="12"/>
        <item x="32"/>
        <item x="29"/>
        <item x="19"/>
        <item x="6"/>
        <item x="21"/>
        <item x="11"/>
        <item x="28"/>
        <item x="10"/>
        <item x="18"/>
        <item x="14"/>
        <item x="8"/>
        <item x="38"/>
        <item x="35"/>
        <item x="37"/>
        <item x="36"/>
        <item x="3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numFmtId="4" showAll="0"/>
  </pivotFields>
  <rowFields count="2">
    <field x="5"/>
    <field x="4"/>
  </rowFields>
  <rowItems count="40">
    <i>
      <x/>
      <x v="31"/>
    </i>
    <i>
      <x v="1"/>
      <x v="32"/>
    </i>
    <i>
      <x v="2"/>
      <x v="18"/>
    </i>
    <i>
      <x v="3"/>
      <x v="20"/>
    </i>
    <i>
      <x v="4"/>
      <x v="19"/>
    </i>
    <i>
      <x v="5"/>
      <x v="26"/>
    </i>
    <i>
      <x v="6"/>
      <x v="25"/>
    </i>
    <i>
      <x v="7"/>
      <x v="24"/>
    </i>
    <i>
      <x v="8"/>
      <x v="23"/>
    </i>
    <i>
      <x v="9"/>
      <x v="22"/>
    </i>
    <i>
      <x v="10"/>
      <x v="21"/>
    </i>
    <i>
      <x v="11"/>
      <x v="14"/>
    </i>
    <i>
      <x v="12"/>
      <x v="13"/>
    </i>
    <i>
      <x v="13"/>
      <x v="15"/>
    </i>
    <i>
      <x v="14"/>
      <x v="16"/>
    </i>
    <i>
      <x v="15"/>
      <x v="1"/>
    </i>
    <i>
      <x v="16"/>
      <x v="3"/>
    </i>
    <i>
      <x v="17"/>
      <x/>
    </i>
    <i>
      <x v="18"/>
      <x v="2"/>
    </i>
    <i>
      <x v="19"/>
      <x v="33"/>
    </i>
    <i>
      <x v="20"/>
      <x v="36"/>
    </i>
    <i>
      <x v="21"/>
      <x v="37"/>
    </i>
    <i>
      <x v="22"/>
      <x v="34"/>
    </i>
    <i>
      <x v="23"/>
      <x v="35"/>
    </i>
    <i>
      <x v="24"/>
      <x v="38"/>
    </i>
    <i>
      <x v="25"/>
      <x v="7"/>
    </i>
    <i>
      <x v="26"/>
      <x v="6"/>
    </i>
    <i>
      <x v="27"/>
      <x v="5"/>
    </i>
    <i>
      <x v="28"/>
      <x v="10"/>
    </i>
    <i>
      <x v="29"/>
      <x v="8"/>
    </i>
    <i>
      <x v="30"/>
      <x v="9"/>
    </i>
    <i>
      <x v="31"/>
      <x v="11"/>
    </i>
    <i>
      <x v="32"/>
      <x v="12"/>
    </i>
    <i>
      <x v="33"/>
      <x v="27"/>
    </i>
    <i>
      <x v="34"/>
      <x v="17"/>
    </i>
    <i>
      <x v="35"/>
      <x v="28"/>
    </i>
    <i>
      <x v="36"/>
      <x v="29"/>
    </i>
    <i>
      <x v="37"/>
      <x v="30"/>
    </i>
    <i>
      <x v="38"/>
      <x v="4"/>
    </i>
    <i t="grand">
      <x/>
    </i>
  </rowItems>
  <colFields count="1">
    <field x="66"/>
  </colFields>
  <colItems count="3">
    <i>
      <x/>
    </i>
    <i>
      <x v="1"/>
    </i>
    <i t="grand">
      <x/>
    </i>
  </colItems>
  <dataFields count="1">
    <dataField name="データの個数 / カルテ作成有無" fld="66" subtotal="count" baseField="0" baseItem="0"/>
  </dataFields>
  <formats count="5">
    <format dxfId="440">
      <pivotArea type="origin" dataOnly="0" labelOnly="1" outline="0" fieldPosition="0"/>
    </format>
    <format dxfId="439">
      <pivotArea field="5" type="button" dataOnly="0" labelOnly="1" outline="0" axis="axisRow" fieldPosition="0"/>
    </format>
    <format dxfId="438">
      <pivotArea field="4" type="button" dataOnly="0" labelOnly="1" outline="0" axis="axisRow" fieldPosition="1"/>
    </format>
    <format dxfId="437">
      <pivotArea dataOnly="0" labelOnly="1" fieldPosition="0">
        <references count="1">
          <reference field="66" count="0"/>
        </references>
      </pivotArea>
    </format>
    <format dxfId="43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ﾋﾟﾎﾞｯﾄﾃｰﾌﾞﾙ6"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69:K84" firstHeaderRow="1" firstDataRow="4" firstDataCol="1"/>
  <pivotFields count="43">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Col"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3">
    <field x="34"/>
    <field x="35"/>
    <field x="18"/>
  </colFields>
  <colItems count="10">
    <i>
      <x/>
      <x/>
    </i>
    <i r="1">
      <x v="1"/>
      <x/>
    </i>
    <i r="2">
      <x v="2"/>
    </i>
    <i r="2">
      <x v="3"/>
    </i>
    <i>
      <x v="1"/>
    </i>
    <i>
      <x v="2"/>
    </i>
    <i>
      <x v="3"/>
    </i>
    <i>
      <x v="4"/>
    </i>
    <i>
      <x v="5"/>
      <x v="1"/>
      <x v="3"/>
    </i>
    <i t="grand">
      <x/>
    </i>
  </colItems>
  <dataFields count="1">
    <dataField name="データの個数 / 延床面積" fld="11" subtotal="count" baseField="41" baseItem="0"/>
  </dataFields>
  <formats count="28">
    <format dxfId="310">
      <pivotArea field="34" type="button" dataOnly="0" labelOnly="1" outline="0" axis="axisCol" fieldPosition="0"/>
    </format>
    <format dxfId="309">
      <pivotArea field="18" type="button" dataOnly="0" labelOnly="1" outline="0" axis="axisCol" fieldPosition="2"/>
    </format>
    <format dxfId="308">
      <pivotArea field="-2" type="button" dataOnly="0" labelOnly="1" outline="0" axis="axisValues" fieldPosition="0"/>
    </format>
    <format dxfId="307">
      <pivotArea type="topRight" dataOnly="0" labelOnly="1" outline="0" fieldPosition="0"/>
    </format>
    <format dxfId="306">
      <pivotArea dataOnly="0" labelOnly="1" fieldPosition="0">
        <references count="1">
          <reference field="34" count="0"/>
        </references>
      </pivotArea>
    </format>
    <format dxfId="305">
      <pivotArea dataOnly="0" labelOnly="1" fieldPosition="0">
        <references count="2">
          <reference field="4294967294" count="1" selected="0">
            <x v="0"/>
          </reference>
          <reference field="34" count="0" defaultSubtotal="1"/>
        </references>
      </pivotArea>
    </format>
    <format dxfId="304">
      <pivotArea field="34" dataOnly="0" labelOnly="1" grandCol="1" outline="0" axis="axisCol" fieldPosition="0">
        <references count="1">
          <reference field="4294967294" count="1" selected="0">
            <x v="0"/>
          </reference>
        </references>
      </pivotArea>
    </format>
    <format dxfId="303">
      <pivotArea dataOnly="0" labelOnly="1" fieldPosition="0">
        <references count="2">
          <reference field="18" count="0"/>
          <reference field="34" count="1" selected="0">
            <x v="0"/>
          </reference>
        </references>
      </pivotArea>
    </format>
    <format dxfId="302">
      <pivotArea dataOnly="0" labelOnly="1" fieldPosition="0">
        <references count="2">
          <reference field="18" count="3">
            <x v="1"/>
            <x v="3"/>
            <x v="4"/>
          </reference>
          <reference field="34" count="1" selected="0">
            <x v="1"/>
          </reference>
        </references>
      </pivotArea>
    </format>
    <format dxfId="301">
      <pivotArea dataOnly="0" labelOnly="1" fieldPosition="0">
        <references count="2">
          <reference field="18" count="3">
            <x v="1"/>
            <x v="3"/>
            <x v="4"/>
          </reference>
          <reference field="34" count="1" selected="0">
            <x v="2"/>
          </reference>
        </references>
      </pivotArea>
    </format>
    <format dxfId="300">
      <pivotArea dataOnly="0" labelOnly="1" fieldPosition="0">
        <references count="2">
          <reference field="18" count="1">
            <x v="4"/>
          </reference>
          <reference field="34" count="1" selected="0">
            <x v="3"/>
          </reference>
        </references>
      </pivotArea>
    </format>
    <format dxfId="299">
      <pivotArea dataOnly="0" labelOnly="1" fieldPosition="0">
        <references count="2">
          <reference field="18" count="3">
            <x v="1"/>
            <x v="3"/>
            <x v="4"/>
          </reference>
          <reference field="34" count="1" selected="0">
            <x v="4"/>
          </reference>
        </references>
      </pivotArea>
    </format>
    <format dxfId="298">
      <pivotArea dataOnly="0" labelOnly="1" outline="0" fieldPosition="0">
        <references count="3">
          <reference field="4294967294" count="1">
            <x v="0"/>
          </reference>
          <reference field="18" count="1" selected="0">
            <x v="0"/>
          </reference>
          <reference field="34" count="1" selected="0">
            <x v="0"/>
          </reference>
        </references>
      </pivotArea>
    </format>
    <format dxfId="297">
      <pivotArea dataOnly="0" labelOnly="1" outline="0" fieldPosition="0">
        <references count="3">
          <reference field="4294967294" count="1">
            <x v="0"/>
          </reference>
          <reference field="18" count="1" selected="0">
            <x v="1"/>
          </reference>
          <reference field="34" count="1" selected="0">
            <x v="0"/>
          </reference>
        </references>
      </pivotArea>
    </format>
    <format dxfId="296">
      <pivotArea dataOnly="0" labelOnly="1" outline="0" fieldPosition="0">
        <references count="3">
          <reference field="4294967294" count="1">
            <x v="0"/>
          </reference>
          <reference field="18" count="1" selected="0">
            <x v="2"/>
          </reference>
          <reference field="34" count="1" selected="0">
            <x v="0"/>
          </reference>
        </references>
      </pivotArea>
    </format>
    <format dxfId="295">
      <pivotArea dataOnly="0" labelOnly="1" outline="0" fieldPosition="0">
        <references count="3">
          <reference field="4294967294" count="1">
            <x v="0"/>
          </reference>
          <reference field="18" count="1" selected="0">
            <x v="3"/>
          </reference>
          <reference field="34" count="1" selected="0">
            <x v="0"/>
          </reference>
        </references>
      </pivotArea>
    </format>
    <format dxfId="294">
      <pivotArea dataOnly="0" labelOnly="1" outline="0" fieldPosition="0">
        <references count="3">
          <reference field="4294967294" count="1">
            <x v="0"/>
          </reference>
          <reference field="18" count="1" selected="0">
            <x v="4"/>
          </reference>
          <reference field="34" count="1" selected="0">
            <x v="0"/>
          </reference>
        </references>
      </pivotArea>
    </format>
    <format dxfId="293">
      <pivotArea dataOnly="0" labelOnly="1" outline="0" fieldPosition="0">
        <references count="3">
          <reference field="4294967294" count="1">
            <x v="0"/>
          </reference>
          <reference field="18" count="1" selected="0">
            <x v="1"/>
          </reference>
          <reference field="34" count="1" selected="0">
            <x v="1"/>
          </reference>
        </references>
      </pivotArea>
    </format>
    <format dxfId="292">
      <pivotArea dataOnly="0" labelOnly="1" outline="0" fieldPosition="0">
        <references count="3">
          <reference field="4294967294" count="1">
            <x v="0"/>
          </reference>
          <reference field="18" count="1" selected="0">
            <x v="3"/>
          </reference>
          <reference field="34" count="1" selected="0">
            <x v="1"/>
          </reference>
        </references>
      </pivotArea>
    </format>
    <format dxfId="291">
      <pivotArea dataOnly="0" labelOnly="1" outline="0" fieldPosition="0">
        <references count="3">
          <reference field="4294967294" count="1">
            <x v="0"/>
          </reference>
          <reference field="18" count="1" selected="0">
            <x v="4"/>
          </reference>
          <reference field="34" count="1" selected="0">
            <x v="1"/>
          </reference>
        </references>
      </pivotArea>
    </format>
    <format dxfId="290">
      <pivotArea dataOnly="0" labelOnly="1" outline="0" fieldPosition="0">
        <references count="3">
          <reference field="4294967294" count="1">
            <x v="0"/>
          </reference>
          <reference field="18" count="1" selected="0">
            <x v="1"/>
          </reference>
          <reference field="34" count="1" selected="0">
            <x v="2"/>
          </reference>
        </references>
      </pivotArea>
    </format>
    <format dxfId="289">
      <pivotArea dataOnly="0" labelOnly="1" outline="0" fieldPosition="0">
        <references count="3">
          <reference field="4294967294" count="1">
            <x v="0"/>
          </reference>
          <reference field="18" count="1" selected="0">
            <x v="3"/>
          </reference>
          <reference field="34" count="1" selected="0">
            <x v="2"/>
          </reference>
        </references>
      </pivotArea>
    </format>
    <format dxfId="288">
      <pivotArea dataOnly="0" labelOnly="1" outline="0" fieldPosition="0">
        <references count="3">
          <reference field="4294967294" count="1">
            <x v="0"/>
          </reference>
          <reference field="18" count="1" selected="0">
            <x v="4"/>
          </reference>
          <reference field="34" count="1" selected="0">
            <x v="2"/>
          </reference>
        </references>
      </pivotArea>
    </format>
    <format dxfId="287">
      <pivotArea dataOnly="0" labelOnly="1" outline="0" fieldPosition="0">
        <references count="3">
          <reference field="4294967294" count="1">
            <x v="0"/>
          </reference>
          <reference field="18" count="1" selected="0">
            <x v="4"/>
          </reference>
          <reference field="34" count="1" selected="0">
            <x v="3"/>
          </reference>
        </references>
      </pivotArea>
    </format>
    <format dxfId="286">
      <pivotArea dataOnly="0" labelOnly="1" outline="0" fieldPosition="0">
        <references count="3">
          <reference field="4294967294" count="1">
            <x v="0"/>
          </reference>
          <reference field="18" count="1" selected="0">
            <x v="1"/>
          </reference>
          <reference field="34" count="1" selected="0">
            <x v="4"/>
          </reference>
        </references>
      </pivotArea>
    </format>
    <format dxfId="285">
      <pivotArea dataOnly="0" labelOnly="1" outline="0" fieldPosition="0">
        <references count="3">
          <reference field="4294967294" count="1">
            <x v="0"/>
          </reference>
          <reference field="18" count="1" selected="0">
            <x v="3"/>
          </reference>
          <reference field="34" count="1" selected="0">
            <x v="4"/>
          </reference>
        </references>
      </pivotArea>
    </format>
    <format dxfId="284">
      <pivotArea dataOnly="0" labelOnly="1" outline="0" fieldPosition="0">
        <references count="3">
          <reference field="4294967294" count="1">
            <x v="0"/>
          </reference>
          <reference field="18" count="1" selected="0">
            <x v="4"/>
          </reference>
          <reference field="34" count="1" selected="0">
            <x v="4"/>
          </reference>
        </references>
      </pivotArea>
    </format>
    <format dxfId="283">
      <pivotArea dataOnly="0" labelOnly="1" fieldPosition="0">
        <references count="3">
          <reference field="18" count="3">
            <x v="0"/>
            <x v="2"/>
            <x v="3"/>
          </reference>
          <reference field="34" count="1" selected="0">
            <x v="0"/>
          </reference>
          <reference field="3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3000000}" name="ﾋﾟﾎﾞｯﾄﾃｰﾌﾞﾙ1"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50:K65" firstHeaderRow="1" firstDataRow="4" firstDataCol="1"/>
  <pivotFields count="43">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Col"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3">
    <field x="34"/>
    <field x="35"/>
    <field x="18"/>
  </colFields>
  <colItems count="10">
    <i>
      <x/>
      <x/>
    </i>
    <i r="1">
      <x v="1"/>
      <x/>
    </i>
    <i r="2">
      <x v="2"/>
    </i>
    <i r="2">
      <x v="3"/>
    </i>
    <i>
      <x v="1"/>
    </i>
    <i>
      <x v="2"/>
    </i>
    <i>
      <x v="3"/>
    </i>
    <i>
      <x v="4"/>
    </i>
    <i>
      <x v="5"/>
      <x v="1"/>
      <x v="3"/>
    </i>
    <i t="grand">
      <x/>
    </i>
  </colItems>
  <dataFields count="1">
    <dataField name="合計 / 延床面積" fld="11" baseField="18" baseItem="0"/>
  </dataFields>
  <formats count="28">
    <format dxfId="338">
      <pivotArea field="34" type="button" dataOnly="0" labelOnly="1" outline="0" axis="axisCol" fieldPosition="0"/>
    </format>
    <format dxfId="337">
      <pivotArea field="18" type="button" dataOnly="0" labelOnly="1" outline="0" axis="axisCol" fieldPosition="2"/>
    </format>
    <format dxfId="336">
      <pivotArea field="-2" type="button" dataOnly="0" labelOnly="1" outline="0" axis="axisValues" fieldPosition="0"/>
    </format>
    <format dxfId="335">
      <pivotArea type="topRight" dataOnly="0" labelOnly="1" outline="0" fieldPosition="0"/>
    </format>
    <format dxfId="334">
      <pivotArea dataOnly="0" labelOnly="1" fieldPosition="0">
        <references count="1">
          <reference field="34" count="0"/>
        </references>
      </pivotArea>
    </format>
    <format dxfId="333">
      <pivotArea dataOnly="0" labelOnly="1" fieldPosition="0">
        <references count="2">
          <reference field="4294967294" count="1" selected="0">
            <x v="0"/>
          </reference>
          <reference field="34" count="0" defaultSubtotal="1"/>
        </references>
      </pivotArea>
    </format>
    <format dxfId="332">
      <pivotArea field="34" dataOnly="0" labelOnly="1" grandCol="1" outline="0" axis="axisCol" fieldPosition="0">
        <references count="1">
          <reference field="4294967294" count="1" selected="0">
            <x v="0"/>
          </reference>
        </references>
      </pivotArea>
    </format>
    <format dxfId="331">
      <pivotArea dataOnly="0" labelOnly="1" fieldPosition="0">
        <references count="2">
          <reference field="18" count="0"/>
          <reference field="34" count="1" selected="0">
            <x v="0"/>
          </reference>
        </references>
      </pivotArea>
    </format>
    <format dxfId="330">
      <pivotArea dataOnly="0" labelOnly="1" fieldPosition="0">
        <references count="2">
          <reference field="18" count="3">
            <x v="1"/>
            <x v="3"/>
            <x v="4"/>
          </reference>
          <reference field="34" count="1" selected="0">
            <x v="1"/>
          </reference>
        </references>
      </pivotArea>
    </format>
    <format dxfId="329">
      <pivotArea dataOnly="0" labelOnly="1" fieldPosition="0">
        <references count="2">
          <reference field="18" count="3">
            <x v="1"/>
            <x v="3"/>
            <x v="4"/>
          </reference>
          <reference field="34" count="1" selected="0">
            <x v="2"/>
          </reference>
        </references>
      </pivotArea>
    </format>
    <format dxfId="328">
      <pivotArea dataOnly="0" labelOnly="1" fieldPosition="0">
        <references count="2">
          <reference field="18" count="1">
            <x v="4"/>
          </reference>
          <reference field="34" count="1" selected="0">
            <x v="3"/>
          </reference>
        </references>
      </pivotArea>
    </format>
    <format dxfId="327">
      <pivotArea dataOnly="0" labelOnly="1" fieldPosition="0">
        <references count="2">
          <reference field="18" count="3">
            <x v="1"/>
            <x v="3"/>
            <x v="4"/>
          </reference>
          <reference field="34" count="1" selected="0">
            <x v="4"/>
          </reference>
        </references>
      </pivotArea>
    </format>
    <format dxfId="326">
      <pivotArea dataOnly="0" labelOnly="1" outline="0" fieldPosition="0">
        <references count="3">
          <reference field="4294967294" count="1">
            <x v="0"/>
          </reference>
          <reference field="18" count="1" selected="0">
            <x v="0"/>
          </reference>
          <reference field="34" count="1" selected="0">
            <x v="0"/>
          </reference>
        </references>
      </pivotArea>
    </format>
    <format dxfId="325">
      <pivotArea dataOnly="0" labelOnly="1" outline="0" fieldPosition="0">
        <references count="3">
          <reference field="4294967294" count="1">
            <x v="0"/>
          </reference>
          <reference field="18" count="1" selected="0">
            <x v="1"/>
          </reference>
          <reference field="34" count="1" selected="0">
            <x v="0"/>
          </reference>
        </references>
      </pivotArea>
    </format>
    <format dxfId="324">
      <pivotArea dataOnly="0" labelOnly="1" outline="0" fieldPosition="0">
        <references count="3">
          <reference field="4294967294" count="1">
            <x v="0"/>
          </reference>
          <reference field="18" count="1" selected="0">
            <x v="2"/>
          </reference>
          <reference field="34" count="1" selected="0">
            <x v="0"/>
          </reference>
        </references>
      </pivotArea>
    </format>
    <format dxfId="323">
      <pivotArea dataOnly="0" labelOnly="1" outline="0" fieldPosition="0">
        <references count="3">
          <reference field="4294967294" count="1">
            <x v="0"/>
          </reference>
          <reference field="18" count="1" selected="0">
            <x v="3"/>
          </reference>
          <reference field="34" count="1" selected="0">
            <x v="0"/>
          </reference>
        </references>
      </pivotArea>
    </format>
    <format dxfId="322">
      <pivotArea dataOnly="0" labelOnly="1" outline="0" fieldPosition="0">
        <references count="3">
          <reference field="4294967294" count="1">
            <x v="0"/>
          </reference>
          <reference field="18" count="1" selected="0">
            <x v="4"/>
          </reference>
          <reference field="34" count="1" selected="0">
            <x v="0"/>
          </reference>
        </references>
      </pivotArea>
    </format>
    <format dxfId="321">
      <pivotArea dataOnly="0" labelOnly="1" outline="0" fieldPosition="0">
        <references count="3">
          <reference field="4294967294" count="1">
            <x v="0"/>
          </reference>
          <reference field="18" count="1" selected="0">
            <x v="1"/>
          </reference>
          <reference field="34" count="1" selected="0">
            <x v="1"/>
          </reference>
        </references>
      </pivotArea>
    </format>
    <format dxfId="320">
      <pivotArea dataOnly="0" labelOnly="1" outline="0" fieldPosition="0">
        <references count="3">
          <reference field="4294967294" count="1">
            <x v="0"/>
          </reference>
          <reference field="18" count="1" selected="0">
            <x v="3"/>
          </reference>
          <reference field="34" count="1" selected="0">
            <x v="1"/>
          </reference>
        </references>
      </pivotArea>
    </format>
    <format dxfId="319">
      <pivotArea dataOnly="0" labelOnly="1" outline="0" fieldPosition="0">
        <references count="3">
          <reference field="4294967294" count="1">
            <x v="0"/>
          </reference>
          <reference field="18" count="1" selected="0">
            <x v="4"/>
          </reference>
          <reference field="34" count="1" selected="0">
            <x v="1"/>
          </reference>
        </references>
      </pivotArea>
    </format>
    <format dxfId="318">
      <pivotArea dataOnly="0" labelOnly="1" outline="0" fieldPosition="0">
        <references count="3">
          <reference field="4294967294" count="1">
            <x v="0"/>
          </reference>
          <reference field="18" count="1" selected="0">
            <x v="1"/>
          </reference>
          <reference field="34" count="1" selected="0">
            <x v="2"/>
          </reference>
        </references>
      </pivotArea>
    </format>
    <format dxfId="317">
      <pivotArea dataOnly="0" labelOnly="1" outline="0" fieldPosition="0">
        <references count="3">
          <reference field="4294967294" count="1">
            <x v="0"/>
          </reference>
          <reference field="18" count="1" selected="0">
            <x v="3"/>
          </reference>
          <reference field="34" count="1" selected="0">
            <x v="2"/>
          </reference>
        </references>
      </pivotArea>
    </format>
    <format dxfId="316">
      <pivotArea dataOnly="0" labelOnly="1" outline="0" fieldPosition="0">
        <references count="3">
          <reference field="4294967294" count="1">
            <x v="0"/>
          </reference>
          <reference field="18" count="1" selected="0">
            <x v="4"/>
          </reference>
          <reference field="34" count="1" selected="0">
            <x v="2"/>
          </reference>
        </references>
      </pivotArea>
    </format>
    <format dxfId="315">
      <pivotArea dataOnly="0" labelOnly="1" outline="0" fieldPosition="0">
        <references count="3">
          <reference field="4294967294" count="1">
            <x v="0"/>
          </reference>
          <reference field="18" count="1" selected="0">
            <x v="4"/>
          </reference>
          <reference field="34" count="1" selected="0">
            <x v="3"/>
          </reference>
        </references>
      </pivotArea>
    </format>
    <format dxfId="314">
      <pivotArea dataOnly="0" labelOnly="1" outline="0" fieldPosition="0">
        <references count="3">
          <reference field="4294967294" count="1">
            <x v="0"/>
          </reference>
          <reference field="18" count="1" selected="0">
            <x v="1"/>
          </reference>
          <reference field="34" count="1" selected="0">
            <x v="4"/>
          </reference>
        </references>
      </pivotArea>
    </format>
    <format dxfId="313">
      <pivotArea dataOnly="0" labelOnly="1" outline="0" fieldPosition="0">
        <references count="3">
          <reference field="4294967294" count="1">
            <x v="0"/>
          </reference>
          <reference field="18" count="1" selected="0">
            <x v="3"/>
          </reference>
          <reference field="34" count="1" selected="0">
            <x v="4"/>
          </reference>
        </references>
      </pivotArea>
    </format>
    <format dxfId="312">
      <pivotArea dataOnly="0" labelOnly="1" outline="0" fieldPosition="0">
        <references count="3">
          <reference field="4294967294" count="1">
            <x v="0"/>
          </reference>
          <reference field="18" count="1" selected="0">
            <x v="4"/>
          </reference>
          <reference field="34" count="1" selected="0">
            <x v="4"/>
          </reference>
        </references>
      </pivotArea>
    </format>
    <format dxfId="311">
      <pivotArea dataOnly="0" labelOnly="1" fieldPosition="0">
        <references count="3">
          <reference field="18" count="3">
            <x v="0"/>
            <x v="2"/>
            <x v="3"/>
          </reference>
          <reference field="34" count="1" selected="0">
            <x v="0"/>
          </reference>
          <reference field="3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7000000}" name="ﾋﾟﾎﾞｯﾄﾃｰﾌﾞﾙ7"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03:T114" firstHeaderRow="1" firstDataRow="4" firstDataCol="1"/>
  <pivotFields count="43">
    <pivotField showAll="0"/>
    <pivotField showAll="0"/>
    <pivotField showAll="0"/>
    <pivotField showAll="0"/>
    <pivotField showAll="0"/>
    <pivotField showAll="0"/>
    <pivotField showAll="0"/>
    <pivotField showAll="0"/>
    <pivotField axis="axisRow" showAll="0" defaultSubtotal="0">
      <items count="8">
        <item x="0"/>
        <item x="1"/>
        <item x="2"/>
        <item x="3"/>
        <item x="4"/>
        <item x="5"/>
        <item x="6"/>
        <item x="7"/>
      </items>
    </pivotField>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8"/>
  </rowFields>
  <rowItems count="8">
    <i>
      <x/>
    </i>
    <i>
      <x v="1"/>
    </i>
    <i>
      <x v="2"/>
    </i>
    <i>
      <x v="3"/>
    </i>
    <i>
      <x v="4"/>
    </i>
    <i>
      <x v="5"/>
    </i>
    <i>
      <x v="6"/>
    </i>
    <i t="grand">
      <x/>
    </i>
  </rowItems>
  <colFields count="3">
    <field x="34"/>
    <field x="35"/>
    <field x="41"/>
  </colFields>
  <colItems count="19">
    <i>
      <x/>
      <x/>
    </i>
    <i r="1">
      <x v="1"/>
      <x/>
    </i>
    <i r="2">
      <x v="1"/>
    </i>
    <i r="2">
      <x v="2"/>
    </i>
    <i r="2">
      <x v="3"/>
    </i>
    <i r="2">
      <x v="4"/>
    </i>
    <i r="2">
      <x v="5"/>
    </i>
    <i r="2">
      <x v="6"/>
    </i>
    <i r="2">
      <x v="7"/>
    </i>
    <i r="2">
      <x v="8"/>
    </i>
    <i r="2">
      <x v="9"/>
    </i>
    <i r="2">
      <x v="10"/>
    </i>
    <i>
      <x v="1"/>
    </i>
    <i>
      <x v="2"/>
    </i>
    <i>
      <x v="3"/>
    </i>
    <i>
      <x v="4"/>
    </i>
    <i>
      <x v="5"/>
      <x v="1"/>
      <x/>
    </i>
    <i r="2">
      <x v="2"/>
    </i>
    <i t="grand">
      <x/>
    </i>
  </colItems>
  <dataFields count="1">
    <dataField name="データの個数 / 延床面積" fld="11" subtotal="count" baseField="8" baseItem="0"/>
  </dataFields>
  <formats count="24">
    <format dxfId="362">
      <pivotArea field="34" type="button" dataOnly="0" labelOnly="1" outline="0" axis="axisCol" fieldPosition="0"/>
    </format>
    <format dxfId="361">
      <pivotArea field="18" type="button" dataOnly="0" labelOnly="1" outline="0"/>
    </format>
    <format dxfId="360">
      <pivotArea field="-2" type="button" dataOnly="0" labelOnly="1" outline="0" axis="axisValues" fieldPosition="0"/>
    </format>
    <format dxfId="359">
      <pivotArea type="topRight" dataOnly="0" labelOnly="1" outline="0" fieldPosition="0"/>
    </format>
    <format dxfId="358">
      <pivotArea dataOnly="0" labelOnly="1" fieldPosition="0">
        <references count="1">
          <reference field="34" count="0"/>
        </references>
      </pivotArea>
    </format>
    <format dxfId="357">
      <pivotArea dataOnly="0" labelOnly="1" fieldPosition="0">
        <references count="2">
          <reference field="4294967294" count="1" selected="0">
            <x v="0"/>
          </reference>
          <reference field="34" count="0" defaultSubtotal="1"/>
        </references>
      </pivotArea>
    </format>
    <format dxfId="356">
      <pivotArea field="34" dataOnly="0" labelOnly="1" grandCol="1" outline="0" axis="axisCol" fieldPosition="0">
        <references count="1">
          <reference field="4294967294" count="1" selected="0">
            <x v="0"/>
          </reference>
        </references>
      </pivotArea>
    </format>
    <format dxfId="355">
      <pivotArea field="8" type="button" dataOnly="0" labelOnly="1" outline="0" axis="axisRow" fieldPosition="0"/>
    </format>
    <format dxfId="354">
      <pivotArea dataOnly="0" labelOnly="1" fieldPosition="0">
        <references count="1">
          <reference field="34" count="1">
            <x v="1"/>
          </reference>
        </references>
      </pivotArea>
    </format>
    <format dxfId="353">
      <pivotArea dataOnly="0" labelOnly="1" fieldPosition="0">
        <references count="1">
          <reference field="34" count="1">
            <x v="2"/>
          </reference>
        </references>
      </pivotArea>
    </format>
    <format dxfId="352">
      <pivotArea dataOnly="0" labelOnly="1" fieldPosition="0">
        <references count="1">
          <reference field="34" count="1">
            <x v="3"/>
          </reference>
        </references>
      </pivotArea>
    </format>
    <format dxfId="351">
      <pivotArea dataOnly="0" labelOnly="1" fieldPosition="0">
        <references count="1">
          <reference field="34" count="1">
            <x v="4"/>
          </reference>
        </references>
      </pivotArea>
    </format>
    <format dxfId="350">
      <pivotArea dataOnly="0" labelOnly="1" grandCol="1" outline="0" fieldPosition="0"/>
    </format>
    <format dxfId="349">
      <pivotArea dataOnly="0" labelOnly="1" fieldPosition="0">
        <references count="2">
          <reference field="34" count="1" selected="0">
            <x v="0"/>
          </reference>
          <reference field="35" count="1">
            <x v="0"/>
          </reference>
        </references>
      </pivotArea>
    </format>
    <format dxfId="348">
      <pivotArea dataOnly="0" labelOnly="1" fieldPosition="0">
        <references count="3">
          <reference field="34" count="1" selected="0">
            <x v="0"/>
          </reference>
          <reference field="35" count="1" selected="0">
            <x v="1"/>
          </reference>
          <reference field="41" count="0"/>
        </references>
      </pivotArea>
    </format>
    <format dxfId="347">
      <pivotArea field="8" type="button" dataOnly="0" labelOnly="1" outline="0" axis="axisRow" fieldPosition="0"/>
    </format>
    <format dxfId="346">
      <pivotArea dataOnly="0" labelOnly="1" fieldPosition="0">
        <references count="1">
          <reference field="34" count="1">
            <x v="1"/>
          </reference>
        </references>
      </pivotArea>
    </format>
    <format dxfId="345">
      <pivotArea dataOnly="0" labelOnly="1" fieldPosition="0">
        <references count="1">
          <reference field="34" count="1">
            <x v="2"/>
          </reference>
        </references>
      </pivotArea>
    </format>
    <format dxfId="344">
      <pivotArea dataOnly="0" labelOnly="1" fieldPosition="0">
        <references count="1">
          <reference field="34" count="1">
            <x v="3"/>
          </reference>
        </references>
      </pivotArea>
    </format>
    <format dxfId="343">
      <pivotArea dataOnly="0" labelOnly="1" fieldPosition="0">
        <references count="1">
          <reference field="34" count="1">
            <x v="4"/>
          </reference>
        </references>
      </pivotArea>
    </format>
    <format dxfId="342">
      <pivotArea dataOnly="0" labelOnly="1" grandCol="1" outline="0" fieldPosition="0"/>
    </format>
    <format dxfId="341">
      <pivotArea dataOnly="0" labelOnly="1" fieldPosition="0">
        <references count="2">
          <reference field="34" count="1" selected="0">
            <x v="0"/>
          </reference>
          <reference field="35" count="1">
            <x v="0"/>
          </reference>
        </references>
      </pivotArea>
    </format>
    <format dxfId="340">
      <pivotArea dataOnly="0" labelOnly="1" fieldPosition="0">
        <references count="3">
          <reference field="34" count="1" selected="0">
            <x v="0"/>
          </reference>
          <reference field="35" count="1" selected="0">
            <x v="1"/>
          </reference>
          <reference field="41" count="0"/>
        </references>
      </pivotArea>
    </format>
    <format dxfId="339">
      <pivotArea dataOnly="0" labelOnly="1" fieldPosition="0">
        <references count="3">
          <reference field="34" count="1" selected="0">
            <x v="5"/>
          </reference>
          <reference field="35" count="1" selected="0">
            <x v="1"/>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6000000}" name="ﾋﾟﾎﾞｯﾄﾃｰﾌﾞﾙ4"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20:J46" firstHeaderRow="1" firstDataRow="3" firstDataCol="2"/>
  <pivotFields count="43">
    <pivotField showAll="0"/>
    <pivotField showAll="0"/>
    <pivotField showAll="0"/>
    <pivotField showAll="0"/>
    <pivotField showAll="0"/>
    <pivotField showAll="0"/>
    <pivotField showAll="0"/>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outline="0" showAll="0" defaultSubtotal="0">
      <items count="11">
        <item x="0"/>
        <item x="1"/>
        <item x="2"/>
        <item x="3"/>
        <item x="4"/>
        <item x="5"/>
        <item x="6"/>
        <item x="7"/>
        <item x="8"/>
        <item x="9"/>
        <item x="10"/>
      </items>
    </pivotField>
    <pivotField axis="axisRow" showAll="0" defaultSubtotal="0">
      <items count="25">
        <item x="17"/>
        <item x="3"/>
        <item m="1" x="23"/>
        <item x="16"/>
        <item x="15"/>
        <item x="7"/>
        <item x="4"/>
        <item x="13"/>
        <item x="18"/>
        <item x="0"/>
        <item x="20"/>
        <item x="11"/>
        <item x="19"/>
        <item x="1"/>
        <item x="14"/>
        <item x="21"/>
        <item x="9"/>
        <item x="5"/>
        <item x="12"/>
        <item m="1" x="24"/>
        <item x="22"/>
        <item x="2"/>
        <item x="6"/>
        <item x="8"/>
        <item x="10"/>
      </items>
    </pivotField>
  </pivotFields>
  <rowFields count="2">
    <field x="41"/>
    <field x="42"/>
  </rowFields>
  <rowItems count="24">
    <i>
      <x/>
      <x v="9"/>
    </i>
    <i r="1">
      <x v="13"/>
    </i>
    <i r="1">
      <x v="21"/>
    </i>
    <i>
      <x v="1"/>
      <x v="1"/>
    </i>
    <i>
      <x v="2"/>
      <x v="6"/>
    </i>
    <i r="1">
      <x v="17"/>
    </i>
    <i r="1">
      <x v="22"/>
    </i>
    <i>
      <x v="3"/>
      <x v="5"/>
    </i>
    <i r="1">
      <x v="16"/>
    </i>
    <i r="1">
      <x v="23"/>
    </i>
    <i r="1">
      <x v="24"/>
    </i>
    <i>
      <x v="4"/>
      <x v="11"/>
    </i>
    <i r="1">
      <x v="18"/>
    </i>
    <i>
      <x v="5"/>
      <x v="7"/>
    </i>
    <i r="1">
      <x v="14"/>
    </i>
    <i>
      <x v="6"/>
      <x v="4"/>
    </i>
    <i>
      <x v="7"/>
      <x v="3"/>
    </i>
    <i>
      <x v="8"/>
      <x/>
    </i>
    <i>
      <x v="9"/>
      <x v="8"/>
    </i>
    <i r="1">
      <x v="12"/>
    </i>
    <i>
      <x v="10"/>
      <x v="10"/>
    </i>
    <i r="1">
      <x v="15"/>
    </i>
    <i r="1">
      <x v="20"/>
    </i>
    <i t="grand">
      <x/>
    </i>
  </rowItems>
  <colFields count="2">
    <field x="34"/>
    <field x="35"/>
  </colFields>
  <colItems count="8">
    <i>
      <x/>
      <x/>
    </i>
    <i r="1">
      <x v="1"/>
    </i>
    <i>
      <x v="1"/>
    </i>
    <i>
      <x v="2"/>
    </i>
    <i>
      <x v="3"/>
    </i>
    <i>
      <x v="4"/>
    </i>
    <i>
      <x v="5"/>
      <x v="1"/>
    </i>
    <i t="grand">
      <x/>
    </i>
  </colItems>
  <dataFields count="1">
    <dataField name="合計 / 延床面積" fld="11" baseField="18" baseItem="0"/>
  </dataFields>
  <formats count="18">
    <format dxfId="380">
      <pivotArea field="34" type="button" dataOnly="0" labelOnly="1" outline="0" axis="axisCol" fieldPosition="0"/>
    </format>
    <format dxfId="379">
      <pivotArea field="18" type="button" dataOnly="0" labelOnly="1" outline="0"/>
    </format>
    <format dxfId="378">
      <pivotArea field="-2" type="button" dataOnly="0" labelOnly="1" outline="0" axis="axisValues" fieldPosition="0"/>
    </format>
    <format dxfId="377">
      <pivotArea type="topRight" dataOnly="0" labelOnly="1" outline="0" fieldPosition="0"/>
    </format>
    <format dxfId="376">
      <pivotArea dataOnly="0" labelOnly="1" fieldPosition="0">
        <references count="1">
          <reference field="34" count="0"/>
        </references>
      </pivotArea>
    </format>
    <format dxfId="375">
      <pivotArea dataOnly="0" labelOnly="1" fieldPosition="0">
        <references count="2">
          <reference field="4294967294" count="1" selected="0">
            <x v="0"/>
          </reference>
          <reference field="34" count="0" defaultSubtotal="1"/>
        </references>
      </pivotArea>
    </format>
    <format dxfId="374">
      <pivotArea field="34" dataOnly="0" labelOnly="1" grandCol="1" outline="0" axis="axisCol" fieldPosition="0">
        <references count="1">
          <reference field="4294967294" count="1" selected="0">
            <x v="0"/>
          </reference>
        </references>
      </pivotArea>
    </format>
    <format dxfId="373">
      <pivotArea dataOnly="0" labelOnly="1" fieldPosition="0">
        <references count="2">
          <reference field="41" count="1" selected="0">
            <x v="0"/>
          </reference>
          <reference field="42" count="3">
            <x v="9"/>
            <x v="13"/>
            <x v="21"/>
          </reference>
        </references>
      </pivotArea>
    </format>
    <format dxfId="372">
      <pivotArea dataOnly="0" labelOnly="1" fieldPosition="0">
        <references count="2">
          <reference field="41" count="1" selected="0">
            <x v="1"/>
          </reference>
          <reference field="42" count="1">
            <x v="1"/>
          </reference>
        </references>
      </pivotArea>
    </format>
    <format dxfId="371">
      <pivotArea dataOnly="0" labelOnly="1" fieldPosition="0">
        <references count="2">
          <reference field="41" count="1" selected="0">
            <x v="2"/>
          </reference>
          <reference field="42" count="3">
            <x v="6"/>
            <x v="17"/>
            <x v="22"/>
          </reference>
        </references>
      </pivotArea>
    </format>
    <format dxfId="370">
      <pivotArea dataOnly="0" labelOnly="1" fieldPosition="0">
        <references count="2">
          <reference field="41" count="1" selected="0">
            <x v="3"/>
          </reference>
          <reference field="42" count="4">
            <x v="5"/>
            <x v="16"/>
            <x v="23"/>
            <x v="24"/>
          </reference>
        </references>
      </pivotArea>
    </format>
    <format dxfId="369">
      <pivotArea dataOnly="0" labelOnly="1" fieldPosition="0">
        <references count="2">
          <reference field="41" count="1" selected="0">
            <x v="4"/>
          </reference>
          <reference field="42" count="2">
            <x v="11"/>
            <x v="18"/>
          </reference>
        </references>
      </pivotArea>
    </format>
    <format dxfId="368">
      <pivotArea dataOnly="0" labelOnly="1" fieldPosition="0">
        <references count="2">
          <reference field="41" count="1" selected="0">
            <x v="5"/>
          </reference>
          <reference field="42" count="2">
            <x v="7"/>
            <x v="14"/>
          </reference>
        </references>
      </pivotArea>
    </format>
    <format dxfId="367">
      <pivotArea dataOnly="0" labelOnly="1" fieldPosition="0">
        <references count="2">
          <reference field="41" count="1" selected="0">
            <x v="6"/>
          </reference>
          <reference field="42" count="1">
            <x v="4"/>
          </reference>
        </references>
      </pivotArea>
    </format>
    <format dxfId="366">
      <pivotArea dataOnly="0" labelOnly="1" fieldPosition="0">
        <references count="2">
          <reference field="41" count="1" selected="0">
            <x v="7"/>
          </reference>
          <reference field="42" count="1">
            <x v="3"/>
          </reference>
        </references>
      </pivotArea>
    </format>
    <format dxfId="365">
      <pivotArea dataOnly="0" labelOnly="1" fieldPosition="0">
        <references count="2">
          <reference field="41" count="1" selected="0">
            <x v="8"/>
          </reference>
          <reference field="42" count="1">
            <x v="0"/>
          </reference>
        </references>
      </pivotArea>
    </format>
    <format dxfId="364">
      <pivotArea dataOnly="0" labelOnly="1" fieldPosition="0">
        <references count="2">
          <reference field="41" count="1" selected="0">
            <x v="9"/>
          </reference>
          <reference field="42" count="2">
            <x v="8"/>
            <x v="12"/>
          </reference>
        </references>
      </pivotArea>
    </format>
    <format dxfId="363">
      <pivotArea dataOnly="0" labelOnly="1" fieldPosition="0">
        <references count="2">
          <reference field="41" count="1" selected="0">
            <x v="10"/>
          </reference>
          <reference field="42" count="3">
            <x v="10"/>
            <x v="15"/>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ﾋﾟﾎﾞｯﾄﾃｰﾌﾞﾙ2"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88:T99" firstHeaderRow="1" firstDataRow="4" firstDataCol="1"/>
  <pivotFields count="43">
    <pivotField showAll="0"/>
    <pivotField showAll="0"/>
    <pivotField showAll="0"/>
    <pivotField showAll="0"/>
    <pivotField showAll="0"/>
    <pivotField showAll="0"/>
    <pivotField showAll="0"/>
    <pivotField showAll="0"/>
    <pivotField axis="axisRow" showAll="0" defaultSubtotal="0">
      <items count="8">
        <item x="0"/>
        <item x="1"/>
        <item x="2"/>
        <item x="3"/>
        <item x="4"/>
        <item x="5"/>
        <item x="6"/>
        <item x="7"/>
      </items>
    </pivotField>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8"/>
  </rowFields>
  <rowItems count="8">
    <i>
      <x/>
    </i>
    <i>
      <x v="1"/>
    </i>
    <i>
      <x v="2"/>
    </i>
    <i>
      <x v="3"/>
    </i>
    <i>
      <x v="4"/>
    </i>
    <i>
      <x v="5"/>
    </i>
    <i>
      <x v="6"/>
    </i>
    <i t="grand">
      <x/>
    </i>
  </rowItems>
  <colFields count="3">
    <field x="34"/>
    <field x="35"/>
    <field x="41"/>
  </colFields>
  <colItems count="19">
    <i>
      <x/>
      <x/>
    </i>
    <i r="1">
      <x v="1"/>
      <x/>
    </i>
    <i r="2">
      <x v="1"/>
    </i>
    <i r="2">
      <x v="2"/>
    </i>
    <i r="2">
      <x v="3"/>
    </i>
    <i r="2">
      <x v="4"/>
    </i>
    <i r="2">
      <x v="5"/>
    </i>
    <i r="2">
      <x v="6"/>
    </i>
    <i r="2">
      <x v="7"/>
    </i>
    <i r="2">
      <x v="8"/>
    </i>
    <i r="2">
      <x v="9"/>
    </i>
    <i r="2">
      <x v="10"/>
    </i>
    <i>
      <x v="1"/>
    </i>
    <i>
      <x v="2"/>
    </i>
    <i>
      <x v="3"/>
    </i>
    <i>
      <x v="4"/>
    </i>
    <i>
      <x v="5"/>
      <x v="1"/>
      <x/>
    </i>
    <i r="2">
      <x v="2"/>
    </i>
    <i t="grand">
      <x/>
    </i>
  </colItems>
  <dataFields count="1">
    <dataField name="合計 / 延床面積" fld="11" baseField="18" baseItem="0"/>
  </dataFields>
  <formats count="25">
    <format dxfId="405">
      <pivotArea field="34" type="button" dataOnly="0" labelOnly="1" outline="0" axis="axisCol" fieldPosition="0"/>
    </format>
    <format dxfId="404">
      <pivotArea field="18" type="button" dataOnly="0" labelOnly="1" outline="0"/>
    </format>
    <format dxfId="403">
      <pivotArea field="-2" type="button" dataOnly="0" labelOnly="1" outline="0" axis="axisValues" fieldPosition="0"/>
    </format>
    <format dxfId="402">
      <pivotArea type="topRight" dataOnly="0" labelOnly="1" outline="0" fieldPosition="0"/>
    </format>
    <format dxfId="401">
      <pivotArea dataOnly="0" labelOnly="1" fieldPosition="0">
        <references count="1">
          <reference field="34" count="0"/>
        </references>
      </pivotArea>
    </format>
    <format dxfId="400">
      <pivotArea dataOnly="0" labelOnly="1" fieldPosition="0">
        <references count="2">
          <reference field="4294967294" count="1" selected="0">
            <x v="0"/>
          </reference>
          <reference field="34" count="0" defaultSubtotal="1"/>
        </references>
      </pivotArea>
    </format>
    <format dxfId="399">
      <pivotArea field="34" dataOnly="0" labelOnly="1" grandCol="1" outline="0" axis="axisCol" fieldPosition="0">
        <references count="1">
          <reference field="4294967294" count="1" selected="0">
            <x v="0"/>
          </reference>
        </references>
      </pivotArea>
    </format>
    <format dxfId="398">
      <pivotArea field="8" type="button" dataOnly="0" labelOnly="1" outline="0" axis="axisRow" fieldPosition="0"/>
    </format>
    <format dxfId="397">
      <pivotArea dataOnly="0" labelOnly="1" fieldPosition="0">
        <references count="1">
          <reference field="34" count="1">
            <x v="1"/>
          </reference>
        </references>
      </pivotArea>
    </format>
    <format dxfId="396">
      <pivotArea dataOnly="0" labelOnly="1" fieldPosition="0">
        <references count="1">
          <reference field="34" count="1">
            <x v="2"/>
          </reference>
        </references>
      </pivotArea>
    </format>
    <format dxfId="395">
      <pivotArea dataOnly="0" labelOnly="1" fieldPosition="0">
        <references count="1">
          <reference field="34" count="1">
            <x v="3"/>
          </reference>
        </references>
      </pivotArea>
    </format>
    <format dxfId="394">
      <pivotArea dataOnly="0" labelOnly="1" fieldPosition="0">
        <references count="1">
          <reference field="34" count="1">
            <x v="4"/>
          </reference>
        </references>
      </pivotArea>
    </format>
    <format dxfId="393">
      <pivotArea dataOnly="0" labelOnly="1" grandCol="1" outline="0" fieldPosition="0"/>
    </format>
    <format dxfId="392">
      <pivotArea dataOnly="0" labelOnly="1" fieldPosition="0">
        <references count="2">
          <reference field="34" count="1" selected="0">
            <x v="0"/>
          </reference>
          <reference field="35" count="1">
            <x v="0"/>
          </reference>
        </references>
      </pivotArea>
    </format>
    <format dxfId="391">
      <pivotArea dataOnly="0" labelOnly="1" fieldPosition="0">
        <references count="3">
          <reference field="34" count="1" selected="0">
            <x v="0"/>
          </reference>
          <reference field="35" count="1" selected="0">
            <x v="1"/>
          </reference>
          <reference field="41" count="0"/>
        </references>
      </pivotArea>
    </format>
    <format dxfId="390">
      <pivotArea dataOnly="0" labelOnly="1" fieldPosition="0">
        <references count="3">
          <reference field="34" count="1" selected="0">
            <x v="5"/>
          </reference>
          <reference field="35" count="1" selected="0">
            <x v="1"/>
          </reference>
          <reference field="41" count="2">
            <x v="0"/>
            <x v="2"/>
          </reference>
        </references>
      </pivotArea>
    </format>
    <format dxfId="389">
      <pivotArea field="8" type="button" dataOnly="0" labelOnly="1" outline="0" axis="axisRow" fieldPosition="0"/>
    </format>
    <format dxfId="388">
      <pivotArea dataOnly="0" labelOnly="1" fieldPosition="0">
        <references count="1">
          <reference field="34" count="1">
            <x v="1"/>
          </reference>
        </references>
      </pivotArea>
    </format>
    <format dxfId="387">
      <pivotArea dataOnly="0" labelOnly="1" fieldPosition="0">
        <references count="1">
          <reference field="34" count="1">
            <x v="2"/>
          </reference>
        </references>
      </pivotArea>
    </format>
    <format dxfId="386">
      <pivotArea dataOnly="0" labelOnly="1" fieldPosition="0">
        <references count="1">
          <reference field="34" count="1">
            <x v="3"/>
          </reference>
        </references>
      </pivotArea>
    </format>
    <format dxfId="385">
      <pivotArea dataOnly="0" labelOnly="1" fieldPosition="0">
        <references count="1">
          <reference field="34" count="1">
            <x v="4"/>
          </reference>
        </references>
      </pivotArea>
    </format>
    <format dxfId="384">
      <pivotArea dataOnly="0" labelOnly="1" grandCol="1" outline="0" fieldPosition="0"/>
    </format>
    <format dxfId="383">
      <pivotArea dataOnly="0" labelOnly="1" fieldPosition="0">
        <references count="2">
          <reference field="34" count="1" selected="0">
            <x v="0"/>
          </reference>
          <reference field="35" count="1">
            <x v="0"/>
          </reference>
        </references>
      </pivotArea>
    </format>
    <format dxfId="382">
      <pivotArea dataOnly="0" labelOnly="1" fieldPosition="0">
        <references count="3">
          <reference field="34" count="1" selected="0">
            <x v="0"/>
          </reference>
          <reference field="35" count="1" selected="0">
            <x v="1"/>
          </reference>
          <reference field="41" count="0"/>
        </references>
      </pivotArea>
    </format>
    <format dxfId="381">
      <pivotArea dataOnly="0" labelOnly="1" fieldPosition="0">
        <references count="3">
          <reference field="34" count="1" selected="0">
            <x v="5"/>
          </reference>
          <reference field="35" count="1" selected="0">
            <x v="1"/>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900-000005000000}" name="ﾋﾟﾎﾞｯﾄﾃｰﾌﾞﾙ3"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18:S179" firstHeaderRow="1" firstDataRow="3" firstDataCol="1"/>
  <pivotFields count="43">
    <pivotField showAll="0"/>
    <pivotField showAll="0"/>
    <pivotField showAll="0"/>
    <pivotField showAll="0"/>
    <pivotField showAll="0"/>
    <pivotField showAll="0"/>
    <pivotField axis="axisRow" showAll="0">
      <items count="59">
        <item x="56"/>
        <item x="55"/>
        <item x="41"/>
        <item x="42"/>
        <item x="47"/>
        <item x="43"/>
        <item x="45"/>
        <item x="44"/>
        <item x="48"/>
        <item x="10"/>
        <item x="6"/>
        <item x="0"/>
        <item x="1"/>
        <item x="12"/>
        <item x="13"/>
        <item x="25"/>
        <item x="7"/>
        <item x="49"/>
        <item x="29"/>
        <item x="34"/>
        <item x="26"/>
        <item x="30"/>
        <item x="31"/>
        <item x="2"/>
        <item x="9"/>
        <item x="46"/>
        <item x="11"/>
        <item x="36"/>
        <item x="35"/>
        <item x="28"/>
        <item x="39"/>
        <item x="37"/>
        <item x="50"/>
        <item x="14"/>
        <item x="40"/>
        <item x="32"/>
        <item x="57"/>
        <item x="38"/>
        <item x="23"/>
        <item x="33"/>
        <item x="8"/>
        <item x="54"/>
        <item x="17"/>
        <item x="4"/>
        <item x="21"/>
        <item x="19"/>
        <item x="22"/>
        <item x="52"/>
        <item x="51"/>
        <item x="24"/>
        <item x="5"/>
        <item x="27"/>
        <item x="18"/>
        <item x="20"/>
        <item x="16"/>
        <item x="3"/>
        <item x="53"/>
        <item x="15"/>
        <item t="default"/>
      </items>
    </pivotField>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showAll="0" defaultSubtotal="0"/>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6"/>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2">
    <field x="34"/>
    <field x="41"/>
  </colFields>
  <colItems count="18">
    <i>
      <x/>
      <x/>
    </i>
    <i r="1">
      <x v="1"/>
    </i>
    <i r="1">
      <x v="2"/>
    </i>
    <i r="1">
      <x v="3"/>
    </i>
    <i r="1">
      <x v="4"/>
    </i>
    <i r="1">
      <x v="5"/>
    </i>
    <i r="1">
      <x v="6"/>
    </i>
    <i r="1">
      <x v="7"/>
    </i>
    <i r="1">
      <x v="8"/>
    </i>
    <i r="1">
      <x v="9"/>
    </i>
    <i r="1">
      <x v="10"/>
    </i>
    <i>
      <x v="1"/>
    </i>
    <i>
      <x v="2"/>
    </i>
    <i>
      <x v="3"/>
    </i>
    <i>
      <x v="4"/>
    </i>
    <i>
      <x v="5"/>
      <x/>
    </i>
    <i r="1">
      <x v="2"/>
    </i>
    <i t="grand">
      <x/>
    </i>
  </colItems>
  <dataFields count="1">
    <dataField name="合計 / 延床面積" fld="11" baseField="18" baseItem="0"/>
  </dataFields>
  <formats count="23">
    <format dxfId="428">
      <pivotArea field="34" type="button" dataOnly="0" labelOnly="1" outline="0" axis="axisCol" fieldPosition="0"/>
    </format>
    <format dxfId="427">
      <pivotArea field="18" type="button" dataOnly="0" labelOnly="1" outline="0"/>
    </format>
    <format dxfId="426">
      <pivotArea field="-2" type="button" dataOnly="0" labelOnly="1" outline="0" axis="axisValues" fieldPosition="0"/>
    </format>
    <format dxfId="425">
      <pivotArea type="topRight" dataOnly="0" labelOnly="1" outline="0" fieldPosition="0"/>
    </format>
    <format dxfId="424">
      <pivotArea dataOnly="0" labelOnly="1" fieldPosition="0">
        <references count="1">
          <reference field="34" count="0"/>
        </references>
      </pivotArea>
    </format>
    <format dxfId="423">
      <pivotArea dataOnly="0" labelOnly="1" fieldPosition="0">
        <references count="2">
          <reference field="4294967294" count="1" selected="0">
            <x v="0"/>
          </reference>
          <reference field="34" count="0" defaultSubtotal="1"/>
        </references>
      </pivotArea>
    </format>
    <format dxfId="422">
      <pivotArea field="34" dataOnly="0" labelOnly="1" grandCol="1" outline="0" axis="axisCol" fieldPosition="0">
        <references count="1">
          <reference field="4294967294" count="1" selected="0">
            <x v="0"/>
          </reference>
        </references>
      </pivotArea>
    </format>
    <format dxfId="421">
      <pivotArea field="6" type="button" dataOnly="0" labelOnly="1" outline="0" axis="axisRow" fieldPosition="0"/>
    </format>
    <format dxfId="420">
      <pivotArea dataOnly="0" labelOnly="1" fieldPosition="0">
        <references count="1">
          <reference field="34" count="1">
            <x v="1"/>
          </reference>
        </references>
      </pivotArea>
    </format>
    <format dxfId="419">
      <pivotArea dataOnly="0" labelOnly="1" fieldPosition="0">
        <references count="1">
          <reference field="34" count="1">
            <x v="2"/>
          </reference>
        </references>
      </pivotArea>
    </format>
    <format dxfId="418">
      <pivotArea dataOnly="0" labelOnly="1" fieldPosition="0">
        <references count="1">
          <reference field="34" count="1">
            <x v="3"/>
          </reference>
        </references>
      </pivotArea>
    </format>
    <format dxfId="417">
      <pivotArea dataOnly="0" labelOnly="1" fieldPosition="0">
        <references count="1">
          <reference field="34" count="1">
            <x v="4"/>
          </reference>
        </references>
      </pivotArea>
    </format>
    <format dxfId="416">
      <pivotArea dataOnly="0" labelOnly="1" grandCol="1" outline="0" fieldPosition="0"/>
    </format>
    <format dxfId="415">
      <pivotArea dataOnly="0" labelOnly="1" fieldPosition="0">
        <references count="2">
          <reference field="34" count="1" selected="0">
            <x v="0"/>
          </reference>
          <reference field="41" count="0"/>
        </references>
      </pivotArea>
    </format>
    <format dxfId="414">
      <pivotArea dataOnly="0" labelOnly="1" fieldPosition="0">
        <references count="2">
          <reference field="34" count="1" selected="0">
            <x v="5"/>
          </reference>
          <reference field="41" count="2">
            <x v="0"/>
            <x v="2"/>
          </reference>
        </references>
      </pivotArea>
    </format>
    <format dxfId="413">
      <pivotArea field="6" type="button" dataOnly="0" labelOnly="1" outline="0" axis="axisRow" fieldPosition="0"/>
    </format>
    <format dxfId="412">
      <pivotArea dataOnly="0" labelOnly="1" fieldPosition="0">
        <references count="1">
          <reference field="34" count="1">
            <x v="1"/>
          </reference>
        </references>
      </pivotArea>
    </format>
    <format dxfId="411">
      <pivotArea dataOnly="0" labelOnly="1" fieldPosition="0">
        <references count="1">
          <reference field="34" count="1">
            <x v="2"/>
          </reference>
        </references>
      </pivotArea>
    </format>
    <format dxfId="410">
      <pivotArea dataOnly="0" labelOnly="1" fieldPosition="0">
        <references count="1">
          <reference field="34" count="1">
            <x v="3"/>
          </reference>
        </references>
      </pivotArea>
    </format>
    <format dxfId="409">
      <pivotArea dataOnly="0" labelOnly="1" fieldPosition="0">
        <references count="1">
          <reference field="34" count="1">
            <x v="4"/>
          </reference>
        </references>
      </pivotArea>
    </format>
    <format dxfId="408">
      <pivotArea dataOnly="0" labelOnly="1" grandCol="1" outline="0" fieldPosition="0"/>
    </format>
    <format dxfId="407">
      <pivotArea dataOnly="0" labelOnly="1" fieldPosition="0">
        <references count="2">
          <reference field="34" count="1" selected="0">
            <x v="0"/>
          </reference>
          <reference field="41" count="0"/>
        </references>
      </pivotArea>
    </format>
    <format dxfId="406">
      <pivotArea dataOnly="0" labelOnly="1" fieldPosition="0">
        <references count="2">
          <reference field="34" count="1" selected="0">
            <x v="5"/>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4000000}" name="ﾋﾟﾎﾞｯﾄﾃｰﾌﾞﾙ5" cacheId="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I17" firstHeaderRow="1" firstDataRow="3" firstDataCol="1"/>
  <pivotFields count="43">
    <pivotField showAll="0"/>
    <pivotField showAll="0"/>
    <pivotField showAll="0"/>
    <pivotField showAll="0"/>
    <pivotField showAll="0"/>
    <pivotField showAll="0"/>
    <pivotField showAll="0"/>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outline="0"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2">
    <field x="34"/>
    <field x="35"/>
  </colFields>
  <colItems count="8">
    <i>
      <x/>
      <x/>
    </i>
    <i r="1">
      <x v="1"/>
    </i>
    <i>
      <x v="1"/>
    </i>
    <i>
      <x v="2"/>
    </i>
    <i>
      <x v="3"/>
    </i>
    <i>
      <x v="4"/>
    </i>
    <i>
      <x v="5"/>
      <x v="1"/>
    </i>
    <i t="grand">
      <x/>
    </i>
  </colItems>
  <dataFields count="1">
    <dataField name="合計 / 延床面積" fld="11" baseField="18" baseItem="0"/>
  </dataFields>
  <formats count="7">
    <format dxfId="435">
      <pivotArea field="34" type="button" dataOnly="0" labelOnly="1" outline="0" axis="axisCol" fieldPosition="0"/>
    </format>
    <format dxfId="434">
      <pivotArea field="18" type="button" dataOnly="0" labelOnly="1" outline="0"/>
    </format>
    <format dxfId="433">
      <pivotArea field="-2" type="button" dataOnly="0" labelOnly="1" outline="0" axis="axisValues" fieldPosition="0"/>
    </format>
    <format dxfId="432">
      <pivotArea type="topRight" dataOnly="0" labelOnly="1" outline="0" fieldPosition="0"/>
    </format>
    <format dxfId="431">
      <pivotArea dataOnly="0" labelOnly="1" fieldPosition="0">
        <references count="1">
          <reference field="34" count="0"/>
        </references>
      </pivotArea>
    </format>
    <format dxfId="430">
      <pivotArea dataOnly="0" labelOnly="1" fieldPosition="0">
        <references count="2">
          <reference field="4294967294" count="1" selected="0">
            <x v="0"/>
          </reference>
          <reference field="34" count="0" defaultSubtotal="1"/>
        </references>
      </pivotArea>
    </format>
    <format dxfId="429">
      <pivotArea field="34" dataOnly="0" labelOnly="1" grandCol="1" outline="0" axis="axisCol"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ivotTable" Target="../pivotTables/pivotTable4.xml"/><Relationship Id="rId7" Type="http://schemas.openxmlformats.org/officeDocument/2006/relationships/pivotTable" Target="../pivotTables/pivotTable8.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4A52-C7C2-49B0-8F2E-633A81C0030A}">
  <sheetPr>
    <tabColor rgb="FFFFC000"/>
  </sheetPr>
  <dimension ref="A1:BD863"/>
  <sheetViews>
    <sheetView tabSelected="1" zoomScale="85" zoomScaleNormal="85" workbookViewId="0">
      <pane xSplit="5" ySplit="1" topLeftCell="K2" activePane="bottomRight" state="frozen"/>
      <selection pane="topRight"/>
      <selection pane="bottomLeft"/>
      <selection pane="bottomRight"/>
    </sheetView>
    <sheetView topLeftCell="H85" workbookViewId="1">
      <selection activeCell="H24" sqref="H24"/>
    </sheetView>
  </sheetViews>
  <sheetFormatPr defaultColWidth="9" defaultRowHeight="12"/>
  <cols>
    <col min="1" max="1" width="9" style="644" bestFit="1" customWidth="1"/>
    <col min="2" max="2" width="9" style="43" bestFit="1" customWidth="1"/>
    <col min="3" max="3" width="5" style="43" customWidth="1"/>
    <col min="4" max="4" width="5.25" style="43" customWidth="1"/>
    <col min="5" max="5" width="28.625" style="44" customWidth="1"/>
    <col min="6" max="6" width="10.375" style="645" bestFit="1" customWidth="1"/>
    <col min="7" max="7" width="25.375" style="44" customWidth="1"/>
    <col min="8" max="8" width="39.25" style="645" bestFit="1" customWidth="1"/>
    <col min="9" max="9" width="8.375" style="645" customWidth="1"/>
    <col min="10" max="11" width="11.75" style="645" customWidth="1"/>
    <col min="12" max="12" width="47.875" style="44" customWidth="1"/>
    <col min="13" max="13" width="10.5" style="43" bestFit="1" customWidth="1"/>
    <col min="14" max="14" width="12.125" style="43" bestFit="1" customWidth="1"/>
    <col min="15" max="16" width="13.625" style="646" bestFit="1" customWidth="1"/>
    <col min="17" max="17" width="40.875" style="45" bestFit="1" customWidth="1"/>
    <col min="18" max="18" width="12" style="645" bestFit="1" customWidth="1"/>
    <col min="19" max="19" width="10.375" style="645" bestFit="1" customWidth="1"/>
    <col min="20" max="20" width="8.75" style="43" customWidth="1"/>
    <col min="21" max="23" width="8.75" style="43" bestFit="1" customWidth="1"/>
    <col min="24" max="26" width="10.375" style="43" bestFit="1" customWidth="1"/>
    <col min="27" max="27" width="59.625" style="44" bestFit="1" customWidth="1"/>
    <col min="28" max="28" width="8.875" style="43" bestFit="1" customWidth="1"/>
    <col min="29" max="29" width="27" style="645" bestFit="1" customWidth="1"/>
    <col min="30" max="30" width="8.75" style="43" bestFit="1" customWidth="1"/>
    <col min="31" max="31" width="19.25" style="645" bestFit="1" customWidth="1"/>
    <col min="32" max="32" width="155.625" style="645" customWidth="1"/>
    <col min="33" max="33" width="9.875" style="43" bestFit="1" customWidth="1"/>
    <col min="34" max="34" width="10.875" style="43" bestFit="1" customWidth="1"/>
    <col min="35" max="35" width="8.75" style="43" bestFit="1" customWidth="1"/>
    <col min="36" max="36" width="9.875" style="43" bestFit="1" customWidth="1"/>
    <col min="37" max="37" width="10.125" style="43" bestFit="1" customWidth="1"/>
    <col min="38" max="38" width="9.875" style="43" bestFit="1" customWidth="1"/>
    <col min="39" max="39" width="10.375" style="43" bestFit="1" customWidth="1"/>
    <col min="40" max="40" width="30.125" style="44" bestFit="1" customWidth="1"/>
    <col min="41" max="42" width="10.375" style="645" bestFit="1" customWidth="1"/>
    <col min="43" max="43" width="20.375" style="645" bestFit="1" customWidth="1"/>
    <col min="44" max="44" width="12" style="645" bestFit="1" customWidth="1"/>
    <col min="45" max="45" width="12.875" style="645" bestFit="1" customWidth="1"/>
    <col min="46" max="46" width="75.5" style="645" bestFit="1" customWidth="1"/>
    <col min="47" max="47" width="12" style="43" bestFit="1" customWidth="1"/>
    <col min="48" max="48" width="45.5" style="44" bestFit="1" customWidth="1"/>
    <col min="49" max="50" width="15.625" style="647" bestFit="1" customWidth="1"/>
    <col min="51" max="51" width="12" style="647" bestFit="1" customWidth="1"/>
    <col min="52" max="52" width="46" style="46" bestFit="1" customWidth="1"/>
    <col min="53" max="53" width="40.375" style="46" bestFit="1" customWidth="1"/>
    <col min="54" max="54" width="107.125" style="46" bestFit="1" customWidth="1"/>
    <col min="55" max="55" width="10.5" style="644" bestFit="1" customWidth="1"/>
    <col min="56" max="56" width="102.5" style="644" bestFit="1" customWidth="1"/>
    <col min="57" max="57" width="10.875" style="644" bestFit="1" customWidth="1"/>
    <col min="58" max="16384" width="9" style="644"/>
  </cols>
  <sheetData>
    <row r="1" spans="1:56" s="560" customFormat="1" ht="24">
      <c r="A1" s="337" t="s">
        <v>2412</v>
      </c>
      <c r="B1" s="338" t="s">
        <v>1</v>
      </c>
      <c r="C1" s="339" t="s">
        <v>0</v>
      </c>
      <c r="D1" s="339" t="s">
        <v>2413</v>
      </c>
      <c r="E1" s="340" t="s">
        <v>2414</v>
      </c>
      <c r="F1" s="340" t="s">
        <v>48</v>
      </c>
      <c r="G1" s="340" t="s">
        <v>47</v>
      </c>
      <c r="H1" s="341" t="s">
        <v>16</v>
      </c>
      <c r="I1" s="341" t="s">
        <v>4</v>
      </c>
      <c r="J1" s="341" t="s">
        <v>5</v>
      </c>
      <c r="K1" s="341" t="s">
        <v>6</v>
      </c>
      <c r="L1" s="340" t="s">
        <v>36</v>
      </c>
      <c r="M1" s="341" t="s">
        <v>2</v>
      </c>
      <c r="N1" s="341" t="s">
        <v>8</v>
      </c>
      <c r="O1" s="341" t="s">
        <v>10</v>
      </c>
      <c r="P1" s="341" t="s">
        <v>11</v>
      </c>
      <c r="Q1" s="341" t="s">
        <v>2036</v>
      </c>
      <c r="R1" s="342" t="s">
        <v>46</v>
      </c>
      <c r="S1" s="341" t="s">
        <v>7</v>
      </c>
      <c r="T1" s="341" t="s">
        <v>23</v>
      </c>
      <c r="U1" s="341" t="s">
        <v>24</v>
      </c>
      <c r="V1" s="341" t="s">
        <v>25</v>
      </c>
      <c r="W1" s="341" t="s">
        <v>26</v>
      </c>
      <c r="X1" s="341" t="s">
        <v>1982</v>
      </c>
      <c r="Y1" s="341" t="s">
        <v>27</v>
      </c>
      <c r="Z1" s="341" t="s">
        <v>28</v>
      </c>
      <c r="AA1" s="340" t="s">
        <v>9</v>
      </c>
      <c r="AB1" s="341" t="s">
        <v>12</v>
      </c>
      <c r="AC1" s="340" t="s">
        <v>13</v>
      </c>
      <c r="AD1" s="341" t="s">
        <v>14</v>
      </c>
      <c r="AE1" s="340" t="s">
        <v>15</v>
      </c>
      <c r="AF1" s="343" t="s">
        <v>3</v>
      </c>
      <c r="AG1" s="344" t="s">
        <v>29</v>
      </c>
      <c r="AH1" s="341" t="s">
        <v>30</v>
      </c>
      <c r="AI1" s="341" t="s">
        <v>31</v>
      </c>
      <c r="AJ1" s="341" t="s">
        <v>32</v>
      </c>
      <c r="AK1" s="341" t="s">
        <v>33</v>
      </c>
      <c r="AL1" s="341" t="s">
        <v>34</v>
      </c>
      <c r="AM1" s="345" t="s">
        <v>35</v>
      </c>
      <c r="AN1" s="346" t="s">
        <v>17</v>
      </c>
      <c r="AO1" s="341" t="s">
        <v>21</v>
      </c>
      <c r="AP1" s="341" t="s">
        <v>22</v>
      </c>
      <c r="AQ1" s="341" t="s">
        <v>18</v>
      </c>
      <c r="AR1" s="341" t="s">
        <v>19</v>
      </c>
      <c r="AS1" s="341" t="s">
        <v>20</v>
      </c>
      <c r="AT1" s="347" t="s">
        <v>37</v>
      </c>
      <c r="AU1" s="344" t="s">
        <v>38</v>
      </c>
      <c r="AV1" s="340" t="s">
        <v>41</v>
      </c>
      <c r="AW1" s="348" t="s">
        <v>39</v>
      </c>
      <c r="AX1" s="348" t="s">
        <v>40</v>
      </c>
      <c r="AY1" s="349" t="s">
        <v>42</v>
      </c>
      <c r="AZ1" s="340" t="s">
        <v>43</v>
      </c>
      <c r="BA1" s="340" t="s">
        <v>44</v>
      </c>
      <c r="BB1" s="340" t="s">
        <v>45</v>
      </c>
      <c r="BC1" s="350" t="s">
        <v>49</v>
      </c>
      <c r="BD1" s="351" t="s">
        <v>2409</v>
      </c>
    </row>
    <row r="2" spans="1:56" s="560" customFormat="1" ht="16.5" customHeight="1">
      <c r="A2" s="561">
        <v>2024</v>
      </c>
      <c r="B2" s="562" t="s">
        <v>2570</v>
      </c>
      <c r="C2" s="562" t="s">
        <v>51</v>
      </c>
      <c r="D2" s="562" t="s">
        <v>2415</v>
      </c>
      <c r="E2" s="563" t="s">
        <v>53</v>
      </c>
      <c r="F2" s="564" t="s">
        <v>54</v>
      </c>
      <c r="G2" s="563" t="s">
        <v>2708</v>
      </c>
      <c r="H2" s="564" t="s">
        <v>57</v>
      </c>
      <c r="I2" s="564" t="s">
        <v>58</v>
      </c>
      <c r="J2" s="564" t="s">
        <v>59</v>
      </c>
      <c r="K2" s="564" t="s">
        <v>60</v>
      </c>
      <c r="L2" s="563" t="s">
        <v>61</v>
      </c>
      <c r="M2" s="565" t="s">
        <v>2500</v>
      </c>
      <c r="N2" s="565" t="s">
        <v>2500</v>
      </c>
      <c r="O2" s="566">
        <v>21062</v>
      </c>
      <c r="P2" s="566">
        <v>26329.02</v>
      </c>
      <c r="Q2" s="567"/>
      <c r="R2" s="564" t="s">
        <v>64</v>
      </c>
      <c r="S2" s="564" t="s">
        <v>1917</v>
      </c>
      <c r="T2" s="565" t="s">
        <v>66</v>
      </c>
      <c r="U2" s="565" t="s">
        <v>66</v>
      </c>
      <c r="V2" s="565" t="s">
        <v>66</v>
      </c>
      <c r="W2" s="565" t="s">
        <v>66</v>
      </c>
      <c r="X2" s="565" t="s">
        <v>66</v>
      </c>
      <c r="Y2" s="565" t="s">
        <v>63</v>
      </c>
      <c r="Z2" s="565" t="s">
        <v>67</v>
      </c>
      <c r="AA2" s="563"/>
      <c r="AB2" s="565" t="s">
        <v>68</v>
      </c>
      <c r="AC2" s="564"/>
      <c r="AD2" s="565" t="s">
        <v>68</v>
      </c>
      <c r="AE2" s="564"/>
      <c r="AF2" s="568" t="s">
        <v>69</v>
      </c>
      <c r="AG2" s="569" t="s">
        <v>63</v>
      </c>
      <c r="AH2" s="565" t="s">
        <v>63</v>
      </c>
      <c r="AI2" s="565" t="s">
        <v>63</v>
      </c>
      <c r="AJ2" s="565" t="s">
        <v>63</v>
      </c>
      <c r="AK2" s="565" t="s">
        <v>63</v>
      </c>
      <c r="AL2" s="565" t="s">
        <v>63</v>
      </c>
      <c r="AM2" s="570" t="s">
        <v>66</v>
      </c>
      <c r="AN2" s="571" t="s">
        <v>70</v>
      </c>
      <c r="AO2" s="564" t="s">
        <v>71</v>
      </c>
      <c r="AP2" s="564" t="s">
        <v>72</v>
      </c>
      <c r="AQ2" s="564"/>
      <c r="AR2" s="564" t="s">
        <v>73</v>
      </c>
      <c r="AS2" s="564"/>
      <c r="AT2" s="568"/>
      <c r="AU2" s="569" t="s">
        <v>74</v>
      </c>
      <c r="AV2" s="563"/>
      <c r="AW2" s="572"/>
      <c r="AX2" s="572"/>
      <c r="AY2" s="572"/>
      <c r="AZ2" s="573" t="s">
        <v>2709</v>
      </c>
      <c r="BA2" s="573" t="s">
        <v>1052</v>
      </c>
      <c r="BB2" s="573" t="s">
        <v>2481</v>
      </c>
      <c r="BC2" s="574">
        <v>155</v>
      </c>
      <c r="BD2" s="575"/>
    </row>
    <row r="3" spans="1:56" s="592" customFormat="1" ht="16.5" customHeight="1">
      <c r="A3" s="576">
        <v>2024</v>
      </c>
      <c r="B3" s="577" t="s">
        <v>76</v>
      </c>
      <c r="C3" s="577" t="s">
        <v>75</v>
      </c>
      <c r="D3" s="562" t="s">
        <v>2415</v>
      </c>
      <c r="E3" s="578" t="s">
        <v>77</v>
      </c>
      <c r="F3" s="579" t="s">
        <v>78</v>
      </c>
      <c r="G3" s="578" t="s">
        <v>2579</v>
      </c>
      <c r="H3" s="579" t="s">
        <v>81</v>
      </c>
      <c r="I3" s="579" t="s">
        <v>58</v>
      </c>
      <c r="J3" s="579" t="s">
        <v>59</v>
      </c>
      <c r="K3" s="579" t="s">
        <v>60</v>
      </c>
      <c r="L3" s="578" t="s">
        <v>82</v>
      </c>
      <c r="M3" s="580" t="s">
        <v>83</v>
      </c>
      <c r="N3" s="580" t="s">
        <v>84</v>
      </c>
      <c r="O3" s="581">
        <v>1470</v>
      </c>
      <c r="P3" s="581">
        <v>84.1</v>
      </c>
      <c r="Q3" s="582"/>
      <c r="R3" s="579" t="s">
        <v>85</v>
      </c>
      <c r="S3" s="579" t="s">
        <v>65</v>
      </c>
      <c r="T3" s="580" t="s">
        <v>63</v>
      </c>
      <c r="U3" s="580" t="s">
        <v>63</v>
      </c>
      <c r="V3" s="580" t="s">
        <v>63</v>
      </c>
      <c r="W3" s="580" t="s">
        <v>63</v>
      </c>
      <c r="X3" s="580" t="s">
        <v>63</v>
      </c>
      <c r="Y3" s="580" t="s">
        <v>66</v>
      </c>
      <c r="Z3" s="580" t="s">
        <v>66</v>
      </c>
      <c r="AA3" s="578" t="s">
        <v>2047</v>
      </c>
      <c r="AB3" s="580" t="s">
        <v>68</v>
      </c>
      <c r="AC3" s="579"/>
      <c r="AD3" s="580" t="s">
        <v>68</v>
      </c>
      <c r="AE3" s="579"/>
      <c r="AF3" s="583" t="s">
        <v>2077</v>
      </c>
      <c r="AG3" s="584" t="s">
        <v>66</v>
      </c>
      <c r="AH3" s="580" t="s">
        <v>66</v>
      </c>
      <c r="AI3" s="580" t="s">
        <v>66</v>
      </c>
      <c r="AJ3" s="580" t="s">
        <v>66</v>
      </c>
      <c r="AK3" s="580" t="s">
        <v>66</v>
      </c>
      <c r="AL3" s="580" t="s">
        <v>66</v>
      </c>
      <c r="AM3" s="585" t="s">
        <v>63</v>
      </c>
      <c r="AN3" s="586" t="s">
        <v>86</v>
      </c>
      <c r="AO3" s="579" t="s">
        <v>71</v>
      </c>
      <c r="AP3" s="579" t="s">
        <v>72</v>
      </c>
      <c r="AQ3" s="579"/>
      <c r="AR3" s="579"/>
      <c r="AS3" s="579"/>
      <c r="AT3" s="587"/>
      <c r="AU3" s="584" t="s">
        <v>74</v>
      </c>
      <c r="AV3" s="578"/>
      <c r="AW3" s="588"/>
      <c r="AX3" s="588"/>
      <c r="AY3" s="588"/>
      <c r="AZ3" s="589" t="s">
        <v>87</v>
      </c>
      <c r="BA3" s="589" t="s">
        <v>1052</v>
      </c>
      <c r="BB3" s="589"/>
      <c r="BC3" s="590">
        <v>3</v>
      </c>
      <c r="BD3" s="591"/>
    </row>
    <row r="4" spans="1:56" s="560" customFormat="1" ht="16.5" customHeight="1">
      <c r="A4" s="576">
        <v>2024</v>
      </c>
      <c r="B4" s="577" t="s">
        <v>89</v>
      </c>
      <c r="C4" s="562" t="s">
        <v>88</v>
      </c>
      <c r="D4" s="562" t="s">
        <v>2415</v>
      </c>
      <c r="E4" s="578" t="s">
        <v>90</v>
      </c>
      <c r="F4" s="579" t="s">
        <v>78</v>
      </c>
      <c r="G4" s="578" t="s">
        <v>2579</v>
      </c>
      <c r="H4" s="579" t="s">
        <v>91</v>
      </c>
      <c r="I4" s="579" t="s">
        <v>58</v>
      </c>
      <c r="J4" s="579" t="s">
        <v>59</v>
      </c>
      <c r="K4" s="579" t="s">
        <v>60</v>
      </c>
      <c r="L4" s="578" t="s">
        <v>82</v>
      </c>
      <c r="M4" s="580" t="s">
        <v>92</v>
      </c>
      <c r="N4" s="580" t="s">
        <v>92</v>
      </c>
      <c r="O4" s="581">
        <v>2385.29</v>
      </c>
      <c r="P4" s="581">
        <v>13</v>
      </c>
      <c r="Q4" s="582"/>
      <c r="R4" s="579" t="s">
        <v>93</v>
      </c>
      <c r="S4" s="579" t="s">
        <v>65</v>
      </c>
      <c r="T4" s="580" t="s">
        <v>66</v>
      </c>
      <c r="U4" s="580" t="s">
        <v>66</v>
      </c>
      <c r="V4" s="580" t="s">
        <v>66</v>
      </c>
      <c r="W4" s="580" t="s">
        <v>66</v>
      </c>
      <c r="X4" s="580" t="s">
        <v>66</v>
      </c>
      <c r="Y4" s="580" t="s">
        <v>66</v>
      </c>
      <c r="Z4" s="580" t="s">
        <v>66</v>
      </c>
      <c r="AA4" s="578" t="s">
        <v>94</v>
      </c>
      <c r="AB4" s="580" t="s">
        <v>68</v>
      </c>
      <c r="AC4" s="578"/>
      <c r="AD4" s="593" t="s">
        <v>68</v>
      </c>
      <c r="AE4" s="578"/>
      <c r="AF4" s="594" t="s">
        <v>2067</v>
      </c>
      <c r="AG4" s="584" t="s">
        <v>63</v>
      </c>
      <c r="AH4" s="580" t="s">
        <v>63</v>
      </c>
      <c r="AI4" s="580" t="s">
        <v>63</v>
      </c>
      <c r="AJ4" s="580" t="s">
        <v>63</v>
      </c>
      <c r="AK4" s="580" t="s">
        <v>63</v>
      </c>
      <c r="AL4" s="580" t="s">
        <v>63</v>
      </c>
      <c r="AM4" s="585" t="s">
        <v>63</v>
      </c>
      <c r="AN4" s="586" t="s">
        <v>95</v>
      </c>
      <c r="AO4" s="579" t="s">
        <v>71</v>
      </c>
      <c r="AP4" s="579" t="s">
        <v>72</v>
      </c>
      <c r="AQ4" s="579"/>
      <c r="AR4" s="579" t="s">
        <v>73</v>
      </c>
      <c r="AS4" s="579"/>
      <c r="AT4" s="587"/>
      <c r="AU4" s="584" t="s">
        <v>74</v>
      </c>
      <c r="AV4" s="578"/>
      <c r="AW4" s="588"/>
      <c r="AX4" s="588"/>
      <c r="AY4" s="588"/>
      <c r="AZ4" s="589" t="s">
        <v>87</v>
      </c>
      <c r="BA4" s="589" t="s">
        <v>1052</v>
      </c>
      <c r="BB4" s="589"/>
      <c r="BC4" s="590">
        <v>43</v>
      </c>
      <c r="BD4" s="591"/>
    </row>
    <row r="5" spans="1:56" s="560" customFormat="1" ht="16.5" customHeight="1">
      <c r="A5" s="561">
        <v>2024</v>
      </c>
      <c r="B5" s="577" t="s">
        <v>97</v>
      </c>
      <c r="C5" s="577" t="s">
        <v>96</v>
      </c>
      <c r="D5" s="562" t="s">
        <v>2415</v>
      </c>
      <c r="E5" s="578" t="s">
        <v>98</v>
      </c>
      <c r="F5" s="579" t="s">
        <v>78</v>
      </c>
      <c r="G5" s="578" t="s">
        <v>2579</v>
      </c>
      <c r="H5" s="595" t="s">
        <v>2710</v>
      </c>
      <c r="I5" s="579" t="s">
        <v>182</v>
      </c>
      <c r="J5" s="579" t="s">
        <v>59</v>
      </c>
      <c r="K5" s="579" t="s">
        <v>60</v>
      </c>
      <c r="L5" s="578"/>
      <c r="M5" s="580" t="s">
        <v>99</v>
      </c>
      <c r="N5" s="580" t="s">
        <v>99</v>
      </c>
      <c r="O5" s="581"/>
      <c r="P5" s="581">
        <v>0</v>
      </c>
      <c r="Q5" s="582"/>
      <c r="R5" s="579" t="s">
        <v>100</v>
      </c>
      <c r="S5" s="579" t="s">
        <v>65</v>
      </c>
      <c r="T5" s="580" t="s">
        <v>66</v>
      </c>
      <c r="U5" s="580" t="s">
        <v>66</v>
      </c>
      <c r="V5" s="580" t="s">
        <v>66</v>
      </c>
      <c r="W5" s="580" t="s">
        <v>66</v>
      </c>
      <c r="X5" s="580" t="s">
        <v>66</v>
      </c>
      <c r="Y5" s="580" t="s">
        <v>66</v>
      </c>
      <c r="Z5" s="580" t="s">
        <v>66</v>
      </c>
      <c r="AA5" s="578" t="s">
        <v>2711</v>
      </c>
      <c r="AB5" s="580" t="s">
        <v>101</v>
      </c>
      <c r="AC5" s="578" t="s">
        <v>2712</v>
      </c>
      <c r="AD5" s="593" t="s">
        <v>2068</v>
      </c>
      <c r="AE5" s="578" t="s">
        <v>2712</v>
      </c>
      <c r="AF5" s="594" t="s">
        <v>2067</v>
      </c>
      <c r="AG5" s="584" t="s">
        <v>66</v>
      </c>
      <c r="AH5" s="580" t="s">
        <v>66</v>
      </c>
      <c r="AI5" s="580" t="s">
        <v>66</v>
      </c>
      <c r="AJ5" s="580" t="s">
        <v>66</v>
      </c>
      <c r="AK5" s="580" t="s">
        <v>66</v>
      </c>
      <c r="AL5" s="580" t="s">
        <v>66</v>
      </c>
      <c r="AM5" s="585" t="s">
        <v>66</v>
      </c>
      <c r="AN5" s="586" t="s">
        <v>86</v>
      </c>
      <c r="AO5" s="579" t="s">
        <v>71</v>
      </c>
      <c r="AP5" s="579" t="s">
        <v>72</v>
      </c>
      <c r="AQ5" s="579"/>
      <c r="AR5" s="579"/>
      <c r="AS5" s="579"/>
      <c r="AT5" s="587"/>
      <c r="AU5" s="584" t="s">
        <v>74</v>
      </c>
      <c r="AV5" s="578"/>
      <c r="AW5" s="588"/>
      <c r="AX5" s="588"/>
      <c r="AY5" s="588"/>
      <c r="AZ5" s="589" t="s">
        <v>2713</v>
      </c>
      <c r="BA5" s="589" t="s">
        <v>1052</v>
      </c>
      <c r="BB5" s="589"/>
      <c r="BC5" s="590"/>
      <c r="BD5" s="591"/>
    </row>
    <row r="6" spans="1:56" s="560" customFormat="1" ht="16.5" customHeight="1">
      <c r="A6" s="576">
        <v>2024</v>
      </c>
      <c r="B6" s="577" t="s">
        <v>103</v>
      </c>
      <c r="C6" s="562" t="s">
        <v>102</v>
      </c>
      <c r="D6" s="562" t="s">
        <v>2415</v>
      </c>
      <c r="E6" s="578" t="s">
        <v>104</v>
      </c>
      <c r="F6" s="579" t="s">
        <v>78</v>
      </c>
      <c r="G6" s="578" t="s">
        <v>2579</v>
      </c>
      <c r="H6" s="579" t="s">
        <v>105</v>
      </c>
      <c r="I6" s="579" t="s">
        <v>58</v>
      </c>
      <c r="J6" s="579" t="s">
        <v>59</v>
      </c>
      <c r="K6" s="579" t="s">
        <v>60</v>
      </c>
      <c r="L6" s="578"/>
      <c r="M6" s="580" t="s">
        <v>106</v>
      </c>
      <c r="N6" s="580" t="s">
        <v>106</v>
      </c>
      <c r="O6" s="581">
        <v>572.16</v>
      </c>
      <c r="P6" s="581">
        <v>21</v>
      </c>
      <c r="Q6" s="582"/>
      <c r="R6" s="579" t="s">
        <v>107</v>
      </c>
      <c r="S6" s="579" t="s">
        <v>65</v>
      </c>
      <c r="T6" s="580" t="s">
        <v>66</v>
      </c>
      <c r="U6" s="580" t="s">
        <v>66</v>
      </c>
      <c r="V6" s="580" t="s">
        <v>66</v>
      </c>
      <c r="W6" s="580" t="s">
        <v>66</v>
      </c>
      <c r="X6" s="580" t="s">
        <v>66</v>
      </c>
      <c r="Y6" s="580" t="s">
        <v>66</v>
      </c>
      <c r="Z6" s="580" t="s">
        <v>66</v>
      </c>
      <c r="AA6" s="578" t="s">
        <v>108</v>
      </c>
      <c r="AB6" s="580" t="s">
        <v>101</v>
      </c>
      <c r="AC6" s="579" t="s">
        <v>2384</v>
      </c>
      <c r="AD6" s="580" t="s">
        <v>68</v>
      </c>
      <c r="AE6" s="579"/>
      <c r="AF6" s="594" t="s">
        <v>2067</v>
      </c>
      <c r="AG6" s="584" t="s">
        <v>63</v>
      </c>
      <c r="AH6" s="580" t="s">
        <v>63</v>
      </c>
      <c r="AI6" s="580" t="s">
        <v>63</v>
      </c>
      <c r="AJ6" s="580" t="s">
        <v>66</v>
      </c>
      <c r="AK6" s="580" t="s">
        <v>63</v>
      </c>
      <c r="AL6" s="580" t="s">
        <v>63</v>
      </c>
      <c r="AM6" s="585" t="s">
        <v>66</v>
      </c>
      <c r="AN6" s="586" t="s">
        <v>109</v>
      </c>
      <c r="AO6" s="579" t="s">
        <v>110</v>
      </c>
      <c r="AP6" s="579" t="s">
        <v>111</v>
      </c>
      <c r="AQ6" s="579"/>
      <c r="AR6" s="579" t="s">
        <v>112</v>
      </c>
      <c r="AS6" s="579"/>
      <c r="AT6" s="587"/>
      <c r="AU6" s="584" t="s">
        <v>74</v>
      </c>
      <c r="AV6" s="578"/>
      <c r="AW6" s="588"/>
      <c r="AX6" s="588"/>
      <c r="AY6" s="588"/>
      <c r="AZ6" s="589" t="s">
        <v>87</v>
      </c>
      <c r="BA6" s="589" t="s">
        <v>1052</v>
      </c>
      <c r="BB6" s="589"/>
      <c r="BC6" s="590">
        <v>2</v>
      </c>
      <c r="BD6" s="591"/>
    </row>
    <row r="7" spans="1:56" s="560" customFormat="1" ht="16.5" customHeight="1">
      <c r="A7" s="576">
        <v>2024</v>
      </c>
      <c r="B7" s="577" t="s">
        <v>114</v>
      </c>
      <c r="C7" s="577" t="s">
        <v>113</v>
      </c>
      <c r="D7" s="562" t="s">
        <v>2415</v>
      </c>
      <c r="E7" s="578" t="s">
        <v>115</v>
      </c>
      <c r="F7" s="579" t="s">
        <v>78</v>
      </c>
      <c r="G7" s="578" t="s">
        <v>2579</v>
      </c>
      <c r="H7" s="579" t="s">
        <v>116</v>
      </c>
      <c r="I7" s="579" t="s">
        <v>58</v>
      </c>
      <c r="J7" s="579" t="s">
        <v>59</v>
      </c>
      <c r="K7" s="579" t="s">
        <v>60</v>
      </c>
      <c r="L7" s="578"/>
      <c r="M7" s="580" t="s">
        <v>117</v>
      </c>
      <c r="N7" s="580" t="s">
        <v>117</v>
      </c>
      <c r="O7" s="581">
        <v>556.82000000000005</v>
      </c>
      <c r="P7" s="581">
        <v>29</v>
      </c>
      <c r="Q7" s="582"/>
      <c r="R7" s="579" t="s">
        <v>118</v>
      </c>
      <c r="S7" s="579" t="s">
        <v>65</v>
      </c>
      <c r="T7" s="580" t="s">
        <v>66</v>
      </c>
      <c r="U7" s="580" t="s">
        <v>66</v>
      </c>
      <c r="V7" s="580" t="s">
        <v>66</v>
      </c>
      <c r="W7" s="580" t="s">
        <v>66</v>
      </c>
      <c r="X7" s="580" t="s">
        <v>66</v>
      </c>
      <c r="Y7" s="580" t="s">
        <v>66</v>
      </c>
      <c r="Z7" s="580" t="s">
        <v>66</v>
      </c>
      <c r="AA7" s="578" t="s">
        <v>119</v>
      </c>
      <c r="AB7" s="580" t="s">
        <v>68</v>
      </c>
      <c r="AC7" s="579"/>
      <c r="AD7" s="580" t="s">
        <v>68</v>
      </c>
      <c r="AE7" s="579"/>
      <c r="AF7" s="594" t="s">
        <v>2067</v>
      </c>
      <c r="AG7" s="584" t="s">
        <v>63</v>
      </c>
      <c r="AH7" s="580" t="s">
        <v>66</v>
      </c>
      <c r="AI7" s="580" t="s">
        <v>63</v>
      </c>
      <c r="AJ7" s="580" t="s">
        <v>66</v>
      </c>
      <c r="AK7" s="580" t="s">
        <v>63</v>
      </c>
      <c r="AL7" s="580" t="s">
        <v>66</v>
      </c>
      <c r="AM7" s="585" t="s">
        <v>66</v>
      </c>
      <c r="AN7" s="586" t="s">
        <v>120</v>
      </c>
      <c r="AO7" s="579" t="s">
        <v>71</v>
      </c>
      <c r="AP7" s="579" t="s">
        <v>72</v>
      </c>
      <c r="AQ7" s="579"/>
      <c r="AR7" s="579" t="s">
        <v>121</v>
      </c>
      <c r="AS7" s="579"/>
      <c r="AT7" s="587"/>
      <c r="AU7" s="584" t="s">
        <v>74</v>
      </c>
      <c r="AV7" s="578"/>
      <c r="AW7" s="588"/>
      <c r="AX7" s="588"/>
      <c r="AY7" s="588"/>
      <c r="AZ7" s="589" t="s">
        <v>87</v>
      </c>
      <c r="BA7" s="589" t="s">
        <v>1052</v>
      </c>
      <c r="BB7" s="589"/>
      <c r="BC7" s="590">
        <v>4</v>
      </c>
      <c r="BD7" s="591"/>
    </row>
    <row r="8" spans="1:56" s="560" customFormat="1" ht="16.5" customHeight="1">
      <c r="A8" s="561">
        <v>2024</v>
      </c>
      <c r="B8" s="577" t="s">
        <v>123</v>
      </c>
      <c r="C8" s="562" t="s">
        <v>122</v>
      </c>
      <c r="D8" s="562" t="s">
        <v>2415</v>
      </c>
      <c r="E8" s="578" t="s">
        <v>124</v>
      </c>
      <c r="F8" s="579" t="s">
        <v>78</v>
      </c>
      <c r="G8" s="578" t="s">
        <v>2581</v>
      </c>
      <c r="H8" s="579" t="s">
        <v>127</v>
      </c>
      <c r="I8" s="579" t="s">
        <v>58</v>
      </c>
      <c r="J8" s="579" t="s">
        <v>59</v>
      </c>
      <c r="K8" s="579" t="s">
        <v>1975</v>
      </c>
      <c r="L8" s="578" t="s">
        <v>128</v>
      </c>
      <c r="M8" s="580" t="s">
        <v>129</v>
      </c>
      <c r="N8" s="580" t="s">
        <v>129</v>
      </c>
      <c r="O8" s="581">
        <v>1040.26</v>
      </c>
      <c r="P8" s="581">
        <v>432.13</v>
      </c>
      <c r="Q8" s="582"/>
      <c r="R8" s="579" t="s">
        <v>130</v>
      </c>
      <c r="S8" s="579" t="s">
        <v>65</v>
      </c>
      <c r="T8" s="580" t="s">
        <v>66</v>
      </c>
      <c r="U8" s="580" t="s">
        <v>66</v>
      </c>
      <c r="V8" s="580" t="s">
        <v>66</v>
      </c>
      <c r="W8" s="580" t="s">
        <v>66</v>
      </c>
      <c r="X8" s="580" t="s">
        <v>66</v>
      </c>
      <c r="Y8" s="580" t="s">
        <v>66</v>
      </c>
      <c r="Z8" s="580" t="s">
        <v>66</v>
      </c>
      <c r="AA8" s="578" t="s">
        <v>2690</v>
      </c>
      <c r="AB8" s="580" t="s">
        <v>2120</v>
      </c>
      <c r="AC8" s="579"/>
      <c r="AD8" s="580" t="s">
        <v>68</v>
      </c>
      <c r="AE8" s="579"/>
      <c r="AF8" s="587" t="s">
        <v>2691</v>
      </c>
      <c r="AG8" s="584" t="s">
        <v>66</v>
      </c>
      <c r="AH8" s="580" t="s">
        <v>66</v>
      </c>
      <c r="AI8" s="580" t="s">
        <v>63</v>
      </c>
      <c r="AJ8" s="580" t="s">
        <v>66</v>
      </c>
      <c r="AK8" s="580" t="s">
        <v>63</v>
      </c>
      <c r="AL8" s="580" t="s">
        <v>66</v>
      </c>
      <c r="AM8" s="585" t="s">
        <v>63</v>
      </c>
      <c r="AN8" s="586" t="s">
        <v>131</v>
      </c>
      <c r="AO8" s="579" t="s">
        <v>132</v>
      </c>
      <c r="AP8" s="579" t="s">
        <v>133</v>
      </c>
      <c r="AQ8" s="579"/>
      <c r="AR8" s="579"/>
      <c r="AS8" s="579" t="s">
        <v>134</v>
      </c>
      <c r="AT8" s="587" t="s">
        <v>135</v>
      </c>
      <c r="AU8" s="584" t="s">
        <v>74</v>
      </c>
      <c r="AV8" s="578"/>
      <c r="AW8" s="588"/>
      <c r="AX8" s="588"/>
      <c r="AY8" s="588"/>
      <c r="AZ8" s="589" t="s">
        <v>87</v>
      </c>
      <c r="BA8" s="589" t="s">
        <v>1052</v>
      </c>
      <c r="BB8" s="589"/>
      <c r="BC8" s="590">
        <v>0</v>
      </c>
      <c r="BD8" s="591"/>
    </row>
    <row r="9" spans="1:56" s="560" customFormat="1" ht="16.5" customHeight="1">
      <c r="A9" s="576">
        <v>2024</v>
      </c>
      <c r="B9" s="577" t="s">
        <v>2687</v>
      </c>
      <c r="C9" s="577" t="s">
        <v>136</v>
      </c>
      <c r="D9" s="562" t="s">
        <v>2415</v>
      </c>
      <c r="E9" s="578" t="s">
        <v>2622</v>
      </c>
      <c r="F9" s="579" t="s">
        <v>139</v>
      </c>
      <c r="G9" s="578" t="s">
        <v>140</v>
      </c>
      <c r="H9" s="579" t="s">
        <v>2654</v>
      </c>
      <c r="I9" s="579" t="s">
        <v>58</v>
      </c>
      <c r="J9" s="579" t="s">
        <v>59</v>
      </c>
      <c r="K9" s="579" t="s">
        <v>1975</v>
      </c>
      <c r="L9" s="578" t="s">
        <v>143</v>
      </c>
      <c r="M9" s="580" t="s">
        <v>2500</v>
      </c>
      <c r="N9" s="580" t="s">
        <v>2500</v>
      </c>
      <c r="O9" s="581">
        <v>5750.72</v>
      </c>
      <c r="P9" s="581">
        <f>2164.92-171.92-209.25</f>
        <v>1783.75</v>
      </c>
      <c r="Q9" s="596" t="s">
        <v>2655</v>
      </c>
      <c r="R9" s="579" t="s">
        <v>64</v>
      </c>
      <c r="S9" s="579" t="s">
        <v>2025</v>
      </c>
      <c r="T9" s="580" t="s">
        <v>66</v>
      </c>
      <c r="U9" s="580" t="s">
        <v>66</v>
      </c>
      <c r="V9" s="580" t="s">
        <v>66</v>
      </c>
      <c r="W9" s="580" t="s">
        <v>66</v>
      </c>
      <c r="X9" s="580" t="s">
        <v>66</v>
      </c>
      <c r="Y9" s="580" t="s">
        <v>66</v>
      </c>
      <c r="Z9" s="580" t="s">
        <v>66</v>
      </c>
      <c r="AA9" s="578" t="s">
        <v>2632</v>
      </c>
      <c r="AB9" s="580" t="s">
        <v>68</v>
      </c>
      <c r="AC9" s="579"/>
      <c r="AD9" s="580" t="s">
        <v>68</v>
      </c>
      <c r="AE9" s="579"/>
      <c r="AF9" s="597" t="s">
        <v>145</v>
      </c>
      <c r="AG9" s="584" t="s">
        <v>2484</v>
      </c>
      <c r="AH9" s="580" t="s">
        <v>63</v>
      </c>
      <c r="AI9" s="580" t="s">
        <v>63</v>
      </c>
      <c r="AJ9" s="580" t="s">
        <v>63</v>
      </c>
      <c r="AK9" s="580" t="s">
        <v>66</v>
      </c>
      <c r="AL9" s="580" t="s">
        <v>63</v>
      </c>
      <c r="AM9" s="585" t="s">
        <v>63</v>
      </c>
      <c r="AN9" s="586" t="s">
        <v>70</v>
      </c>
      <c r="AO9" s="579" t="s">
        <v>71</v>
      </c>
      <c r="AP9" s="579" t="s">
        <v>72</v>
      </c>
      <c r="AQ9" s="579"/>
      <c r="AR9" s="579" t="s">
        <v>73</v>
      </c>
      <c r="AS9" s="579"/>
      <c r="AT9" s="587"/>
      <c r="AU9" s="584" t="s">
        <v>74</v>
      </c>
      <c r="AV9" s="578"/>
      <c r="AW9" s="588"/>
      <c r="AX9" s="588"/>
      <c r="AY9" s="588"/>
      <c r="AZ9" s="589" t="s">
        <v>87</v>
      </c>
      <c r="BA9" s="589" t="s">
        <v>1052</v>
      </c>
      <c r="BB9" s="589" t="s">
        <v>2659</v>
      </c>
      <c r="BC9" s="590">
        <v>44</v>
      </c>
      <c r="BD9" s="591"/>
    </row>
    <row r="10" spans="1:56" s="560" customFormat="1" ht="16.5" customHeight="1">
      <c r="A10" s="576">
        <v>2024</v>
      </c>
      <c r="B10" s="577" t="s">
        <v>2638</v>
      </c>
      <c r="C10" s="562" t="s">
        <v>146</v>
      </c>
      <c r="D10" s="562" t="s">
        <v>2415</v>
      </c>
      <c r="E10" s="578" t="s">
        <v>2631</v>
      </c>
      <c r="F10" s="579" t="s">
        <v>139</v>
      </c>
      <c r="G10" s="578" t="s">
        <v>140</v>
      </c>
      <c r="H10" s="579" t="s">
        <v>2654</v>
      </c>
      <c r="I10" s="579" t="s">
        <v>58</v>
      </c>
      <c r="J10" s="579" t="s">
        <v>1407</v>
      </c>
      <c r="K10" s="579" t="s">
        <v>1464</v>
      </c>
      <c r="L10" s="578" t="s">
        <v>2639</v>
      </c>
      <c r="M10" s="580" t="s">
        <v>2500</v>
      </c>
      <c r="N10" s="580" t="s">
        <v>2500</v>
      </c>
      <c r="O10" s="581">
        <v>5750.72</v>
      </c>
      <c r="P10" s="581">
        <v>171.92</v>
      </c>
      <c r="Q10" s="596"/>
      <c r="R10" s="579" t="s">
        <v>64</v>
      </c>
      <c r="S10" s="579" t="s">
        <v>2025</v>
      </c>
      <c r="T10" s="580" t="s">
        <v>66</v>
      </c>
      <c r="U10" s="580" t="s">
        <v>66</v>
      </c>
      <c r="V10" s="580" t="s">
        <v>66</v>
      </c>
      <c r="W10" s="580" t="s">
        <v>66</v>
      </c>
      <c r="X10" s="580" t="s">
        <v>66</v>
      </c>
      <c r="Y10" s="580" t="s">
        <v>66</v>
      </c>
      <c r="Z10" s="580" t="s">
        <v>66</v>
      </c>
      <c r="AA10" s="578" t="s">
        <v>2632</v>
      </c>
      <c r="AB10" s="580" t="s">
        <v>68</v>
      </c>
      <c r="AC10" s="579"/>
      <c r="AD10" s="580" t="s">
        <v>68</v>
      </c>
      <c r="AE10" s="579"/>
      <c r="AF10" s="597" t="s">
        <v>2656</v>
      </c>
      <c r="AG10" s="584" t="s">
        <v>2484</v>
      </c>
      <c r="AH10" s="580" t="s">
        <v>63</v>
      </c>
      <c r="AI10" s="580" t="s">
        <v>63</v>
      </c>
      <c r="AJ10" s="580" t="s">
        <v>63</v>
      </c>
      <c r="AK10" s="580" t="s">
        <v>66</v>
      </c>
      <c r="AL10" s="580" t="s">
        <v>63</v>
      </c>
      <c r="AM10" s="585" t="s">
        <v>63</v>
      </c>
      <c r="AN10" s="586" t="s">
        <v>70</v>
      </c>
      <c r="AO10" s="579" t="s">
        <v>71</v>
      </c>
      <c r="AP10" s="579" t="s">
        <v>72</v>
      </c>
      <c r="AQ10" s="579"/>
      <c r="AR10" s="579" t="s">
        <v>73</v>
      </c>
      <c r="AS10" s="579"/>
      <c r="AT10" s="587"/>
      <c r="AU10" s="584" t="s">
        <v>74</v>
      </c>
      <c r="AV10" s="578"/>
      <c r="AW10" s="588"/>
      <c r="AX10" s="588"/>
      <c r="AY10" s="588"/>
      <c r="AZ10" s="589" t="s">
        <v>2657</v>
      </c>
      <c r="BA10" s="589" t="s">
        <v>2658</v>
      </c>
      <c r="BB10" s="589" t="s">
        <v>2660</v>
      </c>
      <c r="BC10" s="590">
        <v>44</v>
      </c>
      <c r="BD10" s="591" t="s">
        <v>2661</v>
      </c>
    </row>
    <row r="11" spans="1:56" s="560" customFormat="1" ht="16.5" customHeight="1">
      <c r="A11" s="576">
        <v>2024</v>
      </c>
      <c r="B11" s="577" t="s">
        <v>2141</v>
      </c>
      <c r="C11" s="577" t="s">
        <v>153</v>
      </c>
      <c r="D11" s="562" t="s">
        <v>2415</v>
      </c>
      <c r="E11" s="578" t="s">
        <v>2142</v>
      </c>
      <c r="F11" s="579" t="s">
        <v>2144</v>
      </c>
      <c r="G11" s="578" t="s">
        <v>2267</v>
      </c>
      <c r="H11" s="579" t="s">
        <v>2714</v>
      </c>
      <c r="I11" s="579" t="s">
        <v>2145</v>
      </c>
      <c r="J11" s="579" t="s">
        <v>1407</v>
      </c>
      <c r="K11" s="579" t="s">
        <v>1464</v>
      </c>
      <c r="L11" s="578" t="s">
        <v>2268</v>
      </c>
      <c r="M11" s="580" t="s">
        <v>2500</v>
      </c>
      <c r="N11" s="580" t="s">
        <v>2500</v>
      </c>
      <c r="O11" s="581">
        <v>5750.72</v>
      </c>
      <c r="P11" s="581">
        <v>209.25</v>
      </c>
      <c r="Q11" s="582"/>
      <c r="R11" s="579" t="s">
        <v>64</v>
      </c>
      <c r="S11" s="579" t="s">
        <v>2025</v>
      </c>
      <c r="T11" s="580"/>
      <c r="U11" s="580"/>
      <c r="V11" s="580"/>
      <c r="W11" s="580"/>
      <c r="X11" s="580"/>
      <c r="Y11" s="580"/>
      <c r="Z11" s="580"/>
      <c r="AA11" s="578" t="s">
        <v>2632</v>
      </c>
      <c r="AB11" s="580" t="s">
        <v>68</v>
      </c>
      <c r="AC11" s="579"/>
      <c r="AD11" s="580" t="s">
        <v>68</v>
      </c>
      <c r="AE11" s="579"/>
      <c r="AF11" s="597" t="s">
        <v>2666</v>
      </c>
      <c r="AG11" s="584" t="s">
        <v>63</v>
      </c>
      <c r="AH11" s="580" t="s">
        <v>63</v>
      </c>
      <c r="AI11" s="580" t="s">
        <v>63</v>
      </c>
      <c r="AJ11" s="580" t="s">
        <v>63</v>
      </c>
      <c r="AK11" s="580" t="s">
        <v>66</v>
      </c>
      <c r="AL11" s="580" t="s">
        <v>63</v>
      </c>
      <c r="AM11" s="585" t="s">
        <v>66</v>
      </c>
      <c r="AN11" s="586" t="s">
        <v>70</v>
      </c>
      <c r="AO11" s="579" t="s">
        <v>71</v>
      </c>
      <c r="AP11" s="579" t="s">
        <v>72</v>
      </c>
      <c r="AQ11" s="579"/>
      <c r="AR11" s="579" t="s">
        <v>73</v>
      </c>
      <c r="AS11" s="579"/>
      <c r="AT11" s="587"/>
      <c r="AU11" s="584" t="s">
        <v>2420</v>
      </c>
      <c r="AV11" s="578" t="s">
        <v>2270</v>
      </c>
      <c r="AW11" s="588">
        <v>45748</v>
      </c>
      <c r="AX11" s="588">
        <v>47938</v>
      </c>
      <c r="AY11" s="588" t="s">
        <v>2271</v>
      </c>
      <c r="AZ11" s="589" t="s">
        <v>1324</v>
      </c>
      <c r="BA11" s="589" t="s">
        <v>1052</v>
      </c>
      <c r="BB11" s="589" t="s">
        <v>2272</v>
      </c>
      <c r="BC11" s="590">
        <v>44</v>
      </c>
      <c r="BD11" s="591"/>
    </row>
    <row r="12" spans="1:56" s="560" customFormat="1" ht="16.5" customHeight="1">
      <c r="A12" s="561">
        <v>2024</v>
      </c>
      <c r="B12" s="577" t="s">
        <v>2289</v>
      </c>
      <c r="C12" s="562" t="s">
        <v>167</v>
      </c>
      <c r="D12" s="562" t="s">
        <v>2415</v>
      </c>
      <c r="E12" s="578" t="s">
        <v>2158</v>
      </c>
      <c r="F12" s="579" t="s">
        <v>170</v>
      </c>
      <c r="G12" s="578" t="s">
        <v>2618</v>
      </c>
      <c r="H12" s="579" t="s">
        <v>2416</v>
      </c>
      <c r="I12" s="579" t="s">
        <v>58</v>
      </c>
      <c r="J12" s="579" t="s">
        <v>2675</v>
      </c>
      <c r="K12" s="579" t="s">
        <v>1139</v>
      </c>
      <c r="L12" s="578" t="s">
        <v>2159</v>
      </c>
      <c r="M12" s="580" t="s">
        <v>2143</v>
      </c>
      <c r="N12" s="580" t="s">
        <v>2143</v>
      </c>
      <c r="O12" s="581">
        <v>4498.84</v>
      </c>
      <c r="P12" s="581">
        <v>767.03</v>
      </c>
      <c r="Q12" s="582"/>
      <c r="R12" s="579" t="s">
        <v>150</v>
      </c>
      <c r="S12" s="579" t="s">
        <v>151</v>
      </c>
      <c r="T12" s="580" t="s">
        <v>63</v>
      </c>
      <c r="U12" s="580" t="s">
        <v>63</v>
      </c>
      <c r="V12" s="580" t="s">
        <v>66</v>
      </c>
      <c r="W12" s="580" t="s">
        <v>63</v>
      </c>
      <c r="X12" s="580" t="s">
        <v>63</v>
      </c>
      <c r="Y12" s="580" t="s">
        <v>66</v>
      </c>
      <c r="Z12" s="580" t="s">
        <v>66</v>
      </c>
      <c r="AA12" s="578"/>
      <c r="AB12" s="580" t="s">
        <v>1874</v>
      </c>
      <c r="AC12" s="579"/>
      <c r="AD12" s="580" t="s">
        <v>1874</v>
      </c>
      <c r="AE12" s="579"/>
      <c r="AF12" s="597" t="s">
        <v>2160</v>
      </c>
      <c r="AG12" s="584" t="s">
        <v>63</v>
      </c>
      <c r="AH12" s="580" t="s">
        <v>63</v>
      </c>
      <c r="AI12" s="580" t="s">
        <v>63</v>
      </c>
      <c r="AJ12" s="580" t="s">
        <v>66</v>
      </c>
      <c r="AK12" s="580" t="s">
        <v>63</v>
      </c>
      <c r="AL12" s="580" t="s">
        <v>63</v>
      </c>
      <c r="AM12" s="585" t="s">
        <v>63</v>
      </c>
      <c r="AN12" s="586" t="s">
        <v>109</v>
      </c>
      <c r="AO12" s="579" t="s">
        <v>110</v>
      </c>
      <c r="AP12" s="579" t="s">
        <v>111</v>
      </c>
      <c r="AQ12" s="579"/>
      <c r="AR12" s="579" t="s">
        <v>112</v>
      </c>
      <c r="AS12" s="579"/>
      <c r="AT12" s="587"/>
      <c r="AU12" s="584" t="s">
        <v>2419</v>
      </c>
      <c r="AV12" s="578" t="s">
        <v>2161</v>
      </c>
      <c r="AW12" s="588">
        <v>45383</v>
      </c>
      <c r="AX12" s="588">
        <v>47208</v>
      </c>
      <c r="AY12" s="588" t="s">
        <v>2162</v>
      </c>
      <c r="AZ12" s="589" t="s">
        <v>2442</v>
      </c>
      <c r="BA12" s="589" t="s">
        <v>2411</v>
      </c>
      <c r="BB12" s="589"/>
      <c r="BC12" s="590">
        <v>23</v>
      </c>
      <c r="BD12" s="591"/>
    </row>
    <row r="13" spans="1:56" s="560" customFormat="1" ht="16.5" customHeight="1">
      <c r="A13" s="576">
        <v>2024</v>
      </c>
      <c r="B13" s="577" t="s">
        <v>2118</v>
      </c>
      <c r="C13" s="577" t="s">
        <v>177</v>
      </c>
      <c r="D13" s="562" t="s">
        <v>2415</v>
      </c>
      <c r="E13" s="578" t="s">
        <v>2715</v>
      </c>
      <c r="F13" s="579" t="s">
        <v>78</v>
      </c>
      <c r="G13" s="578" t="s">
        <v>2716</v>
      </c>
      <c r="H13" s="579" t="s">
        <v>2717</v>
      </c>
      <c r="I13" s="579" t="s">
        <v>2718</v>
      </c>
      <c r="J13" s="579" t="s">
        <v>59</v>
      </c>
      <c r="K13" s="579" t="s">
        <v>142</v>
      </c>
      <c r="L13" s="578" t="s">
        <v>2483</v>
      </c>
      <c r="M13" s="580" t="s">
        <v>2143</v>
      </c>
      <c r="N13" s="580" t="s">
        <v>129</v>
      </c>
      <c r="O13" s="581">
        <v>1040.26</v>
      </c>
      <c r="P13" s="581">
        <v>676.41</v>
      </c>
      <c r="Q13" s="596"/>
      <c r="R13" s="579" t="s">
        <v>2719</v>
      </c>
      <c r="S13" s="579" t="s">
        <v>65</v>
      </c>
      <c r="T13" s="580" t="s">
        <v>66</v>
      </c>
      <c r="U13" s="580" t="s">
        <v>66</v>
      </c>
      <c r="V13" s="580" t="s">
        <v>66</v>
      </c>
      <c r="W13" s="580" t="s">
        <v>66</v>
      </c>
      <c r="X13" s="580" t="s">
        <v>66</v>
      </c>
      <c r="Y13" s="580" t="s">
        <v>66</v>
      </c>
      <c r="Z13" s="580" t="s">
        <v>66</v>
      </c>
      <c r="AA13" s="578" t="s">
        <v>2720</v>
      </c>
      <c r="AB13" s="580" t="s">
        <v>2721</v>
      </c>
      <c r="AC13" s="579"/>
      <c r="AD13" s="580" t="s">
        <v>2722</v>
      </c>
      <c r="AE13" s="579"/>
      <c r="AF13" s="597" t="s">
        <v>2723</v>
      </c>
      <c r="AG13" s="584" t="s">
        <v>66</v>
      </c>
      <c r="AH13" s="580" t="s">
        <v>2484</v>
      </c>
      <c r="AI13" s="580" t="s">
        <v>63</v>
      </c>
      <c r="AJ13" s="580" t="s">
        <v>66</v>
      </c>
      <c r="AK13" s="580" t="s">
        <v>63</v>
      </c>
      <c r="AL13" s="580" t="s">
        <v>66</v>
      </c>
      <c r="AM13" s="585" t="s">
        <v>63</v>
      </c>
      <c r="AN13" s="586" t="s">
        <v>2724</v>
      </c>
      <c r="AO13" s="579" t="s">
        <v>132</v>
      </c>
      <c r="AP13" s="579" t="s">
        <v>133</v>
      </c>
      <c r="AQ13" s="579"/>
      <c r="AR13" s="579"/>
      <c r="AS13" s="579" t="s">
        <v>134</v>
      </c>
      <c r="AT13" s="587" t="s">
        <v>135</v>
      </c>
      <c r="AU13" s="584" t="s">
        <v>2419</v>
      </c>
      <c r="AV13" s="578" t="s">
        <v>2725</v>
      </c>
      <c r="AW13" s="588">
        <v>43922</v>
      </c>
      <c r="AX13" s="588">
        <v>45016</v>
      </c>
      <c r="AY13" s="588" t="s">
        <v>2726</v>
      </c>
      <c r="AZ13" s="589" t="s">
        <v>2727</v>
      </c>
      <c r="BA13" s="589" t="s">
        <v>2728</v>
      </c>
      <c r="BB13" s="589" t="s">
        <v>2729</v>
      </c>
      <c r="BC13" s="590">
        <v>0</v>
      </c>
      <c r="BD13" s="591" t="s">
        <v>2730</v>
      </c>
    </row>
    <row r="14" spans="1:56" s="560" customFormat="1" ht="16.5" customHeight="1">
      <c r="A14" s="576">
        <v>2024</v>
      </c>
      <c r="B14" s="577" t="s">
        <v>154</v>
      </c>
      <c r="C14" s="562" t="s">
        <v>185</v>
      </c>
      <c r="D14" s="562" t="s">
        <v>2415</v>
      </c>
      <c r="E14" s="578" t="s">
        <v>155</v>
      </c>
      <c r="F14" s="579" t="s">
        <v>78</v>
      </c>
      <c r="G14" s="578" t="s">
        <v>156</v>
      </c>
      <c r="H14" s="579" t="s">
        <v>158</v>
      </c>
      <c r="I14" s="579" t="s">
        <v>58</v>
      </c>
      <c r="J14" s="579" t="s">
        <v>59</v>
      </c>
      <c r="K14" s="579" t="s">
        <v>142</v>
      </c>
      <c r="L14" s="578" t="s">
        <v>159</v>
      </c>
      <c r="M14" s="580" t="s">
        <v>160</v>
      </c>
      <c r="N14" s="580" t="s">
        <v>160</v>
      </c>
      <c r="O14" s="581">
        <v>1519</v>
      </c>
      <c r="P14" s="581">
        <v>1636.92</v>
      </c>
      <c r="Q14" s="582"/>
      <c r="R14" s="579" t="s">
        <v>161</v>
      </c>
      <c r="S14" s="579" t="s">
        <v>65</v>
      </c>
      <c r="T14" s="580" t="s">
        <v>63</v>
      </c>
      <c r="U14" s="580" t="s">
        <v>63</v>
      </c>
      <c r="V14" s="580" t="s">
        <v>63</v>
      </c>
      <c r="W14" s="580" t="s">
        <v>63</v>
      </c>
      <c r="X14" s="580" t="s">
        <v>63</v>
      </c>
      <c r="Y14" s="580" t="s">
        <v>63</v>
      </c>
      <c r="Z14" s="580" t="s">
        <v>162</v>
      </c>
      <c r="AA14" s="578" t="s">
        <v>163</v>
      </c>
      <c r="AB14" s="580" t="s">
        <v>68</v>
      </c>
      <c r="AC14" s="579"/>
      <c r="AD14" s="580" t="s">
        <v>68</v>
      </c>
      <c r="AE14" s="579"/>
      <c r="AF14" s="587" t="s">
        <v>2224</v>
      </c>
      <c r="AG14" s="584" t="s">
        <v>63</v>
      </c>
      <c r="AH14" s="580" t="s">
        <v>63</v>
      </c>
      <c r="AI14" s="580" t="s">
        <v>63</v>
      </c>
      <c r="AJ14" s="580" t="s">
        <v>63</v>
      </c>
      <c r="AK14" s="580" t="s">
        <v>63</v>
      </c>
      <c r="AL14" s="580" t="s">
        <v>63</v>
      </c>
      <c r="AM14" s="585" t="s">
        <v>66</v>
      </c>
      <c r="AN14" s="586" t="s">
        <v>164</v>
      </c>
      <c r="AO14" s="579" t="s">
        <v>71</v>
      </c>
      <c r="AP14" s="579" t="s">
        <v>72</v>
      </c>
      <c r="AQ14" s="579"/>
      <c r="AR14" s="579" t="s">
        <v>121</v>
      </c>
      <c r="AS14" s="579"/>
      <c r="AT14" s="587"/>
      <c r="AU14" s="584" t="s">
        <v>74</v>
      </c>
      <c r="AV14" s="578"/>
      <c r="AW14" s="588"/>
      <c r="AX14" s="588"/>
      <c r="AY14" s="588"/>
      <c r="AZ14" s="589" t="s">
        <v>165</v>
      </c>
      <c r="BA14" s="589" t="s">
        <v>1052</v>
      </c>
      <c r="BB14" s="589" t="s">
        <v>166</v>
      </c>
      <c r="BC14" s="590">
        <v>17</v>
      </c>
      <c r="BD14" s="591"/>
    </row>
    <row r="15" spans="1:56" s="560" customFormat="1" ht="16.5" customHeight="1">
      <c r="A15" s="561">
        <v>2024</v>
      </c>
      <c r="B15" s="577" t="s">
        <v>168</v>
      </c>
      <c r="C15" s="577" t="s">
        <v>195</v>
      </c>
      <c r="D15" s="562" t="s">
        <v>2415</v>
      </c>
      <c r="E15" s="578" t="s">
        <v>169</v>
      </c>
      <c r="F15" s="579" t="s">
        <v>170</v>
      </c>
      <c r="G15" s="578" t="s">
        <v>2731</v>
      </c>
      <c r="H15" s="579" t="s">
        <v>57</v>
      </c>
      <c r="I15" s="579" t="s">
        <v>58</v>
      </c>
      <c r="J15" s="579" t="s">
        <v>59</v>
      </c>
      <c r="K15" s="579" t="s">
        <v>142</v>
      </c>
      <c r="L15" s="578" t="s">
        <v>173</v>
      </c>
      <c r="M15" s="580" t="s">
        <v>174</v>
      </c>
      <c r="N15" s="580" t="s">
        <v>174</v>
      </c>
      <c r="O15" s="581"/>
      <c r="P15" s="581">
        <v>3139.92</v>
      </c>
      <c r="Q15" s="582"/>
      <c r="R15" s="579" t="s">
        <v>64</v>
      </c>
      <c r="S15" s="579" t="s">
        <v>65</v>
      </c>
      <c r="T15" s="580" t="s">
        <v>66</v>
      </c>
      <c r="U15" s="580" t="s">
        <v>66</v>
      </c>
      <c r="V15" s="580" t="s">
        <v>66</v>
      </c>
      <c r="W15" s="580" t="s">
        <v>66</v>
      </c>
      <c r="X15" s="580" t="s">
        <v>66</v>
      </c>
      <c r="Y15" s="580" t="s">
        <v>66</v>
      </c>
      <c r="Z15" s="580" t="s">
        <v>66</v>
      </c>
      <c r="AA15" s="578" t="s">
        <v>2228</v>
      </c>
      <c r="AB15" s="580" t="s">
        <v>68</v>
      </c>
      <c r="AC15" s="579"/>
      <c r="AD15" s="580" t="s">
        <v>68</v>
      </c>
      <c r="AE15" s="579"/>
      <c r="AF15" s="587" t="s">
        <v>2692</v>
      </c>
      <c r="AG15" s="584" t="s">
        <v>63</v>
      </c>
      <c r="AH15" s="580" t="s">
        <v>63</v>
      </c>
      <c r="AI15" s="580" t="s">
        <v>63</v>
      </c>
      <c r="AJ15" s="580" t="s">
        <v>63</v>
      </c>
      <c r="AK15" s="580" t="s">
        <v>63</v>
      </c>
      <c r="AL15" s="580" t="s">
        <v>63</v>
      </c>
      <c r="AM15" s="585" t="s">
        <v>63</v>
      </c>
      <c r="AN15" s="586" t="s">
        <v>70</v>
      </c>
      <c r="AO15" s="579" t="s">
        <v>71</v>
      </c>
      <c r="AP15" s="579" t="s">
        <v>72</v>
      </c>
      <c r="AQ15" s="579"/>
      <c r="AR15" s="579" t="s">
        <v>73</v>
      </c>
      <c r="AS15" s="579"/>
      <c r="AT15" s="587"/>
      <c r="AU15" s="584" t="s">
        <v>74</v>
      </c>
      <c r="AV15" s="589"/>
      <c r="AW15" s="589"/>
      <c r="AX15" s="589"/>
      <c r="AY15" s="590"/>
      <c r="AZ15" s="589" t="s">
        <v>2229</v>
      </c>
      <c r="BA15" s="589" t="s">
        <v>1065</v>
      </c>
      <c r="BB15" s="589" t="s">
        <v>176</v>
      </c>
      <c r="BC15" s="590">
        <v>0</v>
      </c>
      <c r="BD15" s="591"/>
    </row>
    <row r="16" spans="1:56" s="560" customFormat="1" ht="16.5" customHeight="1">
      <c r="A16" s="576">
        <v>2024</v>
      </c>
      <c r="B16" s="577" t="s">
        <v>2183</v>
      </c>
      <c r="C16" s="562" t="s">
        <v>203</v>
      </c>
      <c r="D16" s="562" t="s">
        <v>2415</v>
      </c>
      <c r="E16" s="578" t="s">
        <v>2732</v>
      </c>
      <c r="F16" s="579" t="s">
        <v>170</v>
      </c>
      <c r="G16" s="578" t="s">
        <v>2136</v>
      </c>
      <c r="H16" s="579" t="s">
        <v>57</v>
      </c>
      <c r="I16" s="579" t="s">
        <v>58</v>
      </c>
      <c r="J16" s="579" t="s">
        <v>1980</v>
      </c>
      <c r="K16" s="579" t="s">
        <v>142</v>
      </c>
      <c r="L16" s="578" t="s">
        <v>2184</v>
      </c>
      <c r="M16" s="580" t="s">
        <v>174</v>
      </c>
      <c r="N16" s="580" t="s">
        <v>174</v>
      </c>
      <c r="O16" s="581"/>
      <c r="P16" s="581">
        <v>0</v>
      </c>
      <c r="Q16" s="596" t="s">
        <v>2382</v>
      </c>
      <c r="R16" s="579" t="s">
        <v>64</v>
      </c>
      <c r="S16" s="579" t="s">
        <v>65</v>
      </c>
      <c r="T16" s="580" t="s">
        <v>66</v>
      </c>
      <c r="U16" s="580" t="s">
        <v>66</v>
      </c>
      <c r="V16" s="580" t="s">
        <v>66</v>
      </c>
      <c r="W16" s="580" t="s">
        <v>66</v>
      </c>
      <c r="X16" s="580" t="s">
        <v>66</v>
      </c>
      <c r="Y16" s="580" t="s">
        <v>66</v>
      </c>
      <c r="Z16" s="580" t="s">
        <v>66</v>
      </c>
      <c r="AA16" s="578" t="s">
        <v>2137</v>
      </c>
      <c r="AB16" s="580" t="s">
        <v>68</v>
      </c>
      <c r="AC16" s="579"/>
      <c r="AD16" s="580" t="s">
        <v>68</v>
      </c>
      <c r="AE16" s="579"/>
      <c r="AF16" s="587" t="s">
        <v>2185</v>
      </c>
      <c r="AG16" s="584" t="s">
        <v>63</v>
      </c>
      <c r="AH16" s="580" t="s">
        <v>63</v>
      </c>
      <c r="AI16" s="580" t="s">
        <v>63</v>
      </c>
      <c r="AJ16" s="580" t="s">
        <v>63</v>
      </c>
      <c r="AK16" s="580" t="s">
        <v>63</v>
      </c>
      <c r="AL16" s="580" t="s">
        <v>63</v>
      </c>
      <c r="AM16" s="585" t="s">
        <v>63</v>
      </c>
      <c r="AN16" s="586" t="s">
        <v>70</v>
      </c>
      <c r="AO16" s="579" t="s">
        <v>71</v>
      </c>
      <c r="AP16" s="579" t="s">
        <v>72</v>
      </c>
      <c r="AQ16" s="579"/>
      <c r="AR16" s="579" t="s">
        <v>73</v>
      </c>
      <c r="AS16" s="579"/>
      <c r="AT16" s="587"/>
      <c r="AU16" s="584" t="s">
        <v>74</v>
      </c>
      <c r="AV16" s="578"/>
      <c r="AW16" s="588"/>
      <c r="AX16" s="588"/>
      <c r="AY16" s="588"/>
      <c r="AZ16" s="589" t="s">
        <v>175</v>
      </c>
      <c r="BA16" s="589" t="s">
        <v>1065</v>
      </c>
      <c r="BB16" s="589" t="s">
        <v>2186</v>
      </c>
      <c r="BC16" s="590">
        <v>0</v>
      </c>
      <c r="BD16" s="591"/>
    </row>
    <row r="17" spans="1:56" s="560" customFormat="1" ht="16.5" customHeight="1">
      <c r="A17" s="576">
        <v>2024</v>
      </c>
      <c r="B17" s="577" t="s">
        <v>2230</v>
      </c>
      <c r="C17" s="577" t="s">
        <v>209</v>
      </c>
      <c r="D17" s="562" t="s">
        <v>2415</v>
      </c>
      <c r="E17" s="578" t="s">
        <v>2733</v>
      </c>
      <c r="F17" s="579" t="s">
        <v>170</v>
      </c>
      <c r="G17" s="578" t="s">
        <v>2731</v>
      </c>
      <c r="H17" s="579" t="s">
        <v>2232</v>
      </c>
      <c r="I17" s="579" t="s">
        <v>2145</v>
      </c>
      <c r="J17" s="579" t="s">
        <v>59</v>
      </c>
      <c r="K17" s="579" t="s">
        <v>142</v>
      </c>
      <c r="L17" s="578" t="s">
        <v>2233</v>
      </c>
      <c r="M17" s="580" t="s">
        <v>2099</v>
      </c>
      <c r="N17" s="580" t="s">
        <v>1873</v>
      </c>
      <c r="O17" s="581">
        <v>1847</v>
      </c>
      <c r="P17" s="581">
        <v>248.26</v>
      </c>
      <c r="Q17" s="582"/>
      <c r="R17" s="579" t="s">
        <v>2169</v>
      </c>
      <c r="S17" s="579" t="s">
        <v>2025</v>
      </c>
      <c r="T17" s="580" t="s">
        <v>1910</v>
      </c>
      <c r="U17" s="580" t="s">
        <v>1910</v>
      </c>
      <c r="V17" s="580" t="s">
        <v>1910</v>
      </c>
      <c r="W17" s="580" t="s">
        <v>1910</v>
      </c>
      <c r="X17" s="580" t="s">
        <v>1910</v>
      </c>
      <c r="Y17" s="580" t="s">
        <v>1910</v>
      </c>
      <c r="Z17" s="580" t="s">
        <v>1910</v>
      </c>
      <c r="AA17" s="578" t="s">
        <v>2234</v>
      </c>
      <c r="AB17" s="580" t="s">
        <v>2235</v>
      </c>
      <c r="AC17" s="579"/>
      <c r="AD17" s="580" t="s">
        <v>2235</v>
      </c>
      <c r="AE17" s="579"/>
      <c r="AF17" s="587" t="s">
        <v>2236</v>
      </c>
      <c r="AG17" s="584" t="s">
        <v>1910</v>
      </c>
      <c r="AH17" s="580" t="s">
        <v>1846</v>
      </c>
      <c r="AI17" s="580" t="s">
        <v>1910</v>
      </c>
      <c r="AJ17" s="580" t="s">
        <v>1910</v>
      </c>
      <c r="AK17" s="580" t="s">
        <v>1910</v>
      </c>
      <c r="AL17" s="580" t="s">
        <v>1910</v>
      </c>
      <c r="AM17" s="585" t="s">
        <v>1910</v>
      </c>
      <c r="AN17" s="586" t="s">
        <v>2237</v>
      </c>
      <c r="AO17" s="579" t="s">
        <v>1921</v>
      </c>
      <c r="AP17" s="579" t="s">
        <v>1922</v>
      </c>
      <c r="AQ17" s="579"/>
      <c r="AR17" s="579"/>
      <c r="AS17" s="579"/>
      <c r="AT17" s="587"/>
      <c r="AU17" s="584" t="s">
        <v>74</v>
      </c>
      <c r="AV17" s="589"/>
      <c r="AW17" s="589"/>
      <c r="AX17" s="589"/>
      <c r="AY17" s="590"/>
      <c r="AZ17" s="589" t="s">
        <v>2238</v>
      </c>
      <c r="BA17" s="589" t="s">
        <v>2239</v>
      </c>
      <c r="BB17" s="589" t="s">
        <v>2693</v>
      </c>
      <c r="BC17" s="590">
        <v>0</v>
      </c>
      <c r="BD17" s="591"/>
    </row>
    <row r="18" spans="1:56" s="560" customFormat="1" ht="16.5" customHeight="1">
      <c r="A18" s="561">
        <v>2024</v>
      </c>
      <c r="B18" s="577" t="s">
        <v>178</v>
      </c>
      <c r="C18" s="562" t="s">
        <v>213</v>
      </c>
      <c r="D18" s="562" t="s">
        <v>2415</v>
      </c>
      <c r="E18" s="578" t="s">
        <v>179</v>
      </c>
      <c r="F18" s="579" t="s">
        <v>78</v>
      </c>
      <c r="G18" s="578" t="s">
        <v>2246</v>
      </c>
      <c r="H18" s="579" t="s">
        <v>711</v>
      </c>
      <c r="I18" s="579" t="s">
        <v>2086</v>
      </c>
      <c r="J18" s="579" t="s">
        <v>1980</v>
      </c>
      <c r="K18" s="579" t="s">
        <v>142</v>
      </c>
      <c r="L18" s="578" t="s">
        <v>183</v>
      </c>
      <c r="M18" s="580" t="s">
        <v>2247</v>
      </c>
      <c r="N18" s="580" t="s">
        <v>129</v>
      </c>
      <c r="O18" s="581">
        <v>5363.35</v>
      </c>
      <c r="P18" s="581">
        <v>0</v>
      </c>
      <c r="Q18" s="596" t="s">
        <v>2168</v>
      </c>
      <c r="R18" s="579" t="s">
        <v>2169</v>
      </c>
      <c r="S18" s="579" t="s">
        <v>65</v>
      </c>
      <c r="T18" s="580" t="s">
        <v>66</v>
      </c>
      <c r="U18" s="580" t="s">
        <v>66</v>
      </c>
      <c r="V18" s="580" t="s">
        <v>66</v>
      </c>
      <c r="W18" s="580" t="s">
        <v>66</v>
      </c>
      <c r="X18" s="580" t="s">
        <v>66</v>
      </c>
      <c r="Y18" s="580" t="s">
        <v>66</v>
      </c>
      <c r="Z18" s="580" t="s">
        <v>66</v>
      </c>
      <c r="AA18" s="578" t="s">
        <v>2170</v>
      </c>
      <c r="AB18" s="580" t="s">
        <v>2171</v>
      </c>
      <c r="AC18" s="579"/>
      <c r="AD18" s="580" t="s">
        <v>2171</v>
      </c>
      <c r="AE18" s="579"/>
      <c r="AF18" s="587" t="s">
        <v>184</v>
      </c>
      <c r="AG18" s="584" t="s">
        <v>1846</v>
      </c>
      <c r="AH18" s="580" t="s">
        <v>1846</v>
      </c>
      <c r="AI18" s="580" t="s">
        <v>1846</v>
      </c>
      <c r="AJ18" s="580" t="s">
        <v>1846</v>
      </c>
      <c r="AK18" s="580" t="s">
        <v>1846</v>
      </c>
      <c r="AL18" s="580" t="s">
        <v>1846</v>
      </c>
      <c r="AM18" s="585" t="s">
        <v>1846</v>
      </c>
      <c r="AN18" s="586" t="s">
        <v>120</v>
      </c>
      <c r="AO18" s="579" t="s">
        <v>71</v>
      </c>
      <c r="AP18" s="579" t="s">
        <v>72</v>
      </c>
      <c r="AQ18" s="579"/>
      <c r="AR18" s="579" t="s">
        <v>121</v>
      </c>
      <c r="AS18" s="579"/>
      <c r="AT18" s="587"/>
      <c r="AU18" s="584" t="s">
        <v>2419</v>
      </c>
      <c r="AV18" s="578" t="s">
        <v>2248</v>
      </c>
      <c r="AW18" s="588">
        <v>43922</v>
      </c>
      <c r="AX18" s="588">
        <v>45747</v>
      </c>
      <c r="AY18" s="588" t="s">
        <v>2215</v>
      </c>
      <c r="AZ18" s="589" t="s">
        <v>2249</v>
      </c>
      <c r="BA18" s="589" t="s">
        <v>2172</v>
      </c>
      <c r="BB18" s="589"/>
      <c r="BC18" s="590">
        <v>0</v>
      </c>
      <c r="BD18" s="591"/>
    </row>
    <row r="19" spans="1:56" s="560" customFormat="1" ht="16.5" customHeight="1">
      <c r="A19" s="576">
        <v>2024</v>
      </c>
      <c r="B19" s="577" t="s">
        <v>186</v>
      </c>
      <c r="C19" s="577" t="s">
        <v>218</v>
      </c>
      <c r="D19" s="562" t="s">
        <v>2415</v>
      </c>
      <c r="E19" s="578" t="s">
        <v>2734</v>
      </c>
      <c r="F19" s="579" t="s">
        <v>187</v>
      </c>
      <c r="G19" s="578" t="s">
        <v>2058</v>
      </c>
      <c r="H19" s="579" t="s">
        <v>190</v>
      </c>
      <c r="I19" s="579" t="s">
        <v>58</v>
      </c>
      <c r="J19" s="579" t="s">
        <v>59</v>
      </c>
      <c r="K19" s="579" t="s">
        <v>191</v>
      </c>
      <c r="L19" s="578" t="s">
        <v>192</v>
      </c>
      <c r="M19" s="580" t="s">
        <v>62</v>
      </c>
      <c r="N19" s="580" t="s">
        <v>62</v>
      </c>
      <c r="O19" s="581">
        <v>1734.09</v>
      </c>
      <c r="P19" s="581">
        <v>2304.9</v>
      </c>
      <c r="Q19" s="582"/>
      <c r="R19" s="579" t="s">
        <v>64</v>
      </c>
      <c r="S19" s="579" t="s">
        <v>151</v>
      </c>
      <c r="T19" s="580" t="s">
        <v>66</v>
      </c>
      <c r="U19" s="580" t="s">
        <v>66</v>
      </c>
      <c r="V19" s="580" t="s">
        <v>66</v>
      </c>
      <c r="W19" s="580" t="s">
        <v>66</v>
      </c>
      <c r="X19" s="580" t="s">
        <v>66</v>
      </c>
      <c r="Y19" s="580" t="s">
        <v>66</v>
      </c>
      <c r="Z19" s="580" t="s">
        <v>66</v>
      </c>
      <c r="AA19" s="578"/>
      <c r="AB19" s="580" t="s">
        <v>68</v>
      </c>
      <c r="AC19" s="579"/>
      <c r="AD19" s="580" t="s">
        <v>68</v>
      </c>
      <c r="AE19" s="579"/>
      <c r="AF19" s="583" t="s">
        <v>193</v>
      </c>
      <c r="AG19" s="584" t="s">
        <v>66</v>
      </c>
      <c r="AH19" s="580" t="s">
        <v>66</v>
      </c>
      <c r="AI19" s="580" t="s">
        <v>63</v>
      </c>
      <c r="AJ19" s="580" t="s">
        <v>66</v>
      </c>
      <c r="AK19" s="580" t="s">
        <v>66</v>
      </c>
      <c r="AL19" s="580" t="s">
        <v>66</v>
      </c>
      <c r="AM19" s="585" t="s">
        <v>66</v>
      </c>
      <c r="AN19" s="586" t="s">
        <v>194</v>
      </c>
      <c r="AO19" s="579" t="s">
        <v>71</v>
      </c>
      <c r="AP19" s="579" t="s">
        <v>72</v>
      </c>
      <c r="AQ19" s="579"/>
      <c r="AR19" s="579" t="s">
        <v>73</v>
      </c>
      <c r="AS19" s="579"/>
      <c r="AT19" s="587"/>
      <c r="AU19" s="584" t="s">
        <v>74</v>
      </c>
      <c r="AV19" s="578"/>
      <c r="AW19" s="588"/>
      <c r="AX19" s="588"/>
      <c r="AY19" s="588"/>
      <c r="AZ19" s="589"/>
      <c r="BA19" s="589"/>
      <c r="BB19" s="589"/>
      <c r="BC19" s="590">
        <v>0</v>
      </c>
      <c r="BD19" s="591"/>
    </row>
    <row r="20" spans="1:56" s="560" customFormat="1" ht="16.5" customHeight="1">
      <c r="A20" s="576">
        <v>2024</v>
      </c>
      <c r="B20" s="577" t="s">
        <v>196</v>
      </c>
      <c r="C20" s="562" t="s">
        <v>223</v>
      </c>
      <c r="D20" s="562" t="s">
        <v>2415</v>
      </c>
      <c r="E20" s="578" t="s">
        <v>197</v>
      </c>
      <c r="F20" s="579" t="s">
        <v>187</v>
      </c>
      <c r="G20" s="578" t="s">
        <v>2058</v>
      </c>
      <c r="H20" s="579" t="s">
        <v>198</v>
      </c>
      <c r="I20" s="579" t="s">
        <v>58</v>
      </c>
      <c r="J20" s="579" t="s">
        <v>59</v>
      </c>
      <c r="K20" s="579" t="s">
        <v>191</v>
      </c>
      <c r="L20" s="578" t="s">
        <v>192</v>
      </c>
      <c r="M20" s="580" t="s">
        <v>199</v>
      </c>
      <c r="N20" s="580" t="s">
        <v>199</v>
      </c>
      <c r="O20" s="581">
        <v>1068.44</v>
      </c>
      <c r="P20" s="581">
        <v>923.59</v>
      </c>
      <c r="Q20" s="582"/>
      <c r="R20" s="579" t="s">
        <v>130</v>
      </c>
      <c r="S20" s="579" t="s">
        <v>151</v>
      </c>
      <c r="T20" s="580" t="s">
        <v>66</v>
      </c>
      <c r="U20" s="580" t="s">
        <v>66</v>
      </c>
      <c r="V20" s="580" t="s">
        <v>66</v>
      </c>
      <c r="W20" s="580" t="s">
        <v>66</v>
      </c>
      <c r="X20" s="580" t="s">
        <v>66</v>
      </c>
      <c r="Y20" s="580" t="s">
        <v>66</v>
      </c>
      <c r="Z20" s="580" t="s">
        <v>66</v>
      </c>
      <c r="AA20" s="578"/>
      <c r="AB20" s="580" t="s">
        <v>68</v>
      </c>
      <c r="AC20" s="579"/>
      <c r="AD20" s="580" t="s">
        <v>68</v>
      </c>
      <c r="AE20" s="579"/>
      <c r="AF20" s="583" t="s">
        <v>200</v>
      </c>
      <c r="AG20" s="584" t="s">
        <v>66</v>
      </c>
      <c r="AH20" s="580" t="s">
        <v>66</v>
      </c>
      <c r="AI20" s="580" t="s">
        <v>66</v>
      </c>
      <c r="AJ20" s="580" t="s">
        <v>66</v>
      </c>
      <c r="AK20" s="580" t="s">
        <v>66</v>
      </c>
      <c r="AL20" s="580" t="s">
        <v>66</v>
      </c>
      <c r="AM20" s="585" t="s">
        <v>66</v>
      </c>
      <c r="AN20" s="586" t="s">
        <v>201</v>
      </c>
      <c r="AO20" s="579" t="s">
        <v>132</v>
      </c>
      <c r="AP20" s="579" t="s">
        <v>202</v>
      </c>
      <c r="AQ20" s="579"/>
      <c r="AR20" s="579"/>
      <c r="AS20" s="579"/>
      <c r="AT20" s="587"/>
      <c r="AU20" s="584" t="s">
        <v>74</v>
      </c>
      <c r="AV20" s="578"/>
      <c r="AW20" s="588"/>
      <c r="AX20" s="588"/>
      <c r="AY20" s="588"/>
      <c r="AZ20" s="589"/>
      <c r="BA20" s="589"/>
      <c r="BB20" s="589"/>
      <c r="BC20" s="590">
        <v>0</v>
      </c>
      <c r="BD20" s="591"/>
    </row>
    <row r="21" spans="1:56" s="560" customFormat="1" ht="16.5" customHeight="1">
      <c r="A21" s="561">
        <v>2024</v>
      </c>
      <c r="B21" s="577" t="s">
        <v>210</v>
      </c>
      <c r="C21" s="577" t="s">
        <v>231</v>
      </c>
      <c r="D21" s="562" t="s">
        <v>2415</v>
      </c>
      <c r="E21" s="578" t="s">
        <v>211</v>
      </c>
      <c r="F21" s="579" t="s">
        <v>187</v>
      </c>
      <c r="G21" s="578" t="s">
        <v>2058</v>
      </c>
      <c r="H21" s="579" t="s">
        <v>212</v>
      </c>
      <c r="I21" s="579" t="s">
        <v>58</v>
      </c>
      <c r="J21" s="579" t="s">
        <v>59</v>
      </c>
      <c r="K21" s="579" t="s">
        <v>191</v>
      </c>
      <c r="L21" s="578" t="s">
        <v>207</v>
      </c>
      <c r="M21" s="580" t="s">
        <v>144</v>
      </c>
      <c r="N21" s="580" t="s">
        <v>144</v>
      </c>
      <c r="O21" s="581">
        <v>614.86</v>
      </c>
      <c r="P21" s="581">
        <v>183.18</v>
      </c>
      <c r="Q21" s="582"/>
      <c r="R21" s="579" t="s">
        <v>85</v>
      </c>
      <c r="S21" s="579" t="s">
        <v>151</v>
      </c>
      <c r="T21" s="580" t="s">
        <v>66</v>
      </c>
      <c r="U21" s="580" t="s">
        <v>66</v>
      </c>
      <c r="V21" s="580" t="s">
        <v>66</v>
      </c>
      <c r="W21" s="580" t="s">
        <v>66</v>
      </c>
      <c r="X21" s="580" t="s">
        <v>66</v>
      </c>
      <c r="Y21" s="580" t="s">
        <v>66</v>
      </c>
      <c r="Z21" s="580" t="s">
        <v>66</v>
      </c>
      <c r="AA21" s="578"/>
      <c r="AB21" s="580" t="s">
        <v>68</v>
      </c>
      <c r="AC21" s="579"/>
      <c r="AD21" s="580" t="s">
        <v>68</v>
      </c>
      <c r="AE21" s="579"/>
      <c r="AF21" s="583" t="s">
        <v>208</v>
      </c>
      <c r="AG21" s="584" t="s">
        <v>66</v>
      </c>
      <c r="AH21" s="580" t="s">
        <v>66</v>
      </c>
      <c r="AI21" s="580" t="s">
        <v>66</v>
      </c>
      <c r="AJ21" s="580" t="s">
        <v>66</v>
      </c>
      <c r="AK21" s="580" t="s">
        <v>66</v>
      </c>
      <c r="AL21" s="580" t="s">
        <v>66</v>
      </c>
      <c r="AM21" s="585" t="s">
        <v>66</v>
      </c>
      <c r="AN21" s="586" t="s">
        <v>70</v>
      </c>
      <c r="AO21" s="579" t="s">
        <v>71</v>
      </c>
      <c r="AP21" s="579" t="s">
        <v>72</v>
      </c>
      <c r="AQ21" s="579"/>
      <c r="AR21" s="579" t="s">
        <v>73</v>
      </c>
      <c r="AS21" s="579"/>
      <c r="AT21" s="587"/>
      <c r="AU21" s="584" t="s">
        <v>74</v>
      </c>
      <c r="AV21" s="578"/>
      <c r="AW21" s="588"/>
      <c r="AX21" s="588"/>
      <c r="AY21" s="588"/>
      <c r="AZ21" s="589"/>
      <c r="BA21" s="589"/>
      <c r="BB21" s="589"/>
      <c r="BC21" s="590">
        <v>0</v>
      </c>
      <c r="BD21" s="591"/>
    </row>
    <row r="22" spans="1:56" s="560" customFormat="1" ht="16.5" customHeight="1">
      <c r="A22" s="576">
        <v>2024</v>
      </c>
      <c r="B22" s="577" t="s">
        <v>214</v>
      </c>
      <c r="C22" s="562" t="s">
        <v>236</v>
      </c>
      <c r="D22" s="562" t="s">
        <v>2415</v>
      </c>
      <c r="E22" s="578" t="s">
        <v>215</v>
      </c>
      <c r="F22" s="579" t="s">
        <v>187</v>
      </c>
      <c r="G22" s="578" t="s">
        <v>2058</v>
      </c>
      <c r="H22" s="579" t="s">
        <v>216</v>
      </c>
      <c r="I22" s="579" t="s">
        <v>58</v>
      </c>
      <c r="J22" s="579" t="s">
        <v>59</v>
      </c>
      <c r="K22" s="579" t="s">
        <v>191</v>
      </c>
      <c r="L22" s="578" t="s">
        <v>207</v>
      </c>
      <c r="M22" s="580" t="s">
        <v>144</v>
      </c>
      <c r="N22" s="580" t="s">
        <v>144</v>
      </c>
      <c r="O22" s="581">
        <v>357.41</v>
      </c>
      <c r="P22" s="581">
        <v>290.92</v>
      </c>
      <c r="Q22" s="582"/>
      <c r="R22" s="579" t="s">
        <v>150</v>
      </c>
      <c r="S22" s="579" t="s">
        <v>151</v>
      </c>
      <c r="T22" s="580" t="s">
        <v>66</v>
      </c>
      <c r="U22" s="580" t="s">
        <v>66</v>
      </c>
      <c r="V22" s="580" t="s">
        <v>66</v>
      </c>
      <c r="W22" s="580" t="s">
        <v>66</v>
      </c>
      <c r="X22" s="580" t="s">
        <v>66</v>
      </c>
      <c r="Y22" s="580" t="s">
        <v>66</v>
      </c>
      <c r="Z22" s="580" t="s">
        <v>66</v>
      </c>
      <c r="AA22" s="578"/>
      <c r="AB22" s="580" t="s">
        <v>68</v>
      </c>
      <c r="AC22" s="579"/>
      <c r="AD22" s="580" t="s">
        <v>68</v>
      </c>
      <c r="AE22" s="579"/>
      <c r="AF22" s="583" t="s">
        <v>217</v>
      </c>
      <c r="AG22" s="584" t="s">
        <v>66</v>
      </c>
      <c r="AH22" s="580" t="s">
        <v>66</v>
      </c>
      <c r="AI22" s="580" t="s">
        <v>66</v>
      </c>
      <c r="AJ22" s="580" t="s">
        <v>66</v>
      </c>
      <c r="AK22" s="580" t="s">
        <v>66</v>
      </c>
      <c r="AL22" s="580" t="s">
        <v>66</v>
      </c>
      <c r="AM22" s="585" t="s">
        <v>66</v>
      </c>
      <c r="AN22" s="586" t="s">
        <v>109</v>
      </c>
      <c r="AO22" s="579" t="s">
        <v>110</v>
      </c>
      <c r="AP22" s="579" t="s">
        <v>111</v>
      </c>
      <c r="AQ22" s="579"/>
      <c r="AR22" s="579" t="s">
        <v>112</v>
      </c>
      <c r="AS22" s="579"/>
      <c r="AT22" s="587"/>
      <c r="AU22" s="584" t="s">
        <v>74</v>
      </c>
      <c r="AV22" s="578"/>
      <c r="AW22" s="588"/>
      <c r="AX22" s="588"/>
      <c r="AY22" s="588"/>
      <c r="AZ22" s="589"/>
      <c r="BA22" s="589"/>
      <c r="BB22" s="589"/>
      <c r="BC22" s="590">
        <v>0</v>
      </c>
      <c r="BD22" s="591"/>
    </row>
    <row r="23" spans="1:56" s="560" customFormat="1" ht="16.5" customHeight="1">
      <c r="A23" s="576">
        <v>2024</v>
      </c>
      <c r="B23" s="577" t="s">
        <v>204</v>
      </c>
      <c r="C23" s="577" t="s">
        <v>241</v>
      </c>
      <c r="D23" s="562" t="s">
        <v>2415</v>
      </c>
      <c r="E23" s="578" t="s">
        <v>2676</v>
      </c>
      <c r="F23" s="579" t="s">
        <v>187</v>
      </c>
      <c r="G23" s="578" t="s">
        <v>2058</v>
      </c>
      <c r="H23" s="579" t="s">
        <v>206</v>
      </c>
      <c r="I23" s="579" t="s">
        <v>58</v>
      </c>
      <c r="J23" s="579" t="s">
        <v>59</v>
      </c>
      <c r="K23" s="579" t="s">
        <v>191</v>
      </c>
      <c r="L23" s="578" t="s">
        <v>207</v>
      </c>
      <c r="M23" s="580" t="s">
        <v>144</v>
      </c>
      <c r="N23" s="580" t="s">
        <v>144</v>
      </c>
      <c r="O23" s="581">
        <v>398.44</v>
      </c>
      <c r="P23" s="581">
        <v>184.68</v>
      </c>
      <c r="Q23" s="582"/>
      <c r="R23" s="579" t="s">
        <v>100</v>
      </c>
      <c r="S23" s="579" t="s">
        <v>151</v>
      </c>
      <c r="T23" s="580" t="s">
        <v>66</v>
      </c>
      <c r="U23" s="580" t="s">
        <v>66</v>
      </c>
      <c r="V23" s="580" t="s">
        <v>66</v>
      </c>
      <c r="W23" s="580" t="s">
        <v>66</v>
      </c>
      <c r="X23" s="580" t="s">
        <v>66</v>
      </c>
      <c r="Y23" s="580" t="s">
        <v>66</v>
      </c>
      <c r="Z23" s="580" t="s">
        <v>66</v>
      </c>
      <c r="AA23" s="578"/>
      <c r="AB23" s="580" t="s">
        <v>68</v>
      </c>
      <c r="AC23" s="579"/>
      <c r="AD23" s="580" t="s">
        <v>68</v>
      </c>
      <c r="AE23" s="579"/>
      <c r="AF23" s="583" t="s">
        <v>208</v>
      </c>
      <c r="AG23" s="584" t="s">
        <v>66</v>
      </c>
      <c r="AH23" s="580" t="s">
        <v>66</v>
      </c>
      <c r="AI23" s="580" t="s">
        <v>66</v>
      </c>
      <c r="AJ23" s="580" t="s">
        <v>66</v>
      </c>
      <c r="AK23" s="580" t="s">
        <v>66</v>
      </c>
      <c r="AL23" s="580" t="s">
        <v>66</v>
      </c>
      <c r="AM23" s="585" t="s">
        <v>66</v>
      </c>
      <c r="AN23" s="586" t="s">
        <v>194</v>
      </c>
      <c r="AO23" s="579" t="s">
        <v>71</v>
      </c>
      <c r="AP23" s="579" t="s">
        <v>72</v>
      </c>
      <c r="AQ23" s="579"/>
      <c r="AR23" s="579" t="s">
        <v>73</v>
      </c>
      <c r="AS23" s="579"/>
      <c r="AT23" s="587"/>
      <c r="AU23" s="584" t="s">
        <v>74</v>
      </c>
      <c r="AV23" s="578"/>
      <c r="AW23" s="588"/>
      <c r="AX23" s="588"/>
      <c r="AY23" s="588"/>
      <c r="AZ23" s="589"/>
      <c r="BA23" s="589"/>
      <c r="BB23" s="589"/>
      <c r="BC23" s="590">
        <v>0</v>
      </c>
      <c r="BD23" s="591"/>
    </row>
    <row r="24" spans="1:56" s="560" customFormat="1" ht="16.5" customHeight="1">
      <c r="A24" s="561">
        <v>2024</v>
      </c>
      <c r="B24" s="577" t="s">
        <v>219</v>
      </c>
      <c r="C24" s="562" t="s">
        <v>246</v>
      </c>
      <c r="D24" s="562" t="s">
        <v>2415</v>
      </c>
      <c r="E24" s="578" t="s">
        <v>220</v>
      </c>
      <c r="F24" s="579" t="s">
        <v>187</v>
      </c>
      <c r="G24" s="578" t="s">
        <v>2058</v>
      </c>
      <c r="H24" s="579" t="s">
        <v>221</v>
      </c>
      <c r="I24" s="579" t="s">
        <v>58</v>
      </c>
      <c r="J24" s="579" t="s">
        <v>59</v>
      </c>
      <c r="K24" s="579" t="s">
        <v>191</v>
      </c>
      <c r="L24" s="578" t="s">
        <v>207</v>
      </c>
      <c r="M24" s="580" t="s">
        <v>222</v>
      </c>
      <c r="N24" s="580" t="s">
        <v>222</v>
      </c>
      <c r="O24" s="581">
        <v>487.42</v>
      </c>
      <c r="P24" s="581">
        <v>309.38</v>
      </c>
      <c r="Q24" s="582"/>
      <c r="R24" s="579" t="s">
        <v>93</v>
      </c>
      <c r="S24" s="579" t="s">
        <v>151</v>
      </c>
      <c r="T24" s="580" t="s">
        <v>66</v>
      </c>
      <c r="U24" s="580" t="s">
        <v>66</v>
      </c>
      <c r="V24" s="580" t="s">
        <v>66</v>
      </c>
      <c r="W24" s="580" t="s">
        <v>66</v>
      </c>
      <c r="X24" s="580" t="s">
        <v>66</v>
      </c>
      <c r="Y24" s="580" t="s">
        <v>66</v>
      </c>
      <c r="Z24" s="580" t="s">
        <v>66</v>
      </c>
      <c r="AA24" s="578"/>
      <c r="AB24" s="580" t="s">
        <v>68</v>
      </c>
      <c r="AC24" s="579"/>
      <c r="AD24" s="580" t="s">
        <v>68</v>
      </c>
      <c r="AE24" s="579"/>
      <c r="AF24" s="583" t="s">
        <v>217</v>
      </c>
      <c r="AG24" s="584" t="s">
        <v>66</v>
      </c>
      <c r="AH24" s="580" t="s">
        <v>66</v>
      </c>
      <c r="AI24" s="580" t="s">
        <v>66</v>
      </c>
      <c r="AJ24" s="580" t="s">
        <v>66</v>
      </c>
      <c r="AK24" s="580" t="s">
        <v>66</v>
      </c>
      <c r="AL24" s="580" t="s">
        <v>66</v>
      </c>
      <c r="AM24" s="585" t="s">
        <v>66</v>
      </c>
      <c r="AN24" s="586" t="s">
        <v>70</v>
      </c>
      <c r="AO24" s="579" t="s">
        <v>71</v>
      </c>
      <c r="AP24" s="579" t="s">
        <v>72</v>
      </c>
      <c r="AQ24" s="579"/>
      <c r="AR24" s="579" t="s">
        <v>73</v>
      </c>
      <c r="AS24" s="579"/>
      <c r="AT24" s="587"/>
      <c r="AU24" s="584" t="s">
        <v>74</v>
      </c>
      <c r="AV24" s="578"/>
      <c r="AW24" s="588"/>
      <c r="AX24" s="588"/>
      <c r="AY24" s="588"/>
      <c r="AZ24" s="589"/>
      <c r="BA24" s="589"/>
      <c r="BB24" s="589"/>
      <c r="BC24" s="590">
        <v>0</v>
      </c>
      <c r="BD24" s="591"/>
    </row>
    <row r="25" spans="1:56" s="560" customFormat="1" ht="16.5" customHeight="1">
      <c r="A25" s="576">
        <v>2024</v>
      </c>
      <c r="B25" s="577" t="s">
        <v>224</v>
      </c>
      <c r="C25" s="577" t="s">
        <v>253</v>
      </c>
      <c r="D25" s="562" t="s">
        <v>2415</v>
      </c>
      <c r="E25" s="578" t="s">
        <v>225</v>
      </c>
      <c r="F25" s="579" t="s">
        <v>187</v>
      </c>
      <c r="G25" s="578" t="s">
        <v>2058</v>
      </c>
      <c r="H25" s="579" t="s">
        <v>226</v>
      </c>
      <c r="I25" s="579" t="s">
        <v>58</v>
      </c>
      <c r="J25" s="579" t="s">
        <v>59</v>
      </c>
      <c r="K25" s="579" t="s">
        <v>191</v>
      </c>
      <c r="L25" s="578" t="s">
        <v>227</v>
      </c>
      <c r="M25" s="580" t="s">
        <v>228</v>
      </c>
      <c r="N25" s="580" t="s">
        <v>228</v>
      </c>
      <c r="O25" s="581">
        <v>93.87</v>
      </c>
      <c r="P25" s="581">
        <v>79.459999999999994</v>
      </c>
      <c r="Q25" s="582"/>
      <c r="R25" s="579" t="s">
        <v>229</v>
      </c>
      <c r="S25" s="579" t="s">
        <v>151</v>
      </c>
      <c r="T25" s="580" t="s">
        <v>66</v>
      </c>
      <c r="U25" s="580" t="s">
        <v>66</v>
      </c>
      <c r="V25" s="580" t="s">
        <v>66</v>
      </c>
      <c r="W25" s="580" t="s">
        <v>66</v>
      </c>
      <c r="X25" s="580" t="s">
        <v>66</v>
      </c>
      <c r="Y25" s="580" t="s">
        <v>66</v>
      </c>
      <c r="Z25" s="580" t="s">
        <v>66</v>
      </c>
      <c r="AA25" s="578"/>
      <c r="AB25" s="580" t="s">
        <v>68</v>
      </c>
      <c r="AC25" s="579"/>
      <c r="AD25" s="580" t="s">
        <v>68</v>
      </c>
      <c r="AE25" s="579"/>
      <c r="AF25" s="583" t="s">
        <v>230</v>
      </c>
      <c r="AG25" s="584" t="s">
        <v>66</v>
      </c>
      <c r="AH25" s="580" t="s">
        <v>66</v>
      </c>
      <c r="AI25" s="580" t="s">
        <v>66</v>
      </c>
      <c r="AJ25" s="580" t="s">
        <v>66</v>
      </c>
      <c r="AK25" s="580" t="s">
        <v>66</v>
      </c>
      <c r="AL25" s="580" t="s">
        <v>66</v>
      </c>
      <c r="AM25" s="585" t="s">
        <v>66</v>
      </c>
      <c r="AN25" s="586" t="s">
        <v>95</v>
      </c>
      <c r="AO25" s="579" t="s">
        <v>71</v>
      </c>
      <c r="AP25" s="579" t="s">
        <v>72</v>
      </c>
      <c r="AQ25" s="579"/>
      <c r="AR25" s="579" t="s">
        <v>73</v>
      </c>
      <c r="AS25" s="579"/>
      <c r="AT25" s="587"/>
      <c r="AU25" s="584" t="s">
        <v>74</v>
      </c>
      <c r="AV25" s="578"/>
      <c r="AW25" s="588"/>
      <c r="AX25" s="588"/>
      <c r="AY25" s="588"/>
      <c r="AZ25" s="589"/>
      <c r="BA25" s="589"/>
      <c r="BB25" s="589"/>
      <c r="BC25" s="590">
        <v>0</v>
      </c>
      <c r="BD25" s="591"/>
    </row>
    <row r="26" spans="1:56" s="560" customFormat="1" ht="16.5" customHeight="1">
      <c r="A26" s="576">
        <v>2024</v>
      </c>
      <c r="B26" s="577" t="s">
        <v>247</v>
      </c>
      <c r="C26" s="562" t="s">
        <v>259</v>
      </c>
      <c r="D26" s="562" t="s">
        <v>2415</v>
      </c>
      <c r="E26" s="578" t="s">
        <v>248</v>
      </c>
      <c r="F26" s="579" t="s">
        <v>2735</v>
      </c>
      <c r="G26" s="578" t="s">
        <v>2058</v>
      </c>
      <c r="H26" s="579" t="s">
        <v>249</v>
      </c>
      <c r="I26" s="579" t="s">
        <v>58</v>
      </c>
      <c r="J26" s="579" t="s">
        <v>59</v>
      </c>
      <c r="K26" s="579" t="s">
        <v>191</v>
      </c>
      <c r="L26" s="578" t="s">
        <v>227</v>
      </c>
      <c r="M26" s="580" t="s">
        <v>250</v>
      </c>
      <c r="N26" s="580" t="s">
        <v>250</v>
      </c>
      <c r="O26" s="581">
        <v>741.64</v>
      </c>
      <c r="P26" s="581">
        <v>45.75</v>
      </c>
      <c r="Q26" s="582"/>
      <c r="R26" s="579" t="s">
        <v>251</v>
      </c>
      <c r="S26" s="579" t="s">
        <v>65</v>
      </c>
      <c r="T26" s="580" t="s">
        <v>66</v>
      </c>
      <c r="U26" s="580" t="s">
        <v>66</v>
      </c>
      <c r="V26" s="580" t="s">
        <v>66</v>
      </c>
      <c r="W26" s="580" t="s">
        <v>66</v>
      </c>
      <c r="X26" s="580" t="s">
        <v>66</v>
      </c>
      <c r="Y26" s="580" t="s">
        <v>66</v>
      </c>
      <c r="Z26" s="580" t="s">
        <v>66</v>
      </c>
      <c r="AA26" s="578" t="s">
        <v>252</v>
      </c>
      <c r="AB26" s="580" t="s">
        <v>68</v>
      </c>
      <c r="AC26" s="579"/>
      <c r="AD26" s="580" t="s">
        <v>68</v>
      </c>
      <c r="AE26" s="579"/>
      <c r="AF26" s="583" t="s">
        <v>230</v>
      </c>
      <c r="AG26" s="584" t="s">
        <v>66</v>
      </c>
      <c r="AH26" s="580" t="s">
        <v>66</v>
      </c>
      <c r="AI26" s="580" t="s">
        <v>66</v>
      </c>
      <c r="AJ26" s="580" t="s">
        <v>66</v>
      </c>
      <c r="AK26" s="580" t="s">
        <v>66</v>
      </c>
      <c r="AL26" s="580" t="s">
        <v>66</v>
      </c>
      <c r="AM26" s="585" t="s">
        <v>66</v>
      </c>
      <c r="AN26" s="586" t="s">
        <v>164</v>
      </c>
      <c r="AO26" s="579" t="s">
        <v>71</v>
      </c>
      <c r="AP26" s="579" t="s">
        <v>72</v>
      </c>
      <c r="AQ26" s="579"/>
      <c r="AR26" s="579" t="s">
        <v>121</v>
      </c>
      <c r="AS26" s="579"/>
      <c r="AT26" s="587"/>
      <c r="AU26" s="584" t="s">
        <v>74</v>
      </c>
      <c r="AV26" s="578"/>
      <c r="AW26" s="588"/>
      <c r="AX26" s="588"/>
      <c r="AY26" s="588"/>
      <c r="AZ26" s="589"/>
      <c r="BA26" s="589"/>
      <c r="BB26" s="589"/>
      <c r="BC26" s="590">
        <v>0</v>
      </c>
      <c r="BD26" s="591"/>
    </row>
    <row r="27" spans="1:56" s="560" customFormat="1" ht="16.5" customHeight="1">
      <c r="A27" s="561">
        <v>2024</v>
      </c>
      <c r="B27" s="577" t="s">
        <v>254</v>
      </c>
      <c r="C27" s="577" t="s">
        <v>272</v>
      </c>
      <c r="D27" s="562" t="s">
        <v>2415</v>
      </c>
      <c r="E27" s="578" t="s">
        <v>255</v>
      </c>
      <c r="F27" s="579" t="s">
        <v>187</v>
      </c>
      <c r="G27" s="578" t="s">
        <v>2058</v>
      </c>
      <c r="H27" s="579" t="s">
        <v>256</v>
      </c>
      <c r="I27" s="579" t="s">
        <v>58</v>
      </c>
      <c r="J27" s="579" t="s">
        <v>59</v>
      </c>
      <c r="K27" s="579" t="s">
        <v>191</v>
      </c>
      <c r="L27" s="578" t="s">
        <v>227</v>
      </c>
      <c r="M27" s="580" t="s">
        <v>257</v>
      </c>
      <c r="N27" s="580" t="s">
        <v>257</v>
      </c>
      <c r="O27" s="581">
        <v>104.28</v>
      </c>
      <c r="P27" s="581">
        <v>54.82</v>
      </c>
      <c r="Q27" s="582"/>
      <c r="R27" s="579" t="s">
        <v>251</v>
      </c>
      <c r="S27" s="579" t="s">
        <v>151</v>
      </c>
      <c r="T27" s="580" t="s">
        <v>66</v>
      </c>
      <c r="U27" s="580" t="s">
        <v>66</v>
      </c>
      <c r="V27" s="580" t="s">
        <v>66</v>
      </c>
      <c r="W27" s="580" t="s">
        <v>66</v>
      </c>
      <c r="X27" s="580" t="s">
        <v>66</v>
      </c>
      <c r="Y27" s="580" t="s">
        <v>66</v>
      </c>
      <c r="Z27" s="580" t="s">
        <v>66</v>
      </c>
      <c r="AA27" s="578"/>
      <c r="AB27" s="580" t="s">
        <v>101</v>
      </c>
      <c r="AC27" s="579" t="s">
        <v>1897</v>
      </c>
      <c r="AD27" s="580" t="s">
        <v>68</v>
      </c>
      <c r="AE27" s="579"/>
      <c r="AF27" s="583" t="s">
        <v>230</v>
      </c>
      <c r="AG27" s="584" t="s">
        <v>66</v>
      </c>
      <c r="AH27" s="580" t="s">
        <v>66</v>
      </c>
      <c r="AI27" s="580" t="s">
        <v>66</v>
      </c>
      <c r="AJ27" s="580" t="s">
        <v>66</v>
      </c>
      <c r="AK27" s="580" t="s">
        <v>66</v>
      </c>
      <c r="AL27" s="580" t="s">
        <v>66</v>
      </c>
      <c r="AM27" s="585" t="s">
        <v>66</v>
      </c>
      <c r="AN27" s="586" t="s">
        <v>258</v>
      </c>
      <c r="AO27" s="579" t="s">
        <v>71</v>
      </c>
      <c r="AP27" s="579" t="s">
        <v>72</v>
      </c>
      <c r="AQ27" s="579"/>
      <c r="AR27" s="579"/>
      <c r="AS27" s="579"/>
      <c r="AT27" s="587"/>
      <c r="AU27" s="584" t="s">
        <v>74</v>
      </c>
      <c r="AV27" s="578"/>
      <c r="AW27" s="588"/>
      <c r="AX27" s="588"/>
      <c r="AY27" s="588"/>
      <c r="AZ27" s="589"/>
      <c r="BA27" s="589"/>
      <c r="BB27" s="589"/>
      <c r="BC27" s="590">
        <v>0</v>
      </c>
      <c r="BD27" s="591"/>
    </row>
    <row r="28" spans="1:56" s="560" customFormat="1" ht="16.5" customHeight="1">
      <c r="A28" s="576">
        <v>2024</v>
      </c>
      <c r="B28" s="577" t="s">
        <v>237</v>
      </c>
      <c r="C28" s="562" t="s">
        <v>277</v>
      </c>
      <c r="D28" s="562" t="s">
        <v>2415</v>
      </c>
      <c r="E28" s="578" t="s">
        <v>238</v>
      </c>
      <c r="F28" s="579" t="s">
        <v>187</v>
      </c>
      <c r="G28" s="578" t="s">
        <v>2058</v>
      </c>
      <c r="H28" s="579" t="s">
        <v>239</v>
      </c>
      <c r="I28" s="579" t="s">
        <v>58</v>
      </c>
      <c r="J28" s="579" t="s">
        <v>59</v>
      </c>
      <c r="K28" s="579" t="s">
        <v>191</v>
      </c>
      <c r="L28" s="578" t="s">
        <v>227</v>
      </c>
      <c r="M28" s="580" t="s">
        <v>129</v>
      </c>
      <c r="N28" s="580" t="s">
        <v>129</v>
      </c>
      <c r="O28" s="581">
        <v>138.84</v>
      </c>
      <c r="P28" s="581">
        <v>100.97</v>
      </c>
      <c r="Q28" s="582"/>
      <c r="R28" s="579" t="s">
        <v>240</v>
      </c>
      <c r="S28" s="579" t="s">
        <v>151</v>
      </c>
      <c r="T28" s="580" t="s">
        <v>66</v>
      </c>
      <c r="U28" s="580" t="s">
        <v>66</v>
      </c>
      <c r="V28" s="580" t="s">
        <v>66</v>
      </c>
      <c r="W28" s="580" t="s">
        <v>66</v>
      </c>
      <c r="X28" s="580" t="s">
        <v>66</v>
      </c>
      <c r="Y28" s="580" t="s">
        <v>66</v>
      </c>
      <c r="Z28" s="580" t="s">
        <v>66</v>
      </c>
      <c r="AA28" s="578"/>
      <c r="AB28" s="580" t="s">
        <v>68</v>
      </c>
      <c r="AC28" s="579"/>
      <c r="AD28" s="580" t="s">
        <v>68</v>
      </c>
      <c r="AE28" s="579"/>
      <c r="AF28" s="583" t="s">
        <v>230</v>
      </c>
      <c r="AG28" s="584" t="s">
        <v>66</v>
      </c>
      <c r="AH28" s="580" t="s">
        <v>66</v>
      </c>
      <c r="AI28" s="580" t="s">
        <v>66</v>
      </c>
      <c r="AJ28" s="580" t="s">
        <v>66</v>
      </c>
      <c r="AK28" s="580" t="s">
        <v>66</v>
      </c>
      <c r="AL28" s="580" t="s">
        <v>66</v>
      </c>
      <c r="AM28" s="585" t="s">
        <v>66</v>
      </c>
      <c r="AN28" s="586" t="s">
        <v>164</v>
      </c>
      <c r="AO28" s="579" t="s">
        <v>71</v>
      </c>
      <c r="AP28" s="579" t="s">
        <v>72</v>
      </c>
      <c r="AQ28" s="579"/>
      <c r="AR28" s="579" t="s">
        <v>121</v>
      </c>
      <c r="AS28" s="579"/>
      <c r="AT28" s="587"/>
      <c r="AU28" s="584" t="s">
        <v>74</v>
      </c>
      <c r="AV28" s="578"/>
      <c r="AW28" s="588"/>
      <c r="AX28" s="588"/>
      <c r="AY28" s="588"/>
      <c r="AZ28" s="589"/>
      <c r="BA28" s="589"/>
      <c r="BB28" s="589"/>
      <c r="BC28" s="590">
        <v>0</v>
      </c>
      <c r="BD28" s="591"/>
    </row>
    <row r="29" spans="1:56" s="560" customFormat="1" ht="16.5" customHeight="1">
      <c r="A29" s="576">
        <v>2024</v>
      </c>
      <c r="B29" s="577" t="s">
        <v>232</v>
      </c>
      <c r="C29" s="577" t="s">
        <v>282</v>
      </c>
      <c r="D29" s="562" t="s">
        <v>2415</v>
      </c>
      <c r="E29" s="578" t="s">
        <v>233</v>
      </c>
      <c r="F29" s="579" t="s">
        <v>187</v>
      </c>
      <c r="G29" s="578" t="s">
        <v>2058</v>
      </c>
      <c r="H29" s="579" t="s">
        <v>234</v>
      </c>
      <c r="I29" s="579" t="s">
        <v>58</v>
      </c>
      <c r="J29" s="579" t="s">
        <v>59</v>
      </c>
      <c r="K29" s="579" t="s">
        <v>191</v>
      </c>
      <c r="L29" s="578" t="s">
        <v>227</v>
      </c>
      <c r="M29" s="580" t="s">
        <v>235</v>
      </c>
      <c r="N29" s="580" t="s">
        <v>235</v>
      </c>
      <c r="O29" s="581">
        <v>89.78</v>
      </c>
      <c r="P29" s="581">
        <v>88.72</v>
      </c>
      <c r="Q29" s="582"/>
      <c r="R29" s="579" t="s">
        <v>100</v>
      </c>
      <c r="S29" s="579" t="s">
        <v>151</v>
      </c>
      <c r="T29" s="580" t="s">
        <v>66</v>
      </c>
      <c r="U29" s="580" t="s">
        <v>66</v>
      </c>
      <c r="V29" s="580" t="s">
        <v>66</v>
      </c>
      <c r="W29" s="580" t="s">
        <v>66</v>
      </c>
      <c r="X29" s="580" t="s">
        <v>66</v>
      </c>
      <c r="Y29" s="580" t="s">
        <v>66</v>
      </c>
      <c r="Z29" s="580" t="s">
        <v>66</v>
      </c>
      <c r="AA29" s="578"/>
      <c r="AB29" s="580" t="s">
        <v>68</v>
      </c>
      <c r="AC29" s="579"/>
      <c r="AD29" s="580" t="s">
        <v>68</v>
      </c>
      <c r="AE29" s="579"/>
      <c r="AF29" s="583" t="s">
        <v>230</v>
      </c>
      <c r="AG29" s="584" t="s">
        <v>66</v>
      </c>
      <c r="AH29" s="580" t="s">
        <v>66</v>
      </c>
      <c r="AI29" s="580" t="s">
        <v>66</v>
      </c>
      <c r="AJ29" s="580" t="s">
        <v>66</v>
      </c>
      <c r="AK29" s="580" t="s">
        <v>66</v>
      </c>
      <c r="AL29" s="580" t="s">
        <v>66</v>
      </c>
      <c r="AM29" s="585" t="s">
        <v>66</v>
      </c>
      <c r="AN29" s="586" t="s">
        <v>164</v>
      </c>
      <c r="AO29" s="579" t="s">
        <v>71</v>
      </c>
      <c r="AP29" s="579" t="s">
        <v>72</v>
      </c>
      <c r="AQ29" s="579"/>
      <c r="AR29" s="579" t="s">
        <v>121</v>
      </c>
      <c r="AS29" s="579"/>
      <c r="AT29" s="587"/>
      <c r="AU29" s="584" t="s">
        <v>74</v>
      </c>
      <c r="AV29" s="578"/>
      <c r="AW29" s="588"/>
      <c r="AX29" s="588"/>
      <c r="AY29" s="588"/>
      <c r="AZ29" s="589"/>
      <c r="BA29" s="589"/>
      <c r="BB29" s="589"/>
      <c r="BC29" s="590">
        <v>0</v>
      </c>
      <c r="BD29" s="591"/>
    </row>
    <row r="30" spans="1:56" s="560" customFormat="1" ht="16.5" customHeight="1">
      <c r="A30" s="561">
        <v>2024</v>
      </c>
      <c r="B30" s="577" t="s">
        <v>242</v>
      </c>
      <c r="C30" s="562" t="s">
        <v>289</v>
      </c>
      <c r="D30" s="562" t="s">
        <v>2415</v>
      </c>
      <c r="E30" s="578" t="s">
        <v>243</v>
      </c>
      <c r="F30" s="579" t="s">
        <v>187</v>
      </c>
      <c r="G30" s="578" t="s">
        <v>2058</v>
      </c>
      <c r="H30" s="579" t="s">
        <v>244</v>
      </c>
      <c r="I30" s="579" t="s">
        <v>58</v>
      </c>
      <c r="J30" s="579" t="s">
        <v>59</v>
      </c>
      <c r="K30" s="579" t="s">
        <v>191</v>
      </c>
      <c r="L30" s="578" t="s">
        <v>227</v>
      </c>
      <c r="M30" s="580" t="s">
        <v>1895</v>
      </c>
      <c r="N30" s="580" t="s">
        <v>1895</v>
      </c>
      <c r="O30" s="581">
        <v>144.83000000000001</v>
      </c>
      <c r="P30" s="581">
        <v>63</v>
      </c>
      <c r="Q30" s="582"/>
      <c r="R30" s="579" t="s">
        <v>245</v>
      </c>
      <c r="S30" s="579" t="s">
        <v>151</v>
      </c>
      <c r="T30" s="580" t="s">
        <v>66</v>
      </c>
      <c r="U30" s="580" t="s">
        <v>66</v>
      </c>
      <c r="V30" s="580" t="s">
        <v>66</v>
      </c>
      <c r="W30" s="580" t="s">
        <v>66</v>
      </c>
      <c r="X30" s="580" t="s">
        <v>66</v>
      </c>
      <c r="Y30" s="580" t="s">
        <v>66</v>
      </c>
      <c r="Z30" s="580" t="s">
        <v>66</v>
      </c>
      <c r="AA30" s="578"/>
      <c r="AB30" s="580" t="s">
        <v>101</v>
      </c>
      <c r="AC30" s="579" t="s">
        <v>1896</v>
      </c>
      <c r="AD30" s="580" t="s">
        <v>68</v>
      </c>
      <c r="AE30" s="579"/>
      <c r="AF30" s="583" t="s">
        <v>230</v>
      </c>
      <c r="AG30" s="584" t="s">
        <v>66</v>
      </c>
      <c r="AH30" s="580" t="s">
        <v>66</v>
      </c>
      <c r="AI30" s="580" t="s">
        <v>66</v>
      </c>
      <c r="AJ30" s="580" t="s">
        <v>66</v>
      </c>
      <c r="AK30" s="580" t="s">
        <v>66</v>
      </c>
      <c r="AL30" s="580" t="s">
        <v>66</v>
      </c>
      <c r="AM30" s="585" t="s">
        <v>66</v>
      </c>
      <c r="AN30" s="586" t="s">
        <v>164</v>
      </c>
      <c r="AO30" s="579" t="s">
        <v>71</v>
      </c>
      <c r="AP30" s="579" t="s">
        <v>72</v>
      </c>
      <c r="AQ30" s="579"/>
      <c r="AR30" s="579" t="s">
        <v>121</v>
      </c>
      <c r="AS30" s="579"/>
      <c r="AT30" s="587"/>
      <c r="AU30" s="584" t="s">
        <v>74</v>
      </c>
      <c r="AV30" s="578"/>
      <c r="AW30" s="588"/>
      <c r="AX30" s="588"/>
      <c r="AY30" s="588"/>
      <c r="AZ30" s="589"/>
      <c r="BA30" s="589"/>
      <c r="BB30" s="589"/>
      <c r="BC30" s="590">
        <v>0</v>
      </c>
      <c r="BD30" s="591"/>
    </row>
    <row r="31" spans="1:56" s="560" customFormat="1" ht="16.5" customHeight="1">
      <c r="A31" s="576">
        <v>2024</v>
      </c>
      <c r="B31" s="577" t="s">
        <v>260</v>
      </c>
      <c r="C31" s="577" t="s">
        <v>294</v>
      </c>
      <c r="D31" s="562" t="s">
        <v>2415</v>
      </c>
      <c r="E31" s="578" t="s">
        <v>261</v>
      </c>
      <c r="F31" s="579" t="s">
        <v>78</v>
      </c>
      <c r="G31" s="578" t="s">
        <v>180</v>
      </c>
      <c r="H31" s="579" t="s">
        <v>262</v>
      </c>
      <c r="I31" s="579" t="s">
        <v>58</v>
      </c>
      <c r="J31" s="579" t="s">
        <v>263</v>
      </c>
      <c r="K31" s="579" t="s">
        <v>264</v>
      </c>
      <c r="L31" s="578" t="s">
        <v>265</v>
      </c>
      <c r="M31" s="580" t="s">
        <v>106</v>
      </c>
      <c r="N31" s="580" t="s">
        <v>106</v>
      </c>
      <c r="O31" s="581">
        <v>245.27199999999999</v>
      </c>
      <c r="P31" s="581">
        <v>154.13999999999999</v>
      </c>
      <c r="Q31" s="582"/>
      <c r="R31" s="579" t="s">
        <v>130</v>
      </c>
      <c r="S31" s="579" t="s">
        <v>151</v>
      </c>
      <c r="T31" s="580" t="s">
        <v>63</v>
      </c>
      <c r="U31" s="580" t="s">
        <v>63</v>
      </c>
      <c r="V31" s="580" t="s">
        <v>66</v>
      </c>
      <c r="W31" s="580" t="s">
        <v>63</v>
      </c>
      <c r="X31" s="580" t="s">
        <v>63</v>
      </c>
      <c r="Y31" s="580" t="s">
        <v>63</v>
      </c>
      <c r="Z31" s="580" t="s">
        <v>266</v>
      </c>
      <c r="AA31" s="578"/>
      <c r="AB31" s="580" t="s">
        <v>68</v>
      </c>
      <c r="AC31" s="579" t="s">
        <v>1929</v>
      </c>
      <c r="AD31" s="580" t="s">
        <v>68</v>
      </c>
      <c r="AE31" s="579"/>
      <c r="AF31" s="587" t="s">
        <v>267</v>
      </c>
      <c r="AG31" s="584" t="s">
        <v>63</v>
      </c>
      <c r="AH31" s="580" t="s">
        <v>1929</v>
      </c>
      <c r="AI31" s="580" t="s">
        <v>63</v>
      </c>
      <c r="AJ31" s="580" t="s">
        <v>1929</v>
      </c>
      <c r="AK31" s="580" t="s">
        <v>1929</v>
      </c>
      <c r="AL31" s="580" t="s">
        <v>1929</v>
      </c>
      <c r="AM31" s="585" t="s">
        <v>66</v>
      </c>
      <c r="AN31" s="586" t="s">
        <v>258</v>
      </c>
      <c r="AO31" s="579" t="s">
        <v>71</v>
      </c>
      <c r="AP31" s="579" t="s">
        <v>72</v>
      </c>
      <c r="AQ31" s="579" t="s">
        <v>268</v>
      </c>
      <c r="AR31" s="579" t="s">
        <v>1929</v>
      </c>
      <c r="AS31" s="579"/>
      <c r="AT31" s="587"/>
      <c r="AU31" s="584" t="s">
        <v>2419</v>
      </c>
      <c r="AV31" s="578" t="s">
        <v>269</v>
      </c>
      <c r="AW31" s="588">
        <v>44287</v>
      </c>
      <c r="AX31" s="588">
        <v>46112</v>
      </c>
      <c r="AY31" s="588" t="s">
        <v>270</v>
      </c>
      <c r="AZ31" s="589" t="s">
        <v>271</v>
      </c>
      <c r="BA31" s="589" t="s">
        <v>1065</v>
      </c>
      <c r="BB31" s="589" t="s">
        <v>1931</v>
      </c>
      <c r="BC31" s="590">
        <v>0</v>
      </c>
      <c r="BD31" s="591"/>
    </row>
    <row r="32" spans="1:56" s="560" customFormat="1" ht="16.5" customHeight="1">
      <c r="A32" s="576">
        <v>2024</v>
      </c>
      <c r="B32" s="577" t="s">
        <v>2736</v>
      </c>
      <c r="C32" s="562" t="s">
        <v>297</v>
      </c>
      <c r="D32" s="562" t="s">
        <v>2415</v>
      </c>
      <c r="E32" s="578" t="s">
        <v>2737</v>
      </c>
      <c r="F32" s="579" t="s">
        <v>2119</v>
      </c>
      <c r="G32" s="578" t="s">
        <v>180</v>
      </c>
      <c r="H32" s="579" t="s">
        <v>2738</v>
      </c>
      <c r="I32" s="579" t="s">
        <v>58</v>
      </c>
      <c r="J32" s="579" t="s">
        <v>263</v>
      </c>
      <c r="K32" s="579" t="s">
        <v>264</v>
      </c>
      <c r="L32" s="578" t="s">
        <v>362</v>
      </c>
      <c r="M32" s="580" t="s">
        <v>2739</v>
      </c>
      <c r="N32" s="580" t="s">
        <v>2739</v>
      </c>
      <c r="O32" s="581">
        <v>781.97</v>
      </c>
      <c r="P32" s="581">
        <v>995.63</v>
      </c>
      <c r="Q32" s="582"/>
      <c r="R32" s="579" t="s">
        <v>130</v>
      </c>
      <c r="S32" s="579" t="s">
        <v>151</v>
      </c>
      <c r="T32" s="580" t="s">
        <v>2087</v>
      </c>
      <c r="U32" s="580" t="s">
        <v>2087</v>
      </c>
      <c r="V32" s="580" t="s">
        <v>2087</v>
      </c>
      <c r="W32" s="580" t="s">
        <v>2087</v>
      </c>
      <c r="X32" s="580" t="s">
        <v>2087</v>
      </c>
      <c r="Y32" s="580" t="s">
        <v>63</v>
      </c>
      <c r="Z32" s="580" t="s">
        <v>2740</v>
      </c>
      <c r="AA32" s="578"/>
      <c r="AB32" s="580" t="s">
        <v>68</v>
      </c>
      <c r="AC32" s="579"/>
      <c r="AD32" s="580" t="s">
        <v>68</v>
      </c>
      <c r="AE32" s="579"/>
      <c r="AF32" s="587" t="s">
        <v>267</v>
      </c>
      <c r="AG32" s="584"/>
      <c r="AH32" s="580" t="s">
        <v>2087</v>
      </c>
      <c r="AI32" s="580" t="s">
        <v>2087</v>
      </c>
      <c r="AJ32" s="580"/>
      <c r="AK32" s="580" t="s">
        <v>2087</v>
      </c>
      <c r="AL32" s="580"/>
      <c r="AM32" s="585" t="s">
        <v>2087</v>
      </c>
      <c r="AN32" s="586" t="s">
        <v>2741</v>
      </c>
      <c r="AO32" s="579" t="s">
        <v>2529</v>
      </c>
      <c r="AP32" s="579" t="s">
        <v>2121</v>
      </c>
      <c r="AQ32" s="579"/>
      <c r="AR32" s="579"/>
      <c r="AS32" s="579"/>
      <c r="AT32" s="587"/>
      <c r="AU32" s="584" t="s">
        <v>2419</v>
      </c>
      <c r="AV32" s="578" t="s">
        <v>2742</v>
      </c>
      <c r="AW32" s="588">
        <v>45748</v>
      </c>
      <c r="AX32" s="588">
        <v>46112</v>
      </c>
      <c r="AY32" s="588" t="s">
        <v>270</v>
      </c>
      <c r="AZ32" s="589" t="s">
        <v>271</v>
      </c>
      <c r="BA32" s="589" t="s">
        <v>784</v>
      </c>
      <c r="BB32" s="589"/>
      <c r="BC32" s="590">
        <v>0</v>
      </c>
      <c r="BD32" s="591"/>
    </row>
    <row r="33" spans="1:56" s="560" customFormat="1" ht="16.5" customHeight="1">
      <c r="A33" s="576">
        <v>2024</v>
      </c>
      <c r="B33" s="577" t="s">
        <v>283</v>
      </c>
      <c r="C33" s="577" t="s">
        <v>301</v>
      </c>
      <c r="D33" s="562" t="s">
        <v>2415</v>
      </c>
      <c r="E33" s="578" t="s">
        <v>284</v>
      </c>
      <c r="F33" s="579" t="s">
        <v>78</v>
      </c>
      <c r="G33" s="578" t="s">
        <v>180</v>
      </c>
      <c r="H33" s="579" t="s">
        <v>285</v>
      </c>
      <c r="I33" s="579" t="s">
        <v>58</v>
      </c>
      <c r="J33" s="579" t="s">
        <v>263</v>
      </c>
      <c r="K33" s="579" t="s">
        <v>264</v>
      </c>
      <c r="L33" s="578" t="s">
        <v>265</v>
      </c>
      <c r="M33" s="580" t="s">
        <v>286</v>
      </c>
      <c r="N33" s="580" t="s">
        <v>286</v>
      </c>
      <c r="O33" s="581">
        <v>248.46</v>
      </c>
      <c r="P33" s="581">
        <v>175.92</v>
      </c>
      <c r="Q33" s="582"/>
      <c r="R33" s="579" t="s">
        <v>130</v>
      </c>
      <c r="S33" s="579" t="s">
        <v>151</v>
      </c>
      <c r="T33" s="580" t="s">
        <v>63</v>
      </c>
      <c r="U33" s="580" t="s">
        <v>63</v>
      </c>
      <c r="V33" s="580" t="s">
        <v>66</v>
      </c>
      <c r="W33" s="580" t="s">
        <v>63</v>
      </c>
      <c r="X33" s="580" t="s">
        <v>63</v>
      </c>
      <c r="Y33" s="580" t="s">
        <v>66</v>
      </c>
      <c r="Z33" s="580" t="s">
        <v>66</v>
      </c>
      <c r="AA33" s="578"/>
      <c r="AB33" s="580" t="s">
        <v>68</v>
      </c>
      <c r="AC33" s="579" t="s">
        <v>1929</v>
      </c>
      <c r="AD33" s="580" t="s">
        <v>68</v>
      </c>
      <c r="AE33" s="579"/>
      <c r="AF33" s="587" t="s">
        <v>267</v>
      </c>
      <c r="AG33" s="584" t="s">
        <v>63</v>
      </c>
      <c r="AH33" s="580" t="s">
        <v>1929</v>
      </c>
      <c r="AI33" s="580" t="s">
        <v>63</v>
      </c>
      <c r="AJ33" s="580" t="s">
        <v>1929</v>
      </c>
      <c r="AK33" s="580" t="s">
        <v>1929</v>
      </c>
      <c r="AL33" s="580" t="s">
        <v>1929</v>
      </c>
      <c r="AM33" s="585" t="s">
        <v>66</v>
      </c>
      <c r="AN33" s="586" t="s">
        <v>258</v>
      </c>
      <c r="AO33" s="579" t="s">
        <v>71</v>
      </c>
      <c r="AP33" s="579" t="s">
        <v>72</v>
      </c>
      <c r="AQ33" s="579" t="s">
        <v>268</v>
      </c>
      <c r="AR33" s="579" t="s">
        <v>1929</v>
      </c>
      <c r="AS33" s="579"/>
      <c r="AT33" s="587"/>
      <c r="AU33" s="584" t="s">
        <v>2419</v>
      </c>
      <c r="AV33" s="578" t="s">
        <v>287</v>
      </c>
      <c r="AW33" s="588">
        <v>44287</v>
      </c>
      <c r="AX33" s="588">
        <v>46112</v>
      </c>
      <c r="AY33" s="588" t="s">
        <v>270</v>
      </c>
      <c r="AZ33" s="589" t="s">
        <v>271</v>
      </c>
      <c r="BA33" s="589" t="s">
        <v>1065</v>
      </c>
      <c r="BB33" s="589" t="s">
        <v>288</v>
      </c>
      <c r="BC33" s="590">
        <v>0</v>
      </c>
      <c r="BD33" s="591"/>
    </row>
    <row r="34" spans="1:56" s="560" customFormat="1" ht="16.5" customHeight="1">
      <c r="A34" s="576">
        <v>2024</v>
      </c>
      <c r="B34" s="577" t="s">
        <v>302</v>
      </c>
      <c r="C34" s="562" t="s">
        <v>310</v>
      </c>
      <c r="D34" s="562" t="s">
        <v>2415</v>
      </c>
      <c r="E34" s="578" t="s">
        <v>303</v>
      </c>
      <c r="F34" s="579" t="s">
        <v>2103</v>
      </c>
      <c r="G34" s="578" t="s">
        <v>2467</v>
      </c>
      <c r="H34" s="579" t="s">
        <v>2469</v>
      </c>
      <c r="I34" s="579" t="s">
        <v>58</v>
      </c>
      <c r="J34" s="579" t="s">
        <v>263</v>
      </c>
      <c r="K34" s="579" t="s">
        <v>264</v>
      </c>
      <c r="L34" s="578" t="s">
        <v>265</v>
      </c>
      <c r="M34" s="580" t="s">
        <v>306</v>
      </c>
      <c r="N34" s="580" t="s">
        <v>306</v>
      </c>
      <c r="O34" s="598">
        <v>278000</v>
      </c>
      <c r="P34" s="581">
        <v>504</v>
      </c>
      <c r="Q34" s="582"/>
      <c r="R34" s="579" t="s">
        <v>64</v>
      </c>
      <c r="S34" s="579" t="s">
        <v>151</v>
      </c>
      <c r="T34" s="580" t="s">
        <v>63</v>
      </c>
      <c r="U34" s="580" t="s">
        <v>63</v>
      </c>
      <c r="V34" s="580" t="s">
        <v>66</v>
      </c>
      <c r="W34" s="580" t="s">
        <v>63</v>
      </c>
      <c r="X34" s="580" t="s">
        <v>63</v>
      </c>
      <c r="Y34" s="580" t="s">
        <v>66</v>
      </c>
      <c r="Z34" s="580" t="s">
        <v>66</v>
      </c>
      <c r="AA34" s="578"/>
      <c r="AB34" s="580" t="s">
        <v>68</v>
      </c>
      <c r="AC34" s="579" t="s">
        <v>1929</v>
      </c>
      <c r="AD34" s="580" t="s">
        <v>68</v>
      </c>
      <c r="AE34" s="579"/>
      <c r="AF34" s="587" t="s">
        <v>307</v>
      </c>
      <c r="AG34" s="584" t="s">
        <v>63</v>
      </c>
      <c r="AH34" s="580" t="s">
        <v>66</v>
      </c>
      <c r="AI34" s="580" t="s">
        <v>63</v>
      </c>
      <c r="AJ34" s="580" t="s">
        <v>66</v>
      </c>
      <c r="AK34" s="580" t="s">
        <v>66</v>
      </c>
      <c r="AL34" s="580" t="s">
        <v>66</v>
      </c>
      <c r="AM34" s="585" t="s">
        <v>66</v>
      </c>
      <c r="AN34" s="586" t="s">
        <v>70</v>
      </c>
      <c r="AO34" s="579" t="s">
        <v>71</v>
      </c>
      <c r="AP34" s="579" t="s">
        <v>72</v>
      </c>
      <c r="AQ34" s="579"/>
      <c r="AR34" s="579" t="s">
        <v>73</v>
      </c>
      <c r="AS34" s="579"/>
      <c r="AT34" s="587" t="s">
        <v>308</v>
      </c>
      <c r="AU34" s="584" t="s">
        <v>74</v>
      </c>
      <c r="AV34" s="578"/>
      <c r="AW34" s="588"/>
      <c r="AX34" s="588"/>
      <c r="AY34" s="588"/>
      <c r="AZ34" s="589" t="s">
        <v>2088</v>
      </c>
      <c r="BA34" s="589"/>
      <c r="BB34" s="589" t="s">
        <v>309</v>
      </c>
      <c r="BC34" s="590">
        <v>0</v>
      </c>
      <c r="BD34" s="591"/>
    </row>
    <row r="35" spans="1:56" s="560" customFormat="1" ht="16.5" customHeight="1">
      <c r="A35" s="561">
        <v>2024</v>
      </c>
      <c r="B35" s="577" t="s">
        <v>311</v>
      </c>
      <c r="C35" s="577" t="s">
        <v>317</v>
      </c>
      <c r="D35" s="562" t="s">
        <v>2415</v>
      </c>
      <c r="E35" s="578" t="s">
        <v>312</v>
      </c>
      <c r="F35" s="579" t="s">
        <v>78</v>
      </c>
      <c r="G35" s="578" t="s">
        <v>180</v>
      </c>
      <c r="H35" s="579" t="s">
        <v>313</v>
      </c>
      <c r="I35" s="579" t="s">
        <v>58</v>
      </c>
      <c r="J35" s="579" t="s">
        <v>263</v>
      </c>
      <c r="K35" s="579" t="s">
        <v>264</v>
      </c>
      <c r="L35" s="578" t="s">
        <v>2250</v>
      </c>
      <c r="M35" s="580" t="s">
        <v>199</v>
      </c>
      <c r="N35" s="580" t="s">
        <v>199</v>
      </c>
      <c r="O35" s="581">
        <v>523.94000000000005</v>
      </c>
      <c r="P35" s="581">
        <v>383.71</v>
      </c>
      <c r="Q35" s="582"/>
      <c r="R35" s="579" t="s">
        <v>64</v>
      </c>
      <c r="S35" s="579" t="s">
        <v>151</v>
      </c>
      <c r="T35" s="580" t="s">
        <v>63</v>
      </c>
      <c r="U35" s="580" t="s">
        <v>63</v>
      </c>
      <c r="V35" s="580" t="s">
        <v>63</v>
      </c>
      <c r="W35" s="580" t="s">
        <v>63</v>
      </c>
      <c r="X35" s="580" t="s">
        <v>63</v>
      </c>
      <c r="Y35" s="580" t="s">
        <v>63</v>
      </c>
      <c r="Z35" s="580" t="s">
        <v>314</v>
      </c>
      <c r="AA35" s="578"/>
      <c r="AB35" s="580" t="s">
        <v>101</v>
      </c>
      <c r="AC35" s="579" t="s">
        <v>1930</v>
      </c>
      <c r="AD35" s="580" t="s">
        <v>68</v>
      </c>
      <c r="AE35" s="579"/>
      <c r="AF35" s="587" t="s">
        <v>267</v>
      </c>
      <c r="AG35" s="584" t="s">
        <v>63</v>
      </c>
      <c r="AH35" s="580" t="s">
        <v>1929</v>
      </c>
      <c r="AI35" s="580" t="s">
        <v>63</v>
      </c>
      <c r="AJ35" s="580" t="s">
        <v>1929</v>
      </c>
      <c r="AK35" s="580" t="s">
        <v>63</v>
      </c>
      <c r="AL35" s="580" t="s">
        <v>63</v>
      </c>
      <c r="AM35" s="585" t="s">
        <v>66</v>
      </c>
      <c r="AN35" s="586" t="s">
        <v>201</v>
      </c>
      <c r="AO35" s="579" t="s">
        <v>132</v>
      </c>
      <c r="AP35" s="579" t="s">
        <v>72</v>
      </c>
      <c r="AQ35" s="579" t="s">
        <v>1929</v>
      </c>
      <c r="AR35" s="579" t="s">
        <v>73</v>
      </c>
      <c r="AS35" s="579"/>
      <c r="AT35" s="587"/>
      <c r="AU35" s="584" t="s">
        <v>2419</v>
      </c>
      <c r="AV35" s="578" t="s">
        <v>315</v>
      </c>
      <c r="AW35" s="588">
        <v>44287</v>
      </c>
      <c r="AX35" s="588">
        <v>46112</v>
      </c>
      <c r="AY35" s="588" t="s">
        <v>270</v>
      </c>
      <c r="AZ35" s="589" t="s">
        <v>271</v>
      </c>
      <c r="BA35" s="589" t="s">
        <v>1065</v>
      </c>
      <c r="BB35" s="589" t="s">
        <v>1937</v>
      </c>
      <c r="BC35" s="590">
        <v>1</v>
      </c>
      <c r="BD35" s="591"/>
    </row>
    <row r="36" spans="1:56" s="560" customFormat="1" ht="16.5" customHeight="1">
      <c r="A36" s="576">
        <v>2024</v>
      </c>
      <c r="B36" s="577" t="s">
        <v>318</v>
      </c>
      <c r="C36" s="562" t="s">
        <v>322</v>
      </c>
      <c r="D36" s="562" t="s">
        <v>2415</v>
      </c>
      <c r="E36" s="578" t="s">
        <v>319</v>
      </c>
      <c r="F36" s="579" t="s">
        <v>78</v>
      </c>
      <c r="G36" s="578" t="s">
        <v>180</v>
      </c>
      <c r="H36" s="579" t="s">
        <v>320</v>
      </c>
      <c r="I36" s="579" t="s">
        <v>58</v>
      </c>
      <c r="J36" s="579" t="s">
        <v>263</v>
      </c>
      <c r="K36" s="579" t="s">
        <v>264</v>
      </c>
      <c r="L36" s="578" t="s">
        <v>265</v>
      </c>
      <c r="M36" s="580" t="s">
        <v>144</v>
      </c>
      <c r="N36" s="580" t="s">
        <v>144</v>
      </c>
      <c r="O36" s="581">
        <v>263.39</v>
      </c>
      <c r="P36" s="581">
        <v>130.96</v>
      </c>
      <c r="Q36" s="582"/>
      <c r="R36" s="579" t="s">
        <v>64</v>
      </c>
      <c r="S36" s="579" t="s">
        <v>151</v>
      </c>
      <c r="T36" s="580" t="s">
        <v>66</v>
      </c>
      <c r="U36" s="580" t="s">
        <v>63</v>
      </c>
      <c r="V36" s="580" t="s">
        <v>63</v>
      </c>
      <c r="W36" s="580" t="s">
        <v>63</v>
      </c>
      <c r="X36" s="580" t="s">
        <v>63</v>
      </c>
      <c r="Y36" s="580" t="s">
        <v>66</v>
      </c>
      <c r="Z36" s="580" t="s">
        <v>66</v>
      </c>
      <c r="AA36" s="578"/>
      <c r="AB36" s="580" t="s">
        <v>68</v>
      </c>
      <c r="AC36" s="579" t="s">
        <v>1929</v>
      </c>
      <c r="AD36" s="580" t="s">
        <v>68</v>
      </c>
      <c r="AE36" s="579"/>
      <c r="AF36" s="587" t="s">
        <v>267</v>
      </c>
      <c r="AG36" s="584" t="s">
        <v>63</v>
      </c>
      <c r="AH36" s="580" t="s">
        <v>1929</v>
      </c>
      <c r="AI36" s="580" t="s">
        <v>63</v>
      </c>
      <c r="AJ36" s="580" t="s">
        <v>1929</v>
      </c>
      <c r="AK36" s="580" t="s">
        <v>1929</v>
      </c>
      <c r="AL36" s="580" t="s">
        <v>1929</v>
      </c>
      <c r="AM36" s="585" t="s">
        <v>66</v>
      </c>
      <c r="AN36" s="586" t="s">
        <v>109</v>
      </c>
      <c r="AO36" s="579" t="s">
        <v>110</v>
      </c>
      <c r="AP36" s="579" t="s">
        <v>111</v>
      </c>
      <c r="AQ36" s="579" t="s">
        <v>1929</v>
      </c>
      <c r="AR36" s="579" t="s">
        <v>112</v>
      </c>
      <c r="AS36" s="579"/>
      <c r="AT36" s="587"/>
      <c r="AU36" s="584" t="s">
        <v>2419</v>
      </c>
      <c r="AV36" s="578" t="s">
        <v>321</v>
      </c>
      <c r="AW36" s="588">
        <v>44287</v>
      </c>
      <c r="AX36" s="588">
        <v>46112</v>
      </c>
      <c r="AY36" s="588" t="s">
        <v>270</v>
      </c>
      <c r="AZ36" s="589" t="s">
        <v>271</v>
      </c>
      <c r="BA36" s="589" t="s">
        <v>1065</v>
      </c>
      <c r="BB36" s="589" t="s">
        <v>300</v>
      </c>
      <c r="BC36" s="590">
        <v>1</v>
      </c>
      <c r="BD36" s="591"/>
    </row>
    <row r="37" spans="1:56" s="560" customFormat="1" ht="16.5" customHeight="1">
      <c r="A37" s="576">
        <v>2024</v>
      </c>
      <c r="B37" s="577" t="s">
        <v>323</v>
      </c>
      <c r="C37" s="577" t="s">
        <v>326</v>
      </c>
      <c r="D37" s="562" t="s">
        <v>2415</v>
      </c>
      <c r="E37" s="578" t="s">
        <v>2064</v>
      </c>
      <c r="F37" s="579" t="s">
        <v>78</v>
      </c>
      <c r="G37" s="578" t="s">
        <v>180</v>
      </c>
      <c r="H37" s="579" t="s">
        <v>2251</v>
      </c>
      <c r="I37" s="579" t="s">
        <v>58</v>
      </c>
      <c r="J37" s="579" t="s">
        <v>263</v>
      </c>
      <c r="K37" s="579" t="s">
        <v>264</v>
      </c>
      <c r="L37" s="578" t="s">
        <v>265</v>
      </c>
      <c r="M37" s="580" t="s">
        <v>222</v>
      </c>
      <c r="N37" s="580" t="s">
        <v>222</v>
      </c>
      <c r="O37" s="581">
        <v>170.03</v>
      </c>
      <c r="P37" s="581">
        <v>99.38</v>
      </c>
      <c r="Q37" s="582"/>
      <c r="R37" s="579" t="s">
        <v>64</v>
      </c>
      <c r="S37" s="579" t="s">
        <v>151</v>
      </c>
      <c r="T37" s="580" t="s">
        <v>63</v>
      </c>
      <c r="U37" s="580" t="s">
        <v>63</v>
      </c>
      <c r="V37" s="580" t="s">
        <v>63</v>
      </c>
      <c r="W37" s="580" t="s">
        <v>63</v>
      </c>
      <c r="X37" s="580" t="s">
        <v>63</v>
      </c>
      <c r="Y37" s="580" t="s">
        <v>66</v>
      </c>
      <c r="Z37" s="580" t="s">
        <v>66</v>
      </c>
      <c r="AA37" s="578"/>
      <c r="AB37" s="580" t="s">
        <v>68</v>
      </c>
      <c r="AC37" s="579" t="s">
        <v>1929</v>
      </c>
      <c r="AD37" s="580" t="s">
        <v>68</v>
      </c>
      <c r="AE37" s="579"/>
      <c r="AF37" s="587" t="s">
        <v>267</v>
      </c>
      <c r="AG37" s="584" t="s">
        <v>63</v>
      </c>
      <c r="AH37" s="580" t="s">
        <v>1929</v>
      </c>
      <c r="AI37" s="580" t="s">
        <v>63</v>
      </c>
      <c r="AJ37" s="580" t="s">
        <v>1929</v>
      </c>
      <c r="AK37" s="580" t="s">
        <v>1929</v>
      </c>
      <c r="AL37" s="580" t="s">
        <v>1929</v>
      </c>
      <c r="AM37" s="585" t="s">
        <v>66</v>
      </c>
      <c r="AN37" s="586" t="s">
        <v>324</v>
      </c>
      <c r="AO37" s="579" t="s">
        <v>71</v>
      </c>
      <c r="AP37" s="579" t="s">
        <v>325</v>
      </c>
      <c r="AQ37" s="579" t="s">
        <v>1929</v>
      </c>
      <c r="AR37" s="579" t="s">
        <v>121</v>
      </c>
      <c r="AS37" s="579"/>
      <c r="AT37" s="587"/>
      <c r="AU37" s="584" t="s">
        <v>2419</v>
      </c>
      <c r="AV37" s="578" t="s">
        <v>2252</v>
      </c>
      <c r="AW37" s="588">
        <v>44287</v>
      </c>
      <c r="AX37" s="588">
        <v>46112</v>
      </c>
      <c r="AY37" s="588" t="s">
        <v>270</v>
      </c>
      <c r="AZ37" s="589" t="s">
        <v>271</v>
      </c>
      <c r="BA37" s="589" t="s">
        <v>1065</v>
      </c>
      <c r="BB37" s="589" t="s">
        <v>300</v>
      </c>
      <c r="BC37" s="590">
        <v>1</v>
      </c>
      <c r="BD37" s="591"/>
    </row>
    <row r="38" spans="1:56" s="560" customFormat="1" ht="16.5" customHeight="1">
      <c r="A38" s="561">
        <v>2024</v>
      </c>
      <c r="B38" s="577" t="s">
        <v>327</v>
      </c>
      <c r="C38" s="562" t="s">
        <v>329</v>
      </c>
      <c r="D38" s="562" t="s">
        <v>2415</v>
      </c>
      <c r="E38" s="578" t="s">
        <v>108</v>
      </c>
      <c r="F38" s="579" t="s">
        <v>78</v>
      </c>
      <c r="G38" s="578" t="s">
        <v>180</v>
      </c>
      <c r="H38" s="579" t="s">
        <v>328</v>
      </c>
      <c r="I38" s="579" t="s">
        <v>58</v>
      </c>
      <c r="J38" s="579" t="s">
        <v>263</v>
      </c>
      <c r="K38" s="579" t="s">
        <v>264</v>
      </c>
      <c r="L38" s="578" t="s">
        <v>265</v>
      </c>
      <c r="M38" s="580" t="s">
        <v>106</v>
      </c>
      <c r="N38" s="580" t="s">
        <v>106</v>
      </c>
      <c r="O38" s="581">
        <v>572.16</v>
      </c>
      <c r="P38" s="581">
        <v>549.86</v>
      </c>
      <c r="Q38" s="582"/>
      <c r="R38" s="579" t="s">
        <v>107</v>
      </c>
      <c r="S38" s="579" t="s">
        <v>65</v>
      </c>
      <c r="T38" s="580" t="s">
        <v>63</v>
      </c>
      <c r="U38" s="580" t="s">
        <v>63</v>
      </c>
      <c r="V38" s="580" t="s">
        <v>66</v>
      </c>
      <c r="W38" s="580" t="s">
        <v>63</v>
      </c>
      <c r="X38" s="580" t="s">
        <v>63</v>
      </c>
      <c r="Y38" s="580" t="s">
        <v>66</v>
      </c>
      <c r="Z38" s="580" t="s">
        <v>66</v>
      </c>
      <c r="AA38" s="578" t="s">
        <v>104</v>
      </c>
      <c r="AB38" s="580" t="s">
        <v>101</v>
      </c>
      <c r="AC38" s="579" t="s">
        <v>2385</v>
      </c>
      <c r="AD38" s="580" t="s">
        <v>68</v>
      </c>
      <c r="AE38" s="579"/>
      <c r="AF38" s="587" t="s">
        <v>267</v>
      </c>
      <c r="AG38" s="584" t="s">
        <v>63</v>
      </c>
      <c r="AH38" s="580" t="s">
        <v>63</v>
      </c>
      <c r="AI38" s="580" t="s">
        <v>63</v>
      </c>
      <c r="AJ38" s="580" t="s">
        <v>1929</v>
      </c>
      <c r="AK38" s="580" t="s">
        <v>63</v>
      </c>
      <c r="AL38" s="580" t="s">
        <v>63</v>
      </c>
      <c r="AM38" s="585" t="s">
        <v>66</v>
      </c>
      <c r="AN38" s="586" t="s">
        <v>109</v>
      </c>
      <c r="AO38" s="579" t="s">
        <v>110</v>
      </c>
      <c r="AP38" s="579" t="s">
        <v>111</v>
      </c>
      <c r="AQ38" s="579" t="s">
        <v>1929</v>
      </c>
      <c r="AR38" s="579" t="s">
        <v>112</v>
      </c>
      <c r="AS38" s="579"/>
      <c r="AT38" s="587"/>
      <c r="AU38" s="584" t="s">
        <v>74</v>
      </c>
      <c r="AV38" s="578"/>
      <c r="AW38" s="588"/>
      <c r="AX38" s="588"/>
      <c r="AY38" s="588"/>
      <c r="AZ38" s="589" t="s">
        <v>271</v>
      </c>
      <c r="BA38" s="589" t="s">
        <v>1065</v>
      </c>
      <c r="BB38" s="589" t="s">
        <v>1932</v>
      </c>
      <c r="BC38" s="590">
        <v>2</v>
      </c>
      <c r="BD38" s="591"/>
    </row>
    <row r="39" spans="1:56" s="560" customFormat="1" ht="16.5" customHeight="1">
      <c r="A39" s="576">
        <v>2024</v>
      </c>
      <c r="B39" s="577" t="s">
        <v>330</v>
      </c>
      <c r="C39" s="577" t="s">
        <v>334</v>
      </c>
      <c r="D39" s="562" t="s">
        <v>2415</v>
      </c>
      <c r="E39" s="578" t="s">
        <v>331</v>
      </c>
      <c r="F39" s="579" t="s">
        <v>78</v>
      </c>
      <c r="G39" s="578" t="s">
        <v>180</v>
      </c>
      <c r="H39" s="579" t="s">
        <v>332</v>
      </c>
      <c r="I39" s="579" t="s">
        <v>58</v>
      </c>
      <c r="J39" s="579" t="s">
        <v>263</v>
      </c>
      <c r="K39" s="579" t="s">
        <v>264</v>
      </c>
      <c r="L39" s="578" t="s">
        <v>265</v>
      </c>
      <c r="M39" s="580" t="s">
        <v>280</v>
      </c>
      <c r="N39" s="580" t="s">
        <v>280</v>
      </c>
      <c r="O39" s="581">
        <v>128.33000000000001</v>
      </c>
      <c r="P39" s="581">
        <v>138</v>
      </c>
      <c r="Q39" s="582"/>
      <c r="R39" s="579" t="s">
        <v>107</v>
      </c>
      <c r="S39" s="579" t="s">
        <v>151</v>
      </c>
      <c r="T39" s="580" t="s">
        <v>63</v>
      </c>
      <c r="U39" s="580" t="s">
        <v>63</v>
      </c>
      <c r="V39" s="580" t="s">
        <v>66</v>
      </c>
      <c r="W39" s="580" t="s">
        <v>63</v>
      </c>
      <c r="X39" s="580" t="s">
        <v>63</v>
      </c>
      <c r="Y39" s="580" t="s">
        <v>66</v>
      </c>
      <c r="Z39" s="580" t="s">
        <v>66</v>
      </c>
      <c r="AA39" s="578"/>
      <c r="AB39" s="580" t="s">
        <v>68</v>
      </c>
      <c r="AC39" s="579" t="s">
        <v>1929</v>
      </c>
      <c r="AD39" s="580" t="s">
        <v>68</v>
      </c>
      <c r="AE39" s="579"/>
      <c r="AF39" s="587" t="s">
        <v>267</v>
      </c>
      <c r="AG39" s="584" t="s">
        <v>1929</v>
      </c>
      <c r="AH39" s="580" t="s">
        <v>1929</v>
      </c>
      <c r="AI39" s="580" t="s">
        <v>2087</v>
      </c>
      <c r="AJ39" s="580" t="s">
        <v>1929</v>
      </c>
      <c r="AK39" s="580" t="s">
        <v>1929</v>
      </c>
      <c r="AL39" s="580" t="s">
        <v>1929</v>
      </c>
      <c r="AM39" s="585" t="s">
        <v>66</v>
      </c>
      <c r="AN39" s="586" t="s">
        <v>164</v>
      </c>
      <c r="AO39" s="579" t="s">
        <v>71</v>
      </c>
      <c r="AP39" s="579" t="s">
        <v>72</v>
      </c>
      <c r="AQ39" s="579" t="s">
        <v>1929</v>
      </c>
      <c r="AR39" s="579" t="s">
        <v>121</v>
      </c>
      <c r="AS39" s="579"/>
      <c r="AT39" s="587"/>
      <c r="AU39" s="584" t="s">
        <v>2419</v>
      </c>
      <c r="AV39" s="578" t="s">
        <v>333</v>
      </c>
      <c r="AW39" s="588">
        <v>44287</v>
      </c>
      <c r="AX39" s="588">
        <v>46112</v>
      </c>
      <c r="AY39" s="588" t="s">
        <v>270</v>
      </c>
      <c r="AZ39" s="589" t="s">
        <v>271</v>
      </c>
      <c r="BA39" s="589" t="s">
        <v>1065</v>
      </c>
      <c r="BB39" s="589" t="s">
        <v>288</v>
      </c>
      <c r="BC39" s="590">
        <v>0</v>
      </c>
      <c r="BD39" s="591"/>
    </row>
    <row r="40" spans="1:56" s="560" customFormat="1" ht="16.5" customHeight="1">
      <c r="A40" s="576">
        <v>2024</v>
      </c>
      <c r="B40" s="577" t="s">
        <v>335</v>
      </c>
      <c r="C40" s="562" t="s">
        <v>340</v>
      </c>
      <c r="D40" s="562" t="s">
        <v>2415</v>
      </c>
      <c r="E40" s="578" t="s">
        <v>336</v>
      </c>
      <c r="F40" s="579" t="s">
        <v>78</v>
      </c>
      <c r="G40" s="578" t="s">
        <v>180</v>
      </c>
      <c r="H40" s="579" t="s">
        <v>337</v>
      </c>
      <c r="I40" s="579" t="s">
        <v>58</v>
      </c>
      <c r="J40" s="579" t="s">
        <v>263</v>
      </c>
      <c r="K40" s="579" t="s">
        <v>264</v>
      </c>
      <c r="L40" s="578" t="s">
        <v>265</v>
      </c>
      <c r="M40" s="580" t="s">
        <v>286</v>
      </c>
      <c r="N40" s="580" t="s">
        <v>286</v>
      </c>
      <c r="O40" s="581">
        <v>331.91</v>
      </c>
      <c r="P40" s="581">
        <v>310.62</v>
      </c>
      <c r="Q40" s="582"/>
      <c r="R40" s="579" t="s">
        <v>107</v>
      </c>
      <c r="S40" s="579" t="s">
        <v>151</v>
      </c>
      <c r="T40" s="580" t="s">
        <v>63</v>
      </c>
      <c r="U40" s="580" t="s">
        <v>63</v>
      </c>
      <c r="V40" s="580" t="s">
        <v>66</v>
      </c>
      <c r="W40" s="580" t="s">
        <v>63</v>
      </c>
      <c r="X40" s="580" t="s">
        <v>63</v>
      </c>
      <c r="Y40" s="580" t="s">
        <v>63</v>
      </c>
      <c r="Z40" s="580" t="s">
        <v>338</v>
      </c>
      <c r="AA40" s="578"/>
      <c r="AB40" s="580" t="s">
        <v>68</v>
      </c>
      <c r="AC40" s="579" t="s">
        <v>1929</v>
      </c>
      <c r="AD40" s="580" t="s">
        <v>68</v>
      </c>
      <c r="AE40" s="579"/>
      <c r="AF40" s="587" t="s">
        <v>267</v>
      </c>
      <c r="AG40" s="584" t="s">
        <v>63</v>
      </c>
      <c r="AH40" s="580" t="s">
        <v>1929</v>
      </c>
      <c r="AI40" s="580" t="s">
        <v>63</v>
      </c>
      <c r="AJ40" s="580"/>
      <c r="AK40" s="580" t="s">
        <v>1846</v>
      </c>
      <c r="AL40" s="580" t="s">
        <v>1929</v>
      </c>
      <c r="AM40" s="585" t="s">
        <v>66</v>
      </c>
      <c r="AN40" s="586" t="s">
        <v>109</v>
      </c>
      <c r="AO40" s="579" t="s">
        <v>110</v>
      </c>
      <c r="AP40" s="579" t="s">
        <v>111</v>
      </c>
      <c r="AQ40" s="579" t="s">
        <v>1929</v>
      </c>
      <c r="AR40" s="579" t="s">
        <v>112</v>
      </c>
      <c r="AS40" s="579"/>
      <c r="AT40" s="587"/>
      <c r="AU40" s="584" t="s">
        <v>2419</v>
      </c>
      <c r="AV40" s="578" t="s">
        <v>339</v>
      </c>
      <c r="AW40" s="588">
        <v>44287</v>
      </c>
      <c r="AX40" s="588">
        <v>46112</v>
      </c>
      <c r="AY40" s="588" t="s">
        <v>270</v>
      </c>
      <c r="AZ40" s="589" t="s">
        <v>271</v>
      </c>
      <c r="BA40" s="589" t="s">
        <v>1065</v>
      </c>
      <c r="BB40" s="589" t="s">
        <v>281</v>
      </c>
      <c r="BC40" s="590">
        <v>2</v>
      </c>
      <c r="BD40" s="591"/>
    </row>
    <row r="41" spans="1:56" s="560" customFormat="1" ht="16.5" customHeight="1">
      <c r="A41" s="561">
        <v>2024</v>
      </c>
      <c r="B41" s="577" t="s">
        <v>341</v>
      </c>
      <c r="C41" s="577" t="s">
        <v>346</v>
      </c>
      <c r="D41" s="562" t="s">
        <v>2415</v>
      </c>
      <c r="E41" s="578" t="s">
        <v>342</v>
      </c>
      <c r="F41" s="579" t="s">
        <v>78</v>
      </c>
      <c r="G41" s="578" t="s">
        <v>180</v>
      </c>
      <c r="H41" s="579" t="s">
        <v>343</v>
      </c>
      <c r="I41" s="579" t="s">
        <v>58</v>
      </c>
      <c r="J41" s="579" t="s">
        <v>263</v>
      </c>
      <c r="K41" s="579" t="s">
        <v>264</v>
      </c>
      <c r="L41" s="578" t="s">
        <v>265</v>
      </c>
      <c r="M41" s="580" t="s">
        <v>292</v>
      </c>
      <c r="N41" s="580" t="s">
        <v>292</v>
      </c>
      <c r="O41" s="581">
        <v>463.62</v>
      </c>
      <c r="P41" s="581">
        <v>328.44</v>
      </c>
      <c r="Q41" s="582"/>
      <c r="R41" s="579" t="s">
        <v>107</v>
      </c>
      <c r="S41" s="579" t="s">
        <v>151</v>
      </c>
      <c r="T41" s="580" t="s">
        <v>63</v>
      </c>
      <c r="U41" s="580" t="s">
        <v>63</v>
      </c>
      <c r="V41" s="580" t="s">
        <v>63</v>
      </c>
      <c r="W41" s="580" t="s">
        <v>63</v>
      </c>
      <c r="X41" s="580" t="s">
        <v>63</v>
      </c>
      <c r="Y41" s="580" t="s">
        <v>63</v>
      </c>
      <c r="Z41" s="580" t="s">
        <v>344</v>
      </c>
      <c r="AA41" s="578"/>
      <c r="AB41" s="580" t="s">
        <v>68</v>
      </c>
      <c r="AC41" s="579" t="s">
        <v>1929</v>
      </c>
      <c r="AD41" s="580" t="s">
        <v>68</v>
      </c>
      <c r="AE41" s="579"/>
      <c r="AF41" s="587" t="s">
        <v>267</v>
      </c>
      <c r="AG41" s="584" t="s">
        <v>63</v>
      </c>
      <c r="AH41" s="580" t="s">
        <v>1929</v>
      </c>
      <c r="AI41" s="580" t="s">
        <v>63</v>
      </c>
      <c r="AJ41" s="580"/>
      <c r="AK41" s="580" t="s">
        <v>1846</v>
      </c>
      <c r="AL41" s="580" t="s">
        <v>1929</v>
      </c>
      <c r="AM41" s="585" t="s">
        <v>66</v>
      </c>
      <c r="AN41" s="586" t="s">
        <v>164</v>
      </c>
      <c r="AO41" s="579" t="s">
        <v>71</v>
      </c>
      <c r="AP41" s="579" t="s">
        <v>72</v>
      </c>
      <c r="AQ41" s="579" t="s">
        <v>1929</v>
      </c>
      <c r="AR41" s="579" t="s">
        <v>121</v>
      </c>
      <c r="AS41" s="579"/>
      <c r="AT41" s="587"/>
      <c r="AU41" s="584" t="s">
        <v>2419</v>
      </c>
      <c r="AV41" s="578" t="s">
        <v>345</v>
      </c>
      <c r="AW41" s="588">
        <v>44287</v>
      </c>
      <c r="AX41" s="588">
        <v>46112</v>
      </c>
      <c r="AY41" s="588" t="s">
        <v>270</v>
      </c>
      <c r="AZ41" s="589" t="s">
        <v>271</v>
      </c>
      <c r="BA41" s="589" t="s">
        <v>1065</v>
      </c>
      <c r="BB41" s="589" t="s">
        <v>316</v>
      </c>
      <c r="BC41" s="590">
        <v>0</v>
      </c>
      <c r="BD41" s="591"/>
    </row>
    <row r="42" spans="1:56" s="560" customFormat="1" ht="16.5" customHeight="1">
      <c r="A42" s="576">
        <v>2024</v>
      </c>
      <c r="B42" s="577" t="s">
        <v>347</v>
      </c>
      <c r="C42" s="562" t="s">
        <v>352</v>
      </c>
      <c r="D42" s="562" t="s">
        <v>2415</v>
      </c>
      <c r="E42" s="578" t="s">
        <v>348</v>
      </c>
      <c r="F42" s="579" t="s">
        <v>78</v>
      </c>
      <c r="G42" s="578" t="s">
        <v>180</v>
      </c>
      <c r="H42" s="579" t="s">
        <v>349</v>
      </c>
      <c r="I42" s="579" t="s">
        <v>58</v>
      </c>
      <c r="J42" s="579" t="s">
        <v>263</v>
      </c>
      <c r="K42" s="579" t="s">
        <v>264</v>
      </c>
      <c r="L42" s="578" t="s">
        <v>265</v>
      </c>
      <c r="M42" s="580" t="s">
        <v>350</v>
      </c>
      <c r="N42" s="580" t="s">
        <v>350</v>
      </c>
      <c r="O42" s="581">
        <v>2423.17</v>
      </c>
      <c r="P42" s="581">
        <v>95.16</v>
      </c>
      <c r="Q42" s="582"/>
      <c r="R42" s="579" t="s">
        <v>107</v>
      </c>
      <c r="S42" s="579" t="s">
        <v>151</v>
      </c>
      <c r="T42" s="580" t="s">
        <v>63</v>
      </c>
      <c r="U42" s="580" t="s">
        <v>63</v>
      </c>
      <c r="V42" s="580" t="s">
        <v>63</v>
      </c>
      <c r="W42" s="580" t="s">
        <v>63</v>
      </c>
      <c r="X42" s="580" t="s">
        <v>63</v>
      </c>
      <c r="Y42" s="580" t="s">
        <v>66</v>
      </c>
      <c r="Z42" s="580" t="s">
        <v>66</v>
      </c>
      <c r="AA42" s="578"/>
      <c r="AB42" s="580" t="s">
        <v>68</v>
      </c>
      <c r="AC42" s="579" t="s">
        <v>1929</v>
      </c>
      <c r="AD42" s="580" t="s">
        <v>68</v>
      </c>
      <c r="AE42" s="579"/>
      <c r="AF42" s="587" t="s">
        <v>267</v>
      </c>
      <c r="AG42" s="584" t="s">
        <v>1929</v>
      </c>
      <c r="AH42" s="580" t="s">
        <v>1929</v>
      </c>
      <c r="AI42" s="580" t="s">
        <v>2087</v>
      </c>
      <c r="AJ42" s="580" t="s">
        <v>1929</v>
      </c>
      <c r="AK42" s="580" t="s">
        <v>1929</v>
      </c>
      <c r="AL42" s="580" t="s">
        <v>1929</v>
      </c>
      <c r="AM42" s="585" t="s">
        <v>66</v>
      </c>
      <c r="AN42" s="586" t="s">
        <v>201</v>
      </c>
      <c r="AO42" s="579" t="s">
        <v>132</v>
      </c>
      <c r="AP42" s="579" t="s">
        <v>72</v>
      </c>
      <c r="AQ42" s="579" t="s">
        <v>1929</v>
      </c>
      <c r="AR42" s="579" t="s">
        <v>73</v>
      </c>
      <c r="AS42" s="579"/>
      <c r="AT42" s="587"/>
      <c r="AU42" s="584" t="s">
        <v>2419</v>
      </c>
      <c r="AV42" s="578" t="s">
        <v>351</v>
      </c>
      <c r="AW42" s="588">
        <v>44287</v>
      </c>
      <c r="AX42" s="588">
        <v>46112</v>
      </c>
      <c r="AY42" s="588" t="s">
        <v>270</v>
      </c>
      <c r="AZ42" s="589" t="s">
        <v>271</v>
      </c>
      <c r="BA42" s="589" t="s">
        <v>1065</v>
      </c>
      <c r="BB42" s="589" t="s">
        <v>288</v>
      </c>
      <c r="BC42" s="590">
        <v>0</v>
      </c>
      <c r="BD42" s="591"/>
    </row>
    <row r="43" spans="1:56" s="560" customFormat="1" ht="16.5" customHeight="1">
      <c r="A43" s="576">
        <v>2024</v>
      </c>
      <c r="B43" s="577" t="s">
        <v>353</v>
      </c>
      <c r="C43" s="577" t="s">
        <v>359</v>
      </c>
      <c r="D43" s="562" t="s">
        <v>2415</v>
      </c>
      <c r="E43" s="578" t="s">
        <v>354</v>
      </c>
      <c r="F43" s="579" t="s">
        <v>78</v>
      </c>
      <c r="G43" s="578" t="s">
        <v>180</v>
      </c>
      <c r="H43" s="579" t="s">
        <v>355</v>
      </c>
      <c r="I43" s="579" t="s">
        <v>58</v>
      </c>
      <c r="J43" s="579" t="s">
        <v>263</v>
      </c>
      <c r="K43" s="579" t="s">
        <v>264</v>
      </c>
      <c r="L43" s="578" t="s">
        <v>1940</v>
      </c>
      <c r="M43" s="580" t="s">
        <v>222</v>
      </c>
      <c r="N43" s="580" t="s">
        <v>222</v>
      </c>
      <c r="O43" s="581">
        <v>266</v>
      </c>
      <c r="P43" s="581">
        <v>146.88</v>
      </c>
      <c r="Q43" s="582"/>
      <c r="R43" s="579" t="s">
        <v>107</v>
      </c>
      <c r="S43" s="579" t="s">
        <v>151</v>
      </c>
      <c r="T43" s="580" t="s">
        <v>66</v>
      </c>
      <c r="U43" s="580" t="s">
        <v>63</v>
      </c>
      <c r="V43" s="580" t="s">
        <v>63</v>
      </c>
      <c r="W43" s="580" t="s">
        <v>63</v>
      </c>
      <c r="X43" s="580" t="s">
        <v>63</v>
      </c>
      <c r="Y43" s="580" t="s">
        <v>63</v>
      </c>
      <c r="Z43" s="580" t="s">
        <v>356</v>
      </c>
      <c r="AA43" s="578"/>
      <c r="AB43" s="580" t="s">
        <v>68</v>
      </c>
      <c r="AC43" s="579" t="s">
        <v>1929</v>
      </c>
      <c r="AD43" s="580" t="s">
        <v>68</v>
      </c>
      <c r="AE43" s="579"/>
      <c r="AF43" s="587" t="s">
        <v>267</v>
      </c>
      <c r="AG43" s="584" t="s">
        <v>63</v>
      </c>
      <c r="AH43" s="580" t="s">
        <v>1929</v>
      </c>
      <c r="AI43" s="580" t="s">
        <v>63</v>
      </c>
      <c r="AJ43" s="580" t="s">
        <v>1929</v>
      </c>
      <c r="AK43" s="580" t="s">
        <v>1929</v>
      </c>
      <c r="AL43" s="580" t="s">
        <v>1929</v>
      </c>
      <c r="AM43" s="585" t="s">
        <v>66</v>
      </c>
      <c r="AN43" s="586" t="s">
        <v>109</v>
      </c>
      <c r="AO43" s="579" t="s">
        <v>110</v>
      </c>
      <c r="AP43" s="579" t="s">
        <v>111</v>
      </c>
      <c r="AQ43" s="579" t="s">
        <v>1929</v>
      </c>
      <c r="AR43" s="579" t="s">
        <v>112</v>
      </c>
      <c r="AS43" s="579"/>
      <c r="AT43" s="587"/>
      <c r="AU43" s="584" t="s">
        <v>2419</v>
      </c>
      <c r="AV43" s="578" t="s">
        <v>357</v>
      </c>
      <c r="AW43" s="588">
        <v>44287</v>
      </c>
      <c r="AX43" s="588">
        <v>46112</v>
      </c>
      <c r="AY43" s="588" t="s">
        <v>270</v>
      </c>
      <c r="AZ43" s="589" t="s">
        <v>271</v>
      </c>
      <c r="BA43" s="589" t="s">
        <v>1065</v>
      </c>
      <c r="BB43" s="589" t="s">
        <v>358</v>
      </c>
      <c r="BC43" s="590">
        <v>0</v>
      </c>
      <c r="BD43" s="591"/>
    </row>
    <row r="44" spans="1:56" s="560" customFormat="1" ht="16.5" customHeight="1">
      <c r="A44" s="561">
        <v>2024</v>
      </c>
      <c r="B44" s="577" t="s">
        <v>360</v>
      </c>
      <c r="C44" s="562" t="s">
        <v>365</v>
      </c>
      <c r="D44" s="562" t="s">
        <v>2415</v>
      </c>
      <c r="E44" s="578" t="s">
        <v>361</v>
      </c>
      <c r="F44" s="579" t="s">
        <v>78</v>
      </c>
      <c r="G44" s="578" t="s">
        <v>180</v>
      </c>
      <c r="H44" s="579" t="s">
        <v>81</v>
      </c>
      <c r="I44" s="579" t="s">
        <v>58</v>
      </c>
      <c r="J44" s="579" t="s">
        <v>263</v>
      </c>
      <c r="K44" s="579" t="s">
        <v>264</v>
      </c>
      <c r="L44" s="578" t="s">
        <v>2253</v>
      </c>
      <c r="M44" s="580" t="s">
        <v>84</v>
      </c>
      <c r="N44" s="580" t="s">
        <v>84</v>
      </c>
      <c r="O44" s="581">
        <v>1470</v>
      </c>
      <c r="P44" s="581">
        <v>884.1</v>
      </c>
      <c r="Q44" s="582"/>
      <c r="R44" s="579" t="s">
        <v>85</v>
      </c>
      <c r="S44" s="579" t="s">
        <v>65</v>
      </c>
      <c r="T44" s="580" t="s">
        <v>63</v>
      </c>
      <c r="U44" s="580" t="s">
        <v>63</v>
      </c>
      <c r="V44" s="580" t="s">
        <v>63</v>
      </c>
      <c r="W44" s="580" t="s">
        <v>63</v>
      </c>
      <c r="X44" s="580" t="s">
        <v>63</v>
      </c>
      <c r="Y44" s="580" t="s">
        <v>66</v>
      </c>
      <c r="Z44" s="580" t="s">
        <v>66</v>
      </c>
      <c r="AA44" s="578" t="s">
        <v>2254</v>
      </c>
      <c r="AB44" s="580" t="s">
        <v>68</v>
      </c>
      <c r="AC44" s="579" t="s">
        <v>1929</v>
      </c>
      <c r="AD44" s="580" t="s">
        <v>68</v>
      </c>
      <c r="AE44" s="579"/>
      <c r="AF44" s="587" t="s">
        <v>267</v>
      </c>
      <c r="AG44" s="584" t="s">
        <v>63</v>
      </c>
      <c r="AH44" s="580" t="s">
        <v>1929</v>
      </c>
      <c r="AI44" s="580" t="s">
        <v>63</v>
      </c>
      <c r="AJ44" s="580" t="s">
        <v>1846</v>
      </c>
      <c r="AK44" s="580" t="s">
        <v>63</v>
      </c>
      <c r="AL44" s="580" t="s">
        <v>63</v>
      </c>
      <c r="AM44" s="585" t="s">
        <v>63</v>
      </c>
      <c r="AN44" s="586" t="s">
        <v>86</v>
      </c>
      <c r="AO44" s="579" t="s">
        <v>71</v>
      </c>
      <c r="AP44" s="579" t="s">
        <v>72</v>
      </c>
      <c r="AQ44" s="579" t="s">
        <v>1929</v>
      </c>
      <c r="AR44" s="579" t="s">
        <v>73</v>
      </c>
      <c r="AS44" s="579"/>
      <c r="AT44" s="587"/>
      <c r="AU44" s="584" t="s">
        <v>2419</v>
      </c>
      <c r="AV44" s="578" t="s">
        <v>363</v>
      </c>
      <c r="AW44" s="588">
        <v>43556</v>
      </c>
      <c r="AX44" s="588">
        <v>45382</v>
      </c>
      <c r="AY44" s="588" t="s">
        <v>270</v>
      </c>
      <c r="AZ44" s="589" t="s">
        <v>271</v>
      </c>
      <c r="BA44" s="589" t="s">
        <v>2049</v>
      </c>
      <c r="BB44" s="589" t="s">
        <v>364</v>
      </c>
      <c r="BC44" s="590">
        <v>12</v>
      </c>
      <c r="BD44" s="591"/>
    </row>
    <row r="45" spans="1:56" s="560" customFormat="1" ht="16.5" customHeight="1">
      <c r="A45" s="576">
        <v>2024</v>
      </c>
      <c r="B45" s="577" t="s">
        <v>366</v>
      </c>
      <c r="C45" s="577" t="s">
        <v>372</v>
      </c>
      <c r="D45" s="562" t="s">
        <v>2415</v>
      </c>
      <c r="E45" s="578" t="s">
        <v>367</v>
      </c>
      <c r="F45" s="579" t="s">
        <v>78</v>
      </c>
      <c r="G45" s="578" t="s">
        <v>180</v>
      </c>
      <c r="H45" s="579" t="s">
        <v>368</v>
      </c>
      <c r="I45" s="579" t="s">
        <v>58</v>
      </c>
      <c r="J45" s="579" t="s">
        <v>263</v>
      </c>
      <c r="K45" s="579" t="s">
        <v>264</v>
      </c>
      <c r="L45" s="578" t="s">
        <v>265</v>
      </c>
      <c r="M45" s="580" t="s">
        <v>62</v>
      </c>
      <c r="N45" s="580" t="s">
        <v>62</v>
      </c>
      <c r="O45" s="581">
        <v>394.19</v>
      </c>
      <c r="P45" s="581">
        <v>197.56</v>
      </c>
      <c r="Q45" s="582"/>
      <c r="R45" s="579" t="s">
        <v>85</v>
      </c>
      <c r="S45" s="579" t="s">
        <v>151</v>
      </c>
      <c r="T45" s="580" t="s">
        <v>63</v>
      </c>
      <c r="U45" s="580" t="s">
        <v>63</v>
      </c>
      <c r="V45" s="580" t="s">
        <v>66</v>
      </c>
      <c r="W45" s="580" t="s">
        <v>63</v>
      </c>
      <c r="X45" s="580" t="s">
        <v>63</v>
      </c>
      <c r="Y45" s="580" t="s">
        <v>63</v>
      </c>
      <c r="Z45" s="580" t="s">
        <v>369</v>
      </c>
      <c r="AA45" s="578"/>
      <c r="AB45" s="580" t="s">
        <v>68</v>
      </c>
      <c r="AC45" s="579" t="s">
        <v>1929</v>
      </c>
      <c r="AD45" s="580" t="s">
        <v>68</v>
      </c>
      <c r="AE45" s="579"/>
      <c r="AF45" s="587" t="s">
        <v>267</v>
      </c>
      <c r="AG45" s="584" t="s">
        <v>63</v>
      </c>
      <c r="AH45" s="580" t="s">
        <v>1929</v>
      </c>
      <c r="AI45" s="580" t="s">
        <v>63</v>
      </c>
      <c r="AJ45" s="580" t="s">
        <v>1929</v>
      </c>
      <c r="AK45" s="580" t="s">
        <v>1929</v>
      </c>
      <c r="AL45" s="580" t="s">
        <v>1929</v>
      </c>
      <c r="AM45" s="585" t="s">
        <v>66</v>
      </c>
      <c r="AN45" s="586" t="s">
        <v>95</v>
      </c>
      <c r="AO45" s="579" t="s">
        <v>71</v>
      </c>
      <c r="AP45" s="579" t="s">
        <v>72</v>
      </c>
      <c r="AQ45" s="579" t="s">
        <v>1929</v>
      </c>
      <c r="AR45" s="579" t="s">
        <v>73</v>
      </c>
      <c r="AS45" s="579"/>
      <c r="AT45" s="587"/>
      <c r="AU45" s="584" t="s">
        <v>2419</v>
      </c>
      <c r="AV45" s="578" t="s">
        <v>370</v>
      </c>
      <c r="AW45" s="588">
        <v>44287</v>
      </c>
      <c r="AX45" s="588">
        <v>46112</v>
      </c>
      <c r="AY45" s="588" t="s">
        <v>270</v>
      </c>
      <c r="AZ45" s="589" t="s">
        <v>271</v>
      </c>
      <c r="BA45" s="589" t="s">
        <v>1065</v>
      </c>
      <c r="BB45" s="589" t="s">
        <v>371</v>
      </c>
      <c r="BC45" s="590">
        <v>1</v>
      </c>
      <c r="BD45" s="591"/>
    </row>
    <row r="46" spans="1:56" s="560" customFormat="1" ht="16.5" customHeight="1">
      <c r="A46" s="576">
        <v>2024</v>
      </c>
      <c r="B46" s="577" t="s">
        <v>373</v>
      </c>
      <c r="C46" s="562" t="s">
        <v>379</v>
      </c>
      <c r="D46" s="562" t="s">
        <v>2415</v>
      </c>
      <c r="E46" s="578" t="s">
        <v>374</v>
      </c>
      <c r="F46" s="579" t="s">
        <v>78</v>
      </c>
      <c r="G46" s="578" t="s">
        <v>180</v>
      </c>
      <c r="H46" s="579" t="s">
        <v>375</v>
      </c>
      <c r="I46" s="579" t="s">
        <v>58</v>
      </c>
      <c r="J46" s="579" t="s">
        <v>263</v>
      </c>
      <c r="K46" s="579" t="s">
        <v>264</v>
      </c>
      <c r="L46" s="578" t="s">
        <v>265</v>
      </c>
      <c r="M46" s="580" t="s">
        <v>160</v>
      </c>
      <c r="N46" s="580" t="s">
        <v>160</v>
      </c>
      <c r="O46" s="581">
        <v>473.35</v>
      </c>
      <c r="P46" s="581">
        <v>316.02999999999997</v>
      </c>
      <c r="Q46" s="582"/>
      <c r="R46" s="579" t="s">
        <v>85</v>
      </c>
      <c r="S46" s="579" t="s">
        <v>151</v>
      </c>
      <c r="T46" s="580" t="s">
        <v>63</v>
      </c>
      <c r="U46" s="580" t="s">
        <v>63</v>
      </c>
      <c r="V46" s="580" t="s">
        <v>66</v>
      </c>
      <c r="W46" s="580" t="s">
        <v>63</v>
      </c>
      <c r="X46" s="580" t="s">
        <v>63</v>
      </c>
      <c r="Y46" s="580" t="s">
        <v>63</v>
      </c>
      <c r="Z46" s="580" t="s">
        <v>376</v>
      </c>
      <c r="AA46" s="578"/>
      <c r="AB46" s="580" t="s">
        <v>68</v>
      </c>
      <c r="AC46" s="579" t="s">
        <v>1929</v>
      </c>
      <c r="AD46" s="580" t="s">
        <v>68</v>
      </c>
      <c r="AE46" s="579"/>
      <c r="AF46" s="587" t="s">
        <v>267</v>
      </c>
      <c r="AG46" s="584" t="s">
        <v>63</v>
      </c>
      <c r="AH46" s="580" t="s">
        <v>1929</v>
      </c>
      <c r="AI46" s="580" t="s">
        <v>63</v>
      </c>
      <c r="AJ46" s="580" t="s">
        <v>1929</v>
      </c>
      <c r="AK46" s="580" t="s">
        <v>1929</v>
      </c>
      <c r="AL46" s="580" t="s">
        <v>1929</v>
      </c>
      <c r="AM46" s="585" t="s">
        <v>66</v>
      </c>
      <c r="AN46" s="586" t="s">
        <v>258</v>
      </c>
      <c r="AO46" s="579" t="s">
        <v>71</v>
      </c>
      <c r="AP46" s="579" t="s">
        <v>72</v>
      </c>
      <c r="AQ46" s="579" t="s">
        <v>268</v>
      </c>
      <c r="AR46" s="579"/>
      <c r="AS46" s="579"/>
      <c r="AT46" s="587"/>
      <c r="AU46" s="584" t="s">
        <v>2419</v>
      </c>
      <c r="AV46" s="578" t="s">
        <v>377</v>
      </c>
      <c r="AW46" s="588">
        <v>44287</v>
      </c>
      <c r="AX46" s="588">
        <v>46112</v>
      </c>
      <c r="AY46" s="588" t="s">
        <v>270</v>
      </c>
      <c r="AZ46" s="589" t="s">
        <v>271</v>
      </c>
      <c r="BA46" s="589" t="s">
        <v>1065</v>
      </c>
      <c r="BB46" s="589" t="s">
        <v>378</v>
      </c>
      <c r="BC46" s="590">
        <v>3</v>
      </c>
      <c r="BD46" s="591"/>
    </row>
    <row r="47" spans="1:56" s="560" customFormat="1" ht="16.5" customHeight="1">
      <c r="A47" s="561">
        <v>2024</v>
      </c>
      <c r="B47" s="577" t="s">
        <v>380</v>
      </c>
      <c r="C47" s="577" t="s">
        <v>385</v>
      </c>
      <c r="D47" s="562" t="s">
        <v>2415</v>
      </c>
      <c r="E47" s="578" t="s">
        <v>381</v>
      </c>
      <c r="F47" s="579" t="s">
        <v>78</v>
      </c>
      <c r="G47" s="578" t="s">
        <v>180</v>
      </c>
      <c r="H47" s="579" t="s">
        <v>382</v>
      </c>
      <c r="I47" s="579" t="s">
        <v>58</v>
      </c>
      <c r="J47" s="579" t="s">
        <v>263</v>
      </c>
      <c r="K47" s="579" t="s">
        <v>264</v>
      </c>
      <c r="L47" s="578" t="s">
        <v>265</v>
      </c>
      <c r="M47" s="580" t="s">
        <v>160</v>
      </c>
      <c r="N47" s="580" t="s">
        <v>160</v>
      </c>
      <c r="O47" s="581">
        <v>212.55</v>
      </c>
      <c r="P47" s="581">
        <v>181.84</v>
      </c>
      <c r="Q47" s="582"/>
      <c r="R47" s="579" t="s">
        <v>85</v>
      </c>
      <c r="S47" s="579" t="s">
        <v>151</v>
      </c>
      <c r="T47" s="580" t="s">
        <v>63</v>
      </c>
      <c r="U47" s="580" t="s">
        <v>63</v>
      </c>
      <c r="V47" s="580" t="s">
        <v>66</v>
      </c>
      <c r="W47" s="580" t="s">
        <v>63</v>
      </c>
      <c r="X47" s="580" t="s">
        <v>63</v>
      </c>
      <c r="Y47" s="580" t="s">
        <v>66</v>
      </c>
      <c r="Z47" s="580" t="s">
        <v>66</v>
      </c>
      <c r="AA47" s="578"/>
      <c r="AB47" s="580" t="s">
        <v>68</v>
      </c>
      <c r="AC47" s="579" t="s">
        <v>1929</v>
      </c>
      <c r="AD47" s="580" t="s">
        <v>68</v>
      </c>
      <c r="AE47" s="579"/>
      <c r="AF47" s="587" t="s">
        <v>267</v>
      </c>
      <c r="AG47" s="584" t="s">
        <v>63</v>
      </c>
      <c r="AH47" s="580" t="s">
        <v>1929</v>
      </c>
      <c r="AI47" s="580" t="s">
        <v>63</v>
      </c>
      <c r="AJ47" s="580" t="s">
        <v>1929</v>
      </c>
      <c r="AK47" s="580" t="s">
        <v>63</v>
      </c>
      <c r="AL47" s="580" t="s">
        <v>1929</v>
      </c>
      <c r="AM47" s="585" t="s">
        <v>66</v>
      </c>
      <c r="AN47" s="586" t="s">
        <v>95</v>
      </c>
      <c r="AO47" s="579" t="s">
        <v>71</v>
      </c>
      <c r="AP47" s="579" t="s">
        <v>72</v>
      </c>
      <c r="AQ47" s="579" t="s">
        <v>1929</v>
      </c>
      <c r="AR47" s="579" t="s">
        <v>73</v>
      </c>
      <c r="AS47" s="579"/>
      <c r="AT47" s="587"/>
      <c r="AU47" s="584" t="s">
        <v>2419</v>
      </c>
      <c r="AV47" s="578" t="s">
        <v>383</v>
      </c>
      <c r="AW47" s="588">
        <v>44287</v>
      </c>
      <c r="AX47" s="588">
        <v>46112</v>
      </c>
      <c r="AY47" s="588" t="s">
        <v>270</v>
      </c>
      <c r="AZ47" s="589" t="s">
        <v>271</v>
      </c>
      <c r="BA47" s="589" t="s">
        <v>1065</v>
      </c>
      <c r="BB47" s="589" t="s">
        <v>384</v>
      </c>
      <c r="BC47" s="590">
        <v>0</v>
      </c>
      <c r="BD47" s="591"/>
    </row>
    <row r="48" spans="1:56" s="560" customFormat="1" ht="16.5" customHeight="1">
      <c r="A48" s="576">
        <v>2024</v>
      </c>
      <c r="B48" s="577" t="s">
        <v>386</v>
      </c>
      <c r="C48" s="562" t="s">
        <v>392</v>
      </c>
      <c r="D48" s="562" t="s">
        <v>2415</v>
      </c>
      <c r="E48" s="578" t="s">
        <v>387</v>
      </c>
      <c r="F48" s="579" t="s">
        <v>78</v>
      </c>
      <c r="G48" s="578" t="s">
        <v>180</v>
      </c>
      <c r="H48" s="579" t="s">
        <v>388</v>
      </c>
      <c r="I48" s="579" t="s">
        <v>58</v>
      </c>
      <c r="J48" s="579" t="s">
        <v>263</v>
      </c>
      <c r="K48" s="579" t="s">
        <v>264</v>
      </c>
      <c r="L48" s="578" t="s">
        <v>265</v>
      </c>
      <c r="M48" s="580" t="s">
        <v>280</v>
      </c>
      <c r="N48" s="580" t="s">
        <v>280</v>
      </c>
      <c r="O48" s="581">
        <v>731.88</v>
      </c>
      <c r="P48" s="581">
        <v>336</v>
      </c>
      <c r="Q48" s="582"/>
      <c r="R48" s="579" t="s">
        <v>85</v>
      </c>
      <c r="S48" s="579" t="s">
        <v>65</v>
      </c>
      <c r="T48" s="580" t="s">
        <v>63</v>
      </c>
      <c r="U48" s="580" t="s">
        <v>63</v>
      </c>
      <c r="V48" s="580" t="s">
        <v>66</v>
      </c>
      <c r="W48" s="580" t="s">
        <v>63</v>
      </c>
      <c r="X48" s="580" t="s">
        <v>63</v>
      </c>
      <c r="Y48" s="580" t="s">
        <v>66</v>
      </c>
      <c r="Z48" s="580" t="s">
        <v>66</v>
      </c>
      <c r="AA48" s="578" t="s">
        <v>389</v>
      </c>
      <c r="AB48" s="580" t="s">
        <v>68</v>
      </c>
      <c r="AC48" s="579" t="s">
        <v>1929</v>
      </c>
      <c r="AD48" s="580" t="s">
        <v>68</v>
      </c>
      <c r="AE48" s="579"/>
      <c r="AF48" s="587" t="s">
        <v>267</v>
      </c>
      <c r="AG48" s="584" t="s">
        <v>63</v>
      </c>
      <c r="AH48" s="580" t="s">
        <v>1929</v>
      </c>
      <c r="AI48" s="580" t="s">
        <v>63</v>
      </c>
      <c r="AJ48" s="580" t="s">
        <v>1929</v>
      </c>
      <c r="AK48" s="580" t="s">
        <v>63</v>
      </c>
      <c r="AL48" s="580" t="s">
        <v>1929</v>
      </c>
      <c r="AM48" s="585" t="s">
        <v>66</v>
      </c>
      <c r="AN48" s="586" t="s">
        <v>95</v>
      </c>
      <c r="AO48" s="579" t="s">
        <v>71</v>
      </c>
      <c r="AP48" s="579" t="s">
        <v>72</v>
      </c>
      <c r="AQ48" s="579" t="s">
        <v>1929</v>
      </c>
      <c r="AR48" s="579" t="s">
        <v>73</v>
      </c>
      <c r="AS48" s="579"/>
      <c r="AT48" s="587"/>
      <c r="AU48" s="584" t="s">
        <v>2419</v>
      </c>
      <c r="AV48" s="578" t="s">
        <v>390</v>
      </c>
      <c r="AW48" s="588">
        <v>44287</v>
      </c>
      <c r="AX48" s="588">
        <v>46112</v>
      </c>
      <c r="AY48" s="588" t="s">
        <v>270</v>
      </c>
      <c r="AZ48" s="589" t="s">
        <v>271</v>
      </c>
      <c r="BA48" s="589" t="s">
        <v>1065</v>
      </c>
      <c r="BB48" s="589" t="s">
        <v>391</v>
      </c>
      <c r="BC48" s="590">
        <v>2</v>
      </c>
      <c r="BD48" s="591"/>
    </row>
    <row r="49" spans="1:56" s="560" customFormat="1" ht="16.5" customHeight="1">
      <c r="A49" s="576">
        <v>2024</v>
      </c>
      <c r="B49" s="577" t="s">
        <v>393</v>
      </c>
      <c r="C49" s="577" t="s">
        <v>399</v>
      </c>
      <c r="D49" s="562" t="s">
        <v>2415</v>
      </c>
      <c r="E49" s="578" t="s">
        <v>394</v>
      </c>
      <c r="F49" s="579" t="s">
        <v>78</v>
      </c>
      <c r="G49" s="578" t="s">
        <v>180</v>
      </c>
      <c r="H49" s="579" t="s">
        <v>395</v>
      </c>
      <c r="I49" s="579" t="s">
        <v>58</v>
      </c>
      <c r="J49" s="579" t="s">
        <v>263</v>
      </c>
      <c r="K49" s="579" t="s">
        <v>264</v>
      </c>
      <c r="L49" s="578" t="s">
        <v>265</v>
      </c>
      <c r="M49" s="580" t="s">
        <v>396</v>
      </c>
      <c r="N49" s="580" t="s">
        <v>396</v>
      </c>
      <c r="O49" s="581">
        <v>500.04</v>
      </c>
      <c r="P49" s="581">
        <v>316.3</v>
      </c>
      <c r="Q49" s="582"/>
      <c r="R49" s="579" t="s">
        <v>85</v>
      </c>
      <c r="S49" s="579" t="s">
        <v>151</v>
      </c>
      <c r="T49" s="580" t="s">
        <v>66</v>
      </c>
      <c r="U49" s="580" t="s">
        <v>63</v>
      </c>
      <c r="V49" s="580" t="s">
        <v>63</v>
      </c>
      <c r="W49" s="580" t="s">
        <v>63</v>
      </c>
      <c r="X49" s="580" t="s">
        <v>63</v>
      </c>
      <c r="Y49" s="580" t="s">
        <v>66</v>
      </c>
      <c r="Z49" s="580" t="s">
        <v>66</v>
      </c>
      <c r="AA49" s="578"/>
      <c r="AB49" s="580" t="s">
        <v>68</v>
      </c>
      <c r="AC49" s="579" t="s">
        <v>1929</v>
      </c>
      <c r="AD49" s="580" t="s">
        <v>68</v>
      </c>
      <c r="AE49" s="579"/>
      <c r="AF49" s="587" t="s">
        <v>267</v>
      </c>
      <c r="AG49" s="584" t="s">
        <v>63</v>
      </c>
      <c r="AH49" s="580" t="s">
        <v>1929</v>
      </c>
      <c r="AI49" s="580" t="s">
        <v>63</v>
      </c>
      <c r="AJ49" s="580" t="s">
        <v>1929</v>
      </c>
      <c r="AK49" s="580" t="s">
        <v>1929</v>
      </c>
      <c r="AL49" s="580" t="s">
        <v>1929</v>
      </c>
      <c r="AM49" s="585" t="s">
        <v>66</v>
      </c>
      <c r="AN49" s="586" t="s">
        <v>86</v>
      </c>
      <c r="AO49" s="579" t="s">
        <v>71</v>
      </c>
      <c r="AP49" s="579" t="s">
        <v>72</v>
      </c>
      <c r="AQ49" s="579" t="s">
        <v>1929</v>
      </c>
      <c r="AR49" s="579"/>
      <c r="AS49" s="579"/>
      <c r="AT49" s="587"/>
      <c r="AU49" s="584" t="s">
        <v>2419</v>
      </c>
      <c r="AV49" s="578" t="s">
        <v>397</v>
      </c>
      <c r="AW49" s="588">
        <v>44287</v>
      </c>
      <c r="AX49" s="588">
        <v>46112</v>
      </c>
      <c r="AY49" s="588" t="s">
        <v>270</v>
      </c>
      <c r="AZ49" s="589" t="s">
        <v>271</v>
      </c>
      <c r="BA49" s="589" t="s">
        <v>1065</v>
      </c>
      <c r="BB49" s="589" t="s">
        <v>398</v>
      </c>
      <c r="BC49" s="590">
        <v>0</v>
      </c>
      <c r="BD49" s="591"/>
    </row>
    <row r="50" spans="1:56" s="560" customFormat="1" ht="16.5" customHeight="1">
      <c r="A50" s="561">
        <v>2024</v>
      </c>
      <c r="B50" s="577" t="s">
        <v>400</v>
      </c>
      <c r="C50" s="562" t="s">
        <v>405</v>
      </c>
      <c r="D50" s="562" t="s">
        <v>2415</v>
      </c>
      <c r="E50" s="578" t="s">
        <v>401</v>
      </c>
      <c r="F50" s="579" t="s">
        <v>78</v>
      </c>
      <c r="G50" s="578" t="s">
        <v>180</v>
      </c>
      <c r="H50" s="579" t="s">
        <v>402</v>
      </c>
      <c r="I50" s="579" t="s">
        <v>58</v>
      </c>
      <c r="J50" s="579" t="s">
        <v>263</v>
      </c>
      <c r="K50" s="579" t="s">
        <v>264</v>
      </c>
      <c r="L50" s="578" t="s">
        <v>265</v>
      </c>
      <c r="M50" s="580" t="s">
        <v>403</v>
      </c>
      <c r="N50" s="580" t="s">
        <v>403</v>
      </c>
      <c r="O50" s="581">
        <v>205.36</v>
      </c>
      <c r="P50" s="581">
        <v>119.99</v>
      </c>
      <c r="Q50" s="582"/>
      <c r="R50" s="579" t="s">
        <v>85</v>
      </c>
      <c r="S50" s="579" t="s">
        <v>151</v>
      </c>
      <c r="T50" s="580" t="s">
        <v>66</v>
      </c>
      <c r="U50" s="580" t="s">
        <v>63</v>
      </c>
      <c r="V50" s="580" t="s">
        <v>63</v>
      </c>
      <c r="W50" s="580" t="s">
        <v>63</v>
      </c>
      <c r="X50" s="580" t="s">
        <v>63</v>
      </c>
      <c r="Y50" s="580" t="s">
        <v>66</v>
      </c>
      <c r="Z50" s="580" t="s">
        <v>66</v>
      </c>
      <c r="AA50" s="578"/>
      <c r="AB50" s="580" t="s">
        <v>68</v>
      </c>
      <c r="AC50" s="579" t="s">
        <v>1929</v>
      </c>
      <c r="AD50" s="580" t="s">
        <v>68</v>
      </c>
      <c r="AE50" s="579"/>
      <c r="AF50" s="587" t="s">
        <v>267</v>
      </c>
      <c r="AG50" s="584" t="s">
        <v>63</v>
      </c>
      <c r="AH50" s="580" t="s">
        <v>1929</v>
      </c>
      <c r="AI50" s="580" t="s">
        <v>63</v>
      </c>
      <c r="AJ50" s="580" t="s">
        <v>1929</v>
      </c>
      <c r="AK50" s="580" t="s">
        <v>1929</v>
      </c>
      <c r="AL50" s="580" t="s">
        <v>1929</v>
      </c>
      <c r="AM50" s="585" t="s">
        <v>63</v>
      </c>
      <c r="AN50" s="586" t="s">
        <v>95</v>
      </c>
      <c r="AO50" s="579" t="s">
        <v>71</v>
      </c>
      <c r="AP50" s="579" t="s">
        <v>72</v>
      </c>
      <c r="AQ50" s="579" t="s">
        <v>1929</v>
      </c>
      <c r="AR50" s="579" t="s">
        <v>73</v>
      </c>
      <c r="AS50" s="579"/>
      <c r="AT50" s="587"/>
      <c r="AU50" s="584" t="s">
        <v>2419</v>
      </c>
      <c r="AV50" s="578" t="s">
        <v>404</v>
      </c>
      <c r="AW50" s="588">
        <v>44287</v>
      </c>
      <c r="AX50" s="588">
        <v>46112</v>
      </c>
      <c r="AY50" s="588" t="s">
        <v>270</v>
      </c>
      <c r="AZ50" s="589" t="s">
        <v>271</v>
      </c>
      <c r="BA50" s="589" t="s">
        <v>1065</v>
      </c>
      <c r="BB50" s="589" t="s">
        <v>300</v>
      </c>
      <c r="BC50" s="590">
        <v>0</v>
      </c>
      <c r="BD50" s="591"/>
    </row>
    <row r="51" spans="1:56" s="560" customFormat="1" ht="16.5" customHeight="1">
      <c r="A51" s="576">
        <v>2024</v>
      </c>
      <c r="B51" s="577" t="s">
        <v>406</v>
      </c>
      <c r="C51" s="577" t="s">
        <v>410</v>
      </c>
      <c r="D51" s="562" t="s">
        <v>2415</v>
      </c>
      <c r="E51" s="578" t="s">
        <v>407</v>
      </c>
      <c r="F51" s="579" t="s">
        <v>78</v>
      </c>
      <c r="G51" s="578" t="s">
        <v>180</v>
      </c>
      <c r="H51" s="579" t="s">
        <v>408</v>
      </c>
      <c r="I51" s="579" t="s">
        <v>58</v>
      </c>
      <c r="J51" s="579" t="s">
        <v>263</v>
      </c>
      <c r="K51" s="579" t="s">
        <v>264</v>
      </c>
      <c r="L51" s="578" t="s">
        <v>2250</v>
      </c>
      <c r="M51" s="580" t="s">
        <v>403</v>
      </c>
      <c r="N51" s="580" t="s">
        <v>403</v>
      </c>
      <c r="O51" s="581">
        <v>108.78</v>
      </c>
      <c r="P51" s="581">
        <v>109.3</v>
      </c>
      <c r="Q51" s="582"/>
      <c r="R51" s="579" t="s">
        <v>85</v>
      </c>
      <c r="S51" s="579" t="s">
        <v>151</v>
      </c>
      <c r="T51" s="580" t="s">
        <v>63</v>
      </c>
      <c r="U51" s="580" t="s">
        <v>63</v>
      </c>
      <c r="V51" s="580" t="s">
        <v>63</v>
      </c>
      <c r="W51" s="580" t="s">
        <v>63</v>
      </c>
      <c r="X51" s="580" t="s">
        <v>63</v>
      </c>
      <c r="Y51" s="580" t="s">
        <v>66</v>
      </c>
      <c r="Z51" s="580" t="s">
        <v>66</v>
      </c>
      <c r="AA51" s="578"/>
      <c r="AB51" s="580" t="s">
        <v>68</v>
      </c>
      <c r="AC51" s="579"/>
      <c r="AD51" s="580" t="s">
        <v>68</v>
      </c>
      <c r="AE51" s="579"/>
      <c r="AF51" s="587" t="s">
        <v>267</v>
      </c>
      <c r="AG51" s="584" t="s">
        <v>63</v>
      </c>
      <c r="AH51" s="580" t="s">
        <v>1929</v>
      </c>
      <c r="AI51" s="580" t="s">
        <v>63</v>
      </c>
      <c r="AJ51" s="580" t="s">
        <v>1929</v>
      </c>
      <c r="AK51" s="580" t="s">
        <v>1929</v>
      </c>
      <c r="AL51" s="580" t="s">
        <v>1929</v>
      </c>
      <c r="AM51" s="585" t="s">
        <v>63</v>
      </c>
      <c r="AN51" s="586" t="s">
        <v>258</v>
      </c>
      <c r="AO51" s="579" t="s">
        <v>71</v>
      </c>
      <c r="AP51" s="579" t="s">
        <v>72</v>
      </c>
      <c r="AQ51" s="579" t="s">
        <v>268</v>
      </c>
      <c r="AR51" s="579"/>
      <c r="AS51" s="579"/>
      <c r="AT51" s="587"/>
      <c r="AU51" s="584" t="s">
        <v>2419</v>
      </c>
      <c r="AV51" s="578" t="s">
        <v>409</v>
      </c>
      <c r="AW51" s="588">
        <v>44287</v>
      </c>
      <c r="AX51" s="588">
        <v>46112</v>
      </c>
      <c r="AY51" s="588" t="s">
        <v>270</v>
      </c>
      <c r="AZ51" s="589" t="s">
        <v>271</v>
      </c>
      <c r="BA51" s="589" t="s">
        <v>1065</v>
      </c>
      <c r="BB51" s="589" t="s">
        <v>300</v>
      </c>
      <c r="BC51" s="590">
        <v>0</v>
      </c>
      <c r="BD51" s="591"/>
    </row>
    <row r="52" spans="1:56" s="560" customFormat="1" ht="16.5" customHeight="1">
      <c r="A52" s="576">
        <v>2024</v>
      </c>
      <c r="B52" s="577" t="s">
        <v>411</v>
      </c>
      <c r="C52" s="562" t="s">
        <v>416</v>
      </c>
      <c r="D52" s="562" t="s">
        <v>2415</v>
      </c>
      <c r="E52" s="578" t="s">
        <v>412</v>
      </c>
      <c r="F52" s="579" t="s">
        <v>78</v>
      </c>
      <c r="G52" s="578" t="s">
        <v>180</v>
      </c>
      <c r="H52" s="579" t="s">
        <v>413</v>
      </c>
      <c r="I52" s="579" t="s">
        <v>58</v>
      </c>
      <c r="J52" s="579" t="s">
        <v>263</v>
      </c>
      <c r="K52" s="579" t="s">
        <v>264</v>
      </c>
      <c r="L52" s="578" t="s">
        <v>265</v>
      </c>
      <c r="M52" s="580" t="s">
        <v>106</v>
      </c>
      <c r="N52" s="580" t="s">
        <v>106</v>
      </c>
      <c r="O52" s="581">
        <v>331.07499999999999</v>
      </c>
      <c r="P52" s="581">
        <v>164.09</v>
      </c>
      <c r="Q52" s="582"/>
      <c r="R52" s="579" t="s">
        <v>251</v>
      </c>
      <c r="S52" s="579" t="s">
        <v>151</v>
      </c>
      <c r="T52" s="580" t="s">
        <v>63</v>
      </c>
      <c r="U52" s="580" t="s">
        <v>63</v>
      </c>
      <c r="V52" s="580" t="s">
        <v>66</v>
      </c>
      <c r="W52" s="580" t="s">
        <v>63</v>
      </c>
      <c r="X52" s="580" t="s">
        <v>63</v>
      </c>
      <c r="Y52" s="580" t="s">
        <v>66</v>
      </c>
      <c r="Z52" s="580" t="s">
        <v>66</v>
      </c>
      <c r="AA52" s="578"/>
      <c r="AB52" s="580" t="s">
        <v>68</v>
      </c>
      <c r="AC52" s="579"/>
      <c r="AD52" s="580" t="s">
        <v>68</v>
      </c>
      <c r="AE52" s="579"/>
      <c r="AF52" s="587" t="s">
        <v>267</v>
      </c>
      <c r="AG52" s="584" t="s">
        <v>63</v>
      </c>
      <c r="AH52" s="580" t="s">
        <v>1929</v>
      </c>
      <c r="AI52" s="580" t="s">
        <v>63</v>
      </c>
      <c r="AJ52" s="580" t="s">
        <v>1929</v>
      </c>
      <c r="AK52" s="580" t="s">
        <v>63</v>
      </c>
      <c r="AL52" s="580" t="s">
        <v>1929</v>
      </c>
      <c r="AM52" s="585" t="s">
        <v>66</v>
      </c>
      <c r="AN52" s="586" t="s">
        <v>258</v>
      </c>
      <c r="AO52" s="579" t="s">
        <v>71</v>
      </c>
      <c r="AP52" s="579" t="s">
        <v>72</v>
      </c>
      <c r="AQ52" s="579" t="s">
        <v>268</v>
      </c>
      <c r="AR52" s="579"/>
      <c r="AS52" s="579"/>
      <c r="AT52" s="587"/>
      <c r="AU52" s="584" t="s">
        <v>2419</v>
      </c>
      <c r="AV52" s="578" t="s">
        <v>414</v>
      </c>
      <c r="AW52" s="588">
        <v>44287</v>
      </c>
      <c r="AX52" s="588">
        <v>46112</v>
      </c>
      <c r="AY52" s="588" t="s">
        <v>270</v>
      </c>
      <c r="AZ52" s="589" t="s">
        <v>271</v>
      </c>
      <c r="BA52" s="589" t="s">
        <v>1065</v>
      </c>
      <c r="BB52" s="589" t="s">
        <v>415</v>
      </c>
      <c r="BC52" s="590">
        <v>2</v>
      </c>
      <c r="BD52" s="591"/>
    </row>
    <row r="53" spans="1:56" s="560" customFormat="1" ht="16.5" customHeight="1">
      <c r="A53" s="561">
        <v>2024</v>
      </c>
      <c r="B53" s="577" t="s">
        <v>417</v>
      </c>
      <c r="C53" s="577" t="s">
        <v>423</v>
      </c>
      <c r="D53" s="562" t="s">
        <v>2415</v>
      </c>
      <c r="E53" s="578" t="s">
        <v>418</v>
      </c>
      <c r="F53" s="579" t="s">
        <v>78</v>
      </c>
      <c r="G53" s="578" t="s">
        <v>180</v>
      </c>
      <c r="H53" s="579" t="s">
        <v>419</v>
      </c>
      <c r="I53" s="579" t="s">
        <v>58</v>
      </c>
      <c r="J53" s="579" t="s">
        <v>263</v>
      </c>
      <c r="K53" s="579" t="s">
        <v>264</v>
      </c>
      <c r="L53" s="578" t="s">
        <v>2250</v>
      </c>
      <c r="M53" s="580" t="s">
        <v>420</v>
      </c>
      <c r="N53" s="580" t="s">
        <v>420</v>
      </c>
      <c r="O53" s="581">
        <v>312.82</v>
      </c>
      <c r="P53" s="581">
        <v>142.01</v>
      </c>
      <c r="Q53" s="582"/>
      <c r="R53" s="579" t="s">
        <v>251</v>
      </c>
      <c r="S53" s="579" t="s">
        <v>151</v>
      </c>
      <c r="T53" s="580" t="s">
        <v>63</v>
      </c>
      <c r="U53" s="580" t="s">
        <v>63</v>
      </c>
      <c r="V53" s="580" t="s">
        <v>63</v>
      </c>
      <c r="W53" s="580" t="s">
        <v>63</v>
      </c>
      <c r="X53" s="580" t="s">
        <v>63</v>
      </c>
      <c r="Y53" s="580" t="s">
        <v>66</v>
      </c>
      <c r="Z53" s="580" t="s">
        <v>66</v>
      </c>
      <c r="AA53" s="578"/>
      <c r="AB53" s="580" t="s">
        <v>68</v>
      </c>
      <c r="AC53" s="579"/>
      <c r="AD53" s="580" t="s">
        <v>68</v>
      </c>
      <c r="AE53" s="579"/>
      <c r="AF53" s="587" t="s">
        <v>267</v>
      </c>
      <c r="AG53" s="584" t="s">
        <v>63</v>
      </c>
      <c r="AH53" s="580" t="s">
        <v>1929</v>
      </c>
      <c r="AI53" s="580" t="s">
        <v>63</v>
      </c>
      <c r="AJ53" s="580" t="s">
        <v>1929</v>
      </c>
      <c r="AK53" s="580" t="s">
        <v>63</v>
      </c>
      <c r="AL53" s="580" t="s">
        <v>63</v>
      </c>
      <c r="AM53" s="585" t="s">
        <v>63</v>
      </c>
      <c r="AN53" s="586" t="s">
        <v>109</v>
      </c>
      <c r="AO53" s="579" t="s">
        <v>110</v>
      </c>
      <c r="AP53" s="579" t="s">
        <v>111</v>
      </c>
      <c r="AQ53" s="579" t="s">
        <v>1929</v>
      </c>
      <c r="AR53" s="579" t="s">
        <v>112</v>
      </c>
      <c r="AS53" s="579"/>
      <c r="AT53" s="587"/>
      <c r="AU53" s="584" t="s">
        <v>2419</v>
      </c>
      <c r="AV53" s="578" t="s">
        <v>421</v>
      </c>
      <c r="AW53" s="588">
        <v>44287</v>
      </c>
      <c r="AX53" s="588">
        <v>46112</v>
      </c>
      <c r="AY53" s="588" t="s">
        <v>270</v>
      </c>
      <c r="AZ53" s="589" t="s">
        <v>271</v>
      </c>
      <c r="BA53" s="589" t="s">
        <v>1065</v>
      </c>
      <c r="BB53" s="589" t="s">
        <v>422</v>
      </c>
      <c r="BC53" s="590">
        <v>2</v>
      </c>
      <c r="BD53" s="591"/>
    </row>
    <row r="54" spans="1:56" s="560" customFormat="1" ht="16.5" customHeight="1">
      <c r="A54" s="576">
        <v>2024</v>
      </c>
      <c r="B54" s="577" t="s">
        <v>424</v>
      </c>
      <c r="C54" s="562" t="s">
        <v>429</v>
      </c>
      <c r="D54" s="562" t="s">
        <v>2415</v>
      </c>
      <c r="E54" s="578" t="s">
        <v>425</v>
      </c>
      <c r="F54" s="579" t="s">
        <v>78</v>
      </c>
      <c r="G54" s="578" t="s">
        <v>180</v>
      </c>
      <c r="H54" s="579" t="s">
        <v>426</v>
      </c>
      <c r="I54" s="579" t="s">
        <v>58</v>
      </c>
      <c r="J54" s="579" t="s">
        <v>263</v>
      </c>
      <c r="K54" s="579" t="s">
        <v>264</v>
      </c>
      <c r="L54" s="578" t="s">
        <v>265</v>
      </c>
      <c r="M54" s="580" t="s">
        <v>299</v>
      </c>
      <c r="N54" s="580" t="s">
        <v>299</v>
      </c>
      <c r="O54" s="581">
        <v>334.77</v>
      </c>
      <c r="P54" s="581">
        <v>134.47999999999999</v>
      </c>
      <c r="Q54" s="582"/>
      <c r="R54" s="579" t="s">
        <v>251</v>
      </c>
      <c r="S54" s="579" t="s">
        <v>151</v>
      </c>
      <c r="T54" s="580" t="s">
        <v>66</v>
      </c>
      <c r="U54" s="580" t="s">
        <v>63</v>
      </c>
      <c r="V54" s="580" t="s">
        <v>63</v>
      </c>
      <c r="W54" s="580" t="s">
        <v>63</v>
      </c>
      <c r="X54" s="580" t="s">
        <v>63</v>
      </c>
      <c r="Y54" s="580" t="s">
        <v>66</v>
      </c>
      <c r="Z54" s="580" t="s">
        <v>66</v>
      </c>
      <c r="AA54" s="578"/>
      <c r="AB54" s="580" t="s">
        <v>68</v>
      </c>
      <c r="AC54" s="579"/>
      <c r="AD54" s="580" t="s">
        <v>68</v>
      </c>
      <c r="AE54" s="579"/>
      <c r="AF54" s="587" t="s">
        <v>267</v>
      </c>
      <c r="AG54" s="584" t="s">
        <v>63</v>
      </c>
      <c r="AH54" s="580" t="s">
        <v>1929</v>
      </c>
      <c r="AI54" s="580" t="s">
        <v>63</v>
      </c>
      <c r="AJ54" s="580" t="s">
        <v>1929</v>
      </c>
      <c r="AK54" s="580" t="s">
        <v>63</v>
      </c>
      <c r="AL54" s="580" t="s">
        <v>1929</v>
      </c>
      <c r="AM54" s="585" t="s">
        <v>66</v>
      </c>
      <c r="AN54" s="586" t="s">
        <v>258</v>
      </c>
      <c r="AO54" s="579" t="s">
        <v>71</v>
      </c>
      <c r="AP54" s="579" t="s">
        <v>72</v>
      </c>
      <c r="AQ54" s="579" t="s">
        <v>1929</v>
      </c>
      <c r="AR54" s="579"/>
      <c r="AS54" s="579"/>
      <c r="AT54" s="587" t="s">
        <v>427</v>
      </c>
      <c r="AU54" s="584" t="s">
        <v>2419</v>
      </c>
      <c r="AV54" s="578" t="s">
        <v>428</v>
      </c>
      <c r="AW54" s="588">
        <v>44287</v>
      </c>
      <c r="AX54" s="588">
        <v>46112</v>
      </c>
      <c r="AY54" s="588" t="s">
        <v>270</v>
      </c>
      <c r="AZ54" s="589" t="s">
        <v>271</v>
      </c>
      <c r="BA54" s="589" t="s">
        <v>1065</v>
      </c>
      <c r="BB54" s="589" t="s">
        <v>300</v>
      </c>
      <c r="BC54" s="590">
        <v>0</v>
      </c>
      <c r="BD54" s="591"/>
    </row>
    <row r="55" spans="1:56" s="560" customFormat="1" ht="16.5" customHeight="1">
      <c r="A55" s="576">
        <v>2024</v>
      </c>
      <c r="B55" s="577" t="s">
        <v>430</v>
      </c>
      <c r="C55" s="577" t="s">
        <v>438</v>
      </c>
      <c r="D55" s="562" t="s">
        <v>2415</v>
      </c>
      <c r="E55" s="578" t="s">
        <v>431</v>
      </c>
      <c r="F55" s="579" t="s">
        <v>78</v>
      </c>
      <c r="G55" s="578" t="s">
        <v>180</v>
      </c>
      <c r="H55" s="579" t="s">
        <v>432</v>
      </c>
      <c r="I55" s="579" t="s">
        <v>58</v>
      </c>
      <c r="J55" s="579" t="s">
        <v>263</v>
      </c>
      <c r="K55" s="579" t="s">
        <v>264</v>
      </c>
      <c r="L55" s="578" t="s">
        <v>265</v>
      </c>
      <c r="M55" s="580" t="s">
        <v>275</v>
      </c>
      <c r="N55" s="580" t="s">
        <v>275</v>
      </c>
      <c r="O55" s="581">
        <v>3882.37</v>
      </c>
      <c r="P55" s="581">
        <v>332.59</v>
      </c>
      <c r="Q55" s="582"/>
      <c r="R55" s="579" t="s">
        <v>251</v>
      </c>
      <c r="S55" s="579" t="s">
        <v>65</v>
      </c>
      <c r="T55" s="580" t="s">
        <v>63</v>
      </c>
      <c r="U55" s="580" t="s">
        <v>63</v>
      </c>
      <c r="V55" s="580" t="s">
        <v>63</v>
      </c>
      <c r="W55" s="580" t="s">
        <v>63</v>
      </c>
      <c r="X55" s="580" t="s">
        <v>63</v>
      </c>
      <c r="Y55" s="580" t="s">
        <v>66</v>
      </c>
      <c r="Z55" s="580" t="s">
        <v>66</v>
      </c>
      <c r="AA55" s="578" t="s">
        <v>433</v>
      </c>
      <c r="AB55" s="580" t="s">
        <v>68</v>
      </c>
      <c r="AC55" s="579" t="s">
        <v>1929</v>
      </c>
      <c r="AD55" s="580" t="s">
        <v>68</v>
      </c>
      <c r="AE55" s="579"/>
      <c r="AF55" s="587" t="s">
        <v>267</v>
      </c>
      <c r="AG55" s="584" t="s">
        <v>63</v>
      </c>
      <c r="AH55" s="580" t="s">
        <v>1929</v>
      </c>
      <c r="AI55" s="580" t="s">
        <v>63</v>
      </c>
      <c r="AJ55" s="580" t="s">
        <v>63</v>
      </c>
      <c r="AK55" s="580" t="s">
        <v>63</v>
      </c>
      <c r="AL55" s="580" t="s">
        <v>63</v>
      </c>
      <c r="AM55" s="585" t="s">
        <v>66</v>
      </c>
      <c r="AN55" s="586" t="s">
        <v>434</v>
      </c>
      <c r="AO55" s="579" t="s">
        <v>71</v>
      </c>
      <c r="AP55" s="579" t="s">
        <v>72</v>
      </c>
      <c r="AQ55" s="579" t="s">
        <v>1929</v>
      </c>
      <c r="AR55" s="579" t="s">
        <v>435</v>
      </c>
      <c r="AS55" s="579"/>
      <c r="AT55" s="587"/>
      <c r="AU55" s="584" t="s">
        <v>2419</v>
      </c>
      <c r="AV55" s="578" t="s">
        <v>436</v>
      </c>
      <c r="AW55" s="588">
        <v>44287</v>
      </c>
      <c r="AX55" s="588">
        <v>46112</v>
      </c>
      <c r="AY55" s="588" t="s">
        <v>270</v>
      </c>
      <c r="AZ55" s="589" t="s">
        <v>271</v>
      </c>
      <c r="BA55" s="589" t="s">
        <v>1065</v>
      </c>
      <c r="BB55" s="589" t="s">
        <v>437</v>
      </c>
      <c r="BC55" s="590">
        <v>2</v>
      </c>
      <c r="BD55" s="591"/>
    </row>
    <row r="56" spans="1:56" s="560" customFormat="1" ht="16.5" customHeight="1">
      <c r="A56" s="561">
        <v>2024</v>
      </c>
      <c r="B56" s="577" t="s">
        <v>439</v>
      </c>
      <c r="C56" s="562" t="s">
        <v>446</v>
      </c>
      <c r="D56" s="562" t="s">
        <v>2415</v>
      </c>
      <c r="E56" s="578" t="s">
        <v>440</v>
      </c>
      <c r="F56" s="579" t="s">
        <v>78</v>
      </c>
      <c r="G56" s="578" t="s">
        <v>180</v>
      </c>
      <c r="H56" s="579" t="s">
        <v>441</v>
      </c>
      <c r="I56" s="579" t="s">
        <v>58</v>
      </c>
      <c r="J56" s="579" t="s">
        <v>263</v>
      </c>
      <c r="K56" s="579" t="s">
        <v>264</v>
      </c>
      <c r="L56" s="578" t="s">
        <v>362</v>
      </c>
      <c r="M56" s="580" t="s">
        <v>442</v>
      </c>
      <c r="N56" s="580" t="s">
        <v>442</v>
      </c>
      <c r="O56" s="581">
        <v>3882.37</v>
      </c>
      <c r="P56" s="581">
        <v>360.57</v>
      </c>
      <c r="Q56" s="582"/>
      <c r="R56" s="579" t="s">
        <v>251</v>
      </c>
      <c r="S56" s="579" t="s">
        <v>65</v>
      </c>
      <c r="T56" s="580" t="s">
        <v>63</v>
      </c>
      <c r="U56" s="580" t="s">
        <v>63</v>
      </c>
      <c r="V56" s="580" t="s">
        <v>63</v>
      </c>
      <c r="W56" s="580" t="s">
        <v>63</v>
      </c>
      <c r="X56" s="580" t="s">
        <v>63</v>
      </c>
      <c r="Y56" s="580" t="s">
        <v>63</v>
      </c>
      <c r="Z56" s="580" t="s">
        <v>443</v>
      </c>
      <c r="AA56" s="578" t="s">
        <v>444</v>
      </c>
      <c r="AB56" s="580" t="s">
        <v>68</v>
      </c>
      <c r="AC56" s="579" t="s">
        <v>1929</v>
      </c>
      <c r="AD56" s="580" t="s">
        <v>68</v>
      </c>
      <c r="AE56" s="579"/>
      <c r="AF56" s="587" t="s">
        <v>267</v>
      </c>
      <c r="AG56" s="584" t="s">
        <v>63</v>
      </c>
      <c r="AH56" s="580" t="s">
        <v>63</v>
      </c>
      <c r="AI56" s="580" t="s">
        <v>63</v>
      </c>
      <c r="AJ56" s="580" t="s">
        <v>63</v>
      </c>
      <c r="AK56" s="580" t="s">
        <v>63</v>
      </c>
      <c r="AL56" s="580" t="s">
        <v>63</v>
      </c>
      <c r="AM56" s="585" t="s">
        <v>63</v>
      </c>
      <c r="AN56" s="586" t="s">
        <v>434</v>
      </c>
      <c r="AO56" s="579" t="s">
        <v>71</v>
      </c>
      <c r="AP56" s="579" t="s">
        <v>72</v>
      </c>
      <c r="AQ56" s="579" t="s">
        <v>1929</v>
      </c>
      <c r="AR56" s="579" t="s">
        <v>435</v>
      </c>
      <c r="AS56" s="579"/>
      <c r="AT56" s="587"/>
      <c r="AU56" s="584" t="s">
        <v>2419</v>
      </c>
      <c r="AV56" s="578" t="s">
        <v>2255</v>
      </c>
      <c r="AW56" s="588">
        <v>44287</v>
      </c>
      <c r="AX56" s="588">
        <v>46112</v>
      </c>
      <c r="AY56" s="588" t="s">
        <v>270</v>
      </c>
      <c r="AZ56" s="589" t="s">
        <v>271</v>
      </c>
      <c r="BA56" s="589" t="s">
        <v>1065</v>
      </c>
      <c r="BB56" s="589" t="s">
        <v>445</v>
      </c>
      <c r="BC56" s="590">
        <v>2</v>
      </c>
      <c r="BD56" s="591"/>
    </row>
    <row r="57" spans="1:56" s="560" customFormat="1" ht="16.5" customHeight="1">
      <c r="A57" s="576">
        <v>2024</v>
      </c>
      <c r="B57" s="577" t="s">
        <v>447</v>
      </c>
      <c r="C57" s="577" t="s">
        <v>452</v>
      </c>
      <c r="D57" s="562" t="s">
        <v>2415</v>
      </c>
      <c r="E57" s="578" t="s">
        <v>252</v>
      </c>
      <c r="F57" s="579" t="s">
        <v>78</v>
      </c>
      <c r="G57" s="578" t="s">
        <v>180</v>
      </c>
      <c r="H57" s="579" t="s">
        <v>448</v>
      </c>
      <c r="I57" s="579" t="s">
        <v>58</v>
      </c>
      <c r="J57" s="579" t="s">
        <v>263</v>
      </c>
      <c r="K57" s="579" t="s">
        <v>264</v>
      </c>
      <c r="L57" s="578" t="s">
        <v>1928</v>
      </c>
      <c r="M57" s="580" t="s">
        <v>250</v>
      </c>
      <c r="N57" s="580" t="s">
        <v>250</v>
      </c>
      <c r="O57" s="581">
        <v>810.56</v>
      </c>
      <c r="P57" s="581">
        <v>315.3</v>
      </c>
      <c r="Q57" s="582"/>
      <c r="R57" s="579" t="s">
        <v>251</v>
      </c>
      <c r="S57" s="579" t="s">
        <v>65</v>
      </c>
      <c r="T57" s="580" t="s">
        <v>63</v>
      </c>
      <c r="U57" s="580" t="s">
        <v>63</v>
      </c>
      <c r="V57" s="580" t="s">
        <v>63</v>
      </c>
      <c r="W57" s="580" t="s">
        <v>63</v>
      </c>
      <c r="X57" s="580" t="s">
        <v>63</v>
      </c>
      <c r="Y57" s="580" t="s">
        <v>63</v>
      </c>
      <c r="Z57" s="580" t="s">
        <v>449</v>
      </c>
      <c r="AA57" s="578" t="s">
        <v>248</v>
      </c>
      <c r="AB57" s="580" t="s">
        <v>68</v>
      </c>
      <c r="AC57" s="579" t="s">
        <v>1929</v>
      </c>
      <c r="AD57" s="580" t="s">
        <v>68</v>
      </c>
      <c r="AE57" s="579"/>
      <c r="AF57" s="587" t="s">
        <v>267</v>
      </c>
      <c r="AG57" s="584" t="s">
        <v>63</v>
      </c>
      <c r="AH57" s="580" t="s">
        <v>1929</v>
      </c>
      <c r="AI57" s="580" t="s">
        <v>63</v>
      </c>
      <c r="AJ57" s="580" t="s">
        <v>1929</v>
      </c>
      <c r="AK57" s="580" t="s">
        <v>63</v>
      </c>
      <c r="AL57" s="580" t="s">
        <v>63</v>
      </c>
      <c r="AM57" s="585" t="s">
        <v>63</v>
      </c>
      <c r="AN57" s="586" t="s">
        <v>164</v>
      </c>
      <c r="AO57" s="579" t="s">
        <v>71</v>
      </c>
      <c r="AP57" s="579" t="s">
        <v>72</v>
      </c>
      <c r="AQ57" s="579" t="s">
        <v>1929</v>
      </c>
      <c r="AR57" s="579" t="s">
        <v>121</v>
      </c>
      <c r="AS57" s="579"/>
      <c r="AT57" s="587" t="s">
        <v>450</v>
      </c>
      <c r="AU57" s="584" t="s">
        <v>2419</v>
      </c>
      <c r="AV57" s="578" t="s">
        <v>2256</v>
      </c>
      <c r="AW57" s="588">
        <v>44287</v>
      </c>
      <c r="AX57" s="588">
        <v>46112</v>
      </c>
      <c r="AY57" s="588" t="s">
        <v>270</v>
      </c>
      <c r="AZ57" s="589" t="s">
        <v>271</v>
      </c>
      <c r="BA57" s="589" t="s">
        <v>1065</v>
      </c>
      <c r="BB57" s="589" t="s">
        <v>451</v>
      </c>
      <c r="BC57" s="590">
        <v>1</v>
      </c>
      <c r="BD57" s="591"/>
    </row>
    <row r="58" spans="1:56" s="560" customFormat="1" ht="16.5" customHeight="1">
      <c r="A58" s="576">
        <v>2024</v>
      </c>
      <c r="B58" s="577" t="s">
        <v>454</v>
      </c>
      <c r="C58" s="562" t="s">
        <v>453</v>
      </c>
      <c r="D58" s="562" t="s">
        <v>2415</v>
      </c>
      <c r="E58" s="578" t="s">
        <v>455</v>
      </c>
      <c r="F58" s="579" t="s">
        <v>78</v>
      </c>
      <c r="G58" s="578" t="s">
        <v>180</v>
      </c>
      <c r="H58" s="579" t="s">
        <v>456</v>
      </c>
      <c r="I58" s="579" t="s">
        <v>58</v>
      </c>
      <c r="J58" s="579" t="s">
        <v>263</v>
      </c>
      <c r="K58" s="579" t="s">
        <v>264</v>
      </c>
      <c r="L58" s="578" t="s">
        <v>265</v>
      </c>
      <c r="M58" s="580" t="s">
        <v>396</v>
      </c>
      <c r="N58" s="580" t="s">
        <v>396</v>
      </c>
      <c r="O58" s="581">
        <v>324.47000000000003</v>
      </c>
      <c r="P58" s="581">
        <v>179.34</v>
      </c>
      <c r="Q58" s="582"/>
      <c r="R58" s="579" t="s">
        <v>240</v>
      </c>
      <c r="S58" s="579" t="s">
        <v>151</v>
      </c>
      <c r="T58" s="580" t="s">
        <v>63</v>
      </c>
      <c r="U58" s="580" t="s">
        <v>63</v>
      </c>
      <c r="V58" s="580" t="s">
        <v>63</v>
      </c>
      <c r="W58" s="580" t="s">
        <v>63</v>
      </c>
      <c r="X58" s="580" t="s">
        <v>63</v>
      </c>
      <c r="Y58" s="580" t="s">
        <v>63</v>
      </c>
      <c r="Z58" s="580" t="s">
        <v>457</v>
      </c>
      <c r="AA58" s="578"/>
      <c r="AB58" s="580" t="s">
        <v>68</v>
      </c>
      <c r="AC58" s="579" t="s">
        <v>1929</v>
      </c>
      <c r="AD58" s="580" t="s">
        <v>68</v>
      </c>
      <c r="AE58" s="579"/>
      <c r="AF58" s="587" t="s">
        <v>267</v>
      </c>
      <c r="AG58" s="584" t="s">
        <v>63</v>
      </c>
      <c r="AH58" s="580" t="s">
        <v>1929</v>
      </c>
      <c r="AI58" s="580" t="s">
        <v>63</v>
      </c>
      <c r="AJ58" s="580" t="s">
        <v>1929</v>
      </c>
      <c r="AK58" s="580" t="s">
        <v>1929</v>
      </c>
      <c r="AL58" s="580" t="s">
        <v>1929</v>
      </c>
      <c r="AM58" s="585" t="s">
        <v>66</v>
      </c>
      <c r="AN58" s="586" t="s">
        <v>164</v>
      </c>
      <c r="AO58" s="579" t="s">
        <v>71</v>
      </c>
      <c r="AP58" s="579" t="s">
        <v>72</v>
      </c>
      <c r="AQ58" s="579" t="s">
        <v>1929</v>
      </c>
      <c r="AR58" s="579" t="s">
        <v>121</v>
      </c>
      <c r="AS58" s="579"/>
      <c r="AT58" s="587" t="s">
        <v>458</v>
      </c>
      <c r="AU58" s="584" t="s">
        <v>2419</v>
      </c>
      <c r="AV58" s="578" t="s">
        <v>459</v>
      </c>
      <c r="AW58" s="588">
        <v>44287</v>
      </c>
      <c r="AX58" s="588">
        <v>46112</v>
      </c>
      <c r="AY58" s="588" t="s">
        <v>270</v>
      </c>
      <c r="AZ58" s="589" t="s">
        <v>271</v>
      </c>
      <c r="BA58" s="589" t="s">
        <v>1065</v>
      </c>
      <c r="BB58" s="589" t="s">
        <v>288</v>
      </c>
      <c r="BC58" s="590">
        <v>2</v>
      </c>
      <c r="BD58" s="591"/>
    </row>
    <row r="59" spans="1:56" s="560" customFormat="1" ht="16.5" customHeight="1">
      <c r="A59" s="561">
        <v>2024</v>
      </c>
      <c r="B59" s="577" t="s">
        <v>461</v>
      </c>
      <c r="C59" s="577" t="s">
        <v>460</v>
      </c>
      <c r="D59" s="562" t="s">
        <v>2415</v>
      </c>
      <c r="E59" s="578" t="s">
        <v>462</v>
      </c>
      <c r="F59" s="579" t="s">
        <v>78</v>
      </c>
      <c r="G59" s="578" t="s">
        <v>180</v>
      </c>
      <c r="H59" s="579" t="s">
        <v>463</v>
      </c>
      <c r="I59" s="579" t="s">
        <v>58</v>
      </c>
      <c r="J59" s="579" t="s">
        <v>263</v>
      </c>
      <c r="K59" s="579" t="s">
        <v>264</v>
      </c>
      <c r="L59" s="578" t="s">
        <v>265</v>
      </c>
      <c r="M59" s="580" t="s">
        <v>299</v>
      </c>
      <c r="N59" s="580" t="s">
        <v>299</v>
      </c>
      <c r="O59" s="581">
        <v>242.27</v>
      </c>
      <c r="P59" s="581">
        <v>108.41</v>
      </c>
      <c r="Q59" s="582"/>
      <c r="R59" s="579" t="s">
        <v>240</v>
      </c>
      <c r="S59" s="579" t="s">
        <v>151</v>
      </c>
      <c r="T59" s="580" t="s">
        <v>63</v>
      </c>
      <c r="U59" s="580" t="s">
        <v>63</v>
      </c>
      <c r="V59" s="580" t="s">
        <v>63</v>
      </c>
      <c r="W59" s="580" t="s">
        <v>63</v>
      </c>
      <c r="X59" s="580" t="s">
        <v>63</v>
      </c>
      <c r="Y59" s="580" t="s">
        <v>63</v>
      </c>
      <c r="Z59" s="580" t="s">
        <v>464</v>
      </c>
      <c r="AA59" s="578"/>
      <c r="AB59" s="580" t="s">
        <v>68</v>
      </c>
      <c r="AC59" s="579" t="s">
        <v>1929</v>
      </c>
      <c r="AD59" s="580" t="s">
        <v>68</v>
      </c>
      <c r="AE59" s="579"/>
      <c r="AF59" s="587" t="s">
        <v>267</v>
      </c>
      <c r="AG59" s="584" t="s">
        <v>63</v>
      </c>
      <c r="AH59" s="580" t="s">
        <v>1929</v>
      </c>
      <c r="AI59" s="580" t="s">
        <v>63</v>
      </c>
      <c r="AJ59" s="580" t="s">
        <v>1929</v>
      </c>
      <c r="AK59" s="580" t="s">
        <v>1929</v>
      </c>
      <c r="AL59" s="580" t="s">
        <v>1929</v>
      </c>
      <c r="AM59" s="585" t="s">
        <v>66</v>
      </c>
      <c r="AN59" s="586" t="s">
        <v>120</v>
      </c>
      <c r="AO59" s="579" t="s">
        <v>71</v>
      </c>
      <c r="AP59" s="579" t="s">
        <v>72</v>
      </c>
      <c r="AQ59" s="579" t="s">
        <v>1929</v>
      </c>
      <c r="AR59" s="579" t="s">
        <v>121</v>
      </c>
      <c r="AS59" s="579"/>
      <c r="AT59" s="587"/>
      <c r="AU59" s="584" t="s">
        <v>2419</v>
      </c>
      <c r="AV59" s="578" t="s">
        <v>465</v>
      </c>
      <c r="AW59" s="588">
        <v>44287</v>
      </c>
      <c r="AX59" s="588">
        <v>46112</v>
      </c>
      <c r="AY59" s="588" t="s">
        <v>270</v>
      </c>
      <c r="AZ59" s="589" t="s">
        <v>271</v>
      </c>
      <c r="BA59" s="589" t="s">
        <v>1065</v>
      </c>
      <c r="BB59" s="589" t="s">
        <v>300</v>
      </c>
      <c r="BC59" s="590">
        <v>1</v>
      </c>
      <c r="BD59" s="591"/>
    </row>
    <row r="60" spans="1:56" s="560" customFormat="1" ht="16.5" customHeight="1">
      <c r="A60" s="576">
        <v>2024</v>
      </c>
      <c r="B60" s="577" t="s">
        <v>467</v>
      </c>
      <c r="C60" s="562" t="s">
        <v>466</v>
      </c>
      <c r="D60" s="562" t="s">
        <v>2415</v>
      </c>
      <c r="E60" s="578" t="s">
        <v>468</v>
      </c>
      <c r="F60" s="579" t="s">
        <v>78</v>
      </c>
      <c r="G60" s="578" t="s">
        <v>180</v>
      </c>
      <c r="H60" s="579" t="s">
        <v>469</v>
      </c>
      <c r="I60" s="579" t="s">
        <v>58</v>
      </c>
      <c r="J60" s="579" t="s">
        <v>263</v>
      </c>
      <c r="K60" s="579" t="s">
        <v>264</v>
      </c>
      <c r="L60" s="578" t="s">
        <v>265</v>
      </c>
      <c r="M60" s="580" t="s">
        <v>299</v>
      </c>
      <c r="N60" s="580" t="s">
        <v>299</v>
      </c>
      <c r="O60" s="581">
        <v>297.49</v>
      </c>
      <c r="P60" s="581">
        <v>109.7</v>
      </c>
      <c r="Q60" s="582"/>
      <c r="R60" s="579" t="s">
        <v>240</v>
      </c>
      <c r="S60" s="579" t="s">
        <v>151</v>
      </c>
      <c r="T60" s="580" t="s">
        <v>66</v>
      </c>
      <c r="U60" s="580" t="s">
        <v>63</v>
      </c>
      <c r="V60" s="580" t="s">
        <v>63</v>
      </c>
      <c r="W60" s="580" t="s">
        <v>63</v>
      </c>
      <c r="X60" s="580" t="s">
        <v>63</v>
      </c>
      <c r="Y60" s="580" t="s">
        <v>66</v>
      </c>
      <c r="Z60" s="580" t="s">
        <v>66</v>
      </c>
      <c r="AA60" s="578"/>
      <c r="AB60" s="580" t="s">
        <v>68</v>
      </c>
      <c r="AC60" s="579" t="s">
        <v>1929</v>
      </c>
      <c r="AD60" s="580" t="s">
        <v>68</v>
      </c>
      <c r="AE60" s="579"/>
      <c r="AF60" s="587" t="s">
        <v>267</v>
      </c>
      <c r="AG60" s="584" t="s">
        <v>63</v>
      </c>
      <c r="AH60" s="580" t="s">
        <v>1929</v>
      </c>
      <c r="AI60" s="580" t="s">
        <v>63</v>
      </c>
      <c r="AJ60" s="580" t="s">
        <v>1929</v>
      </c>
      <c r="AK60" s="580" t="s">
        <v>63</v>
      </c>
      <c r="AL60" s="580" t="s">
        <v>1929</v>
      </c>
      <c r="AM60" s="585" t="s">
        <v>66</v>
      </c>
      <c r="AN60" s="586" t="s">
        <v>164</v>
      </c>
      <c r="AO60" s="579" t="s">
        <v>71</v>
      </c>
      <c r="AP60" s="579" t="s">
        <v>72</v>
      </c>
      <c r="AQ60" s="579" t="s">
        <v>1929</v>
      </c>
      <c r="AR60" s="579" t="s">
        <v>121</v>
      </c>
      <c r="AS60" s="579"/>
      <c r="AT60" s="587"/>
      <c r="AU60" s="584" t="s">
        <v>2419</v>
      </c>
      <c r="AV60" s="578" t="s">
        <v>470</v>
      </c>
      <c r="AW60" s="588">
        <v>44287</v>
      </c>
      <c r="AX60" s="588">
        <v>46112</v>
      </c>
      <c r="AY60" s="588" t="s">
        <v>270</v>
      </c>
      <c r="AZ60" s="589" t="s">
        <v>271</v>
      </c>
      <c r="BA60" s="589" t="s">
        <v>1065</v>
      </c>
      <c r="BB60" s="589" t="s">
        <v>358</v>
      </c>
      <c r="BC60" s="590">
        <v>0</v>
      </c>
      <c r="BD60" s="591"/>
    </row>
    <row r="61" spans="1:56" s="560" customFormat="1" ht="16.5" customHeight="1">
      <c r="A61" s="576">
        <v>2024</v>
      </c>
      <c r="B61" s="577" t="s">
        <v>471</v>
      </c>
      <c r="C61" s="577" t="s">
        <v>56</v>
      </c>
      <c r="D61" s="562" t="s">
        <v>2415</v>
      </c>
      <c r="E61" s="578" t="s">
        <v>472</v>
      </c>
      <c r="F61" s="579" t="s">
        <v>78</v>
      </c>
      <c r="G61" s="578" t="s">
        <v>180</v>
      </c>
      <c r="H61" s="579" t="s">
        <v>473</v>
      </c>
      <c r="I61" s="579" t="s">
        <v>58</v>
      </c>
      <c r="J61" s="579" t="s">
        <v>263</v>
      </c>
      <c r="K61" s="579" t="s">
        <v>264</v>
      </c>
      <c r="L61" s="578" t="s">
        <v>265</v>
      </c>
      <c r="M61" s="580" t="s">
        <v>149</v>
      </c>
      <c r="N61" s="580" t="s">
        <v>149</v>
      </c>
      <c r="O61" s="581">
        <v>1126.42</v>
      </c>
      <c r="P61" s="581">
        <v>794.28</v>
      </c>
      <c r="Q61" s="582"/>
      <c r="R61" s="579" t="s">
        <v>93</v>
      </c>
      <c r="S61" s="579" t="s">
        <v>151</v>
      </c>
      <c r="T61" s="580" t="s">
        <v>63</v>
      </c>
      <c r="U61" s="580" t="s">
        <v>63</v>
      </c>
      <c r="V61" s="580" t="s">
        <v>66</v>
      </c>
      <c r="W61" s="580" t="s">
        <v>63</v>
      </c>
      <c r="X61" s="580" t="s">
        <v>63</v>
      </c>
      <c r="Y61" s="580" t="s">
        <v>66</v>
      </c>
      <c r="Z61" s="580" t="s">
        <v>66</v>
      </c>
      <c r="AA61" s="578"/>
      <c r="AB61" s="580" t="s">
        <v>68</v>
      </c>
      <c r="AC61" s="579" t="s">
        <v>1929</v>
      </c>
      <c r="AD61" s="580" t="s">
        <v>68</v>
      </c>
      <c r="AE61" s="579"/>
      <c r="AF61" s="587" t="s">
        <v>267</v>
      </c>
      <c r="AG61" s="584" t="s">
        <v>63</v>
      </c>
      <c r="AH61" s="580" t="s">
        <v>63</v>
      </c>
      <c r="AI61" s="580" t="s">
        <v>63</v>
      </c>
      <c r="AJ61" s="580" t="s">
        <v>1929</v>
      </c>
      <c r="AK61" s="580" t="s">
        <v>63</v>
      </c>
      <c r="AL61" s="580" t="s">
        <v>63</v>
      </c>
      <c r="AM61" s="585" t="s">
        <v>66</v>
      </c>
      <c r="AN61" s="586" t="s">
        <v>70</v>
      </c>
      <c r="AO61" s="579" t="s">
        <v>71</v>
      </c>
      <c r="AP61" s="579" t="s">
        <v>72</v>
      </c>
      <c r="AQ61" s="579" t="s">
        <v>1929</v>
      </c>
      <c r="AR61" s="579" t="s">
        <v>73</v>
      </c>
      <c r="AS61" s="579"/>
      <c r="AT61" s="587"/>
      <c r="AU61" s="584" t="s">
        <v>2419</v>
      </c>
      <c r="AV61" s="578" t="s">
        <v>474</v>
      </c>
      <c r="AW61" s="588">
        <v>44287</v>
      </c>
      <c r="AX61" s="588">
        <v>46112</v>
      </c>
      <c r="AY61" s="588" t="s">
        <v>270</v>
      </c>
      <c r="AZ61" s="589" t="s">
        <v>271</v>
      </c>
      <c r="BA61" s="589" t="s">
        <v>1065</v>
      </c>
      <c r="BB61" s="589" t="s">
        <v>2257</v>
      </c>
      <c r="BC61" s="590">
        <v>3</v>
      </c>
      <c r="BD61" s="591"/>
    </row>
    <row r="62" spans="1:56" s="560" customFormat="1" ht="16.5" customHeight="1">
      <c r="A62" s="561">
        <v>2024</v>
      </c>
      <c r="B62" s="577" t="s">
        <v>476</v>
      </c>
      <c r="C62" s="562" t="s">
        <v>475</v>
      </c>
      <c r="D62" s="562" t="s">
        <v>2415</v>
      </c>
      <c r="E62" s="578" t="s">
        <v>477</v>
      </c>
      <c r="F62" s="579" t="s">
        <v>78</v>
      </c>
      <c r="G62" s="578" t="s">
        <v>180</v>
      </c>
      <c r="H62" s="579" t="s">
        <v>478</v>
      </c>
      <c r="I62" s="579" t="s">
        <v>58</v>
      </c>
      <c r="J62" s="579" t="s">
        <v>263</v>
      </c>
      <c r="K62" s="579" t="s">
        <v>264</v>
      </c>
      <c r="L62" s="578" t="s">
        <v>265</v>
      </c>
      <c r="M62" s="580" t="s">
        <v>160</v>
      </c>
      <c r="N62" s="580" t="s">
        <v>160</v>
      </c>
      <c r="O62" s="581">
        <v>331.815</v>
      </c>
      <c r="P62" s="581">
        <v>314.60000000000002</v>
      </c>
      <c r="Q62" s="582"/>
      <c r="R62" s="579" t="s">
        <v>93</v>
      </c>
      <c r="S62" s="579" t="s">
        <v>151</v>
      </c>
      <c r="T62" s="580" t="s">
        <v>63</v>
      </c>
      <c r="U62" s="580" t="s">
        <v>63</v>
      </c>
      <c r="V62" s="580" t="s">
        <v>66</v>
      </c>
      <c r="W62" s="580" t="s">
        <v>63</v>
      </c>
      <c r="X62" s="580" t="s">
        <v>63</v>
      </c>
      <c r="Y62" s="580" t="s">
        <v>63</v>
      </c>
      <c r="Z62" s="580" t="s">
        <v>479</v>
      </c>
      <c r="AA62" s="578"/>
      <c r="AB62" s="580" t="s">
        <v>68</v>
      </c>
      <c r="AC62" s="579" t="s">
        <v>1929</v>
      </c>
      <c r="AD62" s="580" t="s">
        <v>68</v>
      </c>
      <c r="AE62" s="579"/>
      <c r="AF62" s="587" t="s">
        <v>267</v>
      </c>
      <c r="AG62" s="584" t="s">
        <v>63</v>
      </c>
      <c r="AH62" s="580" t="s">
        <v>1929</v>
      </c>
      <c r="AI62" s="580" t="s">
        <v>63</v>
      </c>
      <c r="AJ62" s="580" t="s">
        <v>1929</v>
      </c>
      <c r="AK62" s="580" t="s">
        <v>63</v>
      </c>
      <c r="AL62" s="580" t="s">
        <v>1929</v>
      </c>
      <c r="AM62" s="585" t="s">
        <v>66</v>
      </c>
      <c r="AN62" s="586" t="s">
        <v>95</v>
      </c>
      <c r="AO62" s="579" t="s">
        <v>71</v>
      </c>
      <c r="AP62" s="579" t="s">
        <v>72</v>
      </c>
      <c r="AQ62" s="579" t="s">
        <v>1929</v>
      </c>
      <c r="AR62" s="579" t="s">
        <v>73</v>
      </c>
      <c r="AS62" s="579"/>
      <c r="AT62" s="587"/>
      <c r="AU62" s="584" t="s">
        <v>2419</v>
      </c>
      <c r="AV62" s="578" t="s">
        <v>480</v>
      </c>
      <c r="AW62" s="588">
        <v>44287</v>
      </c>
      <c r="AX62" s="588">
        <v>46112</v>
      </c>
      <c r="AY62" s="588" t="s">
        <v>270</v>
      </c>
      <c r="AZ62" s="589" t="s">
        <v>271</v>
      </c>
      <c r="BA62" s="589" t="s">
        <v>1065</v>
      </c>
      <c r="BB62" s="589" t="s">
        <v>378</v>
      </c>
      <c r="BC62" s="590">
        <v>1</v>
      </c>
      <c r="BD62" s="591"/>
    </row>
    <row r="63" spans="1:56" s="560" customFormat="1" ht="16.5" customHeight="1">
      <c r="A63" s="576">
        <v>2024</v>
      </c>
      <c r="B63" s="577" t="s">
        <v>482</v>
      </c>
      <c r="C63" s="577" t="s">
        <v>481</v>
      </c>
      <c r="D63" s="562" t="s">
        <v>2415</v>
      </c>
      <c r="E63" s="578" t="s">
        <v>483</v>
      </c>
      <c r="F63" s="579" t="s">
        <v>78</v>
      </c>
      <c r="G63" s="578" t="s">
        <v>180</v>
      </c>
      <c r="H63" s="579" t="s">
        <v>484</v>
      </c>
      <c r="I63" s="579" t="s">
        <v>58</v>
      </c>
      <c r="J63" s="579" t="s">
        <v>263</v>
      </c>
      <c r="K63" s="579" t="s">
        <v>264</v>
      </c>
      <c r="L63" s="578" t="s">
        <v>265</v>
      </c>
      <c r="M63" s="580" t="s">
        <v>286</v>
      </c>
      <c r="N63" s="580" t="s">
        <v>286</v>
      </c>
      <c r="O63" s="581">
        <v>296.36</v>
      </c>
      <c r="P63" s="581">
        <v>113.79</v>
      </c>
      <c r="Q63" s="582"/>
      <c r="R63" s="579" t="s">
        <v>93</v>
      </c>
      <c r="S63" s="579" t="s">
        <v>151</v>
      </c>
      <c r="T63" s="580" t="s">
        <v>63</v>
      </c>
      <c r="U63" s="580" t="s">
        <v>63</v>
      </c>
      <c r="V63" s="580" t="s">
        <v>66</v>
      </c>
      <c r="W63" s="580" t="s">
        <v>63</v>
      </c>
      <c r="X63" s="580" t="s">
        <v>63</v>
      </c>
      <c r="Y63" s="580" t="s">
        <v>66</v>
      </c>
      <c r="Z63" s="580" t="s">
        <v>66</v>
      </c>
      <c r="AA63" s="578"/>
      <c r="AB63" s="580" t="s">
        <v>68</v>
      </c>
      <c r="AC63" s="579" t="s">
        <v>1929</v>
      </c>
      <c r="AD63" s="580" t="s">
        <v>68</v>
      </c>
      <c r="AE63" s="579"/>
      <c r="AF63" s="587" t="s">
        <v>267</v>
      </c>
      <c r="AG63" s="584" t="s">
        <v>63</v>
      </c>
      <c r="AH63" s="580" t="s">
        <v>1929</v>
      </c>
      <c r="AI63" s="580" t="s">
        <v>63</v>
      </c>
      <c r="AJ63" s="580"/>
      <c r="AK63" s="580" t="s">
        <v>63</v>
      </c>
      <c r="AL63" s="580" t="s">
        <v>1929</v>
      </c>
      <c r="AM63" s="585" t="s">
        <v>66</v>
      </c>
      <c r="AN63" s="586" t="s">
        <v>164</v>
      </c>
      <c r="AO63" s="579" t="s">
        <v>71</v>
      </c>
      <c r="AP63" s="579" t="s">
        <v>72</v>
      </c>
      <c r="AQ63" s="579" t="s">
        <v>1929</v>
      </c>
      <c r="AR63" s="579" t="s">
        <v>121</v>
      </c>
      <c r="AS63" s="579"/>
      <c r="AT63" s="587"/>
      <c r="AU63" s="584" t="s">
        <v>2419</v>
      </c>
      <c r="AV63" s="578" t="s">
        <v>485</v>
      </c>
      <c r="AW63" s="588">
        <v>44287</v>
      </c>
      <c r="AX63" s="588">
        <v>46112</v>
      </c>
      <c r="AY63" s="588" t="s">
        <v>270</v>
      </c>
      <c r="AZ63" s="589" t="s">
        <v>271</v>
      </c>
      <c r="BA63" s="589" t="s">
        <v>1065</v>
      </c>
      <c r="BB63" s="589" t="s">
        <v>288</v>
      </c>
      <c r="BC63" s="590">
        <v>0</v>
      </c>
      <c r="BD63" s="591"/>
    </row>
    <row r="64" spans="1:56" s="560" customFormat="1" ht="16.5" customHeight="1">
      <c r="A64" s="576">
        <v>2024</v>
      </c>
      <c r="B64" s="577" t="s">
        <v>487</v>
      </c>
      <c r="C64" s="562" t="s">
        <v>486</v>
      </c>
      <c r="D64" s="562" t="s">
        <v>2415</v>
      </c>
      <c r="E64" s="578" t="s">
        <v>488</v>
      </c>
      <c r="F64" s="579" t="s">
        <v>78</v>
      </c>
      <c r="G64" s="578" t="s">
        <v>180</v>
      </c>
      <c r="H64" s="579" t="s">
        <v>489</v>
      </c>
      <c r="I64" s="579" t="s">
        <v>58</v>
      </c>
      <c r="J64" s="579" t="s">
        <v>263</v>
      </c>
      <c r="K64" s="579" t="s">
        <v>264</v>
      </c>
      <c r="L64" s="578" t="s">
        <v>265</v>
      </c>
      <c r="M64" s="580" t="s">
        <v>286</v>
      </c>
      <c r="N64" s="580" t="s">
        <v>286</v>
      </c>
      <c r="O64" s="581">
        <v>432</v>
      </c>
      <c r="P64" s="581">
        <v>313.06</v>
      </c>
      <c r="Q64" s="582"/>
      <c r="R64" s="579" t="s">
        <v>93</v>
      </c>
      <c r="S64" s="579" t="s">
        <v>151</v>
      </c>
      <c r="T64" s="580" t="s">
        <v>63</v>
      </c>
      <c r="U64" s="580" t="s">
        <v>63</v>
      </c>
      <c r="V64" s="580" t="s">
        <v>66</v>
      </c>
      <c r="W64" s="580" t="s">
        <v>63</v>
      </c>
      <c r="X64" s="580" t="s">
        <v>63</v>
      </c>
      <c r="Y64" s="580" t="s">
        <v>63</v>
      </c>
      <c r="Z64" s="580" t="s">
        <v>490</v>
      </c>
      <c r="AA64" s="578"/>
      <c r="AB64" s="580" t="s">
        <v>68</v>
      </c>
      <c r="AC64" s="579" t="s">
        <v>1929</v>
      </c>
      <c r="AD64" s="580" t="s">
        <v>68</v>
      </c>
      <c r="AE64" s="579"/>
      <c r="AF64" s="587" t="s">
        <v>267</v>
      </c>
      <c r="AG64" s="584" t="s">
        <v>63</v>
      </c>
      <c r="AH64" s="580" t="s">
        <v>1929</v>
      </c>
      <c r="AI64" s="580" t="s">
        <v>63</v>
      </c>
      <c r="AJ64" s="580" t="s">
        <v>1929</v>
      </c>
      <c r="AK64" s="580" t="s">
        <v>63</v>
      </c>
      <c r="AL64" s="580" t="s">
        <v>63</v>
      </c>
      <c r="AM64" s="585" t="s">
        <v>66</v>
      </c>
      <c r="AN64" s="586" t="s">
        <v>120</v>
      </c>
      <c r="AO64" s="579" t="s">
        <v>71</v>
      </c>
      <c r="AP64" s="579" t="s">
        <v>72</v>
      </c>
      <c r="AQ64" s="579" t="s">
        <v>1929</v>
      </c>
      <c r="AR64" s="579" t="s">
        <v>121</v>
      </c>
      <c r="AS64" s="579"/>
      <c r="AT64" s="587"/>
      <c r="AU64" s="584" t="s">
        <v>2419</v>
      </c>
      <c r="AV64" s="578" t="s">
        <v>491</v>
      </c>
      <c r="AW64" s="588">
        <v>44287</v>
      </c>
      <c r="AX64" s="588">
        <v>46112</v>
      </c>
      <c r="AY64" s="588" t="s">
        <v>270</v>
      </c>
      <c r="AZ64" s="589" t="s">
        <v>271</v>
      </c>
      <c r="BA64" s="589" t="s">
        <v>1065</v>
      </c>
      <c r="BB64" s="589" t="s">
        <v>281</v>
      </c>
      <c r="BC64" s="590">
        <v>4</v>
      </c>
      <c r="BD64" s="591"/>
    </row>
    <row r="65" spans="1:56" s="560" customFormat="1" ht="16.5" customHeight="1">
      <c r="A65" s="561">
        <v>2024</v>
      </c>
      <c r="B65" s="577" t="s">
        <v>493</v>
      </c>
      <c r="C65" s="577" t="s">
        <v>492</v>
      </c>
      <c r="D65" s="562" t="s">
        <v>2415</v>
      </c>
      <c r="E65" s="578" t="s">
        <v>494</v>
      </c>
      <c r="F65" s="579" t="s">
        <v>78</v>
      </c>
      <c r="G65" s="578" t="s">
        <v>180</v>
      </c>
      <c r="H65" s="579" t="s">
        <v>495</v>
      </c>
      <c r="I65" s="579" t="s">
        <v>58</v>
      </c>
      <c r="J65" s="579" t="s">
        <v>263</v>
      </c>
      <c r="K65" s="579" t="s">
        <v>264</v>
      </c>
      <c r="L65" s="578" t="s">
        <v>265</v>
      </c>
      <c r="M65" s="580" t="s">
        <v>144</v>
      </c>
      <c r="N65" s="580" t="s">
        <v>144</v>
      </c>
      <c r="O65" s="581">
        <v>532.6</v>
      </c>
      <c r="P65" s="581">
        <v>310.32</v>
      </c>
      <c r="Q65" s="582"/>
      <c r="R65" s="579" t="s">
        <v>93</v>
      </c>
      <c r="S65" s="579" t="s">
        <v>151</v>
      </c>
      <c r="T65" s="580" t="s">
        <v>63</v>
      </c>
      <c r="U65" s="580" t="s">
        <v>63</v>
      </c>
      <c r="V65" s="580" t="s">
        <v>63</v>
      </c>
      <c r="W65" s="580" t="s">
        <v>63</v>
      </c>
      <c r="X65" s="580" t="s">
        <v>63</v>
      </c>
      <c r="Y65" s="580" t="s">
        <v>63</v>
      </c>
      <c r="Z65" s="580" t="s">
        <v>496</v>
      </c>
      <c r="AA65" s="578"/>
      <c r="AB65" s="580" t="s">
        <v>68</v>
      </c>
      <c r="AC65" s="579" t="s">
        <v>1929</v>
      </c>
      <c r="AD65" s="580" t="s">
        <v>68</v>
      </c>
      <c r="AE65" s="579"/>
      <c r="AF65" s="587" t="s">
        <v>267</v>
      </c>
      <c r="AG65" s="584" t="s">
        <v>63</v>
      </c>
      <c r="AH65" s="580" t="s">
        <v>1929</v>
      </c>
      <c r="AI65" s="580" t="s">
        <v>63</v>
      </c>
      <c r="AJ65" s="580" t="s">
        <v>1929</v>
      </c>
      <c r="AK65" s="580" t="s">
        <v>63</v>
      </c>
      <c r="AL65" s="580" t="s">
        <v>1929</v>
      </c>
      <c r="AM65" s="585" t="s">
        <v>66</v>
      </c>
      <c r="AN65" s="586" t="s">
        <v>120</v>
      </c>
      <c r="AO65" s="579" t="s">
        <v>71</v>
      </c>
      <c r="AP65" s="579" t="s">
        <v>72</v>
      </c>
      <c r="AQ65" s="579" t="s">
        <v>1929</v>
      </c>
      <c r="AR65" s="579" t="s">
        <v>121</v>
      </c>
      <c r="AS65" s="579"/>
      <c r="AT65" s="587"/>
      <c r="AU65" s="584" t="s">
        <v>2419</v>
      </c>
      <c r="AV65" s="578" t="s">
        <v>497</v>
      </c>
      <c r="AW65" s="588">
        <v>44287</v>
      </c>
      <c r="AX65" s="588">
        <v>46112</v>
      </c>
      <c r="AY65" s="588" t="s">
        <v>270</v>
      </c>
      <c r="AZ65" s="589" t="s">
        <v>271</v>
      </c>
      <c r="BA65" s="589" t="s">
        <v>1065</v>
      </c>
      <c r="BB65" s="589" t="s">
        <v>498</v>
      </c>
      <c r="BC65" s="590">
        <v>0</v>
      </c>
      <c r="BD65" s="591"/>
    </row>
    <row r="66" spans="1:56" s="560" customFormat="1" ht="16.5" customHeight="1">
      <c r="A66" s="576">
        <v>2024</v>
      </c>
      <c r="B66" s="577" t="s">
        <v>500</v>
      </c>
      <c r="C66" s="562" t="s">
        <v>499</v>
      </c>
      <c r="D66" s="562" t="s">
        <v>2415</v>
      </c>
      <c r="E66" s="578" t="s">
        <v>501</v>
      </c>
      <c r="F66" s="579" t="s">
        <v>78</v>
      </c>
      <c r="G66" s="578" t="s">
        <v>180</v>
      </c>
      <c r="H66" s="579" t="s">
        <v>502</v>
      </c>
      <c r="I66" s="579" t="s">
        <v>58</v>
      </c>
      <c r="J66" s="579" t="s">
        <v>263</v>
      </c>
      <c r="K66" s="579" t="s">
        <v>264</v>
      </c>
      <c r="L66" s="578" t="s">
        <v>265</v>
      </c>
      <c r="M66" s="580" t="s">
        <v>160</v>
      </c>
      <c r="N66" s="580" t="s">
        <v>160</v>
      </c>
      <c r="O66" s="581">
        <v>599.23</v>
      </c>
      <c r="P66" s="581">
        <v>129</v>
      </c>
      <c r="Q66" s="582"/>
      <c r="R66" s="579" t="s">
        <v>503</v>
      </c>
      <c r="S66" s="579" t="s">
        <v>151</v>
      </c>
      <c r="T66" s="580" t="s">
        <v>63</v>
      </c>
      <c r="U66" s="580" t="s">
        <v>63</v>
      </c>
      <c r="V66" s="580" t="s">
        <v>66</v>
      </c>
      <c r="W66" s="580" t="s">
        <v>63</v>
      </c>
      <c r="X66" s="580" t="s">
        <v>63</v>
      </c>
      <c r="Y66" s="580" t="s">
        <v>66</v>
      </c>
      <c r="Z66" s="580" t="s">
        <v>66</v>
      </c>
      <c r="AA66" s="578"/>
      <c r="AB66" s="580" t="s">
        <v>68</v>
      </c>
      <c r="AC66" s="579" t="s">
        <v>1929</v>
      </c>
      <c r="AD66" s="580" t="s">
        <v>68</v>
      </c>
      <c r="AE66" s="579"/>
      <c r="AF66" s="587" t="s">
        <v>267</v>
      </c>
      <c r="AG66" s="584" t="s">
        <v>63</v>
      </c>
      <c r="AH66" s="580" t="s">
        <v>1929</v>
      </c>
      <c r="AI66" s="580" t="s">
        <v>63</v>
      </c>
      <c r="AJ66" s="580" t="s">
        <v>1929</v>
      </c>
      <c r="AK66" s="580" t="s">
        <v>63</v>
      </c>
      <c r="AL66" s="580" t="s">
        <v>1929</v>
      </c>
      <c r="AM66" s="585" t="s">
        <v>66</v>
      </c>
      <c r="AN66" s="586" t="s">
        <v>120</v>
      </c>
      <c r="AO66" s="579" t="s">
        <v>71</v>
      </c>
      <c r="AP66" s="579" t="s">
        <v>72</v>
      </c>
      <c r="AQ66" s="579" t="s">
        <v>1929</v>
      </c>
      <c r="AR66" s="579" t="s">
        <v>121</v>
      </c>
      <c r="AS66" s="579"/>
      <c r="AT66" s="587"/>
      <c r="AU66" s="584" t="s">
        <v>2419</v>
      </c>
      <c r="AV66" s="578" t="s">
        <v>504</v>
      </c>
      <c r="AW66" s="588">
        <v>44287</v>
      </c>
      <c r="AX66" s="588">
        <v>46112</v>
      </c>
      <c r="AY66" s="588" t="s">
        <v>270</v>
      </c>
      <c r="AZ66" s="589" t="s">
        <v>271</v>
      </c>
      <c r="BA66" s="589" t="s">
        <v>1065</v>
      </c>
      <c r="BB66" s="589" t="s">
        <v>276</v>
      </c>
      <c r="BC66" s="590">
        <v>1</v>
      </c>
      <c r="BD66" s="591"/>
    </row>
    <row r="67" spans="1:56" s="560" customFormat="1" ht="16.5" customHeight="1">
      <c r="A67" s="576">
        <v>2024</v>
      </c>
      <c r="B67" s="577" t="s">
        <v>506</v>
      </c>
      <c r="C67" s="577" t="s">
        <v>505</v>
      </c>
      <c r="D67" s="562" t="s">
        <v>2415</v>
      </c>
      <c r="E67" s="578" t="s">
        <v>507</v>
      </c>
      <c r="F67" s="579" t="s">
        <v>78</v>
      </c>
      <c r="G67" s="578" t="s">
        <v>180</v>
      </c>
      <c r="H67" s="579" t="s">
        <v>508</v>
      </c>
      <c r="I67" s="579" t="s">
        <v>58</v>
      </c>
      <c r="J67" s="579" t="s">
        <v>263</v>
      </c>
      <c r="K67" s="579" t="s">
        <v>264</v>
      </c>
      <c r="L67" s="578" t="s">
        <v>265</v>
      </c>
      <c r="M67" s="580" t="s">
        <v>509</v>
      </c>
      <c r="N67" s="580" t="s">
        <v>509</v>
      </c>
      <c r="O67" s="581">
        <v>661.65</v>
      </c>
      <c r="P67" s="581">
        <v>312.98</v>
      </c>
      <c r="Q67" s="582"/>
      <c r="R67" s="579" t="s">
        <v>503</v>
      </c>
      <c r="S67" s="579" t="s">
        <v>151</v>
      </c>
      <c r="T67" s="580" t="s">
        <v>63</v>
      </c>
      <c r="U67" s="580" t="s">
        <v>63</v>
      </c>
      <c r="V67" s="580" t="s">
        <v>66</v>
      </c>
      <c r="W67" s="580" t="s">
        <v>63</v>
      </c>
      <c r="X67" s="580" t="s">
        <v>63</v>
      </c>
      <c r="Y67" s="580" t="s">
        <v>63</v>
      </c>
      <c r="Z67" s="580" t="s">
        <v>510</v>
      </c>
      <c r="AA67" s="578"/>
      <c r="AB67" s="580" t="s">
        <v>68</v>
      </c>
      <c r="AC67" s="579" t="s">
        <v>1929</v>
      </c>
      <c r="AD67" s="580" t="s">
        <v>68</v>
      </c>
      <c r="AE67" s="579"/>
      <c r="AF67" s="587" t="s">
        <v>267</v>
      </c>
      <c r="AG67" s="584" t="s">
        <v>63</v>
      </c>
      <c r="AH67" s="580" t="s">
        <v>1929</v>
      </c>
      <c r="AI67" s="580" t="s">
        <v>63</v>
      </c>
      <c r="AJ67" s="580"/>
      <c r="AK67" s="580" t="s">
        <v>63</v>
      </c>
      <c r="AL67" s="580" t="s">
        <v>1929</v>
      </c>
      <c r="AM67" s="585" t="s">
        <v>66</v>
      </c>
      <c r="AN67" s="586" t="s">
        <v>164</v>
      </c>
      <c r="AO67" s="579" t="s">
        <v>71</v>
      </c>
      <c r="AP67" s="579" t="s">
        <v>72</v>
      </c>
      <c r="AQ67" s="579" t="s">
        <v>1929</v>
      </c>
      <c r="AR67" s="579" t="s">
        <v>121</v>
      </c>
      <c r="AS67" s="579"/>
      <c r="AT67" s="587" t="s">
        <v>511</v>
      </c>
      <c r="AU67" s="584" t="s">
        <v>2419</v>
      </c>
      <c r="AV67" s="578" t="s">
        <v>512</v>
      </c>
      <c r="AW67" s="588">
        <v>44287</v>
      </c>
      <c r="AX67" s="588">
        <v>46112</v>
      </c>
      <c r="AY67" s="588" t="s">
        <v>270</v>
      </c>
      <c r="AZ67" s="589" t="s">
        <v>271</v>
      </c>
      <c r="BA67" s="589" t="s">
        <v>1065</v>
      </c>
      <c r="BB67" s="589" t="s">
        <v>316</v>
      </c>
      <c r="BC67" s="590">
        <v>0</v>
      </c>
      <c r="BD67" s="591"/>
    </row>
    <row r="68" spans="1:56" s="560" customFormat="1" ht="16.5" customHeight="1">
      <c r="A68" s="561">
        <v>2024</v>
      </c>
      <c r="B68" s="577" t="s">
        <v>514</v>
      </c>
      <c r="C68" s="562" t="s">
        <v>513</v>
      </c>
      <c r="D68" s="562" t="s">
        <v>2415</v>
      </c>
      <c r="E68" s="578" t="s">
        <v>515</v>
      </c>
      <c r="F68" s="579" t="s">
        <v>78</v>
      </c>
      <c r="G68" s="578" t="s">
        <v>180</v>
      </c>
      <c r="H68" s="579" t="s">
        <v>516</v>
      </c>
      <c r="I68" s="579" t="s">
        <v>58</v>
      </c>
      <c r="J68" s="579" t="s">
        <v>263</v>
      </c>
      <c r="K68" s="579" t="s">
        <v>264</v>
      </c>
      <c r="L68" s="578" t="s">
        <v>265</v>
      </c>
      <c r="M68" s="580" t="s">
        <v>350</v>
      </c>
      <c r="N68" s="580" t="s">
        <v>350</v>
      </c>
      <c r="O68" s="581">
        <v>313.74</v>
      </c>
      <c r="P68" s="581">
        <v>317.2</v>
      </c>
      <c r="Q68" s="582"/>
      <c r="R68" s="579" t="s">
        <v>503</v>
      </c>
      <c r="S68" s="579" t="s">
        <v>151</v>
      </c>
      <c r="T68" s="580" t="s">
        <v>63</v>
      </c>
      <c r="U68" s="580" t="s">
        <v>63</v>
      </c>
      <c r="V68" s="580" t="s">
        <v>63</v>
      </c>
      <c r="W68" s="580" t="s">
        <v>63</v>
      </c>
      <c r="X68" s="580" t="s">
        <v>63</v>
      </c>
      <c r="Y68" s="580" t="s">
        <v>66</v>
      </c>
      <c r="Z68" s="580" t="s">
        <v>66</v>
      </c>
      <c r="AA68" s="578"/>
      <c r="AB68" s="580" t="s">
        <v>68</v>
      </c>
      <c r="AC68" s="579" t="s">
        <v>1929</v>
      </c>
      <c r="AD68" s="580" t="s">
        <v>68</v>
      </c>
      <c r="AE68" s="579"/>
      <c r="AF68" s="587" t="s">
        <v>267</v>
      </c>
      <c r="AG68" s="584" t="s">
        <v>63</v>
      </c>
      <c r="AH68" s="580" t="s">
        <v>1929</v>
      </c>
      <c r="AI68" s="580" t="s">
        <v>63</v>
      </c>
      <c r="AJ68" s="580"/>
      <c r="AK68" s="580" t="s">
        <v>63</v>
      </c>
      <c r="AL68" s="580" t="s">
        <v>1929</v>
      </c>
      <c r="AM68" s="585" t="s">
        <v>66</v>
      </c>
      <c r="AN68" s="586" t="s">
        <v>164</v>
      </c>
      <c r="AO68" s="579" t="s">
        <v>71</v>
      </c>
      <c r="AP68" s="579" t="s">
        <v>72</v>
      </c>
      <c r="AQ68" s="579" t="s">
        <v>1929</v>
      </c>
      <c r="AR68" s="579" t="s">
        <v>121</v>
      </c>
      <c r="AS68" s="579"/>
      <c r="AT68" s="587"/>
      <c r="AU68" s="584" t="s">
        <v>2419</v>
      </c>
      <c r="AV68" s="578" t="s">
        <v>517</v>
      </c>
      <c r="AW68" s="588">
        <v>44287</v>
      </c>
      <c r="AX68" s="588">
        <v>46112</v>
      </c>
      <c r="AY68" s="588" t="s">
        <v>270</v>
      </c>
      <c r="AZ68" s="589" t="s">
        <v>271</v>
      </c>
      <c r="BA68" s="589" t="s">
        <v>1065</v>
      </c>
      <c r="BB68" s="589" t="s">
        <v>293</v>
      </c>
      <c r="BC68" s="590">
        <v>0</v>
      </c>
      <c r="BD68" s="591"/>
    </row>
    <row r="69" spans="1:56" s="560" customFormat="1" ht="16.5" customHeight="1">
      <c r="A69" s="576">
        <v>2024</v>
      </c>
      <c r="B69" s="577" t="s">
        <v>519</v>
      </c>
      <c r="C69" s="577" t="s">
        <v>518</v>
      </c>
      <c r="D69" s="562" t="s">
        <v>2415</v>
      </c>
      <c r="E69" s="578" t="s">
        <v>520</v>
      </c>
      <c r="F69" s="579" t="s">
        <v>78</v>
      </c>
      <c r="G69" s="578" t="s">
        <v>180</v>
      </c>
      <c r="H69" s="579" t="s">
        <v>521</v>
      </c>
      <c r="I69" s="579" t="s">
        <v>58</v>
      </c>
      <c r="J69" s="579" t="s">
        <v>263</v>
      </c>
      <c r="K69" s="579" t="s">
        <v>264</v>
      </c>
      <c r="L69" s="578" t="s">
        <v>265</v>
      </c>
      <c r="M69" s="580" t="s">
        <v>396</v>
      </c>
      <c r="N69" s="580" t="s">
        <v>396</v>
      </c>
      <c r="O69" s="581">
        <v>389.99</v>
      </c>
      <c r="P69" s="581">
        <v>155.5</v>
      </c>
      <c r="Q69" s="582"/>
      <c r="R69" s="579" t="s">
        <v>503</v>
      </c>
      <c r="S69" s="579" t="s">
        <v>151</v>
      </c>
      <c r="T69" s="580" t="s">
        <v>66</v>
      </c>
      <c r="U69" s="580" t="s">
        <v>63</v>
      </c>
      <c r="V69" s="580" t="s">
        <v>63</v>
      </c>
      <c r="W69" s="580" t="s">
        <v>63</v>
      </c>
      <c r="X69" s="580" t="s">
        <v>63</v>
      </c>
      <c r="Y69" s="580" t="s">
        <v>66</v>
      </c>
      <c r="Z69" s="580" t="s">
        <v>66</v>
      </c>
      <c r="AA69" s="578"/>
      <c r="AB69" s="580" t="s">
        <v>68</v>
      </c>
      <c r="AC69" s="579" t="s">
        <v>1929</v>
      </c>
      <c r="AD69" s="580" t="s">
        <v>68</v>
      </c>
      <c r="AE69" s="579"/>
      <c r="AF69" s="587" t="s">
        <v>267</v>
      </c>
      <c r="AG69" s="584" t="s">
        <v>63</v>
      </c>
      <c r="AH69" s="580" t="s">
        <v>1929</v>
      </c>
      <c r="AI69" s="580" t="s">
        <v>63</v>
      </c>
      <c r="AJ69" s="580" t="s">
        <v>1929</v>
      </c>
      <c r="AK69" s="580" t="s">
        <v>1929</v>
      </c>
      <c r="AL69" s="580" t="s">
        <v>1929</v>
      </c>
      <c r="AM69" s="585" t="s">
        <v>66</v>
      </c>
      <c r="AN69" s="586" t="s">
        <v>164</v>
      </c>
      <c r="AO69" s="579" t="s">
        <v>71</v>
      </c>
      <c r="AP69" s="579" t="s">
        <v>72</v>
      </c>
      <c r="AQ69" s="579" t="s">
        <v>1929</v>
      </c>
      <c r="AR69" s="579" t="s">
        <v>121</v>
      </c>
      <c r="AS69" s="579"/>
      <c r="AT69" s="587"/>
      <c r="AU69" s="584" t="s">
        <v>2419</v>
      </c>
      <c r="AV69" s="578" t="s">
        <v>522</v>
      </c>
      <c r="AW69" s="588">
        <v>44287</v>
      </c>
      <c r="AX69" s="588">
        <v>46112</v>
      </c>
      <c r="AY69" s="588" t="s">
        <v>270</v>
      </c>
      <c r="AZ69" s="589" t="s">
        <v>271</v>
      </c>
      <c r="BA69" s="589" t="s">
        <v>1065</v>
      </c>
      <c r="BB69" s="589" t="s">
        <v>300</v>
      </c>
      <c r="BC69" s="590">
        <v>0</v>
      </c>
      <c r="BD69" s="591"/>
    </row>
    <row r="70" spans="1:56" s="560" customFormat="1" ht="16.5" customHeight="1">
      <c r="A70" s="576">
        <v>2024</v>
      </c>
      <c r="B70" s="577" t="s">
        <v>2542</v>
      </c>
      <c r="C70" s="562" t="s">
        <v>523</v>
      </c>
      <c r="D70" s="562" t="s">
        <v>2415</v>
      </c>
      <c r="E70" s="578" t="s">
        <v>2571</v>
      </c>
      <c r="F70" s="579" t="s">
        <v>78</v>
      </c>
      <c r="G70" s="578" t="s">
        <v>180</v>
      </c>
      <c r="H70" s="579" t="s">
        <v>2505</v>
      </c>
      <c r="I70" s="579" t="s">
        <v>1915</v>
      </c>
      <c r="J70" s="579" t="s">
        <v>263</v>
      </c>
      <c r="K70" s="579" t="s">
        <v>264</v>
      </c>
      <c r="L70" s="578" t="s">
        <v>2250</v>
      </c>
      <c r="M70" s="580" t="s">
        <v>2500</v>
      </c>
      <c r="N70" s="580" t="s">
        <v>2430</v>
      </c>
      <c r="O70" s="581">
        <v>1991.68</v>
      </c>
      <c r="P70" s="581">
        <v>594.08000000000004</v>
      </c>
      <c r="Q70" s="582"/>
      <c r="R70" s="579" t="s">
        <v>524</v>
      </c>
      <c r="S70" s="579" t="s">
        <v>151</v>
      </c>
      <c r="T70" s="580" t="s">
        <v>1846</v>
      </c>
      <c r="U70" s="580" t="s">
        <v>1846</v>
      </c>
      <c r="V70" s="580" t="s">
        <v>1846</v>
      </c>
      <c r="W70" s="580" t="s">
        <v>1846</v>
      </c>
      <c r="X70" s="580" t="s">
        <v>1846</v>
      </c>
      <c r="Y70" s="580" t="s">
        <v>1846</v>
      </c>
      <c r="Z70" s="580" t="s">
        <v>2506</v>
      </c>
      <c r="AA70" s="578"/>
      <c r="AB70" s="580" t="s">
        <v>68</v>
      </c>
      <c r="AC70" s="579" t="s">
        <v>1929</v>
      </c>
      <c r="AD70" s="580" t="s">
        <v>68</v>
      </c>
      <c r="AE70" s="579"/>
      <c r="AF70" s="587" t="s">
        <v>267</v>
      </c>
      <c r="AG70" s="584" t="s">
        <v>1846</v>
      </c>
      <c r="AH70" s="580"/>
      <c r="AI70" s="580" t="s">
        <v>1846</v>
      </c>
      <c r="AJ70" s="580" t="s">
        <v>1846</v>
      </c>
      <c r="AK70" s="580" t="s">
        <v>1846</v>
      </c>
      <c r="AL70" s="580" t="s">
        <v>1846</v>
      </c>
      <c r="AM70" s="585" t="s">
        <v>1846</v>
      </c>
      <c r="AN70" s="586" t="s">
        <v>109</v>
      </c>
      <c r="AO70" s="579" t="s">
        <v>71</v>
      </c>
      <c r="AP70" s="579" t="s">
        <v>72</v>
      </c>
      <c r="AQ70" s="579" t="s">
        <v>1929</v>
      </c>
      <c r="AR70" s="579" t="s">
        <v>2194</v>
      </c>
      <c r="AS70" s="579"/>
      <c r="AT70" s="587" t="s">
        <v>2510</v>
      </c>
      <c r="AU70" s="584" t="s">
        <v>2420</v>
      </c>
      <c r="AV70" s="578" t="s">
        <v>2507</v>
      </c>
      <c r="AW70" s="588">
        <v>44652</v>
      </c>
      <c r="AX70" s="588">
        <v>46112</v>
      </c>
      <c r="AY70" s="588" t="s">
        <v>2271</v>
      </c>
      <c r="AZ70" s="589" t="s">
        <v>271</v>
      </c>
      <c r="BA70" s="589" t="s">
        <v>1065</v>
      </c>
      <c r="BB70" s="589" t="s">
        <v>2511</v>
      </c>
      <c r="BC70" s="590">
        <v>0</v>
      </c>
      <c r="BD70" s="591"/>
    </row>
    <row r="71" spans="1:56" s="560" customFormat="1" ht="16.5" customHeight="1">
      <c r="A71" s="561">
        <v>2024</v>
      </c>
      <c r="B71" s="577" t="s">
        <v>529</v>
      </c>
      <c r="C71" s="577" t="s">
        <v>526</v>
      </c>
      <c r="D71" s="562" t="s">
        <v>2415</v>
      </c>
      <c r="E71" s="578" t="s">
        <v>530</v>
      </c>
      <c r="F71" s="579" t="s">
        <v>78</v>
      </c>
      <c r="G71" s="578" t="s">
        <v>180</v>
      </c>
      <c r="H71" s="579" t="s">
        <v>531</v>
      </c>
      <c r="I71" s="579" t="s">
        <v>58</v>
      </c>
      <c r="J71" s="579" t="s">
        <v>263</v>
      </c>
      <c r="K71" s="579" t="s">
        <v>264</v>
      </c>
      <c r="L71" s="578" t="s">
        <v>265</v>
      </c>
      <c r="M71" s="580" t="s">
        <v>160</v>
      </c>
      <c r="N71" s="580" t="s">
        <v>160</v>
      </c>
      <c r="O71" s="581">
        <v>1016.46</v>
      </c>
      <c r="P71" s="581">
        <v>344.12</v>
      </c>
      <c r="Q71" s="582"/>
      <c r="R71" s="579" t="s">
        <v>524</v>
      </c>
      <c r="S71" s="579" t="s">
        <v>151</v>
      </c>
      <c r="T71" s="580" t="s">
        <v>63</v>
      </c>
      <c r="U71" s="580" t="s">
        <v>63</v>
      </c>
      <c r="V71" s="580" t="s">
        <v>66</v>
      </c>
      <c r="W71" s="580" t="s">
        <v>63</v>
      </c>
      <c r="X71" s="580" t="s">
        <v>63</v>
      </c>
      <c r="Y71" s="580" t="s">
        <v>63</v>
      </c>
      <c r="Z71" s="580" t="s">
        <v>532</v>
      </c>
      <c r="AA71" s="578"/>
      <c r="AB71" s="580" t="s">
        <v>68</v>
      </c>
      <c r="AC71" s="579" t="s">
        <v>1929</v>
      </c>
      <c r="AD71" s="580" t="s">
        <v>68</v>
      </c>
      <c r="AE71" s="579"/>
      <c r="AF71" s="587" t="s">
        <v>267</v>
      </c>
      <c r="AG71" s="584" t="s">
        <v>63</v>
      </c>
      <c r="AH71" s="580"/>
      <c r="AI71" s="580" t="s">
        <v>63</v>
      </c>
      <c r="AJ71" s="580" t="s">
        <v>1929</v>
      </c>
      <c r="AK71" s="580" t="s">
        <v>63</v>
      </c>
      <c r="AL71" s="580" t="s">
        <v>1929</v>
      </c>
      <c r="AM71" s="585" t="s">
        <v>66</v>
      </c>
      <c r="AN71" s="586" t="s">
        <v>70</v>
      </c>
      <c r="AO71" s="579" t="s">
        <v>71</v>
      </c>
      <c r="AP71" s="579" t="s">
        <v>72</v>
      </c>
      <c r="AQ71" s="579" t="s">
        <v>1929</v>
      </c>
      <c r="AR71" s="579" t="s">
        <v>73</v>
      </c>
      <c r="AS71" s="579"/>
      <c r="AT71" s="587"/>
      <c r="AU71" s="584" t="s">
        <v>2419</v>
      </c>
      <c r="AV71" s="578" t="s">
        <v>533</v>
      </c>
      <c r="AW71" s="588">
        <v>44287</v>
      </c>
      <c r="AX71" s="588">
        <v>46112</v>
      </c>
      <c r="AY71" s="588" t="s">
        <v>270</v>
      </c>
      <c r="AZ71" s="589" t="s">
        <v>271</v>
      </c>
      <c r="BA71" s="589" t="s">
        <v>1065</v>
      </c>
      <c r="BB71" s="589" t="s">
        <v>378</v>
      </c>
      <c r="BC71" s="590">
        <v>1</v>
      </c>
      <c r="BD71" s="591"/>
    </row>
    <row r="72" spans="1:56" s="560" customFormat="1" ht="16.5" customHeight="1">
      <c r="A72" s="576">
        <v>2024</v>
      </c>
      <c r="B72" s="577" t="s">
        <v>534</v>
      </c>
      <c r="C72" s="562" t="s">
        <v>528</v>
      </c>
      <c r="D72" s="562" t="s">
        <v>2415</v>
      </c>
      <c r="E72" s="578" t="s">
        <v>535</v>
      </c>
      <c r="F72" s="579" t="s">
        <v>78</v>
      </c>
      <c r="G72" s="578" t="s">
        <v>180</v>
      </c>
      <c r="H72" s="579" t="s">
        <v>536</v>
      </c>
      <c r="I72" s="579" t="s">
        <v>58</v>
      </c>
      <c r="J72" s="579" t="s">
        <v>263</v>
      </c>
      <c r="K72" s="579" t="s">
        <v>264</v>
      </c>
      <c r="L72" s="578" t="s">
        <v>265</v>
      </c>
      <c r="M72" s="580" t="s">
        <v>280</v>
      </c>
      <c r="N72" s="580" t="s">
        <v>280</v>
      </c>
      <c r="O72" s="581">
        <v>536.22</v>
      </c>
      <c r="P72" s="581">
        <v>316.26</v>
      </c>
      <c r="Q72" s="582"/>
      <c r="R72" s="579" t="s">
        <v>524</v>
      </c>
      <c r="S72" s="579" t="s">
        <v>151</v>
      </c>
      <c r="T72" s="580" t="s">
        <v>63</v>
      </c>
      <c r="U72" s="580" t="s">
        <v>63</v>
      </c>
      <c r="V72" s="580" t="s">
        <v>66</v>
      </c>
      <c r="W72" s="580" t="s">
        <v>63</v>
      </c>
      <c r="X72" s="580" t="s">
        <v>63</v>
      </c>
      <c r="Y72" s="580" t="s">
        <v>63</v>
      </c>
      <c r="Z72" s="580" t="s">
        <v>537</v>
      </c>
      <c r="AA72" s="578"/>
      <c r="AB72" s="580" t="s">
        <v>68</v>
      </c>
      <c r="AC72" s="579" t="s">
        <v>1929</v>
      </c>
      <c r="AD72" s="580" t="s">
        <v>68</v>
      </c>
      <c r="AE72" s="579"/>
      <c r="AF72" s="587" t="s">
        <v>267</v>
      </c>
      <c r="AG72" s="584" t="s">
        <v>63</v>
      </c>
      <c r="AH72" s="580" t="s">
        <v>1929</v>
      </c>
      <c r="AI72" s="580" t="s">
        <v>63</v>
      </c>
      <c r="AJ72" s="580" t="s">
        <v>1929</v>
      </c>
      <c r="AK72" s="580" t="s">
        <v>63</v>
      </c>
      <c r="AL72" s="580" t="s">
        <v>1929</v>
      </c>
      <c r="AM72" s="585" t="s">
        <v>66</v>
      </c>
      <c r="AN72" s="586" t="s">
        <v>109</v>
      </c>
      <c r="AO72" s="579" t="s">
        <v>110</v>
      </c>
      <c r="AP72" s="579" t="s">
        <v>111</v>
      </c>
      <c r="AQ72" s="579" t="s">
        <v>1929</v>
      </c>
      <c r="AR72" s="579" t="s">
        <v>112</v>
      </c>
      <c r="AS72" s="579"/>
      <c r="AT72" s="587" t="s">
        <v>2258</v>
      </c>
      <c r="AU72" s="584" t="s">
        <v>2419</v>
      </c>
      <c r="AV72" s="578" t="s">
        <v>538</v>
      </c>
      <c r="AW72" s="588">
        <v>44287</v>
      </c>
      <c r="AX72" s="588">
        <v>46112</v>
      </c>
      <c r="AY72" s="588" t="s">
        <v>270</v>
      </c>
      <c r="AZ72" s="589" t="s">
        <v>271</v>
      </c>
      <c r="BA72" s="589" t="s">
        <v>1065</v>
      </c>
      <c r="BB72" s="589" t="s">
        <v>1934</v>
      </c>
      <c r="BC72" s="590">
        <v>4</v>
      </c>
      <c r="BD72" s="591"/>
    </row>
    <row r="73" spans="1:56" s="560" customFormat="1" ht="16.5" customHeight="1">
      <c r="A73" s="576">
        <v>2024</v>
      </c>
      <c r="B73" s="577" t="s">
        <v>540</v>
      </c>
      <c r="C73" s="577" t="s">
        <v>2545</v>
      </c>
      <c r="D73" s="562" t="s">
        <v>2415</v>
      </c>
      <c r="E73" s="578" t="s">
        <v>541</v>
      </c>
      <c r="F73" s="579" t="s">
        <v>78</v>
      </c>
      <c r="G73" s="578" t="s">
        <v>180</v>
      </c>
      <c r="H73" s="579" t="s">
        <v>2259</v>
      </c>
      <c r="I73" s="579" t="s">
        <v>58</v>
      </c>
      <c r="J73" s="579" t="s">
        <v>263</v>
      </c>
      <c r="K73" s="579" t="s">
        <v>264</v>
      </c>
      <c r="L73" s="578" t="s">
        <v>265</v>
      </c>
      <c r="M73" s="580" t="s">
        <v>542</v>
      </c>
      <c r="N73" s="580" t="s">
        <v>542</v>
      </c>
      <c r="O73" s="581">
        <v>286</v>
      </c>
      <c r="P73" s="581">
        <v>105.19</v>
      </c>
      <c r="Q73" s="582"/>
      <c r="R73" s="579" t="s">
        <v>524</v>
      </c>
      <c r="S73" s="579" t="s">
        <v>151</v>
      </c>
      <c r="T73" s="580" t="s">
        <v>66</v>
      </c>
      <c r="U73" s="580" t="s">
        <v>63</v>
      </c>
      <c r="V73" s="580" t="s">
        <v>63</v>
      </c>
      <c r="W73" s="580" t="s">
        <v>63</v>
      </c>
      <c r="X73" s="580" t="s">
        <v>63</v>
      </c>
      <c r="Y73" s="580" t="s">
        <v>66</v>
      </c>
      <c r="Z73" s="580" t="s">
        <v>66</v>
      </c>
      <c r="AA73" s="578"/>
      <c r="AB73" s="580" t="s">
        <v>68</v>
      </c>
      <c r="AC73" s="579" t="s">
        <v>1929</v>
      </c>
      <c r="AD73" s="580" t="s">
        <v>68</v>
      </c>
      <c r="AE73" s="579"/>
      <c r="AF73" s="587" t="s">
        <v>267</v>
      </c>
      <c r="AG73" s="584" t="s">
        <v>63</v>
      </c>
      <c r="AH73" s="580" t="s">
        <v>1929</v>
      </c>
      <c r="AI73" s="580" t="s">
        <v>63</v>
      </c>
      <c r="AJ73" s="580" t="s">
        <v>1929</v>
      </c>
      <c r="AK73" s="580" t="s">
        <v>63</v>
      </c>
      <c r="AL73" s="580" t="s">
        <v>1929</v>
      </c>
      <c r="AM73" s="585" t="s">
        <v>66</v>
      </c>
      <c r="AN73" s="586" t="s">
        <v>120</v>
      </c>
      <c r="AO73" s="579" t="s">
        <v>71</v>
      </c>
      <c r="AP73" s="579" t="s">
        <v>72</v>
      </c>
      <c r="AQ73" s="579" t="s">
        <v>1929</v>
      </c>
      <c r="AR73" s="579" t="s">
        <v>121</v>
      </c>
      <c r="AS73" s="579"/>
      <c r="AT73" s="587"/>
      <c r="AU73" s="584" t="s">
        <v>2419</v>
      </c>
      <c r="AV73" s="578" t="s">
        <v>543</v>
      </c>
      <c r="AW73" s="588">
        <v>44287</v>
      </c>
      <c r="AX73" s="588">
        <v>46112</v>
      </c>
      <c r="AY73" s="588" t="s">
        <v>270</v>
      </c>
      <c r="AZ73" s="589" t="s">
        <v>271</v>
      </c>
      <c r="BA73" s="589" t="s">
        <v>1065</v>
      </c>
      <c r="BB73" s="589" t="s">
        <v>300</v>
      </c>
      <c r="BC73" s="590">
        <v>0</v>
      </c>
      <c r="BD73" s="591"/>
    </row>
    <row r="74" spans="1:56" s="560" customFormat="1" ht="16.5" customHeight="1">
      <c r="A74" s="561">
        <v>2024</v>
      </c>
      <c r="B74" s="577" t="s">
        <v>545</v>
      </c>
      <c r="C74" s="562" t="s">
        <v>539</v>
      </c>
      <c r="D74" s="562" t="s">
        <v>2415</v>
      </c>
      <c r="E74" s="578" t="s">
        <v>546</v>
      </c>
      <c r="F74" s="579" t="s">
        <v>78</v>
      </c>
      <c r="G74" s="578" t="s">
        <v>180</v>
      </c>
      <c r="H74" s="579" t="s">
        <v>547</v>
      </c>
      <c r="I74" s="579" t="s">
        <v>58</v>
      </c>
      <c r="J74" s="579" t="s">
        <v>263</v>
      </c>
      <c r="K74" s="579" t="s">
        <v>264</v>
      </c>
      <c r="L74" s="578" t="s">
        <v>265</v>
      </c>
      <c r="M74" s="580" t="s">
        <v>280</v>
      </c>
      <c r="N74" s="580" t="s">
        <v>280</v>
      </c>
      <c r="O74" s="581">
        <v>438.51</v>
      </c>
      <c r="P74" s="581">
        <v>326.48</v>
      </c>
      <c r="Q74" s="582"/>
      <c r="R74" s="579" t="s">
        <v>229</v>
      </c>
      <c r="S74" s="579" t="s">
        <v>151</v>
      </c>
      <c r="T74" s="580" t="s">
        <v>63</v>
      </c>
      <c r="U74" s="580" t="s">
        <v>63</v>
      </c>
      <c r="V74" s="580" t="s">
        <v>66</v>
      </c>
      <c r="W74" s="580" t="s">
        <v>63</v>
      </c>
      <c r="X74" s="580" t="s">
        <v>63</v>
      </c>
      <c r="Y74" s="580" t="s">
        <v>63</v>
      </c>
      <c r="Z74" s="580" t="s">
        <v>548</v>
      </c>
      <c r="AA74" s="578"/>
      <c r="AB74" s="580" t="s">
        <v>68</v>
      </c>
      <c r="AC74" s="579" t="s">
        <v>1929</v>
      </c>
      <c r="AD74" s="580" t="s">
        <v>68</v>
      </c>
      <c r="AE74" s="579"/>
      <c r="AF74" s="587" t="s">
        <v>267</v>
      </c>
      <c r="AG74" s="584" t="s">
        <v>63</v>
      </c>
      <c r="AH74" s="580" t="s">
        <v>1929</v>
      </c>
      <c r="AI74" s="580" t="s">
        <v>63</v>
      </c>
      <c r="AJ74" s="580" t="s">
        <v>1929</v>
      </c>
      <c r="AK74" s="580" t="s">
        <v>1929</v>
      </c>
      <c r="AL74" s="580" t="s">
        <v>1929</v>
      </c>
      <c r="AM74" s="585" t="s">
        <v>66</v>
      </c>
      <c r="AN74" s="586" t="s">
        <v>95</v>
      </c>
      <c r="AO74" s="579" t="s">
        <v>71</v>
      </c>
      <c r="AP74" s="579" t="s">
        <v>72</v>
      </c>
      <c r="AQ74" s="579" t="s">
        <v>1929</v>
      </c>
      <c r="AR74" s="579" t="s">
        <v>73</v>
      </c>
      <c r="AS74" s="579" t="s">
        <v>134</v>
      </c>
      <c r="AT74" s="587" t="s">
        <v>549</v>
      </c>
      <c r="AU74" s="584" t="s">
        <v>2419</v>
      </c>
      <c r="AV74" s="578" t="s">
        <v>550</v>
      </c>
      <c r="AW74" s="588">
        <v>44287</v>
      </c>
      <c r="AX74" s="588">
        <v>46112</v>
      </c>
      <c r="AY74" s="588" t="s">
        <v>270</v>
      </c>
      <c r="AZ74" s="589" t="s">
        <v>271</v>
      </c>
      <c r="BA74" s="589" t="s">
        <v>1065</v>
      </c>
      <c r="BB74" s="589" t="s">
        <v>378</v>
      </c>
      <c r="BC74" s="590">
        <v>3</v>
      </c>
      <c r="BD74" s="591"/>
    </row>
    <row r="75" spans="1:56" s="560" customFormat="1" ht="16.5" customHeight="1">
      <c r="A75" s="576">
        <v>2024</v>
      </c>
      <c r="B75" s="577" t="s">
        <v>552</v>
      </c>
      <c r="C75" s="577" t="s">
        <v>544</v>
      </c>
      <c r="D75" s="562" t="s">
        <v>2415</v>
      </c>
      <c r="E75" s="578" t="s">
        <v>553</v>
      </c>
      <c r="F75" s="579" t="s">
        <v>78</v>
      </c>
      <c r="G75" s="578" t="s">
        <v>180</v>
      </c>
      <c r="H75" s="579" t="s">
        <v>2260</v>
      </c>
      <c r="I75" s="579" t="s">
        <v>58</v>
      </c>
      <c r="J75" s="579" t="s">
        <v>263</v>
      </c>
      <c r="K75" s="579" t="s">
        <v>264</v>
      </c>
      <c r="L75" s="578" t="s">
        <v>265</v>
      </c>
      <c r="M75" s="580" t="s">
        <v>509</v>
      </c>
      <c r="N75" s="580" t="s">
        <v>509</v>
      </c>
      <c r="O75" s="581">
        <v>284.23</v>
      </c>
      <c r="P75" s="581">
        <v>120</v>
      </c>
      <c r="Q75" s="582"/>
      <c r="R75" s="579" t="s">
        <v>229</v>
      </c>
      <c r="S75" s="579" t="s">
        <v>151</v>
      </c>
      <c r="T75" s="580" t="s">
        <v>66</v>
      </c>
      <c r="U75" s="580" t="s">
        <v>63</v>
      </c>
      <c r="V75" s="580" t="s">
        <v>66</v>
      </c>
      <c r="W75" s="580" t="s">
        <v>63</v>
      </c>
      <c r="X75" s="580" t="s">
        <v>63</v>
      </c>
      <c r="Y75" s="580" t="s">
        <v>63</v>
      </c>
      <c r="Z75" s="580" t="s">
        <v>554</v>
      </c>
      <c r="AA75" s="578"/>
      <c r="AB75" s="580" t="s">
        <v>68</v>
      </c>
      <c r="AC75" s="579" t="s">
        <v>1929</v>
      </c>
      <c r="AD75" s="580" t="s">
        <v>68</v>
      </c>
      <c r="AE75" s="579"/>
      <c r="AF75" s="587" t="s">
        <v>267</v>
      </c>
      <c r="AG75" s="584" t="s">
        <v>63</v>
      </c>
      <c r="AH75" s="580" t="s">
        <v>1929</v>
      </c>
      <c r="AI75" s="580" t="s">
        <v>63</v>
      </c>
      <c r="AJ75" s="580"/>
      <c r="AK75" s="580" t="s">
        <v>1929</v>
      </c>
      <c r="AL75" s="580" t="s">
        <v>1929</v>
      </c>
      <c r="AM75" s="585" t="s">
        <v>66</v>
      </c>
      <c r="AN75" s="586" t="s">
        <v>86</v>
      </c>
      <c r="AO75" s="579" t="s">
        <v>71</v>
      </c>
      <c r="AP75" s="579" t="s">
        <v>72</v>
      </c>
      <c r="AQ75" s="579" t="s">
        <v>1929</v>
      </c>
      <c r="AR75" s="579"/>
      <c r="AS75" s="579"/>
      <c r="AT75" s="587"/>
      <c r="AU75" s="584" t="s">
        <v>2419</v>
      </c>
      <c r="AV75" s="578" t="s">
        <v>555</v>
      </c>
      <c r="AW75" s="588">
        <v>44287</v>
      </c>
      <c r="AX75" s="588">
        <v>46112</v>
      </c>
      <c r="AY75" s="588" t="s">
        <v>270</v>
      </c>
      <c r="AZ75" s="589" t="s">
        <v>271</v>
      </c>
      <c r="BA75" s="589" t="s">
        <v>1065</v>
      </c>
      <c r="BB75" s="589" t="s">
        <v>300</v>
      </c>
      <c r="BC75" s="590">
        <v>0</v>
      </c>
      <c r="BD75" s="591"/>
    </row>
    <row r="76" spans="1:56" s="560" customFormat="1" ht="16.5" customHeight="1">
      <c r="A76" s="576">
        <v>2024</v>
      </c>
      <c r="B76" s="577" t="s">
        <v>557</v>
      </c>
      <c r="C76" s="562" t="s">
        <v>551</v>
      </c>
      <c r="D76" s="562" t="s">
        <v>2415</v>
      </c>
      <c r="E76" s="578" t="s">
        <v>558</v>
      </c>
      <c r="F76" s="579" t="s">
        <v>78</v>
      </c>
      <c r="G76" s="578" t="s">
        <v>180</v>
      </c>
      <c r="H76" s="579" t="s">
        <v>559</v>
      </c>
      <c r="I76" s="579" t="s">
        <v>58</v>
      </c>
      <c r="J76" s="579" t="s">
        <v>263</v>
      </c>
      <c r="K76" s="579" t="s">
        <v>264</v>
      </c>
      <c r="L76" s="578" t="s">
        <v>265</v>
      </c>
      <c r="M76" s="580" t="s">
        <v>350</v>
      </c>
      <c r="N76" s="580" t="s">
        <v>350</v>
      </c>
      <c r="O76" s="581">
        <v>194.4</v>
      </c>
      <c r="P76" s="581">
        <v>162.68</v>
      </c>
      <c r="Q76" s="582"/>
      <c r="R76" s="579" t="s">
        <v>229</v>
      </c>
      <c r="S76" s="579" t="s">
        <v>151</v>
      </c>
      <c r="T76" s="580" t="s">
        <v>63</v>
      </c>
      <c r="U76" s="580" t="s">
        <v>63</v>
      </c>
      <c r="V76" s="580" t="s">
        <v>63</v>
      </c>
      <c r="W76" s="580" t="s">
        <v>63</v>
      </c>
      <c r="X76" s="580" t="s">
        <v>63</v>
      </c>
      <c r="Y76" s="580" t="s">
        <v>63</v>
      </c>
      <c r="Z76" s="580" t="s">
        <v>560</v>
      </c>
      <c r="AA76" s="578"/>
      <c r="AB76" s="580" t="s">
        <v>101</v>
      </c>
      <c r="AC76" s="579" t="s">
        <v>2386</v>
      </c>
      <c r="AD76" s="580" t="s">
        <v>68</v>
      </c>
      <c r="AE76" s="579"/>
      <c r="AF76" s="587" t="s">
        <v>267</v>
      </c>
      <c r="AG76" s="584" t="s">
        <v>63</v>
      </c>
      <c r="AH76" s="580" t="s">
        <v>1929</v>
      </c>
      <c r="AI76" s="580" t="s">
        <v>63</v>
      </c>
      <c r="AJ76" s="580" t="s">
        <v>1929</v>
      </c>
      <c r="AK76" s="580" t="s">
        <v>1929</v>
      </c>
      <c r="AL76" s="580" t="s">
        <v>1929</v>
      </c>
      <c r="AM76" s="585" t="s">
        <v>66</v>
      </c>
      <c r="AN76" s="586" t="s">
        <v>95</v>
      </c>
      <c r="AO76" s="579" t="s">
        <v>71</v>
      </c>
      <c r="AP76" s="579" t="s">
        <v>72</v>
      </c>
      <c r="AQ76" s="579" t="s">
        <v>1929</v>
      </c>
      <c r="AR76" s="579" t="s">
        <v>73</v>
      </c>
      <c r="AS76" s="579"/>
      <c r="AT76" s="587"/>
      <c r="AU76" s="584" t="s">
        <v>2419</v>
      </c>
      <c r="AV76" s="578" t="s">
        <v>561</v>
      </c>
      <c r="AW76" s="588">
        <v>44287</v>
      </c>
      <c r="AX76" s="588">
        <v>46112</v>
      </c>
      <c r="AY76" s="588" t="s">
        <v>270</v>
      </c>
      <c r="AZ76" s="589" t="s">
        <v>271</v>
      </c>
      <c r="BA76" s="589" t="s">
        <v>1065</v>
      </c>
      <c r="BB76" s="589" t="s">
        <v>288</v>
      </c>
      <c r="BC76" s="590">
        <v>0</v>
      </c>
      <c r="BD76" s="591"/>
    </row>
    <row r="77" spans="1:56" s="560" customFormat="1" ht="16.5" customHeight="1">
      <c r="A77" s="561">
        <v>2024</v>
      </c>
      <c r="B77" s="577" t="s">
        <v>563</v>
      </c>
      <c r="C77" s="577" t="s">
        <v>556</v>
      </c>
      <c r="D77" s="562" t="s">
        <v>2415</v>
      </c>
      <c r="E77" s="578" t="s">
        <v>564</v>
      </c>
      <c r="F77" s="579" t="s">
        <v>78</v>
      </c>
      <c r="G77" s="578" t="s">
        <v>180</v>
      </c>
      <c r="H77" s="579" t="s">
        <v>565</v>
      </c>
      <c r="I77" s="579" t="s">
        <v>58</v>
      </c>
      <c r="J77" s="579" t="s">
        <v>263</v>
      </c>
      <c r="K77" s="579" t="s">
        <v>264</v>
      </c>
      <c r="L77" s="578" t="s">
        <v>265</v>
      </c>
      <c r="M77" s="580" t="s">
        <v>286</v>
      </c>
      <c r="N77" s="580" t="s">
        <v>286</v>
      </c>
      <c r="O77" s="581">
        <v>308.08999999999997</v>
      </c>
      <c r="P77" s="581">
        <v>147.6</v>
      </c>
      <c r="Q77" s="582"/>
      <c r="R77" s="579" t="s">
        <v>566</v>
      </c>
      <c r="S77" s="579" t="s">
        <v>151</v>
      </c>
      <c r="T77" s="580" t="s">
        <v>63</v>
      </c>
      <c r="U77" s="580" t="s">
        <v>63</v>
      </c>
      <c r="V77" s="580" t="s">
        <v>66</v>
      </c>
      <c r="W77" s="580" t="s">
        <v>63</v>
      </c>
      <c r="X77" s="580" t="s">
        <v>63</v>
      </c>
      <c r="Y77" s="580" t="s">
        <v>66</v>
      </c>
      <c r="Z77" s="580" t="s">
        <v>66</v>
      </c>
      <c r="AA77" s="578"/>
      <c r="AB77" s="580" t="s">
        <v>68</v>
      </c>
      <c r="AC77" s="579" t="s">
        <v>1929</v>
      </c>
      <c r="AD77" s="580" t="s">
        <v>68</v>
      </c>
      <c r="AE77" s="579"/>
      <c r="AF77" s="587" t="s">
        <v>267</v>
      </c>
      <c r="AG77" s="584" t="s">
        <v>63</v>
      </c>
      <c r="AH77" s="580" t="s">
        <v>1929</v>
      </c>
      <c r="AI77" s="580" t="s">
        <v>63</v>
      </c>
      <c r="AJ77" s="580"/>
      <c r="AK77" s="580" t="s">
        <v>1929</v>
      </c>
      <c r="AL77" s="580" t="s">
        <v>1929</v>
      </c>
      <c r="AM77" s="585" t="s">
        <v>66</v>
      </c>
      <c r="AN77" s="586" t="s">
        <v>164</v>
      </c>
      <c r="AO77" s="579" t="s">
        <v>71</v>
      </c>
      <c r="AP77" s="579" t="s">
        <v>72</v>
      </c>
      <c r="AQ77" s="579" t="s">
        <v>1929</v>
      </c>
      <c r="AR77" s="579" t="s">
        <v>121</v>
      </c>
      <c r="AS77" s="579"/>
      <c r="AT77" s="587"/>
      <c r="AU77" s="584" t="s">
        <v>2419</v>
      </c>
      <c r="AV77" s="578" t="s">
        <v>567</v>
      </c>
      <c r="AW77" s="588">
        <v>44287</v>
      </c>
      <c r="AX77" s="588">
        <v>46112</v>
      </c>
      <c r="AY77" s="588" t="s">
        <v>270</v>
      </c>
      <c r="AZ77" s="589" t="s">
        <v>271</v>
      </c>
      <c r="BA77" s="589" t="s">
        <v>1065</v>
      </c>
      <c r="BB77" s="589" t="s">
        <v>288</v>
      </c>
      <c r="BC77" s="590">
        <v>0</v>
      </c>
      <c r="BD77" s="591"/>
    </row>
    <row r="78" spans="1:56" s="560" customFormat="1" ht="16.5" customHeight="1">
      <c r="A78" s="576">
        <v>2024</v>
      </c>
      <c r="B78" s="577" t="s">
        <v>569</v>
      </c>
      <c r="C78" s="562" t="s">
        <v>562</v>
      </c>
      <c r="D78" s="562" t="s">
        <v>2415</v>
      </c>
      <c r="E78" s="578" t="s">
        <v>570</v>
      </c>
      <c r="F78" s="579" t="s">
        <v>78</v>
      </c>
      <c r="G78" s="578" t="s">
        <v>180</v>
      </c>
      <c r="H78" s="579" t="s">
        <v>571</v>
      </c>
      <c r="I78" s="579" t="s">
        <v>58</v>
      </c>
      <c r="J78" s="579" t="s">
        <v>263</v>
      </c>
      <c r="K78" s="579" t="s">
        <v>264</v>
      </c>
      <c r="L78" s="578" t="s">
        <v>265</v>
      </c>
      <c r="M78" s="580" t="s">
        <v>509</v>
      </c>
      <c r="N78" s="580" t="s">
        <v>509</v>
      </c>
      <c r="O78" s="581">
        <v>116.55</v>
      </c>
      <c r="P78" s="581">
        <v>140.43</v>
      </c>
      <c r="Q78" s="582"/>
      <c r="R78" s="579" t="s">
        <v>566</v>
      </c>
      <c r="S78" s="579" t="s">
        <v>151</v>
      </c>
      <c r="T78" s="580" t="s">
        <v>63</v>
      </c>
      <c r="U78" s="580" t="s">
        <v>63</v>
      </c>
      <c r="V78" s="580" t="s">
        <v>66</v>
      </c>
      <c r="W78" s="580" t="s">
        <v>63</v>
      </c>
      <c r="X78" s="580" t="s">
        <v>63</v>
      </c>
      <c r="Y78" s="580" t="s">
        <v>63</v>
      </c>
      <c r="Z78" s="580" t="s">
        <v>572</v>
      </c>
      <c r="AA78" s="578"/>
      <c r="AB78" s="580" t="s">
        <v>68</v>
      </c>
      <c r="AC78" s="579" t="s">
        <v>1929</v>
      </c>
      <c r="AD78" s="580" t="s">
        <v>68</v>
      </c>
      <c r="AE78" s="579"/>
      <c r="AF78" s="587" t="s">
        <v>267</v>
      </c>
      <c r="AG78" s="584" t="s">
        <v>63</v>
      </c>
      <c r="AH78" s="580" t="s">
        <v>1929</v>
      </c>
      <c r="AI78" s="580" t="s">
        <v>2087</v>
      </c>
      <c r="AJ78" s="580"/>
      <c r="AK78" s="580" t="s">
        <v>1929</v>
      </c>
      <c r="AL78" s="580" t="s">
        <v>1929</v>
      </c>
      <c r="AM78" s="585" t="s">
        <v>66</v>
      </c>
      <c r="AN78" s="586" t="s">
        <v>164</v>
      </c>
      <c r="AO78" s="579" t="s">
        <v>71</v>
      </c>
      <c r="AP78" s="579" t="s">
        <v>72</v>
      </c>
      <c r="AQ78" s="579" t="s">
        <v>1929</v>
      </c>
      <c r="AR78" s="579" t="s">
        <v>121</v>
      </c>
      <c r="AS78" s="579"/>
      <c r="AT78" s="587"/>
      <c r="AU78" s="584" t="s">
        <v>2419</v>
      </c>
      <c r="AV78" s="578" t="s">
        <v>573</v>
      </c>
      <c r="AW78" s="588">
        <v>44287</v>
      </c>
      <c r="AX78" s="588">
        <v>46112</v>
      </c>
      <c r="AY78" s="588" t="s">
        <v>270</v>
      </c>
      <c r="AZ78" s="589" t="s">
        <v>271</v>
      </c>
      <c r="BA78" s="589" t="s">
        <v>1065</v>
      </c>
      <c r="BB78" s="589" t="s">
        <v>288</v>
      </c>
      <c r="BC78" s="590">
        <v>0</v>
      </c>
      <c r="BD78" s="591"/>
    </row>
    <row r="79" spans="1:56" s="560" customFormat="1" ht="16.5" customHeight="1">
      <c r="A79" s="576">
        <v>2024</v>
      </c>
      <c r="B79" s="577" t="s">
        <v>575</v>
      </c>
      <c r="C79" s="577" t="s">
        <v>568</v>
      </c>
      <c r="D79" s="562" t="s">
        <v>2415</v>
      </c>
      <c r="E79" s="578" t="s">
        <v>2628</v>
      </c>
      <c r="F79" s="579" t="s">
        <v>78</v>
      </c>
      <c r="G79" s="578" t="s">
        <v>180</v>
      </c>
      <c r="H79" s="579" t="s">
        <v>576</v>
      </c>
      <c r="I79" s="579" t="s">
        <v>58</v>
      </c>
      <c r="J79" s="579" t="s">
        <v>263</v>
      </c>
      <c r="K79" s="579" t="s">
        <v>264</v>
      </c>
      <c r="L79" s="578" t="s">
        <v>265</v>
      </c>
      <c r="M79" s="580" t="s">
        <v>117</v>
      </c>
      <c r="N79" s="580" t="s">
        <v>117</v>
      </c>
      <c r="O79" s="581">
        <v>556.82000000000005</v>
      </c>
      <c r="P79" s="581">
        <v>281.83</v>
      </c>
      <c r="Q79" s="582"/>
      <c r="R79" s="579" t="s">
        <v>118</v>
      </c>
      <c r="S79" s="579" t="s">
        <v>65</v>
      </c>
      <c r="T79" s="580" t="s">
        <v>63</v>
      </c>
      <c r="U79" s="580" t="s">
        <v>63</v>
      </c>
      <c r="V79" s="580" t="s">
        <v>66</v>
      </c>
      <c r="W79" s="580" t="s">
        <v>63</v>
      </c>
      <c r="X79" s="580" t="s">
        <v>63</v>
      </c>
      <c r="Y79" s="580" t="s">
        <v>63</v>
      </c>
      <c r="Z79" s="580" t="s">
        <v>577</v>
      </c>
      <c r="AA79" s="578" t="s">
        <v>115</v>
      </c>
      <c r="AB79" s="580" t="s">
        <v>68</v>
      </c>
      <c r="AC79" s="579" t="s">
        <v>1929</v>
      </c>
      <c r="AD79" s="580" t="s">
        <v>68</v>
      </c>
      <c r="AE79" s="579"/>
      <c r="AF79" s="587" t="s">
        <v>267</v>
      </c>
      <c r="AG79" s="584" t="s">
        <v>63</v>
      </c>
      <c r="AH79" s="580" t="s">
        <v>1929</v>
      </c>
      <c r="AI79" s="580" t="s">
        <v>63</v>
      </c>
      <c r="AJ79" s="580"/>
      <c r="AK79" s="580" t="s">
        <v>63</v>
      </c>
      <c r="AL79" s="580" t="s">
        <v>1929</v>
      </c>
      <c r="AM79" s="585" t="s">
        <v>66</v>
      </c>
      <c r="AN79" s="586" t="s">
        <v>120</v>
      </c>
      <c r="AO79" s="579" t="s">
        <v>71</v>
      </c>
      <c r="AP79" s="579" t="s">
        <v>72</v>
      </c>
      <c r="AQ79" s="579" t="s">
        <v>1929</v>
      </c>
      <c r="AR79" s="579" t="s">
        <v>121</v>
      </c>
      <c r="AS79" s="579"/>
      <c r="AT79" s="587"/>
      <c r="AU79" s="584" t="s">
        <v>2419</v>
      </c>
      <c r="AV79" s="578" t="s">
        <v>578</v>
      </c>
      <c r="AW79" s="588">
        <v>44287</v>
      </c>
      <c r="AX79" s="588">
        <v>46112</v>
      </c>
      <c r="AY79" s="588" t="s">
        <v>270</v>
      </c>
      <c r="AZ79" s="589" t="s">
        <v>271</v>
      </c>
      <c r="BA79" s="589" t="s">
        <v>1065</v>
      </c>
      <c r="BB79" s="589" t="s">
        <v>579</v>
      </c>
      <c r="BC79" s="590">
        <v>4</v>
      </c>
      <c r="BD79" s="591"/>
    </row>
    <row r="80" spans="1:56" s="560" customFormat="1" ht="16.5" customHeight="1">
      <c r="A80" s="561">
        <v>2024</v>
      </c>
      <c r="B80" s="577" t="s">
        <v>581</v>
      </c>
      <c r="C80" s="562" t="s">
        <v>574</v>
      </c>
      <c r="D80" s="562" t="s">
        <v>2415</v>
      </c>
      <c r="E80" s="578" t="s">
        <v>582</v>
      </c>
      <c r="F80" s="579" t="s">
        <v>78</v>
      </c>
      <c r="G80" s="578" t="s">
        <v>180</v>
      </c>
      <c r="H80" s="579" t="s">
        <v>583</v>
      </c>
      <c r="I80" s="579" t="s">
        <v>58</v>
      </c>
      <c r="J80" s="579" t="s">
        <v>263</v>
      </c>
      <c r="K80" s="579" t="s">
        <v>264</v>
      </c>
      <c r="L80" s="578" t="s">
        <v>265</v>
      </c>
      <c r="M80" s="580" t="s">
        <v>199</v>
      </c>
      <c r="N80" s="580" t="s">
        <v>199</v>
      </c>
      <c r="O80" s="581">
        <v>259.99</v>
      </c>
      <c r="P80" s="581">
        <v>138.28</v>
      </c>
      <c r="Q80" s="582"/>
      <c r="R80" s="579" t="s">
        <v>118</v>
      </c>
      <c r="S80" s="579" t="s">
        <v>151</v>
      </c>
      <c r="T80" s="580" t="s">
        <v>66</v>
      </c>
      <c r="U80" s="580" t="s">
        <v>63</v>
      </c>
      <c r="V80" s="580" t="s">
        <v>63</v>
      </c>
      <c r="W80" s="580" t="s">
        <v>63</v>
      </c>
      <c r="X80" s="580" t="s">
        <v>63</v>
      </c>
      <c r="Y80" s="580" t="s">
        <v>66</v>
      </c>
      <c r="Z80" s="580" t="s">
        <v>66</v>
      </c>
      <c r="AA80" s="578"/>
      <c r="AB80" s="580" t="s">
        <v>68</v>
      </c>
      <c r="AC80" s="579" t="s">
        <v>1929</v>
      </c>
      <c r="AD80" s="580" t="s">
        <v>68</v>
      </c>
      <c r="AE80" s="579"/>
      <c r="AF80" s="587" t="s">
        <v>267</v>
      </c>
      <c r="AG80" s="584" t="s">
        <v>63</v>
      </c>
      <c r="AH80" s="580" t="s">
        <v>1929</v>
      </c>
      <c r="AI80" s="580" t="s">
        <v>63</v>
      </c>
      <c r="AJ80" s="580" t="s">
        <v>1929</v>
      </c>
      <c r="AK80" s="580" t="s">
        <v>63</v>
      </c>
      <c r="AL80" s="580" t="s">
        <v>1929</v>
      </c>
      <c r="AM80" s="585" t="s">
        <v>66</v>
      </c>
      <c r="AN80" s="586" t="s">
        <v>164</v>
      </c>
      <c r="AO80" s="579" t="s">
        <v>71</v>
      </c>
      <c r="AP80" s="579" t="s">
        <v>72</v>
      </c>
      <c r="AQ80" s="579" t="s">
        <v>1929</v>
      </c>
      <c r="AR80" s="579" t="s">
        <v>121</v>
      </c>
      <c r="AS80" s="579"/>
      <c r="AT80" s="587" t="s">
        <v>584</v>
      </c>
      <c r="AU80" s="584" t="s">
        <v>2419</v>
      </c>
      <c r="AV80" s="578" t="s">
        <v>585</v>
      </c>
      <c r="AW80" s="588">
        <v>44287</v>
      </c>
      <c r="AX80" s="588">
        <v>46112</v>
      </c>
      <c r="AY80" s="588" t="s">
        <v>270</v>
      </c>
      <c r="AZ80" s="589" t="s">
        <v>271</v>
      </c>
      <c r="BA80" s="589" t="s">
        <v>1065</v>
      </c>
      <c r="BB80" s="589" t="s">
        <v>300</v>
      </c>
      <c r="BC80" s="590">
        <v>0</v>
      </c>
      <c r="BD80" s="591"/>
    </row>
    <row r="81" spans="1:56" s="560" customFormat="1" ht="16.5" customHeight="1">
      <c r="A81" s="576">
        <v>2024</v>
      </c>
      <c r="B81" s="577" t="s">
        <v>587</v>
      </c>
      <c r="C81" s="577" t="s">
        <v>580</v>
      </c>
      <c r="D81" s="562" t="s">
        <v>2415</v>
      </c>
      <c r="E81" s="578" t="s">
        <v>588</v>
      </c>
      <c r="F81" s="579" t="s">
        <v>78</v>
      </c>
      <c r="G81" s="578" t="s">
        <v>180</v>
      </c>
      <c r="H81" s="579" t="s">
        <v>589</v>
      </c>
      <c r="I81" s="579" t="s">
        <v>58</v>
      </c>
      <c r="J81" s="579" t="s">
        <v>263</v>
      </c>
      <c r="K81" s="579" t="s">
        <v>264</v>
      </c>
      <c r="L81" s="578" t="s">
        <v>265</v>
      </c>
      <c r="M81" s="580" t="s">
        <v>222</v>
      </c>
      <c r="N81" s="580" t="s">
        <v>222</v>
      </c>
      <c r="O81" s="581">
        <v>467.85</v>
      </c>
      <c r="P81" s="581">
        <v>101.19</v>
      </c>
      <c r="Q81" s="582"/>
      <c r="R81" s="579" t="s">
        <v>118</v>
      </c>
      <c r="S81" s="579" t="s">
        <v>151</v>
      </c>
      <c r="T81" s="580" t="s">
        <v>63</v>
      </c>
      <c r="U81" s="580" t="s">
        <v>63</v>
      </c>
      <c r="V81" s="580" t="s">
        <v>63</v>
      </c>
      <c r="W81" s="580" t="s">
        <v>63</v>
      </c>
      <c r="X81" s="580" t="s">
        <v>63</v>
      </c>
      <c r="Y81" s="580" t="s">
        <v>66</v>
      </c>
      <c r="Z81" s="580" t="s">
        <v>66</v>
      </c>
      <c r="AA81" s="578"/>
      <c r="AB81" s="580" t="s">
        <v>68</v>
      </c>
      <c r="AC81" s="579" t="s">
        <v>1929</v>
      </c>
      <c r="AD81" s="580" t="s">
        <v>68</v>
      </c>
      <c r="AE81" s="579"/>
      <c r="AF81" s="587" t="s">
        <v>267</v>
      </c>
      <c r="AG81" s="584" t="s">
        <v>63</v>
      </c>
      <c r="AH81" s="580" t="s">
        <v>1929</v>
      </c>
      <c r="AI81" s="580" t="s">
        <v>2087</v>
      </c>
      <c r="AJ81" s="580" t="s">
        <v>1929</v>
      </c>
      <c r="AK81" s="580" t="s">
        <v>1929</v>
      </c>
      <c r="AL81" s="580" t="s">
        <v>1929</v>
      </c>
      <c r="AM81" s="585" t="s">
        <v>66</v>
      </c>
      <c r="AN81" s="586" t="s">
        <v>164</v>
      </c>
      <c r="AO81" s="579" t="s">
        <v>71</v>
      </c>
      <c r="AP81" s="579" t="s">
        <v>72</v>
      </c>
      <c r="AQ81" s="579" t="s">
        <v>1929</v>
      </c>
      <c r="AR81" s="579" t="s">
        <v>121</v>
      </c>
      <c r="AS81" s="579"/>
      <c r="AT81" s="587"/>
      <c r="AU81" s="584" t="s">
        <v>2419</v>
      </c>
      <c r="AV81" s="578" t="s">
        <v>590</v>
      </c>
      <c r="AW81" s="588">
        <v>44287</v>
      </c>
      <c r="AX81" s="588">
        <v>46112</v>
      </c>
      <c r="AY81" s="588" t="s">
        <v>270</v>
      </c>
      <c r="AZ81" s="589" t="s">
        <v>271</v>
      </c>
      <c r="BA81" s="589" t="s">
        <v>1065</v>
      </c>
      <c r="BB81" s="589" t="s">
        <v>300</v>
      </c>
      <c r="BC81" s="590">
        <v>0</v>
      </c>
      <c r="BD81" s="591"/>
    </row>
    <row r="82" spans="1:56" s="560" customFormat="1" ht="16.5" customHeight="1">
      <c r="A82" s="576">
        <v>2024</v>
      </c>
      <c r="B82" s="577" t="s">
        <v>592</v>
      </c>
      <c r="C82" s="562" t="s">
        <v>586</v>
      </c>
      <c r="D82" s="562" t="s">
        <v>2415</v>
      </c>
      <c r="E82" s="578" t="s">
        <v>593</v>
      </c>
      <c r="F82" s="579" t="s">
        <v>78</v>
      </c>
      <c r="G82" s="578" t="s">
        <v>180</v>
      </c>
      <c r="H82" s="579" t="s">
        <v>594</v>
      </c>
      <c r="I82" s="579" t="s">
        <v>58</v>
      </c>
      <c r="J82" s="579" t="s">
        <v>263</v>
      </c>
      <c r="K82" s="579" t="s">
        <v>264</v>
      </c>
      <c r="L82" s="578" t="s">
        <v>265</v>
      </c>
      <c r="M82" s="580" t="s">
        <v>595</v>
      </c>
      <c r="N82" s="580" t="s">
        <v>595</v>
      </c>
      <c r="O82" s="581">
        <v>230.25</v>
      </c>
      <c r="P82" s="581">
        <v>107.04</v>
      </c>
      <c r="Q82" s="582"/>
      <c r="R82" s="579" t="s">
        <v>118</v>
      </c>
      <c r="S82" s="579" t="s">
        <v>151</v>
      </c>
      <c r="T82" s="580" t="s">
        <v>63</v>
      </c>
      <c r="U82" s="580" t="s">
        <v>63</v>
      </c>
      <c r="V82" s="580" t="s">
        <v>63</v>
      </c>
      <c r="W82" s="580" t="s">
        <v>63</v>
      </c>
      <c r="X82" s="580" t="s">
        <v>63</v>
      </c>
      <c r="Y82" s="580" t="s">
        <v>66</v>
      </c>
      <c r="Z82" s="580" t="s">
        <v>66</v>
      </c>
      <c r="AA82" s="578"/>
      <c r="AB82" s="580" t="s">
        <v>101</v>
      </c>
      <c r="AC82" s="579" t="s">
        <v>2386</v>
      </c>
      <c r="AD82" s="580" t="s">
        <v>68</v>
      </c>
      <c r="AE82" s="579"/>
      <c r="AF82" s="587" t="s">
        <v>267</v>
      </c>
      <c r="AG82" s="584" t="s">
        <v>63</v>
      </c>
      <c r="AH82" s="580" t="s">
        <v>1929</v>
      </c>
      <c r="AI82" s="580" t="s">
        <v>63</v>
      </c>
      <c r="AJ82" s="580"/>
      <c r="AK82" s="580" t="s">
        <v>1929</v>
      </c>
      <c r="AL82" s="580" t="s">
        <v>1929</v>
      </c>
      <c r="AM82" s="585" t="s">
        <v>66</v>
      </c>
      <c r="AN82" s="586" t="s">
        <v>164</v>
      </c>
      <c r="AO82" s="579" t="s">
        <v>71</v>
      </c>
      <c r="AP82" s="579" t="s">
        <v>72</v>
      </c>
      <c r="AQ82" s="579" t="s">
        <v>1929</v>
      </c>
      <c r="AR82" s="579" t="s">
        <v>121</v>
      </c>
      <c r="AS82" s="579"/>
      <c r="AT82" s="587"/>
      <c r="AU82" s="584" t="s">
        <v>2419</v>
      </c>
      <c r="AV82" s="578" t="s">
        <v>596</v>
      </c>
      <c r="AW82" s="588">
        <v>44287</v>
      </c>
      <c r="AX82" s="588">
        <v>46112</v>
      </c>
      <c r="AY82" s="588" t="s">
        <v>270</v>
      </c>
      <c r="AZ82" s="589" t="s">
        <v>271</v>
      </c>
      <c r="BA82" s="589" t="s">
        <v>1065</v>
      </c>
      <c r="BB82" s="589" t="s">
        <v>1939</v>
      </c>
      <c r="BC82" s="590">
        <v>0</v>
      </c>
      <c r="BD82" s="591"/>
    </row>
    <row r="83" spans="1:56" s="560" customFormat="1" ht="16.5" customHeight="1">
      <c r="A83" s="561">
        <v>2024</v>
      </c>
      <c r="B83" s="577" t="s">
        <v>598</v>
      </c>
      <c r="C83" s="577" t="s">
        <v>591</v>
      </c>
      <c r="D83" s="562" t="s">
        <v>2415</v>
      </c>
      <c r="E83" s="578" t="s">
        <v>163</v>
      </c>
      <c r="F83" s="579" t="s">
        <v>78</v>
      </c>
      <c r="G83" s="578" t="s">
        <v>156</v>
      </c>
      <c r="H83" s="579" t="s">
        <v>158</v>
      </c>
      <c r="I83" s="579" t="s">
        <v>58</v>
      </c>
      <c r="J83" s="579" t="s">
        <v>263</v>
      </c>
      <c r="K83" s="579" t="s">
        <v>264</v>
      </c>
      <c r="L83" s="578" t="s">
        <v>265</v>
      </c>
      <c r="M83" s="580" t="s">
        <v>160</v>
      </c>
      <c r="N83" s="580" t="s">
        <v>160</v>
      </c>
      <c r="O83" s="581">
        <v>1519</v>
      </c>
      <c r="P83" s="581">
        <v>0</v>
      </c>
      <c r="Q83" s="596" t="s">
        <v>2383</v>
      </c>
      <c r="R83" s="579" t="s">
        <v>161</v>
      </c>
      <c r="S83" s="579" t="s">
        <v>65</v>
      </c>
      <c r="T83" s="580" t="s">
        <v>63</v>
      </c>
      <c r="U83" s="580" t="s">
        <v>63</v>
      </c>
      <c r="V83" s="580" t="s">
        <v>63</v>
      </c>
      <c r="W83" s="580" t="s">
        <v>63</v>
      </c>
      <c r="X83" s="580" t="s">
        <v>63</v>
      </c>
      <c r="Y83" s="580" t="s">
        <v>66</v>
      </c>
      <c r="Z83" s="580" t="s">
        <v>66</v>
      </c>
      <c r="AA83" s="578" t="s">
        <v>599</v>
      </c>
      <c r="AB83" s="580" t="s">
        <v>68</v>
      </c>
      <c r="AC83" s="579" t="s">
        <v>1929</v>
      </c>
      <c r="AD83" s="580" t="s">
        <v>68</v>
      </c>
      <c r="AE83" s="579"/>
      <c r="AF83" s="587" t="s">
        <v>267</v>
      </c>
      <c r="AG83" s="584" t="s">
        <v>63</v>
      </c>
      <c r="AH83" s="580" t="s">
        <v>63</v>
      </c>
      <c r="AI83" s="580" t="s">
        <v>63</v>
      </c>
      <c r="AJ83" s="580" t="s">
        <v>63</v>
      </c>
      <c r="AK83" s="580" t="s">
        <v>63</v>
      </c>
      <c r="AL83" s="580" t="s">
        <v>63</v>
      </c>
      <c r="AM83" s="585" t="s">
        <v>66</v>
      </c>
      <c r="AN83" s="586" t="s">
        <v>164</v>
      </c>
      <c r="AO83" s="579" t="s">
        <v>71</v>
      </c>
      <c r="AP83" s="579" t="s">
        <v>72</v>
      </c>
      <c r="AQ83" s="579"/>
      <c r="AR83" s="579" t="s">
        <v>121</v>
      </c>
      <c r="AS83" s="579"/>
      <c r="AT83" s="587"/>
      <c r="AU83" s="584" t="s">
        <v>74</v>
      </c>
      <c r="AV83" s="578"/>
      <c r="AW83" s="588"/>
      <c r="AX83" s="588"/>
      <c r="AY83" s="588"/>
      <c r="AZ83" s="589" t="s">
        <v>271</v>
      </c>
      <c r="BA83" s="589" t="s">
        <v>1052</v>
      </c>
      <c r="BB83" s="589"/>
      <c r="BC83" s="590"/>
      <c r="BD83" s="591"/>
    </row>
    <row r="84" spans="1:56" s="560" customFormat="1" ht="16.5" customHeight="1">
      <c r="A84" s="576">
        <v>2024</v>
      </c>
      <c r="B84" s="577" t="s">
        <v>601</v>
      </c>
      <c r="C84" s="562" t="s">
        <v>597</v>
      </c>
      <c r="D84" s="562" t="s">
        <v>2415</v>
      </c>
      <c r="E84" s="578" t="s">
        <v>602</v>
      </c>
      <c r="F84" s="579" t="s">
        <v>78</v>
      </c>
      <c r="G84" s="578" t="s">
        <v>180</v>
      </c>
      <c r="H84" s="579" t="s">
        <v>603</v>
      </c>
      <c r="I84" s="579" t="s">
        <v>58</v>
      </c>
      <c r="J84" s="579" t="s">
        <v>263</v>
      </c>
      <c r="K84" s="579" t="s">
        <v>264</v>
      </c>
      <c r="L84" s="578" t="s">
        <v>265</v>
      </c>
      <c r="M84" s="580" t="s">
        <v>286</v>
      </c>
      <c r="N84" s="580" t="s">
        <v>286</v>
      </c>
      <c r="O84" s="581">
        <v>681</v>
      </c>
      <c r="P84" s="581">
        <v>135.5</v>
      </c>
      <c r="Q84" s="582"/>
      <c r="R84" s="579" t="s">
        <v>161</v>
      </c>
      <c r="S84" s="579" t="s">
        <v>151</v>
      </c>
      <c r="T84" s="580" t="s">
        <v>63</v>
      </c>
      <c r="U84" s="580" t="s">
        <v>63</v>
      </c>
      <c r="V84" s="580" t="s">
        <v>66</v>
      </c>
      <c r="W84" s="580" t="s">
        <v>63</v>
      </c>
      <c r="X84" s="580" t="s">
        <v>63</v>
      </c>
      <c r="Y84" s="580" t="s">
        <v>66</v>
      </c>
      <c r="Z84" s="580" t="s">
        <v>66</v>
      </c>
      <c r="AA84" s="578"/>
      <c r="AB84" s="580" t="s">
        <v>68</v>
      </c>
      <c r="AC84" s="579" t="s">
        <v>1929</v>
      </c>
      <c r="AD84" s="580" t="s">
        <v>68</v>
      </c>
      <c r="AE84" s="579"/>
      <c r="AF84" s="587" t="s">
        <v>267</v>
      </c>
      <c r="AG84" s="584" t="s">
        <v>63</v>
      </c>
      <c r="AH84" s="580" t="s">
        <v>1929</v>
      </c>
      <c r="AI84" s="580" t="s">
        <v>63</v>
      </c>
      <c r="AJ84" s="580"/>
      <c r="AK84" s="580" t="s">
        <v>63</v>
      </c>
      <c r="AL84" s="580" t="s">
        <v>1929</v>
      </c>
      <c r="AM84" s="585" t="s">
        <v>66</v>
      </c>
      <c r="AN84" s="586" t="s">
        <v>164</v>
      </c>
      <c r="AO84" s="579" t="s">
        <v>71</v>
      </c>
      <c r="AP84" s="579" t="s">
        <v>72</v>
      </c>
      <c r="AQ84" s="579" t="s">
        <v>1929</v>
      </c>
      <c r="AR84" s="579" t="s">
        <v>121</v>
      </c>
      <c r="AS84" s="579"/>
      <c r="AT84" s="587"/>
      <c r="AU84" s="584" t="s">
        <v>2420</v>
      </c>
      <c r="AV84" s="578" t="s">
        <v>604</v>
      </c>
      <c r="AW84" s="588">
        <v>44287</v>
      </c>
      <c r="AX84" s="588">
        <v>46112</v>
      </c>
      <c r="AY84" s="588" t="s">
        <v>270</v>
      </c>
      <c r="AZ84" s="589" t="s">
        <v>271</v>
      </c>
      <c r="BA84" s="589" t="s">
        <v>1065</v>
      </c>
      <c r="BB84" s="589" t="s">
        <v>300</v>
      </c>
      <c r="BC84" s="590">
        <v>1</v>
      </c>
      <c r="BD84" s="591"/>
    </row>
    <row r="85" spans="1:56" s="560" customFormat="1" ht="16.5" customHeight="1">
      <c r="A85" s="576">
        <v>2024</v>
      </c>
      <c r="B85" s="577" t="s">
        <v>606</v>
      </c>
      <c r="C85" s="577" t="s">
        <v>600</v>
      </c>
      <c r="D85" s="562" t="s">
        <v>2415</v>
      </c>
      <c r="E85" s="578" t="s">
        <v>607</v>
      </c>
      <c r="F85" s="579" t="s">
        <v>78</v>
      </c>
      <c r="G85" s="578" t="s">
        <v>180</v>
      </c>
      <c r="H85" s="579" t="s">
        <v>608</v>
      </c>
      <c r="I85" s="579" t="s">
        <v>58</v>
      </c>
      <c r="J85" s="579" t="s">
        <v>263</v>
      </c>
      <c r="K85" s="579" t="s">
        <v>264</v>
      </c>
      <c r="L85" s="578" t="s">
        <v>265</v>
      </c>
      <c r="M85" s="580" t="s">
        <v>350</v>
      </c>
      <c r="N85" s="580" t="s">
        <v>350</v>
      </c>
      <c r="O85" s="581">
        <v>770</v>
      </c>
      <c r="P85" s="581">
        <v>400.8</v>
      </c>
      <c r="Q85" s="582"/>
      <c r="R85" s="579" t="s">
        <v>161</v>
      </c>
      <c r="S85" s="579" t="s">
        <v>151</v>
      </c>
      <c r="T85" s="580" t="s">
        <v>63</v>
      </c>
      <c r="U85" s="580" t="s">
        <v>63</v>
      </c>
      <c r="V85" s="580" t="s">
        <v>63</v>
      </c>
      <c r="W85" s="580" t="s">
        <v>63</v>
      </c>
      <c r="X85" s="580" t="s">
        <v>63</v>
      </c>
      <c r="Y85" s="580" t="s">
        <v>63</v>
      </c>
      <c r="Z85" s="580" t="s">
        <v>609</v>
      </c>
      <c r="AA85" s="578"/>
      <c r="AB85" s="580" t="s">
        <v>68</v>
      </c>
      <c r="AC85" s="579" t="s">
        <v>1929</v>
      </c>
      <c r="AD85" s="580" t="s">
        <v>68</v>
      </c>
      <c r="AE85" s="579"/>
      <c r="AF85" s="587" t="s">
        <v>267</v>
      </c>
      <c r="AG85" s="584" t="s">
        <v>63</v>
      </c>
      <c r="AH85" s="580" t="s">
        <v>1929</v>
      </c>
      <c r="AI85" s="580" t="s">
        <v>63</v>
      </c>
      <c r="AJ85" s="580"/>
      <c r="AK85" s="580" t="s">
        <v>63</v>
      </c>
      <c r="AL85" s="580" t="s">
        <v>1929</v>
      </c>
      <c r="AM85" s="585" t="s">
        <v>66</v>
      </c>
      <c r="AN85" s="586" t="s">
        <v>120</v>
      </c>
      <c r="AO85" s="579" t="s">
        <v>71</v>
      </c>
      <c r="AP85" s="579" t="s">
        <v>72</v>
      </c>
      <c r="AQ85" s="579" t="s">
        <v>1929</v>
      </c>
      <c r="AR85" s="579" t="s">
        <v>121</v>
      </c>
      <c r="AS85" s="579"/>
      <c r="AT85" s="587"/>
      <c r="AU85" s="584" t="s">
        <v>2419</v>
      </c>
      <c r="AV85" s="578" t="s">
        <v>610</v>
      </c>
      <c r="AW85" s="588">
        <v>44287</v>
      </c>
      <c r="AX85" s="588">
        <v>46112</v>
      </c>
      <c r="AY85" s="588" t="s">
        <v>270</v>
      </c>
      <c r="AZ85" s="589" t="s">
        <v>271</v>
      </c>
      <c r="BA85" s="589" t="s">
        <v>1065</v>
      </c>
      <c r="BB85" s="589" t="s">
        <v>1935</v>
      </c>
      <c r="BC85" s="590">
        <v>2</v>
      </c>
      <c r="BD85" s="591"/>
    </row>
    <row r="86" spans="1:56" s="560" customFormat="1" ht="16.5" customHeight="1">
      <c r="A86" s="561">
        <v>2024</v>
      </c>
      <c r="B86" s="577" t="s">
        <v>612</v>
      </c>
      <c r="C86" s="562" t="s">
        <v>605</v>
      </c>
      <c r="D86" s="562" t="s">
        <v>2415</v>
      </c>
      <c r="E86" s="578" t="s">
        <v>613</v>
      </c>
      <c r="F86" s="579" t="s">
        <v>78</v>
      </c>
      <c r="G86" s="578" t="s">
        <v>180</v>
      </c>
      <c r="H86" s="579" t="s">
        <v>614</v>
      </c>
      <c r="I86" s="579" t="s">
        <v>58</v>
      </c>
      <c r="J86" s="579" t="s">
        <v>263</v>
      </c>
      <c r="K86" s="579" t="s">
        <v>264</v>
      </c>
      <c r="L86" s="578" t="s">
        <v>265</v>
      </c>
      <c r="M86" s="580" t="s">
        <v>396</v>
      </c>
      <c r="N86" s="580" t="s">
        <v>396</v>
      </c>
      <c r="O86" s="581">
        <v>551.46</v>
      </c>
      <c r="P86" s="581">
        <v>327.84</v>
      </c>
      <c r="Q86" s="582"/>
      <c r="R86" s="579" t="s">
        <v>161</v>
      </c>
      <c r="S86" s="579" t="s">
        <v>151</v>
      </c>
      <c r="T86" s="580" t="s">
        <v>63</v>
      </c>
      <c r="U86" s="580" t="s">
        <v>63</v>
      </c>
      <c r="V86" s="580" t="s">
        <v>63</v>
      </c>
      <c r="W86" s="580" t="s">
        <v>63</v>
      </c>
      <c r="X86" s="580" t="s">
        <v>63</v>
      </c>
      <c r="Y86" s="580" t="s">
        <v>63</v>
      </c>
      <c r="Z86" s="580" t="s">
        <v>615</v>
      </c>
      <c r="AA86" s="578"/>
      <c r="AB86" s="580" t="s">
        <v>68</v>
      </c>
      <c r="AC86" s="579" t="s">
        <v>1929</v>
      </c>
      <c r="AD86" s="580" t="s">
        <v>68</v>
      </c>
      <c r="AE86" s="579"/>
      <c r="AF86" s="587" t="s">
        <v>267</v>
      </c>
      <c r="AG86" s="584" t="s">
        <v>63</v>
      </c>
      <c r="AH86" s="580" t="s">
        <v>1929</v>
      </c>
      <c r="AI86" s="580" t="s">
        <v>63</v>
      </c>
      <c r="AJ86" s="580" t="s">
        <v>1929</v>
      </c>
      <c r="AK86" s="580" t="s">
        <v>1929</v>
      </c>
      <c r="AL86" s="580" t="s">
        <v>1929</v>
      </c>
      <c r="AM86" s="585" t="s">
        <v>66</v>
      </c>
      <c r="AN86" s="586" t="s">
        <v>164</v>
      </c>
      <c r="AO86" s="579" t="s">
        <v>71</v>
      </c>
      <c r="AP86" s="579" t="s">
        <v>72</v>
      </c>
      <c r="AQ86" s="579" t="s">
        <v>1929</v>
      </c>
      <c r="AR86" s="579" t="s">
        <v>121</v>
      </c>
      <c r="AS86" s="579"/>
      <c r="AT86" s="587"/>
      <c r="AU86" s="584" t="s">
        <v>2419</v>
      </c>
      <c r="AV86" s="578" t="s">
        <v>616</v>
      </c>
      <c r="AW86" s="588">
        <v>44287</v>
      </c>
      <c r="AX86" s="588">
        <v>46112</v>
      </c>
      <c r="AY86" s="588" t="s">
        <v>270</v>
      </c>
      <c r="AZ86" s="589" t="s">
        <v>271</v>
      </c>
      <c r="BA86" s="589" t="s">
        <v>1065</v>
      </c>
      <c r="BB86" s="589" t="s">
        <v>617</v>
      </c>
      <c r="BC86" s="590">
        <v>0</v>
      </c>
      <c r="BD86" s="591"/>
    </row>
    <row r="87" spans="1:56" s="560" customFormat="1" ht="16.5" customHeight="1">
      <c r="A87" s="561">
        <v>2024</v>
      </c>
      <c r="B87" s="577" t="s">
        <v>2623</v>
      </c>
      <c r="C87" s="577" t="s">
        <v>611</v>
      </c>
      <c r="D87" s="562" t="s">
        <v>2415</v>
      </c>
      <c r="E87" s="578" t="s">
        <v>2617</v>
      </c>
      <c r="F87" s="579" t="s">
        <v>78</v>
      </c>
      <c r="G87" s="578" t="s">
        <v>180</v>
      </c>
      <c r="H87" s="579" t="s">
        <v>2598</v>
      </c>
      <c r="I87" s="579" t="s">
        <v>58</v>
      </c>
      <c r="J87" s="579" t="s">
        <v>263</v>
      </c>
      <c r="K87" s="579" t="s">
        <v>264</v>
      </c>
      <c r="L87" s="578" t="s">
        <v>2253</v>
      </c>
      <c r="M87" s="580" t="s">
        <v>2599</v>
      </c>
      <c r="N87" s="580" t="s">
        <v>2599</v>
      </c>
      <c r="O87" s="581">
        <v>849.58</v>
      </c>
      <c r="P87" s="581">
        <v>516.04999999999995</v>
      </c>
      <c r="Q87" s="582"/>
      <c r="R87" s="579" t="s">
        <v>2190</v>
      </c>
      <c r="S87" s="579" t="s">
        <v>151</v>
      </c>
      <c r="T87" s="580" t="s">
        <v>63</v>
      </c>
      <c r="U87" s="580" t="s">
        <v>63</v>
      </c>
      <c r="V87" s="580" t="s">
        <v>63</v>
      </c>
      <c r="W87" s="580" t="s">
        <v>63</v>
      </c>
      <c r="X87" s="580" t="s">
        <v>1846</v>
      </c>
      <c r="Y87" s="580" t="s">
        <v>1910</v>
      </c>
      <c r="Z87" s="580" t="s">
        <v>1910</v>
      </c>
      <c r="AA87" s="578"/>
      <c r="AB87" s="580" t="s">
        <v>1874</v>
      </c>
      <c r="AC87" s="579"/>
      <c r="AD87" s="580" t="s">
        <v>1874</v>
      </c>
      <c r="AE87" s="579"/>
      <c r="AF87" s="587" t="s">
        <v>267</v>
      </c>
      <c r="AG87" s="584" t="s">
        <v>63</v>
      </c>
      <c r="AH87" s="580"/>
      <c r="AI87" s="580" t="s">
        <v>63</v>
      </c>
      <c r="AJ87" s="580"/>
      <c r="AK87" s="580" t="s">
        <v>1846</v>
      </c>
      <c r="AL87" s="580" t="s">
        <v>1846</v>
      </c>
      <c r="AM87" s="580" t="s">
        <v>1846</v>
      </c>
      <c r="AN87" s="586" t="s">
        <v>2681</v>
      </c>
      <c r="AO87" s="579" t="s">
        <v>2682</v>
      </c>
      <c r="AP87" s="579" t="s">
        <v>2193</v>
      </c>
      <c r="AQ87" s="579"/>
      <c r="AR87" s="579" t="s">
        <v>2683</v>
      </c>
      <c r="AS87" s="579"/>
      <c r="AT87" s="587"/>
      <c r="AU87" s="584" t="s">
        <v>2419</v>
      </c>
      <c r="AV87" s="578" t="s">
        <v>2684</v>
      </c>
      <c r="AW87" s="588">
        <v>45108</v>
      </c>
      <c r="AX87" s="588">
        <v>46112</v>
      </c>
      <c r="AY87" s="588" t="s">
        <v>2271</v>
      </c>
      <c r="AZ87" s="589" t="s">
        <v>271</v>
      </c>
      <c r="BA87" s="589" t="s">
        <v>1065</v>
      </c>
      <c r="BB87" s="589" t="s">
        <v>2685</v>
      </c>
      <c r="BC87" s="590">
        <v>0</v>
      </c>
      <c r="BD87" s="591"/>
    </row>
    <row r="88" spans="1:56" s="560" customFormat="1" ht="16.5" customHeight="1">
      <c r="A88" s="576">
        <v>2024</v>
      </c>
      <c r="B88" s="577" t="s">
        <v>628</v>
      </c>
      <c r="C88" s="562" t="s">
        <v>618</v>
      </c>
      <c r="D88" s="562" t="s">
        <v>2415</v>
      </c>
      <c r="E88" s="578" t="s">
        <v>629</v>
      </c>
      <c r="F88" s="579" t="s">
        <v>78</v>
      </c>
      <c r="G88" s="578" t="s">
        <v>180</v>
      </c>
      <c r="H88" s="579" t="s">
        <v>630</v>
      </c>
      <c r="I88" s="579" t="s">
        <v>58</v>
      </c>
      <c r="J88" s="579" t="s">
        <v>263</v>
      </c>
      <c r="K88" s="579" t="s">
        <v>264</v>
      </c>
      <c r="L88" s="578" t="s">
        <v>265</v>
      </c>
      <c r="M88" s="580" t="s">
        <v>275</v>
      </c>
      <c r="N88" s="580" t="s">
        <v>275</v>
      </c>
      <c r="O88" s="581">
        <v>313.94</v>
      </c>
      <c r="P88" s="581">
        <v>136.4</v>
      </c>
      <c r="Q88" s="582"/>
      <c r="R88" s="579" t="s">
        <v>245</v>
      </c>
      <c r="S88" s="579" t="s">
        <v>151</v>
      </c>
      <c r="T88" s="580" t="s">
        <v>63</v>
      </c>
      <c r="U88" s="580" t="s">
        <v>63</v>
      </c>
      <c r="V88" s="580" t="s">
        <v>66</v>
      </c>
      <c r="W88" s="580" t="s">
        <v>63</v>
      </c>
      <c r="X88" s="580" t="s">
        <v>63</v>
      </c>
      <c r="Y88" s="580" t="s">
        <v>63</v>
      </c>
      <c r="Z88" s="580" t="s">
        <v>631</v>
      </c>
      <c r="AA88" s="578"/>
      <c r="AB88" s="580" t="s">
        <v>68</v>
      </c>
      <c r="AC88" s="579" t="s">
        <v>1929</v>
      </c>
      <c r="AD88" s="580" t="s">
        <v>68</v>
      </c>
      <c r="AE88" s="579"/>
      <c r="AF88" s="587" t="s">
        <v>267</v>
      </c>
      <c r="AG88" s="584" t="s">
        <v>63</v>
      </c>
      <c r="AH88" s="580" t="s">
        <v>1929</v>
      </c>
      <c r="AI88" s="580" t="s">
        <v>63</v>
      </c>
      <c r="AJ88" s="580" t="s">
        <v>1929</v>
      </c>
      <c r="AK88" s="580" t="s">
        <v>1846</v>
      </c>
      <c r="AL88" s="580" t="s">
        <v>1929</v>
      </c>
      <c r="AM88" s="585" t="s">
        <v>66</v>
      </c>
      <c r="AN88" s="586" t="s">
        <v>164</v>
      </c>
      <c r="AO88" s="579" t="s">
        <v>71</v>
      </c>
      <c r="AP88" s="579" t="s">
        <v>72</v>
      </c>
      <c r="AQ88" s="579" t="s">
        <v>1929</v>
      </c>
      <c r="AR88" s="579" t="s">
        <v>121</v>
      </c>
      <c r="AS88" s="579"/>
      <c r="AT88" s="587"/>
      <c r="AU88" s="584" t="s">
        <v>2419</v>
      </c>
      <c r="AV88" s="578" t="s">
        <v>632</v>
      </c>
      <c r="AW88" s="588">
        <v>44287</v>
      </c>
      <c r="AX88" s="588">
        <v>46112</v>
      </c>
      <c r="AY88" s="588" t="s">
        <v>270</v>
      </c>
      <c r="AZ88" s="589" t="s">
        <v>271</v>
      </c>
      <c r="BA88" s="589" t="s">
        <v>1065</v>
      </c>
      <c r="BB88" s="589" t="s">
        <v>633</v>
      </c>
      <c r="BC88" s="590">
        <v>1</v>
      </c>
      <c r="BD88" s="591"/>
    </row>
    <row r="89" spans="1:56" s="560" customFormat="1" ht="16.5" customHeight="1">
      <c r="A89" s="576">
        <v>2024</v>
      </c>
      <c r="B89" s="577" t="s">
        <v>635</v>
      </c>
      <c r="C89" s="577" t="s">
        <v>621</v>
      </c>
      <c r="D89" s="562" t="s">
        <v>2415</v>
      </c>
      <c r="E89" s="578" t="s">
        <v>636</v>
      </c>
      <c r="F89" s="579" t="s">
        <v>78</v>
      </c>
      <c r="G89" s="578" t="s">
        <v>180</v>
      </c>
      <c r="H89" s="579" t="s">
        <v>637</v>
      </c>
      <c r="I89" s="579" t="s">
        <v>58</v>
      </c>
      <c r="J89" s="579" t="s">
        <v>263</v>
      </c>
      <c r="K89" s="579" t="s">
        <v>264</v>
      </c>
      <c r="L89" s="578" t="s">
        <v>265</v>
      </c>
      <c r="M89" s="580" t="s">
        <v>160</v>
      </c>
      <c r="N89" s="580" t="s">
        <v>160</v>
      </c>
      <c r="O89" s="581">
        <v>625.76</v>
      </c>
      <c r="P89" s="581">
        <v>315</v>
      </c>
      <c r="Q89" s="582"/>
      <c r="R89" s="579" t="s">
        <v>245</v>
      </c>
      <c r="S89" s="579" t="s">
        <v>151</v>
      </c>
      <c r="T89" s="580" t="s">
        <v>63</v>
      </c>
      <c r="U89" s="580" t="s">
        <v>63</v>
      </c>
      <c r="V89" s="580" t="s">
        <v>66</v>
      </c>
      <c r="W89" s="580" t="s">
        <v>63</v>
      </c>
      <c r="X89" s="580" t="s">
        <v>63</v>
      </c>
      <c r="Y89" s="580" t="s">
        <v>63</v>
      </c>
      <c r="Z89" s="580" t="s">
        <v>110</v>
      </c>
      <c r="AA89" s="578"/>
      <c r="AB89" s="580" t="s">
        <v>68</v>
      </c>
      <c r="AC89" s="579" t="s">
        <v>1929</v>
      </c>
      <c r="AD89" s="580" t="s">
        <v>68</v>
      </c>
      <c r="AE89" s="579"/>
      <c r="AF89" s="587" t="s">
        <v>267</v>
      </c>
      <c r="AG89" s="584" t="s">
        <v>63</v>
      </c>
      <c r="AH89" s="580" t="s">
        <v>1929</v>
      </c>
      <c r="AI89" s="580" t="s">
        <v>63</v>
      </c>
      <c r="AJ89" s="580" t="s">
        <v>1929</v>
      </c>
      <c r="AK89" s="580" t="s">
        <v>1929</v>
      </c>
      <c r="AL89" s="580" t="s">
        <v>1929</v>
      </c>
      <c r="AM89" s="585" t="s">
        <v>66</v>
      </c>
      <c r="AN89" s="586" t="s">
        <v>164</v>
      </c>
      <c r="AO89" s="579" t="s">
        <v>71</v>
      </c>
      <c r="AP89" s="579" t="s">
        <v>72</v>
      </c>
      <c r="AQ89" s="579" t="s">
        <v>1929</v>
      </c>
      <c r="AR89" s="579" t="s">
        <v>121</v>
      </c>
      <c r="AS89" s="579"/>
      <c r="AT89" s="587"/>
      <c r="AU89" s="584" t="s">
        <v>2419</v>
      </c>
      <c r="AV89" s="578" t="s">
        <v>638</v>
      </c>
      <c r="AW89" s="588">
        <v>44287</v>
      </c>
      <c r="AX89" s="588">
        <v>46112</v>
      </c>
      <c r="AY89" s="588" t="s">
        <v>270</v>
      </c>
      <c r="AZ89" s="589" t="s">
        <v>271</v>
      </c>
      <c r="BA89" s="589" t="s">
        <v>1065</v>
      </c>
      <c r="BB89" s="589" t="s">
        <v>1933</v>
      </c>
      <c r="BC89" s="590">
        <v>3</v>
      </c>
      <c r="BD89" s="591"/>
    </row>
    <row r="90" spans="1:56" s="560" customFormat="1" ht="16.5" customHeight="1">
      <c r="A90" s="561">
        <v>2024</v>
      </c>
      <c r="B90" s="577" t="s">
        <v>640</v>
      </c>
      <c r="C90" s="562" t="s">
        <v>624</v>
      </c>
      <c r="D90" s="562" t="s">
        <v>2415</v>
      </c>
      <c r="E90" s="578" t="s">
        <v>641</v>
      </c>
      <c r="F90" s="579" t="s">
        <v>78</v>
      </c>
      <c r="G90" s="578" t="s">
        <v>180</v>
      </c>
      <c r="H90" s="579" t="s">
        <v>642</v>
      </c>
      <c r="I90" s="579" t="s">
        <v>58</v>
      </c>
      <c r="J90" s="579" t="s">
        <v>263</v>
      </c>
      <c r="K90" s="579" t="s">
        <v>264</v>
      </c>
      <c r="L90" s="578" t="s">
        <v>265</v>
      </c>
      <c r="M90" s="580" t="s">
        <v>306</v>
      </c>
      <c r="N90" s="580" t="s">
        <v>306</v>
      </c>
      <c r="O90" s="581">
        <v>290.04000000000002</v>
      </c>
      <c r="P90" s="581">
        <v>122.3</v>
      </c>
      <c r="Q90" s="582"/>
      <c r="R90" s="579" t="s">
        <v>100</v>
      </c>
      <c r="S90" s="579" t="s">
        <v>151</v>
      </c>
      <c r="T90" s="580" t="s">
        <v>63</v>
      </c>
      <c r="U90" s="580" t="s">
        <v>63</v>
      </c>
      <c r="V90" s="580" t="s">
        <v>66</v>
      </c>
      <c r="W90" s="580" t="s">
        <v>63</v>
      </c>
      <c r="X90" s="580" t="s">
        <v>63</v>
      </c>
      <c r="Y90" s="580" t="s">
        <v>63</v>
      </c>
      <c r="Z90" s="580" t="s">
        <v>643</v>
      </c>
      <c r="AA90" s="578"/>
      <c r="AB90" s="580" t="s">
        <v>68</v>
      </c>
      <c r="AC90" s="579" t="s">
        <v>1929</v>
      </c>
      <c r="AD90" s="580" t="s">
        <v>68</v>
      </c>
      <c r="AE90" s="579"/>
      <c r="AF90" s="587" t="s">
        <v>267</v>
      </c>
      <c r="AG90" s="584" t="s">
        <v>63</v>
      </c>
      <c r="AH90" s="580" t="s">
        <v>1929</v>
      </c>
      <c r="AI90" s="580" t="s">
        <v>63</v>
      </c>
      <c r="AJ90" s="580"/>
      <c r="AK90" s="580" t="s">
        <v>1929</v>
      </c>
      <c r="AL90" s="580" t="s">
        <v>1929</v>
      </c>
      <c r="AM90" s="585" t="s">
        <v>66</v>
      </c>
      <c r="AN90" s="586" t="s">
        <v>164</v>
      </c>
      <c r="AO90" s="579" t="s">
        <v>71</v>
      </c>
      <c r="AP90" s="579" t="s">
        <v>72</v>
      </c>
      <c r="AQ90" s="579" t="s">
        <v>1929</v>
      </c>
      <c r="AR90" s="579" t="s">
        <v>121</v>
      </c>
      <c r="AS90" s="579"/>
      <c r="AT90" s="587"/>
      <c r="AU90" s="584" t="s">
        <v>2419</v>
      </c>
      <c r="AV90" s="578" t="s">
        <v>644</v>
      </c>
      <c r="AW90" s="588">
        <v>44287</v>
      </c>
      <c r="AX90" s="588">
        <v>46112</v>
      </c>
      <c r="AY90" s="588" t="s">
        <v>270</v>
      </c>
      <c r="AZ90" s="589" t="s">
        <v>271</v>
      </c>
      <c r="BA90" s="589" t="s">
        <v>1065</v>
      </c>
      <c r="BB90" s="589" t="s">
        <v>300</v>
      </c>
      <c r="BC90" s="590">
        <v>0</v>
      </c>
      <c r="BD90" s="591"/>
    </row>
    <row r="91" spans="1:56" s="560" customFormat="1" ht="16.5" customHeight="1">
      <c r="A91" s="576">
        <v>2024</v>
      </c>
      <c r="B91" s="577" t="s">
        <v>646</v>
      </c>
      <c r="C91" s="577" t="s">
        <v>627</v>
      </c>
      <c r="D91" s="562" t="s">
        <v>2415</v>
      </c>
      <c r="E91" s="578" t="s">
        <v>647</v>
      </c>
      <c r="F91" s="579" t="s">
        <v>78</v>
      </c>
      <c r="G91" s="578" t="s">
        <v>180</v>
      </c>
      <c r="H91" s="579" t="s">
        <v>648</v>
      </c>
      <c r="I91" s="579" t="s">
        <v>58</v>
      </c>
      <c r="J91" s="579" t="s">
        <v>263</v>
      </c>
      <c r="K91" s="579" t="s">
        <v>264</v>
      </c>
      <c r="L91" s="578" t="s">
        <v>265</v>
      </c>
      <c r="M91" s="580" t="s">
        <v>350</v>
      </c>
      <c r="N91" s="580" t="s">
        <v>350</v>
      </c>
      <c r="O91" s="581">
        <v>866.29</v>
      </c>
      <c r="P91" s="581">
        <v>406.53</v>
      </c>
      <c r="Q91" s="582"/>
      <c r="R91" s="579" t="s">
        <v>100</v>
      </c>
      <c r="S91" s="579" t="s">
        <v>151</v>
      </c>
      <c r="T91" s="580" t="s">
        <v>63</v>
      </c>
      <c r="U91" s="580" t="s">
        <v>63</v>
      </c>
      <c r="V91" s="580" t="s">
        <v>63</v>
      </c>
      <c r="W91" s="580" t="s">
        <v>63</v>
      </c>
      <c r="X91" s="580" t="s">
        <v>63</v>
      </c>
      <c r="Y91" s="580" t="s">
        <v>63</v>
      </c>
      <c r="Z91" s="580" t="s">
        <v>649</v>
      </c>
      <c r="AA91" s="578"/>
      <c r="AB91" s="580" t="s">
        <v>68</v>
      </c>
      <c r="AC91" s="579" t="s">
        <v>1929</v>
      </c>
      <c r="AD91" s="580" t="s">
        <v>68</v>
      </c>
      <c r="AE91" s="579"/>
      <c r="AF91" s="587" t="s">
        <v>267</v>
      </c>
      <c r="AG91" s="584" t="s">
        <v>63</v>
      </c>
      <c r="AH91" s="580" t="s">
        <v>1929</v>
      </c>
      <c r="AI91" s="580" t="s">
        <v>63</v>
      </c>
      <c r="AJ91" s="580" t="s">
        <v>1929</v>
      </c>
      <c r="AK91" s="580" t="s">
        <v>1929</v>
      </c>
      <c r="AL91" s="580" t="s">
        <v>1929</v>
      </c>
      <c r="AM91" s="585" t="s">
        <v>66</v>
      </c>
      <c r="AN91" s="586" t="s">
        <v>164</v>
      </c>
      <c r="AO91" s="579" t="s">
        <v>71</v>
      </c>
      <c r="AP91" s="579" t="s">
        <v>72</v>
      </c>
      <c r="AQ91" s="579" t="s">
        <v>1929</v>
      </c>
      <c r="AR91" s="579" t="s">
        <v>121</v>
      </c>
      <c r="AS91" s="579"/>
      <c r="AT91" s="587" t="s">
        <v>650</v>
      </c>
      <c r="AU91" s="584" t="s">
        <v>2419</v>
      </c>
      <c r="AV91" s="578" t="s">
        <v>651</v>
      </c>
      <c r="AW91" s="588">
        <v>44287</v>
      </c>
      <c r="AX91" s="588">
        <v>46112</v>
      </c>
      <c r="AY91" s="588" t="s">
        <v>270</v>
      </c>
      <c r="AZ91" s="589" t="s">
        <v>271</v>
      </c>
      <c r="BA91" s="589" t="s">
        <v>1065</v>
      </c>
      <c r="BB91" s="589" t="s">
        <v>1936</v>
      </c>
      <c r="BC91" s="590">
        <v>1</v>
      </c>
      <c r="BD91" s="591"/>
    </row>
    <row r="92" spans="1:56" s="560" customFormat="1" ht="16.5" customHeight="1">
      <c r="A92" s="576">
        <v>2024</v>
      </c>
      <c r="B92" s="577" t="s">
        <v>653</v>
      </c>
      <c r="C92" s="562" t="s">
        <v>634</v>
      </c>
      <c r="D92" s="562" t="s">
        <v>2415</v>
      </c>
      <c r="E92" s="578" t="s">
        <v>654</v>
      </c>
      <c r="F92" s="579" t="s">
        <v>78</v>
      </c>
      <c r="G92" s="578" t="s">
        <v>180</v>
      </c>
      <c r="H92" s="579" t="s">
        <v>655</v>
      </c>
      <c r="I92" s="579" t="s">
        <v>58</v>
      </c>
      <c r="J92" s="579" t="s">
        <v>263</v>
      </c>
      <c r="K92" s="579" t="s">
        <v>264</v>
      </c>
      <c r="L92" s="578" t="s">
        <v>265</v>
      </c>
      <c r="M92" s="580" t="s">
        <v>656</v>
      </c>
      <c r="N92" s="580" t="s">
        <v>656</v>
      </c>
      <c r="O92" s="581">
        <v>355.01</v>
      </c>
      <c r="P92" s="581">
        <v>247</v>
      </c>
      <c r="Q92" s="582"/>
      <c r="R92" s="579" t="s">
        <v>100</v>
      </c>
      <c r="S92" s="579" t="s">
        <v>151</v>
      </c>
      <c r="T92" s="580" t="s">
        <v>63</v>
      </c>
      <c r="U92" s="580" t="s">
        <v>63</v>
      </c>
      <c r="V92" s="580" t="s">
        <v>63</v>
      </c>
      <c r="W92" s="580" t="s">
        <v>63</v>
      </c>
      <c r="X92" s="580" t="s">
        <v>63</v>
      </c>
      <c r="Y92" s="580" t="s">
        <v>66</v>
      </c>
      <c r="Z92" s="580" t="s">
        <v>66</v>
      </c>
      <c r="AA92" s="578"/>
      <c r="AB92" s="580" t="s">
        <v>68</v>
      </c>
      <c r="AC92" s="579" t="s">
        <v>1929</v>
      </c>
      <c r="AD92" s="580" t="s">
        <v>68</v>
      </c>
      <c r="AE92" s="579"/>
      <c r="AF92" s="587" t="s">
        <v>267</v>
      </c>
      <c r="AG92" s="584" t="s">
        <v>63</v>
      </c>
      <c r="AH92" s="580" t="s">
        <v>1929</v>
      </c>
      <c r="AI92" s="580" t="s">
        <v>63</v>
      </c>
      <c r="AJ92" s="580" t="s">
        <v>1929</v>
      </c>
      <c r="AK92" s="580" t="s">
        <v>1929</v>
      </c>
      <c r="AL92" s="580" t="s">
        <v>1929</v>
      </c>
      <c r="AM92" s="585" t="s">
        <v>63</v>
      </c>
      <c r="AN92" s="586" t="s">
        <v>258</v>
      </c>
      <c r="AO92" s="579" t="s">
        <v>71</v>
      </c>
      <c r="AP92" s="579" t="s">
        <v>72</v>
      </c>
      <c r="AQ92" s="579" t="s">
        <v>268</v>
      </c>
      <c r="AR92" s="579"/>
      <c r="AS92" s="579"/>
      <c r="AT92" s="587"/>
      <c r="AU92" s="584" t="s">
        <v>2419</v>
      </c>
      <c r="AV92" s="578" t="s">
        <v>657</v>
      </c>
      <c r="AW92" s="588">
        <v>44287</v>
      </c>
      <c r="AX92" s="588">
        <v>46112</v>
      </c>
      <c r="AY92" s="588" t="s">
        <v>270</v>
      </c>
      <c r="AZ92" s="589" t="s">
        <v>271</v>
      </c>
      <c r="BA92" s="589" t="s">
        <v>1065</v>
      </c>
      <c r="BB92" s="589" t="s">
        <v>288</v>
      </c>
      <c r="BC92" s="590">
        <v>0</v>
      </c>
      <c r="BD92" s="591"/>
    </row>
    <row r="93" spans="1:56" s="560" customFormat="1" ht="16.5" customHeight="1">
      <c r="A93" s="561">
        <v>2024</v>
      </c>
      <c r="B93" s="577" t="s">
        <v>659</v>
      </c>
      <c r="C93" s="577" t="s">
        <v>639</v>
      </c>
      <c r="D93" s="562" t="s">
        <v>2415</v>
      </c>
      <c r="E93" s="578" t="s">
        <v>660</v>
      </c>
      <c r="F93" s="579" t="s">
        <v>78</v>
      </c>
      <c r="G93" s="578" t="s">
        <v>180</v>
      </c>
      <c r="H93" s="579" t="s">
        <v>661</v>
      </c>
      <c r="I93" s="579" t="s">
        <v>58</v>
      </c>
      <c r="J93" s="579" t="s">
        <v>263</v>
      </c>
      <c r="K93" s="579" t="s">
        <v>264</v>
      </c>
      <c r="L93" s="578" t="s">
        <v>265</v>
      </c>
      <c r="M93" s="580" t="s">
        <v>280</v>
      </c>
      <c r="N93" s="580" t="s">
        <v>280</v>
      </c>
      <c r="O93" s="581">
        <v>552.72</v>
      </c>
      <c r="P93" s="581">
        <v>425.25</v>
      </c>
      <c r="Q93" s="582"/>
      <c r="R93" s="579" t="s">
        <v>662</v>
      </c>
      <c r="S93" s="579" t="s">
        <v>151</v>
      </c>
      <c r="T93" s="580" t="s">
        <v>63</v>
      </c>
      <c r="U93" s="580" t="s">
        <v>63</v>
      </c>
      <c r="V93" s="580" t="s">
        <v>66</v>
      </c>
      <c r="W93" s="580" t="s">
        <v>63</v>
      </c>
      <c r="X93" s="580" t="s">
        <v>63</v>
      </c>
      <c r="Y93" s="580" t="s">
        <v>63</v>
      </c>
      <c r="Z93" s="580" t="s">
        <v>663</v>
      </c>
      <c r="AA93" s="578"/>
      <c r="AB93" s="580" t="s">
        <v>68</v>
      </c>
      <c r="AC93" s="579" t="s">
        <v>1929</v>
      </c>
      <c r="AD93" s="580" t="s">
        <v>68</v>
      </c>
      <c r="AE93" s="579"/>
      <c r="AF93" s="587" t="s">
        <v>267</v>
      </c>
      <c r="AG93" s="584" t="s">
        <v>63</v>
      </c>
      <c r="AH93" s="580" t="s">
        <v>1929</v>
      </c>
      <c r="AI93" s="580" t="s">
        <v>63</v>
      </c>
      <c r="AJ93" s="580" t="s">
        <v>1929</v>
      </c>
      <c r="AK93" s="580" t="s">
        <v>1929</v>
      </c>
      <c r="AL93" s="580" t="s">
        <v>1929</v>
      </c>
      <c r="AM93" s="585" t="s">
        <v>66</v>
      </c>
      <c r="AN93" s="586" t="s">
        <v>164</v>
      </c>
      <c r="AO93" s="579" t="s">
        <v>71</v>
      </c>
      <c r="AP93" s="579" t="s">
        <v>72</v>
      </c>
      <c r="AQ93" s="579" t="s">
        <v>1929</v>
      </c>
      <c r="AR93" s="579" t="s">
        <v>121</v>
      </c>
      <c r="AS93" s="579"/>
      <c r="AT93" s="587" t="s">
        <v>664</v>
      </c>
      <c r="AU93" s="584" t="s">
        <v>2419</v>
      </c>
      <c r="AV93" s="578" t="s">
        <v>665</v>
      </c>
      <c r="AW93" s="588">
        <v>44287</v>
      </c>
      <c r="AX93" s="588">
        <v>46112</v>
      </c>
      <c r="AY93" s="588" t="s">
        <v>270</v>
      </c>
      <c r="AZ93" s="589" t="s">
        <v>271</v>
      </c>
      <c r="BA93" s="589" t="s">
        <v>1065</v>
      </c>
      <c r="BB93" s="589" t="s">
        <v>378</v>
      </c>
      <c r="BC93" s="590">
        <v>2</v>
      </c>
      <c r="BD93" s="591"/>
    </row>
    <row r="94" spans="1:56" s="560" customFormat="1" ht="16.5" customHeight="1">
      <c r="A94" s="576">
        <v>2024</v>
      </c>
      <c r="B94" s="577" t="s">
        <v>668</v>
      </c>
      <c r="C94" s="562" t="s">
        <v>645</v>
      </c>
      <c r="D94" s="562" t="s">
        <v>2415</v>
      </c>
      <c r="E94" s="578" t="s">
        <v>669</v>
      </c>
      <c r="F94" s="579" t="s">
        <v>78</v>
      </c>
      <c r="G94" s="578" t="s">
        <v>180</v>
      </c>
      <c r="H94" s="579" t="s">
        <v>670</v>
      </c>
      <c r="I94" s="579" t="s">
        <v>58</v>
      </c>
      <c r="J94" s="579" t="s">
        <v>263</v>
      </c>
      <c r="K94" s="579" t="s">
        <v>264</v>
      </c>
      <c r="L94" s="578" t="s">
        <v>2250</v>
      </c>
      <c r="M94" s="580" t="s">
        <v>199</v>
      </c>
      <c r="N94" s="580" t="s">
        <v>199</v>
      </c>
      <c r="O94" s="581">
        <v>2713</v>
      </c>
      <c r="P94" s="581">
        <v>107.22</v>
      </c>
      <c r="Q94" s="582"/>
      <c r="R94" s="579" t="s">
        <v>662</v>
      </c>
      <c r="S94" s="579" t="s">
        <v>151</v>
      </c>
      <c r="T94" s="580" t="s">
        <v>63</v>
      </c>
      <c r="U94" s="580" t="s">
        <v>63</v>
      </c>
      <c r="V94" s="580" t="s">
        <v>63</v>
      </c>
      <c r="W94" s="580" t="s">
        <v>63</v>
      </c>
      <c r="X94" s="580" t="s">
        <v>63</v>
      </c>
      <c r="Y94" s="580" t="s">
        <v>1910</v>
      </c>
      <c r="Z94" s="580" t="s">
        <v>66</v>
      </c>
      <c r="AA94" s="578"/>
      <c r="AB94" s="580" t="s">
        <v>68</v>
      </c>
      <c r="AC94" s="579" t="s">
        <v>1929</v>
      </c>
      <c r="AD94" s="580" t="s">
        <v>68</v>
      </c>
      <c r="AE94" s="579"/>
      <c r="AF94" s="587" t="s">
        <v>267</v>
      </c>
      <c r="AG94" s="584" t="s">
        <v>63</v>
      </c>
      <c r="AH94" s="580" t="s">
        <v>1929</v>
      </c>
      <c r="AI94" s="580" t="s">
        <v>2087</v>
      </c>
      <c r="AJ94" s="580" t="s">
        <v>1929</v>
      </c>
      <c r="AK94" s="580" t="s">
        <v>1929</v>
      </c>
      <c r="AL94" s="580" t="s">
        <v>1929</v>
      </c>
      <c r="AM94" s="585" t="s">
        <v>66</v>
      </c>
      <c r="AN94" s="586" t="s">
        <v>164</v>
      </c>
      <c r="AO94" s="579" t="s">
        <v>71</v>
      </c>
      <c r="AP94" s="579" t="s">
        <v>72</v>
      </c>
      <c r="AQ94" s="579" t="s">
        <v>1929</v>
      </c>
      <c r="AR94" s="579" t="s">
        <v>121</v>
      </c>
      <c r="AS94" s="579"/>
      <c r="AT94" s="587"/>
      <c r="AU94" s="584" t="s">
        <v>2419</v>
      </c>
      <c r="AV94" s="578" t="s">
        <v>671</v>
      </c>
      <c r="AW94" s="588">
        <v>44287</v>
      </c>
      <c r="AX94" s="588">
        <v>46112</v>
      </c>
      <c r="AY94" s="588" t="s">
        <v>270</v>
      </c>
      <c r="AZ94" s="589" t="s">
        <v>271</v>
      </c>
      <c r="BA94" s="589" t="s">
        <v>1065</v>
      </c>
      <c r="BB94" s="589" t="s">
        <v>1938</v>
      </c>
      <c r="BC94" s="590">
        <v>1</v>
      </c>
      <c r="BD94" s="591"/>
    </row>
    <row r="95" spans="1:56" s="560" customFormat="1" ht="16.5" customHeight="1">
      <c r="A95" s="576">
        <v>2024</v>
      </c>
      <c r="B95" s="577" t="s">
        <v>673</v>
      </c>
      <c r="C95" s="577" t="s">
        <v>652</v>
      </c>
      <c r="D95" s="562" t="s">
        <v>2415</v>
      </c>
      <c r="E95" s="578" t="s">
        <v>674</v>
      </c>
      <c r="F95" s="579" t="s">
        <v>78</v>
      </c>
      <c r="G95" s="578" t="s">
        <v>180</v>
      </c>
      <c r="H95" s="579" t="s">
        <v>2063</v>
      </c>
      <c r="I95" s="579" t="s">
        <v>58</v>
      </c>
      <c r="J95" s="579" t="s">
        <v>263</v>
      </c>
      <c r="K95" s="579" t="s">
        <v>264</v>
      </c>
      <c r="L95" s="578" t="s">
        <v>265</v>
      </c>
      <c r="M95" s="580" t="s">
        <v>222</v>
      </c>
      <c r="N95" s="580" t="s">
        <v>222</v>
      </c>
      <c r="O95" s="581">
        <v>640.1</v>
      </c>
      <c r="P95" s="581">
        <v>103.75</v>
      </c>
      <c r="Q95" s="582"/>
      <c r="R95" s="579" t="s">
        <v>662</v>
      </c>
      <c r="S95" s="579" t="s">
        <v>151</v>
      </c>
      <c r="T95" s="580" t="s">
        <v>66</v>
      </c>
      <c r="U95" s="580" t="s">
        <v>63</v>
      </c>
      <c r="V95" s="580" t="s">
        <v>63</v>
      </c>
      <c r="W95" s="580" t="s">
        <v>63</v>
      </c>
      <c r="X95" s="580" t="s">
        <v>63</v>
      </c>
      <c r="Y95" s="580" t="s">
        <v>66</v>
      </c>
      <c r="Z95" s="580" t="s">
        <v>66</v>
      </c>
      <c r="AA95" s="578"/>
      <c r="AB95" s="580" t="s">
        <v>68</v>
      </c>
      <c r="AC95" s="579" t="s">
        <v>1929</v>
      </c>
      <c r="AD95" s="580" t="s">
        <v>68</v>
      </c>
      <c r="AE95" s="579"/>
      <c r="AF95" s="587" t="s">
        <v>267</v>
      </c>
      <c r="AG95" s="584" t="s">
        <v>63</v>
      </c>
      <c r="AH95" s="580" t="s">
        <v>1929</v>
      </c>
      <c r="AI95" s="580" t="s">
        <v>63</v>
      </c>
      <c r="AJ95" s="580" t="s">
        <v>1929</v>
      </c>
      <c r="AK95" s="580" t="s">
        <v>63</v>
      </c>
      <c r="AL95" s="580" t="s">
        <v>1929</v>
      </c>
      <c r="AM95" s="585" t="s">
        <v>66</v>
      </c>
      <c r="AN95" s="586" t="s">
        <v>164</v>
      </c>
      <c r="AO95" s="579" t="s">
        <v>71</v>
      </c>
      <c r="AP95" s="579" t="s">
        <v>72</v>
      </c>
      <c r="AQ95" s="579" t="s">
        <v>1929</v>
      </c>
      <c r="AR95" s="579" t="s">
        <v>121</v>
      </c>
      <c r="AS95" s="579"/>
      <c r="AT95" s="587"/>
      <c r="AU95" s="584" t="s">
        <v>2419</v>
      </c>
      <c r="AV95" s="578" t="s">
        <v>675</v>
      </c>
      <c r="AW95" s="588">
        <v>44287</v>
      </c>
      <c r="AX95" s="588">
        <v>46112</v>
      </c>
      <c r="AY95" s="588" t="s">
        <v>270</v>
      </c>
      <c r="AZ95" s="589" t="s">
        <v>271</v>
      </c>
      <c r="BA95" s="589" t="s">
        <v>1065</v>
      </c>
      <c r="BB95" s="589" t="s">
        <v>300</v>
      </c>
      <c r="BC95" s="590">
        <v>0</v>
      </c>
      <c r="BD95" s="591"/>
    </row>
    <row r="96" spans="1:56" s="560" customFormat="1" ht="16.5" customHeight="1">
      <c r="A96" s="561">
        <v>2024</v>
      </c>
      <c r="B96" s="577" t="s">
        <v>677</v>
      </c>
      <c r="C96" s="562" t="s">
        <v>658</v>
      </c>
      <c r="D96" s="562" t="s">
        <v>2415</v>
      </c>
      <c r="E96" s="578" t="s">
        <v>678</v>
      </c>
      <c r="F96" s="579" t="s">
        <v>78</v>
      </c>
      <c r="G96" s="578" t="s">
        <v>180</v>
      </c>
      <c r="H96" s="579" t="s">
        <v>679</v>
      </c>
      <c r="I96" s="579" t="s">
        <v>58</v>
      </c>
      <c r="J96" s="579" t="s">
        <v>263</v>
      </c>
      <c r="K96" s="579" t="s">
        <v>264</v>
      </c>
      <c r="L96" s="578" t="s">
        <v>265</v>
      </c>
      <c r="M96" s="580" t="s">
        <v>542</v>
      </c>
      <c r="N96" s="580" t="s">
        <v>542</v>
      </c>
      <c r="O96" s="581">
        <v>170.75</v>
      </c>
      <c r="P96" s="581">
        <v>128.34</v>
      </c>
      <c r="Q96" s="582"/>
      <c r="R96" s="579" t="s">
        <v>662</v>
      </c>
      <c r="S96" s="579" t="s">
        <v>151</v>
      </c>
      <c r="T96" s="580" t="s">
        <v>63</v>
      </c>
      <c r="U96" s="580" t="s">
        <v>63</v>
      </c>
      <c r="V96" s="580" t="s">
        <v>63</v>
      </c>
      <c r="W96" s="580" t="s">
        <v>63</v>
      </c>
      <c r="X96" s="580" t="s">
        <v>63</v>
      </c>
      <c r="Y96" s="580" t="s">
        <v>66</v>
      </c>
      <c r="Z96" s="580" t="s">
        <v>66</v>
      </c>
      <c r="AA96" s="578"/>
      <c r="AB96" s="580" t="s">
        <v>68</v>
      </c>
      <c r="AC96" s="579" t="s">
        <v>1929</v>
      </c>
      <c r="AD96" s="580" t="s">
        <v>68</v>
      </c>
      <c r="AE96" s="579"/>
      <c r="AF96" s="587" t="s">
        <v>267</v>
      </c>
      <c r="AG96" s="584" t="s">
        <v>63</v>
      </c>
      <c r="AH96" s="580" t="s">
        <v>1929</v>
      </c>
      <c r="AI96" s="580" t="s">
        <v>63</v>
      </c>
      <c r="AJ96" s="580" t="s">
        <v>1929</v>
      </c>
      <c r="AK96" s="580" t="s">
        <v>63</v>
      </c>
      <c r="AL96" s="580" t="s">
        <v>1929</v>
      </c>
      <c r="AM96" s="585" t="s">
        <v>66</v>
      </c>
      <c r="AN96" s="586" t="s">
        <v>164</v>
      </c>
      <c r="AO96" s="579" t="s">
        <v>71</v>
      </c>
      <c r="AP96" s="579" t="s">
        <v>72</v>
      </c>
      <c r="AQ96" s="579" t="s">
        <v>1929</v>
      </c>
      <c r="AR96" s="579" t="s">
        <v>121</v>
      </c>
      <c r="AS96" s="579"/>
      <c r="AT96" s="587"/>
      <c r="AU96" s="584" t="s">
        <v>2419</v>
      </c>
      <c r="AV96" s="578" t="s">
        <v>680</v>
      </c>
      <c r="AW96" s="588">
        <v>44287</v>
      </c>
      <c r="AX96" s="588">
        <v>46112</v>
      </c>
      <c r="AY96" s="588" t="s">
        <v>270</v>
      </c>
      <c r="AZ96" s="589" t="s">
        <v>271</v>
      </c>
      <c r="BA96" s="589" t="s">
        <v>1065</v>
      </c>
      <c r="BB96" s="589" t="s">
        <v>288</v>
      </c>
      <c r="BC96" s="590">
        <v>0</v>
      </c>
      <c r="BD96" s="591"/>
    </row>
    <row r="97" spans="1:56" s="560" customFormat="1" ht="16.5" customHeight="1">
      <c r="A97" s="576">
        <v>2024</v>
      </c>
      <c r="B97" s="577" t="s">
        <v>2122</v>
      </c>
      <c r="C97" s="577" t="s">
        <v>666</v>
      </c>
      <c r="D97" s="562" t="s">
        <v>2415</v>
      </c>
      <c r="E97" s="578" t="s">
        <v>682</v>
      </c>
      <c r="F97" s="579" t="s">
        <v>170</v>
      </c>
      <c r="G97" s="578" t="s">
        <v>683</v>
      </c>
      <c r="H97" s="579" t="s">
        <v>2111</v>
      </c>
      <c r="I97" s="579" t="s">
        <v>58</v>
      </c>
      <c r="J97" s="579" t="s">
        <v>685</v>
      </c>
      <c r="K97" s="579" t="s">
        <v>686</v>
      </c>
      <c r="L97" s="578" t="s">
        <v>687</v>
      </c>
      <c r="M97" s="580" t="s">
        <v>2113</v>
      </c>
      <c r="N97" s="580" t="s">
        <v>2113</v>
      </c>
      <c r="O97" s="581">
        <v>5363.35</v>
      </c>
      <c r="P97" s="581">
        <v>708.81</v>
      </c>
      <c r="Q97" s="582"/>
      <c r="R97" s="579" t="s">
        <v>64</v>
      </c>
      <c r="S97" s="579" t="s">
        <v>2025</v>
      </c>
      <c r="T97" s="580" t="s">
        <v>63</v>
      </c>
      <c r="U97" s="580" t="s">
        <v>63</v>
      </c>
      <c r="V97" s="580" t="s">
        <v>63</v>
      </c>
      <c r="W97" s="580" t="s">
        <v>63</v>
      </c>
      <c r="X97" s="580" t="s">
        <v>63</v>
      </c>
      <c r="Y97" s="580" t="s">
        <v>66</v>
      </c>
      <c r="Z97" s="580" t="s">
        <v>66</v>
      </c>
      <c r="AA97" s="578" t="s">
        <v>2115</v>
      </c>
      <c r="AB97" s="580" t="s">
        <v>68</v>
      </c>
      <c r="AC97" s="579"/>
      <c r="AD97" s="580" t="s">
        <v>68</v>
      </c>
      <c r="AE97" s="579"/>
      <c r="AF97" s="587" t="s">
        <v>688</v>
      </c>
      <c r="AG97" s="584" t="s">
        <v>63</v>
      </c>
      <c r="AH97" s="580" t="s">
        <v>63</v>
      </c>
      <c r="AI97" s="580" t="s">
        <v>63</v>
      </c>
      <c r="AJ97" s="580" t="s">
        <v>63</v>
      </c>
      <c r="AK97" s="580" t="s">
        <v>63</v>
      </c>
      <c r="AL97" s="580" t="s">
        <v>63</v>
      </c>
      <c r="AM97" s="585" t="s">
        <v>63</v>
      </c>
      <c r="AN97" s="586" t="s">
        <v>120</v>
      </c>
      <c r="AO97" s="579" t="s">
        <v>71</v>
      </c>
      <c r="AP97" s="579" t="s">
        <v>72</v>
      </c>
      <c r="AQ97" s="579"/>
      <c r="AR97" s="579" t="s">
        <v>2117</v>
      </c>
      <c r="AS97" s="579"/>
      <c r="AT97" s="587"/>
      <c r="AU97" s="584" t="s">
        <v>2421</v>
      </c>
      <c r="AV97" s="578" t="s">
        <v>2663</v>
      </c>
      <c r="AW97" s="588">
        <v>45017</v>
      </c>
      <c r="AX97" s="588">
        <v>46843</v>
      </c>
      <c r="AY97" s="588" t="s">
        <v>152</v>
      </c>
      <c r="AZ97" s="589" t="s">
        <v>714</v>
      </c>
      <c r="BA97" s="589" t="s">
        <v>2743</v>
      </c>
      <c r="BB97" s="589" t="s">
        <v>2216</v>
      </c>
      <c r="BC97" s="590">
        <v>0</v>
      </c>
      <c r="BD97" s="591" t="s">
        <v>2410</v>
      </c>
    </row>
    <row r="98" spans="1:56" s="560" customFormat="1" ht="16.5" customHeight="1">
      <c r="A98" s="576">
        <v>2024</v>
      </c>
      <c r="B98" s="577" t="s">
        <v>690</v>
      </c>
      <c r="C98" s="562" t="s">
        <v>667</v>
      </c>
      <c r="D98" s="562" t="s">
        <v>2415</v>
      </c>
      <c r="E98" s="578" t="s">
        <v>691</v>
      </c>
      <c r="F98" s="579" t="s">
        <v>170</v>
      </c>
      <c r="G98" s="578" t="s">
        <v>692</v>
      </c>
      <c r="H98" s="579" t="s">
        <v>694</v>
      </c>
      <c r="I98" s="579" t="s">
        <v>58</v>
      </c>
      <c r="J98" s="579" t="s">
        <v>685</v>
      </c>
      <c r="K98" s="579" t="s">
        <v>686</v>
      </c>
      <c r="L98" s="578" t="s">
        <v>695</v>
      </c>
      <c r="M98" s="580" t="s">
        <v>656</v>
      </c>
      <c r="N98" s="580" t="s">
        <v>656</v>
      </c>
      <c r="O98" s="581">
        <v>4757.8100000000004</v>
      </c>
      <c r="P98" s="581">
        <v>4172.42</v>
      </c>
      <c r="Q98" s="582"/>
      <c r="R98" s="579" t="s">
        <v>503</v>
      </c>
      <c r="S98" s="579" t="s">
        <v>65</v>
      </c>
      <c r="T98" s="580" t="s">
        <v>66</v>
      </c>
      <c r="U98" s="580" t="s">
        <v>66</v>
      </c>
      <c r="V98" s="580" t="s">
        <v>66</v>
      </c>
      <c r="W98" s="580" t="s">
        <v>66</v>
      </c>
      <c r="X98" s="580" t="s">
        <v>66</v>
      </c>
      <c r="Y98" s="580" t="s">
        <v>66</v>
      </c>
      <c r="Z98" s="580" t="s">
        <v>66</v>
      </c>
      <c r="AA98" s="578" t="s">
        <v>2218</v>
      </c>
      <c r="AB98" s="580" t="s">
        <v>2069</v>
      </c>
      <c r="AC98" s="579" t="s">
        <v>2219</v>
      </c>
      <c r="AD98" s="580" t="s">
        <v>68</v>
      </c>
      <c r="AE98" s="579"/>
      <c r="AF98" s="587" t="s">
        <v>696</v>
      </c>
      <c r="AG98" s="584" t="s">
        <v>63</v>
      </c>
      <c r="AH98" s="580" t="s">
        <v>63</v>
      </c>
      <c r="AI98" s="580" t="s">
        <v>63</v>
      </c>
      <c r="AJ98" s="580" t="s">
        <v>63</v>
      </c>
      <c r="AK98" s="580" t="s">
        <v>63</v>
      </c>
      <c r="AL98" s="580" t="s">
        <v>63</v>
      </c>
      <c r="AM98" s="585" t="s">
        <v>63</v>
      </c>
      <c r="AN98" s="586" t="s">
        <v>697</v>
      </c>
      <c r="AO98" s="579" t="s">
        <v>71</v>
      </c>
      <c r="AP98" s="579" t="s">
        <v>72</v>
      </c>
      <c r="AQ98" s="579"/>
      <c r="AR98" s="579" t="s">
        <v>435</v>
      </c>
      <c r="AS98" s="579"/>
      <c r="AT98" s="587"/>
      <c r="AU98" s="584" t="s">
        <v>2419</v>
      </c>
      <c r="AV98" s="578" t="s">
        <v>1875</v>
      </c>
      <c r="AW98" s="588">
        <v>43556</v>
      </c>
      <c r="AX98" s="588">
        <v>45382</v>
      </c>
      <c r="AY98" s="588" t="s">
        <v>270</v>
      </c>
      <c r="AZ98" s="589" t="s">
        <v>698</v>
      </c>
      <c r="BA98" s="589" t="s">
        <v>1153</v>
      </c>
      <c r="BB98" s="589" t="s">
        <v>2220</v>
      </c>
      <c r="BC98" s="590">
        <v>40</v>
      </c>
      <c r="BD98" s="591"/>
    </row>
    <row r="99" spans="1:56" s="560" customFormat="1" ht="16.5" customHeight="1">
      <c r="A99" s="561">
        <v>2024</v>
      </c>
      <c r="B99" s="577" t="s">
        <v>700</v>
      </c>
      <c r="C99" s="577" t="s">
        <v>672</v>
      </c>
      <c r="D99" s="562" t="s">
        <v>2415</v>
      </c>
      <c r="E99" s="578" t="s">
        <v>701</v>
      </c>
      <c r="F99" s="579" t="s">
        <v>170</v>
      </c>
      <c r="G99" s="578" t="s">
        <v>692</v>
      </c>
      <c r="H99" s="579" t="s">
        <v>91</v>
      </c>
      <c r="I99" s="579" t="s">
        <v>58</v>
      </c>
      <c r="J99" s="579" t="s">
        <v>685</v>
      </c>
      <c r="K99" s="579" t="s">
        <v>686</v>
      </c>
      <c r="L99" s="578" t="s">
        <v>702</v>
      </c>
      <c r="M99" s="580" t="s">
        <v>92</v>
      </c>
      <c r="N99" s="580" t="s">
        <v>92</v>
      </c>
      <c r="O99" s="581">
        <v>2385.29</v>
      </c>
      <c r="P99" s="581">
        <v>2984.02</v>
      </c>
      <c r="Q99" s="582"/>
      <c r="R99" s="579" t="s">
        <v>93</v>
      </c>
      <c r="S99" s="579" t="s">
        <v>65</v>
      </c>
      <c r="T99" s="580" t="s">
        <v>66</v>
      </c>
      <c r="U99" s="580" t="s">
        <v>66</v>
      </c>
      <c r="V99" s="580" t="s">
        <v>66</v>
      </c>
      <c r="W99" s="580" t="s">
        <v>66</v>
      </c>
      <c r="X99" s="580" t="s">
        <v>66</v>
      </c>
      <c r="Y99" s="580" t="s">
        <v>66</v>
      </c>
      <c r="Z99" s="580" t="s">
        <v>66</v>
      </c>
      <c r="AA99" s="578" t="s">
        <v>2221</v>
      </c>
      <c r="AB99" s="580" t="s">
        <v>68</v>
      </c>
      <c r="AC99" s="579"/>
      <c r="AD99" s="580" t="s">
        <v>68</v>
      </c>
      <c r="AE99" s="579"/>
      <c r="AF99" s="587" t="s">
        <v>703</v>
      </c>
      <c r="AG99" s="584" t="s">
        <v>63</v>
      </c>
      <c r="AH99" s="580" t="s">
        <v>63</v>
      </c>
      <c r="AI99" s="580" t="s">
        <v>63</v>
      </c>
      <c r="AJ99" s="580" t="s">
        <v>63</v>
      </c>
      <c r="AK99" s="580" t="s">
        <v>63</v>
      </c>
      <c r="AL99" s="580" t="s">
        <v>63</v>
      </c>
      <c r="AM99" s="585" t="s">
        <v>63</v>
      </c>
      <c r="AN99" s="586" t="s">
        <v>95</v>
      </c>
      <c r="AO99" s="579" t="s">
        <v>71</v>
      </c>
      <c r="AP99" s="579" t="s">
        <v>72</v>
      </c>
      <c r="AQ99" s="579"/>
      <c r="AR99" s="579" t="s">
        <v>73</v>
      </c>
      <c r="AS99" s="579"/>
      <c r="AT99" s="587"/>
      <c r="AU99" s="584" t="s">
        <v>2419</v>
      </c>
      <c r="AV99" s="578" t="s">
        <v>2045</v>
      </c>
      <c r="AW99" s="588">
        <v>43191</v>
      </c>
      <c r="AX99" s="588">
        <v>45016</v>
      </c>
      <c r="AY99" s="588" t="s">
        <v>270</v>
      </c>
      <c r="AZ99" s="589" t="s">
        <v>704</v>
      </c>
      <c r="BA99" s="589" t="s">
        <v>2048</v>
      </c>
      <c r="BB99" s="589" t="s">
        <v>1941</v>
      </c>
      <c r="BC99" s="590">
        <v>43</v>
      </c>
      <c r="BD99" s="591"/>
    </row>
    <row r="100" spans="1:56" s="560" customFormat="1" ht="16.5" customHeight="1">
      <c r="A100" s="576">
        <v>2024</v>
      </c>
      <c r="B100" s="577" t="s">
        <v>706</v>
      </c>
      <c r="C100" s="562" t="s">
        <v>676</v>
      </c>
      <c r="D100" s="562" t="s">
        <v>2415</v>
      </c>
      <c r="E100" s="578" t="s">
        <v>2112</v>
      </c>
      <c r="F100" s="579" t="s">
        <v>708</v>
      </c>
      <c r="G100" s="578" t="s">
        <v>709</v>
      </c>
      <c r="H100" s="579" t="s">
        <v>2111</v>
      </c>
      <c r="I100" s="579" t="s">
        <v>58</v>
      </c>
      <c r="J100" s="579" t="s">
        <v>685</v>
      </c>
      <c r="K100" s="579" t="s">
        <v>686</v>
      </c>
      <c r="L100" s="578" t="s">
        <v>712</v>
      </c>
      <c r="M100" s="580" t="s">
        <v>129</v>
      </c>
      <c r="N100" s="580" t="s">
        <v>129</v>
      </c>
      <c r="O100" s="581">
        <v>5363.35</v>
      </c>
      <c r="P100" s="581">
        <f>6481.16-P97</f>
        <v>5772.35</v>
      </c>
      <c r="Q100" s="582"/>
      <c r="R100" s="579" t="s">
        <v>64</v>
      </c>
      <c r="S100" s="579" t="s">
        <v>2025</v>
      </c>
      <c r="T100" s="580" t="s">
        <v>63</v>
      </c>
      <c r="U100" s="580" t="s">
        <v>63</v>
      </c>
      <c r="V100" s="580" t="s">
        <v>63</v>
      </c>
      <c r="W100" s="580" t="s">
        <v>63</v>
      </c>
      <c r="X100" s="580" t="s">
        <v>63</v>
      </c>
      <c r="Y100" s="580" t="s">
        <v>66</v>
      </c>
      <c r="Z100" s="580" t="s">
        <v>66</v>
      </c>
      <c r="AA100" s="578" t="s">
        <v>2114</v>
      </c>
      <c r="AB100" s="580" t="s">
        <v>68</v>
      </c>
      <c r="AC100" s="579"/>
      <c r="AD100" s="580" t="s">
        <v>68</v>
      </c>
      <c r="AE100" s="579"/>
      <c r="AF100" s="587" t="s">
        <v>713</v>
      </c>
      <c r="AG100" s="584" t="s">
        <v>63</v>
      </c>
      <c r="AH100" s="580" t="s">
        <v>63</v>
      </c>
      <c r="AI100" s="580" t="s">
        <v>63</v>
      </c>
      <c r="AJ100" s="580" t="s">
        <v>63</v>
      </c>
      <c r="AK100" s="580" t="s">
        <v>63</v>
      </c>
      <c r="AL100" s="580" t="s">
        <v>63</v>
      </c>
      <c r="AM100" s="585" t="s">
        <v>63</v>
      </c>
      <c r="AN100" s="586" t="s">
        <v>2116</v>
      </c>
      <c r="AO100" s="579" t="s">
        <v>71</v>
      </c>
      <c r="AP100" s="579" t="s">
        <v>72</v>
      </c>
      <c r="AQ100" s="579"/>
      <c r="AR100" s="579" t="s">
        <v>121</v>
      </c>
      <c r="AS100" s="579"/>
      <c r="AT100" s="587"/>
      <c r="AU100" s="584" t="s">
        <v>2419</v>
      </c>
      <c r="AV100" s="578" t="s">
        <v>2673</v>
      </c>
      <c r="AW100" s="588">
        <v>45017</v>
      </c>
      <c r="AX100" s="588">
        <v>46843</v>
      </c>
      <c r="AY100" s="588" t="s">
        <v>152</v>
      </c>
      <c r="AZ100" s="589" t="s">
        <v>714</v>
      </c>
      <c r="BA100" s="589" t="s">
        <v>2744</v>
      </c>
      <c r="BB100" s="589" t="s">
        <v>2745</v>
      </c>
      <c r="BC100" s="590">
        <v>70</v>
      </c>
      <c r="BD100" s="591"/>
    </row>
    <row r="101" spans="1:56" s="560" customFormat="1" ht="16.5" customHeight="1">
      <c r="A101" s="576">
        <v>2024</v>
      </c>
      <c r="B101" s="577" t="s">
        <v>716</v>
      </c>
      <c r="C101" s="577" t="s">
        <v>111</v>
      </c>
      <c r="D101" s="562" t="s">
        <v>2415</v>
      </c>
      <c r="E101" s="578" t="s">
        <v>2370</v>
      </c>
      <c r="F101" s="579" t="s">
        <v>708</v>
      </c>
      <c r="G101" s="578" t="s">
        <v>709</v>
      </c>
      <c r="H101" s="579" t="s">
        <v>127</v>
      </c>
      <c r="I101" s="579" t="s">
        <v>58</v>
      </c>
      <c r="J101" s="579" t="s">
        <v>685</v>
      </c>
      <c r="K101" s="579" t="s">
        <v>686</v>
      </c>
      <c r="L101" s="578" t="s">
        <v>2371</v>
      </c>
      <c r="M101" s="580" t="s">
        <v>129</v>
      </c>
      <c r="N101" s="580" t="s">
        <v>129</v>
      </c>
      <c r="O101" s="581">
        <v>1040.26</v>
      </c>
      <c r="P101" s="581">
        <v>1435.49</v>
      </c>
      <c r="Q101" s="582"/>
      <c r="R101" s="579" t="s">
        <v>130</v>
      </c>
      <c r="S101" s="579" t="s">
        <v>65</v>
      </c>
      <c r="T101" s="580" t="s">
        <v>66</v>
      </c>
      <c r="U101" s="580" t="s">
        <v>66</v>
      </c>
      <c r="V101" s="580" t="s">
        <v>66</v>
      </c>
      <c r="W101" s="580" t="s">
        <v>66</v>
      </c>
      <c r="X101" s="580" t="s">
        <v>66</v>
      </c>
      <c r="Y101" s="580" t="s">
        <v>66</v>
      </c>
      <c r="Z101" s="580" t="s">
        <v>66</v>
      </c>
      <c r="AA101" s="578" t="s">
        <v>2372</v>
      </c>
      <c r="AB101" s="580" t="s">
        <v>2069</v>
      </c>
      <c r="AC101" s="579"/>
      <c r="AD101" s="580" t="s">
        <v>68</v>
      </c>
      <c r="AE101" s="579"/>
      <c r="AF101" s="587" t="s">
        <v>2274</v>
      </c>
      <c r="AG101" s="584" t="s">
        <v>66</v>
      </c>
      <c r="AH101" s="580" t="s">
        <v>66</v>
      </c>
      <c r="AI101" s="580" t="s">
        <v>63</v>
      </c>
      <c r="AJ101" s="580" t="s">
        <v>66</v>
      </c>
      <c r="AK101" s="580" t="s">
        <v>63</v>
      </c>
      <c r="AL101" s="580" t="s">
        <v>66</v>
      </c>
      <c r="AM101" s="585" t="s">
        <v>63</v>
      </c>
      <c r="AN101" s="586" t="s">
        <v>131</v>
      </c>
      <c r="AO101" s="579" t="s">
        <v>132</v>
      </c>
      <c r="AP101" s="579" t="s">
        <v>133</v>
      </c>
      <c r="AQ101" s="579"/>
      <c r="AR101" s="579"/>
      <c r="AS101" s="579" t="s">
        <v>134</v>
      </c>
      <c r="AT101" s="587" t="s">
        <v>135</v>
      </c>
      <c r="AU101" s="584" t="s">
        <v>2419</v>
      </c>
      <c r="AV101" s="578" t="s">
        <v>717</v>
      </c>
      <c r="AW101" s="588">
        <v>45017</v>
      </c>
      <c r="AX101" s="588">
        <v>46112</v>
      </c>
      <c r="AY101" s="588" t="s">
        <v>270</v>
      </c>
      <c r="AZ101" s="589" t="s">
        <v>271</v>
      </c>
      <c r="BA101" s="589" t="s">
        <v>2050</v>
      </c>
      <c r="BB101" s="589" t="s">
        <v>718</v>
      </c>
      <c r="BC101" s="590">
        <v>0</v>
      </c>
      <c r="BD101" s="591"/>
    </row>
    <row r="102" spans="1:56" s="560" customFormat="1" ht="16.5" customHeight="1">
      <c r="A102" s="561">
        <v>2024</v>
      </c>
      <c r="B102" s="577" t="s">
        <v>720</v>
      </c>
      <c r="C102" s="562" t="s">
        <v>689</v>
      </c>
      <c r="D102" s="562" t="s">
        <v>2415</v>
      </c>
      <c r="E102" s="578" t="s">
        <v>1626</v>
      </c>
      <c r="F102" s="579" t="s">
        <v>708</v>
      </c>
      <c r="G102" s="578" t="s">
        <v>2575</v>
      </c>
      <c r="H102" s="579" t="s">
        <v>723</v>
      </c>
      <c r="I102" s="579" t="s">
        <v>58</v>
      </c>
      <c r="J102" s="579" t="s">
        <v>685</v>
      </c>
      <c r="K102" s="579" t="s">
        <v>686</v>
      </c>
      <c r="L102" s="578" t="s">
        <v>724</v>
      </c>
      <c r="M102" s="580" t="s">
        <v>725</v>
      </c>
      <c r="N102" s="580" t="s">
        <v>725</v>
      </c>
      <c r="O102" s="581">
        <v>4963.8</v>
      </c>
      <c r="P102" s="581">
        <v>12634.2</v>
      </c>
      <c r="Q102" s="582"/>
      <c r="R102" s="579" t="s">
        <v>130</v>
      </c>
      <c r="S102" s="579" t="s">
        <v>151</v>
      </c>
      <c r="T102" s="580" t="s">
        <v>66</v>
      </c>
      <c r="U102" s="580" t="s">
        <v>66</v>
      </c>
      <c r="V102" s="580" t="s">
        <v>66</v>
      </c>
      <c r="W102" s="580" t="s">
        <v>66</v>
      </c>
      <c r="X102" s="580" t="s">
        <v>66</v>
      </c>
      <c r="Y102" s="580" t="s">
        <v>66</v>
      </c>
      <c r="Z102" s="580" t="s">
        <v>66</v>
      </c>
      <c r="AA102" s="578"/>
      <c r="AB102" s="580" t="s">
        <v>68</v>
      </c>
      <c r="AC102" s="579"/>
      <c r="AD102" s="580" t="s">
        <v>68</v>
      </c>
      <c r="AE102" s="579"/>
      <c r="AF102" s="587" t="s">
        <v>726</v>
      </c>
      <c r="AG102" s="584" t="s">
        <v>63</v>
      </c>
      <c r="AH102" s="580" t="s">
        <v>63</v>
      </c>
      <c r="AI102" s="580" t="s">
        <v>63</v>
      </c>
      <c r="AJ102" s="580" t="s">
        <v>63</v>
      </c>
      <c r="AK102" s="580" t="s">
        <v>63</v>
      </c>
      <c r="AL102" s="580" t="s">
        <v>63</v>
      </c>
      <c r="AM102" s="585" t="s">
        <v>63</v>
      </c>
      <c r="AN102" s="586" t="s">
        <v>131</v>
      </c>
      <c r="AO102" s="579" t="s">
        <v>132</v>
      </c>
      <c r="AP102" s="579" t="s">
        <v>133</v>
      </c>
      <c r="AQ102" s="579"/>
      <c r="AR102" s="579"/>
      <c r="AS102" s="579" t="s">
        <v>134</v>
      </c>
      <c r="AT102" s="587" t="s">
        <v>727</v>
      </c>
      <c r="AU102" s="584" t="s">
        <v>2419</v>
      </c>
      <c r="AV102" s="578" t="s">
        <v>1875</v>
      </c>
      <c r="AW102" s="588">
        <v>45748</v>
      </c>
      <c r="AX102" s="588">
        <v>46112</v>
      </c>
      <c r="AY102" s="588" t="s">
        <v>270</v>
      </c>
      <c r="AZ102" s="589" t="s">
        <v>714</v>
      </c>
      <c r="BA102" s="589" t="s">
        <v>1153</v>
      </c>
      <c r="BB102" s="589" t="s">
        <v>2055</v>
      </c>
      <c r="BC102" s="590">
        <v>73</v>
      </c>
      <c r="BD102" s="591"/>
    </row>
    <row r="103" spans="1:56" s="560" customFormat="1" ht="16.5" customHeight="1">
      <c r="A103" s="576">
        <v>2024</v>
      </c>
      <c r="B103" s="577" t="s">
        <v>729</v>
      </c>
      <c r="C103" s="577" t="s">
        <v>699</v>
      </c>
      <c r="D103" s="562" t="s">
        <v>2415</v>
      </c>
      <c r="E103" s="578" t="s">
        <v>1995</v>
      </c>
      <c r="F103" s="579" t="s">
        <v>708</v>
      </c>
      <c r="G103" s="578" t="s">
        <v>2575</v>
      </c>
      <c r="H103" s="579" t="s">
        <v>730</v>
      </c>
      <c r="I103" s="579" t="s">
        <v>58</v>
      </c>
      <c r="J103" s="579" t="s">
        <v>685</v>
      </c>
      <c r="K103" s="579" t="s">
        <v>686</v>
      </c>
      <c r="L103" s="578" t="s">
        <v>731</v>
      </c>
      <c r="M103" s="580" t="s">
        <v>732</v>
      </c>
      <c r="N103" s="580" t="s">
        <v>732</v>
      </c>
      <c r="O103" s="581">
        <v>1905.69</v>
      </c>
      <c r="P103" s="581">
        <v>4179.09</v>
      </c>
      <c r="Q103" s="582"/>
      <c r="R103" s="579" t="s">
        <v>130</v>
      </c>
      <c r="S103" s="579" t="s">
        <v>151</v>
      </c>
      <c r="T103" s="580" t="s">
        <v>66</v>
      </c>
      <c r="U103" s="580" t="s">
        <v>66</v>
      </c>
      <c r="V103" s="580" t="s">
        <v>66</v>
      </c>
      <c r="W103" s="580" t="s">
        <v>66</v>
      </c>
      <c r="X103" s="580" t="s">
        <v>66</v>
      </c>
      <c r="Y103" s="580" t="s">
        <v>66</v>
      </c>
      <c r="Z103" s="580" t="s">
        <v>66</v>
      </c>
      <c r="AA103" s="578"/>
      <c r="AB103" s="580" t="s">
        <v>68</v>
      </c>
      <c r="AC103" s="579"/>
      <c r="AD103" s="580" t="s">
        <v>68</v>
      </c>
      <c r="AE103" s="579"/>
      <c r="AF103" s="587" t="s">
        <v>733</v>
      </c>
      <c r="AG103" s="584" t="s">
        <v>63</v>
      </c>
      <c r="AH103" s="580" t="s">
        <v>66</v>
      </c>
      <c r="AI103" s="580" t="s">
        <v>63</v>
      </c>
      <c r="AJ103" s="580" t="s">
        <v>63</v>
      </c>
      <c r="AK103" s="580" t="s">
        <v>63</v>
      </c>
      <c r="AL103" s="580" t="s">
        <v>63</v>
      </c>
      <c r="AM103" s="585" t="s">
        <v>66</v>
      </c>
      <c r="AN103" s="586" t="s">
        <v>131</v>
      </c>
      <c r="AO103" s="579" t="s">
        <v>132</v>
      </c>
      <c r="AP103" s="579" t="s">
        <v>133</v>
      </c>
      <c r="AQ103" s="579"/>
      <c r="AR103" s="579"/>
      <c r="AS103" s="579" t="s">
        <v>134</v>
      </c>
      <c r="AT103" s="587" t="s">
        <v>734</v>
      </c>
      <c r="AU103" s="584" t="s">
        <v>2419</v>
      </c>
      <c r="AV103" s="578" t="s">
        <v>1876</v>
      </c>
      <c r="AW103" s="588">
        <v>45748</v>
      </c>
      <c r="AX103" s="588">
        <v>46112</v>
      </c>
      <c r="AY103" s="588" t="s">
        <v>270</v>
      </c>
      <c r="AZ103" s="589" t="s">
        <v>714</v>
      </c>
      <c r="BA103" s="589" t="s">
        <v>2048</v>
      </c>
      <c r="BB103" s="589" t="s">
        <v>1877</v>
      </c>
      <c r="BC103" s="590">
        <v>3</v>
      </c>
      <c r="BD103" s="591"/>
    </row>
    <row r="104" spans="1:56" s="560" customFormat="1" ht="16.5" customHeight="1">
      <c r="A104" s="576">
        <v>2024</v>
      </c>
      <c r="B104" s="577" t="s">
        <v>736</v>
      </c>
      <c r="C104" s="562" t="s">
        <v>705</v>
      </c>
      <c r="D104" s="562" t="s">
        <v>2415</v>
      </c>
      <c r="E104" s="578" t="s">
        <v>1997</v>
      </c>
      <c r="F104" s="579" t="s">
        <v>708</v>
      </c>
      <c r="G104" s="578" t="s">
        <v>2575</v>
      </c>
      <c r="H104" s="579" t="s">
        <v>737</v>
      </c>
      <c r="I104" s="579" t="s">
        <v>58</v>
      </c>
      <c r="J104" s="579" t="s">
        <v>685</v>
      </c>
      <c r="K104" s="579" t="s">
        <v>686</v>
      </c>
      <c r="L104" s="578" t="s">
        <v>738</v>
      </c>
      <c r="M104" s="580" t="s">
        <v>595</v>
      </c>
      <c r="N104" s="580" t="s">
        <v>595</v>
      </c>
      <c r="O104" s="581">
        <v>1384.45</v>
      </c>
      <c r="P104" s="581">
        <v>2444.64</v>
      </c>
      <c r="Q104" s="582"/>
      <c r="R104" s="579" t="s">
        <v>229</v>
      </c>
      <c r="S104" s="579" t="s">
        <v>151</v>
      </c>
      <c r="T104" s="580" t="s">
        <v>66</v>
      </c>
      <c r="U104" s="580" t="s">
        <v>66</v>
      </c>
      <c r="V104" s="580" t="s">
        <v>66</v>
      </c>
      <c r="W104" s="580" t="s">
        <v>66</v>
      </c>
      <c r="X104" s="580" t="s">
        <v>66</v>
      </c>
      <c r="Y104" s="580" t="s">
        <v>66</v>
      </c>
      <c r="Z104" s="580" t="s">
        <v>66</v>
      </c>
      <c r="AA104" s="578"/>
      <c r="AB104" s="580" t="s">
        <v>68</v>
      </c>
      <c r="AC104" s="579"/>
      <c r="AD104" s="580" t="s">
        <v>68</v>
      </c>
      <c r="AE104" s="579"/>
      <c r="AF104" s="587" t="s">
        <v>739</v>
      </c>
      <c r="AG104" s="584" t="s">
        <v>63</v>
      </c>
      <c r="AH104" s="580" t="s">
        <v>66</v>
      </c>
      <c r="AI104" s="580" t="s">
        <v>63</v>
      </c>
      <c r="AJ104" s="580" t="s">
        <v>63</v>
      </c>
      <c r="AK104" s="580" t="s">
        <v>63</v>
      </c>
      <c r="AL104" s="580" t="s">
        <v>63</v>
      </c>
      <c r="AM104" s="585" t="s">
        <v>66</v>
      </c>
      <c r="AN104" s="586" t="s">
        <v>131</v>
      </c>
      <c r="AO104" s="579" t="s">
        <v>132</v>
      </c>
      <c r="AP104" s="579" t="s">
        <v>2121</v>
      </c>
      <c r="AQ104" s="579"/>
      <c r="AR104" s="579"/>
      <c r="AS104" s="579" t="s">
        <v>134</v>
      </c>
      <c r="AT104" s="587" t="s">
        <v>740</v>
      </c>
      <c r="AU104" s="584" t="s">
        <v>2419</v>
      </c>
      <c r="AV104" s="578" t="s">
        <v>1876</v>
      </c>
      <c r="AW104" s="588">
        <v>45748</v>
      </c>
      <c r="AX104" s="588">
        <v>46112</v>
      </c>
      <c r="AY104" s="588" t="s">
        <v>270</v>
      </c>
      <c r="AZ104" s="589" t="s">
        <v>714</v>
      </c>
      <c r="BA104" s="589" t="s">
        <v>1153</v>
      </c>
      <c r="BB104" s="589" t="s">
        <v>741</v>
      </c>
      <c r="BC104" s="590">
        <v>0</v>
      </c>
      <c r="BD104" s="591"/>
    </row>
    <row r="105" spans="1:56" s="560" customFormat="1" ht="16.5" customHeight="1">
      <c r="A105" s="561">
        <v>2024</v>
      </c>
      <c r="B105" s="577" t="s">
        <v>2544</v>
      </c>
      <c r="C105" s="577" t="s">
        <v>715</v>
      </c>
      <c r="D105" s="562" t="s">
        <v>2415</v>
      </c>
      <c r="E105" s="578" t="s">
        <v>2517</v>
      </c>
      <c r="F105" s="579" t="s">
        <v>2518</v>
      </c>
      <c r="G105" s="578" t="s">
        <v>2575</v>
      </c>
      <c r="H105" s="579" t="s">
        <v>2524</v>
      </c>
      <c r="I105" s="579" t="s">
        <v>2086</v>
      </c>
      <c r="J105" s="579" t="s">
        <v>685</v>
      </c>
      <c r="K105" s="579" t="s">
        <v>747</v>
      </c>
      <c r="L105" s="578" t="s">
        <v>2525</v>
      </c>
      <c r="M105" s="580" t="s">
        <v>2500</v>
      </c>
      <c r="N105" s="580" t="s">
        <v>2500</v>
      </c>
      <c r="O105" s="581">
        <v>4032.38</v>
      </c>
      <c r="P105" s="581">
        <f>4775.54+893.42+328.42+394.87</f>
        <v>6392.25</v>
      </c>
      <c r="Q105" s="582" t="s">
        <v>2526</v>
      </c>
      <c r="R105" s="579" t="s">
        <v>2527</v>
      </c>
      <c r="S105" s="579" t="s">
        <v>1917</v>
      </c>
      <c r="T105" s="580" t="s">
        <v>66</v>
      </c>
      <c r="U105" s="580" t="s">
        <v>66</v>
      </c>
      <c r="V105" s="580" t="s">
        <v>66</v>
      </c>
      <c r="W105" s="580" t="s">
        <v>66</v>
      </c>
      <c r="X105" s="580" t="s">
        <v>66</v>
      </c>
      <c r="Y105" s="580" t="s">
        <v>66</v>
      </c>
      <c r="Z105" s="580" t="s">
        <v>66</v>
      </c>
      <c r="AA105" s="578"/>
      <c r="AB105" s="580" t="s">
        <v>1874</v>
      </c>
      <c r="AC105" s="579"/>
      <c r="AD105" s="580" t="s">
        <v>1874</v>
      </c>
      <c r="AE105" s="579"/>
      <c r="AF105" s="599" t="s">
        <v>2528</v>
      </c>
      <c r="AG105" s="584" t="s">
        <v>1846</v>
      </c>
      <c r="AH105" s="580" t="s">
        <v>1846</v>
      </c>
      <c r="AI105" s="580" t="s">
        <v>1846</v>
      </c>
      <c r="AJ105" s="580" t="s">
        <v>1846</v>
      </c>
      <c r="AK105" s="580" t="s">
        <v>1846</v>
      </c>
      <c r="AL105" s="580" t="s">
        <v>1846</v>
      </c>
      <c r="AM105" s="585" t="s">
        <v>66</v>
      </c>
      <c r="AN105" s="586" t="s">
        <v>2724</v>
      </c>
      <c r="AO105" s="579" t="s">
        <v>2529</v>
      </c>
      <c r="AP105" s="579" t="s">
        <v>2121</v>
      </c>
      <c r="AQ105" s="579"/>
      <c r="AR105" s="579"/>
      <c r="AS105" s="579" t="s">
        <v>2530</v>
      </c>
      <c r="AT105" s="587" t="s">
        <v>2531</v>
      </c>
      <c r="AU105" s="584" t="s">
        <v>2420</v>
      </c>
      <c r="AV105" s="578" t="s">
        <v>2532</v>
      </c>
      <c r="AW105" s="588">
        <v>45748</v>
      </c>
      <c r="AX105" s="588">
        <v>47208</v>
      </c>
      <c r="AY105" s="588" t="s">
        <v>2271</v>
      </c>
      <c r="AZ105" s="589" t="s">
        <v>789</v>
      </c>
      <c r="BA105" s="589" t="s">
        <v>2039</v>
      </c>
      <c r="BB105" s="589" t="s">
        <v>2533</v>
      </c>
      <c r="BC105" s="590">
        <v>0</v>
      </c>
      <c r="BD105" s="600" t="s">
        <v>2534</v>
      </c>
    </row>
    <row r="106" spans="1:56" s="560" customFormat="1" ht="16.5" customHeight="1">
      <c r="A106" s="576">
        <v>2024</v>
      </c>
      <c r="B106" s="577" t="s">
        <v>749</v>
      </c>
      <c r="C106" s="562" t="s">
        <v>719</v>
      </c>
      <c r="D106" s="562" t="s">
        <v>2415</v>
      </c>
      <c r="E106" s="578" t="s">
        <v>2555</v>
      </c>
      <c r="F106" s="579" t="s">
        <v>2518</v>
      </c>
      <c r="G106" s="578" t="s">
        <v>2633</v>
      </c>
      <c r="H106" s="579" t="s">
        <v>751</v>
      </c>
      <c r="I106" s="579" t="s">
        <v>58</v>
      </c>
      <c r="J106" s="579" t="s">
        <v>1407</v>
      </c>
      <c r="K106" s="579" t="s">
        <v>1464</v>
      </c>
      <c r="L106" s="601" t="s">
        <v>2340</v>
      </c>
      <c r="M106" s="580" t="s">
        <v>144</v>
      </c>
      <c r="N106" s="580" t="s">
        <v>144</v>
      </c>
      <c r="O106" s="581">
        <v>330</v>
      </c>
      <c r="P106" s="581">
        <v>80.78</v>
      </c>
      <c r="Q106" s="582"/>
      <c r="R106" s="579" t="s">
        <v>85</v>
      </c>
      <c r="S106" s="579" t="s">
        <v>151</v>
      </c>
      <c r="T106" s="580" t="s">
        <v>66</v>
      </c>
      <c r="U106" s="580" t="s">
        <v>66</v>
      </c>
      <c r="V106" s="580" t="s">
        <v>66</v>
      </c>
      <c r="W106" s="580" t="s">
        <v>66</v>
      </c>
      <c r="X106" s="580" t="s">
        <v>66</v>
      </c>
      <c r="Y106" s="580" t="s">
        <v>66</v>
      </c>
      <c r="Z106" s="580" t="s">
        <v>66</v>
      </c>
      <c r="AA106" s="578"/>
      <c r="AB106" s="580" t="s">
        <v>68</v>
      </c>
      <c r="AC106" s="579"/>
      <c r="AD106" s="580" t="s">
        <v>68</v>
      </c>
      <c r="AE106" s="579"/>
      <c r="AF106" s="602" t="s">
        <v>2341</v>
      </c>
      <c r="AG106" s="584" t="s">
        <v>66</v>
      </c>
      <c r="AH106" s="580" t="s">
        <v>66</v>
      </c>
      <c r="AI106" s="580" t="s">
        <v>66</v>
      </c>
      <c r="AJ106" s="580" t="s">
        <v>66</v>
      </c>
      <c r="AK106" s="580" t="s">
        <v>66</v>
      </c>
      <c r="AL106" s="580" t="s">
        <v>66</v>
      </c>
      <c r="AM106" s="585" t="s">
        <v>66</v>
      </c>
      <c r="AN106" s="586" t="s">
        <v>95</v>
      </c>
      <c r="AO106" s="579" t="s">
        <v>71</v>
      </c>
      <c r="AP106" s="579" t="s">
        <v>72</v>
      </c>
      <c r="AQ106" s="579"/>
      <c r="AR106" s="579" t="s">
        <v>73</v>
      </c>
      <c r="AS106" s="579"/>
      <c r="AT106" s="587"/>
      <c r="AU106" s="584" t="s">
        <v>74</v>
      </c>
      <c r="AV106" s="578"/>
      <c r="AW106" s="588"/>
      <c r="AX106" s="588"/>
      <c r="AY106" s="588"/>
      <c r="AZ106" s="589"/>
      <c r="BA106" s="603"/>
      <c r="BB106" s="589" t="s">
        <v>2339</v>
      </c>
      <c r="BC106" s="590">
        <v>0</v>
      </c>
      <c r="BD106" s="591"/>
    </row>
    <row r="107" spans="1:56" s="608" customFormat="1" ht="16.5" customHeight="1">
      <c r="A107" s="576">
        <v>2024</v>
      </c>
      <c r="B107" s="577" t="s">
        <v>2075</v>
      </c>
      <c r="C107" s="577" t="s">
        <v>728</v>
      </c>
      <c r="D107" s="562" t="s">
        <v>2415</v>
      </c>
      <c r="E107" s="604" t="s">
        <v>2365</v>
      </c>
      <c r="F107" s="601" t="s">
        <v>2520</v>
      </c>
      <c r="G107" s="578" t="s">
        <v>2633</v>
      </c>
      <c r="H107" s="579" t="s">
        <v>773</v>
      </c>
      <c r="I107" s="601" t="s">
        <v>2086</v>
      </c>
      <c r="J107" s="579" t="s">
        <v>1407</v>
      </c>
      <c r="K107" s="579" t="s">
        <v>2495</v>
      </c>
      <c r="L107" s="601" t="s">
        <v>2340</v>
      </c>
      <c r="M107" s="605">
        <v>2018</v>
      </c>
      <c r="N107" s="605">
        <v>1984</v>
      </c>
      <c r="O107" s="601">
        <v>12274</v>
      </c>
      <c r="P107" s="601">
        <v>555.69000000000005</v>
      </c>
      <c r="Q107" s="601"/>
      <c r="R107" s="579" t="s">
        <v>85</v>
      </c>
      <c r="S107" s="579" t="s">
        <v>151</v>
      </c>
      <c r="T107" s="580" t="s">
        <v>66</v>
      </c>
      <c r="U107" s="580" t="s">
        <v>66</v>
      </c>
      <c r="V107" s="580" t="s">
        <v>66</v>
      </c>
      <c r="W107" s="580" t="s">
        <v>66</v>
      </c>
      <c r="X107" s="580" t="s">
        <v>66</v>
      </c>
      <c r="Y107" s="580" t="s">
        <v>66</v>
      </c>
      <c r="Z107" s="580" t="s">
        <v>66</v>
      </c>
      <c r="AA107" s="601" t="s">
        <v>770</v>
      </c>
      <c r="AB107" s="580" t="s">
        <v>68</v>
      </c>
      <c r="AC107" s="601"/>
      <c r="AD107" s="606" t="s">
        <v>1874</v>
      </c>
      <c r="AE107" s="601"/>
      <c r="AF107" s="602" t="s">
        <v>2341</v>
      </c>
      <c r="AG107" s="607" t="s">
        <v>1910</v>
      </c>
      <c r="AH107" s="601" t="s">
        <v>1910</v>
      </c>
      <c r="AI107" s="601" t="s">
        <v>1910</v>
      </c>
      <c r="AJ107" s="601" t="s">
        <v>1910</v>
      </c>
      <c r="AK107" s="601" t="s">
        <v>1910</v>
      </c>
      <c r="AL107" s="601" t="s">
        <v>1910</v>
      </c>
      <c r="AM107" s="602" t="s">
        <v>1910</v>
      </c>
      <c r="AN107" s="607" t="s">
        <v>2091</v>
      </c>
      <c r="AO107" s="579" t="s">
        <v>71</v>
      </c>
      <c r="AP107" s="579" t="s">
        <v>72</v>
      </c>
      <c r="AQ107" s="601"/>
      <c r="AR107" s="579" t="s">
        <v>73</v>
      </c>
      <c r="AS107" s="601" t="s">
        <v>2342</v>
      </c>
      <c r="AT107" s="602" t="s">
        <v>2343</v>
      </c>
      <c r="AU107" s="584" t="s">
        <v>74</v>
      </c>
      <c r="AV107" s="601"/>
      <c r="AW107" s="601"/>
      <c r="AX107" s="601"/>
      <c r="AY107" s="601"/>
      <c r="AZ107" s="601" t="s">
        <v>2694</v>
      </c>
      <c r="BA107" s="601" t="s">
        <v>2344</v>
      </c>
      <c r="BB107" s="601" t="s">
        <v>2345</v>
      </c>
      <c r="BC107" s="590">
        <v>0</v>
      </c>
      <c r="BD107" s="602"/>
    </row>
    <row r="108" spans="1:56" s="560" customFormat="1" ht="16.5" customHeight="1">
      <c r="A108" s="561">
        <v>2024</v>
      </c>
      <c r="B108" s="577" t="s">
        <v>753</v>
      </c>
      <c r="C108" s="562" t="s">
        <v>735</v>
      </c>
      <c r="D108" s="562" t="s">
        <v>2415</v>
      </c>
      <c r="E108" s="578" t="s">
        <v>754</v>
      </c>
      <c r="F108" s="579" t="s">
        <v>2103</v>
      </c>
      <c r="G108" s="578" t="s">
        <v>2472</v>
      </c>
      <c r="H108" s="579" t="s">
        <v>757</v>
      </c>
      <c r="I108" s="579" t="s">
        <v>58</v>
      </c>
      <c r="J108" s="579" t="s">
        <v>685</v>
      </c>
      <c r="K108" s="579" t="s">
        <v>747</v>
      </c>
      <c r="L108" s="578" t="s">
        <v>2078</v>
      </c>
      <c r="M108" s="580" t="s">
        <v>299</v>
      </c>
      <c r="N108" s="580" t="s">
        <v>299</v>
      </c>
      <c r="O108" s="581">
        <v>278000</v>
      </c>
      <c r="P108" s="581">
        <v>2986.83</v>
      </c>
      <c r="Q108" s="582"/>
      <c r="R108" s="579" t="s">
        <v>64</v>
      </c>
      <c r="S108" s="579" t="s">
        <v>151</v>
      </c>
      <c r="T108" s="580" t="s">
        <v>66</v>
      </c>
      <c r="U108" s="580" t="s">
        <v>66</v>
      </c>
      <c r="V108" s="580" t="s">
        <v>66</v>
      </c>
      <c r="W108" s="580" t="s">
        <v>66</v>
      </c>
      <c r="X108" s="580" t="s">
        <v>66</v>
      </c>
      <c r="Y108" s="580" t="s">
        <v>66</v>
      </c>
      <c r="Z108" s="580" t="s">
        <v>66</v>
      </c>
      <c r="AA108" s="578"/>
      <c r="AB108" s="580" t="s">
        <v>68</v>
      </c>
      <c r="AC108" s="579"/>
      <c r="AD108" s="580" t="s">
        <v>68</v>
      </c>
      <c r="AE108" s="579"/>
      <c r="AF108" s="587" t="s">
        <v>1859</v>
      </c>
      <c r="AG108" s="584" t="s">
        <v>63</v>
      </c>
      <c r="AH108" s="580" t="s">
        <v>63</v>
      </c>
      <c r="AI108" s="580" t="s">
        <v>63</v>
      </c>
      <c r="AJ108" s="580" t="s">
        <v>63</v>
      </c>
      <c r="AK108" s="580" t="s">
        <v>63</v>
      </c>
      <c r="AL108" s="580" t="s">
        <v>63</v>
      </c>
      <c r="AM108" s="585" t="s">
        <v>66</v>
      </c>
      <c r="AN108" s="586" t="s">
        <v>70</v>
      </c>
      <c r="AO108" s="579" t="s">
        <v>71</v>
      </c>
      <c r="AP108" s="579" t="s">
        <v>72</v>
      </c>
      <c r="AQ108" s="579"/>
      <c r="AR108" s="579" t="s">
        <v>73</v>
      </c>
      <c r="AS108" s="579"/>
      <c r="AT108" s="587" t="s">
        <v>758</v>
      </c>
      <c r="AU108" s="584" t="s">
        <v>2419</v>
      </c>
      <c r="AV108" s="578" t="s">
        <v>1875</v>
      </c>
      <c r="AW108" s="588">
        <v>45383</v>
      </c>
      <c r="AX108" s="588">
        <v>47208</v>
      </c>
      <c r="AY108" s="588" t="s">
        <v>270</v>
      </c>
      <c r="AZ108" s="589" t="s">
        <v>1860</v>
      </c>
      <c r="BA108" s="589" t="s">
        <v>2051</v>
      </c>
      <c r="BB108" s="589" t="s">
        <v>759</v>
      </c>
      <c r="BC108" s="590">
        <v>0</v>
      </c>
      <c r="BD108" s="591"/>
    </row>
    <row r="109" spans="1:56" s="560" customFormat="1" ht="16.5" customHeight="1">
      <c r="A109" s="576">
        <v>2024</v>
      </c>
      <c r="B109" s="577" t="s">
        <v>761</v>
      </c>
      <c r="C109" s="577" t="s">
        <v>742</v>
      </c>
      <c r="D109" s="562" t="s">
        <v>2415</v>
      </c>
      <c r="E109" s="578" t="s">
        <v>762</v>
      </c>
      <c r="F109" s="579" t="s">
        <v>2473</v>
      </c>
      <c r="G109" s="578" t="s">
        <v>2474</v>
      </c>
      <c r="H109" s="579" t="s">
        <v>763</v>
      </c>
      <c r="I109" s="579" t="s">
        <v>58</v>
      </c>
      <c r="J109" s="579" t="s">
        <v>685</v>
      </c>
      <c r="K109" s="579" t="s">
        <v>747</v>
      </c>
      <c r="L109" s="578" t="s">
        <v>764</v>
      </c>
      <c r="M109" s="580" t="s">
        <v>129</v>
      </c>
      <c r="N109" s="580" t="s">
        <v>129</v>
      </c>
      <c r="O109" s="581">
        <v>4296</v>
      </c>
      <c r="P109" s="581">
        <v>384.5</v>
      </c>
      <c r="Q109" s="582"/>
      <c r="R109" s="579" t="s">
        <v>93</v>
      </c>
      <c r="S109" s="579" t="s">
        <v>151</v>
      </c>
      <c r="T109" s="580" t="s">
        <v>66</v>
      </c>
      <c r="U109" s="580" t="s">
        <v>66</v>
      </c>
      <c r="V109" s="580" t="s">
        <v>66</v>
      </c>
      <c r="W109" s="580" t="s">
        <v>66</v>
      </c>
      <c r="X109" s="580" t="s">
        <v>66</v>
      </c>
      <c r="Y109" s="580" t="s">
        <v>66</v>
      </c>
      <c r="Z109" s="580" t="s">
        <v>66</v>
      </c>
      <c r="AA109" s="578"/>
      <c r="AB109" s="580" t="s">
        <v>68</v>
      </c>
      <c r="AC109" s="579"/>
      <c r="AD109" s="580" t="s">
        <v>68</v>
      </c>
      <c r="AE109" s="579"/>
      <c r="AF109" s="587" t="s">
        <v>765</v>
      </c>
      <c r="AG109" s="584" t="s">
        <v>66</v>
      </c>
      <c r="AH109" s="580" t="s">
        <v>66</v>
      </c>
      <c r="AI109" s="580" t="s">
        <v>63</v>
      </c>
      <c r="AJ109" s="580" t="s">
        <v>63</v>
      </c>
      <c r="AK109" s="580" t="s">
        <v>63</v>
      </c>
      <c r="AL109" s="580" t="s">
        <v>66</v>
      </c>
      <c r="AM109" s="585" t="s">
        <v>63</v>
      </c>
      <c r="AN109" s="586" t="s">
        <v>120</v>
      </c>
      <c r="AO109" s="579" t="s">
        <v>71</v>
      </c>
      <c r="AP109" s="579" t="s">
        <v>72</v>
      </c>
      <c r="AQ109" s="579"/>
      <c r="AR109" s="579" t="s">
        <v>121</v>
      </c>
      <c r="AS109" s="579"/>
      <c r="AT109" s="587" t="s">
        <v>766</v>
      </c>
      <c r="AU109" s="584" t="s">
        <v>2419</v>
      </c>
      <c r="AV109" s="578" t="s">
        <v>767</v>
      </c>
      <c r="AW109" s="588">
        <v>44652</v>
      </c>
      <c r="AX109" s="588">
        <v>45747</v>
      </c>
      <c r="AY109" s="588" t="s">
        <v>270</v>
      </c>
      <c r="AZ109" s="589" t="s">
        <v>87</v>
      </c>
      <c r="BA109" s="589" t="s">
        <v>2052</v>
      </c>
      <c r="BB109" s="589" t="s">
        <v>1861</v>
      </c>
      <c r="BC109" s="590">
        <v>4</v>
      </c>
      <c r="BD109" s="591"/>
    </row>
    <row r="110" spans="1:56" s="560" customFormat="1" ht="16.5" customHeight="1">
      <c r="A110" s="576">
        <v>2024</v>
      </c>
      <c r="B110" s="577" t="s">
        <v>769</v>
      </c>
      <c r="C110" s="562" t="s">
        <v>748</v>
      </c>
      <c r="D110" s="562" t="s">
        <v>2415</v>
      </c>
      <c r="E110" s="578" t="s">
        <v>770</v>
      </c>
      <c r="F110" s="579" t="s">
        <v>170</v>
      </c>
      <c r="G110" s="578" t="s">
        <v>2746</v>
      </c>
      <c r="H110" s="579" t="s">
        <v>773</v>
      </c>
      <c r="I110" s="579" t="s">
        <v>58</v>
      </c>
      <c r="J110" s="579" t="s">
        <v>685</v>
      </c>
      <c r="K110" s="579" t="s">
        <v>747</v>
      </c>
      <c r="L110" s="578" t="s">
        <v>774</v>
      </c>
      <c r="M110" s="580" t="s">
        <v>199</v>
      </c>
      <c r="N110" s="580" t="s">
        <v>595</v>
      </c>
      <c r="O110" s="581">
        <v>12274</v>
      </c>
      <c r="P110" s="581">
        <v>2530.16</v>
      </c>
      <c r="Q110" s="582"/>
      <c r="R110" s="579" t="s">
        <v>85</v>
      </c>
      <c r="S110" s="579" t="s">
        <v>65</v>
      </c>
      <c r="T110" s="580" t="s">
        <v>63</v>
      </c>
      <c r="U110" s="580" t="s">
        <v>63</v>
      </c>
      <c r="V110" s="580" t="s">
        <v>63</v>
      </c>
      <c r="W110" s="580" t="s">
        <v>63</v>
      </c>
      <c r="X110" s="580" t="s">
        <v>63</v>
      </c>
      <c r="Y110" s="580" t="s">
        <v>66</v>
      </c>
      <c r="Z110" s="580" t="s">
        <v>66</v>
      </c>
      <c r="AA110" s="578" t="s">
        <v>2677</v>
      </c>
      <c r="AB110" s="580" t="s">
        <v>68</v>
      </c>
      <c r="AC110" s="579"/>
      <c r="AD110" s="580" t="s">
        <v>68</v>
      </c>
      <c r="AE110" s="579"/>
      <c r="AF110" s="587" t="s">
        <v>775</v>
      </c>
      <c r="AG110" s="584" t="s">
        <v>66</v>
      </c>
      <c r="AH110" s="580" t="s">
        <v>66</v>
      </c>
      <c r="AI110" s="580" t="s">
        <v>66</v>
      </c>
      <c r="AJ110" s="580" t="s">
        <v>66</v>
      </c>
      <c r="AK110" s="580" t="s">
        <v>66</v>
      </c>
      <c r="AL110" s="580" t="s">
        <v>66</v>
      </c>
      <c r="AM110" s="585" t="s">
        <v>66</v>
      </c>
      <c r="AN110" s="586" t="s">
        <v>70</v>
      </c>
      <c r="AO110" s="579" t="s">
        <v>71</v>
      </c>
      <c r="AP110" s="579" t="s">
        <v>72</v>
      </c>
      <c r="AQ110" s="579"/>
      <c r="AR110" s="579" t="s">
        <v>73</v>
      </c>
      <c r="AS110" s="579"/>
      <c r="AT110" s="587"/>
      <c r="AU110" s="584" t="s">
        <v>74</v>
      </c>
      <c r="AV110" s="578"/>
      <c r="AW110" s="588"/>
      <c r="AX110" s="588"/>
      <c r="AY110" s="588"/>
      <c r="AZ110" s="589" t="s">
        <v>776</v>
      </c>
      <c r="BA110" s="589" t="s">
        <v>2053</v>
      </c>
      <c r="BB110" s="589" t="s">
        <v>2488</v>
      </c>
      <c r="BC110" s="590">
        <v>0</v>
      </c>
      <c r="BD110" s="591"/>
    </row>
    <row r="111" spans="1:56" s="560" customFormat="1" ht="16.5" customHeight="1">
      <c r="A111" s="561">
        <v>2024</v>
      </c>
      <c r="B111" s="577" t="s">
        <v>778</v>
      </c>
      <c r="C111" s="577" t="s">
        <v>752</v>
      </c>
      <c r="D111" s="562" t="s">
        <v>2415</v>
      </c>
      <c r="E111" s="578" t="s">
        <v>779</v>
      </c>
      <c r="F111" s="579" t="s">
        <v>708</v>
      </c>
      <c r="G111" s="578" t="s">
        <v>2689</v>
      </c>
      <c r="H111" s="579" t="s">
        <v>782</v>
      </c>
      <c r="I111" s="579" t="s">
        <v>2373</v>
      </c>
      <c r="J111" s="579" t="s">
        <v>2105</v>
      </c>
      <c r="K111" s="579" t="s">
        <v>2680</v>
      </c>
      <c r="L111" s="578" t="s">
        <v>783</v>
      </c>
      <c r="M111" s="580" t="s">
        <v>396</v>
      </c>
      <c r="N111" s="580" t="s">
        <v>396</v>
      </c>
      <c r="O111" s="581">
        <v>180.46</v>
      </c>
      <c r="P111" s="581">
        <v>443.43</v>
      </c>
      <c r="Q111" s="582" t="s">
        <v>2174</v>
      </c>
      <c r="R111" s="579" t="s">
        <v>229</v>
      </c>
      <c r="S111" s="579" t="s">
        <v>65</v>
      </c>
      <c r="T111" s="580" t="s">
        <v>66</v>
      </c>
      <c r="U111" s="580" t="s">
        <v>66</v>
      </c>
      <c r="V111" s="580" t="s">
        <v>66</v>
      </c>
      <c r="W111" s="580" t="s">
        <v>66</v>
      </c>
      <c r="X111" s="580" t="s">
        <v>66</v>
      </c>
      <c r="Y111" s="580" t="s">
        <v>66</v>
      </c>
      <c r="Z111" s="580" t="s">
        <v>66</v>
      </c>
      <c r="AA111" s="578" t="s">
        <v>2175</v>
      </c>
      <c r="AB111" s="580" t="s">
        <v>2176</v>
      </c>
      <c r="AC111" s="579" t="s">
        <v>2177</v>
      </c>
      <c r="AD111" s="580" t="s">
        <v>68</v>
      </c>
      <c r="AE111" s="579"/>
      <c r="AF111" s="587" t="s">
        <v>2061</v>
      </c>
      <c r="AG111" s="584" t="s">
        <v>66</v>
      </c>
      <c r="AH111" s="580" t="s">
        <v>66</v>
      </c>
      <c r="AI111" s="580" t="s">
        <v>63</v>
      </c>
      <c r="AJ111" s="580" t="s">
        <v>63</v>
      </c>
      <c r="AK111" s="580" t="s">
        <v>66</v>
      </c>
      <c r="AL111" s="580" t="s">
        <v>66</v>
      </c>
      <c r="AM111" s="585" t="s">
        <v>66</v>
      </c>
      <c r="AN111" s="586" t="s">
        <v>86</v>
      </c>
      <c r="AO111" s="579" t="s">
        <v>71</v>
      </c>
      <c r="AP111" s="579" t="s">
        <v>72</v>
      </c>
      <c r="AQ111" s="579"/>
      <c r="AR111" s="579"/>
      <c r="AS111" s="579"/>
      <c r="AT111" s="587"/>
      <c r="AU111" s="584" t="s">
        <v>2419</v>
      </c>
      <c r="AV111" s="578" t="s">
        <v>2178</v>
      </c>
      <c r="AW111" s="588">
        <v>45383</v>
      </c>
      <c r="AX111" s="588">
        <v>47208</v>
      </c>
      <c r="AY111" s="588" t="s">
        <v>270</v>
      </c>
      <c r="AZ111" s="589" t="s">
        <v>2179</v>
      </c>
      <c r="BA111" s="589" t="s">
        <v>2180</v>
      </c>
      <c r="BB111" s="589" t="s">
        <v>2181</v>
      </c>
      <c r="BC111" s="590">
        <v>0</v>
      </c>
      <c r="BD111" s="591"/>
    </row>
    <row r="112" spans="1:56" s="560" customFormat="1" ht="16.5" customHeight="1">
      <c r="A112" s="576">
        <v>2024</v>
      </c>
      <c r="B112" s="577" t="s">
        <v>800</v>
      </c>
      <c r="C112" s="562" t="s">
        <v>760</v>
      </c>
      <c r="D112" s="562" t="s">
        <v>2415</v>
      </c>
      <c r="E112" s="578" t="s">
        <v>801</v>
      </c>
      <c r="F112" s="579" t="s">
        <v>170</v>
      </c>
      <c r="G112" s="578" t="s">
        <v>802</v>
      </c>
      <c r="H112" s="579" t="s">
        <v>804</v>
      </c>
      <c r="I112" s="579" t="s">
        <v>58</v>
      </c>
      <c r="J112" s="579" t="s">
        <v>685</v>
      </c>
      <c r="K112" s="579" t="s">
        <v>805</v>
      </c>
      <c r="L112" s="578" t="s">
        <v>806</v>
      </c>
      <c r="M112" s="580" t="s">
        <v>807</v>
      </c>
      <c r="N112" s="580" t="s">
        <v>808</v>
      </c>
      <c r="O112" s="581">
        <v>3687.69</v>
      </c>
      <c r="P112" s="581">
        <v>6194.44</v>
      </c>
      <c r="Q112" s="582"/>
      <c r="R112" s="579" t="s">
        <v>130</v>
      </c>
      <c r="S112" s="579" t="s">
        <v>151</v>
      </c>
      <c r="T112" s="580" t="s">
        <v>66</v>
      </c>
      <c r="U112" s="580" t="s">
        <v>66</v>
      </c>
      <c r="V112" s="580" t="s">
        <v>66</v>
      </c>
      <c r="W112" s="580" t="s">
        <v>66</v>
      </c>
      <c r="X112" s="580" t="s">
        <v>66</v>
      </c>
      <c r="Y112" s="580" t="s">
        <v>66</v>
      </c>
      <c r="Z112" s="580" t="s">
        <v>66</v>
      </c>
      <c r="AA112" s="578"/>
      <c r="AB112" s="580" t="s">
        <v>68</v>
      </c>
      <c r="AC112" s="579"/>
      <c r="AD112" s="580" t="s">
        <v>68</v>
      </c>
      <c r="AE112" s="579"/>
      <c r="AF112" s="587" t="s">
        <v>809</v>
      </c>
      <c r="AG112" s="584" t="s">
        <v>63</v>
      </c>
      <c r="AH112" s="580" t="s">
        <v>63</v>
      </c>
      <c r="AI112" s="580" t="s">
        <v>63</v>
      </c>
      <c r="AJ112" s="580" t="s">
        <v>63</v>
      </c>
      <c r="AK112" s="580" t="s">
        <v>63</v>
      </c>
      <c r="AL112" s="580" t="s">
        <v>63</v>
      </c>
      <c r="AM112" s="585" t="s">
        <v>63</v>
      </c>
      <c r="AN112" s="586" t="s">
        <v>70</v>
      </c>
      <c r="AO112" s="579" t="s">
        <v>71</v>
      </c>
      <c r="AP112" s="579" t="s">
        <v>72</v>
      </c>
      <c r="AQ112" s="579"/>
      <c r="AR112" s="579" t="s">
        <v>73</v>
      </c>
      <c r="AS112" s="579"/>
      <c r="AT112" s="587"/>
      <c r="AU112" s="584" t="s">
        <v>74</v>
      </c>
      <c r="AV112" s="578"/>
      <c r="AW112" s="588"/>
      <c r="AX112" s="588"/>
      <c r="AY112" s="588"/>
      <c r="AZ112" s="589" t="s">
        <v>2037</v>
      </c>
      <c r="BA112" s="589" t="s">
        <v>2040</v>
      </c>
      <c r="BB112" s="589" t="s">
        <v>810</v>
      </c>
      <c r="BC112" s="590">
        <v>0</v>
      </c>
      <c r="BD112" s="591"/>
    </row>
    <row r="113" spans="1:56" s="560" customFormat="1" ht="16.5" customHeight="1">
      <c r="A113" s="576">
        <v>2024</v>
      </c>
      <c r="B113" s="577" t="s">
        <v>812</v>
      </c>
      <c r="C113" s="577" t="s">
        <v>768</v>
      </c>
      <c r="D113" s="562" t="s">
        <v>2415</v>
      </c>
      <c r="E113" s="578" t="s">
        <v>813</v>
      </c>
      <c r="F113" s="579" t="s">
        <v>170</v>
      </c>
      <c r="G113" s="578" t="s">
        <v>802</v>
      </c>
      <c r="H113" s="579" t="s">
        <v>694</v>
      </c>
      <c r="I113" s="579" t="s">
        <v>58</v>
      </c>
      <c r="J113" s="579" t="s">
        <v>685</v>
      </c>
      <c r="K113" s="579" t="s">
        <v>805</v>
      </c>
      <c r="L113" s="578" t="s">
        <v>806</v>
      </c>
      <c r="M113" s="580" t="s">
        <v>656</v>
      </c>
      <c r="N113" s="580" t="s">
        <v>656</v>
      </c>
      <c r="O113" s="581">
        <v>4757.8100000000004</v>
      </c>
      <c r="P113" s="581">
        <v>583.26</v>
      </c>
      <c r="Q113" s="582"/>
      <c r="R113" s="579" t="s">
        <v>503</v>
      </c>
      <c r="S113" s="579" t="s">
        <v>65</v>
      </c>
      <c r="T113" s="580" t="s">
        <v>66</v>
      </c>
      <c r="U113" s="580" t="s">
        <v>66</v>
      </c>
      <c r="V113" s="580" t="s">
        <v>66</v>
      </c>
      <c r="W113" s="580" t="s">
        <v>66</v>
      </c>
      <c r="X113" s="580" t="s">
        <v>66</v>
      </c>
      <c r="Y113" s="580" t="s">
        <v>66</v>
      </c>
      <c r="Z113" s="580" t="s">
        <v>66</v>
      </c>
      <c r="AA113" s="578" t="s">
        <v>814</v>
      </c>
      <c r="AB113" s="580" t="s">
        <v>2069</v>
      </c>
      <c r="AC113" s="579" t="s">
        <v>2387</v>
      </c>
      <c r="AD113" s="580" t="s">
        <v>68</v>
      </c>
      <c r="AE113" s="579"/>
      <c r="AF113" s="587" t="s">
        <v>815</v>
      </c>
      <c r="AG113" s="584" t="s">
        <v>63</v>
      </c>
      <c r="AH113" s="580" t="s">
        <v>63</v>
      </c>
      <c r="AI113" s="580" t="s">
        <v>63</v>
      </c>
      <c r="AJ113" s="580" t="s">
        <v>63</v>
      </c>
      <c r="AK113" s="580" t="s">
        <v>63</v>
      </c>
      <c r="AL113" s="580" t="s">
        <v>63</v>
      </c>
      <c r="AM113" s="585" t="s">
        <v>63</v>
      </c>
      <c r="AN113" s="586" t="s">
        <v>816</v>
      </c>
      <c r="AO113" s="579" t="s">
        <v>71</v>
      </c>
      <c r="AP113" s="579" t="s">
        <v>72</v>
      </c>
      <c r="AQ113" s="579"/>
      <c r="AR113" s="579" t="s">
        <v>435</v>
      </c>
      <c r="AS113" s="579"/>
      <c r="AT113" s="587"/>
      <c r="AU113" s="584" t="s">
        <v>2419</v>
      </c>
      <c r="AV113" s="578" t="s">
        <v>1878</v>
      </c>
      <c r="AW113" s="588">
        <v>45383</v>
      </c>
      <c r="AX113" s="588">
        <v>47208</v>
      </c>
      <c r="AY113" s="588" t="s">
        <v>270</v>
      </c>
      <c r="AZ113" s="589" t="s">
        <v>2038</v>
      </c>
      <c r="BA113" s="589" t="s">
        <v>2041</v>
      </c>
      <c r="BB113" s="589"/>
      <c r="BC113" s="590">
        <v>40</v>
      </c>
      <c r="BD113" s="591"/>
    </row>
    <row r="114" spans="1:56" s="560" customFormat="1" ht="16.5" customHeight="1">
      <c r="A114" s="561">
        <v>2024</v>
      </c>
      <c r="B114" s="577" t="s">
        <v>818</v>
      </c>
      <c r="C114" s="562" t="s">
        <v>777</v>
      </c>
      <c r="D114" s="562" t="s">
        <v>2415</v>
      </c>
      <c r="E114" s="578" t="s">
        <v>819</v>
      </c>
      <c r="F114" s="579" t="s">
        <v>170</v>
      </c>
      <c r="G114" s="578" t="s">
        <v>802</v>
      </c>
      <c r="H114" s="579" t="s">
        <v>91</v>
      </c>
      <c r="I114" s="579" t="s">
        <v>58</v>
      </c>
      <c r="J114" s="579" t="s">
        <v>685</v>
      </c>
      <c r="K114" s="579" t="s">
        <v>805</v>
      </c>
      <c r="L114" s="578" t="s">
        <v>806</v>
      </c>
      <c r="M114" s="580" t="s">
        <v>92</v>
      </c>
      <c r="N114" s="580" t="s">
        <v>92</v>
      </c>
      <c r="O114" s="581">
        <v>2385.29</v>
      </c>
      <c r="P114" s="581">
        <v>625.51</v>
      </c>
      <c r="Q114" s="582"/>
      <c r="R114" s="579" t="s">
        <v>93</v>
      </c>
      <c r="S114" s="579" t="s">
        <v>65</v>
      </c>
      <c r="T114" s="580" t="s">
        <v>66</v>
      </c>
      <c r="U114" s="580" t="s">
        <v>66</v>
      </c>
      <c r="V114" s="580" t="s">
        <v>66</v>
      </c>
      <c r="W114" s="580" t="s">
        <v>66</v>
      </c>
      <c r="X114" s="580" t="s">
        <v>66</v>
      </c>
      <c r="Y114" s="580" t="s">
        <v>66</v>
      </c>
      <c r="Z114" s="580" t="s">
        <v>66</v>
      </c>
      <c r="AA114" s="578" t="s">
        <v>820</v>
      </c>
      <c r="AB114" s="580" t="s">
        <v>68</v>
      </c>
      <c r="AC114" s="579"/>
      <c r="AD114" s="580" t="s">
        <v>68</v>
      </c>
      <c r="AE114" s="579"/>
      <c r="AF114" s="587" t="s">
        <v>815</v>
      </c>
      <c r="AG114" s="584" t="s">
        <v>63</v>
      </c>
      <c r="AH114" s="580" t="s">
        <v>63</v>
      </c>
      <c r="AI114" s="580" t="s">
        <v>63</v>
      </c>
      <c r="AJ114" s="580" t="s">
        <v>63</v>
      </c>
      <c r="AK114" s="580" t="s">
        <v>63</v>
      </c>
      <c r="AL114" s="580" t="s">
        <v>63</v>
      </c>
      <c r="AM114" s="585" t="s">
        <v>63</v>
      </c>
      <c r="AN114" s="586" t="s">
        <v>95</v>
      </c>
      <c r="AO114" s="579" t="s">
        <v>71</v>
      </c>
      <c r="AP114" s="579" t="s">
        <v>72</v>
      </c>
      <c r="AQ114" s="579"/>
      <c r="AR114" s="579" t="s">
        <v>73</v>
      </c>
      <c r="AS114" s="579"/>
      <c r="AT114" s="587"/>
      <c r="AU114" s="584" t="s">
        <v>2419</v>
      </c>
      <c r="AV114" s="578" t="s">
        <v>2044</v>
      </c>
      <c r="AW114" s="588">
        <v>45017</v>
      </c>
      <c r="AX114" s="588">
        <v>46843</v>
      </c>
      <c r="AY114" s="588" t="s">
        <v>270</v>
      </c>
      <c r="AZ114" s="589" t="s">
        <v>2038</v>
      </c>
      <c r="BA114" s="589" t="s">
        <v>2042</v>
      </c>
      <c r="BB114" s="589"/>
      <c r="BC114" s="590">
        <v>42</v>
      </c>
      <c r="BD114" s="591"/>
    </row>
    <row r="115" spans="1:56" s="560" customFormat="1" ht="16.5" customHeight="1">
      <c r="A115" s="576">
        <v>2024</v>
      </c>
      <c r="B115" s="577" t="s">
        <v>822</v>
      </c>
      <c r="C115" s="577" t="s">
        <v>785</v>
      </c>
      <c r="D115" s="562" t="s">
        <v>2415</v>
      </c>
      <c r="E115" s="578" t="s">
        <v>823</v>
      </c>
      <c r="F115" s="579" t="s">
        <v>170</v>
      </c>
      <c r="G115" s="578" t="s">
        <v>802</v>
      </c>
      <c r="H115" s="579" t="s">
        <v>824</v>
      </c>
      <c r="I115" s="579" t="s">
        <v>182</v>
      </c>
      <c r="J115" s="579" t="s">
        <v>685</v>
      </c>
      <c r="K115" s="579" t="s">
        <v>805</v>
      </c>
      <c r="L115" s="578" t="s">
        <v>806</v>
      </c>
      <c r="M115" s="580" t="s">
        <v>99</v>
      </c>
      <c r="N115" s="580" t="s">
        <v>99</v>
      </c>
      <c r="O115" s="581" t="s">
        <v>825</v>
      </c>
      <c r="P115" s="581">
        <v>0</v>
      </c>
      <c r="Q115" s="582"/>
      <c r="R115" s="579" t="s">
        <v>100</v>
      </c>
      <c r="S115" s="579" t="s">
        <v>65</v>
      </c>
      <c r="T115" s="580" t="s">
        <v>66</v>
      </c>
      <c r="U115" s="580" t="s">
        <v>66</v>
      </c>
      <c r="V115" s="580" t="s">
        <v>66</v>
      </c>
      <c r="W115" s="580" t="s">
        <v>66</v>
      </c>
      <c r="X115" s="580" t="s">
        <v>66</v>
      </c>
      <c r="Y115" s="580" t="s">
        <v>66</v>
      </c>
      <c r="Z115" s="580" t="s">
        <v>66</v>
      </c>
      <c r="AA115" s="578" t="s">
        <v>826</v>
      </c>
      <c r="AB115" s="580" t="s">
        <v>101</v>
      </c>
      <c r="AC115" s="579" t="s">
        <v>826</v>
      </c>
      <c r="AD115" s="580" t="s">
        <v>2068</v>
      </c>
      <c r="AE115" s="579" t="s">
        <v>826</v>
      </c>
      <c r="AF115" s="587" t="s">
        <v>827</v>
      </c>
      <c r="AG115" s="584" t="s">
        <v>66</v>
      </c>
      <c r="AH115" s="580" t="s">
        <v>66</v>
      </c>
      <c r="AI115" s="580" t="s">
        <v>66</v>
      </c>
      <c r="AJ115" s="580" t="s">
        <v>66</v>
      </c>
      <c r="AK115" s="580" t="s">
        <v>66</v>
      </c>
      <c r="AL115" s="580" t="s">
        <v>66</v>
      </c>
      <c r="AM115" s="585" t="s">
        <v>66</v>
      </c>
      <c r="AN115" s="586" t="s">
        <v>86</v>
      </c>
      <c r="AO115" s="579" t="s">
        <v>71</v>
      </c>
      <c r="AP115" s="579" t="s">
        <v>72</v>
      </c>
      <c r="AQ115" s="579"/>
      <c r="AR115" s="579"/>
      <c r="AS115" s="579"/>
      <c r="AT115" s="587"/>
      <c r="AU115" s="584" t="s">
        <v>74</v>
      </c>
      <c r="AV115" s="578"/>
      <c r="AW115" s="588"/>
      <c r="AX115" s="588"/>
      <c r="AY115" s="588"/>
      <c r="AZ115" s="589" t="s">
        <v>828</v>
      </c>
      <c r="BA115" s="589" t="s">
        <v>2043</v>
      </c>
      <c r="BB115" s="589"/>
      <c r="BC115" s="609" t="s">
        <v>1966</v>
      </c>
      <c r="BD115" s="591"/>
    </row>
    <row r="116" spans="1:56" s="560" customFormat="1" ht="16.5" customHeight="1">
      <c r="A116" s="576">
        <v>2024</v>
      </c>
      <c r="B116" s="577" t="s">
        <v>830</v>
      </c>
      <c r="C116" s="562" t="s">
        <v>790</v>
      </c>
      <c r="D116" s="562" t="s">
        <v>2415</v>
      </c>
      <c r="E116" s="578" t="s">
        <v>831</v>
      </c>
      <c r="F116" s="579" t="s">
        <v>170</v>
      </c>
      <c r="G116" s="578" t="s">
        <v>802</v>
      </c>
      <c r="H116" s="579" t="s">
        <v>81</v>
      </c>
      <c r="I116" s="579" t="s">
        <v>58</v>
      </c>
      <c r="J116" s="579" t="s">
        <v>685</v>
      </c>
      <c r="K116" s="579" t="s">
        <v>805</v>
      </c>
      <c r="L116" s="578" t="s">
        <v>806</v>
      </c>
      <c r="M116" s="580" t="s">
        <v>84</v>
      </c>
      <c r="N116" s="580" t="s">
        <v>84</v>
      </c>
      <c r="O116" s="581">
        <v>1470</v>
      </c>
      <c r="P116" s="581">
        <v>83.65</v>
      </c>
      <c r="Q116" s="582"/>
      <c r="R116" s="579" t="s">
        <v>85</v>
      </c>
      <c r="S116" s="579" t="s">
        <v>65</v>
      </c>
      <c r="T116" s="580" t="s">
        <v>66</v>
      </c>
      <c r="U116" s="580" t="s">
        <v>66</v>
      </c>
      <c r="V116" s="580" t="s">
        <v>66</v>
      </c>
      <c r="W116" s="580" t="s">
        <v>66</v>
      </c>
      <c r="X116" s="580" t="s">
        <v>66</v>
      </c>
      <c r="Y116" s="580" t="s">
        <v>66</v>
      </c>
      <c r="Z116" s="580" t="s">
        <v>66</v>
      </c>
      <c r="AA116" s="578" t="s">
        <v>2046</v>
      </c>
      <c r="AB116" s="580" t="s">
        <v>68</v>
      </c>
      <c r="AC116" s="579"/>
      <c r="AD116" s="580" t="s">
        <v>68</v>
      </c>
      <c r="AE116" s="579"/>
      <c r="AF116" s="587" t="s">
        <v>1893</v>
      </c>
      <c r="AG116" s="584" t="s">
        <v>63</v>
      </c>
      <c r="AH116" s="580" t="s">
        <v>63</v>
      </c>
      <c r="AI116" s="580" t="s">
        <v>63</v>
      </c>
      <c r="AJ116" s="580" t="s">
        <v>63</v>
      </c>
      <c r="AK116" s="580" t="s">
        <v>66</v>
      </c>
      <c r="AL116" s="580" t="s">
        <v>63</v>
      </c>
      <c r="AM116" s="585" t="s">
        <v>63</v>
      </c>
      <c r="AN116" s="586" t="s">
        <v>86</v>
      </c>
      <c r="AO116" s="579" t="s">
        <v>71</v>
      </c>
      <c r="AP116" s="579" t="s">
        <v>72</v>
      </c>
      <c r="AQ116" s="579"/>
      <c r="AR116" s="579"/>
      <c r="AS116" s="579"/>
      <c r="AT116" s="587"/>
      <c r="AU116" s="584" t="s">
        <v>2419</v>
      </c>
      <c r="AV116" s="578" t="s">
        <v>363</v>
      </c>
      <c r="AW116" s="588">
        <v>45383</v>
      </c>
      <c r="AX116" s="588">
        <v>47208</v>
      </c>
      <c r="AY116" s="588" t="s">
        <v>270</v>
      </c>
      <c r="AZ116" s="589" t="s">
        <v>832</v>
      </c>
      <c r="BA116" s="589" t="s">
        <v>2043</v>
      </c>
      <c r="BB116" s="589"/>
      <c r="BC116" s="590">
        <v>6</v>
      </c>
      <c r="BD116" s="591"/>
    </row>
    <row r="117" spans="1:56" s="560" customFormat="1" ht="16.5" customHeight="1">
      <c r="A117" s="561">
        <v>2024</v>
      </c>
      <c r="B117" s="577" t="s">
        <v>834</v>
      </c>
      <c r="C117" s="577" t="s">
        <v>793</v>
      </c>
      <c r="D117" s="562" t="s">
        <v>2415</v>
      </c>
      <c r="E117" s="578" t="s">
        <v>835</v>
      </c>
      <c r="F117" s="579" t="s">
        <v>170</v>
      </c>
      <c r="G117" s="578" t="s">
        <v>2187</v>
      </c>
      <c r="H117" s="579" t="s">
        <v>838</v>
      </c>
      <c r="I117" s="579" t="s">
        <v>58</v>
      </c>
      <c r="J117" s="579" t="s">
        <v>839</v>
      </c>
      <c r="K117" s="579" t="s">
        <v>840</v>
      </c>
      <c r="L117" s="578" t="s">
        <v>841</v>
      </c>
      <c r="M117" s="580" t="s">
        <v>842</v>
      </c>
      <c r="N117" s="580" t="s">
        <v>292</v>
      </c>
      <c r="O117" s="581">
        <v>21553</v>
      </c>
      <c r="P117" s="581">
        <v>11109</v>
      </c>
      <c r="Q117" s="582"/>
      <c r="R117" s="579" t="s">
        <v>130</v>
      </c>
      <c r="S117" s="579" t="s">
        <v>65</v>
      </c>
      <c r="T117" s="580" t="s">
        <v>63</v>
      </c>
      <c r="U117" s="580" t="s">
        <v>63</v>
      </c>
      <c r="V117" s="580" t="s">
        <v>63</v>
      </c>
      <c r="W117" s="580" t="s">
        <v>63</v>
      </c>
      <c r="X117" s="580" t="s">
        <v>63</v>
      </c>
      <c r="Y117" s="580" t="s">
        <v>63</v>
      </c>
      <c r="Z117" s="580" t="s">
        <v>843</v>
      </c>
      <c r="AA117" s="578" t="s">
        <v>844</v>
      </c>
      <c r="AB117" s="580" t="s">
        <v>68</v>
      </c>
      <c r="AC117" s="579"/>
      <c r="AD117" s="580" t="s">
        <v>68</v>
      </c>
      <c r="AE117" s="579"/>
      <c r="AF117" s="583" t="s">
        <v>845</v>
      </c>
      <c r="AG117" s="584" t="s">
        <v>63</v>
      </c>
      <c r="AH117" s="580" t="s">
        <v>63</v>
      </c>
      <c r="AI117" s="580" t="s">
        <v>63</v>
      </c>
      <c r="AJ117" s="580" t="s">
        <v>66</v>
      </c>
      <c r="AK117" s="580" t="s">
        <v>66</v>
      </c>
      <c r="AL117" s="580" t="s">
        <v>63</v>
      </c>
      <c r="AM117" s="585" t="s">
        <v>63</v>
      </c>
      <c r="AN117" s="586" t="s">
        <v>120</v>
      </c>
      <c r="AO117" s="579" t="s">
        <v>71</v>
      </c>
      <c r="AP117" s="579" t="s">
        <v>72</v>
      </c>
      <c r="AQ117" s="579"/>
      <c r="AR117" s="579" t="s">
        <v>121</v>
      </c>
      <c r="AS117" s="579" t="s">
        <v>134</v>
      </c>
      <c r="AT117" s="587"/>
      <c r="AU117" s="584" t="s">
        <v>74</v>
      </c>
      <c r="AV117" s="578"/>
      <c r="AW117" s="588"/>
      <c r="AX117" s="588"/>
      <c r="AY117" s="588"/>
      <c r="AZ117" s="589" t="s">
        <v>846</v>
      </c>
      <c r="BA117" s="589" t="s">
        <v>847</v>
      </c>
      <c r="BB117" s="589" t="s">
        <v>848</v>
      </c>
      <c r="BC117" s="590">
        <v>0</v>
      </c>
      <c r="BD117" s="591"/>
    </row>
    <row r="118" spans="1:56" s="560" customFormat="1" ht="16.5" customHeight="1">
      <c r="A118" s="576">
        <v>2024</v>
      </c>
      <c r="B118" s="577" t="s">
        <v>850</v>
      </c>
      <c r="C118" s="562" t="s">
        <v>795</v>
      </c>
      <c r="D118" s="562" t="s">
        <v>2415</v>
      </c>
      <c r="E118" s="578" t="s">
        <v>851</v>
      </c>
      <c r="F118" s="579" t="s">
        <v>170</v>
      </c>
      <c r="G118" s="578" t="s">
        <v>2187</v>
      </c>
      <c r="H118" s="579" t="s">
        <v>852</v>
      </c>
      <c r="I118" s="579" t="s">
        <v>58</v>
      </c>
      <c r="J118" s="579" t="s">
        <v>839</v>
      </c>
      <c r="K118" s="579" t="s">
        <v>840</v>
      </c>
      <c r="L118" s="578" t="s">
        <v>841</v>
      </c>
      <c r="M118" s="580" t="s">
        <v>853</v>
      </c>
      <c r="N118" s="580" t="s">
        <v>854</v>
      </c>
      <c r="O118" s="581">
        <v>15595</v>
      </c>
      <c r="P118" s="581">
        <v>9347</v>
      </c>
      <c r="Q118" s="582"/>
      <c r="R118" s="579" t="s">
        <v>64</v>
      </c>
      <c r="S118" s="579" t="s">
        <v>65</v>
      </c>
      <c r="T118" s="580" t="s">
        <v>63</v>
      </c>
      <c r="U118" s="580" t="s">
        <v>63</v>
      </c>
      <c r="V118" s="580" t="s">
        <v>63</v>
      </c>
      <c r="W118" s="580" t="s">
        <v>63</v>
      </c>
      <c r="X118" s="580" t="s">
        <v>63</v>
      </c>
      <c r="Y118" s="580" t="s">
        <v>66</v>
      </c>
      <c r="Z118" s="580" t="s">
        <v>66</v>
      </c>
      <c r="AA118" s="578" t="s">
        <v>2747</v>
      </c>
      <c r="AB118" s="580" t="s">
        <v>68</v>
      </c>
      <c r="AC118" s="579"/>
      <c r="AD118" s="580" t="s">
        <v>68</v>
      </c>
      <c r="AE118" s="579"/>
      <c r="AF118" s="583" t="s">
        <v>845</v>
      </c>
      <c r="AG118" s="584" t="s">
        <v>63</v>
      </c>
      <c r="AH118" s="580" t="s">
        <v>63</v>
      </c>
      <c r="AI118" s="580" t="s">
        <v>63</v>
      </c>
      <c r="AJ118" s="580" t="s">
        <v>66</v>
      </c>
      <c r="AK118" s="580" t="s">
        <v>66</v>
      </c>
      <c r="AL118" s="580" t="s">
        <v>63</v>
      </c>
      <c r="AM118" s="585" t="s">
        <v>66</v>
      </c>
      <c r="AN118" s="586" t="s">
        <v>164</v>
      </c>
      <c r="AO118" s="579" t="s">
        <v>71</v>
      </c>
      <c r="AP118" s="579" t="s">
        <v>72</v>
      </c>
      <c r="AQ118" s="579"/>
      <c r="AR118" s="579" t="s">
        <v>121</v>
      </c>
      <c r="AS118" s="579"/>
      <c r="AT118" s="587"/>
      <c r="AU118" s="584" t="s">
        <v>74</v>
      </c>
      <c r="AV118" s="578"/>
      <c r="AW118" s="588"/>
      <c r="AX118" s="588"/>
      <c r="AY118" s="588"/>
      <c r="AZ118" s="589" t="s">
        <v>846</v>
      </c>
      <c r="BA118" s="589" t="s">
        <v>847</v>
      </c>
      <c r="BB118" s="589" t="s">
        <v>848</v>
      </c>
      <c r="BC118" s="590">
        <v>0</v>
      </c>
      <c r="BD118" s="591"/>
    </row>
    <row r="119" spans="1:56" s="560" customFormat="1" ht="16.5" customHeight="1">
      <c r="A119" s="576">
        <v>2024</v>
      </c>
      <c r="B119" s="577" t="s">
        <v>856</v>
      </c>
      <c r="C119" s="577" t="s">
        <v>799</v>
      </c>
      <c r="D119" s="562" t="s">
        <v>2415</v>
      </c>
      <c r="E119" s="578" t="s">
        <v>857</v>
      </c>
      <c r="F119" s="579" t="s">
        <v>170</v>
      </c>
      <c r="G119" s="578" t="s">
        <v>2187</v>
      </c>
      <c r="H119" s="579" t="s">
        <v>858</v>
      </c>
      <c r="I119" s="579" t="s">
        <v>58</v>
      </c>
      <c r="J119" s="579" t="s">
        <v>839</v>
      </c>
      <c r="K119" s="579" t="s">
        <v>840</v>
      </c>
      <c r="L119" s="578" t="s">
        <v>841</v>
      </c>
      <c r="M119" s="580" t="s">
        <v>859</v>
      </c>
      <c r="N119" s="580" t="s">
        <v>860</v>
      </c>
      <c r="O119" s="581">
        <v>20066</v>
      </c>
      <c r="P119" s="581">
        <v>10619</v>
      </c>
      <c r="Q119" s="582"/>
      <c r="R119" s="579" t="s">
        <v>107</v>
      </c>
      <c r="S119" s="579" t="s">
        <v>65</v>
      </c>
      <c r="T119" s="580" t="s">
        <v>63</v>
      </c>
      <c r="U119" s="580" t="s">
        <v>63</v>
      </c>
      <c r="V119" s="580" t="s">
        <v>63</v>
      </c>
      <c r="W119" s="580" t="s">
        <v>63</v>
      </c>
      <c r="X119" s="580" t="s">
        <v>63</v>
      </c>
      <c r="Y119" s="580" t="s">
        <v>63</v>
      </c>
      <c r="Z119" s="580" t="s">
        <v>861</v>
      </c>
      <c r="AA119" s="578" t="s">
        <v>862</v>
      </c>
      <c r="AB119" s="580" t="s">
        <v>68</v>
      </c>
      <c r="AC119" s="579"/>
      <c r="AD119" s="580" t="s">
        <v>68</v>
      </c>
      <c r="AE119" s="579"/>
      <c r="AF119" s="583" t="s">
        <v>845</v>
      </c>
      <c r="AG119" s="584" t="s">
        <v>63</v>
      </c>
      <c r="AH119" s="580" t="s">
        <v>63</v>
      </c>
      <c r="AI119" s="580" t="s">
        <v>63</v>
      </c>
      <c r="AJ119" s="580" t="s">
        <v>66</v>
      </c>
      <c r="AK119" s="580" t="s">
        <v>66</v>
      </c>
      <c r="AL119" s="580" t="s">
        <v>63</v>
      </c>
      <c r="AM119" s="585" t="s">
        <v>66</v>
      </c>
      <c r="AN119" s="586" t="s">
        <v>109</v>
      </c>
      <c r="AO119" s="579" t="s">
        <v>110</v>
      </c>
      <c r="AP119" s="579" t="s">
        <v>111</v>
      </c>
      <c r="AQ119" s="579"/>
      <c r="AR119" s="579" t="s">
        <v>112</v>
      </c>
      <c r="AS119" s="579"/>
      <c r="AT119" s="587"/>
      <c r="AU119" s="584" t="s">
        <v>74</v>
      </c>
      <c r="AV119" s="578"/>
      <c r="AW119" s="588"/>
      <c r="AX119" s="588"/>
      <c r="AY119" s="588"/>
      <c r="AZ119" s="589" t="s">
        <v>846</v>
      </c>
      <c r="BA119" s="589" t="s">
        <v>847</v>
      </c>
      <c r="BB119" s="589" t="s">
        <v>848</v>
      </c>
      <c r="BC119" s="590">
        <v>0</v>
      </c>
      <c r="BD119" s="591"/>
    </row>
    <row r="120" spans="1:56" s="560" customFormat="1" ht="16.5" customHeight="1">
      <c r="A120" s="561">
        <v>2024</v>
      </c>
      <c r="B120" s="577" t="s">
        <v>864</v>
      </c>
      <c r="C120" s="562" t="s">
        <v>811</v>
      </c>
      <c r="D120" s="562" t="s">
        <v>2415</v>
      </c>
      <c r="E120" s="578" t="s">
        <v>865</v>
      </c>
      <c r="F120" s="579" t="s">
        <v>170</v>
      </c>
      <c r="G120" s="578" t="s">
        <v>2187</v>
      </c>
      <c r="H120" s="579" t="s">
        <v>866</v>
      </c>
      <c r="I120" s="579" t="s">
        <v>58</v>
      </c>
      <c r="J120" s="579" t="s">
        <v>839</v>
      </c>
      <c r="K120" s="579" t="s">
        <v>840</v>
      </c>
      <c r="L120" s="578" t="s">
        <v>841</v>
      </c>
      <c r="M120" s="580" t="s">
        <v>853</v>
      </c>
      <c r="N120" s="580" t="s">
        <v>306</v>
      </c>
      <c r="O120" s="581">
        <v>16630</v>
      </c>
      <c r="P120" s="581">
        <v>8604</v>
      </c>
      <c r="Q120" s="582"/>
      <c r="R120" s="579" t="s">
        <v>85</v>
      </c>
      <c r="S120" s="579" t="s">
        <v>65</v>
      </c>
      <c r="T120" s="580" t="s">
        <v>63</v>
      </c>
      <c r="U120" s="580" t="s">
        <v>63</v>
      </c>
      <c r="V120" s="580" t="s">
        <v>63</v>
      </c>
      <c r="W120" s="580" t="s">
        <v>63</v>
      </c>
      <c r="X120" s="580" t="s">
        <v>63</v>
      </c>
      <c r="Y120" s="580" t="s">
        <v>63</v>
      </c>
      <c r="Z120" s="580" t="s">
        <v>867</v>
      </c>
      <c r="AA120" s="578" t="s">
        <v>868</v>
      </c>
      <c r="AB120" s="580" t="s">
        <v>68</v>
      </c>
      <c r="AC120" s="579"/>
      <c r="AD120" s="580" t="s">
        <v>68</v>
      </c>
      <c r="AE120" s="579"/>
      <c r="AF120" s="583" t="s">
        <v>845</v>
      </c>
      <c r="AG120" s="584" t="s">
        <v>63</v>
      </c>
      <c r="AH120" s="580" t="s">
        <v>63</v>
      </c>
      <c r="AI120" s="580" t="s">
        <v>63</v>
      </c>
      <c r="AJ120" s="580" t="s">
        <v>66</v>
      </c>
      <c r="AK120" s="580" t="s">
        <v>66</v>
      </c>
      <c r="AL120" s="580" t="s">
        <v>63</v>
      </c>
      <c r="AM120" s="585" t="s">
        <v>66</v>
      </c>
      <c r="AN120" s="586" t="s">
        <v>86</v>
      </c>
      <c r="AO120" s="579" t="s">
        <v>71</v>
      </c>
      <c r="AP120" s="579" t="s">
        <v>72</v>
      </c>
      <c r="AQ120" s="579"/>
      <c r="AR120" s="579"/>
      <c r="AS120" s="579"/>
      <c r="AT120" s="587"/>
      <c r="AU120" s="584" t="s">
        <v>74</v>
      </c>
      <c r="AV120" s="578"/>
      <c r="AW120" s="588"/>
      <c r="AX120" s="588"/>
      <c r="AY120" s="588"/>
      <c r="AZ120" s="589" t="s">
        <v>846</v>
      </c>
      <c r="BA120" s="589" t="s">
        <v>847</v>
      </c>
      <c r="BB120" s="589" t="s">
        <v>848</v>
      </c>
      <c r="BC120" s="590">
        <v>0</v>
      </c>
      <c r="BD120" s="591"/>
    </row>
    <row r="121" spans="1:56" s="560" customFormat="1" ht="16.5" customHeight="1">
      <c r="A121" s="576">
        <v>2024</v>
      </c>
      <c r="B121" s="577" t="s">
        <v>870</v>
      </c>
      <c r="C121" s="577" t="s">
        <v>817</v>
      </c>
      <c r="D121" s="562" t="s">
        <v>2415</v>
      </c>
      <c r="E121" s="578" t="s">
        <v>871</v>
      </c>
      <c r="F121" s="579" t="s">
        <v>170</v>
      </c>
      <c r="G121" s="578" t="s">
        <v>2187</v>
      </c>
      <c r="H121" s="579" t="s">
        <v>872</v>
      </c>
      <c r="I121" s="579" t="s">
        <v>58</v>
      </c>
      <c r="J121" s="579" t="s">
        <v>839</v>
      </c>
      <c r="K121" s="579" t="s">
        <v>840</v>
      </c>
      <c r="L121" s="578" t="s">
        <v>841</v>
      </c>
      <c r="M121" s="580" t="s">
        <v>873</v>
      </c>
      <c r="N121" s="580" t="s">
        <v>874</v>
      </c>
      <c r="O121" s="581">
        <v>16431</v>
      </c>
      <c r="P121" s="581">
        <v>8751</v>
      </c>
      <c r="Q121" s="582"/>
      <c r="R121" s="579" t="s">
        <v>251</v>
      </c>
      <c r="S121" s="579" t="s">
        <v>65</v>
      </c>
      <c r="T121" s="580" t="s">
        <v>63</v>
      </c>
      <c r="U121" s="580" t="s">
        <v>63</v>
      </c>
      <c r="V121" s="580" t="s">
        <v>63</v>
      </c>
      <c r="W121" s="580" t="s">
        <v>63</v>
      </c>
      <c r="X121" s="580" t="s">
        <v>63</v>
      </c>
      <c r="Y121" s="580" t="s">
        <v>66</v>
      </c>
      <c r="Z121" s="580" t="s">
        <v>66</v>
      </c>
      <c r="AA121" s="578" t="s">
        <v>875</v>
      </c>
      <c r="AB121" s="580" t="s">
        <v>68</v>
      </c>
      <c r="AC121" s="579"/>
      <c r="AD121" s="580" t="s">
        <v>68</v>
      </c>
      <c r="AE121" s="579"/>
      <c r="AF121" s="583" t="s">
        <v>845</v>
      </c>
      <c r="AG121" s="584" t="s">
        <v>63</v>
      </c>
      <c r="AH121" s="580" t="s">
        <v>63</v>
      </c>
      <c r="AI121" s="580" t="s">
        <v>63</v>
      </c>
      <c r="AJ121" s="580" t="s">
        <v>66</v>
      </c>
      <c r="AK121" s="580" t="s">
        <v>66</v>
      </c>
      <c r="AL121" s="580" t="s">
        <v>63</v>
      </c>
      <c r="AM121" s="585" t="s">
        <v>63</v>
      </c>
      <c r="AN121" s="586" t="s">
        <v>120</v>
      </c>
      <c r="AO121" s="579" t="s">
        <v>71</v>
      </c>
      <c r="AP121" s="579" t="s">
        <v>72</v>
      </c>
      <c r="AQ121" s="579"/>
      <c r="AR121" s="579" t="s">
        <v>121</v>
      </c>
      <c r="AS121" s="579"/>
      <c r="AT121" s="587"/>
      <c r="AU121" s="584" t="s">
        <v>74</v>
      </c>
      <c r="AV121" s="578"/>
      <c r="AW121" s="588"/>
      <c r="AX121" s="588"/>
      <c r="AY121" s="588"/>
      <c r="AZ121" s="589" t="s">
        <v>846</v>
      </c>
      <c r="BA121" s="589" t="s">
        <v>847</v>
      </c>
      <c r="BB121" s="589" t="s">
        <v>848</v>
      </c>
      <c r="BC121" s="590">
        <v>0</v>
      </c>
      <c r="BD121" s="591"/>
    </row>
    <row r="122" spans="1:56" s="560" customFormat="1" ht="16.5" customHeight="1">
      <c r="A122" s="576">
        <v>2024</v>
      </c>
      <c r="B122" s="577" t="s">
        <v>877</v>
      </c>
      <c r="C122" s="562" t="s">
        <v>821</v>
      </c>
      <c r="D122" s="562" t="s">
        <v>2415</v>
      </c>
      <c r="E122" s="578" t="s">
        <v>878</v>
      </c>
      <c r="F122" s="579" t="s">
        <v>170</v>
      </c>
      <c r="G122" s="578" t="s">
        <v>2187</v>
      </c>
      <c r="H122" s="579" t="s">
        <v>879</v>
      </c>
      <c r="I122" s="579" t="s">
        <v>58</v>
      </c>
      <c r="J122" s="579" t="s">
        <v>839</v>
      </c>
      <c r="K122" s="579" t="s">
        <v>840</v>
      </c>
      <c r="L122" s="578" t="s">
        <v>841</v>
      </c>
      <c r="M122" s="580" t="s">
        <v>880</v>
      </c>
      <c r="N122" s="580" t="s">
        <v>874</v>
      </c>
      <c r="O122" s="581">
        <v>18080</v>
      </c>
      <c r="P122" s="581">
        <v>9512</v>
      </c>
      <c r="Q122" s="582"/>
      <c r="R122" s="579" t="s">
        <v>240</v>
      </c>
      <c r="S122" s="579" t="s">
        <v>65</v>
      </c>
      <c r="T122" s="580" t="s">
        <v>63</v>
      </c>
      <c r="U122" s="580" t="s">
        <v>63</v>
      </c>
      <c r="V122" s="580" t="s">
        <v>63</v>
      </c>
      <c r="W122" s="580" t="s">
        <v>63</v>
      </c>
      <c r="X122" s="580" t="s">
        <v>63</v>
      </c>
      <c r="Y122" s="580" t="s">
        <v>66</v>
      </c>
      <c r="Z122" s="580" t="s">
        <v>66</v>
      </c>
      <c r="AA122" s="578" t="s">
        <v>881</v>
      </c>
      <c r="AB122" s="580" t="s">
        <v>68</v>
      </c>
      <c r="AC122" s="579"/>
      <c r="AD122" s="580" t="s">
        <v>68</v>
      </c>
      <c r="AE122" s="579"/>
      <c r="AF122" s="583" t="s">
        <v>845</v>
      </c>
      <c r="AG122" s="584" t="s">
        <v>63</v>
      </c>
      <c r="AH122" s="580" t="s">
        <v>63</v>
      </c>
      <c r="AI122" s="580" t="s">
        <v>63</v>
      </c>
      <c r="AJ122" s="580" t="s">
        <v>66</v>
      </c>
      <c r="AK122" s="580" t="s">
        <v>66</v>
      </c>
      <c r="AL122" s="580" t="s">
        <v>63</v>
      </c>
      <c r="AM122" s="585" t="s">
        <v>63</v>
      </c>
      <c r="AN122" s="586" t="s">
        <v>164</v>
      </c>
      <c r="AO122" s="579" t="s">
        <v>71</v>
      </c>
      <c r="AP122" s="579" t="s">
        <v>72</v>
      </c>
      <c r="AQ122" s="579"/>
      <c r="AR122" s="579" t="s">
        <v>121</v>
      </c>
      <c r="AS122" s="579"/>
      <c r="AT122" s="587"/>
      <c r="AU122" s="584" t="s">
        <v>74</v>
      </c>
      <c r="AV122" s="578"/>
      <c r="AW122" s="588"/>
      <c r="AX122" s="588"/>
      <c r="AY122" s="588"/>
      <c r="AZ122" s="589" t="s">
        <v>846</v>
      </c>
      <c r="BA122" s="589" t="s">
        <v>847</v>
      </c>
      <c r="BB122" s="589" t="s">
        <v>848</v>
      </c>
      <c r="BC122" s="590">
        <v>0</v>
      </c>
      <c r="BD122" s="591"/>
    </row>
    <row r="123" spans="1:56" s="560" customFormat="1" ht="16.5" customHeight="1">
      <c r="A123" s="561">
        <v>2024</v>
      </c>
      <c r="B123" s="577" t="s">
        <v>883</v>
      </c>
      <c r="C123" s="577" t="s">
        <v>829</v>
      </c>
      <c r="D123" s="562" t="s">
        <v>2415</v>
      </c>
      <c r="E123" s="578" t="s">
        <v>884</v>
      </c>
      <c r="F123" s="579" t="s">
        <v>170</v>
      </c>
      <c r="G123" s="578" t="s">
        <v>2187</v>
      </c>
      <c r="H123" s="579" t="s">
        <v>885</v>
      </c>
      <c r="I123" s="579" t="s">
        <v>58</v>
      </c>
      <c r="J123" s="579" t="s">
        <v>839</v>
      </c>
      <c r="K123" s="579" t="s">
        <v>840</v>
      </c>
      <c r="L123" s="578" t="s">
        <v>841</v>
      </c>
      <c r="M123" s="580" t="s">
        <v>886</v>
      </c>
      <c r="N123" s="580" t="s">
        <v>874</v>
      </c>
      <c r="O123" s="581">
        <v>15334</v>
      </c>
      <c r="P123" s="581">
        <v>8399</v>
      </c>
      <c r="Q123" s="582"/>
      <c r="R123" s="579" t="s">
        <v>93</v>
      </c>
      <c r="S123" s="579" t="s">
        <v>65</v>
      </c>
      <c r="T123" s="580" t="s">
        <v>63</v>
      </c>
      <c r="U123" s="580" t="s">
        <v>63</v>
      </c>
      <c r="V123" s="580" t="s">
        <v>63</v>
      </c>
      <c r="W123" s="580" t="s">
        <v>63</v>
      </c>
      <c r="X123" s="580" t="s">
        <v>63</v>
      </c>
      <c r="Y123" s="580" t="s">
        <v>66</v>
      </c>
      <c r="Z123" s="580" t="s">
        <v>66</v>
      </c>
      <c r="AA123" s="578" t="s">
        <v>887</v>
      </c>
      <c r="AB123" s="580" t="s">
        <v>68</v>
      </c>
      <c r="AC123" s="579"/>
      <c r="AD123" s="580" t="s">
        <v>68</v>
      </c>
      <c r="AE123" s="579"/>
      <c r="AF123" s="583" t="s">
        <v>845</v>
      </c>
      <c r="AG123" s="584" t="s">
        <v>63</v>
      </c>
      <c r="AH123" s="580" t="s">
        <v>63</v>
      </c>
      <c r="AI123" s="580" t="s">
        <v>63</v>
      </c>
      <c r="AJ123" s="580" t="s">
        <v>66</v>
      </c>
      <c r="AK123" s="580" t="s">
        <v>66</v>
      </c>
      <c r="AL123" s="580" t="s">
        <v>63</v>
      </c>
      <c r="AM123" s="585" t="s">
        <v>66</v>
      </c>
      <c r="AN123" s="586" t="s">
        <v>164</v>
      </c>
      <c r="AO123" s="579" t="s">
        <v>71</v>
      </c>
      <c r="AP123" s="579" t="s">
        <v>72</v>
      </c>
      <c r="AQ123" s="579"/>
      <c r="AR123" s="579" t="s">
        <v>121</v>
      </c>
      <c r="AS123" s="579"/>
      <c r="AT123" s="587"/>
      <c r="AU123" s="584" t="s">
        <v>74</v>
      </c>
      <c r="AV123" s="578"/>
      <c r="AW123" s="588"/>
      <c r="AX123" s="588"/>
      <c r="AY123" s="588"/>
      <c r="AZ123" s="589" t="s">
        <v>846</v>
      </c>
      <c r="BA123" s="589" t="s">
        <v>847</v>
      </c>
      <c r="BB123" s="589" t="s">
        <v>848</v>
      </c>
      <c r="BC123" s="590">
        <v>0</v>
      </c>
      <c r="BD123" s="591"/>
    </row>
    <row r="124" spans="1:56" s="560" customFormat="1" ht="16.5" customHeight="1">
      <c r="A124" s="576">
        <v>2024</v>
      </c>
      <c r="B124" s="577" t="s">
        <v>889</v>
      </c>
      <c r="C124" s="562" t="s">
        <v>833</v>
      </c>
      <c r="D124" s="562" t="s">
        <v>2415</v>
      </c>
      <c r="E124" s="578" t="s">
        <v>890</v>
      </c>
      <c r="F124" s="579" t="s">
        <v>170</v>
      </c>
      <c r="G124" s="578" t="s">
        <v>2187</v>
      </c>
      <c r="H124" s="579" t="s">
        <v>891</v>
      </c>
      <c r="I124" s="579" t="s">
        <v>58</v>
      </c>
      <c r="J124" s="579" t="s">
        <v>839</v>
      </c>
      <c r="K124" s="579" t="s">
        <v>840</v>
      </c>
      <c r="L124" s="578" t="s">
        <v>841</v>
      </c>
      <c r="M124" s="580" t="s">
        <v>892</v>
      </c>
      <c r="N124" s="580" t="s">
        <v>892</v>
      </c>
      <c r="O124" s="581">
        <v>16907</v>
      </c>
      <c r="P124" s="581">
        <v>8526</v>
      </c>
      <c r="Q124" s="582"/>
      <c r="R124" s="579" t="s">
        <v>2502</v>
      </c>
      <c r="S124" s="579" t="s">
        <v>65</v>
      </c>
      <c r="T124" s="580" t="s">
        <v>63</v>
      </c>
      <c r="U124" s="580" t="s">
        <v>63</v>
      </c>
      <c r="V124" s="580" t="s">
        <v>63</v>
      </c>
      <c r="W124" s="580" t="s">
        <v>63</v>
      </c>
      <c r="X124" s="580" t="s">
        <v>63</v>
      </c>
      <c r="Y124" s="580" t="s">
        <v>63</v>
      </c>
      <c r="Z124" s="580" t="s">
        <v>893</v>
      </c>
      <c r="AA124" s="578" t="s">
        <v>894</v>
      </c>
      <c r="AB124" s="580" t="s">
        <v>68</v>
      </c>
      <c r="AC124" s="579"/>
      <c r="AD124" s="580" t="s">
        <v>68</v>
      </c>
      <c r="AE124" s="579"/>
      <c r="AF124" s="583" t="s">
        <v>845</v>
      </c>
      <c r="AG124" s="584" t="s">
        <v>63</v>
      </c>
      <c r="AH124" s="580" t="s">
        <v>63</v>
      </c>
      <c r="AI124" s="580" t="s">
        <v>63</v>
      </c>
      <c r="AJ124" s="580" t="s">
        <v>66</v>
      </c>
      <c r="AK124" s="580" t="s">
        <v>66</v>
      </c>
      <c r="AL124" s="580" t="s">
        <v>63</v>
      </c>
      <c r="AM124" s="585" t="s">
        <v>66</v>
      </c>
      <c r="AN124" s="586" t="s">
        <v>164</v>
      </c>
      <c r="AO124" s="579" t="s">
        <v>71</v>
      </c>
      <c r="AP124" s="579" t="s">
        <v>72</v>
      </c>
      <c r="AQ124" s="579"/>
      <c r="AR124" s="579" t="s">
        <v>121</v>
      </c>
      <c r="AS124" s="579"/>
      <c r="AT124" s="587"/>
      <c r="AU124" s="584" t="s">
        <v>74</v>
      </c>
      <c r="AV124" s="578"/>
      <c r="AW124" s="588"/>
      <c r="AX124" s="588"/>
      <c r="AY124" s="588"/>
      <c r="AZ124" s="589" t="s">
        <v>846</v>
      </c>
      <c r="BA124" s="589" t="s">
        <v>847</v>
      </c>
      <c r="BB124" s="589" t="s">
        <v>848</v>
      </c>
      <c r="BC124" s="590">
        <v>0</v>
      </c>
      <c r="BD124" s="591"/>
    </row>
    <row r="125" spans="1:56" s="560" customFormat="1" ht="16.5" customHeight="1">
      <c r="A125" s="576">
        <v>2024</v>
      </c>
      <c r="B125" s="577" t="s">
        <v>896</v>
      </c>
      <c r="C125" s="577" t="s">
        <v>849</v>
      </c>
      <c r="D125" s="562" t="s">
        <v>2415</v>
      </c>
      <c r="E125" s="578" t="s">
        <v>897</v>
      </c>
      <c r="F125" s="579" t="s">
        <v>170</v>
      </c>
      <c r="G125" s="578" t="s">
        <v>2187</v>
      </c>
      <c r="H125" s="579" t="s">
        <v>898</v>
      </c>
      <c r="I125" s="579" t="s">
        <v>58</v>
      </c>
      <c r="J125" s="579" t="s">
        <v>839</v>
      </c>
      <c r="K125" s="579" t="s">
        <v>840</v>
      </c>
      <c r="L125" s="578" t="s">
        <v>841</v>
      </c>
      <c r="M125" s="580" t="s">
        <v>892</v>
      </c>
      <c r="N125" s="580" t="s">
        <v>892</v>
      </c>
      <c r="O125" s="581">
        <v>14145</v>
      </c>
      <c r="P125" s="581">
        <v>6774</v>
      </c>
      <c r="Q125" s="582"/>
      <c r="R125" s="579" t="s">
        <v>524</v>
      </c>
      <c r="S125" s="579" t="s">
        <v>65</v>
      </c>
      <c r="T125" s="580" t="s">
        <v>63</v>
      </c>
      <c r="U125" s="580" t="s">
        <v>63</v>
      </c>
      <c r="V125" s="580" t="s">
        <v>63</v>
      </c>
      <c r="W125" s="580" t="s">
        <v>63</v>
      </c>
      <c r="X125" s="580" t="s">
        <v>63</v>
      </c>
      <c r="Y125" s="580" t="s">
        <v>66</v>
      </c>
      <c r="Z125" s="580" t="s">
        <v>66</v>
      </c>
      <c r="AA125" s="578" t="s">
        <v>899</v>
      </c>
      <c r="AB125" s="580" t="s">
        <v>68</v>
      </c>
      <c r="AC125" s="579"/>
      <c r="AD125" s="580" t="s">
        <v>68</v>
      </c>
      <c r="AE125" s="579"/>
      <c r="AF125" s="583" t="s">
        <v>845</v>
      </c>
      <c r="AG125" s="584" t="s">
        <v>63</v>
      </c>
      <c r="AH125" s="580" t="s">
        <v>63</v>
      </c>
      <c r="AI125" s="580" t="s">
        <v>63</v>
      </c>
      <c r="AJ125" s="580" t="s">
        <v>66</v>
      </c>
      <c r="AK125" s="580" t="s">
        <v>66</v>
      </c>
      <c r="AL125" s="580" t="s">
        <v>63</v>
      </c>
      <c r="AM125" s="585" t="s">
        <v>63</v>
      </c>
      <c r="AN125" s="586" t="s">
        <v>164</v>
      </c>
      <c r="AO125" s="579" t="s">
        <v>71</v>
      </c>
      <c r="AP125" s="579" t="s">
        <v>72</v>
      </c>
      <c r="AQ125" s="579"/>
      <c r="AR125" s="579" t="s">
        <v>121</v>
      </c>
      <c r="AS125" s="579"/>
      <c r="AT125" s="587"/>
      <c r="AU125" s="584" t="s">
        <v>74</v>
      </c>
      <c r="AV125" s="578"/>
      <c r="AW125" s="588"/>
      <c r="AX125" s="588"/>
      <c r="AY125" s="588"/>
      <c r="AZ125" s="589" t="s">
        <v>846</v>
      </c>
      <c r="BA125" s="589" t="s">
        <v>847</v>
      </c>
      <c r="BB125" s="589" t="s">
        <v>848</v>
      </c>
      <c r="BC125" s="590">
        <v>0</v>
      </c>
      <c r="BD125" s="591"/>
    </row>
    <row r="126" spans="1:56" s="560" customFormat="1" ht="16.5" customHeight="1">
      <c r="A126" s="561">
        <v>2024</v>
      </c>
      <c r="B126" s="577" t="s">
        <v>901</v>
      </c>
      <c r="C126" s="562" t="s">
        <v>855</v>
      </c>
      <c r="D126" s="562" t="s">
        <v>2415</v>
      </c>
      <c r="E126" s="578" t="s">
        <v>902</v>
      </c>
      <c r="F126" s="579" t="s">
        <v>170</v>
      </c>
      <c r="G126" s="578" t="s">
        <v>2187</v>
      </c>
      <c r="H126" s="579" t="s">
        <v>903</v>
      </c>
      <c r="I126" s="579" t="s">
        <v>58</v>
      </c>
      <c r="J126" s="579" t="s">
        <v>839</v>
      </c>
      <c r="K126" s="579" t="s">
        <v>840</v>
      </c>
      <c r="L126" s="578" t="s">
        <v>841</v>
      </c>
      <c r="M126" s="580" t="s">
        <v>83</v>
      </c>
      <c r="N126" s="580" t="s">
        <v>83</v>
      </c>
      <c r="O126" s="581">
        <v>15918</v>
      </c>
      <c r="P126" s="581">
        <v>7961</v>
      </c>
      <c r="Q126" s="582"/>
      <c r="R126" s="579" t="s">
        <v>229</v>
      </c>
      <c r="S126" s="579" t="s">
        <v>65</v>
      </c>
      <c r="T126" s="580" t="s">
        <v>63</v>
      </c>
      <c r="U126" s="580" t="s">
        <v>63</v>
      </c>
      <c r="V126" s="580" t="s">
        <v>63</v>
      </c>
      <c r="W126" s="580" t="s">
        <v>63</v>
      </c>
      <c r="X126" s="580" t="s">
        <v>63</v>
      </c>
      <c r="Y126" s="580" t="s">
        <v>66</v>
      </c>
      <c r="Z126" s="580" t="s">
        <v>66</v>
      </c>
      <c r="AA126" s="578" t="s">
        <v>904</v>
      </c>
      <c r="AB126" s="580" t="s">
        <v>68</v>
      </c>
      <c r="AC126" s="579"/>
      <c r="AD126" s="580" t="s">
        <v>68</v>
      </c>
      <c r="AE126" s="579"/>
      <c r="AF126" s="583" t="s">
        <v>845</v>
      </c>
      <c r="AG126" s="584" t="s">
        <v>63</v>
      </c>
      <c r="AH126" s="580" t="s">
        <v>63</v>
      </c>
      <c r="AI126" s="580" t="s">
        <v>63</v>
      </c>
      <c r="AJ126" s="580" t="s">
        <v>66</v>
      </c>
      <c r="AK126" s="580" t="s">
        <v>66</v>
      </c>
      <c r="AL126" s="580" t="s">
        <v>63</v>
      </c>
      <c r="AM126" s="585" t="s">
        <v>66</v>
      </c>
      <c r="AN126" s="586" t="s">
        <v>95</v>
      </c>
      <c r="AO126" s="579" t="s">
        <v>71</v>
      </c>
      <c r="AP126" s="579" t="s">
        <v>72</v>
      </c>
      <c r="AQ126" s="579"/>
      <c r="AR126" s="579" t="s">
        <v>73</v>
      </c>
      <c r="AS126" s="579"/>
      <c r="AT126" s="587"/>
      <c r="AU126" s="584" t="s">
        <v>74</v>
      </c>
      <c r="AV126" s="578"/>
      <c r="AW126" s="588"/>
      <c r="AX126" s="588"/>
      <c r="AY126" s="588"/>
      <c r="AZ126" s="589" t="s">
        <v>846</v>
      </c>
      <c r="BA126" s="589" t="s">
        <v>847</v>
      </c>
      <c r="BB126" s="589" t="s">
        <v>848</v>
      </c>
      <c r="BC126" s="590">
        <v>0</v>
      </c>
      <c r="BD126" s="591"/>
    </row>
    <row r="127" spans="1:56" s="560" customFormat="1" ht="16.5" customHeight="1">
      <c r="A127" s="576">
        <v>2024</v>
      </c>
      <c r="B127" s="577" t="s">
        <v>906</v>
      </c>
      <c r="C127" s="577" t="s">
        <v>863</v>
      </c>
      <c r="D127" s="562" t="s">
        <v>2415</v>
      </c>
      <c r="E127" s="578" t="s">
        <v>907</v>
      </c>
      <c r="F127" s="579" t="s">
        <v>170</v>
      </c>
      <c r="G127" s="578" t="s">
        <v>2187</v>
      </c>
      <c r="H127" s="579" t="s">
        <v>908</v>
      </c>
      <c r="I127" s="579" t="s">
        <v>58</v>
      </c>
      <c r="J127" s="579" t="s">
        <v>839</v>
      </c>
      <c r="K127" s="579" t="s">
        <v>840</v>
      </c>
      <c r="L127" s="578" t="s">
        <v>841</v>
      </c>
      <c r="M127" s="580" t="s">
        <v>149</v>
      </c>
      <c r="N127" s="580" t="s">
        <v>149</v>
      </c>
      <c r="O127" s="581">
        <v>19247</v>
      </c>
      <c r="P127" s="581">
        <v>7554</v>
      </c>
      <c r="Q127" s="582"/>
      <c r="R127" s="579" t="s">
        <v>566</v>
      </c>
      <c r="S127" s="579" t="s">
        <v>65</v>
      </c>
      <c r="T127" s="580" t="s">
        <v>63</v>
      </c>
      <c r="U127" s="580" t="s">
        <v>63</v>
      </c>
      <c r="V127" s="580" t="s">
        <v>63</v>
      </c>
      <c r="W127" s="580" t="s">
        <v>63</v>
      </c>
      <c r="X127" s="580" t="s">
        <v>63</v>
      </c>
      <c r="Y127" s="580" t="s">
        <v>66</v>
      </c>
      <c r="Z127" s="580" t="s">
        <v>66</v>
      </c>
      <c r="AA127" s="578" t="s">
        <v>909</v>
      </c>
      <c r="AB127" s="580" t="s">
        <v>68</v>
      </c>
      <c r="AC127" s="579"/>
      <c r="AD127" s="580" t="s">
        <v>68</v>
      </c>
      <c r="AE127" s="579"/>
      <c r="AF127" s="583" t="s">
        <v>845</v>
      </c>
      <c r="AG127" s="584" t="s">
        <v>63</v>
      </c>
      <c r="AH127" s="580" t="s">
        <v>63</v>
      </c>
      <c r="AI127" s="580" t="s">
        <v>63</v>
      </c>
      <c r="AJ127" s="580" t="s">
        <v>66</v>
      </c>
      <c r="AK127" s="580" t="s">
        <v>66</v>
      </c>
      <c r="AL127" s="580" t="s">
        <v>63</v>
      </c>
      <c r="AM127" s="585" t="s">
        <v>63</v>
      </c>
      <c r="AN127" s="586" t="s">
        <v>164</v>
      </c>
      <c r="AO127" s="579" t="s">
        <v>71</v>
      </c>
      <c r="AP127" s="579" t="s">
        <v>72</v>
      </c>
      <c r="AQ127" s="579"/>
      <c r="AR127" s="579" t="s">
        <v>121</v>
      </c>
      <c r="AS127" s="579"/>
      <c r="AT127" s="587"/>
      <c r="AU127" s="584" t="s">
        <v>74</v>
      </c>
      <c r="AV127" s="578"/>
      <c r="AW127" s="588"/>
      <c r="AX127" s="588"/>
      <c r="AY127" s="588"/>
      <c r="AZ127" s="589" t="s">
        <v>846</v>
      </c>
      <c r="BA127" s="589" t="s">
        <v>847</v>
      </c>
      <c r="BB127" s="589" t="s">
        <v>848</v>
      </c>
      <c r="BC127" s="590">
        <v>0</v>
      </c>
      <c r="BD127" s="591"/>
    </row>
    <row r="128" spans="1:56" s="560" customFormat="1" ht="16.5" customHeight="1">
      <c r="A128" s="576">
        <v>2024</v>
      </c>
      <c r="B128" s="577" t="s">
        <v>911</v>
      </c>
      <c r="C128" s="562" t="s">
        <v>869</v>
      </c>
      <c r="D128" s="562" t="s">
        <v>2415</v>
      </c>
      <c r="E128" s="578" t="s">
        <v>912</v>
      </c>
      <c r="F128" s="579" t="s">
        <v>170</v>
      </c>
      <c r="G128" s="578" t="s">
        <v>2187</v>
      </c>
      <c r="H128" s="579" t="s">
        <v>913</v>
      </c>
      <c r="I128" s="579" t="s">
        <v>58</v>
      </c>
      <c r="J128" s="579" t="s">
        <v>839</v>
      </c>
      <c r="K128" s="579" t="s">
        <v>840</v>
      </c>
      <c r="L128" s="578" t="s">
        <v>841</v>
      </c>
      <c r="M128" s="580" t="s">
        <v>275</v>
      </c>
      <c r="N128" s="580" t="s">
        <v>275</v>
      </c>
      <c r="O128" s="581">
        <v>13091</v>
      </c>
      <c r="P128" s="581">
        <v>7639</v>
      </c>
      <c r="Q128" s="582"/>
      <c r="R128" s="579" t="s">
        <v>118</v>
      </c>
      <c r="S128" s="579" t="s">
        <v>65</v>
      </c>
      <c r="T128" s="580" t="s">
        <v>63</v>
      </c>
      <c r="U128" s="580" t="s">
        <v>63</v>
      </c>
      <c r="V128" s="580" t="s">
        <v>63</v>
      </c>
      <c r="W128" s="580" t="s">
        <v>63</v>
      </c>
      <c r="X128" s="580" t="s">
        <v>63</v>
      </c>
      <c r="Y128" s="580" t="s">
        <v>66</v>
      </c>
      <c r="Z128" s="580" t="s">
        <v>66</v>
      </c>
      <c r="AA128" s="578" t="s">
        <v>914</v>
      </c>
      <c r="AB128" s="580" t="s">
        <v>68</v>
      </c>
      <c r="AC128" s="579"/>
      <c r="AD128" s="580" t="s">
        <v>68</v>
      </c>
      <c r="AE128" s="579"/>
      <c r="AF128" s="583" t="s">
        <v>845</v>
      </c>
      <c r="AG128" s="584" t="s">
        <v>63</v>
      </c>
      <c r="AH128" s="580" t="s">
        <v>63</v>
      </c>
      <c r="AI128" s="580" t="s">
        <v>63</v>
      </c>
      <c r="AJ128" s="580" t="s">
        <v>66</v>
      </c>
      <c r="AK128" s="580" t="s">
        <v>66</v>
      </c>
      <c r="AL128" s="580" t="s">
        <v>63</v>
      </c>
      <c r="AM128" s="585" t="s">
        <v>63</v>
      </c>
      <c r="AN128" s="586" t="s">
        <v>164</v>
      </c>
      <c r="AO128" s="579" t="s">
        <v>71</v>
      </c>
      <c r="AP128" s="579" t="s">
        <v>72</v>
      </c>
      <c r="AQ128" s="579"/>
      <c r="AR128" s="579" t="s">
        <v>121</v>
      </c>
      <c r="AS128" s="579"/>
      <c r="AT128" s="587"/>
      <c r="AU128" s="584" t="s">
        <v>74</v>
      </c>
      <c r="AV128" s="578"/>
      <c r="AW128" s="588"/>
      <c r="AX128" s="588"/>
      <c r="AY128" s="588"/>
      <c r="AZ128" s="589" t="s">
        <v>846</v>
      </c>
      <c r="BA128" s="589" t="s">
        <v>847</v>
      </c>
      <c r="BB128" s="589" t="s">
        <v>848</v>
      </c>
      <c r="BC128" s="590">
        <v>0</v>
      </c>
      <c r="BD128" s="591"/>
    </row>
    <row r="129" spans="1:56" s="560" customFormat="1" ht="16.5" customHeight="1">
      <c r="A129" s="561">
        <v>2024</v>
      </c>
      <c r="B129" s="577" t="s">
        <v>916</v>
      </c>
      <c r="C129" s="577" t="s">
        <v>876</v>
      </c>
      <c r="D129" s="562" t="s">
        <v>2415</v>
      </c>
      <c r="E129" s="578" t="s">
        <v>917</v>
      </c>
      <c r="F129" s="579" t="s">
        <v>170</v>
      </c>
      <c r="G129" s="578" t="s">
        <v>2187</v>
      </c>
      <c r="H129" s="579" t="s">
        <v>918</v>
      </c>
      <c r="I129" s="579" t="s">
        <v>58</v>
      </c>
      <c r="J129" s="579" t="s">
        <v>839</v>
      </c>
      <c r="K129" s="579" t="s">
        <v>840</v>
      </c>
      <c r="L129" s="578" t="s">
        <v>841</v>
      </c>
      <c r="M129" s="580" t="s">
        <v>160</v>
      </c>
      <c r="N129" s="580" t="s">
        <v>160</v>
      </c>
      <c r="O129" s="581">
        <v>17424</v>
      </c>
      <c r="P129" s="581">
        <v>8041</v>
      </c>
      <c r="Q129" s="582"/>
      <c r="R129" s="579" t="s">
        <v>161</v>
      </c>
      <c r="S129" s="579" t="s">
        <v>65</v>
      </c>
      <c r="T129" s="580" t="s">
        <v>63</v>
      </c>
      <c r="U129" s="580" t="s">
        <v>63</v>
      </c>
      <c r="V129" s="580" t="s">
        <v>63</v>
      </c>
      <c r="W129" s="580" t="s">
        <v>63</v>
      </c>
      <c r="X129" s="580" t="s">
        <v>63</v>
      </c>
      <c r="Y129" s="580" t="s">
        <v>66</v>
      </c>
      <c r="Z129" s="580" t="s">
        <v>66</v>
      </c>
      <c r="AA129" s="578" t="s">
        <v>919</v>
      </c>
      <c r="AB129" s="580" t="s">
        <v>68</v>
      </c>
      <c r="AC129" s="579"/>
      <c r="AD129" s="580" t="s">
        <v>68</v>
      </c>
      <c r="AE129" s="579"/>
      <c r="AF129" s="583" t="s">
        <v>845</v>
      </c>
      <c r="AG129" s="584" t="s">
        <v>63</v>
      </c>
      <c r="AH129" s="580" t="s">
        <v>63</v>
      </c>
      <c r="AI129" s="580" t="s">
        <v>63</v>
      </c>
      <c r="AJ129" s="580" t="s">
        <v>66</v>
      </c>
      <c r="AK129" s="580" t="s">
        <v>66</v>
      </c>
      <c r="AL129" s="580" t="s">
        <v>63</v>
      </c>
      <c r="AM129" s="585" t="s">
        <v>63</v>
      </c>
      <c r="AN129" s="586" t="s">
        <v>164</v>
      </c>
      <c r="AO129" s="579" t="s">
        <v>71</v>
      </c>
      <c r="AP129" s="579" t="s">
        <v>72</v>
      </c>
      <c r="AQ129" s="579"/>
      <c r="AR129" s="579" t="s">
        <v>121</v>
      </c>
      <c r="AS129" s="579"/>
      <c r="AT129" s="587"/>
      <c r="AU129" s="584" t="s">
        <v>74</v>
      </c>
      <c r="AV129" s="578"/>
      <c r="AW129" s="588"/>
      <c r="AX129" s="588"/>
      <c r="AY129" s="588"/>
      <c r="AZ129" s="589" t="s">
        <v>846</v>
      </c>
      <c r="BA129" s="589" t="s">
        <v>847</v>
      </c>
      <c r="BB129" s="589" t="s">
        <v>848</v>
      </c>
      <c r="BC129" s="590">
        <v>0</v>
      </c>
      <c r="BD129" s="591"/>
    </row>
    <row r="130" spans="1:56" s="560" customFormat="1" ht="16.5" customHeight="1">
      <c r="A130" s="576">
        <v>2024</v>
      </c>
      <c r="B130" s="577" t="s">
        <v>921</v>
      </c>
      <c r="C130" s="562" t="s">
        <v>882</v>
      </c>
      <c r="D130" s="562" t="s">
        <v>2415</v>
      </c>
      <c r="E130" s="578" t="s">
        <v>922</v>
      </c>
      <c r="F130" s="579" t="s">
        <v>170</v>
      </c>
      <c r="G130" s="578" t="s">
        <v>2187</v>
      </c>
      <c r="H130" s="579" t="s">
        <v>923</v>
      </c>
      <c r="I130" s="579" t="s">
        <v>58</v>
      </c>
      <c r="J130" s="579" t="s">
        <v>839</v>
      </c>
      <c r="K130" s="579" t="s">
        <v>840</v>
      </c>
      <c r="L130" s="578" t="s">
        <v>841</v>
      </c>
      <c r="M130" s="580" t="s">
        <v>160</v>
      </c>
      <c r="N130" s="580" t="s">
        <v>160</v>
      </c>
      <c r="O130" s="581">
        <v>14549</v>
      </c>
      <c r="P130" s="581">
        <v>7531</v>
      </c>
      <c r="Q130" s="582"/>
      <c r="R130" s="579" t="s">
        <v>150</v>
      </c>
      <c r="S130" s="579" t="s">
        <v>65</v>
      </c>
      <c r="T130" s="580" t="s">
        <v>63</v>
      </c>
      <c r="U130" s="580" t="s">
        <v>63</v>
      </c>
      <c r="V130" s="580" t="s">
        <v>63</v>
      </c>
      <c r="W130" s="580" t="s">
        <v>63</v>
      </c>
      <c r="X130" s="580" t="s">
        <v>63</v>
      </c>
      <c r="Y130" s="580" t="s">
        <v>66</v>
      </c>
      <c r="Z130" s="580" t="s">
        <v>66</v>
      </c>
      <c r="AA130" s="578" t="s">
        <v>924</v>
      </c>
      <c r="AB130" s="580" t="s">
        <v>68</v>
      </c>
      <c r="AC130" s="579"/>
      <c r="AD130" s="580" t="s">
        <v>68</v>
      </c>
      <c r="AE130" s="579"/>
      <c r="AF130" s="583" t="s">
        <v>845</v>
      </c>
      <c r="AG130" s="584" t="s">
        <v>63</v>
      </c>
      <c r="AH130" s="580" t="s">
        <v>63</v>
      </c>
      <c r="AI130" s="580" t="s">
        <v>63</v>
      </c>
      <c r="AJ130" s="580" t="s">
        <v>66</v>
      </c>
      <c r="AK130" s="580" t="s">
        <v>66</v>
      </c>
      <c r="AL130" s="580" t="s">
        <v>63</v>
      </c>
      <c r="AM130" s="585" t="s">
        <v>63</v>
      </c>
      <c r="AN130" s="586" t="s">
        <v>109</v>
      </c>
      <c r="AO130" s="579" t="s">
        <v>110</v>
      </c>
      <c r="AP130" s="579" t="s">
        <v>111</v>
      </c>
      <c r="AQ130" s="579"/>
      <c r="AR130" s="579" t="s">
        <v>112</v>
      </c>
      <c r="AS130" s="579"/>
      <c r="AT130" s="587"/>
      <c r="AU130" s="584" t="s">
        <v>74</v>
      </c>
      <c r="AV130" s="578"/>
      <c r="AW130" s="588"/>
      <c r="AX130" s="588"/>
      <c r="AY130" s="588"/>
      <c r="AZ130" s="589" t="s">
        <v>846</v>
      </c>
      <c r="BA130" s="589" t="s">
        <v>847</v>
      </c>
      <c r="BB130" s="589" t="s">
        <v>848</v>
      </c>
      <c r="BC130" s="590">
        <v>0</v>
      </c>
      <c r="BD130" s="591"/>
    </row>
    <row r="131" spans="1:56" s="560" customFormat="1" ht="16.5" customHeight="1">
      <c r="A131" s="576">
        <v>2024</v>
      </c>
      <c r="B131" s="577" t="s">
        <v>926</v>
      </c>
      <c r="C131" s="577" t="s">
        <v>888</v>
      </c>
      <c r="D131" s="562" t="s">
        <v>2415</v>
      </c>
      <c r="E131" s="578" t="s">
        <v>927</v>
      </c>
      <c r="F131" s="579" t="s">
        <v>170</v>
      </c>
      <c r="G131" s="578" t="s">
        <v>2187</v>
      </c>
      <c r="H131" s="579" t="s">
        <v>928</v>
      </c>
      <c r="I131" s="579" t="s">
        <v>58</v>
      </c>
      <c r="J131" s="579" t="s">
        <v>839</v>
      </c>
      <c r="K131" s="579" t="s">
        <v>840</v>
      </c>
      <c r="L131" s="578" t="s">
        <v>841</v>
      </c>
      <c r="M131" s="580" t="s">
        <v>286</v>
      </c>
      <c r="N131" s="580" t="s">
        <v>286</v>
      </c>
      <c r="O131" s="581">
        <v>15068</v>
      </c>
      <c r="P131" s="581">
        <v>8625</v>
      </c>
      <c r="Q131" s="582"/>
      <c r="R131" s="579" t="s">
        <v>245</v>
      </c>
      <c r="S131" s="579" t="s">
        <v>65</v>
      </c>
      <c r="T131" s="580" t="s">
        <v>63</v>
      </c>
      <c r="U131" s="580" t="s">
        <v>63</v>
      </c>
      <c r="V131" s="580" t="s">
        <v>63</v>
      </c>
      <c r="W131" s="580" t="s">
        <v>63</v>
      </c>
      <c r="X131" s="580" t="s">
        <v>63</v>
      </c>
      <c r="Y131" s="580" t="s">
        <v>66</v>
      </c>
      <c r="Z131" s="580" t="s">
        <v>66</v>
      </c>
      <c r="AA131" s="578" t="s">
        <v>929</v>
      </c>
      <c r="AB131" s="580" t="s">
        <v>68</v>
      </c>
      <c r="AC131" s="579"/>
      <c r="AD131" s="580" t="s">
        <v>68</v>
      </c>
      <c r="AE131" s="579"/>
      <c r="AF131" s="583" t="s">
        <v>845</v>
      </c>
      <c r="AG131" s="584" t="s">
        <v>63</v>
      </c>
      <c r="AH131" s="580" t="s">
        <v>63</v>
      </c>
      <c r="AI131" s="580" t="s">
        <v>63</v>
      </c>
      <c r="AJ131" s="580" t="s">
        <v>66</v>
      </c>
      <c r="AK131" s="580" t="s">
        <v>66</v>
      </c>
      <c r="AL131" s="580" t="s">
        <v>63</v>
      </c>
      <c r="AM131" s="585" t="s">
        <v>66</v>
      </c>
      <c r="AN131" s="586" t="s">
        <v>164</v>
      </c>
      <c r="AO131" s="579" t="s">
        <v>71</v>
      </c>
      <c r="AP131" s="579" t="s">
        <v>72</v>
      </c>
      <c r="AQ131" s="579"/>
      <c r="AR131" s="579" t="s">
        <v>121</v>
      </c>
      <c r="AS131" s="579"/>
      <c r="AT131" s="587"/>
      <c r="AU131" s="584" t="s">
        <v>74</v>
      </c>
      <c r="AV131" s="578"/>
      <c r="AW131" s="588"/>
      <c r="AX131" s="588"/>
      <c r="AY131" s="588"/>
      <c r="AZ131" s="589" t="s">
        <v>846</v>
      </c>
      <c r="BA131" s="589" t="s">
        <v>847</v>
      </c>
      <c r="BB131" s="589" t="s">
        <v>848</v>
      </c>
      <c r="BC131" s="590">
        <v>0</v>
      </c>
      <c r="BD131" s="591"/>
    </row>
    <row r="132" spans="1:56" s="560" customFormat="1" ht="16.5" customHeight="1">
      <c r="A132" s="561">
        <v>2024</v>
      </c>
      <c r="B132" s="577" t="s">
        <v>931</v>
      </c>
      <c r="C132" s="562" t="s">
        <v>895</v>
      </c>
      <c r="D132" s="562" t="s">
        <v>2415</v>
      </c>
      <c r="E132" s="578" t="s">
        <v>932</v>
      </c>
      <c r="F132" s="579" t="s">
        <v>170</v>
      </c>
      <c r="G132" s="578" t="s">
        <v>2187</v>
      </c>
      <c r="H132" s="579" t="s">
        <v>933</v>
      </c>
      <c r="I132" s="579" t="s">
        <v>58</v>
      </c>
      <c r="J132" s="579" t="s">
        <v>839</v>
      </c>
      <c r="K132" s="579" t="s">
        <v>840</v>
      </c>
      <c r="L132" s="578" t="s">
        <v>841</v>
      </c>
      <c r="M132" s="580" t="s">
        <v>117</v>
      </c>
      <c r="N132" s="580" t="s">
        <v>117</v>
      </c>
      <c r="O132" s="581">
        <v>16229</v>
      </c>
      <c r="P132" s="581">
        <v>8132</v>
      </c>
      <c r="Q132" s="582"/>
      <c r="R132" s="579" t="s">
        <v>100</v>
      </c>
      <c r="S132" s="579" t="s">
        <v>65</v>
      </c>
      <c r="T132" s="580" t="s">
        <v>63</v>
      </c>
      <c r="U132" s="580" t="s">
        <v>63</v>
      </c>
      <c r="V132" s="580" t="s">
        <v>63</v>
      </c>
      <c r="W132" s="580" t="s">
        <v>63</v>
      </c>
      <c r="X132" s="580" t="s">
        <v>63</v>
      </c>
      <c r="Y132" s="580" t="s">
        <v>66</v>
      </c>
      <c r="Z132" s="580" t="s">
        <v>66</v>
      </c>
      <c r="AA132" s="578" t="s">
        <v>934</v>
      </c>
      <c r="AB132" s="580" t="s">
        <v>68</v>
      </c>
      <c r="AC132" s="579"/>
      <c r="AD132" s="580" t="s">
        <v>68</v>
      </c>
      <c r="AE132" s="579"/>
      <c r="AF132" s="583" t="s">
        <v>845</v>
      </c>
      <c r="AG132" s="584" t="s">
        <v>63</v>
      </c>
      <c r="AH132" s="580" t="s">
        <v>63</v>
      </c>
      <c r="AI132" s="580" t="s">
        <v>63</v>
      </c>
      <c r="AJ132" s="580" t="s">
        <v>66</v>
      </c>
      <c r="AK132" s="580" t="s">
        <v>66</v>
      </c>
      <c r="AL132" s="580" t="s">
        <v>63</v>
      </c>
      <c r="AM132" s="585" t="s">
        <v>66</v>
      </c>
      <c r="AN132" s="586" t="s">
        <v>164</v>
      </c>
      <c r="AO132" s="579" t="s">
        <v>71</v>
      </c>
      <c r="AP132" s="579" t="s">
        <v>72</v>
      </c>
      <c r="AQ132" s="579"/>
      <c r="AR132" s="579" t="s">
        <v>121</v>
      </c>
      <c r="AS132" s="579"/>
      <c r="AT132" s="587"/>
      <c r="AU132" s="584" t="s">
        <v>74</v>
      </c>
      <c r="AV132" s="578"/>
      <c r="AW132" s="588"/>
      <c r="AX132" s="588"/>
      <c r="AY132" s="588"/>
      <c r="AZ132" s="589" t="s">
        <v>846</v>
      </c>
      <c r="BA132" s="589" t="s">
        <v>847</v>
      </c>
      <c r="BB132" s="589" t="s">
        <v>848</v>
      </c>
      <c r="BC132" s="590">
        <v>0</v>
      </c>
      <c r="BD132" s="591"/>
    </row>
    <row r="133" spans="1:56" s="560" customFormat="1" ht="16.5" customHeight="1">
      <c r="A133" s="576">
        <v>2024</v>
      </c>
      <c r="B133" s="577" t="s">
        <v>936</v>
      </c>
      <c r="C133" s="577" t="s">
        <v>900</v>
      </c>
      <c r="D133" s="562" t="s">
        <v>2415</v>
      </c>
      <c r="E133" s="578" t="s">
        <v>937</v>
      </c>
      <c r="F133" s="579" t="s">
        <v>170</v>
      </c>
      <c r="G133" s="578" t="s">
        <v>2187</v>
      </c>
      <c r="H133" s="579" t="s">
        <v>938</v>
      </c>
      <c r="I133" s="579" t="s">
        <v>58</v>
      </c>
      <c r="J133" s="579" t="s">
        <v>839</v>
      </c>
      <c r="K133" s="579" t="s">
        <v>840</v>
      </c>
      <c r="L133" s="578" t="s">
        <v>841</v>
      </c>
      <c r="M133" s="580" t="s">
        <v>292</v>
      </c>
      <c r="N133" s="580" t="s">
        <v>292</v>
      </c>
      <c r="O133" s="581">
        <v>17883</v>
      </c>
      <c r="P133" s="581">
        <v>8315</v>
      </c>
      <c r="Q133" s="582"/>
      <c r="R133" s="579" t="s">
        <v>662</v>
      </c>
      <c r="S133" s="579" t="s">
        <v>65</v>
      </c>
      <c r="T133" s="580" t="s">
        <v>63</v>
      </c>
      <c r="U133" s="580" t="s">
        <v>63</v>
      </c>
      <c r="V133" s="580" t="s">
        <v>63</v>
      </c>
      <c r="W133" s="580" t="s">
        <v>63</v>
      </c>
      <c r="X133" s="580" t="s">
        <v>63</v>
      </c>
      <c r="Y133" s="580" t="s">
        <v>66</v>
      </c>
      <c r="Z133" s="580" t="s">
        <v>66</v>
      </c>
      <c r="AA133" s="578" t="s">
        <v>939</v>
      </c>
      <c r="AB133" s="580" t="s">
        <v>68</v>
      </c>
      <c r="AC133" s="579"/>
      <c r="AD133" s="580" t="s">
        <v>68</v>
      </c>
      <c r="AE133" s="579"/>
      <c r="AF133" s="583" t="s">
        <v>845</v>
      </c>
      <c r="AG133" s="584" t="s">
        <v>63</v>
      </c>
      <c r="AH133" s="580" t="s">
        <v>63</v>
      </c>
      <c r="AI133" s="580" t="s">
        <v>63</v>
      </c>
      <c r="AJ133" s="580" t="s">
        <v>66</v>
      </c>
      <c r="AK133" s="580" t="s">
        <v>66</v>
      </c>
      <c r="AL133" s="580" t="s">
        <v>63</v>
      </c>
      <c r="AM133" s="585" t="s">
        <v>63</v>
      </c>
      <c r="AN133" s="586" t="s">
        <v>164</v>
      </c>
      <c r="AO133" s="579" t="s">
        <v>71</v>
      </c>
      <c r="AP133" s="579" t="s">
        <v>72</v>
      </c>
      <c r="AQ133" s="579"/>
      <c r="AR133" s="579" t="s">
        <v>121</v>
      </c>
      <c r="AS133" s="579"/>
      <c r="AT133" s="587"/>
      <c r="AU133" s="584" t="s">
        <v>74</v>
      </c>
      <c r="AV133" s="578"/>
      <c r="AW133" s="588"/>
      <c r="AX133" s="588"/>
      <c r="AY133" s="588"/>
      <c r="AZ133" s="589" t="s">
        <v>846</v>
      </c>
      <c r="BA133" s="589" t="s">
        <v>847</v>
      </c>
      <c r="BB133" s="589" t="s">
        <v>848</v>
      </c>
      <c r="BC133" s="590">
        <v>0</v>
      </c>
      <c r="BD133" s="591"/>
    </row>
    <row r="134" spans="1:56" s="560" customFormat="1" ht="16.5" customHeight="1">
      <c r="A134" s="576">
        <v>2024</v>
      </c>
      <c r="B134" s="577" t="s">
        <v>941</v>
      </c>
      <c r="C134" s="562" t="s">
        <v>905</v>
      </c>
      <c r="D134" s="562" t="s">
        <v>2415</v>
      </c>
      <c r="E134" s="578" t="s">
        <v>942</v>
      </c>
      <c r="F134" s="579" t="s">
        <v>2085</v>
      </c>
      <c r="G134" s="610" t="s">
        <v>2619</v>
      </c>
      <c r="H134" s="579" t="s">
        <v>838</v>
      </c>
      <c r="I134" s="579" t="s">
        <v>58</v>
      </c>
      <c r="J134" s="579" t="s">
        <v>839</v>
      </c>
      <c r="K134" s="579" t="s">
        <v>1977</v>
      </c>
      <c r="L134" s="578" t="s">
        <v>945</v>
      </c>
      <c r="M134" s="580" t="s">
        <v>1868</v>
      </c>
      <c r="N134" s="580" t="s">
        <v>946</v>
      </c>
      <c r="O134" s="581">
        <v>21553</v>
      </c>
      <c r="P134" s="581">
        <v>410.17</v>
      </c>
      <c r="Q134" s="582" t="s">
        <v>2461</v>
      </c>
      <c r="R134" s="579" t="s">
        <v>130</v>
      </c>
      <c r="S134" s="579" t="s">
        <v>151</v>
      </c>
      <c r="T134" s="580" t="s">
        <v>66</v>
      </c>
      <c r="U134" s="580" t="s">
        <v>66</v>
      </c>
      <c r="V134" s="580" t="s">
        <v>66</v>
      </c>
      <c r="W134" s="580" t="s">
        <v>66</v>
      </c>
      <c r="X134" s="580" t="s">
        <v>66</v>
      </c>
      <c r="Y134" s="580" t="s">
        <v>66</v>
      </c>
      <c r="Z134" s="580" t="s">
        <v>66</v>
      </c>
      <c r="AA134" s="578" t="s">
        <v>835</v>
      </c>
      <c r="AB134" s="580" t="s">
        <v>68</v>
      </c>
      <c r="AC134" s="579"/>
      <c r="AD134" s="580" t="s">
        <v>68</v>
      </c>
      <c r="AE134" s="579"/>
      <c r="AF134" s="587" t="s">
        <v>947</v>
      </c>
      <c r="AG134" s="584" t="s">
        <v>66</v>
      </c>
      <c r="AH134" s="580" t="s">
        <v>66</v>
      </c>
      <c r="AI134" s="580" t="s">
        <v>66</v>
      </c>
      <c r="AJ134" s="580" t="s">
        <v>66</v>
      </c>
      <c r="AK134" s="580" t="s">
        <v>66</v>
      </c>
      <c r="AL134" s="580" t="s">
        <v>66</v>
      </c>
      <c r="AM134" s="585" t="s">
        <v>66</v>
      </c>
      <c r="AN134" s="586" t="s">
        <v>120</v>
      </c>
      <c r="AO134" s="579" t="s">
        <v>71</v>
      </c>
      <c r="AP134" s="579" t="s">
        <v>72</v>
      </c>
      <c r="AQ134" s="579"/>
      <c r="AR134" s="579" t="s">
        <v>121</v>
      </c>
      <c r="AS134" s="579" t="s">
        <v>134</v>
      </c>
      <c r="AT134" s="587"/>
      <c r="AU134" s="584" t="s">
        <v>74</v>
      </c>
      <c r="AV134" s="578"/>
      <c r="AW134" s="588"/>
      <c r="AX134" s="588"/>
      <c r="AY134" s="588"/>
      <c r="AZ134" s="589" t="s">
        <v>2059</v>
      </c>
      <c r="BA134" s="590" t="s">
        <v>2462</v>
      </c>
      <c r="BB134" s="589"/>
      <c r="BC134" s="590">
        <v>0</v>
      </c>
      <c r="BD134" s="591"/>
    </row>
    <row r="135" spans="1:56" s="560" customFormat="1" ht="16.5" customHeight="1">
      <c r="A135" s="561">
        <v>2024</v>
      </c>
      <c r="B135" s="577" t="s">
        <v>949</v>
      </c>
      <c r="C135" s="577" t="s">
        <v>910</v>
      </c>
      <c r="D135" s="562" t="s">
        <v>2415</v>
      </c>
      <c r="E135" s="578" t="s">
        <v>950</v>
      </c>
      <c r="F135" s="579" t="s">
        <v>2085</v>
      </c>
      <c r="G135" s="610" t="s">
        <v>2619</v>
      </c>
      <c r="H135" s="579" t="s">
        <v>2346</v>
      </c>
      <c r="I135" s="579" t="s">
        <v>58</v>
      </c>
      <c r="J135" s="579" t="s">
        <v>839</v>
      </c>
      <c r="K135" s="579" t="s">
        <v>1977</v>
      </c>
      <c r="L135" s="578" t="s">
        <v>945</v>
      </c>
      <c r="M135" s="580" t="s">
        <v>1868</v>
      </c>
      <c r="N135" s="580" t="s">
        <v>1873</v>
      </c>
      <c r="O135" s="581">
        <v>1847</v>
      </c>
      <c r="P135" s="581">
        <v>787.88</v>
      </c>
      <c r="Q135" s="582"/>
      <c r="R135" s="579" t="s">
        <v>64</v>
      </c>
      <c r="S135" s="579" t="s">
        <v>65</v>
      </c>
      <c r="T135" s="580" t="s">
        <v>66</v>
      </c>
      <c r="U135" s="580" t="s">
        <v>66</v>
      </c>
      <c r="V135" s="580" t="s">
        <v>66</v>
      </c>
      <c r="W135" s="580" t="s">
        <v>66</v>
      </c>
      <c r="X135" s="580" t="s">
        <v>66</v>
      </c>
      <c r="Y135" s="580" t="s">
        <v>66</v>
      </c>
      <c r="Z135" s="580" t="s">
        <v>66</v>
      </c>
      <c r="AA135" s="578" t="s">
        <v>2240</v>
      </c>
      <c r="AB135" s="580" t="s">
        <v>68</v>
      </c>
      <c r="AC135" s="579"/>
      <c r="AD135" s="580" t="s">
        <v>68</v>
      </c>
      <c r="AE135" s="579"/>
      <c r="AF135" s="587" t="s">
        <v>947</v>
      </c>
      <c r="AG135" s="584" t="s">
        <v>63</v>
      </c>
      <c r="AH135" s="580" t="s">
        <v>63</v>
      </c>
      <c r="AI135" s="580" t="s">
        <v>63</v>
      </c>
      <c r="AJ135" s="580" t="s">
        <v>66</v>
      </c>
      <c r="AK135" s="580" t="s">
        <v>66</v>
      </c>
      <c r="AL135" s="580" t="s">
        <v>63</v>
      </c>
      <c r="AM135" s="585" t="s">
        <v>66</v>
      </c>
      <c r="AN135" s="586" t="s">
        <v>120</v>
      </c>
      <c r="AO135" s="579" t="s">
        <v>71</v>
      </c>
      <c r="AP135" s="579" t="s">
        <v>72</v>
      </c>
      <c r="AQ135" s="579"/>
      <c r="AR135" s="579" t="s">
        <v>121</v>
      </c>
      <c r="AS135" s="579"/>
      <c r="AT135" s="587"/>
      <c r="AU135" s="584" t="s">
        <v>74</v>
      </c>
      <c r="AV135" s="578"/>
      <c r="AW135" s="588"/>
      <c r="AX135" s="588"/>
      <c r="AY135" s="588"/>
      <c r="AZ135" s="589" t="s">
        <v>2347</v>
      </c>
      <c r="BA135" s="590" t="s">
        <v>2462</v>
      </c>
      <c r="BB135" s="589"/>
      <c r="BC135" s="590">
        <v>0</v>
      </c>
      <c r="BD135" s="591"/>
    </row>
    <row r="136" spans="1:56" s="560" customFormat="1" ht="16.5" customHeight="1">
      <c r="A136" s="576">
        <v>2024</v>
      </c>
      <c r="B136" s="577" t="s">
        <v>2748</v>
      </c>
      <c r="C136" s="562" t="s">
        <v>915</v>
      </c>
      <c r="D136" s="562" t="s">
        <v>2415</v>
      </c>
      <c r="E136" s="578" t="s">
        <v>2749</v>
      </c>
      <c r="F136" s="578" t="s">
        <v>2085</v>
      </c>
      <c r="G136" s="610" t="s">
        <v>2619</v>
      </c>
      <c r="H136" s="579" t="s">
        <v>2750</v>
      </c>
      <c r="I136" s="579" t="s">
        <v>58</v>
      </c>
      <c r="J136" s="579" t="s">
        <v>839</v>
      </c>
      <c r="K136" s="579" t="s">
        <v>1977</v>
      </c>
      <c r="L136" s="578" t="s">
        <v>945</v>
      </c>
      <c r="M136" s="580" t="s">
        <v>2751</v>
      </c>
      <c r="N136" s="580" t="s">
        <v>2752</v>
      </c>
      <c r="O136" s="581">
        <v>20066</v>
      </c>
      <c r="P136" s="581">
        <v>596.04999999999995</v>
      </c>
      <c r="Q136" s="582"/>
      <c r="R136" s="579" t="s">
        <v>2197</v>
      </c>
      <c r="S136" s="579" t="s">
        <v>1917</v>
      </c>
      <c r="T136" s="580" t="s">
        <v>1910</v>
      </c>
      <c r="U136" s="580" t="s">
        <v>1910</v>
      </c>
      <c r="V136" s="580" t="s">
        <v>1910</v>
      </c>
      <c r="W136" s="580" t="s">
        <v>1910</v>
      </c>
      <c r="X136" s="580" t="s">
        <v>1910</v>
      </c>
      <c r="Y136" s="580" t="s">
        <v>1910</v>
      </c>
      <c r="Z136" s="580" t="s">
        <v>1910</v>
      </c>
      <c r="AA136" s="578" t="s">
        <v>2753</v>
      </c>
      <c r="AB136" s="580" t="s">
        <v>1874</v>
      </c>
      <c r="AC136" s="579"/>
      <c r="AD136" s="580" t="s">
        <v>1874</v>
      </c>
      <c r="AE136" s="579"/>
      <c r="AF136" s="587" t="s">
        <v>2754</v>
      </c>
      <c r="AG136" s="584" t="s">
        <v>2087</v>
      </c>
      <c r="AH136" s="580" t="s">
        <v>2087</v>
      </c>
      <c r="AI136" s="580" t="s">
        <v>2087</v>
      </c>
      <c r="AJ136" s="580" t="s">
        <v>1910</v>
      </c>
      <c r="AK136" s="580" t="s">
        <v>1910</v>
      </c>
      <c r="AL136" s="580" t="s">
        <v>2087</v>
      </c>
      <c r="AM136" s="585" t="s">
        <v>2087</v>
      </c>
      <c r="AN136" s="586" t="s">
        <v>2755</v>
      </c>
      <c r="AO136" s="579" t="s">
        <v>2682</v>
      </c>
      <c r="AP136" s="579" t="s">
        <v>2756</v>
      </c>
      <c r="AQ136" s="579"/>
      <c r="AR136" s="579" t="s">
        <v>2757</v>
      </c>
      <c r="AS136" s="579"/>
      <c r="AT136" s="587"/>
      <c r="AU136" s="584" t="s">
        <v>1924</v>
      </c>
      <c r="AV136" s="578"/>
      <c r="AW136" s="588"/>
      <c r="AX136" s="588"/>
      <c r="AY136" s="588"/>
      <c r="AZ136" s="589"/>
      <c r="BA136" s="590"/>
      <c r="BB136" s="589"/>
      <c r="BC136" s="590"/>
      <c r="BD136" s="591"/>
    </row>
    <row r="137" spans="1:56" s="560" customFormat="1" ht="16.5" customHeight="1">
      <c r="A137" s="576">
        <v>2024</v>
      </c>
      <c r="B137" s="577" t="s">
        <v>954</v>
      </c>
      <c r="C137" s="577" t="s">
        <v>920</v>
      </c>
      <c r="D137" s="562" t="s">
        <v>2415</v>
      </c>
      <c r="E137" s="578" t="s">
        <v>868</v>
      </c>
      <c r="F137" s="579" t="s">
        <v>2085</v>
      </c>
      <c r="G137" s="610" t="s">
        <v>2619</v>
      </c>
      <c r="H137" s="579" t="s">
        <v>866</v>
      </c>
      <c r="I137" s="579" t="s">
        <v>58</v>
      </c>
      <c r="J137" s="579" t="s">
        <v>839</v>
      </c>
      <c r="K137" s="579" t="s">
        <v>1977</v>
      </c>
      <c r="L137" s="578" t="s">
        <v>945</v>
      </c>
      <c r="M137" s="580" t="s">
        <v>1868</v>
      </c>
      <c r="N137" s="580" t="s">
        <v>1869</v>
      </c>
      <c r="O137" s="581">
        <v>16630</v>
      </c>
      <c r="P137" s="581">
        <v>0</v>
      </c>
      <c r="Q137" s="582" t="s">
        <v>2348</v>
      </c>
      <c r="R137" s="579" t="s">
        <v>85</v>
      </c>
      <c r="S137" s="579" t="s">
        <v>65</v>
      </c>
      <c r="T137" s="580" t="s">
        <v>66</v>
      </c>
      <c r="U137" s="580" t="s">
        <v>66</v>
      </c>
      <c r="V137" s="580" t="s">
        <v>66</v>
      </c>
      <c r="W137" s="580" t="s">
        <v>66</v>
      </c>
      <c r="X137" s="580" t="s">
        <v>66</v>
      </c>
      <c r="Y137" s="580" t="s">
        <v>66</v>
      </c>
      <c r="Z137" s="580" t="s">
        <v>66</v>
      </c>
      <c r="AA137" s="578" t="s">
        <v>865</v>
      </c>
      <c r="AB137" s="580" t="s">
        <v>68</v>
      </c>
      <c r="AC137" s="579"/>
      <c r="AD137" s="580" t="s">
        <v>68</v>
      </c>
      <c r="AE137" s="579"/>
      <c r="AF137" s="587" t="s">
        <v>947</v>
      </c>
      <c r="AG137" s="584" t="s">
        <v>63</v>
      </c>
      <c r="AH137" s="580" t="s">
        <v>63</v>
      </c>
      <c r="AI137" s="580" t="s">
        <v>63</v>
      </c>
      <c r="AJ137" s="580" t="s">
        <v>66</v>
      </c>
      <c r="AK137" s="580" t="s">
        <v>66</v>
      </c>
      <c r="AL137" s="580" t="s">
        <v>63</v>
      </c>
      <c r="AM137" s="585" t="s">
        <v>66</v>
      </c>
      <c r="AN137" s="586" t="s">
        <v>86</v>
      </c>
      <c r="AO137" s="579" t="s">
        <v>71</v>
      </c>
      <c r="AP137" s="579" t="s">
        <v>72</v>
      </c>
      <c r="AQ137" s="579"/>
      <c r="AR137" s="579"/>
      <c r="AS137" s="579"/>
      <c r="AT137" s="587"/>
      <c r="AU137" s="584" t="s">
        <v>74</v>
      </c>
      <c r="AV137" s="578"/>
      <c r="AW137" s="588"/>
      <c r="AX137" s="588"/>
      <c r="AY137" s="588"/>
      <c r="AZ137" s="589" t="s">
        <v>2059</v>
      </c>
      <c r="BA137" s="590" t="s">
        <v>2462</v>
      </c>
      <c r="BB137" s="589"/>
      <c r="BC137" s="590">
        <v>0</v>
      </c>
      <c r="BD137" s="591"/>
    </row>
    <row r="138" spans="1:56" s="560" customFormat="1" ht="16.5" customHeight="1">
      <c r="A138" s="561">
        <v>2024</v>
      </c>
      <c r="B138" s="577" t="s">
        <v>956</v>
      </c>
      <c r="C138" s="562" t="s">
        <v>925</v>
      </c>
      <c r="D138" s="562" t="s">
        <v>2415</v>
      </c>
      <c r="E138" s="578" t="s">
        <v>875</v>
      </c>
      <c r="F138" s="579" t="s">
        <v>2085</v>
      </c>
      <c r="G138" s="610" t="s">
        <v>2619</v>
      </c>
      <c r="H138" s="579" t="s">
        <v>872</v>
      </c>
      <c r="I138" s="579" t="s">
        <v>58</v>
      </c>
      <c r="J138" s="579" t="s">
        <v>839</v>
      </c>
      <c r="K138" s="579" t="s">
        <v>1977</v>
      </c>
      <c r="L138" s="578" t="s">
        <v>945</v>
      </c>
      <c r="M138" s="580" t="s">
        <v>1868</v>
      </c>
      <c r="N138" s="580" t="s">
        <v>1869</v>
      </c>
      <c r="O138" s="581">
        <v>16431</v>
      </c>
      <c r="P138" s="581">
        <v>0</v>
      </c>
      <c r="Q138" s="582" t="s">
        <v>2349</v>
      </c>
      <c r="R138" s="579" t="s">
        <v>251</v>
      </c>
      <c r="S138" s="579" t="s">
        <v>65</v>
      </c>
      <c r="T138" s="580" t="s">
        <v>66</v>
      </c>
      <c r="U138" s="580" t="s">
        <v>66</v>
      </c>
      <c r="V138" s="580" t="s">
        <v>66</v>
      </c>
      <c r="W138" s="580" t="s">
        <v>66</v>
      </c>
      <c r="X138" s="580" t="s">
        <v>66</v>
      </c>
      <c r="Y138" s="580" t="s">
        <v>66</v>
      </c>
      <c r="Z138" s="580" t="s">
        <v>66</v>
      </c>
      <c r="AA138" s="578" t="s">
        <v>871</v>
      </c>
      <c r="AB138" s="580" t="s">
        <v>68</v>
      </c>
      <c r="AC138" s="579"/>
      <c r="AD138" s="580" t="s">
        <v>68</v>
      </c>
      <c r="AE138" s="579"/>
      <c r="AF138" s="587" t="s">
        <v>947</v>
      </c>
      <c r="AG138" s="584" t="s">
        <v>63</v>
      </c>
      <c r="AH138" s="580" t="s">
        <v>63</v>
      </c>
      <c r="AI138" s="580" t="s">
        <v>63</v>
      </c>
      <c r="AJ138" s="580" t="s">
        <v>66</v>
      </c>
      <c r="AK138" s="580" t="s">
        <v>66</v>
      </c>
      <c r="AL138" s="580" t="s">
        <v>63</v>
      </c>
      <c r="AM138" s="585" t="s">
        <v>63</v>
      </c>
      <c r="AN138" s="586" t="s">
        <v>120</v>
      </c>
      <c r="AO138" s="579" t="s">
        <v>71</v>
      </c>
      <c r="AP138" s="579" t="s">
        <v>72</v>
      </c>
      <c r="AQ138" s="579"/>
      <c r="AR138" s="579" t="s">
        <v>121</v>
      </c>
      <c r="AS138" s="579"/>
      <c r="AT138" s="587"/>
      <c r="AU138" s="584" t="s">
        <v>74</v>
      </c>
      <c r="AV138" s="578"/>
      <c r="AW138" s="588"/>
      <c r="AX138" s="588"/>
      <c r="AY138" s="588"/>
      <c r="AZ138" s="589" t="s">
        <v>2059</v>
      </c>
      <c r="BA138" s="590" t="s">
        <v>2462</v>
      </c>
      <c r="BB138" s="589"/>
      <c r="BC138" s="590">
        <v>0</v>
      </c>
      <c r="BD138" s="591"/>
    </row>
    <row r="139" spans="1:56" s="560" customFormat="1" ht="16.5" customHeight="1">
      <c r="A139" s="576">
        <v>2024</v>
      </c>
      <c r="B139" s="577" t="s">
        <v>958</v>
      </c>
      <c r="C139" s="577" t="s">
        <v>930</v>
      </c>
      <c r="D139" s="562" t="s">
        <v>2415</v>
      </c>
      <c r="E139" s="578" t="s">
        <v>881</v>
      </c>
      <c r="F139" s="579" t="s">
        <v>2085</v>
      </c>
      <c r="G139" s="610" t="s">
        <v>2619</v>
      </c>
      <c r="H139" s="579" t="s">
        <v>879</v>
      </c>
      <c r="I139" s="579" t="s">
        <v>58</v>
      </c>
      <c r="J139" s="579" t="s">
        <v>839</v>
      </c>
      <c r="K139" s="579" t="s">
        <v>1977</v>
      </c>
      <c r="L139" s="578" t="s">
        <v>945</v>
      </c>
      <c r="M139" s="580" t="s">
        <v>1868</v>
      </c>
      <c r="N139" s="580" t="s">
        <v>2496</v>
      </c>
      <c r="O139" s="581">
        <v>18080</v>
      </c>
      <c r="P139" s="581">
        <v>0</v>
      </c>
      <c r="Q139" s="582" t="s">
        <v>2350</v>
      </c>
      <c r="R139" s="579" t="s">
        <v>240</v>
      </c>
      <c r="S139" s="579" t="s">
        <v>65</v>
      </c>
      <c r="T139" s="580" t="s">
        <v>66</v>
      </c>
      <c r="U139" s="580" t="s">
        <v>66</v>
      </c>
      <c r="V139" s="580" t="s">
        <v>66</v>
      </c>
      <c r="W139" s="580" t="s">
        <v>66</v>
      </c>
      <c r="X139" s="580" t="s">
        <v>66</v>
      </c>
      <c r="Y139" s="580" t="s">
        <v>66</v>
      </c>
      <c r="Z139" s="580" t="s">
        <v>66</v>
      </c>
      <c r="AA139" s="578" t="s">
        <v>878</v>
      </c>
      <c r="AB139" s="580" t="s">
        <v>68</v>
      </c>
      <c r="AC139" s="579"/>
      <c r="AD139" s="580" t="s">
        <v>68</v>
      </c>
      <c r="AE139" s="579"/>
      <c r="AF139" s="587" t="s">
        <v>947</v>
      </c>
      <c r="AG139" s="584" t="s">
        <v>63</v>
      </c>
      <c r="AH139" s="580" t="s">
        <v>63</v>
      </c>
      <c r="AI139" s="580" t="s">
        <v>63</v>
      </c>
      <c r="AJ139" s="580" t="s">
        <v>66</v>
      </c>
      <c r="AK139" s="580" t="s">
        <v>66</v>
      </c>
      <c r="AL139" s="580" t="s">
        <v>63</v>
      </c>
      <c r="AM139" s="585" t="s">
        <v>63</v>
      </c>
      <c r="AN139" s="586" t="s">
        <v>164</v>
      </c>
      <c r="AO139" s="579" t="s">
        <v>71</v>
      </c>
      <c r="AP139" s="579" t="s">
        <v>72</v>
      </c>
      <c r="AQ139" s="579"/>
      <c r="AR139" s="579" t="s">
        <v>121</v>
      </c>
      <c r="AS139" s="579"/>
      <c r="AT139" s="587"/>
      <c r="AU139" s="584" t="s">
        <v>74</v>
      </c>
      <c r="AV139" s="578"/>
      <c r="AW139" s="588"/>
      <c r="AX139" s="588"/>
      <c r="AY139" s="588"/>
      <c r="AZ139" s="589" t="s">
        <v>2059</v>
      </c>
      <c r="BA139" s="590" t="s">
        <v>2462</v>
      </c>
      <c r="BB139" s="589"/>
      <c r="BC139" s="590">
        <v>0</v>
      </c>
      <c r="BD139" s="591"/>
    </row>
    <row r="140" spans="1:56" s="560" customFormat="1" ht="16.5" customHeight="1">
      <c r="A140" s="576">
        <v>2024</v>
      </c>
      <c r="B140" s="577" t="s">
        <v>960</v>
      </c>
      <c r="C140" s="562" t="s">
        <v>935</v>
      </c>
      <c r="D140" s="562" t="s">
        <v>2415</v>
      </c>
      <c r="E140" s="578" t="s">
        <v>887</v>
      </c>
      <c r="F140" s="579" t="s">
        <v>2085</v>
      </c>
      <c r="G140" s="610" t="s">
        <v>2619</v>
      </c>
      <c r="H140" s="579" t="s">
        <v>885</v>
      </c>
      <c r="I140" s="579" t="s">
        <v>58</v>
      </c>
      <c r="J140" s="579" t="s">
        <v>839</v>
      </c>
      <c r="K140" s="579" t="s">
        <v>1977</v>
      </c>
      <c r="L140" s="578" t="s">
        <v>945</v>
      </c>
      <c r="M140" s="580" t="s">
        <v>1868</v>
      </c>
      <c r="N140" s="580" t="s">
        <v>1871</v>
      </c>
      <c r="O140" s="581">
        <v>15334</v>
      </c>
      <c r="P140" s="581">
        <v>0</v>
      </c>
      <c r="Q140" s="582" t="s">
        <v>2351</v>
      </c>
      <c r="R140" s="579" t="s">
        <v>93</v>
      </c>
      <c r="S140" s="579" t="s">
        <v>65</v>
      </c>
      <c r="T140" s="580" t="s">
        <v>66</v>
      </c>
      <c r="U140" s="580" t="s">
        <v>66</v>
      </c>
      <c r="V140" s="580" t="s">
        <v>66</v>
      </c>
      <c r="W140" s="580" t="s">
        <v>66</v>
      </c>
      <c r="X140" s="580" t="s">
        <v>66</v>
      </c>
      <c r="Y140" s="580" t="s">
        <v>63</v>
      </c>
      <c r="Z140" s="580" t="s">
        <v>2352</v>
      </c>
      <c r="AA140" s="578" t="s">
        <v>884</v>
      </c>
      <c r="AB140" s="580" t="s">
        <v>68</v>
      </c>
      <c r="AC140" s="579"/>
      <c r="AD140" s="580" t="s">
        <v>68</v>
      </c>
      <c r="AE140" s="579"/>
      <c r="AF140" s="587" t="s">
        <v>947</v>
      </c>
      <c r="AG140" s="584" t="s">
        <v>63</v>
      </c>
      <c r="AH140" s="580" t="s">
        <v>63</v>
      </c>
      <c r="AI140" s="580" t="s">
        <v>63</v>
      </c>
      <c r="AJ140" s="580" t="s">
        <v>66</v>
      </c>
      <c r="AK140" s="580" t="s">
        <v>66</v>
      </c>
      <c r="AL140" s="580" t="s">
        <v>63</v>
      </c>
      <c r="AM140" s="585" t="s">
        <v>66</v>
      </c>
      <c r="AN140" s="586" t="s">
        <v>164</v>
      </c>
      <c r="AO140" s="579" t="s">
        <v>71</v>
      </c>
      <c r="AP140" s="579" t="s">
        <v>72</v>
      </c>
      <c r="AQ140" s="579"/>
      <c r="AR140" s="579" t="s">
        <v>121</v>
      </c>
      <c r="AS140" s="579"/>
      <c r="AT140" s="587"/>
      <c r="AU140" s="584" t="s">
        <v>74</v>
      </c>
      <c r="AV140" s="578"/>
      <c r="AW140" s="588"/>
      <c r="AX140" s="588"/>
      <c r="AY140" s="588"/>
      <c r="AZ140" s="589" t="s">
        <v>2059</v>
      </c>
      <c r="BA140" s="590" t="s">
        <v>2462</v>
      </c>
      <c r="BB140" s="589"/>
      <c r="BC140" s="590">
        <v>0</v>
      </c>
      <c r="BD140" s="591"/>
    </row>
    <row r="141" spans="1:56" s="560" customFormat="1" ht="16.5" customHeight="1">
      <c r="A141" s="561">
        <v>2024</v>
      </c>
      <c r="B141" s="577" t="s">
        <v>962</v>
      </c>
      <c r="C141" s="577" t="s">
        <v>940</v>
      </c>
      <c r="D141" s="562" t="s">
        <v>2415</v>
      </c>
      <c r="E141" s="578" t="s">
        <v>894</v>
      </c>
      <c r="F141" s="579" t="s">
        <v>2085</v>
      </c>
      <c r="G141" s="610" t="s">
        <v>2619</v>
      </c>
      <c r="H141" s="579" t="s">
        <v>891</v>
      </c>
      <c r="I141" s="579" t="s">
        <v>58</v>
      </c>
      <c r="J141" s="579" t="s">
        <v>839</v>
      </c>
      <c r="K141" s="579" t="s">
        <v>1977</v>
      </c>
      <c r="L141" s="578" t="s">
        <v>945</v>
      </c>
      <c r="M141" s="580" t="s">
        <v>1868</v>
      </c>
      <c r="N141" s="580" t="s">
        <v>2497</v>
      </c>
      <c r="O141" s="581">
        <v>16907</v>
      </c>
      <c r="P141" s="581">
        <v>160.74</v>
      </c>
      <c r="Q141" s="582"/>
      <c r="R141" s="579" t="s">
        <v>503</v>
      </c>
      <c r="S141" s="579" t="s">
        <v>2025</v>
      </c>
      <c r="T141" s="580" t="s">
        <v>66</v>
      </c>
      <c r="U141" s="580" t="s">
        <v>66</v>
      </c>
      <c r="V141" s="580" t="s">
        <v>66</v>
      </c>
      <c r="W141" s="580" t="s">
        <v>66</v>
      </c>
      <c r="X141" s="580" t="s">
        <v>66</v>
      </c>
      <c r="Y141" s="580" t="s">
        <v>66</v>
      </c>
      <c r="Z141" s="580" t="s">
        <v>66</v>
      </c>
      <c r="AA141" s="578" t="s">
        <v>890</v>
      </c>
      <c r="AB141" s="580" t="s">
        <v>68</v>
      </c>
      <c r="AC141" s="579"/>
      <c r="AD141" s="580" t="s">
        <v>68</v>
      </c>
      <c r="AE141" s="579"/>
      <c r="AF141" s="587" t="s">
        <v>947</v>
      </c>
      <c r="AG141" s="584" t="s">
        <v>66</v>
      </c>
      <c r="AH141" s="580" t="s">
        <v>66</v>
      </c>
      <c r="AI141" s="580" t="s">
        <v>66</v>
      </c>
      <c r="AJ141" s="580" t="s">
        <v>66</v>
      </c>
      <c r="AK141" s="580" t="s">
        <v>66</v>
      </c>
      <c r="AL141" s="580" t="s">
        <v>66</v>
      </c>
      <c r="AM141" s="585" t="s">
        <v>66</v>
      </c>
      <c r="AN141" s="586" t="s">
        <v>164</v>
      </c>
      <c r="AO141" s="579" t="s">
        <v>71</v>
      </c>
      <c r="AP141" s="579" t="s">
        <v>72</v>
      </c>
      <c r="AQ141" s="579"/>
      <c r="AR141" s="579" t="s">
        <v>121</v>
      </c>
      <c r="AS141" s="579"/>
      <c r="AT141" s="587"/>
      <c r="AU141" s="584" t="s">
        <v>74</v>
      </c>
      <c r="AV141" s="578"/>
      <c r="AW141" s="588"/>
      <c r="AX141" s="588"/>
      <c r="AY141" s="588"/>
      <c r="AZ141" s="589" t="s">
        <v>2059</v>
      </c>
      <c r="BA141" s="590" t="s">
        <v>2462</v>
      </c>
      <c r="BB141" s="589"/>
      <c r="BC141" s="590">
        <v>0</v>
      </c>
      <c r="BD141" s="591"/>
    </row>
    <row r="142" spans="1:56" s="560" customFormat="1" ht="16.5" customHeight="1">
      <c r="A142" s="576">
        <v>2024</v>
      </c>
      <c r="B142" s="577" t="s">
        <v>964</v>
      </c>
      <c r="C142" s="562" t="s">
        <v>948</v>
      </c>
      <c r="D142" s="562" t="s">
        <v>2415</v>
      </c>
      <c r="E142" s="578" t="s">
        <v>899</v>
      </c>
      <c r="F142" s="579" t="s">
        <v>2085</v>
      </c>
      <c r="G142" s="610" t="s">
        <v>2619</v>
      </c>
      <c r="H142" s="579" t="s">
        <v>898</v>
      </c>
      <c r="I142" s="579" t="s">
        <v>58</v>
      </c>
      <c r="J142" s="579" t="s">
        <v>839</v>
      </c>
      <c r="K142" s="579" t="s">
        <v>1977</v>
      </c>
      <c r="L142" s="578" t="s">
        <v>945</v>
      </c>
      <c r="M142" s="580" t="s">
        <v>1868</v>
      </c>
      <c r="N142" s="580" t="s">
        <v>965</v>
      </c>
      <c r="O142" s="581">
        <v>14145</v>
      </c>
      <c r="P142" s="581">
        <v>198.74</v>
      </c>
      <c r="Q142" s="582"/>
      <c r="R142" s="579" t="s">
        <v>524</v>
      </c>
      <c r="S142" s="579" t="s">
        <v>151</v>
      </c>
      <c r="T142" s="580" t="s">
        <v>66</v>
      </c>
      <c r="U142" s="580" t="s">
        <v>66</v>
      </c>
      <c r="V142" s="580" t="s">
        <v>66</v>
      </c>
      <c r="W142" s="580" t="s">
        <v>66</v>
      </c>
      <c r="X142" s="580" t="s">
        <v>66</v>
      </c>
      <c r="Y142" s="580" t="s">
        <v>66</v>
      </c>
      <c r="Z142" s="580" t="s">
        <v>66</v>
      </c>
      <c r="AA142" s="578" t="s">
        <v>897</v>
      </c>
      <c r="AB142" s="580" t="s">
        <v>68</v>
      </c>
      <c r="AC142" s="579"/>
      <c r="AD142" s="580" t="s">
        <v>68</v>
      </c>
      <c r="AE142" s="579"/>
      <c r="AF142" s="587" t="s">
        <v>947</v>
      </c>
      <c r="AG142" s="584" t="s">
        <v>66</v>
      </c>
      <c r="AH142" s="580" t="s">
        <v>66</v>
      </c>
      <c r="AI142" s="580" t="s">
        <v>66</v>
      </c>
      <c r="AJ142" s="580" t="s">
        <v>66</v>
      </c>
      <c r="AK142" s="580" t="s">
        <v>66</v>
      </c>
      <c r="AL142" s="580" t="s">
        <v>66</v>
      </c>
      <c r="AM142" s="585" t="s">
        <v>66</v>
      </c>
      <c r="AN142" s="586" t="s">
        <v>164</v>
      </c>
      <c r="AO142" s="579" t="s">
        <v>71</v>
      </c>
      <c r="AP142" s="579" t="s">
        <v>72</v>
      </c>
      <c r="AQ142" s="579"/>
      <c r="AR142" s="579" t="s">
        <v>121</v>
      </c>
      <c r="AS142" s="579"/>
      <c r="AT142" s="587"/>
      <c r="AU142" s="584" t="s">
        <v>74</v>
      </c>
      <c r="AV142" s="578"/>
      <c r="AW142" s="588"/>
      <c r="AX142" s="588"/>
      <c r="AY142" s="588"/>
      <c r="AZ142" s="589" t="s">
        <v>2059</v>
      </c>
      <c r="BA142" s="590" t="s">
        <v>2462</v>
      </c>
      <c r="BB142" s="589"/>
      <c r="BC142" s="590">
        <v>0</v>
      </c>
      <c r="BD142" s="591"/>
    </row>
    <row r="143" spans="1:56" s="560" customFormat="1" ht="16.5" customHeight="1">
      <c r="A143" s="576">
        <v>2024</v>
      </c>
      <c r="B143" s="577" t="s">
        <v>967</v>
      </c>
      <c r="C143" s="577" t="s">
        <v>951</v>
      </c>
      <c r="D143" s="562" t="s">
        <v>2415</v>
      </c>
      <c r="E143" s="578" t="s">
        <v>2499</v>
      </c>
      <c r="F143" s="579" t="s">
        <v>2085</v>
      </c>
      <c r="G143" s="610" t="s">
        <v>2619</v>
      </c>
      <c r="H143" s="579" t="s">
        <v>903</v>
      </c>
      <c r="I143" s="579" t="s">
        <v>58</v>
      </c>
      <c r="J143" s="579" t="s">
        <v>839</v>
      </c>
      <c r="K143" s="579" t="s">
        <v>1977</v>
      </c>
      <c r="L143" s="578" t="s">
        <v>945</v>
      </c>
      <c r="M143" s="580" t="s">
        <v>1868</v>
      </c>
      <c r="N143" s="580" t="s">
        <v>968</v>
      </c>
      <c r="O143" s="581">
        <v>15918</v>
      </c>
      <c r="P143" s="581">
        <v>211.64</v>
      </c>
      <c r="Q143" s="582"/>
      <c r="R143" s="579" t="s">
        <v>229</v>
      </c>
      <c r="S143" s="579" t="s">
        <v>65</v>
      </c>
      <c r="T143" s="580" t="s">
        <v>66</v>
      </c>
      <c r="U143" s="580" t="s">
        <v>66</v>
      </c>
      <c r="V143" s="580" t="s">
        <v>66</v>
      </c>
      <c r="W143" s="580" t="s">
        <v>66</v>
      </c>
      <c r="X143" s="580" t="s">
        <v>66</v>
      </c>
      <c r="Y143" s="580" t="s">
        <v>66</v>
      </c>
      <c r="Z143" s="580" t="s">
        <v>66</v>
      </c>
      <c r="AA143" s="578" t="s">
        <v>902</v>
      </c>
      <c r="AB143" s="580" t="s">
        <v>68</v>
      </c>
      <c r="AC143" s="579"/>
      <c r="AD143" s="580" t="s">
        <v>68</v>
      </c>
      <c r="AE143" s="579"/>
      <c r="AF143" s="587" t="s">
        <v>947</v>
      </c>
      <c r="AG143" s="584" t="s">
        <v>66</v>
      </c>
      <c r="AH143" s="580" t="s">
        <v>66</v>
      </c>
      <c r="AI143" s="580" t="s">
        <v>66</v>
      </c>
      <c r="AJ143" s="580" t="s">
        <v>66</v>
      </c>
      <c r="AK143" s="580" t="s">
        <v>66</v>
      </c>
      <c r="AL143" s="580" t="s">
        <v>66</v>
      </c>
      <c r="AM143" s="585" t="s">
        <v>66</v>
      </c>
      <c r="AN143" s="586" t="s">
        <v>95</v>
      </c>
      <c r="AO143" s="579" t="s">
        <v>71</v>
      </c>
      <c r="AP143" s="579" t="s">
        <v>72</v>
      </c>
      <c r="AQ143" s="579"/>
      <c r="AR143" s="579" t="s">
        <v>73</v>
      </c>
      <c r="AS143" s="579"/>
      <c r="AT143" s="587"/>
      <c r="AU143" s="584" t="s">
        <v>74</v>
      </c>
      <c r="AV143" s="578"/>
      <c r="AW143" s="588"/>
      <c r="AX143" s="588"/>
      <c r="AY143" s="588"/>
      <c r="AZ143" s="589" t="s">
        <v>2347</v>
      </c>
      <c r="BA143" s="590" t="s">
        <v>2462</v>
      </c>
      <c r="BB143" s="589"/>
      <c r="BC143" s="590">
        <v>0</v>
      </c>
      <c r="BD143" s="591"/>
    </row>
    <row r="144" spans="1:56" s="560" customFormat="1" ht="16.5" customHeight="1">
      <c r="A144" s="561">
        <v>2024</v>
      </c>
      <c r="B144" s="577" t="s">
        <v>969</v>
      </c>
      <c r="C144" s="562" t="s">
        <v>953</v>
      </c>
      <c r="D144" s="562" t="s">
        <v>2415</v>
      </c>
      <c r="E144" s="578" t="s">
        <v>909</v>
      </c>
      <c r="F144" s="579" t="s">
        <v>2085</v>
      </c>
      <c r="G144" s="610" t="s">
        <v>2619</v>
      </c>
      <c r="H144" s="579" t="s">
        <v>908</v>
      </c>
      <c r="I144" s="579" t="s">
        <v>58</v>
      </c>
      <c r="J144" s="579" t="s">
        <v>839</v>
      </c>
      <c r="K144" s="579" t="s">
        <v>1977</v>
      </c>
      <c r="L144" s="578" t="s">
        <v>945</v>
      </c>
      <c r="M144" s="580" t="s">
        <v>1868</v>
      </c>
      <c r="N144" s="580" t="s">
        <v>1872</v>
      </c>
      <c r="O144" s="581">
        <v>19247</v>
      </c>
      <c r="P144" s="581">
        <v>0</v>
      </c>
      <c r="Q144" s="582" t="s">
        <v>970</v>
      </c>
      <c r="R144" s="579" t="s">
        <v>566</v>
      </c>
      <c r="S144" s="579" t="s">
        <v>65</v>
      </c>
      <c r="T144" s="580" t="s">
        <v>66</v>
      </c>
      <c r="U144" s="580" t="s">
        <v>66</v>
      </c>
      <c r="V144" s="580" t="s">
        <v>66</v>
      </c>
      <c r="W144" s="580" t="s">
        <v>66</v>
      </c>
      <c r="X144" s="580" t="s">
        <v>66</v>
      </c>
      <c r="Y144" s="580" t="s">
        <v>66</v>
      </c>
      <c r="Z144" s="580" t="s">
        <v>66</v>
      </c>
      <c r="AA144" s="578" t="s">
        <v>907</v>
      </c>
      <c r="AB144" s="580" t="s">
        <v>68</v>
      </c>
      <c r="AC144" s="579"/>
      <c r="AD144" s="580" t="s">
        <v>68</v>
      </c>
      <c r="AE144" s="579"/>
      <c r="AF144" s="587" t="s">
        <v>947</v>
      </c>
      <c r="AG144" s="584" t="s">
        <v>63</v>
      </c>
      <c r="AH144" s="580" t="s">
        <v>63</v>
      </c>
      <c r="AI144" s="580" t="s">
        <v>63</v>
      </c>
      <c r="AJ144" s="580" t="s">
        <v>66</v>
      </c>
      <c r="AK144" s="580" t="s">
        <v>66</v>
      </c>
      <c r="AL144" s="580" t="s">
        <v>63</v>
      </c>
      <c r="AM144" s="585" t="s">
        <v>63</v>
      </c>
      <c r="AN144" s="586" t="s">
        <v>164</v>
      </c>
      <c r="AO144" s="579" t="s">
        <v>71</v>
      </c>
      <c r="AP144" s="579" t="s">
        <v>72</v>
      </c>
      <c r="AQ144" s="579"/>
      <c r="AR144" s="579" t="s">
        <v>121</v>
      </c>
      <c r="AS144" s="579"/>
      <c r="AT144" s="587"/>
      <c r="AU144" s="584" t="s">
        <v>74</v>
      </c>
      <c r="AV144" s="578"/>
      <c r="AW144" s="588"/>
      <c r="AX144" s="588"/>
      <c r="AY144" s="588"/>
      <c r="AZ144" s="589" t="s">
        <v>2059</v>
      </c>
      <c r="BA144" s="590" t="s">
        <v>2462</v>
      </c>
      <c r="BB144" s="589"/>
      <c r="BC144" s="590">
        <v>0</v>
      </c>
      <c r="BD144" s="591"/>
    </row>
    <row r="145" spans="1:56" s="560" customFormat="1" ht="16.5" customHeight="1">
      <c r="A145" s="576">
        <v>2024</v>
      </c>
      <c r="B145" s="577" t="s">
        <v>972</v>
      </c>
      <c r="C145" s="577" t="s">
        <v>955</v>
      </c>
      <c r="D145" s="562" t="s">
        <v>2415</v>
      </c>
      <c r="E145" s="578" t="s">
        <v>914</v>
      </c>
      <c r="F145" s="579" t="s">
        <v>2085</v>
      </c>
      <c r="G145" s="610" t="s">
        <v>2619</v>
      </c>
      <c r="H145" s="579" t="s">
        <v>913</v>
      </c>
      <c r="I145" s="579" t="s">
        <v>58</v>
      </c>
      <c r="J145" s="579" t="s">
        <v>839</v>
      </c>
      <c r="K145" s="579" t="s">
        <v>1977</v>
      </c>
      <c r="L145" s="578" t="s">
        <v>945</v>
      </c>
      <c r="M145" s="580" t="s">
        <v>1868</v>
      </c>
      <c r="N145" s="580" t="s">
        <v>1873</v>
      </c>
      <c r="O145" s="581">
        <v>13091</v>
      </c>
      <c r="P145" s="581">
        <v>0</v>
      </c>
      <c r="Q145" s="582" t="s">
        <v>973</v>
      </c>
      <c r="R145" s="579" t="s">
        <v>118</v>
      </c>
      <c r="S145" s="579" t="s">
        <v>65</v>
      </c>
      <c r="T145" s="580" t="s">
        <v>66</v>
      </c>
      <c r="U145" s="580" t="s">
        <v>66</v>
      </c>
      <c r="V145" s="580" t="s">
        <v>66</v>
      </c>
      <c r="W145" s="580" t="s">
        <v>66</v>
      </c>
      <c r="X145" s="580" t="s">
        <v>66</v>
      </c>
      <c r="Y145" s="580" t="s">
        <v>66</v>
      </c>
      <c r="Z145" s="580" t="s">
        <v>66</v>
      </c>
      <c r="AA145" s="578" t="s">
        <v>912</v>
      </c>
      <c r="AB145" s="580" t="s">
        <v>68</v>
      </c>
      <c r="AC145" s="579"/>
      <c r="AD145" s="580" t="s">
        <v>68</v>
      </c>
      <c r="AE145" s="579"/>
      <c r="AF145" s="587" t="s">
        <v>947</v>
      </c>
      <c r="AG145" s="584" t="s">
        <v>63</v>
      </c>
      <c r="AH145" s="580" t="s">
        <v>63</v>
      </c>
      <c r="AI145" s="580" t="s">
        <v>63</v>
      </c>
      <c r="AJ145" s="580" t="s">
        <v>66</v>
      </c>
      <c r="AK145" s="580" t="s">
        <v>66</v>
      </c>
      <c r="AL145" s="580" t="s">
        <v>63</v>
      </c>
      <c r="AM145" s="585" t="s">
        <v>63</v>
      </c>
      <c r="AN145" s="586" t="s">
        <v>164</v>
      </c>
      <c r="AO145" s="579" t="s">
        <v>71</v>
      </c>
      <c r="AP145" s="579" t="s">
        <v>72</v>
      </c>
      <c r="AQ145" s="579"/>
      <c r="AR145" s="579" t="s">
        <v>121</v>
      </c>
      <c r="AS145" s="579"/>
      <c r="AT145" s="587"/>
      <c r="AU145" s="584" t="s">
        <v>74</v>
      </c>
      <c r="AV145" s="578"/>
      <c r="AW145" s="588"/>
      <c r="AX145" s="588"/>
      <c r="AY145" s="588"/>
      <c r="AZ145" s="589" t="s">
        <v>2059</v>
      </c>
      <c r="BA145" s="590" t="s">
        <v>2462</v>
      </c>
      <c r="BB145" s="589"/>
      <c r="BC145" s="590">
        <v>0</v>
      </c>
      <c r="BD145" s="591"/>
    </row>
    <row r="146" spans="1:56" s="560" customFormat="1" ht="16.5" customHeight="1">
      <c r="A146" s="576">
        <v>2024</v>
      </c>
      <c r="B146" s="577" t="s">
        <v>975</v>
      </c>
      <c r="C146" s="562" t="s">
        <v>957</v>
      </c>
      <c r="D146" s="562" t="s">
        <v>2415</v>
      </c>
      <c r="E146" s="578" t="s">
        <v>919</v>
      </c>
      <c r="F146" s="579" t="s">
        <v>2085</v>
      </c>
      <c r="G146" s="610" t="s">
        <v>2619</v>
      </c>
      <c r="H146" s="579" t="s">
        <v>918</v>
      </c>
      <c r="I146" s="579" t="s">
        <v>58</v>
      </c>
      <c r="J146" s="579" t="s">
        <v>839</v>
      </c>
      <c r="K146" s="579" t="s">
        <v>1977</v>
      </c>
      <c r="L146" s="578" t="s">
        <v>945</v>
      </c>
      <c r="M146" s="580" t="s">
        <v>1868</v>
      </c>
      <c r="N146" s="580" t="s">
        <v>2269</v>
      </c>
      <c r="O146" s="581">
        <v>17424</v>
      </c>
      <c r="P146" s="581">
        <v>0</v>
      </c>
      <c r="Q146" s="582" t="s">
        <v>976</v>
      </c>
      <c r="R146" s="579" t="s">
        <v>161</v>
      </c>
      <c r="S146" s="579" t="s">
        <v>65</v>
      </c>
      <c r="T146" s="580" t="s">
        <v>66</v>
      </c>
      <c r="U146" s="580" t="s">
        <v>66</v>
      </c>
      <c r="V146" s="580" t="s">
        <v>66</v>
      </c>
      <c r="W146" s="580" t="s">
        <v>66</v>
      </c>
      <c r="X146" s="580" t="s">
        <v>66</v>
      </c>
      <c r="Y146" s="580" t="s">
        <v>66</v>
      </c>
      <c r="Z146" s="580" t="s">
        <v>66</v>
      </c>
      <c r="AA146" s="578" t="s">
        <v>917</v>
      </c>
      <c r="AB146" s="580" t="s">
        <v>68</v>
      </c>
      <c r="AC146" s="579"/>
      <c r="AD146" s="580" t="s">
        <v>68</v>
      </c>
      <c r="AE146" s="579"/>
      <c r="AF146" s="587" t="s">
        <v>947</v>
      </c>
      <c r="AG146" s="584" t="s">
        <v>63</v>
      </c>
      <c r="AH146" s="580" t="s">
        <v>63</v>
      </c>
      <c r="AI146" s="580" t="s">
        <v>63</v>
      </c>
      <c r="AJ146" s="580" t="s">
        <v>66</v>
      </c>
      <c r="AK146" s="580" t="s">
        <v>66</v>
      </c>
      <c r="AL146" s="580" t="s">
        <v>63</v>
      </c>
      <c r="AM146" s="585" t="s">
        <v>63</v>
      </c>
      <c r="AN146" s="586" t="s">
        <v>164</v>
      </c>
      <c r="AO146" s="579" t="s">
        <v>71</v>
      </c>
      <c r="AP146" s="579" t="s">
        <v>72</v>
      </c>
      <c r="AQ146" s="579"/>
      <c r="AR146" s="579" t="s">
        <v>121</v>
      </c>
      <c r="AS146" s="579"/>
      <c r="AT146" s="587"/>
      <c r="AU146" s="584" t="s">
        <v>74</v>
      </c>
      <c r="AV146" s="578"/>
      <c r="AW146" s="588"/>
      <c r="AX146" s="588"/>
      <c r="AY146" s="588"/>
      <c r="AZ146" s="589" t="s">
        <v>2059</v>
      </c>
      <c r="BA146" s="590" t="s">
        <v>2462</v>
      </c>
      <c r="BB146" s="589"/>
      <c r="BC146" s="590">
        <v>0</v>
      </c>
      <c r="BD146" s="591"/>
    </row>
    <row r="147" spans="1:56" s="560" customFormat="1" ht="16.5" customHeight="1">
      <c r="A147" s="561">
        <v>2024</v>
      </c>
      <c r="B147" s="577" t="s">
        <v>978</v>
      </c>
      <c r="C147" s="577" t="s">
        <v>959</v>
      </c>
      <c r="D147" s="562" t="s">
        <v>2415</v>
      </c>
      <c r="E147" s="578" t="s">
        <v>924</v>
      </c>
      <c r="F147" s="579" t="s">
        <v>2085</v>
      </c>
      <c r="G147" s="610" t="s">
        <v>2619</v>
      </c>
      <c r="H147" s="579" t="s">
        <v>923</v>
      </c>
      <c r="I147" s="579" t="s">
        <v>58</v>
      </c>
      <c r="J147" s="579" t="s">
        <v>839</v>
      </c>
      <c r="K147" s="579" t="s">
        <v>1977</v>
      </c>
      <c r="L147" s="578" t="s">
        <v>945</v>
      </c>
      <c r="M147" s="580" t="s">
        <v>1868</v>
      </c>
      <c r="N147" s="580" t="s">
        <v>1870</v>
      </c>
      <c r="O147" s="581">
        <v>14549</v>
      </c>
      <c r="P147" s="581">
        <v>0</v>
      </c>
      <c r="Q147" s="582" t="s">
        <v>979</v>
      </c>
      <c r="R147" s="579" t="s">
        <v>150</v>
      </c>
      <c r="S147" s="579" t="s">
        <v>65</v>
      </c>
      <c r="T147" s="580" t="s">
        <v>66</v>
      </c>
      <c r="U147" s="580" t="s">
        <v>66</v>
      </c>
      <c r="V147" s="580" t="s">
        <v>66</v>
      </c>
      <c r="W147" s="580" t="s">
        <v>66</v>
      </c>
      <c r="X147" s="580" t="s">
        <v>66</v>
      </c>
      <c r="Y147" s="580" t="s">
        <v>66</v>
      </c>
      <c r="Z147" s="580" t="s">
        <v>66</v>
      </c>
      <c r="AA147" s="578" t="s">
        <v>922</v>
      </c>
      <c r="AB147" s="580" t="s">
        <v>68</v>
      </c>
      <c r="AC147" s="579"/>
      <c r="AD147" s="580" t="s">
        <v>68</v>
      </c>
      <c r="AE147" s="579"/>
      <c r="AF147" s="587" t="s">
        <v>947</v>
      </c>
      <c r="AG147" s="584" t="s">
        <v>63</v>
      </c>
      <c r="AH147" s="580" t="s">
        <v>63</v>
      </c>
      <c r="AI147" s="580" t="s">
        <v>63</v>
      </c>
      <c r="AJ147" s="580" t="s">
        <v>66</v>
      </c>
      <c r="AK147" s="580" t="s">
        <v>66</v>
      </c>
      <c r="AL147" s="580" t="s">
        <v>63</v>
      </c>
      <c r="AM147" s="585" t="s">
        <v>63</v>
      </c>
      <c r="AN147" s="586" t="s">
        <v>109</v>
      </c>
      <c r="AO147" s="579" t="s">
        <v>110</v>
      </c>
      <c r="AP147" s="579" t="s">
        <v>111</v>
      </c>
      <c r="AQ147" s="579"/>
      <c r="AR147" s="579" t="s">
        <v>112</v>
      </c>
      <c r="AS147" s="579"/>
      <c r="AT147" s="587"/>
      <c r="AU147" s="584" t="s">
        <v>74</v>
      </c>
      <c r="AV147" s="578"/>
      <c r="AW147" s="588"/>
      <c r="AX147" s="588"/>
      <c r="AY147" s="588"/>
      <c r="AZ147" s="589" t="s">
        <v>2059</v>
      </c>
      <c r="BA147" s="590" t="s">
        <v>2462</v>
      </c>
      <c r="BB147" s="589"/>
      <c r="BC147" s="590">
        <v>0</v>
      </c>
      <c r="BD147" s="591"/>
    </row>
    <row r="148" spans="1:56" s="560" customFormat="1" ht="16.5" customHeight="1">
      <c r="A148" s="576">
        <v>2024</v>
      </c>
      <c r="B148" s="577" t="s">
        <v>981</v>
      </c>
      <c r="C148" s="562" t="s">
        <v>961</v>
      </c>
      <c r="D148" s="562" t="s">
        <v>2415</v>
      </c>
      <c r="E148" s="578" t="s">
        <v>929</v>
      </c>
      <c r="F148" s="579" t="s">
        <v>2085</v>
      </c>
      <c r="G148" s="610" t="s">
        <v>2619</v>
      </c>
      <c r="H148" s="579" t="s">
        <v>928</v>
      </c>
      <c r="I148" s="579" t="s">
        <v>58</v>
      </c>
      <c r="J148" s="579" t="s">
        <v>839</v>
      </c>
      <c r="K148" s="579" t="s">
        <v>1977</v>
      </c>
      <c r="L148" s="578" t="s">
        <v>945</v>
      </c>
      <c r="M148" s="580" t="s">
        <v>1868</v>
      </c>
      <c r="N148" s="580" t="s">
        <v>99</v>
      </c>
      <c r="O148" s="581">
        <v>15068</v>
      </c>
      <c r="P148" s="581">
        <v>214.59</v>
      </c>
      <c r="Q148" s="582"/>
      <c r="R148" s="579" t="s">
        <v>245</v>
      </c>
      <c r="S148" s="579" t="s">
        <v>151</v>
      </c>
      <c r="T148" s="580" t="s">
        <v>66</v>
      </c>
      <c r="U148" s="580" t="s">
        <v>66</v>
      </c>
      <c r="V148" s="580" t="s">
        <v>66</v>
      </c>
      <c r="W148" s="580" t="s">
        <v>66</v>
      </c>
      <c r="X148" s="580" t="s">
        <v>66</v>
      </c>
      <c r="Y148" s="580" t="s">
        <v>66</v>
      </c>
      <c r="Z148" s="580" t="s">
        <v>66</v>
      </c>
      <c r="AA148" s="578" t="s">
        <v>927</v>
      </c>
      <c r="AB148" s="580" t="s">
        <v>68</v>
      </c>
      <c r="AC148" s="579"/>
      <c r="AD148" s="580" t="s">
        <v>68</v>
      </c>
      <c r="AE148" s="579"/>
      <c r="AF148" s="587" t="s">
        <v>947</v>
      </c>
      <c r="AG148" s="584" t="s">
        <v>66</v>
      </c>
      <c r="AH148" s="580" t="s">
        <v>66</v>
      </c>
      <c r="AI148" s="580" t="s">
        <v>66</v>
      </c>
      <c r="AJ148" s="580" t="s">
        <v>66</v>
      </c>
      <c r="AK148" s="580" t="s">
        <v>66</v>
      </c>
      <c r="AL148" s="580" t="s">
        <v>66</v>
      </c>
      <c r="AM148" s="585" t="s">
        <v>66</v>
      </c>
      <c r="AN148" s="586" t="s">
        <v>164</v>
      </c>
      <c r="AO148" s="579" t="s">
        <v>71</v>
      </c>
      <c r="AP148" s="579" t="s">
        <v>72</v>
      </c>
      <c r="AQ148" s="579"/>
      <c r="AR148" s="579" t="s">
        <v>121</v>
      </c>
      <c r="AS148" s="579"/>
      <c r="AT148" s="587"/>
      <c r="AU148" s="584" t="s">
        <v>74</v>
      </c>
      <c r="AV148" s="578"/>
      <c r="AW148" s="588"/>
      <c r="AX148" s="588"/>
      <c r="AY148" s="588"/>
      <c r="AZ148" s="589" t="s">
        <v>2059</v>
      </c>
      <c r="BA148" s="590" t="s">
        <v>2462</v>
      </c>
      <c r="BB148" s="589"/>
      <c r="BC148" s="590">
        <v>0</v>
      </c>
      <c r="BD148" s="591"/>
    </row>
    <row r="149" spans="1:56" s="560" customFormat="1" ht="16.5" customHeight="1">
      <c r="A149" s="576">
        <v>2024</v>
      </c>
      <c r="B149" s="577" t="s">
        <v>983</v>
      </c>
      <c r="C149" s="577" t="s">
        <v>963</v>
      </c>
      <c r="D149" s="562" t="s">
        <v>2415</v>
      </c>
      <c r="E149" s="578" t="s">
        <v>934</v>
      </c>
      <c r="F149" s="579" t="s">
        <v>2085</v>
      </c>
      <c r="G149" s="610" t="s">
        <v>2619</v>
      </c>
      <c r="H149" s="579" t="s">
        <v>933</v>
      </c>
      <c r="I149" s="579" t="s">
        <v>58</v>
      </c>
      <c r="J149" s="579" t="s">
        <v>839</v>
      </c>
      <c r="K149" s="579" t="s">
        <v>1977</v>
      </c>
      <c r="L149" s="578" t="s">
        <v>945</v>
      </c>
      <c r="M149" s="580" t="s">
        <v>1868</v>
      </c>
      <c r="N149" s="580" t="s">
        <v>2498</v>
      </c>
      <c r="O149" s="581">
        <v>16229</v>
      </c>
      <c r="P149" s="581">
        <v>0</v>
      </c>
      <c r="Q149" s="582" t="s">
        <v>984</v>
      </c>
      <c r="R149" s="579" t="s">
        <v>100</v>
      </c>
      <c r="S149" s="579" t="s">
        <v>65</v>
      </c>
      <c r="T149" s="580" t="s">
        <v>66</v>
      </c>
      <c r="U149" s="580" t="s">
        <v>66</v>
      </c>
      <c r="V149" s="580" t="s">
        <v>66</v>
      </c>
      <c r="W149" s="580" t="s">
        <v>66</v>
      </c>
      <c r="X149" s="580" t="s">
        <v>66</v>
      </c>
      <c r="Y149" s="580" t="s">
        <v>66</v>
      </c>
      <c r="Z149" s="580" t="s">
        <v>66</v>
      </c>
      <c r="AA149" s="578" t="s">
        <v>932</v>
      </c>
      <c r="AB149" s="580" t="s">
        <v>68</v>
      </c>
      <c r="AC149" s="579"/>
      <c r="AD149" s="580" t="s">
        <v>68</v>
      </c>
      <c r="AE149" s="579"/>
      <c r="AF149" s="587" t="s">
        <v>947</v>
      </c>
      <c r="AG149" s="584" t="s">
        <v>63</v>
      </c>
      <c r="AH149" s="580" t="s">
        <v>63</v>
      </c>
      <c r="AI149" s="580" t="s">
        <v>63</v>
      </c>
      <c r="AJ149" s="580" t="s">
        <v>66</v>
      </c>
      <c r="AK149" s="580" t="s">
        <v>66</v>
      </c>
      <c r="AL149" s="580" t="s">
        <v>63</v>
      </c>
      <c r="AM149" s="585" t="s">
        <v>66</v>
      </c>
      <c r="AN149" s="586" t="s">
        <v>164</v>
      </c>
      <c r="AO149" s="579" t="s">
        <v>71</v>
      </c>
      <c r="AP149" s="579" t="s">
        <v>72</v>
      </c>
      <c r="AQ149" s="579"/>
      <c r="AR149" s="579" t="s">
        <v>121</v>
      </c>
      <c r="AS149" s="579"/>
      <c r="AT149" s="587"/>
      <c r="AU149" s="584" t="s">
        <v>74</v>
      </c>
      <c r="AV149" s="578"/>
      <c r="AW149" s="588"/>
      <c r="AX149" s="588"/>
      <c r="AY149" s="588"/>
      <c r="AZ149" s="589" t="s">
        <v>2059</v>
      </c>
      <c r="BA149" s="590" t="s">
        <v>2462</v>
      </c>
      <c r="BB149" s="589"/>
      <c r="BC149" s="590">
        <v>0</v>
      </c>
      <c r="BD149" s="591"/>
    </row>
    <row r="150" spans="1:56" s="560" customFormat="1" ht="16.5" customHeight="1">
      <c r="A150" s="561">
        <v>2024</v>
      </c>
      <c r="B150" s="577" t="s">
        <v>986</v>
      </c>
      <c r="C150" s="562" t="s">
        <v>966</v>
      </c>
      <c r="D150" s="562" t="s">
        <v>2415</v>
      </c>
      <c r="E150" s="578" t="s">
        <v>939</v>
      </c>
      <c r="F150" s="579" t="s">
        <v>2085</v>
      </c>
      <c r="G150" s="610" t="s">
        <v>2619</v>
      </c>
      <c r="H150" s="579" t="s">
        <v>938</v>
      </c>
      <c r="I150" s="579" t="s">
        <v>58</v>
      </c>
      <c r="J150" s="579" t="s">
        <v>839</v>
      </c>
      <c r="K150" s="579" t="s">
        <v>1977</v>
      </c>
      <c r="L150" s="578" t="s">
        <v>945</v>
      </c>
      <c r="M150" s="580" t="s">
        <v>1868</v>
      </c>
      <c r="N150" s="580" t="s">
        <v>2497</v>
      </c>
      <c r="O150" s="581">
        <v>17883</v>
      </c>
      <c r="P150" s="581">
        <v>0</v>
      </c>
      <c r="Q150" s="582" t="s">
        <v>987</v>
      </c>
      <c r="R150" s="579" t="s">
        <v>662</v>
      </c>
      <c r="S150" s="579" t="s">
        <v>65</v>
      </c>
      <c r="T150" s="580" t="s">
        <v>66</v>
      </c>
      <c r="U150" s="580" t="s">
        <v>66</v>
      </c>
      <c r="V150" s="580" t="s">
        <v>66</v>
      </c>
      <c r="W150" s="580" t="s">
        <v>66</v>
      </c>
      <c r="X150" s="580" t="s">
        <v>66</v>
      </c>
      <c r="Y150" s="580" t="s">
        <v>66</v>
      </c>
      <c r="Z150" s="580" t="s">
        <v>66</v>
      </c>
      <c r="AA150" s="578" t="s">
        <v>937</v>
      </c>
      <c r="AB150" s="580" t="s">
        <v>68</v>
      </c>
      <c r="AC150" s="579"/>
      <c r="AD150" s="580" t="s">
        <v>68</v>
      </c>
      <c r="AE150" s="579"/>
      <c r="AF150" s="587" t="s">
        <v>947</v>
      </c>
      <c r="AG150" s="584" t="s">
        <v>63</v>
      </c>
      <c r="AH150" s="580" t="s">
        <v>63</v>
      </c>
      <c r="AI150" s="580" t="s">
        <v>63</v>
      </c>
      <c r="AJ150" s="580" t="s">
        <v>66</v>
      </c>
      <c r="AK150" s="580" t="s">
        <v>66</v>
      </c>
      <c r="AL150" s="580" t="s">
        <v>63</v>
      </c>
      <c r="AM150" s="585" t="s">
        <v>63</v>
      </c>
      <c r="AN150" s="586" t="s">
        <v>164</v>
      </c>
      <c r="AO150" s="579" t="s">
        <v>71</v>
      </c>
      <c r="AP150" s="579" t="s">
        <v>72</v>
      </c>
      <c r="AQ150" s="579"/>
      <c r="AR150" s="579" t="s">
        <v>121</v>
      </c>
      <c r="AS150" s="579"/>
      <c r="AT150" s="587"/>
      <c r="AU150" s="584" t="s">
        <v>74</v>
      </c>
      <c r="AV150" s="578"/>
      <c r="AW150" s="588"/>
      <c r="AX150" s="588"/>
      <c r="AY150" s="588"/>
      <c r="AZ150" s="589" t="s">
        <v>2059</v>
      </c>
      <c r="BA150" s="590" t="s">
        <v>2462</v>
      </c>
      <c r="BB150" s="589"/>
      <c r="BC150" s="590">
        <v>0</v>
      </c>
      <c r="BD150" s="591"/>
    </row>
    <row r="151" spans="1:56" s="560" customFormat="1" ht="16.5" customHeight="1">
      <c r="A151" s="576">
        <v>2024</v>
      </c>
      <c r="B151" s="577" t="s">
        <v>989</v>
      </c>
      <c r="C151" s="577" t="s">
        <v>325</v>
      </c>
      <c r="D151" s="562" t="s">
        <v>2415</v>
      </c>
      <c r="E151" s="578" t="s">
        <v>990</v>
      </c>
      <c r="F151" s="579" t="s">
        <v>170</v>
      </c>
      <c r="G151" s="578" t="s">
        <v>2187</v>
      </c>
      <c r="H151" s="579" t="s">
        <v>991</v>
      </c>
      <c r="I151" s="579" t="s">
        <v>58</v>
      </c>
      <c r="J151" s="579" t="s">
        <v>839</v>
      </c>
      <c r="K151" s="579" t="s">
        <v>992</v>
      </c>
      <c r="L151" s="578" t="s">
        <v>841</v>
      </c>
      <c r="M151" s="580" t="s">
        <v>993</v>
      </c>
      <c r="N151" s="580" t="s">
        <v>994</v>
      </c>
      <c r="O151" s="581">
        <v>21467</v>
      </c>
      <c r="P151" s="581">
        <v>10045</v>
      </c>
      <c r="Q151" s="582"/>
      <c r="R151" s="579" t="s">
        <v>251</v>
      </c>
      <c r="S151" s="579" t="s">
        <v>151</v>
      </c>
      <c r="T151" s="580" t="s">
        <v>63</v>
      </c>
      <c r="U151" s="580" t="s">
        <v>63</v>
      </c>
      <c r="V151" s="580" t="s">
        <v>63</v>
      </c>
      <c r="W151" s="580" t="s">
        <v>63</v>
      </c>
      <c r="X151" s="580" t="s">
        <v>63</v>
      </c>
      <c r="Y151" s="580" t="s">
        <v>66</v>
      </c>
      <c r="Z151" s="580" t="s">
        <v>66</v>
      </c>
      <c r="AA151" s="578"/>
      <c r="AB151" s="580" t="s">
        <v>68</v>
      </c>
      <c r="AC151" s="579"/>
      <c r="AD151" s="580" t="s">
        <v>68</v>
      </c>
      <c r="AE151" s="579"/>
      <c r="AF151" s="583" t="s">
        <v>995</v>
      </c>
      <c r="AG151" s="584" t="s">
        <v>63</v>
      </c>
      <c r="AH151" s="580" t="s">
        <v>63</v>
      </c>
      <c r="AI151" s="580" t="s">
        <v>63</v>
      </c>
      <c r="AJ151" s="580" t="s">
        <v>66</v>
      </c>
      <c r="AK151" s="580" t="s">
        <v>66</v>
      </c>
      <c r="AL151" s="580" t="s">
        <v>63</v>
      </c>
      <c r="AM151" s="585" t="s">
        <v>66</v>
      </c>
      <c r="AN151" s="586" t="s">
        <v>120</v>
      </c>
      <c r="AO151" s="579" t="s">
        <v>71</v>
      </c>
      <c r="AP151" s="579" t="s">
        <v>72</v>
      </c>
      <c r="AQ151" s="579"/>
      <c r="AR151" s="579" t="s">
        <v>121</v>
      </c>
      <c r="AS151" s="579"/>
      <c r="AT151" s="587"/>
      <c r="AU151" s="584" t="s">
        <v>74</v>
      </c>
      <c r="AV151" s="578"/>
      <c r="AW151" s="588"/>
      <c r="AX151" s="588"/>
      <c r="AY151" s="588"/>
      <c r="AZ151" s="589" t="s">
        <v>846</v>
      </c>
      <c r="BA151" s="589" t="s">
        <v>847</v>
      </c>
      <c r="BB151" s="589" t="s">
        <v>996</v>
      </c>
      <c r="BC151" s="590">
        <v>0</v>
      </c>
      <c r="BD151" s="591"/>
    </row>
    <row r="152" spans="1:56" s="560" customFormat="1" ht="16.5" customHeight="1">
      <c r="A152" s="576">
        <v>2024</v>
      </c>
      <c r="B152" s="577" t="s">
        <v>998</v>
      </c>
      <c r="C152" s="562" t="s">
        <v>971</v>
      </c>
      <c r="D152" s="562" t="s">
        <v>2415</v>
      </c>
      <c r="E152" s="578" t="s">
        <v>999</v>
      </c>
      <c r="F152" s="579" t="s">
        <v>170</v>
      </c>
      <c r="G152" s="578" t="s">
        <v>2187</v>
      </c>
      <c r="H152" s="579" t="s">
        <v>1000</v>
      </c>
      <c r="I152" s="579" t="s">
        <v>58</v>
      </c>
      <c r="J152" s="579" t="s">
        <v>839</v>
      </c>
      <c r="K152" s="579" t="s">
        <v>992</v>
      </c>
      <c r="L152" s="578" t="s">
        <v>841</v>
      </c>
      <c r="M152" s="580" t="s">
        <v>993</v>
      </c>
      <c r="N152" s="580" t="s">
        <v>1001</v>
      </c>
      <c r="O152" s="581">
        <v>17800</v>
      </c>
      <c r="P152" s="581">
        <v>8612</v>
      </c>
      <c r="Q152" s="582"/>
      <c r="R152" s="579" t="s">
        <v>161</v>
      </c>
      <c r="S152" s="579" t="s">
        <v>151</v>
      </c>
      <c r="T152" s="580" t="s">
        <v>63</v>
      </c>
      <c r="U152" s="580" t="s">
        <v>63</v>
      </c>
      <c r="V152" s="580" t="s">
        <v>63</v>
      </c>
      <c r="W152" s="580" t="s">
        <v>63</v>
      </c>
      <c r="X152" s="580" t="s">
        <v>63</v>
      </c>
      <c r="Y152" s="580" t="s">
        <v>66</v>
      </c>
      <c r="Z152" s="580" t="s">
        <v>66</v>
      </c>
      <c r="AA152" s="578"/>
      <c r="AB152" s="580" t="s">
        <v>68</v>
      </c>
      <c r="AC152" s="579"/>
      <c r="AD152" s="580" t="s">
        <v>68</v>
      </c>
      <c r="AE152" s="579"/>
      <c r="AF152" s="583" t="s">
        <v>995</v>
      </c>
      <c r="AG152" s="584" t="s">
        <v>63</v>
      </c>
      <c r="AH152" s="580" t="s">
        <v>63</v>
      </c>
      <c r="AI152" s="580" t="s">
        <v>63</v>
      </c>
      <c r="AJ152" s="580" t="s">
        <v>66</v>
      </c>
      <c r="AK152" s="580" t="s">
        <v>66</v>
      </c>
      <c r="AL152" s="580" t="s">
        <v>63</v>
      </c>
      <c r="AM152" s="585" t="s">
        <v>66</v>
      </c>
      <c r="AN152" s="586" t="s">
        <v>164</v>
      </c>
      <c r="AO152" s="579" t="s">
        <v>71</v>
      </c>
      <c r="AP152" s="579" t="s">
        <v>72</v>
      </c>
      <c r="AQ152" s="579"/>
      <c r="AR152" s="579" t="s">
        <v>121</v>
      </c>
      <c r="AS152" s="579"/>
      <c r="AT152" s="587"/>
      <c r="AU152" s="584" t="s">
        <v>74</v>
      </c>
      <c r="AV152" s="578"/>
      <c r="AW152" s="588"/>
      <c r="AX152" s="588"/>
      <c r="AY152" s="588"/>
      <c r="AZ152" s="589" t="s">
        <v>846</v>
      </c>
      <c r="BA152" s="589" t="s">
        <v>847</v>
      </c>
      <c r="BB152" s="589" t="s">
        <v>996</v>
      </c>
      <c r="BC152" s="590">
        <v>0</v>
      </c>
      <c r="BD152" s="591"/>
    </row>
    <row r="153" spans="1:56" s="560" customFormat="1" ht="16.5" customHeight="1">
      <c r="A153" s="561">
        <v>2024</v>
      </c>
      <c r="B153" s="577" t="s">
        <v>1003</v>
      </c>
      <c r="C153" s="577" t="s">
        <v>974</v>
      </c>
      <c r="D153" s="562" t="s">
        <v>2415</v>
      </c>
      <c r="E153" s="578" t="s">
        <v>1004</v>
      </c>
      <c r="F153" s="579" t="s">
        <v>170</v>
      </c>
      <c r="G153" s="578" t="s">
        <v>2187</v>
      </c>
      <c r="H153" s="579" t="s">
        <v>1005</v>
      </c>
      <c r="I153" s="579" t="s">
        <v>58</v>
      </c>
      <c r="J153" s="579" t="s">
        <v>839</v>
      </c>
      <c r="K153" s="579" t="s">
        <v>992</v>
      </c>
      <c r="L153" s="578" t="s">
        <v>841</v>
      </c>
      <c r="M153" s="580" t="s">
        <v>993</v>
      </c>
      <c r="N153" s="580" t="s">
        <v>1001</v>
      </c>
      <c r="O153" s="581">
        <v>24737</v>
      </c>
      <c r="P153" s="581">
        <v>10442</v>
      </c>
      <c r="Q153" s="582"/>
      <c r="R153" s="579" t="s">
        <v>107</v>
      </c>
      <c r="S153" s="579" t="s">
        <v>151</v>
      </c>
      <c r="T153" s="580" t="s">
        <v>63</v>
      </c>
      <c r="U153" s="580" t="s">
        <v>63</v>
      </c>
      <c r="V153" s="580" t="s">
        <v>63</v>
      </c>
      <c r="W153" s="580" t="s">
        <v>63</v>
      </c>
      <c r="X153" s="580" t="s">
        <v>63</v>
      </c>
      <c r="Y153" s="580" t="s">
        <v>63</v>
      </c>
      <c r="Z153" s="580" t="s">
        <v>1006</v>
      </c>
      <c r="AA153" s="578"/>
      <c r="AB153" s="580" t="s">
        <v>68</v>
      </c>
      <c r="AC153" s="579"/>
      <c r="AD153" s="580" t="s">
        <v>68</v>
      </c>
      <c r="AE153" s="579"/>
      <c r="AF153" s="583" t="s">
        <v>995</v>
      </c>
      <c r="AG153" s="584" t="s">
        <v>63</v>
      </c>
      <c r="AH153" s="580" t="s">
        <v>63</v>
      </c>
      <c r="AI153" s="580" t="s">
        <v>63</v>
      </c>
      <c r="AJ153" s="580" t="s">
        <v>66</v>
      </c>
      <c r="AK153" s="580" t="s">
        <v>66</v>
      </c>
      <c r="AL153" s="580" t="s">
        <v>63</v>
      </c>
      <c r="AM153" s="585" t="s">
        <v>63</v>
      </c>
      <c r="AN153" s="586" t="s">
        <v>164</v>
      </c>
      <c r="AO153" s="579" t="s">
        <v>71</v>
      </c>
      <c r="AP153" s="579" t="s">
        <v>72</v>
      </c>
      <c r="AQ153" s="579"/>
      <c r="AR153" s="579" t="s">
        <v>121</v>
      </c>
      <c r="AS153" s="579"/>
      <c r="AT153" s="587"/>
      <c r="AU153" s="584" t="s">
        <v>74</v>
      </c>
      <c r="AV153" s="578"/>
      <c r="AW153" s="588"/>
      <c r="AX153" s="588"/>
      <c r="AY153" s="588"/>
      <c r="AZ153" s="589" t="s">
        <v>846</v>
      </c>
      <c r="BA153" s="589" t="s">
        <v>847</v>
      </c>
      <c r="BB153" s="589" t="s">
        <v>996</v>
      </c>
      <c r="BC153" s="590">
        <v>0</v>
      </c>
      <c r="BD153" s="591"/>
    </row>
    <row r="154" spans="1:56" s="560" customFormat="1" ht="16.5" customHeight="1">
      <c r="A154" s="576">
        <v>2024</v>
      </c>
      <c r="B154" s="577" t="s">
        <v>1008</v>
      </c>
      <c r="C154" s="562" t="s">
        <v>977</v>
      </c>
      <c r="D154" s="562" t="s">
        <v>2415</v>
      </c>
      <c r="E154" s="578" t="s">
        <v>1009</v>
      </c>
      <c r="F154" s="579" t="s">
        <v>170</v>
      </c>
      <c r="G154" s="578" t="s">
        <v>2187</v>
      </c>
      <c r="H154" s="579" t="s">
        <v>1010</v>
      </c>
      <c r="I154" s="579" t="s">
        <v>58</v>
      </c>
      <c r="J154" s="579" t="s">
        <v>839</v>
      </c>
      <c r="K154" s="579" t="s">
        <v>992</v>
      </c>
      <c r="L154" s="578" t="s">
        <v>841</v>
      </c>
      <c r="M154" s="580" t="s">
        <v>993</v>
      </c>
      <c r="N154" s="580" t="s">
        <v>1001</v>
      </c>
      <c r="O154" s="581">
        <v>20891</v>
      </c>
      <c r="P154" s="581">
        <v>8754</v>
      </c>
      <c r="Q154" s="582"/>
      <c r="R154" s="579" t="s">
        <v>130</v>
      </c>
      <c r="S154" s="579" t="s">
        <v>151</v>
      </c>
      <c r="T154" s="580" t="s">
        <v>63</v>
      </c>
      <c r="U154" s="580" t="s">
        <v>63</v>
      </c>
      <c r="V154" s="580" t="s">
        <v>63</v>
      </c>
      <c r="W154" s="580" t="s">
        <v>63</v>
      </c>
      <c r="X154" s="580" t="s">
        <v>63</v>
      </c>
      <c r="Y154" s="580" t="s">
        <v>63</v>
      </c>
      <c r="Z154" s="580" t="s">
        <v>1011</v>
      </c>
      <c r="AA154" s="578"/>
      <c r="AB154" s="580" t="s">
        <v>68</v>
      </c>
      <c r="AC154" s="579"/>
      <c r="AD154" s="580" t="s">
        <v>68</v>
      </c>
      <c r="AE154" s="579"/>
      <c r="AF154" s="583" t="s">
        <v>995</v>
      </c>
      <c r="AG154" s="584" t="s">
        <v>63</v>
      </c>
      <c r="AH154" s="580" t="s">
        <v>63</v>
      </c>
      <c r="AI154" s="580" t="s">
        <v>63</v>
      </c>
      <c r="AJ154" s="580" t="s">
        <v>66</v>
      </c>
      <c r="AK154" s="580" t="s">
        <v>66</v>
      </c>
      <c r="AL154" s="580" t="s">
        <v>63</v>
      </c>
      <c r="AM154" s="585" t="s">
        <v>66</v>
      </c>
      <c r="AN154" s="586" t="s">
        <v>164</v>
      </c>
      <c r="AO154" s="579" t="s">
        <v>71</v>
      </c>
      <c r="AP154" s="579" t="s">
        <v>72</v>
      </c>
      <c r="AQ154" s="579"/>
      <c r="AR154" s="579" t="s">
        <v>121</v>
      </c>
      <c r="AS154" s="579"/>
      <c r="AT154" s="587"/>
      <c r="AU154" s="584" t="s">
        <v>74</v>
      </c>
      <c r="AV154" s="578"/>
      <c r="AW154" s="588"/>
      <c r="AX154" s="588"/>
      <c r="AY154" s="588"/>
      <c r="AZ154" s="589" t="s">
        <v>846</v>
      </c>
      <c r="BA154" s="589" t="s">
        <v>847</v>
      </c>
      <c r="BB154" s="589" t="s">
        <v>996</v>
      </c>
      <c r="BC154" s="590">
        <v>0</v>
      </c>
      <c r="BD154" s="591"/>
    </row>
    <row r="155" spans="1:56" s="560" customFormat="1" ht="16.5" customHeight="1">
      <c r="A155" s="576">
        <v>2024</v>
      </c>
      <c r="B155" s="577" t="s">
        <v>1013</v>
      </c>
      <c r="C155" s="577" t="s">
        <v>980</v>
      </c>
      <c r="D155" s="562" t="s">
        <v>2415</v>
      </c>
      <c r="E155" s="578" t="s">
        <v>1014</v>
      </c>
      <c r="F155" s="579" t="s">
        <v>170</v>
      </c>
      <c r="G155" s="578" t="s">
        <v>2187</v>
      </c>
      <c r="H155" s="579" t="s">
        <v>1015</v>
      </c>
      <c r="I155" s="579" t="s">
        <v>58</v>
      </c>
      <c r="J155" s="579" t="s">
        <v>839</v>
      </c>
      <c r="K155" s="579" t="s">
        <v>992</v>
      </c>
      <c r="L155" s="578" t="s">
        <v>841</v>
      </c>
      <c r="M155" s="580" t="s">
        <v>149</v>
      </c>
      <c r="N155" s="580" t="s">
        <v>149</v>
      </c>
      <c r="O155" s="581">
        <v>26081</v>
      </c>
      <c r="P155" s="581">
        <v>10461</v>
      </c>
      <c r="Q155" s="582"/>
      <c r="R155" s="579" t="s">
        <v>662</v>
      </c>
      <c r="S155" s="579" t="s">
        <v>151</v>
      </c>
      <c r="T155" s="580" t="s">
        <v>63</v>
      </c>
      <c r="U155" s="580" t="s">
        <v>63</v>
      </c>
      <c r="V155" s="580" t="s">
        <v>63</v>
      </c>
      <c r="W155" s="580" t="s">
        <v>63</v>
      </c>
      <c r="X155" s="580" t="s">
        <v>63</v>
      </c>
      <c r="Y155" s="580" t="s">
        <v>66</v>
      </c>
      <c r="Z155" s="580" t="s">
        <v>66</v>
      </c>
      <c r="AA155" s="578"/>
      <c r="AB155" s="580" t="s">
        <v>2069</v>
      </c>
      <c r="AC155" s="579"/>
      <c r="AD155" s="580" t="s">
        <v>68</v>
      </c>
      <c r="AE155" s="579"/>
      <c r="AF155" s="583" t="s">
        <v>995</v>
      </c>
      <c r="AG155" s="584" t="s">
        <v>63</v>
      </c>
      <c r="AH155" s="580" t="s">
        <v>63</v>
      </c>
      <c r="AI155" s="580" t="s">
        <v>63</v>
      </c>
      <c r="AJ155" s="580" t="s">
        <v>66</v>
      </c>
      <c r="AK155" s="580" t="s">
        <v>66</v>
      </c>
      <c r="AL155" s="580" t="s">
        <v>63</v>
      </c>
      <c r="AM155" s="585" t="s">
        <v>63</v>
      </c>
      <c r="AN155" s="586" t="s">
        <v>164</v>
      </c>
      <c r="AO155" s="579" t="s">
        <v>71</v>
      </c>
      <c r="AP155" s="579" t="s">
        <v>72</v>
      </c>
      <c r="AQ155" s="579"/>
      <c r="AR155" s="579" t="s">
        <v>121</v>
      </c>
      <c r="AS155" s="579"/>
      <c r="AT155" s="587"/>
      <c r="AU155" s="584" t="s">
        <v>74</v>
      </c>
      <c r="AV155" s="578"/>
      <c r="AW155" s="588"/>
      <c r="AX155" s="588"/>
      <c r="AY155" s="588"/>
      <c r="AZ155" s="589" t="s">
        <v>846</v>
      </c>
      <c r="BA155" s="589" t="s">
        <v>847</v>
      </c>
      <c r="BB155" s="589" t="s">
        <v>996</v>
      </c>
      <c r="BC155" s="590">
        <v>0</v>
      </c>
      <c r="BD155" s="591"/>
    </row>
    <row r="156" spans="1:56" s="560" customFormat="1" ht="16.5" customHeight="1">
      <c r="A156" s="561">
        <v>2024</v>
      </c>
      <c r="B156" s="577" t="s">
        <v>1017</v>
      </c>
      <c r="C156" s="562" t="s">
        <v>982</v>
      </c>
      <c r="D156" s="562" t="s">
        <v>2415</v>
      </c>
      <c r="E156" s="578" t="s">
        <v>1018</v>
      </c>
      <c r="F156" s="579" t="s">
        <v>170</v>
      </c>
      <c r="G156" s="578" t="s">
        <v>2187</v>
      </c>
      <c r="H156" s="579" t="s">
        <v>1019</v>
      </c>
      <c r="I156" s="579" t="s">
        <v>58</v>
      </c>
      <c r="J156" s="579" t="s">
        <v>839</v>
      </c>
      <c r="K156" s="579" t="s">
        <v>992</v>
      </c>
      <c r="L156" s="578" t="s">
        <v>841</v>
      </c>
      <c r="M156" s="580" t="s">
        <v>280</v>
      </c>
      <c r="N156" s="580" t="s">
        <v>280</v>
      </c>
      <c r="O156" s="581">
        <v>16612</v>
      </c>
      <c r="P156" s="581">
        <v>10169</v>
      </c>
      <c r="Q156" s="582"/>
      <c r="R156" s="579" t="s">
        <v>118</v>
      </c>
      <c r="S156" s="579" t="s">
        <v>151</v>
      </c>
      <c r="T156" s="580" t="s">
        <v>63</v>
      </c>
      <c r="U156" s="580" t="s">
        <v>63</v>
      </c>
      <c r="V156" s="580" t="s">
        <v>63</v>
      </c>
      <c r="W156" s="580" t="s">
        <v>63</v>
      </c>
      <c r="X156" s="580" t="s">
        <v>63</v>
      </c>
      <c r="Y156" s="580" t="s">
        <v>63</v>
      </c>
      <c r="Z156" s="580" t="s">
        <v>1020</v>
      </c>
      <c r="AA156" s="578"/>
      <c r="AB156" s="580" t="s">
        <v>1918</v>
      </c>
      <c r="AC156" s="579"/>
      <c r="AD156" s="580" t="s">
        <v>68</v>
      </c>
      <c r="AE156" s="579"/>
      <c r="AF156" s="583" t="s">
        <v>995</v>
      </c>
      <c r="AG156" s="584" t="s">
        <v>63</v>
      </c>
      <c r="AH156" s="580" t="s">
        <v>63</v>
      </c>
      <c r="AI156" s="580" t="s">
        <v>63</v>
      </c>
      <c r="AJ156" s="580" t="s">
        <v>66</v>
      </c>
      <c r="AK156" s="580" t="s">
        <v>66</v>
      </c>
      <c r="AL156" s="580" t="s">
        <v>63</v>
      </c>
      <c r="AM156" s="585" t="s">
        <v>66</v>
      </c>
      <c r="AN156" s="586" t="s">
        <v>164</v>
      </c>
      <c r="AO156" s="579" t="s">
        <v>71</v>
      </c>
      <c r="AP156" s="579" t="s">
        <v>72</v>
      </c>
      <c r="AQ156" s="579"/>
      <c r="AR156" s="579" t="s">
        <v>121</v>
      </c>
      <c r="AS156" s="579"/>
      <c r="AT156" s="587"/>
      <c r="AU156" s="584" t="s">
        <v>74</v>
      </c>
      <c r="AV156" s="578"/>
      <c r="AW156" s="588"/>
      <c r="AX156" s="588"/>
      <c r="AY156" s="588"/>
      <c r="AZ156" s="589" t="s">
        <v>846</v>
      </c>
      <c r="BA156" s="589" t="s">
        <v>847</v>
      </c>
      <c r="BB156" s="589" t="s">
        <v>996</v>
      </c>
      <c r="BC156" s="590">
        <v>0</v>
      </c>
      <c r="BD156" s="591"/>
    </row>
    <row r="157" spans="1:56" s="560" customFormat="1" ht="16.5" customHeight="1">
      <c r="A157" s="576">
        <v>2024</v>
      </c>
      <c r="B157" s="577" t="s">
        <v>1022</v>
      </c>
      <c r="C157" s="577" t="s">
        <v>985</v>
      </c>
      <c r="D157" s="562" t="s">
        <v>2415</v>
      </c>
      <c r="E157" s="578" t="s">
        <v>1023</v>
      </c>
      <c r="F157" s="579" t="s">
        <v>170</v>
      </c>
      <c r="G157" s="578" t="s">
        <v>2187</v>
      </c>
      <c r="H157" s="579" t="s">
        <v>1024</v>
      </c>
      <c r="I157" s="579" t="s">
        <v>58</v>
      </c>
      <c r="J157" s="579" t="s">
        <v>839</v>
      </c>
      <c r="K157" s="579" t="s">
        <v>992</v>
      </c>
      <c r="L157" s="578" t="s">
        <v>841</v>
      </c>
      <c r="M157" s="580" t="s">
        <v>509</v>
      </c>
      <c r="N157" s="580" t="s">
        <v>509</v>
      </c>
      <c r="O157" s="581">
        <v>22428</v>
      </c>
      <c r="P157" s="581">
        <v>9118</v>
      </c>
      <c r="Q157" s="582"/>
      <c r="R157" s="579" t="s">
        <v>93</v>
      </c>
      <c r="S157" s="579" t="s">
        <v>151</v>
      </c>
      <c r="T157" s="580" t="s">
        <v>63</v>
      </c>
      <c r="U157" s="580" t="s">
        <v>63</v>
      </c>
      <c r="V157" s="580" t="s">
        <v>63</v>
      </c>
      <c r="W157" s="580" t="s">
        <v>63</v>
      </c>
      <c r="X157" s="580" t="s">
        <v>63</v>
      </c>
      <c r="Y157" s="580" t="s">
        <v>66</v>
      </c>
      <c r="Z157" s="580" t="s">
        <v>66</v>
      </c>
      <c r="AA157" s="578"/>
      <c r="AB157" s="580" t="s">
        <v>68</v>
      </c>
      <c r="AC157" s="579"/>
      <c r="AD157" s="580" t="s">
        <v>68</v>
      </c>
      <c r="AE157" s="579"/>
      <c r="AF157" s="583" t="s">
        <v>995</v>
      </c>
      <c r="AG157" s="584" t="s">
        <v>63</v>
      </c>
      <c r="AH157" s="580" t="s">
        <v>63</v>
      </c>
      <c r="AI157" s="580" t="s">
        <v>63</v>
      </c>
      <c r="AJ157" s="580" t="s">
        <v>66</v>
      </c>
      <c r="AK157" s="580" t="s">
        <v>66</v>
      </c>
      <c r="AL157" s="580" t="s">
        <v>63</v>
      </c>
      <c r="AM157" s="585" t="s">
        <v>66</v>
      </c>
      <c r="AN157" s="586" t="s">
        <v>120</v>
      </c>
      <c r="AO157" s="579" t="s">
        <v>71</v>
      </c>
      <c r="AP157" s="579" t="s">
        <v>72</v>
      </c>
      <c r="AQ157" s="579"/>
      <c r="AR157" s="579" t="s">
        <v>121</v>
      </c>
      <c r="AS157" s="579"/>
      <c r="AT157" s="587"/>
      <c r="AU157" s="584" t="s">
        <v>74</v>
      </c>
      <c r="AV157" s="578"/>
      <c r="AW157" s="588"/>
      <c r="AX157" s="588"/>
      <c r="AY157" s="588"/>
      <c r="AZ157" s="589" t="s">
        <v>846</v>
      </c>
      <c r="BA157" s="589" t="s">
        <v>847</v>
      </c>
      <c r="BB157" s="589" t="s">
        <v>996</v>
      </c>
      <c r="BC157" s="590">
        <v>0</v>
      </c>
      <c r="BD157" s="591"/>
    </row>
    <row r="158" spans="1:56" s="560" customFormat="1" ht="16.5" customHeight="1">
      <c r="A158" s="576">
        <v>2024</v>
      </c>
      <c r="B158" s="577" t="s">
        <v>1026</v>
      </c>
      <c r="C158" s="562" t="s">
        <v>988</v>
      </c>
      <c r="D158" s="562" t="s">
        <v>2415</v>
      </c>
      <c r="E158" s="578" t="s">
        <v>1027</v>
      </c>
      <c r="F158" s="579" t="s">
        <v>170</v>
      </c>
      <c r="G158" s="578" t="s">
        <v>2187</v>
      </c>
      <c r="H158" s="579" t="s">
        <v>1028</v>
      </c>
      <c r="I158" s="579" t="s">
        <v>58</v>
      </c>
      <c r="J158" s="579" t="s">
        <v>839</v>
      </c>
      <c r="K158" s="579" t="s">
        <v>992</v>
      </c>
      <c r="L158" s="578" t="s">
        <v>841</v>
      </c>
      <c r="M158" s="580" t="s">
        <v>396</v>
      </c>
      <c r="N158" s="580" t="s">
        <v>396</v>
      </c>
      <c r="O158" s="581">
        <v>20064</v>
      </c>
      <c r="P158" s="581">
        <v>9000</v>
      </c>
      <c r="Q158" s="582"/>
      <c r="R158" s="579" t="s">
        <v>503</v>
      </c>
      <c r="S158" s="579" t="s">
        <v>151</v>
      </c>
      <c r="T158" s="580" t="s">
        <v>63</v>
      </c>
      <c r="U158" s="580" t="s">
        <v>63</v>
      </c>
      <c r="V158" s="580" t="s">
        <v>63</v>
      </c>
      <c r="W158" s="580" t="s">
        <v>63</v>
      </c>
      <c r="X158" s="580" t="s">
        <v>63</v>
      </c>
      <c r="Y158" s="580" t="s">
        <v>66</v>
      </c>
      <c r="Z158" s="580" t="s">
        <v>66</v>
      </c>
      <c r="AA158" s="578"/>
      <c r="AB158" s="580" t="s">
        <v>68</v>
      </c>
      <c r="AC158" s="579"/>
      <c r="AD158" s="580" t="s">
        <v>68</v>
      </c>
      <c r="AE158" s="579"/>
      <c r="AF158" s="583" t="s">
        <v>995</v>
      </c>
      <c r="AG158" s="584" t="s">
        <v>63</v>
      </c>
      <c r="AH158" s="580" t="s">
        <v>63</v>
      </c>
      <c r="AI158" s="580" t="s">
        <v>63</v>
      </c>
      <c r="AJ158" s="580" t="s">
        <v>66</v>
      </c>
      <c r="AK158" s="580" t="s">
        <v>66</v>
      </c>
      <c r="AL158" s="580" t="s">
        <v>63</v>
      </c>
      <c r="AM158" s="585" t="s">
        <v>66</v>
      </c>
      <c r="AN158" s="586" t="s">
        <v>164</v>
      </c>
      <c r="AO158" s="579" t="s">
        <v>71</v>
      </c>
      <c r="AP158" s="579" t="s">
        <v>72</v>
      </c>
      <c r="AQ158" s="579"/>
      <c r="AR158" s="579" t="s">
        <v>121</v>
      </c>
      <c r="AS158" s="579"/>
      <c r="AT158" s="587"/>
      <c r="AU158" s="584" t="s">
        <v>74</v>
      </c>
      <c r="AV158" s="578"/>
      <c r="AW158" s="588"/>
      <c r="AX158" s="588"/>
      <c r="AY158" s="588"/>
      <c r="AZ158" s="589" t="s">
        <v>846</v>
      </c>
      <c r="BA158" s="589" t="s">
        <v>847</v>
      </c>
      <c r="BB158" s="589" t="s">
        <v>996</v>
      </c>
      <c r="BC158" s="590">
        <v>0</v>
      </c>
      <c r="BD158" s="591"/>
    </row>
    <row r="159" spans="1:56" s="560" customFormat="1" ht="16.5" customHeight="1">
      <c r="A159" s="561">
        <v>2024</v>
      </c>
      <c r="B159" s="577" t="s">
        <v>1030</v>
      </c>
      <c r="C159" s="577" t="s">
        <v>997</v>
      </c>
      <c r="D159" s="562" t="s">
        <v>2415</v>
      </c>
      <c r="E159" s="578" t="s">
        <v>1031</v>
      </c>
      <c r="F159" s="579" t="s">
        <v>170</v>
      </c>
      <c r="G159" s="578" t="s">
        <v>2187</v>
      </c>
      <c r="H159" s="579" t="s">
        <v>1032</v>
      </c>
      <c r="I159" s="579" t="s">
        <v>58</v>
      </c>
      <c r="J159" s="579" t="s">
        <v>839</v>
      </c>
      <c r="K159" s="579" t="s">
        <v>1979</v>
      </c>
      <c r="L159" s="578" t="s">
        <v>1033</v>
      </c>
      <c r="M159" s="580" t="s">
        <v>1034</v>
      </c>
      <c r="N159" s="580" t="s">
        <v>854</v>
      </c>
      <c r="O159" s="581">
        <v>24841</v>
      </c>
      <c r="P159" s="581">
        <v>12819</v>
      </c>
      <c r="Q159" s="582"/>
      <c r="R159" s="579" t="s">
        <v>150</v>
      </c>
      <c r="S159" s="579" t="s">
        <v>151</v>
      </c>
      <c r="T159" s="580" t="s">
        <v>63</v>
      </c>
      <c r="U159" s="580" t="s">
        <v>63</v>
      </c>
      <c r="V159" s="580" t="s">
        <v>63</v>
      </c>
      <c r="W159" s="580" t="s">
        <v>63</v>
      </c>
      <c r="X159" s="580" t="s">
        <v>63</v>
      </c>
      <c r="Y159" s="580" t="s">
        <v>66</v>
      </c>
      <c r="Z159" s="580" t="s">
        <v>66</v>
      </c>
      <c r="AA159" s="578"/>
      <c r="AB159" s="580" t="s">
        <v>68</v>
      </c>
      <c r="AC159" s="579"/>
      <c r="AD159" s="580" t="s">
        <v>68</v>
      </c>
      <c r="AE159" s="579"/>
      <c r="AF159" s="583" t="s">
        <v>1035</v>
      </c>
      <c r="AG159" s="584" t="s">
        <v>63</v>
      </c>
      <c r="AH159" s="580" t="s">
        <v>63</v>
      </c>
      <c r="AI159" s="580" t="s">
        <v>63</v>
      </c>
      <c r="AJ159" s="580" t="s">
        <v>66</v>
      </c>
      <c r="AK159" s="580" t="s">
        <v>66</v>
      </c>
      <c r="AL159" s="580" t="s">
        <v>63</v>
      </c>
      <c r="AM159" s="585" t="s">
        <v>66</v>
      </c>
      <c r="AN159" s="586" t="s">
        <v>109</v>
      </c>
      <c r="AO159" s="579" t="s">
        <v>110</v>
      </c>
      <c r="AP159" s="579" t="s">
        <v>111</v>
      </c>
      <c r="AQ159" s="579"/>
      <c r="AR159" s="579" t="s">
        <v>112</v>
      </c>
      <c r="AS159" s="579"/>
      <c r="AT159" s="587"/>
      <c r="AU159" s="584" t="s">
        <v>74</v>
      </c>
      <c r="AV159" s="578"/>
      <c r="AW159" s="588"/>
      <c r="AX159" s="588"/>
      <c r="AY159" s="588"/>
      <c r="AZ159" s="589" t="s">
        <v>846</v>
      </c>
      <c r="BA159" s="589" t="s">
        <v>847</v>
      </c>
      <c r="BB159" s="589" t="s">
        <v>1036</v>
      </c>
      <c r="BC159" s="590">
        <v>0</v>
      </c>
      <c r="BD159" s="591"/>
    </row>
    <row r="160" spans="1:56" s="560" customFormat="1" ht="16.5" customHeight="1">
      <c r="A160" s="576">
        <v>2024</v>
      </c>
      <c r="B160" s="577" t="s">
        <v>1038</v>
      </c>
      <c r="C160" s="562" t="s">
        <v>1002</v>
      </c>
      <c r="D160" s="562" t="s">
        <v>2415</v>
      </c>
      <c r="E160" s="578" t="s">
        <v>1039</v>
      </c>
      <c r="F160" s="579" t="s">
        <v>170</v>
      </c>
      <c r="G160" s="578" t="s">
        <v>2187</v>
      </c>
      <c r="H160" s="579" t="s">
        <v>1040</v>
      </c>
      <c r="I160" s="579" t="s">
        <v>58</v>
      </c>
      <c r="J160" s="579" t="s">
        <v>839</v>
      </c>
      <c r="K160" s="579" t="s">
        <v>1979</v>
      </c>
      <c r="L160" s="578" t="s">
        <v>841</v>
      </c>
      <c r="M160" s="580" t="s">
        <v>62</v>
      </c>
      <c r="N160" s="580" t="s">
        <v>280</v>
      </c>
      <c r="O160" s="581">
        <v>6041</v>
      </c>
      <c r="P160" s="581">
        <v>3856</v>
      </c>
      <c r="Q160" s="582"/>
      <c r="R160" s="579" t="s">
        <v>662</v>
      </c>
      <c r="S160" s="579" t="s">
        <v>151</v>
      </c>
      <c r="T160" s="580" t="s">
        <v>66</v>
      </c>
      <c r="U160" s="580" t="s">
        <v>66</v>
      </c>
      <c r="V160" s="580" t="s">
        <v>66</v>
      </c>
      <c r="W160" s="580" t="s">
        <v>66</v>
      </c>
      <c r="X160" s="580" t="s">
        <v>66</v>
      </c>
      <c r="Y160" s="580" t="s">
        <v>66</v>
      </c>
      <c r="Z160" s="580" t="s">
        <v>66</v>
      </c>
      <c r="AA160" s="578"/>
      <c r="AB160" s="580" t="s">
        <v>68</v>
      </c>
      <c r="AC160" s="579"/>
      <c r="AD160" s="580" t="s">
        <v>68</v>
      </c>
      <c r="AE160" s="579"/>
      <c r="AF160" s="583" t="s">
        <v>1041</v>
      </c>
      <c r="AG160" s="584" t="s">
        <v>63</v>
      </c>
      <c r="AH160" s="580" t="s">
        <v>63</v>
      </c>
      <c r="AI160" s="580" t="s">
        <v>63</v>
      </c>
      <c r="AJ160" s="580" t="s">
        <v>63</v>
      </c>
      <c r="AK160" s="580" t="s">
        <v>66</v>
      </c>
      <c r="AL160" s="580" t="s">
        <v>63</v>
      </c>
      <c r="AM160" s="585" t="s">
        <v>66</v>
      </c>
      <c r="AN160" s="586" t="s">
        <v>164</v>
      </c>
      <c r="AO160" s="579" t="s">
        <v>71</v>
      </c>
      <c r="AP160" s="579" t="s">
        <v>72</v>
      </c>
      <c r="AQ160" s="579"/>
      <c r="AR160" s="579" t="s">
        <v>121</v>
      </c>
      <c r="AS160" s="579"/>
      <c r="AT160" s="587"/>
      <c r="AU160" s="584" t="s">
        <v>74</v>
      </c>
      <c r="AV160" s="578"/>
      <c r="AW160" s="588"/>
      <c r="AX160" s="588"/>
      <c r="AY160" s="588"/>
      <c r="AZ160" s="589" t="s">
        <v>846</v>
      </c>
      <c r="BA160" s="589" t="s">
        <v>847</v>
      </c>
      <c r="BB160" s="589" t="s">
        <v>1042</v>
      </c>
      <c r="BC160" s="590">
        <v>0</v>
      </c>
      <c r="BD160" s="591"/>
    </row>
    <row r="161" spans="1:56" s="560" customFormat="1" ht="16.5" customHeight="1">
      <c r="A161" s="576">
        <v>2024</v>
      </c>
      <c r="B161" s="577" t="s">
        <v>2076</v>
      </c>
      <c r="C161" s="577" t="s">
        <v>1007</v>
      </c>
      <c r="D161" s="562" t="s">
        <v>2415</v>
      </c>
      <c r="E161" s="578" t="s">
        <v>1045</v>
      </c>
      <c r="F161" s="579" t="s">
        <v>170</v>
      </c>
      <c r="G161" s="578" t="s">
        <v>1046</v>
      </c>
      <c r="H161" s="579" t="s">
        <v>1048</v>
      </c>
      <c r="I161" s="579" t="s">
        <v>58</v>
      </c>
      <c r="J161" s="579" t="s">
        <v>839</v>
      </c>
      <c r="K161" s="579" t="s">
        <v>1979</v>
      </c>
      <c r="L161" s="578" t="s">
        <v>1049</v>
      </c>
      <c r="M161" s="580" t="s">
        <v>892</v>
      </c>
      <c r="N161" s="580" t="s">
        <v>235</v>
      </c>
      <c r="O161" s="581">
        <v>5690.29</v>
      </c>
      <c r="P161" s="581">
        <v>3006.91</v>
      </c>
      <c r="Q161" s="582"/>
      <c r="R161" s="579" t="s">
        <v>662</v>
      </c>
      <c r="S161" s="579" t="s">
        <v>151</v>
      </c>
      <c r="T161" s="580" t="s">
        <v>66</v>
      </c>
      <c r="U161" s="580" t="s">
        <v>66</v>
      </c>
      <c r="V161" s="580" t="s">
        <v>66</v>
      </c>
      <c r="W161" s="580" t="s">
        <v>66</v>
      </c>
      <c r="X161" s="580" t="s">
        <v>66</v>
      </c>
      <c r="Y161" s="580" t="s">
        <v>66</v>
      </c>
      <c r="Z161" s="580" t="s">
        <v>66</v>
      </c>
      <c r="AA161" s="578"/>
      <c r="AB161" s="580" t="s">
        <v>68</v>
      </c>
      <c r="AC161" s="579"/>
      <c r="AD161" s="580" t="s">
        <v>68</v>
      </c>
      <c r="AE161" s="579"/>
      <c r="AF161" s="587" t="s">
        <v>1050</v>
      </c>
      <c r="AG161" s="584" t="s">
        <v>66</v>
      </c>
      <c r="AH161" s="580" t="s">
        <v>63</v>
      </c>
      <c r="AI161" s="580" t="s">
        <v>63</v>
      </c>
      <c r="AJ161" s="580" t="s">
        <v>63</v>
      </c>
      <c r="AK161" s="580" t="s">
        <v>63</v>
      </c>
      <c r="AL161" s="580" t="s">
        <v>66</v>
      </c>
      <c r="AM161" s="585" t="s">
        <v>66</v>
      </c>
      <c r="AN161" s="586" t="s">
        <v>1891</v>
      </c>
      <c r="AO161" s="579" t="s">
        <v>71</v>
      </c>
      <c r="AP161" s="579" t="s">
        <v>72</v>
      </c>
      <c r="AQ161" s="579"/>
      <c r="AR161" s="579" t="s">
        <v>435</v>
      </c>
      <c r="AS161" s="579"/>
      <c r="AT161" s="587"/>
      <c r="AU161" s="584" t="s">
        <v>74</v>
      </c>
      <c r="AV161" s="578"/>
      <c r="AW161" s="588"/>
      <c r="AX161" s="588"/>
      <c r="AY161" s="588"/>
      <c r="AZ161" s="589" t="s">
        <v>1051</v>
      </c>
      <c r="BA161" s="589" t="s">
        <v>1052</v>
      </c>
      <c r="BB161" s="589" t="s">
        <v>1053</v>
      </c>
      <c r="BC161" s="590">
        <v>11</v>
      </c>
      <c r="BD161" s="591"/>
    </row>
    <row r="162" spans="1:56" s="560" customFormat="1" ht="16.5" customHeight="1">
      <c r="A162" s="561">
        <v>2024</v>
      </c>
      <c r="B162" s="577" t="s">
        <v>2138</v>
      </c>
      <c r="C162" s="562" t="s">
        <v>1012</v>
      </c>
      <c r="D162" s="562" t="s">
        <v>2415</v>
      </c>
      <c r="E162" s="578" t="s">
        <v>2093</v>
      </c>
      <c r="F162" s="579" t="s">
        <v>2085</v>
      </c>
      <c r="G162" s="578" t="s">
        <v>2450</v>
      </c>
      <c r="H162" s="579" t="s">
        <v>2451</v>
      </c>
      <c r="I162" s="579" t="s">
        <v>2086</v>
      </c>
      <c r="J162" s="579" t="s">
        <v>1981</v>
      </c>
      <c r="K162" s="579" t="s">
        <v>1979</v>
      </c>
      <c r="L162" s="578" t="s">
        <v>2275</v>
      </c>
      <c r="M162" s="580" t="s">
        <v>2074</v>
      </c>
      <c r="N162" s="580" t="s">
        <v>2074</v>
      </c>
      <c r="O162" s="581">
        <v>3288.61</v>
      </c>
      <c r="P162" s="581">
        <v>2813.28</v>
      </c>
      <c r="Q162" s="582"/>
      <c r="R162" s="579" t="s">
        <v>130</v>
      </c>
      <c r="S162" s="579" t="s">
        <v>151</v>
      </c>
      <c r="T162" s="580" t="s">
        <v>1910</v>
      </c>
      <c r="U162" s="580" t="s">
        <v>1910</v>
      </c>
      <c r="V162" s="580" t="s">
        <v>1910</v>
      </c>
      <c r="W162" s="580" t="s">
        <v>1910</v>
      </c>
      <c r="X162" s="580" t="s">
        <v>1910</v>
      </c>
      <c r="Y162" s="580" t="s">
        <v>1910</v>
      </c>
      <c r="Z162" s="580" t="s">
        <v>1910</v>
      </c>
      <c r="AA162" s="578"/>
      <c r="AB162" s="580" t="s">
        <v>68</v>
      </c>
      <c r="AC162" s="579"/>
      <c r="AD162" s="580" t="s">
        <v>68</v>
      </c>
      <c r="AE162" s="579"/>
      <c r="AF162" s="587" t="s">
        <v>2276</v>
      </c>
      <c r="AG162" s="584" t="s">
        <v>1910</v>
      </c>
      <c r="AH162" s="580" t="s">
        <v>1846</v>
      </c>
      <c r="AI162" s="580" t="s">
        <v>1846</v>
      </c>
      <c r="AJ162" s="580" t="s">
        <v>1846</v>
      </c>
      <c r="AK162" s="580" t="s">
        <v>1910</v>
      </c>
      <c r="AL162" s="580" t="s">
        <v>1910</v>
      </c>
      <c r="AM162" s="585" t="s">
        <v>1910</v>
      </c>
      <c r="AN162" s="586" t="s">
        <v>2277</v>
      </c>
      <c r="AO162" s="579" t="s">
        <v>1921</v>
      </c>
      <c r="AP162" s="579" t="s">
        <v>1922</v>
      </c>
      <c r="AQ162" s="579" t="s">
        <v>2278</v>
      </c>
      <c r="AR162" s="579"/>
      <c r="AS162" s="579"/>
      <c r="AT162" s="587"/>
      <c r="AU162" s="584" t="s">
        <v>1924</v>
      </c>
      <c r="AV162" s="578"/>
      <c r="AW162" s="588"/>
      <c r="AX162" s="588"/>
      <c r="AY162" s="588"/>
      <c r="AZ162" s="589" t="s">
        <v>1051</v>
      </c>
      <c r="BA162" s="589" t="s">
        <v>1052</v>
      </c>
      <c r="BB162" s="589" t="s">
        <v>2279</v>
      </c>
      <c r="BC162" s="590">
        <v>13</v>
      </c>
      <c r="BD162" s="591"/>
    </row>
    <row r="163" spans="1:56" s="560" customFormat="1" ht="16.5" customHeight="1">
      <c r="A163" s="576">
        <v>2024</v>
      </c>
      <c r="B163" s="577" t="s">
        <v>1055</v>
      </c>
      <c r="C163" s="577" t="s">
        <v>1016</v>
      </c>
      <c r="D163" s="562" t="s">
        <v>2415</v>
      </c>
      <c r="E163" s="578" t="s">
        <v>1056</v>
      </c>
      <c r="F163" s="579" t="s">
        <v>2085</v>
      </c>
      <c r="G163" s="611" t="s">
        <v>2188</v>
      </c>
      <c r="H163" s="579" t="s">
        <v>1059</v>
      </c>
      <c r="I163" s="579" t="s">
        <v>58</v>
      </c>
      <c r="J163" s="579" t="s">
        <v>1060</v>
      </c>
      <c r="K163" s="579" t="s">
        <v>1061</v>
      </c>
      <c r="L163" s="578" t="s">
        <v>1062</v>
      </c>
      <c r="M163" s="580" t="s">
        <v>874</v>
      </c>
      <c r="N163" s="580" t="s">
        <v>160</v>
      </c>
      <c r="O163" s="581">
        <v>1190</v>
      </c>
      <c r="P163" s="581">
        <v>1220.77</v>
      </c>
      <c r="Q163" s="582"/>
      <c r="R163" s="579" t="s">
        <v>130</v>
      </c>
      <c r="S163" s="579" t="s">
        <v>151</v>
      </c>
      <c r="T163" s="580" t="s">
        <v>63</v>
      </c>
      <c r="U163" s="580" t="s">
        <v>63</v>
      </c>
      <c r="V163" s="580" t="s">
        <v>63</v>
      </c>
      <c r="W163" s="580" t="s">
        <v>63</v>
      </c>
      <c r="X163" s="580" t="s">
        <v>63</v>
      </c>
      <c r="Y163" s="580" t="s">
        <v>66</v>
      </c>
      <c r="Z163" s="580" t="s">
        <v>66</v>
      </c>
      <c r="AA163" s="578"/>
      <c r="AB163" s="580" t="s">
        <v>68</v>
      </c>
      <c r="AC163" s="579"/>
      <c r="AD163" s="580" t="s">
        <v>68</v>
      </c>
      <c r="AE163" s="579"/>
      <c r="AF163" s="587" t="s">
        <v>1063</v>
      </c>
      <c r="AG163" s="584" t="s">
        <v>63</v>
      </c>
      <c r="AH163" s="580" t="s">
        <v>63</v>
      </c>
      <c r="AI163" s="580" t="s">
        <v>63</v>
      </c>
      <c r="AJ163" s="580" t="s">
        <v>66</v>
      </c>
      <c r="AK163" s="580" t="s">
        <v>66</v>
      </c>
      <c r="AL163" s="580" t="s">
        <v>63</v>
      </c>
      <c r="AM163" s="585" t="s">
        <v>66</v>
      </c>
      <c r="AN163" s="586" t="s">
        <v>258</v>
      </c>
      <c r="AO163" s="579" t="s">
        <v>71</v>
      </c>
      <c r="AP163" s="579" t="s">
        <v>72</v>
      </c>
      <c r="AQ163" s="579" t="s">
        <v>268</v>
      </c>
      <c r="AR163" s="579"/>
      <c r="AS163" s="579"/>
      <c r="AT163" s="587"/>
      <c r="AU163" s="584" t="s">
        <v>74</v>
      </c>
      <c r="AV163" s="578"/>
      <c r="AW163" s="588"/>
      <c r="AX163" s="588"/>
      <c r="AY163" s="588"/>
      <c r="AZ163" s="589" t="s">
        <v>1064</v>
      </c>
      <c r="BA163" s="589" t="s">
        <v>1065</v>
      </c>
      <c r="BB163" s="589" t="s">
        <v>1066</v>
      </c>
      <c r="BC163" s="590">
        <v>7</v>
      </c>
      <c r="BD163" s="591"/>
    </row>
    <row r="164" spans="1:56" s="560" customFormat="1" ht="16.5" customHeight="1">
      <c r="A164" s="576">
        <v>2024</v>
      </c>
      <c r="B164" s="577" t="s">
        <v>1071</v>
      </c>
      <c r="C164" s="562" t="s">
        <v>1021</v>
      </c>
      <c r="D164" s="562" t="s">
        <v>2415</v>
      </c>
      <c r="E164" s="578" t="s">
        <v>1072</v>
      </c>
      <c r="F164" s="579" t="s">
        <v>2085</v>
      </c>
      <c r="G164" s="611" t="s">
        <v>2188</v>
      </c>
      <c r="H164" s="579" t="s">
        <v>1073</v>
      </c>
      <c r="I164" s="579" t="s">
        <v>58</v>
      </c>
      <c r="J164" s="579" t="s">
        <v>1060</v>
      </c>
      <c r="K164" s="579" t="s">
        <v>2329</v>
      </c>
      <c r="L164" s="578" t="s">
        <v>2089</v>
      </c>
      <c r="M164" s="580" t="s">
        <v>1074</v>
      </c>
      <c r="N164" s="580" t="s">
        <v>946</v>
      </c>
      <c r="O164" s="581">
        <v>3141.07</v>
      </c>
      <c r="P164" s="581">
        <v>1873.72</v>
      </c>
      <c r="Q164" s="582"/>
      <c r="R164" s="579" t="s">
        <v>85</v>
      </c>
      <c r="S164" s="579" t="s">
        <v>151</v>
      </c>
      <c r="T164" s="580" t="s">
        <v>63</v>
      </c>
      <c r="U164" s="580" t="s">
        <v>63</v>
      </c>
      <c r="V164" s="580" t="s">
        <v>63</v>
      </c>
      <c r="W164" s="580" t="s">
        <v>63</v>
      </c>
      <c r="X164" s="580" t="s">
        <v>63</v>
      </c>
      <c r="Y164" s="580" t="s">
        <v>66</v>
      </c>
      <c r="Z164" s="580" t="s">
        <v>66</v>
      </c>
      <c r="AA164" s="578" t="s">
        <v>1884</v>
      </c>
      <c r="AB164" s="580" t="s">
        <v>68</v>
      </c>
      <c r="AC164" s="579"/>
      <c r="AD164" s="580" t="s">
        <v>68</v>
      </c>
      <c r="AE164" s="579"/>
      <c r="AF164" s="587" t="s">
        <v>1063</v>
      </c>
      <c r="AG164" s="584" t="s">
        <v>63</v>
      </c>
      <c r="AH164" s="580" t="s">
        <v>63</v>
      </c>
      <c r="AI164" s="580" t="s">
        <v>63</v>
      </c>
      <c r="AJ164" s="580" t="s">
        <v>66</v>
      </c>
      <c r="AK164" s="580" t="s">
        <v>66</v>
      </c>
      <c r="AL164" s="580" t="s">
        <v>63</v>
      </c>
      <c r="AM164" s="585" t="s">
        <v>63</v>
      </c>
      <c r="AN164" s="586" t="s">
        <v>86</v>
      </c>
      <c r="AO164" s="579" t="s">
        <v>71</v>
      </c>
      <c r="AP164" s="579" t="s">
        <v>72</v>
      </c>
      <c r="AQ164" s="579"/>
      <c r="AR164" s="579"/>
      <c r="AS164" s="579"/>
      <c r="AT164" s="587"/>
      <c r="AU164" s="584" t="s">
        <v>74</v>
      </c>
      <c r="AV164" s="578"/>
      <c r="AW164" s="588"/>
      <c r="AX164" s="588"/>
      <c r="AY164" s="588"/>
      <c r="AZ164" s="589" t="s">
        <v>1064</v>
      </c>
      <c r="BA164" s="589" t="s">
        <v>1065</v>
      </c>
      <c r="BB164" s="589" t="s">
        <v>1075</v>
      </c>
      <c r="BC164" s="590">
        <v>16</v>
      </c>
      <c r="BD164" s="591"/>
    </row>
    <row r="165" spans="1:56" s="560" customFormat="1" ht="16.5" customHeight="1">
      <c r="A165" s="561">
        <v>2024</v>
      </c>
      <c r="B165" s="577" t="s">
        <v>1077</v>
      </c>
      <c r="C165" s="577" t="s">
        <v>1025</v>
      </c>
      <c r="D165" s="562" t="s">
        <v>2415</v>
      </c>
      <c r="E165" s="578" t="s">
        <v>1078</v>
      </c>
      <c r="F165" s="579" t="s">
        <v>2085</v>
      </c>
      <c r="G165" s="611" t="s">
        <v>2188</v>
      </c>
      <c r="H165" s="579" t="s">
        <v>432</v>
      </c>
      <c r="I165" s="579" t="s">
        <v>58</v>
      </c>
      <c r="J165" s="579" t="s">
        <v>1060</v>
      </c>
      <c r="K165" s="579" t="s">
        <v>1061</v>
      </c>
      <c r="L165" s="578" t="s">
        <v>1062</v>
      </c>
      <c r="M165" s="580" t="s">
        <v>275</v>
      </c>
      <c r="N165" s="580" t="s">
        <v>275</v>
      </c>
      <c r="O165" s="581">
        <v>3882.37</v>
      </c>
      <c r="P165" s="581">
        <v>875.33</v>
      </c>
      <c r="Q165" s="582"/>
      <c r="R165" s="579" t="s">
        <v>251</v>
      </c>
      <c r="S165" s="579" t="s">
        <v>65</v>
      </c>
      <c r="T165" s="580" t="s">
        <v>63</v>
      </c>
      <c r="U165" s="580" t="s">
        <v>63</v>
      </c>
      <c r="V165" s="580" t="s">
        <v>63</v>
      </c>
      <c r="W165" s="580" t="s">
        <v>63</v>
      </c>
      <c r="X165" s="580" t="s">
        <v>63</v>
      </c>
      <c r="Y165" s="580" t="s">
        <v>66</v>
      </c>
      <c r="Z165" s="580" t="s">
        <v>66</v>
      </c>
      <c r="AA165" s="578" t="s">
        <v>1079</v>
      </c>
      <c r="AB165" s="580" t="s">
        <v>68</v>
      </c>
      <c r="AC165" s="579"/>
      <c r="AD165" s="580" t="s">
        <v>68</v>
      </c>
      <c r="AE165" s="579"/>
      <c r="AF165" s="587" t="s">
        <v>1063</v>
      </c>
      <c r="AG165" s="584" t="s">
        <v>63</v>
      </c>
      <c r="AH165" s="580" t="s">
        <v>63</v>
      </c>
      <c r="AI165" s="580" t="s">
        <v>63</v>
      </c>
      <c r="AJ165" s="580" t="s">
        <v>66</v>
      </c>
      <c r="AK165" s="580" t="s">
        <v>66</v>
      </c>
      <c r="AL165" s="580" t="s">
        <v>63</v>
      </c>
      <c r="AM165" s="585" t="s">
        <v>66</v>
      </c>
      <c r="AN165" s="586" t="s">
        <v>434</v>
      </c>
      <c r="AO165" s="579" t="s">
        <v>71</v>
      </c>
      <c r="AP165" s="579" t="s">
        <v>72</v>
      </c>
      <c r="AQ165" s="579"/>
      <c r="AR165" s="579" t="s">
        <v>435</v>
      </c>
      <c r="AS165" s="579"/>
      <c r="AT165" s="587"/>
      <c r="AU165" s="584" t="s">
        <v>74</v>
      </c>
      <c r="AV165" s="578"/>
      <c r="AW165" s="588"/>
      <c r="AX165" s="588"/>
      <c r="AY165" s="588"/>
      <c r="AZ165" s="589" t="s">
        <v>1064</v>
      </c>
      <c r="BA165" s="589" t="s">
        <v>1065</v>
      </c>
      <c r="BB165" s="589" t="s">
        <v>1080</v>
      </c>
      <c r="BC165" s="590">
        <v>3</v>
      </c>
      <c r="BD165" s="591"/>
    </row>
    <row r="166" spans="1:56" s="560" customFormat="1" ht="16.5" customHeight="1">
      <c r="A166" s="576">
        <v>2024</v>
      </c>
      <c r="B166" s="577" t="s">
        <v>1083</v>
      </c>
      <c r="C166" s="562" t="s">
        <v>1029</v>
      </c>
      <c r="D166" s="562" t="s">
        <v>2415</v>
      </c>
      <c r="E166" s="578" t="s">
        <v>1084</v>
      </c>
      <c r="F166" s="579" t="s">
        <v>2085</v>
      </c>
      <c r="G166" s="611" t="s">
        <v>2188</v>
      </c>
      <c r="H166" s="579" t="s">
        <v>1085</v>
      </c>
      <c r="I166" s="579" t="s">
        <v>58</v>
      </c>
      <c r="J166" s="579" t="s">
        <v>1060</v>
      </c>
      <c r="K166" s="579" t="s">
        <v>1061</v>
      </c>
      <c r="L166" s="578" t="s">
        <v>1062</v>
      </c>
      <c r="M166" s="580" t="s">
        <v>160</v>
      </c>
      <c r="N166" s="580" t="s">
        <v>160</v>
      </c>
      <c r="O166" s="581">
        <v>1051.07</v>
      </c>
      <c r="P166" s="581">
        <v>1149.3399999999999</v>
      </c>
      <c r="Q166" s="582"/>
      <c r="R166" s="579" t="s">
        <v>161</v>
      </c>
      <c r="S166" s="579" t="s">
        <v>151</v>
      </c>
      <c r="T166" s="580" t="s">
        <v>63</v>
      </c>
      <c r="U166" s="580" t="s">
        <v>63</v>
      </c>
      <c r="V166" s="580" t="s">
        <v>63</v>
      </c>
      <c r="W166" s="580" t="s">
        <v>63</v>
      </c>
      <c r="X166" s="580" t="s">
        <v>63</v>
      </c>
      <c r="Y166" s="580" t="s">
        <v>66</v>
      </c>
      <c r="Z166" s="580" t="s">
        <v>66</v>
      </c>
      <c r="AA166" s="578"/>
      <c r="AB166" s="580" t="s">
        <v>68</v>
      </c>
      <c r="AC166" s="579"/>
      <c r="AD166" s="580" t="s">
        <v>68</v>
      </c>
      <c r="AE166" s="579"/>
      <c r="AF166" s="587" t="s">
        <v>1063</v>
      </c>
      <c r="AG166" s="584" t="s">
        <v>63</v>
      </c>
      <c r="AH166" s="580" t="s">
        <v>63</v>
      </c>
      <c r="AI166" s="580" t="s">
        <v>66</v>
      </c>
      <c r="AJ166" s="580" t="s">
        <v>66</v>
      </c>
      <c r="AK166" s="580" t="s">
        <v>66</v>
      </c>
      <c r="AL166" s="580" t="s">
        <v>63</v>
      </c>
      <c r="AM166" s="585" t="s">
        <v>66</v>
      </c>
      <c r="AN166" s="586" t="s">
        <v>164</v>
      </c>
      <c r="AO166" s="579" t="s">
        <v>71</v>
      </c>
      <c r="AP166" s="579" t="s">
        <v>72</v>
      </c>
      <c r="AQ166" s="579"/>
      <c r="AR166" s="579" t="s">
        <v>73</v>
      </c>
      <c r="AS166" s="579"/>
      <c r="AT166" s="587"/>
      <c r="AU166" s="584" t="s">
        <v>74</v>
      </c>
      <c r="AV166" s="578"/>
      <c r="AW166" s="588"/>
      <c r="AX166" s="588"/>
      <c r="AY166" s="588"/>
      <c r="AZ166" s="589" t="s">
        <v>1064</v>
      </c>
      <c r="BA166" s="589" t="s">
        <v>1065</v>
      </c>
      <c r="BB166" s="589" t="s">
        <v>1086</v>
      </c>
      <c r="BC166" s="590">
        <v>3</v>
      </c>
      <c r="BD166" s="591"/>
    </row>
    <row r="167" spans="1:56" s="560" customFormat="1" ht="16.5" customHeight="1">
      <c r="A167" s="576">
        <v>2024</v>
      </c>
      <c r="B167" s="577" t="s">
        <v>1088</v>
      </c>
      <c r="C167" s="577" t="s">
        <v>1037</v>
      </c>
      <c r="D167" s="562" t="s">
        <v>2415</v>
      </c>
      <c r="E167" s="578" t="s">
        <v>1089</v>
      </c>
      <c r="F167" s="579" t="s">
        <v>2085</v>
      </c>
      <c r="G167" s="611" t="s">
        <v>2188</v>
      </c>
      <c r="H167" s="579" t="s">
        <v>1090</v>
      </c>
      <c r="I167" s="579" t="s">
        <v>58</v>
      </c>
      <c r="J167" s="579" t="s">
        <v>1060</v>
      </c>
      <c r="K167" s="579" t="s">
        <v>1061</v>
      </c>
      <c r="L167" s="578" t="s">
        <v>1062</v>
      </c>
      <c r="M167" s="580" t="s">
        <v>280</v>
      </c>
      <c r="N167" s="580" t="s">
        <v>1863</v>
      </c>
      <c r="O167" s="581">
        <v>2454.16</v>
      </c>
      <c r="P167" s="581">
        <v>1096.3</v>
      </c>
      <c r="Q167" s="582"/>
      <c r="R167" s="579" t="s">
        <v>245</v>
      </c>
      <c r="S167" s="579" t="s">
        <v>151</v>
      </c>
      <c r="T167" s="580" t="s">
        <v>63</v>
      </c>
      <c r="U167" s="580" t="s">
        <v>63</v>
      </c>
      <c r="V167" s="580" t="s">
        <v>63</v>
      </c>
      <c r="W167" s="580" t="s">
        <v>63</v>
      </c>
      <c r="X167" s="580" t="s">
        <v>63</v>
      </c>
      <c r="Y167" s="580" t="s">
        <v>66</v>
      </c>
      <c r="Z167" s="580" t="s">
        <v>66</v>
      </c>
      <c r="AA167" s="578"/>
      <c r="AB167" s="580" t="s">
        <v>68</v>
      </c>
      <c r="AC167" s="579"/>
      <c r="AD167" s="580" t="s">
        <v>68</v>
      </c>
      <c r="AE167" s="579"/>
      <c r="AF167" s="587" t="s">
        <v>1063</v>
      </c>
      <c r="AG167" s="584" t="s">
        <v>63</v>
      </c>
      <c r="AH167" s="580" t="s">
        <v>63</v>
      </c>
      <c r="AI167" s="580" t="s">
        <v>63</v>
      </c>
      <c r="AJ167" s="580" t="s">
        <v>66</v>
      </c>
      <c r="AK167" s="580" t="s">
        <v>1846</v>
      </c>
      <c r="AL167" s="580" t="s">
        <v>63</v>
      </c>
      <c r="AM167" s="585" t="s">
        <v>63</v>
      </c>
      <c r="AN167" s="586" t="s">
        <v>164</v>
      </c>
      <c r="AO167" s="579" t="s">
        <v>71</v>
      </c>
      <c r="AP167" s="579" t="s">
        <v>72</v>
      </c>
      <c r="AQ167" s="579"/>
      <c r="AR167" s="579" t="s">
        <v>121</v>
      </c>
      <c r="AS167" s="579"/>
      <c r="AT167" s="587"/>
      <c r="AU167" s="584" t="s">
        <v>74</v>
      </c>
      <c r="AV167" s="578"/>
      <c r="AW167" s="588"/>
      <c r="AX167" s="588"/>
      <c r="AY167" s="588"/>
      <c r="AZ167" s="589" t="s">
        <v>1064</v>
      </c>
      <c r="BA167" s="589" t="s">
        <v>1065</v>
      </c>
      <c r="BB167" s="589" t="s">
        <v>1864</v>
      </c>
      <c r="BC167" s="590">
        <v>7</v>
      </c>
      <c r="BD167" s="591"/>
    </row>
    <row r="168" spans="1:56" s="560" customFormat="1" ht="16.5" customHeight="1">
      <c r="A168" s="561">
        <v>2024</v>
      </c>
      <c r="B168" s="577" t="s">
        <v>1092</v>
      </c>
      <c r="C168" s="562" t="s">
        <v>1043</v>
      </c>
      <c r="D168" s="562" t="s">
        <v>2415</v>
      </c>
      <c r="E168" s="578" t="s">
        <v>1093</v>
      </c>
      <c r="F168" s="579" t="s">
        <v>170</v>
      </c>
      <c r="G168" s="612" t="s">
        <v>2188</v>
      </c>
      <c r="H168" s="579" t="s">
        <v>2065</v>
      </c>
      <c r="I168" s="579" t="s">
        <v>58</v>
      </c>
      <c r="J168" s="579" t="s">
        <v>1060</v>
      </c>
      <c r="K168" s="579" t="s">
        <v>1094</v>
      </c>
      <c r="L168" s="578" t="s">
        <v>1095</v>
      </c>
      <c r="M168" s="580" t="s">
        <v>1096</v>
      </c>
      <c r="N168" s="580" t="s">
        <v>280</v>
      </c>
      <c r="O168" s="581">
        <v>2951</v>
      </c>
      <c r="P168" s="581">
        <v>832</v>
      </c>
      <c r="Q168" s="582"/>
      <c r="R168" s="579" t="s">
        <v>130</v>
      </c>
      <c r="S168" s="579" t="s">
        <v>1917</v>
      </c>
      <c r="T168" s="580" t="s">
        <v>63</v>
      </c>
      <c r="U168" s="580" t="s">
        <v>63</v>
      </c>
      <c r="V168" s="580" t="s">
        <v>63</v>
      </c>
      <c r="W168" s="580" t="s">
        <v>63</v>
      </c>
      <c r="X168" s="580" t="s">
        <v>63</v>
      </c>
      <c r="Y168" s="580" t="s">
        <v>66</v>
      </c>
      <c r="Z168" s="580" t="s">
        <v>66</v>
      </c>
      <c r="AA168" s="578"/>
      <c r="AB168" s="580" t="s">
        <v>68</v>
      </c>
      <c r="AC168" s="579"/>
      <c r="AD168" s="580" t="s">
        <v>68</v>
      </c>
      <c r="AE168" s="579"/>
      <c r="AF168" s="583" t="s">
        <v>1097</v>
      </c>
      <c r="AG168" s="584" t="s">
        <v>66</v>
      </c>
      <c r="AH168" s="580" t="s">
        <v>63</v>
      </c>
      <c r="AI168" s="580" t="s">
        <v>66</v>
      </c>
      <c r="AJ168" s="580" t="s">
        <v>66</v>
      </c>
      <c r="AK168" s="580" t="s">
        <v>66</v>
      </c>
      <c r="AL168" s="580" t="s">
        <v>63</v>
      </c>
      <c r="AM168" s="585" t="s">
        <v>66</v>
      </c>
      <c r="AN168" s="586" t="s">
        <v>109</v>
      </c>
      <c r="AO168" s="579" t="s">
        <v>110</v>
      </c>
      <c r="AP168" s="579" t="s">
        <v>111</v>
      </c>
      <c r="AQ168" s="579"/>
      <c r="AR168" s="579" t="s">
        <v>112</v>
      </c>
      <c r="AS168" s="579"/>
      <c r="AT168" s="587"/>
      <c r="AU168" s="584" t="s">
        <v>74</v>
      </c>
      <c r="AV168" s="578"/>
      <c r="AW168" s="588"/>
      <c r="AX168" s="588"/>
      <c r="AY168" s="588"/>
      <c r="AZ168" s="589" t="s">
        <v>1098</v>
      </c>
      <c r="BA168" s="589" t="s">
        <v>847</v>
      </c>
      <c r="BB168" s="589" t="s">
        <v>1099</v>
      </c>
      <c r="BC168" s="590">
        <v>0</v>
      </c>
      <c r="BD168" s="591"/>
    </row>
    <row r="169" spans="1:56" s="560" customFormat="1" ht="16.5" customHeight="1">
      <c r="A169" s="576">
        <v>2024</v>
      </c>
      <c r="B169" s="577" t="s">
        <v>1104</v>
      </c>
      <c r="C169" s="577" t="s">
        <v>1054</v>
      </c>
      <c r="D169" s="562" t="s">
        <v>2415</v>
      </c>
      <c r="E169" s="578" t="s">
        <v>1105</v>
      </c>
      <c r="F169" s="579" t="s">
        <v>170</v>
      </c>
      <c r="G169" s="612" t="s">
        <v>2188</v>
      </c>
      <c r="H169" s="579" t="s">
        <v>1106</v>
      </c>
      <c r="I169" s="579" t="s">
        <v>58</v>
      </c>
      <c r="J169" s="579" t="s">
        <v>1060</v>
      </c>
      <c r="K169" s="579" t="s">
        <v>1094</v>
      </c>
      <c r="L169" s="578" t="s">
        <v>1095</v>
      </c>
      <c r="M169" s="580" t="s">
        <v>1074</v>
      </c>
      <c r="N169" s="580" t="s">
        <v>1074</v>
      </c>
      <c r="O169" s="581">
        <v>1739</v>
      </c>
      <c r="P169" s="581">
        <v>793</v>
      </c>
      <c r="Q169" s="582"/>
      <c r="R169" s="579" t="s">
        <v>524</v>
      </c>
      <c r="S169" s="579" t="s">
        <v>151</v>
      </c>
      <c r="T169" s="580" t="s">
        <v>63</v>
      </c>
      <c r="U169" s="580" t="s">
        <v>63</v>
      </c>
      <c r="V169" s="580" t="s">
        <v>63</v>
      </c>
      <c r="W169" s="580" t="s">
        <v>63</v>
      </c>
      <c r="X169" s="580" t="s">
        <v>63</v>
      </c>
      <c r="Y169" s="580" t="s">
        <v>66</v>
      </c>
      <c r="Z169" s="580" t="s">
        <v>66</v>
      </c>
      <c r="AA169" s="578"/>
      <c r="AB169" s="580" t="s">
        <v>68</v>
      </c>
      <c r="AC169" s="579"/>
      <c r="AD169" s="580" t="s">
        <v>68</v>
      </c>
      <c r="AE169" s="579"/>
      <c r="AF169" s="583" t="s">
        <v>1097</v>
      </c>
      <c r="AG169" s="584" t="s">
        <v>66</v>
      </c>
      <c r="AH169" s="580" t="s">
        <v>63</v>
      </c>
      <c r="AI169" s="580" t="s">
        <v>66</v>
      </c>
      <c r="AJ169" s="580" t="s">
        <v>66</v>
      </c>
      <c r="AK169" s="580" t="s">
        <v>66</v>
      </c>
      <c r="AL169" s="580" t="s">
        <v>63</v>
      </c>
      <c r="AM169" s="585" t="s">
        <v>66</v>
      </c>
      <c r="AN169" s="586" t="s">
        <v>164</v>
      </c>
      <c r="AO169" s="579" t="s">
        <v>71</v>
      </c>
      <c r="AP169" s="579" t="s">
        <v>72</v>
      </c>
      <c r="AQ169" s="579"/>
      <c r="AR169" s="579" t="s">
        <v>121</v>
      </c>
      <c r="AS169" s="579"/>
      <c r="AT169" s="587"/>
      <c r="AU169" s="584" t="s">
        <v>74</v>
      </c>
      <c r="AV169" s="578"/>
      <c r="AW169" s="588"/>
      <c r="AX169" s="588"/>
      <c r="AY169" s="588"/>
      <c r="AZ169" s="589" t="s">
        <v>1098</v>
      </c>
      <c r="BA169" s="589" t="s">
        <v>847</v>
      </c>
      <c r="BB169" s="589" t="s">
        <v>1099</v>
      </c>
      <c r="BC169" s="590">
        <v>0</v>
      </c>
      <c r="BD169" s="591"/>
    </row>
    <row r="170" spans="1:56" s="560" customFormat="1" ht="16.5" customHeight="1">
      <c r="A170" s="576">
        <v>2024</v>
      </c>
      <c r="B170" s="577" t="s">
        <v>1108</v>
      </c>
      <c r="C170" s="562" t="s">
        <v>1067</v>
      </c>
      <c r="D170" s="562" t="s">
        <v>2415</v>
      </c>
      <c r="E170" s="578" t="s">
        <v>1109</v>
      </c>
      <c r="F170" s="579" t="s">
        <v>170</v>
      </c>
      <c r="G170" s="612" t="s">
        <v>2188</v>
      </c>
      <c r="H170" s="579" t="s">
        <v>1110</v>
      </c>
      <c r="I170" s="579" t="s">
        <v>58</v>
      </c>
      <c r="J170" s="579" t="s">
        <v>1060</v>
      </c>
      <c r="K170" s="579" t="s">
        <v>1094</v>
      </c>
      <c r="L170" s="578" t="s">
        <v>1095</v>
      </c>
      <c r="M170" s="580" t="s">
        <v>83</v>
      </c>
      <c r="N170" s="580" t="s">
        <v>83</v>
      </c>
      <c r="O170" s="581">
        <v>1683</v>
      </c>
      <c r="P170" s="581">
        <v>517</v>
      </c>
      <c r="Q170" s="582"/>
      <c r="R170" s="579" t="s">
        <v>229</v>
      </c>
      <c r="S170" s="579" t="s">
        <v>151</v>
      </c>
      <c r="T170" s="580" t="s">
        <v>63</v>
      </c>
      <c r="U170" s="580" t="s">
        <v>63</v>
      </c>
      <c r="V170" s="580" t="s">
        <v>63</v>
      </c>
      <c r="W170" s="580" t="s">
        <v>63</v>
      </c>
      <c r="X170" s="580" t="s">
        <v>63</v>
      </c>
      <c r="Y170" s="580" t="s">
        <v>66</v>
      </c>
      <c r="Z170" s="580" t="s">
        <v>66</v>
      </c>
      <c r="AA170" s="578"/>
      <c r="AB170" s="580" t="s">
        <v>68</v>
      </c>
      <c r="AC170" s="579"/>
      <c r="AD170" s="580" t="s">
        <v>68</v>
      </c>
      <c r="AE170" s="579"/>
      <c r="AF170" s="583" t="s">
        <v>1097</v>
      </c>
      <c r="AG170" s="584" t="s">
        <v>66</v>
      </c>
      <c r="AH170" s="580" t="s">
        <v>63</v>
      </c>
      <c r="AI170" s="580" t="s">
        <v>66</v>
      </c>
      <c r="AJ170" s="580" t="s">
        <v>66</v>
      </c>
      <c r="AK170" s="580" t="s">
        <v>66</v>
      </c>
      <c r="AL170" s="580" t="s">
        <v>63</v>
      </c>
      <c r="AM170" s="585" t="s">
        <v>66</v>
      </c>
      <c r="AN170" s="586" t="s">
        <v>95</v>
      </c>
      <c r="AO170" s="579" t="s">
        <v>71</v>
      </c>
      <c r="AP170" s="579" t="s">
        <v>72</v>
      </c>
      <c r="AQ170" s="579"/>
      <c r="AR170" s="579" t="s">
        <v>73</v>
      </c>
      <c r="AS170" s="579"/>
      <c r="AT170" s="587"/>
      <c r="AU170" s="584" t="s">
        <v>74</v>
      </c>
      <c r="AV170" s="578"/>
      <c r="AW170" s="588"/>
      <c r="AX170" s="588"/>
      <c r="AY170" s="588"/>
      <c r="AZ170" s="589" t="s">
        <v>1098</v>
      </c>
      <c r="BA170" s="589" t="s">
        <v>847</v>
      </c>
      <c r="BB170" s="589" t="s">
        <v>1099</v>
      </c>
      <c r="BC170" s="590">
        <v>0</v>
      </c>
      <c r="BD170" s="591"/>
    </row>
    <row r="171" spans="1:56" s="560" customFormat="1" ht="16.5" customHeight="1">
      <c r="A171" s="561">
        <v>2024</v>
      </c>
      <c r="B171" s="577" t="s">
        <v>1121</v>
      </c>
      <c r="C171" s="577" t="s">
        <v>181</v>
      </c>
      <c r="D171" s="562" t="s">
        <v>2415</v>
      </c>
      <c r="E171" s="578" t="s">
        <v>1122</v>
      </c>
      <c r="F171" s="579" t="s">
        <v>170</v>
      </c>
      <c r="G171" s="612" t="s">
        <v>2188</v>
      </c>
      <c r="H171" s="579" t="s">
        <v>1123</v>
      </c>
      <c r="I171" s="579" t="s">
        <v>58</v>
      </c>
      <c r="J171" s="579" t="s">
        <v>1060</v>
      </c>
      <c r="K171" s="579" t="s">
        <v>1094</v>
      </c>
      <c r="L171" s="578" t="s">
        <v>1095</v>
      </c>
      <c r="M171" s="580" t="s">
        <v>286</v>
      </c>
      <c r="N171" s="580" t="s">
        <v>117</v>
      </c>
      <c r="O171" s="581">
        <v>3044</v>
      </c>
      <c r="P171" s="581">
        <v>848</v>
      </c>
      <c r="Q171" s="582"/>
      <c r="R171" s="579" t="s">
        <v>245</v>
      </c>
      <c r="S171" s="579" t="s">
        <v>151</v>
      </c>
      <c r="T171" s="580" t="s">
        <v>63</v>
      </c>
      <c r="U171" s="580" t="s">
        <v>63</v>
      </c>
      <c r="V171" s="580" t="s">
        <v>63</v>
      </c>
      <c r="W171" s="580" t="s">
        <v>63</v>
      </c>
      <c r="X171" s="580" t="s">
        <v>63</v>
      </c>
      <c r="Y171" s="580" t="s">
        <v>66</v>
      </c>
      <c r="Z171" s="580" t="s">
        <v>66</v>
      </c>
      <c r="AA171" s="578"/>
      <c r="AB171" s="580" t="s">
        <v>68</v>
      </c>
      <c r="AC171" s="579"/>
      <c r="AD171" s="580" t="s">
        <v>68</v>
      </c>
      <c r="AE171" s="579"/>
      <c r="AF171" s="583" t="s">
        <v>1097</v>
      </c>
      <c r="AG171" s="584" t="s">
        <v>66</v>
      </c>
      <c r="AH171" s="580" t="s">
        <v>63</v>
      </c>
      <c r="AI171" s="580" t="s">
        <v>66</v>
      </c>
      <c r="AJ171" s="580" t="s">
        <v>66</v>
      </c>
      <c r="AK171" s="580" t="s">
        <v>66</v>
      </c>
      <c r="AL171" s="580" t="s">
        <v>63</v>
      </c>
      <c r="AM171" s="585" t="s">
        <v>66</v>
      </c>
      <c r="AN171" s="586" t="s">
        <v>164</v>
      </c>
      <c r="AO171" s="579" t="s">
        <v>71</v>
      </c>
      <c r="AP171" s="579" t="s">
        <v>72</v>
      </c>
      <c r="AQ171" s="579"/>
      <c r="AR171" s="579" t="s">
        <v>121</v>
      </c>
      <c r="AS171" s="579"/>
      <c r="AT171" s="587"/>
      <c r="AU171" s="584" t="s">
        <v>74</v>
      </c>
      <c r="AV171" s="578"/>
      <c r="AW171" s="588"/>
      <c r="AX171" s="588"/>
      <c r="AY171" s="588"/>
      <c r="AZ171" s="589" t="s">
        <v>1098</v>
      </c>
      <c r="BA171" s="589" t="s">
        <v>847</v>
      </c>
      <c r="BB171" s="589" t="s">
        <v>1099</v>
      </c>
      <c r="BC171" s="590">
        <v>0</v>
      </c>
      <c r="BD171" s="591"/>
    </row>
    <row r="172" spans="1:56" s="560" customFormat="1" ht="16.5" customHeight="1">
      <c r="A172" s="576">
        <v>2024</v>
      </c>
      <c r="B172" s="577" t="s">
        <v>1125</v>
      </c>
      <c r="C172" s="562" t="s">
        <v>1076</v>
      </c>
      <c r="D172" s="562" t="s">
        <v>2415</v>
      </c>
      <c r="E172" s="578" t="s">
        <v>1126</v>
      </c>
      <c r="F172" s="579" t="s">
        <v>170</v>
      </c>
      <c r="G172" s="612" t="s">
        <v>2188</v>
      </c>
      <c r="H172" s="579" t="s">
        <v>1127</v>
      </c>
      <c r="I172" s="579" t="s">
        <v>58</v>
      </c>
      <c r="J172" s="579" t="s">
        <v>1060</v>
      </c>
      <c r="K172" s="579" t="s">
        <v>1094</v>
      </c>
      <c r="L172" s="578" t="s">
        <v>1095</v>
      </c>
      <c r="M172" s="580" t="s">
        <v>117</v>
      </c>
      <c r="N172" s="580" t="s">
        <v>306</v>
      </c>
      <c r="O172" s="581">
        <v>2921</v>
      </c>
      <c r="P172" s="581">
        <v>849</v>
      </c>
      <c r="Q172" s="582"/>
      <c r="R172" s="579" t="s">
        <v>100</v>
      </c>
      <c r="S172" s="579" t="s">
        <v>151</v>
      </c>
      <c r="T172" s="580" t="s">
        <v>63</v>
      </c>
      <c r="U172" s="580" t="s">
        <v>63</v>
      </c>
      <c r="V172" s="580" t="s">
        <v>63</v>
      </c>
      <c r="W172" s="580" t="s">
        <v>63</v>
      </c>
      <c r="X172" s="580" t="s">
        <v>63</v>
      </c>
      <c r="Y172" s="580" t="s">
        <v>66</v>
      </c>
      <c r="Z172" s="580" t="s">
        <v>66</v>
      </c>
      <c r="AA172" s="578"/>
      <c r="AB172" s="580" t="s">
        <v>68</v>
      </c>
      <c r="AC172" s="579"/>
      <c r="AD172" s="580" t="s">
        <v>68</v>
      </c>
      <c r="AE172" s="579"/>
      <c r="AF172" s="583" t="s">
        <v>1097</v>
      </c>
      <c r="AG172" s="584" t="s">
        <v>66</v>
      </c>
      <c r="AH172" s="580" t="s">
        <v>63</v>
      </c>
      <c r="AI172" s="580" t="s">
        <v>66</v>
      </c>
      <c r="AJ172" s="580" t="s">
        <v>66</v>
      </c>
      <c r="AK172" s="580" t="s">
        <v>66</v>
      </c>
      <c r="AL172" s="580" t="s">
        <v>63</v>
      </c>
      <c r="AM172" s="585" t="s">
        <v>66</v>
      </c>
      <c r="AN172" s="586" t="s">
        <v>164</v>
      </c>
      <c r="AO172" s="579" t="s">
        <v>71</v>
      </c>
      <c r="AP172" s="579" t="s">
        <v>72</v>
      </c>
      <c r="AQ172" s="579"/>
      <c r="AR172" s="579" t="s">
        <v>121</v>
      </c>
      <c r="AS172" s="579"/>
      <c r="AT172" s="587"/>
      <c r="AU172" s="584" t="s">
        <v>74</v>
      </c>
      <c r="AV172" s="578"/>
      <c r="AW172" s="588"/>
      <c r="AX172" s="588"/>
      <c r="AY172" s="588"/>
      <c r="AZ172" s="589" t="s">
        <v>1098</v>
      </c>
      <c r="BA172" s="589" t="s">
        <v>847</v>
      </c>
      <c r="BB172" s="589" t="s">
        <v>1099</v>
      </c>
      <c r="BC172" s="590">
        <v>0</v>
      </c>
      <c r="BD172" s="591"/>
    </row>
    <row r="173" spans="1:56" s="560" customFormat="1" ht="16.5" customHeight="1">
      <c r="A173" s="576">
        <v>2024</v>
      </c>
      <c r="B173" s="577" t="s">
        <v>1129</v>
      </c>
      <c r="C173" s="577" t="s">
        <v>2546</v>
      </c>
      <c r="D173" s="562" t="s">
        <v>2415</v>
      </c>
      <c r="E173" s="578" t="s">
        <v>1130</v>
      </c>
      <c r="F173" s="579" t="s">
        <v>170</v>
      </c>
      <c r="G173" s="612" t="s">
        <v>2188</v>
      </c>
      <c r="H173" s="579" t="s">
        <v>1131</v>
      </c>
      <c r="I173" s="579" t="s">
        <v>58</v>
      </c>
      <c r="J173" s="579" t="s">
        <v>1060</v>
      </c>
      <c r="K173" s="579" t="s">
        <v>1094</v>
      </c>
      <c r="L173" s="578" t="s">
        <v>1095</v>
      </c>
      <c r="M173" s="580" t="s">
        <v>292</v>
      </c>
      <c r="N173" s="580" t="s">
        <v>350</v>
      </c>
      <c r="O173" s="581">
        <v>2117</v>
      </c>
      <c r="P173" s="581">
        <v>602</v>
      </c>
      <c r="Q173" s="582"/>
      <c r="R173" s="579" t="s">
        <v>662</v>
      </c>
      <c r="S173" s="579" t="s">
        <v>151</v>
      </c>
      <c r="T173" s="580" t="s">
        <v>63</v>
      </c>
      <c r="U173" s="580" t="s">
        <v>63</v>
      </c>
      <c r="V173" s="580" t="s">
        <v>63</v>
      </c>
      <c r="W173" s="580" t="s">
        <v>63</v>
      </c>
      <c r="X173" s="580" t="s">
        <v>63</v>
      </c>
      <c r="Y173" s="580" t="s">
        <v>66</v>
      </c>
      <c r="Z173" s="580" t="s">
        <v>66</v>
      </c>
      <c r="AA173" s="578"/>
      <c r="AB173" s="580" t="s">
        <v>68</v>
      </c>
      <c r="AC173" s="579"/>
      <c r="AD173" s="580" t="s">
        <v>68</v>
      </c>
      <c r="AE173" s="579"/>
      <c r="AF173" s="583" t="s">
        <v>1097</v>
      </c>
      <c r="AG173" s="584" t="s">
        <v>66</v>
      </c>
      <c r="AH173" s="580" t="s">
        <v>63</v>
      </c>
      <c r="AI173" s="580" t="s">
        <v>66</v>
      </c>
      <c r="AJ173" s="580" t="s">
        <v>66</v>
      </c>
      <c r="AK173" s="580" t="s">
        <v>66</v>
      </c>
      <c r="AL173" s="580" t="s">
        <v>63</v>
      </c>
      <c r="AM173" s="585" t="s">
        <v>66</v>
      </c>
      <c r="AN173" s="586" t="s">
        <v>164</v>
      </c>
      <c r="AO173" s="579" t="s">
        <v>71</v>
      </c>
      <c r="AP173" s="579" t="s">
        <v>72</v>
      </c>
      <c r="AQ173" s="579"/>
      <c r="AR173" s="579" t="s">
        <v>121</v>
      </c>
      <c r="AS173" s="579"/>
      <c r="AT173" s="587"/>
      <c r="AU173" s="584" t="s">
        <v>74</v>
      </c>
      <c r="AV173" s="578"/>
      <c r="AW173" s="588"/>
      <c r="AX173" s="588"/>
      <c r="AY173" s="588"/>
      <c r="AZ173" s="589" t="s">
        <v>1098</v>
      </c>
      <c r="BA173" s="589" t="s">
        <v>847</v>
      </c>
      <c r="BB173" s="589" t="s">
        <v>1115</v>
      </c>
      <c r="BC173" s="590">
        <v>0</v>
      </c>
      <c r="BD173" s="591"/>
    </row>
    <row r="174" spans="1:56" s="560" customFormat="1" ht="16.5" customHeight="1">
      <c r="A174" s="561">
        <v>2024</v>
      </c>
      <c r="B174" s="577" t="s">
        <v>2094</v>
      </c>
      <c r="C174" s="562" t="s">
        <v>1081</v>
      </c>
      <c r="D174" s="562" t="s">
        <v>2415</v>
      </c>
      <c r="E174" s="578" t="s">
        <v>2140</v>
      </c>
      <c r="F174" s="579" t="s">
        <v>2085</v>
      </c>
      <c r="G174" s="612" t="s">
        <v>2188</v>
      </c>
      <c r="H174" s="579" t="s">
        <v>2189</v>
      </c>
      <c r="I174" s="579" t="s">
        <v>2086</v>
      </c>
      <c r="J174" s="579" t="s">
        <v>1060</v>
      </c>
      <c r="K174" s="579" t="s">
        <v>2329</v>
      </c>
      <c r="L174" s="578" t="s">
        <v>2100</v>
      </c>
      <c r="M174" s="580" t="s">
        <v>2099</v>
      </c>
      <c r="N174" s="580" t="s">
        <v>2099</v>
      </c>
      <c r="O174" s="581">
        <v>4692.6000000000004</v>
      </c>
      <c r="P174" s="581">
        <v>3085.97</v>
      </c>
      <c r="Q174" s="582"/>
      <c r="R174" s="579" t="s">
        <v>2190</v>
      </c>
      <c r="S174" s="579" t="s">
        <v>1917</v>
      </c>
      <c r="T174" s="580" t="s">
        <v>2087</v>
      </c>
      <c r="U174" s="580" t="s">
        <v>2087</v>
      </c>
      <c r="V174" s="580" t="s">
        <v>2087</v>
      </c>
      <c r="W174" s="580" t="s">
        <v>2087</v>
      </c>
      <c r="X174" s="580" t="s">
        <v>2087</v>
      </c>
      <c r="Y174" s="580" t="s">
        <v>1910</v>
      </c>
      <c r="Z174" s="580" t="s">
        <v>1910</v>
      </c>
      <c r="AA174" s="578" t="s">
        <v>1884</v>
      </c>
      <c r="AB174" s="580" t="s">
        <v>1874</v>
      </c>
      <c r="AC174" s="579"/>
      <c r="AD174" s="580" t="s">
        <v>1918</v>
      </c>
      <c r="AE174" s="579"/>
      <c r="AF174" s="583" t="s">
        <v>1063</v>
      </c>
      <c r="AG174" s="584" t="s">
        <v>2087</v>
      </c>
      <c r="AH174" s="580" t="s">
        <v>2087</v>
      </c>
      <c r="AI174" s="580" t="s">
        <v>2087</v>
      </c>
      <c r="AJ174" s="580" t="s">
        <v>66</v>
      </c>
      <c r="AK174" s="580" t="s">
        <v>66</v>
      </c>
      <c r="AL174" s="580" t="s">
        <v>2087</v>
      </c>
      <c r="AM174" s="585" t="s">
        <v>2087</v>
      </c>
      <c r="AN174" s="586" t="s">
        <v>2191</v>
      </c>
      <c r="AO174" s="579" t="s">
        <v>2192</v>
      </c>
      <c r="AP174" s="579" t="s">
        <v>2193</v>
      </c>
      <c r="AQ174" s="579"/>
      <c r="AR174" s="579" t="s">
        <v>2194</v>
      </c>
      <c r="AS174" s="579"/>
      <c r="AT174" s="587"/>
      <c r="AU174" s="584" t="s">
        <v>1924</v>
      </c>
      <c r="AV174" s="578"/>
      <c r="AW174" s="588"/>
      <c r="AX174" s="588"/>
      <c r="AY174" s="588"/>
      <c r="AZ174" s="589" t="s">
        <v>1064</v>
      </c>
      <c r="BA174" s="589" t="s">
        <v>1065</v>
      </c>
      <c r="BB174" s="589" t="s">
        <v>2195</v>
      </c>
      <c r="BC174" s="590">
        <v>23</v>
      </c>
      <c r="BD174" s="591"/>
    </row>
    <row r="175" spans="1:56" s="560" customFormat="1" ht="16.5" customHeight="1">
      <c r="A175" s="576">
        <v>2024</v>
      </c>
      <c r="B175" s="577" t="s">
        <v>2095</v>
      </c>
      <c r="C175" s="577" t="s">
        <v>1082</v>
      </c>
      <c r="D175" s="562" t="s">
        <v>2415</v>
      </c>
      <c r="E175" s="578" t="s">
        <v>2139</v>
      </c>
      <c r="F175" s="579" t="s">
        <v>2085</v>
      </c>
      <c r="G175" s="612" t="s">
        <v>2188</v>
      </c>
      <c r="H175" s="579" t="s">
        <v>2098</v>
      </c>
      <c r="I175" s="579" t="s">
        <v>2086</v>
      </c>
      <c r="J175" s="579" t="s">
        <v>1060</v>
      </c>
      <c r="K175" s="579" t="s">
        <v>2329</v>
      </c>
      <c r="L175" s="578" t="s">
        <v>2100</v>
      </c>
      <c r="M175" s="580" t="s">
        <v>2099</v>
      </c>
      <c r="N175" s="580" t="s">
        <v>2099</v>
      </c>
      <c r="O175" s="581">
        <v>3938.04</v>
      </c>
      <c r="P175" s="581">
        <v>2794.61</v>
      </c>
      <c r="Q175" s="582"/>
      <c r="R175" s="579" t="s">
        <v>2196</v>
      </c>
      <c r="S175" s="579" t="s">
        <v>1917</v>
      </c>
      <c r="T175" s="580" t="s">
        <v>2087</v>
      </c>
      <c r="U175" s="580" t="s">
        <v>2087</v>
      </c>
      <c r="V175" s="580" t="s">
        <v>2087</v>
      </c>
      <c r="W175" s="580" t="s">
        <v>2087</v>
      </c>
      <c r="X175" s="580" t="s">
        <v>2087</v>
      </c>
      <c r="Y175" s="580" t="s">
        <v>1910</v>
      </c>
      <c r="Z175" s="580" t="s">
        <v>1910</v>
      </c>
      <c r="AA175" s="578" t="s">
        <v>1884</v>
      </c>
      <c r="AB175" s="580" t="s">
        <v>1874</v>
      </c>
      <c r="AC175" s="579"/>
      <c r="AD175" s="580" t="s">
        <v>1918</v>
      </c>
      <c r="AE175" s="579"/>
      <c r="AF175" s="583" t="s">
        <v>1063</v>
      </c>
      <c r="AG175" s="584" t="s">
        <v>2087</v>
      </c>
      <c r="AH175" s="580" t="s">
        <v>2087</v>
      </c>
      <c r="AI175" s="580" t="s">
        <v>2087</v>
      </c>
      <c r="AJ175" s="580" t="s">
        <v>66</v>
      </c>
      <c r="AK175" s="580" t="s">
        <v>66</v>
      </c>
      <c r="AL175" s="580" t="s">
        <v>2087</v>
      </c>
      <c r="AM175" s="585" t="s">
        <v>2087</v>
      </c>
      <c r="AN175" s="586" t="s">
        <v>164</v>
      </c>
      <c r="AO175" s="579" t="s">
        <v>1921</v>
      </c>
      <c r="AP175" s="579" t="s">
        <v>1922</v>
      </c>
      <c r="AQ175" s="579"/>
      <c r="AR175" s="579" t="s">
        <v>2117</v>
      </c>
      <c r="AS175" s="579"/>
      <c r="AT175" s="587"/>
      <c r="AU175" s="584" t="s">
        <v>1924</v>
      </c>
      <c r="AV175" s="578"/>
      <c r="AW175" s="588"/>
      <c r="AX175" s="588"/>
      <c r="AY175" s="588"/>
      <c r="AZ175" s="589" t="s">
        <v>1064</v>
      </c>
      <c r="BA175" s="589" t="s">
        <v>1065</v>
      </c>
      <c r="BB175" s="589" t="s">
        <v>2195</v>
      </c>
      <c r="BC175" s="590">
        <v>6</v>
      </c>
      <c r="BD175" s="591"/>
    </row>
    <row r="176" spans="1:56" s="560" customFormat="1" ht="16.5" customHeight="1">
      <c r="A176" s="576">
        <v>2024</v>
      </c>
      <c r="B176" s="577" t="s">
        <v>2096</v>
      </c>
      <c r="C176" s="562" t="s">
        <v>1087</v>
      </c>
      <c r="D176" s="562" t="s">
        <v>2415</v>
      </c>
      <c r="E176" s="578" t="s">
        <v>2427</v>
      </c>
      <c r="F176" s="579" t="s">
        <v>2085</v>
      </c>
      <c r="G176" s="612" t="s">
        <v>2188</v>
      </c>
      <c r="H176" s="579" t="s">
        <v>2097</v>
      </c>
      <c r="I176" s="579" t="s">
        <v>2086</v>
      </c>
      <c r="J176" s="579" t="s">
        <v>1060</v>
      </c>
      <c r="K176" s="579" t="s">
        <v>1061</v>
      </c>
      <c r="L176" s="578" t="s">
        <v>2100</v>
      </c>
      <c r="M176" s="580" t="s">
        <v>2099</v>
      </c>
      <c r="N176" s="580" t="s">
        <v>2099</v>
      </c>
      <c r="O176" s="581">
        <v>1548.73</v>
      </c>
      <c r="P176" s="581">
        <v>922.03</v>
      </c>
      <c r="Q176" s="582"/>
      <c r="R176" s="579" t="s">
        <v>2197</v>
      </c>
      <c r="S176" s="579" t="s">
        <v>1917</v>
      </c>
      <c r="T176" s="580" t="s">
        <v>2087</v>
      </c>
      <c r="U176" s="580" t="s">
        <v>2087</v>
      </c>
      <c r="V176" s="580" t="s">
        <v>2087</v>
      </c>
      <c r="W176" s="580" t="s">
        <v>2087</v>
      </c>
      <c r="X176" s="580" t="s">
        <v>2087</v>
      </c>
      <c r="Y176" s="580" t="s">
        <v>1910</v>
      </c>
      <c r="Z176" s="580" t="s">
        <v>1910</v>
      </c>
      <c r="AA176" s="578"/>
      <c r="AB176" s="580" t="s">
        <v>1874</v>
      </c>
      <c r="AC176" s="579"/>
      <c r="AD176" s="580" t="s">
        <v>1874</v>
      </c>
      <c r="AE176" s="579"/>
      <c r="AF176" s="583" t="s">
        <v>1063</v>
      </c>
      <c r="AG176" s="584" t="s">
        <v>2087</v>
      </c>
      <c r="AH176" s="580" t="s">
        <v>2087</v>
      </c>
      <c r="AI176" s="580" t="s">
        <v>2087</v>
      </c>
      <c r="AJ176" s="580" t="s">
        <v>66</v>
      </c>
      <c r="AK176" s="580" t="s">
        <v>66</v>
      </c>
      <c r="AL176" s="580" t="s">
        <v>2087</v>
      </c>
      <c r="AM176" s="585" t="s">
        <v>2087</v>
      </c>
      <c r="AN176" s="586" t="s">
        <v>95</v>
      </c>
      <c r="AO176" s="579" t="s">
        <v>1921</v>
      </c>
      <c r="AP176" s="579" t="s">
        <v>1922</v>
      </c>
      <c r="AQ176" s="579"/>
      <c r="AR176" s="579" t="s">
        <v>2092</v>
      </c>
      <c r="AS176" s="579"/>
      <c r="AT176" s="587"/>
      <c r="AU176" s="584" t="s">
        <v>1924</v>
      </c>
      <c r="AV176" s="578"/>
      <c r="AW176" s="588"/>
      <c r="AX176" s="588"/>
      <c r="AY176" s="588"/>
      <c r="AZ176" s="589" t="s">
        <v>1064</v>
      </c>
      <c r="BA176" s="589" t="s">
        <v>1065</v>
      </c>
      <c r="BB176" s="589" t="s">
        <v>2195</v>
      </c>
      <c r="BC176" s="590">
        <v>6</v>
      </c>
      <c r="BD176" s="591"/>
    </row>
    <row r="177" spans="1:56" s="560" customFormat="1" ht="16.5" customHeight="1">
      <c r="A177" s="561">
        <v>2024</v>
      </c>
      <c r="B177" s="577" t="s">
        <v>2543</v>
      </c>
      <c r="C177" s="577" t="s">
        <v>1091</v>
      </c>
      <c r="D177" s="562" t="s">
        <v>2415</v>
      </c>
      <c r="E177" s="578" t="s">
        <v>2501</v>
      </c>
      <c r="F177" s="579" t="s">
        <v>2085</v>
      </c>
      <c r="G177" s="612" t="s">
        <v>2188</v>
      </c>
      <c r="H177" s="579" t="s">
        <v>2504</v>
      </c>
      <c r="I177" s="579" t="s">
        <v>2086</v>
      </c>
      <c r="J177" s="579" t="s">
        <v>1060</v>
      </c>
      <c r="K177" s="579" t="s">
        <v>2329</v>
      </c>
      <c r="L177" s="578" t="s">
        <v>2100</v>
      </c>
      <c r="M177" s="580" t="s">
        <v>2500</v>
      </c>
      <c r="N177" s="580" t="s">
        <v>2500</v>
      </c>
      <c r="O177" s="581">
        <v>2279.75</v>
      </c>
      <c r="P177" s="581">
        <v>2809.34</v>
      </c>
      <c r="Q177" s="582"/>
      <c r="R177" s="579" t="s">
        <v>503</v>
      </c>
      <c r="S177" s="579" t="s">
        <v>1917</v>
      </c>
      <c r="T177" s="580" t="s">
        <v>2484</v>
      </c>
      <c r="U177" s="580" t="s">
        <v>2484</v>
      </c>
      <c r="V177" s="580" t="s">
        <v>2484</v>
      </c>
      <c r="W177" s="580" t="s">
        <v>2484</v>
      </c>
      <c r="X177" s="580" t="s">
        <v>2484</v>
      </c>
      <c r="Y177" s="580" t="s">
        <v>66</v>
      </c>
      <c r="Z177" s="580" t="s">
        <v>66</v>
      </c>
      <c r="AA177" s="578"/>
      <c r="AB177" s="580" t="s">
        <v>1874</v>
      </c>
      <c r="AC177" s="579"/>
      <c r="AD177" s="580" t="s">
        <v>1918</v>
      </c>
      <c r="AE177" s="579"/>
      <c r="AF177" s="583" t="s">
        <v>1063</v>
      </c>
      <c r="AG177" s="584" t="s">
        <v>2484</v>
      </c>
      <c r="AH177" s="580" t="s">
        <v>2484</v>
      </c>
      <c r="AI177" s="580" t="s">
        <v>2087</v>
      </c>
      <c r="AJ177" s="580" t="s">
        <v>66</v>
      </c>
      <c r="AK177" s="580" t="s">
        <v>66</v>
      </c>
      <c r="AL177" s="580" t="s">
        <v>2484</v>
      </c>
      <c r="AM177" s="585" t="s">
        <v>2484</v>
      </c>
      <c r="AN177" s="586" t="s">
        <v>120</v>
      </c>
      <c r="AO177" s="579" t="s">
        <v>71</v>
      </c>
      <c r="AP177" s="579" t="s">
        <v>72</v>
      </c>
      <c r="AQ177" s="579"/>
      <c r="AR177" s="579" t="s">
        <v>121</v>
      </c>
      <c r="AS177" s="579"/>
      <c r="AT177" s="587"/>
      <c r="AU177" s="584" t="s">
        <v>1924</v>
      </c>
      <c r="AV177" s="578"/>
      <c r="AW177" s="588"/>
      <c r="AX177" s="588"/>
      <c r="AY177" s="588"/>
      <c r="AZ177" s="589" t="s">
        <v>1064</v>
      </c>
      <c r="BA177" s="589" t="s">
        <v>2503</v>
      </c>
      <c r="BB177" s="589" t="s">
        <v>2195</v>
      </c>
      <c r="BC177" s="590">
        <v>10</v>
      </c>
      <c r="BD177" s="591"/>
    </row>
    <row r="178" spans="1:56" s="560" customFormat="1" ht="16.5" customHeight="1">
      <c r="A178" s="576">
        <v>2024</v>
      </c>
      <c r="B178" s="577" t="s">
        <v>1133</v>
      </c>
      <c r="C178" s="562" t="s">
        <v>1100</v>
      </c>
      <c r="D178" s="562" t="s">
        <v>2415</v>
      </c>
      <c r="E178" s="578" t="s">
        <v>1134</v>
      </c>
      <c r="F178" s="579" t="s">
        <v>2144</v>
      </c>
      <c r="G178" s="578" t="s">
        <v>1135</v>
      </c>
      <c r="H178" s="579" t="s">
        <v>1137</v>
      </c>
      <c r="I178" s="579" t="s">
        <v>58</v>
      </c>
      <c r="J178" s="579" t="s">
        <v>1138</v>
      </c>
      <c r="K178" s="579" t="s">
        <v>1139</v>
      </c>
      <c r="L178" s="578" t="s">
        <v>1140</v>
      </c>
      <c r="M178" s="580" t="s">
        <v>129</v>
      </c>
      <c r="N178" s="580" t="s">
        <v>129</v>
      </c>
      <c r="O178" s="581">
        <v>2322.3000000000002</v>
      </c>
      <c r="P178" s="581">
        <v>2556.71</v>
      </c>
      <c r="Q178" s="582"/>
      <c r="R178" s="579" t="s">
        <v>524</v>
      </c>
      <c r="S178" s="579" t="s">
        <v>151</v>
      </c>
      <c r="T178" s="580" t="s">
        <v>66</v>
      </c>
      <c r="U178" s="580" t="s">
        <v>66</v>
      </c>
      <c r="V178" s="580" t="s">
        <v>66</v>
      </c>
      <c r="W178" s="580" t="s">
        <v>66</v>
      </c>
      <c r="X178" s="580" t="s">
        <v>66</v>
      </c>
      <c r="Y178" s="580" t="s">
        <v>66</v>
      </c>
      <c r="Z178" s="580" t="s">
        <v>66</v>
      </c>
      <c r="AA178" s="578"/>
      <c r="AB178" s="580" t="s">
        <v>68</v>
      </c>
      <c r="AC178" s="579"/>
      <c r="AD178" s="580" t="s">
        <v>68</v>
      </c>
      <c r="AE178" s="579"/>
      <c r="AF178" s="587" t="s">
        <v>1141</v>
      </c>
      <c r="AG178" s="584" t="s">
        <v>63</v>
      </c>
      <c r="AH178" s="580" t="s">
        <v>63</v>
      </c>
      <c r="AI178" s="580" t="s">
        <v>63</v>
      </c>
      <c r="AJ178" s="580" t="s">
        <v>63</v>
      </c>
      <c r="AK178" s="580" t="s">
        <v>63</v>
      </c>
      <c r="AL178" s="580" t="s">
        <v>63</v>
      </c>
      <c r="AM178" s="585" t="s">
        <v>63</v>
      </c>
      <c r="AN178" s="586" t="s">
        <v>70</v>
      </c>
      <c r="AO178" s="579" t="s">
        <v>71</v>
      </c>
      <c r="AP178" s="579" t="s">
        <v>72</v>
      </c>
      <c r="AQ178" s="579"/>
      <c r="AR178" s="579" t="s">
        <v>73</v>
      </c>
      <c r="AS178" s="579"/>
      <c r="AT178" s="587"/>
      <c r="AU178" s="584" t="s">
        <v>2419</v>
      </c>
      <c r="AV178" s="578" t="s">
        <v>1142</v>
      </c>
      <c r="AW178" s="588">
        <v>45383</v>
      </c>
      <c r="AX178" s="588">
        <v>47208</v>
      </c>
      <c r="AY178" s="588" t="s">
        <v>270</v>
      </c>
      <c r="AZ178" s="589" t="s">
        <v>1143</v>
      </c>
      <c r="BA178" s="589" t="s">
        <v>784</v>
      </c>
      <c r="BB178" s="589" t="s">
        <v>1144</v>
      </c>
      <c r="BC178" s="590">
        <v>25</v>
      </c>
      <c r="BD178" s="591"/>
    </row>
    <row r="179" spans="1:56" s="560" customFormat="1" ht="16.5" customHeight="1">
      <c r="A179" s="576">
        <v>2024</v>
      </c>
      <c r="B179" s="577" t="s">
        <v>1146</v>
      </c>
      <c r="C179" s="577" t="s">
        <v>1101</v>
      </c>
      <c r="D179" s="562" t="s">
        <v>2415</v>
      </c>
      <c r="E179" s="578" t="s">
        <v>1147</v>
      </c>
      <c r="F179" s="579" t="s">
        <v>139</v>
      </c>
      <c r="G179" s="578" t="s">
        <v>1135</v>
      </c>
      <c r="H179" s="579" t="s">
        <v>1148</v>
      </c>
      <c r="I179" s="579" t="s">
        <v>58</v>
      </c>
      <c r="J179" s="579" t="s">
        <v>1138</v>
      </c>
      <c r="K179" s="579" t="s">
        <v>1139</v>
      </c>
      <c r="L179" s="578" t="s">
        <v>1149</v>
      </c>
      <c r="M179" s="580" t="s">
        <v>299</v>
      </c>
      <c r="N179" s="580" t="s">
        <v>299</v>
      </c>
      <c r="O179" s="581">
        <v>9222.19</v>
      </c>
      <c r="P179" s="581">
        <v>3245.19</v>
      </c>
      <c r="Q179" s="582"/>
      <c r="R179" s="579" t="s">
        <v>240</v>
      </c>
      <c r="S179" s="579" t="s">
        <v>151</v>
      </c>
      <c r="T179" s="580" t="s">
        <v>63</v>
      </c>
      <c r="U179" s="580" t="s">
        <v>63</v>
      </c>
      <c r="V179" s="580" t="s">
        <v>63</v>
      </c>
      <c r="W179" s="580" t="s">
        <v>63</v>
      </c>
      <c r="X179" s="580" t="s">
        <v>63</v>
      </c>
      <c r="Y179" s="580" t="s">
        <v>66</v>
      </c>
      <c r="Z179" s="580" t="s">
        <v>66</v>
      </c>
      <c r="AA179" s="578"/>
      <c r="AB179" s="580" t="s">
        <v>68</v>
      </c>
      <c r="AC179" s="579"/>
      <c r="AD179" s="580" t="s">
        <v>68</v>
      </c>
      <c r="AE179" s="579"/>
      <c r="AF179" s="587" t="s">
        <v>1150</v>
      </c>
      <c r="AG179" s="584" t="s">
        <v>63</v>
      </c>
      <c r="AH179" s="580" t="s">
        <v>63</v>
      </c>
      <c r="AI179" s="580" t="s">
        <v>63</v>
      </c>
      <c r="AJ179" s="580" t="s">
        <v>63</v>
      </c>
      <c r="AK179" s="580" t="s">
        <v>63</v>
      </c>
      <c r="AL179" s="580" t="s">
        <v>63</v>
      </c>
      <c r="AM179" s="585" t="s">
        <v>66</v>
      </c>
      <c r="AN179" s="586" t="s">
        <v>164</v>
      </c>
      <c r="AO179" s="579" t="s">
        <v>71</v>
      </c>
      <c r="AP179" s="579" t="s">
        <v>72</v>
      </c>
      <c r="AQ179" s="579"/>
      <c r="AR179" s="579" t="s">
        <v>121</v>
      </c>
      <c r="AS179" s="579"/>
      <c r="AT179" s="587"/>
      <c r="AU179" s="584" t="s">
        <v>2419</v>
      </c>
      <c r="AV179" s="578" t="s">
        <v>1151</v>
      </c>
      <c r="AW179" s="588">
        <v>45383</v>
      </c>
      <c r="AX179" s="588">
        <v>47208</v>
      </c>
      <c r="AY179" s="588" t="s">
        <v>152</v>
      </c>
      <c r="AZ179" s="589" t="s">
        <v>1152</v>
      </c>
      <c r="BA179" s="589" t="s">
        <v>1153</v>
      </c>
      <c r="BB179" s="589" t="s">
        <v>1154</v>
      </c>
      <c r="BC179" s="590">
        <v>57</v>
      </c>
      <c r="BD179" s="591"/>
    </row>
    <row r="180" spans="1:56" s="560" customFormat="1" ht="16.5" customHeight="1">
      <c r="A180" s="561">
        <v>2024</v>
      </c>
      <c r="B180" s="577" t="s">
        <v>1156</v>
      </c>
      <c r="C180" s="562" t="s">
        <v>1102</v>
      </c>
      <c r="D180" s="562" t="s">
        <v>2415</v>
      </c>
      <c r="E180" s="578" t="s">
        <v>1157</v>
      </c>
      <c r="F180" s="579" t="s">
        <v>139</v>
      </c>
      <c r="G180" s="578" t="s">
        <v>1135</v>
      </c>
      <c r="H180" s="579" t="s">
        <v>1158</v>
      </c>
      <c r="I180" s="579" t="s">
        <v>58</v>
      </c>
      <c r="J180" s="579" t="s">
        <v>1138</v>
      </c>
      <c r="K180" s="579" t="s">
        <v>1139</v>
      </c>
      <c r="L180" s="578" t="s">
        <v>1159</v>
      </c>
      <c r="M180" s="580" t="s">
        <v>235</v>
      </c>
      <c r="N180" s="580" t="s">
        <v>235</v>
      </c>
      <c r="O180" s="581">
        <v>2186.06</v>
      </c>
      <c r="P180" s="581">
        <v>1190.1300000000001</v>
      </c>
      <c r="Q180" s="582"/>
      <c r="R180" s="579" t="s">
        <v>85</v>
      </c>
      <c r="S180" s="579" t="s">
        <v>151</v>
      </c>
      <c r="T180" s="580" t="s">
        <v>66</v>
      </c>
      <c r="U180" s="580" t="s">
        <v>66</v>
      </c>
      <c r="V180" s="580" t="s">
        <v>66</v>
      </c>
      <c r="W180" s="580" t="s">
        <v>66</v>
      </c>
      <c r="X180" s="580" t="s">
        <v>66</v>
      </c>
      <c r="Y180" s="580" t="s">
        <v>66</v>
      </c>
      <c r="Z180" s="580" t="s">
        <v>66</v>
      </c>
      <c r="AA180" s="578" t="s">
        <v>1160</v>
      </c>
      <c r="AB180" s="580" t="s">
        <v>68</v>
      </c>
      <c r="AC180" s="579" t="s">
        <v>1161</v>
      </c>
      <c r="AD180" s="580" t="s">
        <v>68</v>
      </c>
      <c r="AE180" s="579" t="s">
        <v>1161</v>
      </c>
      <c r="AF180" s="587" t="s">
        <v>1150</v>
      </c>
      <c r="AG180" s="584" t="s">
        <v>63</v>
      </c>
      <c r="AH180" s="580" t="s">
        <v>63</v>
      </c>
      <c r="AI180" s="580" t="s">
        <v>63</v>
      </c>
      <c r="AJ180" s="580" t="s">
        <v>63</v>
      </c>
      <c r="AK180" s="580" t="s">
        <v>63</v>
      </c>
      <c r="AL180" s="580" t="s">
        <v>63</v>
      </c>
      <c r="AM180" s="585" t="s">
        <v>63</v>
      </c>
      <c r="AN180" s="586" t="s">
        <v>86</v>
      </c>
      <c r="AO180" s="579" t="s">
        <v>71</v>
      </c>
      <c r="AP180" s="579" t="s">
        <v>72</v>
      </c>
      <c r="AQ180" s="579"/>
      <c r="AR180" s="579"/>
      <c r="AS180" s="579"/>
      <c r="AT180" s="587"/>
      <c r="AU180" s="584" t="s">
        <v>2419</v>
      </c>
      <c r="AV180" s="578" t="s">
        <v>1162</v>
      </c>
      <c r="AW180" s="588">
        <v>45383</v>
      </c>
      <c r="AX180" s="588">
        <v>47208</v>
      </c>
      <c r="AY180" s="588" t="s">
        <v>270</v>
      </c>
      <c r="AZ180" s="589" t="s">
        <v>1152</v>
      </c>
      <c r="BA180" s="589" t="s">
        <v>1153</v>
      </c>
      <c r="BB180" s="589" t="s">
        <v>1163</v>
      </c>
      <c r="BC180" s="590">
        <v>28</v>
      </c>
      <c r="BD180" s="591"/>
    </row>
    <row r="181" spans="1:56" s="560" customFormat="1" ht="16.5" customHeight="1">
      <c r="A181" s="576">
        <v>2024</v>
      </c>
      <c r="B181" s="577" t="s">
        <v>1165</v>
      </c>
      <c r="C181" s="577" t="s">
        <v>126</v>
      </c>
      <c r="D181" s="562" t="s">
        <v>2415</v>
      </c>
      <c r="E181" s="578" t="s">
        <v>1166</v>
      </c>
      <c r="F181" s="579" t="s">
        <v>139</v>
      </c>
      <c r="G181" s="578" t="s">
        <v>1135</v>
      </c>
      <c r="H181" s="579" t="s">
        <v>388</v>
      </c>
      <c r="I181" s="579" t="s">
        <v>58</v>
      </c>
      <c r="J181" s="579" t="s">
        <v>1138</v>
      </c>
      <c r="K181" s="579" t="s">
        <v>1139</v>
      </c>
      <c r="L181" s="578" t="s">
        <v>1167</v>
      </c>
      <c r="M181" s="580" t="s">
        <v>292</v>
      </c>
      <c r="N181" s="580" t="s">
        <v>292</v>
      </c>
      <c r="O181" s="581">
        <v>731.88</v>
      </c>
      <c r="P181" s="581">
        <v>291.45</v>
      </c>
      <c r="Q181" s="582"/>
      <c r="R181" s="579" t="s">
        <v>85</v>
      </c>
      <c r="S181" s="579" t="s">
        <v>151</v>
      </c>
      <c r="T181" s="580" t="s">
        <v>66</v>
      </c>
      <c r="U181" s="580" t="s">
        <v>66</v>
      </c>
      <c r="V181" s="580" t="s">
        <v>66</v>
      </c>
      <c r="W181" s="580" t="s">
        <v>66</v>
      </c>
      <c r="X181" s="580" t="s">
        <v>66</v>
      </c>
      <c r="Y181" s="580" t="s">
        <v>66</v>
      </c>
      <c r="Z181" s="580" t="s">
        <v>66</v>
      </c>
      <c r="AA181" s="578" t="s">
        <v>387</v>
      </c>
      <c r="AB181" s="580" t="s">
        <v>68</v>
      </c>
      <c r="AC181" s="579"/>
      <c r="AD181" s="580" t="s">
        <v>68</v>
      </c>
      <c r="AE181" s="579"/>
      <c r="AF181" s="587" t="s">
        <v>1168</v>
      </c>
      <c r="AG181" s="584" t="s">
        <v>66</v>
      </c>
      <c r="AH181" s="580" t="s">
        <v>66</v>
      </c>
      <c r="AI181" s="580" t="s">
        <v>66</v>
      </c>
      <c r="AJ181" s="580" t="s">
        <v>66</v>
      </c>
      <c r="AK181" s="580" t="s">
        <v>66</v>
      </c>
      <c r="AL181" s="580" t="s">
        <v>66</v>
      </c>
      <c r="AM181" s="585" t="s">
        <v>66</v>
      </c>
      <c r="AN181" s="586" t="s">
        <v>95</v>
      </c>
      <c r="AO181" s="579" t="s">
        <v>71</v>
      </c>
      <c r="AP181" s="579" t="s">
        <v>72</v>
      </c>
      <c r="AQ181" s="579"/>
      <c r="AR181" s="579" t="s">
        <v>73</v>
      </c>
      <c r="AS181" s="579"/>
      <c r="AT181" s="587"/>
      <c r="AU181" s="584" t="s">
        <v>2419</v>
      </c>
      <c r="AV181" s="578" t="s">
        <v>1862</v>
      </c>
      <c r="AW181" s="588">
        <v>44287</v>
      </c>
      <c r="AX181" s="588">
        <v>46112</v>
      </c>
      <c r="AY181" s="588" t="s">
        <v>270</v>
      </c>
      <c r="AZ181" s="589" t="s">
        <v>271</v>
      </c>
      <c r="BA181" s="589" t="s">
        <v>784</v>
      </c>
      <c r="BB181" s="589" t="s">
        <v>1169</v>
      </c>
      <c r="BC181" s="590"/>
      <c r="BD181" s="591"/>
    </row>
    <row r="182" spans="1:56" s="560" customFormat="1" ht="16.5" customHeight="1">
      <c r="A182" s="576">
        <v>2024</v>
      </c>
      <c r="B182" s="577" t="s">
        <v>1171</v>
      </c>
      <c r="C182" s="562" t="s">
        <v>2547</v>
      </c>
      <c r="D182" s="562" t="s">
        <v>2415</v>
      </c>
      <c r="E182" s="578" t="s">
        <v>1172</v>
      </c>
      <c r="F182" s="579" t="s">
        <v>78</v>
      </c>
      <c r="G182" s="578" t="s">
        <v>156</v>
      </c>
      <c r="H182" s="579" t="s">
        <v>1173</v>
      </c>
      <c r="I182" s="579" t="s">
        <v>58</v>
      </c>
      <c r="J182" s="579" t="s">
        <v>1138</v>
      </c>
      <c r="K182" s="579" t="s">
        <v>1139</v>
      </c>
      <c r="L182" s="578" t="s">
        <v>159</v>
      </c>
      <c r="M182" s="580" t="s">
        <v>174</v>
      </c>
      <c r="N182" s="580" t="s">
        <v>174</v>
      </c>
      <c r="O182" s="581">
        <v>928.62</v>
      </c>
      <c r="P182" s="581">
        <v>735.91</v>
      </c>
      <c r="Q182" s="582"/>
      <c r="R182" s="579" t="s">
        <v>161</v>
      </c>
      <c r="S182" s="579" t="s">
        <v>151</v>
      </c>
      <c r="T182" s="580" t="s">
        <v>63</v>
      </c>
      <c r="U182" s="580" t="s">
        <v>63</v>
      </c>
      <c r="V182" s="580" t="s">
        <v>63</v>
      </c>
      <c r="W182" s="580" t="s">
        <v>63</v>
      </c>
      <c r="X182" s="580" t="s">
        <v>63</v>
      </c>
      <c r="Y182" s="580" t="s">
        <v>66</v>
      </c>
      <c r="Z182" s="580" t="s">
        <v>66</v>
      </c>
      <c r="AA182" s="578"/>
      <c r="AB182" s="580" t="s">
        <v>68</v>
      </c>
      <c r="AC182" s="579"/>
      <c r="AD182" s="580" t="s">
        <v>68</v>
      </c>
      <c r="AE182" s="579"/>
      <c r="AF182" s="587" t="s">
        <v>1174</v>
      </c>
      <c r="AG182" s="584" t="s">
        <v>63</v>
      </c>
      <c r="AH182" s="580" t="s">
        <v>66</v>
      </c>
      <c r="AI182" s="580" t="s">
        <v>63</v>
      </c>
      <c r="AJ182" s="580" t="s">
        <v>63</v>
      </c>
      <c r="AK182" s="580" t="s">
        <v>63</v>
      </c>
      <c r="AL182" s="580" t="s">
        <v>63</v>
      </c>
      <c r="AM182" s="585" t="s">
        <v>63</v>
      </c>
      <c r="AN182" s="586" t="s">
        <v>164</v>
      </c>
      <c r="AO182" s="579" t="s">
        <v>71</v>
      </c>
      <c r="AP182" s="579" t="s">
        <v>72</v>
      </c>
      <c r="AQ182" s="579"/>
      <c r="AR182" s="579" t="s">
        <v>121</v>
      </c>
      <c r="AS182" s="579"/>
      <c r="AT182" s="587"/>
      <c r="AU182" s="584" t="s">
        <v>74</v>
      </c>
      <c r="AV182" s="578"/>
      <c r="AW182" s="588"/>
      <c r="AX182" s="588"/>
      <c r="AY182" s="588"/>
      <c r="AZ182" s="589" t="s">
        <v>1175</v>
      </c>
      <c r="BA182" s="589" t="s">
        <v>1176</v>
      </c>
      <c r="BB182" s="589" t="s">
        <v>2374</v>
      </c>
      <c r="BC182" s="590"/>
      <c r="BD182" s="591"/>
    </row>
    <row r="183" spans="1:56" s="560" customFormat="1" ht="16.5" customHeight="1">
      <c r="A183" s="561">
        <v>2024</v>
      </c>
      <c r="B183" s="577" t="s">
        <v>1178</v>
      </c>
      <c r="C183" s="577" t="s">
        <v>1103</v>
      </c>
      <c r="D183" s="562" t="s">
        <v>2415</v>
      </c>
      <c r="E183" s="578" t="s">
        <v>1179</v>
      </c>
      <c r="F183" s="579" t="s">
        <v>139</v>
      </c>
      <c r="G183" s="578" t="s">
        <v>1180</v>
      </c>
      <c r="H183" s="579" t="s">
        <v>1181</v>
      </c>
      <c r="I183" s="579" t="s">
        <v>58</v>
      </c>
      <c r="J183" s="579" t="s">
        <v>1138</v>
      </c>
      <c r="K183" s="579" t="s">
        <v>1182</v>
      </c>
      <c r="L183" s="578" t="s">
        <v>1183</v>
      </c>
      <c r="M183" s="580" t="s">
        <v>160</v>
      </c>
      <c r="N183" s="580" t="s">
        <v>160</v>
      </c>
      <c r="O183" s="581">
        <v>5552</v>
      </c>
      <c r="P183" s="581">
        <v>3445.14</v>
      </c>
      <c r="Q183" s="582"/>
      <c r="R183" s="579" t="s">
        <v>64</v>
      </c>
      <c r="S183" s="579" t="s">
        <v>151</v>
      </c>
      <c r="T183" s="580" t="s">
        <v>63</v>
      </c>
      <c r="U183" s="580" t="s">
        <v>63</v>
      </c>
      <c r="V183" s="580" t="s">
        <v>63</v>
      </c>
      <c r="W183" s="580" t="s">
        <v>63</v>
      </c>
      <c r="X183" s="580" t="s">
        <v>63</v>
      </c>
      <c r="Y183" s="580" t="s">
        <v>66</v>
      </c>
      <c r="Z183" s="580" t="s">
        <v>66</v>
      </c>
      <c r="AA183" s="578"/>
      <c r="AB183" s="580" t="s">
        <v>68</v>
      </c>
      <c r="AC183" s="579"/>
      <c r="AD183" s="580" t="s">
        <v>68</v>
      </c>
      <c r="AE183" s="579"/>
      <c r="AF183" s="587" t="s">
        <v>1184</v>
      </c>
      <c r="AG183" s="584" t="s">
        <v>63</v>
      </c>
      <c r="AH183" s="580" t="s">
        <v>63</v>
      </c>
      <c r="AI183" s="580" t="s">
        <v>63</v>
      </c>
      <c r="AJ183" s="580" t="s">
        <v>63</v>
      </c>
      <c r="AK183" s="580" t="s">
        <v>63</v>
      </c>
      <c r="AL183" s="580" t="s">
        <v>63</v>
      </c>
      <c r="AM183" s="585" t="s">
        <v>66</v>
      </c>
      <c r="AN183" s="586" t="s">
        <v>120</v>
      </c>
      <c r="AO183" s="579" t="s">
        <v>71</v>
      </c>
      <c r="AP183" s="579" t="s">
        <v>72</v>
      </c>
      <c r="AQ183" s="579"/>
      <c r="AR183" s="579" t="s">
        <v>121</v>
      </c>
      <c r="AS183" s="579"/>
      <c r="AT183" s="587"/>
      <c r="AU183" s="584" t="s">
        <v>2419</v>
      </c>
      <c r="AV183" s="578" t="s">
        <v>1185</v>
      </c>
      <c r="AW183" s="588">
        <v>45383</v>
      </c>
      <c r="AX183" s="588">
        <v>47573</v>
      </c>
      <c r="AY183" s="588" t="s">
        <v>270</v>
      </c>
      <c r="AZ183" s="589" t="s">
        <v>1186</v>
      </c>
      <c r="BA183" s="589" t="s">
        <v>1187</v>
      </c>
      <c r="BB183" s="589" t="s">
        <v>1188</v>
      </c>
      <c r="BC183" s="590">
        <v>13</v>
      </c>
      <c r="BD183" s="591"/>
    </row>
    <row r="184" spans="1:56" s="560" customFormat="1" ht="16.5" customHeight="1">
      <c r="A184" s="576">
        <v>2024</v>
      </c>
      <c r="B184" s="577" t="s">
        <v>1190</v>
      </c>
      <c r="C184" s="562" t="s">
        <v>80</v>
      </c>
      <c r="D184" s="562" t="s">
        <v>2415</v>
      </c>
      <c r="E184" s="578" t="s">
        <v>1191</v>
      </c>
      <c r="F184" s="579" t="s">
        <v>139</v>
      </c>
      <c r="G184" s="578" t="s">
        <v>1180</v>
      </c>
      <c r="H184" s="579" t="s">
        <v>1181</v>
      </c>
      <c r="I184" s="579" t="s">
        <v>58</v>
      </c>
      <c r="J184" s="579" t="s">
        <v>1138</v>
      </c>
      <c r="K184" s="579" t="s">
        <v>1182</v>
      </c>
      <c r="L184" s="578" t="s">
        <v>1192</v>
      </c>
      <c r="M184" s="580" t="s">
        <v>403</v>
      </c>
      <c r="N184" s="580" t="s">
        <v>403</v>
      </c>
      <c r="O184" s="581">
        <v>5552</v>
      </c>
      <c r="P184" s="581">
        <v>998.2</v>
      </c>
      <c r="Q184" s="582"/>
      <c r="R184" s="579" t="s">
        <v>64</v>
      </c>
      <c r="S184" s="579" t="s">
        <v>151</v>
      </c>
      <c r="T184" s="580" t="s">
        <v>66</v>
      </c>
      <c r="U184" s="580" t="s">
        <v>66</v>
      </c>
      <c r="V184" s="580" t="s">
        <v>66</v>
      </c>
      <c r="W184" s="580" t="s">
        <v>66</v>
      </c>
      <c r="X184" s="580" t="s">
        <v>66</v>
      </c>
      <c r="Y184" s="580" t="s">
        <v>66</v>
      </c>
      <c r="Z184" s="580" t="s">
        <v>66</v>
      </c>
      <c r="AA184" s="578"/>
      <c r="AB184" s="580" t="s">
        <v>68</v>
      </c>
      <c r="AC184" s="579"/>
      <c r="AD184" s="580" t="s">
        <v>68</v>
      </c>
      <c r="AE184" s="579"/>
      <c r="AF184" s="587" t="s">
        <v>1193</v>
      </c>
      <c r="AG184" s="584" t="s">
        <v>63</v>
      </c>
      <c r="AH184" s="580" t="s">
        <v>63</v>
      </c>
      <c r="AI184" s="580" t="s">
        <v>63</v>
      </c>
      <c r="AJ184" s="580" t="s">
        <v>63</v>
      </c>
      <c r="AK184" s="580" t="s">
        <v>63</v>
      </c>
      <c r="AL184" s="580" t="s">
        <v>63</v>
      </c>
      <c r="AM184" s="585" t="s">
        <v>63</v>
      </c>
      <c r="AN184" s="586" t="s">
        <v>120</v>
      </c>
      <c r="AO184" s="579" t="s">
        <v>71</v>
      </c>
      <c r="AP184" s="579" t="s">
        <v>72</v>
      </c>
      <c r="AQ184" s="579"/>
      <c r="AR184" s="579" t="s">
        <v>121</v>
      </c>
      <c r="AS184" s="579"/>
      <c r="AT184" s="587"/>
      <c r="AU184" s="584" t="s">
        <v>2419</v>
      </c>
      <c r="AV184" s="578" t="s">
        <v>1185</v>
      </c>
      <c r="AW184" s="588">
        <v>45383</v>
      </c>
      <c r="AX184" s="588">
        <v>47573</v>
      </c>
      <c r="AY184" s="588" t="s">
        <v>270</v>
      </c>
      <c r="AZ184" s="589" t="s">
        <v>87</v>
      </c>
      <c r="BA184" s="589" t="s">
        <v>1187</v>
      </c>
      <c r="BB184" s="589" t="s">
        <v>1194</v>
      </c>
      <c r="BC184" s="590">
        <v>6</v>
      </c>
      <c r="BD184" s="591"/>
    </row>
    <row r="185" spans="1:56" s="560" customFormat="1" ht="16.5" customHeight="1">
      <c r="A185" s="576">
        <v>2024</v>
      </c>
      <c r="B185" s="577" t="s">
        <v>1199</v>
      </c>
      <c r="C185" s="577" t="s">
        <v>1107</v>
      </c>
      <c r="D185" s="562" t="s">
        <v>2415</v>
      </c>
      <c r="E185" s="578" t="s">
        <v>1200</v>
      </c>
      <c r="F185" s="579" t="s">
        <v>170</v>
      </c>
      <c r="G185" s="578" t="s">
        <v>2132</v>
      </c>
      <c r="H185" s="579" t="s">
        <v>1201</v>
      </c>
      <c r="I185" s="579" t="s">
        <v>58</v>
      </c>
      <c r="J185" s="579" t="s">
        <v>1138</v>
      </c>
      <c r="K185" s="579" t="s">
        <v>1182</v>
      </c>
      <c r="L185" s="578" t="s">
        <v>1202</v>
      </c>
      <c r="M185" s="580" t="s">
        <v>84</v>
      </c>
      <c r="N185" s="580" t="s">
        <v>84</v>
      </c>
      <c r="O185" s="581">
        <v>1811.18</v>
      </c>
      <c r="P185" s="581">
        <v>2795.75</v>
      </c>
      <c r="Q185" s="582"/>
      <c r="R185" s="579" t="s">
        <v>64</v>
      </c>
      <c r="S185" s="579" t="s">
        <v>151</v>
      </c>
      <c r="T185" s="580" t="s">
        <v>66</v>
      </c>
      <c r="U185" s="580" t="s">
        <v>66</v>
      </c>
      <c r="V185" s="580" t="s">
        <v>66</v>
      </c>
      <c r="W185" s="580" t="s">
        <v>66</v>
      </c>
      <c r="X185" s="580" t="s">
        <v>66</v>
      </c>
      <c r="Y185" s="580" t="s">
        <v>66</v>
      </c>
      <c r="Z185" s="580" t="s">
        <v>66</v>
      </c>
      <c r="AA185" s="578"/>
      <c r="AB185" s="580" t="s">
        <v>68</v>
      </c>
      <c r="AC185" s="579"/>
      <c r="AD185" s="580" t="s">
        <v>68</v>
      </c>
      <c r="AE185" s="579"/>
      <c r="AF185" s="587" t="s">
        <v>1203</v>
      </c>
      <c r="AG185" s="584" t="s">
        <v>63</v>
      </c>
      <c r="AH185" s="580" t="s">
        <v>63</v>
      </c>
      <c r="AI185" s="580" t="s">
        <v>63</v>
      </c>
      <c r="AJ185" s="580" t="s">
        <v>63</v>
      </c>
      <c r="AK185" s="580" t="s">
        <v>63</v>
      </c>
      <c r="AL185" s="580" t="s">
        <v>63</v>
      </c>
      <c r="AM185" s="585" t="s">
        <v>63</v>
      </c>
      <c r="AN185" s="586" t="s">
        <v>70</v>
      </c>
      <c r="AO185" s="579" t="s">
        <v>71</v>
      </c>
      <c r="AP185" s="579" t="s">
        <v>72</v>
      </c>
      <c r="AQ185" s="579"/>
      <c r="AR185" s="579" t="s">
        <v>73</v>
      </c>
      <c r="AS185" s="579"/>
      <c r="AT185" s="587"/>
      <c r="AU185" s="584" t="s">
        <v>74</v>
      </c>
      <c r="AV185" s="578"/>
      <c r="AW185" s="588"/>
      <c r="AX185" s="588"/>
      <c r="AY185" s="588"/>
      <c r="AZ185" s="589" t="s">
        <v>1943</v>
      </c>
      <c r="BA185" s="589" t="s">
        <v>1052</v>
      </c>
      <c r="BB185" s="589" t="s">
        <v>2164</v>
      </c>
      <c r="BC185" s="590">
        <v>4</v>
      </c>
      <c r="BD185" s="591"/>
    </row>
    <row r="186" spans="1:56" s="560" customFormat="1" ht="16.5" customHeight="1">
      <c r="A186" s="561">
        <v>2024</v>
      </c>
      <c r="B186" s="577" t="s">
        <v>1205</v>
      </c>
      <c r="C186" s="562" t="s">
        <v>1111</v>
      </c>
      <c r="D186" s="562" t="s">
        <v>2415</v>
      </c>
      <c r="E186" s="578" t="s">
        <v>1206</v>
      </c>
      <c r="F186" s="579" t="s">
        <v>708</v>
      </c>
      <c r="G186" s="578" t="s">
        <v>1207</v>
      </c>
      <c r="H186" s="579" t="s">
        <v>1209</v>
      </c>
      <c r="I186" s="579" t="s">
        <v>58</v>
      </c>
      <c r="J186" s="579" t="s">
        <v>1210</v>
      </c>
      <c r="K186" s="579" t="s">
        <v>1211</v>
      </c>
      <c r="L186" s="578" t="s">
        <v>1212</v>
      </c>
      <c r="M186" s="580" t="s">
        <v>1213</v>
      </c>
      <c r="N186" s="580" t="s">
        <v>1213</v>
      </c>
      <c r="O186" s="581">
        <v>5226.91</v>
      </c>
      <c r="P186" s="581">
        <v>8185.5599999999995</v>
      </c>
      <c r="Q186" s="582"/>
      <c r="R186" s="579" t="s">
        <v>93</v>
      </c>
      <c r="S186" s="579" t="s">
        <v>151</v>
      </c>
      <c r="T186" s="580" t="s">
        <v>66</v>
      </c>
      <c r="U186" s="580" t="s">
        <v>66</v>
      </c>
      <c r="V186" s="580" t="s">
        <v>66</v>
      </c>
      <c r="W186" s="580" t="s">
        <v>66</v>
      </c>
      <c r="X186" s="580" t="s">
        <v>66</v>
      </c>
      <c r="Y186" s="580" t="s">
        <v>66</v>
      </c>
      <c r="Z186" s="580" t="s">
        <v>66</v>
      </c>
      <c r="AA186" s="578"/>
      <c r="AB186" s="580" t="s">
        <v>68</v>
      </c>
      <c r="AC186" s="579"/>
      <c r="AD186" s="580" t="s">
        <v>68</v>
      </c>
      <c r="AE186" s="579"/>
      <c r="AF186" s="587" t="s">
        <v>1214</v>
      </c>
      <c r="AG186" s="584" t="s">
        <v>66</v>
      </c>
      <c r="AH186" s="580" t="s">
        <v>66</v>
      </c>
      <c r="AI186" s="580" t="s">
        <v>66</v>
      </c>
      <c r="AJ186" s="580" t="s">
        <v>66</v>
      </c>
      <c r="AK186" s="580" t="s">
        <v>66</v>
      </c>
      <c r="AL186" s="580" t="s">
        <v>66</v>
      </c>
      <c r="AM186" s="585" t="s">
        <v>66</v>
      </c>
      <c r="AN186" s="586" t="s">
        <v>1215</v>
      </c>
      <c r="AO186" s="579" t="s">
        <v>2558</v>
      </c>
      <c r="AP186" s="579" t="s">
        <v>72</v>
      </c>
      <c r="AQ186" s="579"/>
      <c r="AR186" s="579" t="s">
        <v>73</v>
      </c>
      <c r="AS186" s="579"/>
      <c r="AT186" s="587"/>
      <c r="AU186" s="584" t="s">
        <v>2420</v>
      </c>
      <c r="AV186" s="578" t="s">
        <v>1545</v>
      </c>
      <c r="AW186" s="588">
        <v>45383</v>
      </c>
      <c r="AX186" s="588">
        <v>47208</v>
      </c>
      <c r="AY186" s="588" t="s">
        <v>152</v>
      </c>
      <c r="AZ186" s="589"/>
      <c r="BA186" s="589"/>
      <c r="BB186" s="589"/>
      <c r="BC186" s="590">
        <v>69</v>
      </c>
      <c r="BD186" s="591"/>
    </row>
    <row r="187" spans="1:56" s="560" customFormat="1" ht="16.5" customHeight="1">
      <c r="A187" s="576">
        <v>2024</v>
      </c>
      <c r="B187" s="577" t="s">
        <v>1217</v>
      </c>
      <c r="C187" s="577" t="s">
        <v>1112</v>
      </c>
      <c r="D187" s="562" t="s">
        <v>2415</v>
      </c>
      <c r="E187" s="578" t="s">
        <v>1218</v>
      </c>
      <c r="F187" s="579" t="s">
        <v>708</v>
      </c>
      <c r="G187" s="578" t="s">
        <v>1207</v>
      </c>
      <c r="H187" s="579" t="s">
        <v>1219</v>
      </c>
      <c r="I187" s="579" t="s">
        <v>58</v>
      </c>
      <c r="J187" s="579" t="s">
        <v>1210</v>
      </c>
      <c r="K187" s="579" t="s">
        <v>1211</v>
      </c>
      <c r="L187" s="578" t="s">
        <v>1212</v>
      </c>
      <c r="M187" s="580" t="s">
        <v>1213</v>
      </c>
      <c r="N187" s="580" t="s">
        <v>1213</v>
      </c>
      <c r="O187" s="581">
        <v>2000.04</v>
      </c>
      <c r="P187" s="581">
        <v>2731.48</v>
      </c>
      <c r="Q187" s="582"/>
      <c r="R187" s="579" t="s">
        <v>662</v>
      </c>
      <c r="S187" s="579" t="s">
        <v>151</v>
      </c>
      <c r="T187" s="580" t="s">
        <v>66</v>
      </c>
      <c r="U187" s="580" t="s">
        <v>66</v>
      </c>
      <c r="V187" s="580" t="s">
        <v>66</v>
      </c>
      <c r="W187" s="580" t="s">
        <v>66</v>
      </c>
      <c r="X187" s="580" t="s">
        <v>66</v>
      </c>
      <c r="Y187" s="580" t="s">
        <v>66</v>
      </c>
      <c r="Z187" s="580" t="s">
        <v>66</v>
      </c>
      <c r="AA187" s="578"/>
      <c r="AB187" s="580" t="s">
        <v>68</v>
      </c>
      <c r="AC187" s="579"/>
      <c r="AD187" s="580" t="s">
        <v>68</v>
      </c>
      <c r="AE187" s="579"/>
      <c r="AF187" s="587" t="s">
        <v>1214</v>
      </c>
      <c r="AG187" s="584" t="s">
        <v>66</v>
      </c>
      <c r="AH187" s="580" t="s">
        <v>66</v>
      </c>
      <c r="AI187" s="580" t="s">
        <v>66</v>
      </c>
      <c r="AJ187" s="580" t="s">
        <v>66</v>
      </c>
      <c r="AK187" s="580" t="s">
        <v>66</v>
      </c>
      <c r="AL187" s="580" t="s">
        <v>66</v>
      </c>
      <c r="AM187" s="585" t="s">
        <v>66</v>
      </c>
      <c r="AN187" s="586" t="s">
        <v>120</v>
      </c>
      <c r="AO187" s="579" t="s">
        <v>71</v>
      </c>
      <c r="AP187" s="579" t="s">
        <v>72</v>
      </c>
      <c r="AQ187" s="579"/>
      <c r="AR187" s="579" t="s">
        <v>121</v>
      </c>
      <c r="AS187" s="579"/>
      <c r="AT187" s="587" t="s">
        <v>1220</v>
      </c>
      <c r="AU187" s="584" t="s">
        <v>2420</v>
      </c>
      <c r="AV187" s="578" t="s">
        <v>1545</v>
      </c>
      <c r="AW187" s="588">
        <v>45383</v>
      </c>
      <c r="AX187" s="588">
        <v>47208</v>
      </c>
      <c r="AY187" s="588" t="s">
        <v>152</v>
      </c>
      <c r="AZ187" s="589"/>
      <c r="BA187" s="589"/>
      <c r="BB187" s="589"/>
      <c r="BC187" s="590">
        <v>23</v>
      </c>
      <c r="BD187" s="591"/>
    </row>
    <row r="188" spans="1:56" s="560" customFormat="1" ht="16.5" customHeight="1">
      <c r="A188" s="576">
        <v>2024</v>
      </c>
      <c r="B188" s="577" t="s">
        <v>1222</v>
      </c>
      <c r="C188" s="562" t="s">
        <v>1116</v>
      </c>
      <c r="D188" s="562" t="s">
        <v>2415</v>
      </c>
      <c r="E188" s="578" t="s">
        <v>1223</v>
      </c>
      <c r="F188" s="579" t="s">
        <v>708</v>
      </c>
      <c r="G188" s="578" t="s">
        <v>1207</v>
      </c>
      <c r="H188" s="579" t="s">
        <v>1224</v>
      </c>
      <c r="I188" s="579" t="s">
        <v>58</v>
      </c>
      <c r="J188" s="579" t="s">
        <v>1210</v>
      </c>
      <c r="K188" s="579" t="s">
        <v>1211</v>
      </c>
      <c r="L188" s="578" t="s">
        <v>2478</v>
      </c>
      <c r="M188" s="580" t="s">
        <v>994</v>
      </c>
      <c r="N188" s="580" t="s">
        <v>994</v>
      </c>
      <c r="O188" s="581">
        <v>10641.74</v>
      </c>
      <c r="P188" s="581">
        <v>10631.07</v>
      </c>
      <c r="Q188" s="582"/>
      <c r="R188" s="579" t="s">
        <v>662</v>
      </c>
      <c r="S188" s="579" t="s">
        <v>151</v>
      </c>
      <c r="T188" s="580" t="s">
        <v>66</v>
      </c>
      <c r="U188" s="580" t="s">
        <v>66</v>
      </c>
      <c r="V188" s="580" t="s">
        <v>66</v>
      </c>
      <c r="W188" s="580" t="s">
        <v>66</v>
      </c>
      <c r="X188" s="580" t="s">
        <v>66</v>
      </c>
      <c r="Y188" s="580" t="s">
        <v>66</v>
      </c>
      <c r="Z188" s="580" t="s">
        <v>66</v>
      </c>
      <c r="AA188" s="578"/>
      <c r="AB188" s="580" t="s">
        <v>68</v>
      </c>
      <c r="AC188" s="579"/>
      <c r="AD188" s="580" t="s">
        <v>68</v>
      </c>
      <c r="AE188" s="579"/>
      <c r="AF188" s="587" t="s">
        <v>1214</v>
      </c>
      <c r="AG188" s="584" t="s">
        <v>66</v>
      </c>
      <c r="AH188" s="580" t="s">
        <v>66</v>
      </c>
      <c r="AI188" s="580" t="s">
        <v>66</v>
      </c>
      <c r="AJ188" s="580" t="s">
        <v>66</v>
      </c>
      <c r="AK188" s="580" t="s">
        <v>66</v>
      </c>
      <c r="AL188" s="580" t="s">
        <v>66</v>
      </c>
      <c r="AM188" s="585" t="s">
        <v>66</v>
      </c>
      <c r="AN188" s="586" t="s">
        <v>164</v>
      </c>
      <c r="AO188" s="579" t="s">
        <v>71</v>
      </c>
      <c r="AP188" s="579" t="s">
        <v>72</v>
      </c>
      <c r="AQ188" s="579"/>
      <c r="AR188" s="579" t="s">
        <v>121</v>
      </c>
      <c r="AS188" s="579"/>
      <c r="AT188" s="587"/>
      <c r="AU188" s="584" t="s">
        <v>2420</v>
      </c>
      <c r="AV188" s="578" t="s">
        <v>1545</v>
      </c>
      <c r="AW188" s="588">
        <v>45383</v>
      </c>
      <c r="AX188" s="588">
        <v>47208</v>
      </c>
      <c r="AY188" s="588" t="s">
        <v>152</v>
      </c>
      <c r="AZ188" s="589"/>
      <c r="BA188" s="589"/>
      <c r="BB188" s="589"/>
      <c r="BC188" s="590">
        <v>58</v>
      </c>
      <c r="BD188" s="591"/>
    </row>
    <row r="189" spans="1:56" s="560" customFormat="1" ht="16.5" customHeight="1">
      <c r="A189" s="576">
        <v>2024</v>
      </c>
      <c r="B189" s="577" t="s">
        <v>1232</v>
      </c>
      <c r="C189" s="577" t="s">
        <v>1119</v>
      </c>
      <c r="D189" s="562" t="s">
        <v>2415</v>
      </c>
      <c r="E189" s="578" t="s">
        <v>1233</v>
      </c>
      <c r="F189" s="579" t="s">
        <v>708</v>
      </c>
      <c r="G189" s="578" t="s">
        <v>1207</v>
      </c>
      <c r="H189" s="579" t="s">
        <v>1234</v>
      </c>
      <c r="I189" s="579" t="s">
        <v>58</v>
      </c>
      <c r="J189" s="579" t="s">
        <v>1210</v>
      </c>
      <c r="K189" s="579" t="s">
        <v>1211</v>
      </c>
      <c r="L189" s="578" t="s">
        <v>1212</v>
      </c>
      <c r="M189" s="580" t="s">
        <v>860</v>
      </c>
      <c r="N189" s="580" t="s">
        <v>860</v>
      </c>
      <c r="O189" s="581">
        <v>3259.76</v>
      </c>
      <c r="P189" s="581">
        <v>2780.1</v>
      </c>
      <c r="Q189" s="582"/>
      <c r="R189" s="579" t="s">
        <v>503</v>
      </c>
      <c r="S189" s="579" t="s">
        <v>151</v>
      </c>
      <c r="T189" s="580" t="s">
        <v>66</v>
      </c>
      <c r="U189" s="580" t="s">
        <v>66</v>
      </c>
      <c r="V189" s="580" t="s">
        <v>66</v>
      </c>
      <c r="W189" s="580" t="s">
        <v>66</v>
      </c>
      <c r="X189" s="580" t="s">
        <v>66</v>
      </c>
      <c r="Y189" s="580" t="s">
        <v>66</v>
      </c>
      <c r="Z189" s="580" t="s">
        <v>66</v>
      </c>
      <c r="AA189" s="578"/>
      <c r="AB189" s="580" t="s">
        <v>68</v>
      </c>
      <c r="AC189" s="579"/>
      <c r="AD189" s="580" t="s">
        <v>68</v>
      </c>
      <c r="AE189" s="579"/>
      <c r="AF189" s="587" t="s">
        <v>1214</v>
      </c>
      <c r="AG189" s="584" t="s">
        <v>66</v>
      </c>
      <c r="AH189" s="580" t="s">
        <v>66</v>
      </c>
      <c r="AI189" s="580" t="s">
        <v>66</v>
      </c>
      <c r="AJ189" s="580" t="s">
        <v>66</v>
      </c>
      <c r="AK189" s="580" t="s">
        <v>66</v>
      </c>
      <c r="AL189" s="580" t="s">
        <v>66</v>
      </c>
      <c r="AM189" s="585" t="s">
        <v>66</v>
      </c>
      <c r="AN189" s="586" t="s">
        <v>1070</v>
      </c>
      <c r="AO189" s="579" t="s">
        <v>71</v>
      </c>
      <c r="AP189" s="579" t="s">
        <v>72</v>
      </c>
      <c r="AQ189" s="579"/>
      <c r="AR189" s="579" t="s">
        <v>121</v>
      </c>
      <c r="AS189" s="579"/>
      <c r="AT189" s="587"/>
      <c r="AU189" s="584" t="s">
        <v>2420</v>
      </c>
      <c r="AV189" s="578" t="s">
        <v>1545</v>
      </c>
      <c r="AW189" s="588">
        <v>45383</v>
      </c>
      <c r="AX189" s="588">
        <v>47208</v>
      </c>
      <c r="AY189" s="588" t="s">
        <v>152</v>
      </c>
      <c r="AZ189" s="589"/>
      <c r="BA189" s="589"/>
      <c r="BB189" s="589"/>
      <c r="BC189" s="590"/>
      <c r="BD189" s="591"/>
    </row>
    <row r="190" spans="1:56" s="560" customFormat="1" ht="16.5" customHeight="1">
      <c r="A190" s="561">
        <v>2024</v>
      </c>
      <c r="B190" s="577" t="s">
        <v>1236</v>
      </c>
      <c r="C190" s="562" t="s">
        <v>1120</v>
      </c>
      <c r="D190" s="562" t="s">
        <v>2415</v>
      </c>
      <c r="E190" s="578" t="s">
        <v>1237</v>
      </c>
      <c r="F190" s="579" t="s">
        <v>708</v>
      </c>
      <c r="G190" s="578" t="s">
        <v>1207</v>
      </c>
      <c r="H190" s="579" t="s">
        <v>1238</v>
      </c>
      <c r="I190" s="579" t="s">
        <v>58</v>
      </c>
      <c r="J190" s="579" t="s">
        <v>1210</v>
      </c>
      <c r="K190" s="579" t="s">
        <v>1211</v>
      </c>
      <c r="L190" s="578" t="s">
        <v>1212</v>
      </c>
      <c r="M190" s="580" t="s">
        <v>1074</v>
      </c>
      <c r="N190" s="580" t="s">
        <v>1074</v>
      </c>
      <c r="O190" s="581">
        <v>11168.93</v>
      </c>
      <c r="P190" s="581">
        <v>11940.65</v>
      </c>
      <c r="Q190" s="582"/>
      <c r="R190" s="579" t="s">
        <v>93</v>
      </c>
      <c r="S190" s="579" t="s">
        <v>151</v>
      </c>
      <c r="T190" s="580" t="s">
        <v>66</v>
      </c>
      <c r="U190" s="580" t="s">
        <v>66</v>
      </c>
      <c r="V190" s="580" t="s">
        <v>66</v>
      </c>
      <c r="W190" s="580" t="s">
        <v>66</v>
      </c>
      <c r="X190" s="580" t="s">
        <v>66</v>
      </c>
      <c r="Y190" s="580" t="s">
        <v>66</v>
      </c>
      <c r="Z190" s="580" t="s">
        <v>66</v>
      </c>
      <c r="AA190" s="578"/>
      <c r="AB190" s="580" t="s">
        <v>68</v>
      </c>
      <c r="AC190" s="579"/>
      <c r="AD190" s="580" t="s">
        <v>68</v>
      </c>
      <c r="AE190" s="579"/>
      <c r="AF190" s="587" t="s">
        <v>1214</v>
      </c>
      <c r="AG190" s="584" t="s">
        <v>66</v>
      </c>
      <c r="AH190" s="580" t="s">
        <v>66</v>
      </c>
      <c r="AI190" s="580" t="s">
        <v>66</v>
      </c>
      <c r="AJ190" s="580" t="s">
        <v>66</v>
      </c>
      <c r="AK190" s="580" t="s">
        <v>66</v>
      </c>
      <c r="AL190" s="580" t="s">
        <v>66</v>
      </c>
      <c r="AM190" s="585" t="s">
        <v>66</v>
      </c>
      <c r="AN190" s="586" t="s">
        <v>164</v>
      </c>
      <c r="AO190" s="579" t="s">
        <v>71</v>
      </c>
      <c r="AP190" s="579" t="s">
        <v>72</v>
      </c>
      <c r="AQ190" s="579"/>
      <c r="AR190" s="579" t="s">
        <v>121</v>
      </c>
      <c r="AS190" s="579"/>
      <c r="AT190" s="587"/>
      <c r="AU190" s="584" t="s">
        <v>2420</v>
      </c>
      <c r="AV190" s="578" t="s">
        <v>1545</v>
      </c>
      <c r="AW190" s="588">
        <v>45383</v>
      </c>
      <c r="AX190" s="588">
        <v>47208</v>
      </c>
      <c r="AY190" s="588" t="s">
        <v>152</v>
      </c>
      <c r="AZ190" s="589"/>
      <c r="BA190" s="589"/>
      <c r="BB190" s="589"/>
      <c r="BC190" s="590">
        <v>137</v>
      </c>
      <c r="BD190" s="591"/>
    </row>
    <row r="191" spans="1:56" s="560" customFormat="1" ht="16.5" customHeight="1">
      <c r="A191" s="576">
        <v>2024</v>
      </c>
      <c r="B191" s="577" t="s">
        <v>1239</v>
      </c>
      <c r="C191" s="577" t="s">
        <v>1124</v>
      </c>
      <c r="D191" s="562" t="s">
        <v>2415</v>
      </c>
      <c r="E191" s="578" t="s">
        <v>1240</v>
      </c>
      <c r="F191" s="579" t="s">
        <v>708</v>
      </c>
      <c r="G191" s="578" t="s">
        <v>1207</v>
      </c>
      <c r="H191" s="579" t="s">
        <v>469</v>
      </c>
      <c r="I191" s="579" t="s">
        <v>58</v>
      </c>
      <c r="J191" s="579" t="s">
        <v>1210</v>
      </c>
      <c r="K191" s="579" t="s">
        <v>1211</v>
      </c>
      <c r="L191" s="578" t="s">
        <v>1212</v>
      </c>
      <c r="M191" s="580" t="s">
        <v>892</v>
      </c>
      <c r="N191" s="580" t="s">
        <v>892</v>
      </c>
      <c r="O191" s="581">
        <v>6767.49</v>
      </c>
      <c r="P191" s="581">
        <v>5709.64</v>
      </c>
      <c r="Q191" s="582"/>
      <c r="R191" s="579" t="s">
        <v>240</v>
      </c>
      <c r="S191" s="579" t="s">
        <v>151</v>
      </c>
      <c r="T191" s="580" t="s">
        <v>66</v>
      </c>
      <c r="U191" s="580" t="s">
        <v>66</v>
      </c>
      <c r="V191" s="580" t="s">
        <v>66</v>
      </c>
      <c r="W191" s="580" t="s">
        <v>66</v>
      </c>
      <c r="X191" s="580" t="s">
        <v>66</v>
      </c>
      <c r="Y191" s="580" t="s">
        <v>66</v>
      </c>
      <c r="Z191" s="580" t="s">
        <v>66</v>
      </c>
      <c r="AA191" s="578"/>
      <c r="AB191" s="580" t="s">
        <v>68</v>
      </c>
      <c r="AC191" s="579"/>
      <c r="AD191" s="580" t="s">
        <v>68</v>
      </c>
      <c r="AE191" s="579"/>
      <c r="AF191" s="587" t="s">
        <v>1214</v>
      </c>
      <c r="AG191" s="584" t="s">
        <v>66</v>
      </c>
      <c r="AH191" s="580" t="s">
        <v>66</v>
      </c>
      <c r="AI191" s="580" t="s">
        <v>66</v>
      </c>
      <c r="AJ191" s="580" t="s">
        <v>66</v>
      </c>
      <c r="AK191" s="580" t="s">
        <v>66</v>
      </c>
      <c r="AL191" s="580" t="s">
        <v>66</v>
      </c>
      <c r="AM191" s="585" t="s">
        <v>66</v>
      </c>
      <c r="AN191" s="586" t="s">
        <v>164</v>
      </c>
      <c r="AO191" s="579" t="s">
        <v>71</v>
      </c>
      <c r="AP191" s="579" t="s">
        <v>72</v>
      </c>
      <c r="AQ191" s="579"/>
      <c r="AR191" s="579" t="s">
        <v>121</v>
      </c>
      <c r="AS191" s="579"/>
      <c r="AT191" s="587"/>
      <c r="AU191" s="584" t="s">
        <v>2420</v>
      </c>
      <c r="AV191" s="578" t="s">
        <v>1545</v>
      </c>
      <c r="AW191" s="588">
        <v>45383</v>
      </c>
      <c r="AX191" s="588">
        <v>47208</v>
      </c>
      <c r="AY191" s="588" t="s">
        <v>152</v>
      </c>
      <c r="AZ191" s="589"/>
      <c r="BA191" s="589"/>
      <c r="BB191" s="589"/>
      <c r="BC191" s="590"/>
      <c r="BD191" s="591"/>
    </row>
    <row r="192" spans="1:56" s="560" customFormat="1" ht="16.5" customHeight="1">
      <c r="A192" s="576">
        <v>2024</v>
      </c>
      <c r="B192" s="577" t="s">
        <v>1242</v>
      </c>
      <c r="C192" s="562" t="s">
        <v>1128</v>
      </c>
      <c r="D192" s="562" t="s">
        <v>2415</v>
      </c>
      <c r="E192" s="578" t="s">
        <v>1243</v>
      </c>
      <c r="F192" s="579" t="s">
        <v>708</v>
      </c>
      <c r="G192" s="578" t="s">
        <v>1207</v>
      </c>
      <c r="H192" s="579" t="s">
        <v>1244</v>
      </c>
      <c r="I192" s="579" t="s">
        <v>58</v>
      </c>
      <c r="J192" s="579" t="s">
        <v>1210</v>
      </c>
      <c r="K192" s="579" t="s">
        <v>1211</v>
      </c>
      <c r="L192" s="578" t="s">
        <v>1212</v>
      </c>
      <c r="M192" s="580" t="s">
        <v>83</v>
      </c>
      <c r="N192" s="580" t="s">
        <v>83</v>
      </c>
      <c r="O192" s="581">
        <v>981.81</v>
      </c>
      <c r="P192" s="581">
        <v>837.6</v>
      </c>
      <c r="Q192" s="582"/>
      <c r="R192" s="579" t="s">
        <v>503</v>
      </c>
      <c r="S192" s="579" t="s">
        <v>151</v>
      </c>
      <c r="T192" s="580" t="s">
        <v>66</v>
      </c>
      <c r="U192" s="580" t="s">
        <v>66</v>
      </c>
      <c r="V192" s="580" t="s">
        <v>66</v>
      </c>
      <c r="W192" s="580" t="s">
        <v>66</v>
      </c>
      <c r="X192" s="580" t="s">
        <v>66</v>
      </c>
      <c r="Y192" s="580" t="s">
        <v>66</v>
      </c>
      <c r="Z192" s="580" t="s">
        <v>66</v>
      </c>
      <c r="AA192" s="578"/>
      <c r="AB192" s="580" t="s">
        <v>68</v>
      </c>
      <c r="AC192" s="579"/>
      <c r="AD192" s="580" t="s">
        <v>68</v>
      </c>
      <c r="AE192" s="579"/>
      <c r="AF192" s="587" t="s">
        <v>1214</v>
      </c>
      <c r="AG192" s="584" t="s">
        <v>66</v>
      </c>
      <c r="AH192" s="580" t="s">
        <v>66</v>
      </c>
      <c r="AI192" s="580" t="s">
        <v>66</v>
      </c>
      <c r="AJ192" s="580" t="s">
        <v>66</v>
      </c>
      <c r="AK192" s="580" t="s">
        <v>66</v>
      </c>
      <c r="AL192" s="580" t="s">
        <v>66</v>
      </c>
      <c r="AM192" s="585" t="s">
        <v>66</v>
      </c>
      <c r="AN192" s="586" t="s">
        <v>164</v>
      </c>
      <c r="AO192" s="579" t="s">
        <v>71</v>
      </c>
      <c r="AP192" s="579" t="s">
        <v>72</v>
      </c>
      <c r="AQ192" s="579"/>
      <c r="AR192" s="579" t="s">
        <v>121</v>
      </c>
      <c r="AS192" s="579"/>
      <c r="AT192" s="587"/>
      <c r="AU192" s="584" t="s">
        <v>2420</v>
      </c>
      <c r="AV192" s="578" t="s">
        <v>1545</v>
      </c>
      <c r="AW192" s="588">
        <v>45383</v>
      </c>
      <c r="AX192" s="588">
        <v>47208</v>
      </c>
      <c r="AY192" s="588" t="s">
        <v>152</v>
      </c>
      <c r="AZ192" s="589"/>
      <c r="BA192" s="589"/>
      <c r="BB192" s="589"/>
      <c r="BC192" s="590"/>
      <c r="BD192" s="591"/>
    </row>
    <row r="193" spans="1:56" s="560" customFormat="1" ht="16.5" customHeight="1">
      <c r="A193" s="561">
        <v>2024</v>
      </c>
      <c r="B193" s="577" t="s">
        <v>1246</v>
      </c>
      <c r="C193" s="577" t="s">
        <v>1132</v>
      </c>
      <c r="D193" s="562" t="s">
        <v>2415</v>
      </c>
      <c r="E193" s="578" t="s">
        <v>1247</v>
      </c>
      <c r="F193" s="579" t="s">
        <v>708</v>
      </c>
      <c r="G193" s="578" t="s">
        <v>1207</v>
      </c>
      <c r="H193" s="579" t="s">
        <v>1248</v>
      </c>
      <c r="I193" s="579" t="s">
        <v>58</v>
      </c>
      <c r="J193" s="579" t="s">
        <v>1210</v>
      </c>
      <c r="K193" s="579" t="s">
        <v>1211</v>
      </c>
      <c r="L193" s="578" t="s">
        <v>1212</v>
      </c>
      <c r="M193" s="580" t="s">
        <v>106</v>
      </c>
      <c r="N193" s="580" t="s">
        <v>106</v>
      </c>
      <c r="O193" s="581">
        <v>5118.59</v>
      </c>
      <c r="P193" s="581">
        <v>6323.9100000000008</v>
      </c>
      <c r="Q193" s="582"/>
      <c r="R193" s="579" t="s">
        <v>240</v>
      </c>
      <c r="S193" s="579" t="s">
        <v>151</v>
      </c>
      <c r="T193" s="580" t="s">
        <v>66</v>
      </c>
      <c r="U193" s="580" t="s">
        <v>66</v>
      </c>
      <c r="V193" s="580" t="s">
        <v>66</v>
      </c>
      <c r="W193" s="580" t="s">
        <v>66</v>
      </c>
      <c r="X193" s="580" t="s">
        <v>66</v>
      </c>
      <c r="Y193" s="580" t="s">
        <v>66</v>
      </c>
      <c r="Z193" s="580" t="s">
        <v>66</v>
      </c>
      <c r="AA193" s="578"/>
      <c r="AB193" s="580" t="s">
        <v>68</v>
      </c>
      <c r="AC193" s="579"/>
      <c r="AD193" s="580" t="s">
        <v>68</v>
      </c>
      <c r="AE193" s="579"/>
      <c r="AF193" s="587" t="s">
        <v>1214</v>
      </c>
      <c r="AG193" s="584" t="s">
        <v>66</v>
      </c>
      <c r="AH193" s="580" t="s">
        <v>66</v>
      </c>
      <c r="AI193" s="580" t="s">
        <v>66</v>
      </c>
      <c r="AJ193" s="580" t="s">
        <v>66</v>
      </c>
      <c r="AK193" s="580" t="s">
        <v>66</v>
      </c>
      <c r="AL193" s="580" t="s">
        <v>66</v>
      </c>
      <c r="AM193" s="585" t="s">
        <v>66</v>
      </c>
      <c r="AN193" s="586" t="s">
        <v>164</v>
      </c>
      <c r="AO193" s="579" t="s">
        <v>71</v>
      </c>
      <c r="AP193" s="579" t="s">
        <v>72</v>
      </c>
      <c r="AQ193" s="579"/>
      <c r="AR193" s="579" t="s">
        <v>121</v>
      </c>
      <c r="AS193" s="579"/>
      <c r="AT193" s="587"/>
      <c r="AU193" s="584" t="s">
        <v>2420</v>
      </c>
      <c r="AV193" s="578" t="s">
        <v>1545</v>
      </c>
      <c r="AW193" s="588">
        <v>45383</v>
      </c>
      <c r="AX193" s="588">
        <v>47208</v>
      </c>
      <c r="AY193" s="588" t="s">
        <v>152</v>
      </c>
      <c r="AZ193" s="589"/>
      <c r="BA193" s="589"/>
      <c r="BB193" s="589"/>
      <c r="BC193" s="590"/>
      <c r="BD193" s="591"/>
    </row>
    <row r="194" spans="1:56" s="560" customFormat="1" ht="16.5" customHeight="1">
      <c r="A194" s="576">
        <v>2024</v>
      </c>
      <c r="B194" s="577" t="s">
        <v>1250</v>
      </c>
      <c r="C194" s="562" t="s">
        <v>1145</v>
      </c>
      <c r="D194" s="562" t="s">
        <v>2415</v>
      </c>
      <c r="E194" s="578" t="s">
        <v>1251</v>
      </c>
      <c r="F194" s="579" t="s">
        <v>708</v>
      </c>
      <c r="G194" s="578" t="s">
        <v>1207</v>
      </c>
      <c r="H194" s="579" t="s">
        <v>2217</v>
      </c>
      <c r="I194" s="579" t="s">
        <v>58</v>
      </c>
      <c r="J194" s="579" t="s">
        <v>1210</v>
      </c>
      <c r="K194" s="579" t="s">
        <v>1211</v>
      </c>
      <c r="L194" s="578" t="s">
        <v>1993</v>
      </c>
      <c r="M194" s="580" t="s">
        <v>83</v>
      </c>
      <c r="N194" s="580" t="s">
        <v>83</v>
      </c>
      <c r="O194" s="581">
        <v>1982.78</v>
      </c>
      <c r="P194" s="581">
        <v>1295.4000000000001</v>
      </c>
      <c r="Q194" s="582"/>
      <c r="R194" s="579" t="s">
        <v>93</v>
      </c>
      <c r="S194" s="579" t="s">
        <v>151</v>
      </c>
      <c r="T194" s="580" t="s">
        <v>66</v>
      </c>
      <c r="U194" s="580" t="s">
        <v>66</v>
      </c>
      <c r="V194" s="580" t="s">
        <v>66</v>
      </c>
      <c r="W194" s="580" t="s">
        <v>66</v>
      </c>
      <c r="X194" s="580" t="s">
        <v>66</v>
      </c>
      <c r="Y194" s="580" t="s">
        <v>66</v>
      </c>
      <c r="Z194" s="580" t="s">
        <v>66</v>
      </c>
      <c r="AA194" s="578"/>
      <c r="AB194" s="580" t="s">
        <v>68</v>
      </c>
      <c r="AC194" s="579"/>
      <c r="AD194" s="580" t="s">
        <v>68</v>
      </c>
      <c r="AE194" s="579"/>
      <c r="AF194" s="587" t="s">
        <v>1214</v>
      </c>
      <c r="AG194" s="584" t="s">
        <v>66</v>
      </c>
      <c r="AH194" s="580" t="s">
        <v>66</v>
      </c>
      <c r="AI194" s="580" t="s">
        <v>66</v>
      </c>
      <c r="AJ194" s="580" t="s">
        <v>66</v>
      </c>
      <c r="AK194" s="580" t="s">
        <v>66</v>
      </c>
      <c r="AL194" s="580" t="s">
        <v>66</v>
      </c>
      <c r="AM194" s="585" t="s">
        <v>66</v>
      </c>
      <c r="AN194" s="586" t="s">
        <v>95</v>
      </c>
      <c r="AO194" s="579" t="s">
        <v>71</v>
      </c>
      <c r="AP194" s="579" t="s">
        <v>72</v>
      </c>
      <c r="AQ194" s="579"/>
      <c r="AR194" s="579" t="s">
        <v>73</v>
      </c>
      <c r="AS194" s="579"/>
      <c r="AT194" s="587"/>
      <c r="AU194" s="584" t="s">
        <v>2420</v>
      </c>
      <c r="AV194" s="578" t="s">
        <v>1545</v>
      </c>
      <c r="AW194" s="588">
        <v>45383</v>
      </c>
      <c r="AX194" s="588">
        <v>47208</v>
      </c>
      <c r="AY194" s="588" t="s">
        <v>152</v>
      </c>
      <c r="AZ194" s="589"/>
      <c r="BA194" s="589"/>
      <c r="BB194" s="589"/>
      <c r="BC194" s="590"/>
      <c r="BD194" s="591"/>
    </row>
    <row r="195" spans="1:56" s="560" customFormat="1" ht="16.5" customHeight="1">
      <c r="A195" s="576">
        <v>2024</v>
      </c>
      <c r="B195" s="577" t="s">
        <v>1255</v>
      </c>
      <c r="C195" s="577" t="s">
        <v>1155</v>
      </c>
      <c r="D195" s="562" t="s">
        <v>2415</v>
      </c>
      <c r="E195" s="578" t="s">
        <v>1256</v>
      </c>
      <c r="F195" s="579" t="s">
        <v>708</v>
      </c>
      <c r="G195" s="578" t="s">
        <v>1207</v>
      </c>
      <c r="H195" s="579" t="s">
        <v>1257</v>
      </c>
      <c r="I195" s="579" t="s">
        <v>58</v>
      </c>
      <c r="J195" s="579" t="s">
        <v>1210</v>
      </c>
      <c r="K195" s="579" t="s">
        <v>1211</v>
      </c>
      <c r="L195" s="578" t="s">
        <v>2556</v>
      </c>
      <c r="M195" s="580" t="s">
        <v>106</v>
      </c>
      <c r="N195" s="580" t="s">
        <v>106</v>
      </c>
      <c r="O195" s="581">
        <v>840</v>
      </c>
      <c r="P195" s="581">
        <v>755.22</v>
      </c>
      <c r="Q195" s="582"/>
      <c r="R195" s="579" t="s">
        <v>161</v>
      </c>
      <c r="S195" s="579" t="s">
        <v>151</v>
      </c>
      <c r="T195" s="580" t="s">
        <v>66</v>
      </c>
      <c r="U195" s="580" t="s">
        <v>66</v>
      </c>
      <c r="V195" s="580" t="s">
        <v>66</v>
      </c>
      <c r="W195" s="580" t="s">
        <v>66</v>
      </c>
      <c r="X195" s="580" t="s">
        <v>66</v>
      </c>
      <c r="Y195" s="580" t="s">
        <v>66</v>
      </c>
      <c r="Z195" s="580" t="s">
        <v>66</v>
      </c>
      <c r="AA195" s="578"/>
      <c r="AB195" s="580" t="s">
        <v>68</v>
      </c>
      <c r="AC195" s="579"/>
      <c r="AD195" s="580" t="s">
        <v>68</v>
      </c>
      <c r="AE195" s="579"/>
      <c r="AF195" s="587" t="s">
        <v>1214</v>
      </c>
      <c r="AG195" s="584" t="s">
        <v>66</v>
      </c>
      <c r="AH195" s="580" t="s">
        <v>66</v>
      </c>
      <c r="AI195" s="580" t="s">
        <v>66</v>
      </c>
      <c r="AJ195" s="580" t="s">
        <v>66</v>
      </c>
      <c r="AK195" s="580" t="s">
        <v>66</v>
      </c>
      <c r="AL195" s="580" t="s">
        <v>66</v>
      </c>
      <c r="AM195" s="585" t="s">
        <v>66</v>
      </c>
      <c r="AN195" s="586" t="s">
        <v>164</v>
      </c>
      <c r="AO195" s="579" t="s">
        <v>71</v>
      </c>
      <c r="AP195" s="579" t="s">
        <v>72</v>
      </c>
      <c r="AQ195" s="579"/>
      <c r="AR195" s="579" t="s">
        <v>121</v>
      </c>
      <c r="AS195" s="579"/>
      <c r="AT195" s="587"/>
      <c r="AU195" s="584" t="s">
        <v>2420</v>
      </c>
      <c r="AV195" s="578" t="s">
        <v>1545</v>
      </c>
      <c r="AW195" s="588">
        <v>45383</v>
      </c>
      <c r="AX195" s="588">
        <v>47208</v>
      </c>
      <c r="AY195" s="588" t="s">
        <v>152</v>
      </c>
      <c r="AZ195" s="589"/>
      <c r="BA195" s="589"/>
      <c r="BB195" s="589"/>
      <c r="BC195" s="590"/>
      <c r="BD195" s="591"/>
    </row>
    <row r="196" spans="1:56" s="560" customFormat="1" ht="16.5" customHeight="1">
      <c r="A196" s="561">
        <v>2024</v>
      </c>
      <c r="B196" s="577" t="s">
        <v>1259</v>
      </c>
      <c r="C196" s="562" t="s">
        <v>1164</v>
      </c>
      <c r="D196" s="562" t="s">
        <v>2415</v>
      </c>
      <c r="E196" s="578" t="s">
        <v>1260</v>
      </c>
      <c r="F196" s="579" t="s">
        <v>708</v>
      </c>
      <c r="G196" s="578" t="s">
        <v>1207</v>
      </c>
      <c r="H196" s="579" t="s">
        <v>1261</v>
      </c>
      <c r="I196" s="579" t="s">
        <v>58</v>
      </c>
      <c r="J196" s="579" t="s">
        <v>1210</v>
      </c>
      <c r="K196" s="579" t="s">
        <v>1211</v>
      </c>
      <c r="L196" s="578" t="s">
        <v>1993</v>
      </c>
      <c r="M196" s="580" t="s">
        <v>275</v>
      </c>
      <c r="N196" s="580" t="s">
        <v>275</v>
      </c>
      <c r="O196" s="581">
        <v>1367.25</v>
      </c>
      <c r="P196" s="581">
        <v>1336.1</v>
      </c>
      <c r="Q196" s="582"/>
      <c r="R196" s="579" t="s">
        <v>130</v>
      </c>
      <c r="S196" s="579" t="s">
        <v>151</v>
      </c>
      <c r="T196" s="580" t="s">
        <v>66</v>
      </c>
      <c r="U196" s="580" t="s">
        <v>66</v>
      </c>
      <c r="V196" s="580" t="s">
        <v>66</v>
      </c>
      <c r="W196" s="580" t="s">
        <v>66</v>
      </c>
      <c r="X196" s="580" t="s">
        <v>66</v>
      </c>
      <c r="Y196" s="580" t="s">
        <v>66</v>
      </c>
      <c r="Z196" s="580" t="s">
        <v>66</v>
      </c>
      <c r="AA196" s="578"/>
      <c r="AB196" s="580" t="s">
        <v>68</v>
      </c>
      <c r="AC196" s="579"/>
      <c r="AD196" s="580" t="s">
        <v>68</v>
      </c>
      <c r="AE196" s="579"/>
      <c r="AF196" s="587" t="s">
        <v>1214</v>
      </c>
      <c r="AG196" s="584" t="s">
        <v>66</v>
      </c>
      <c r="AH196" s="580" t="s">
        <v>66</v>
      </c>
      <c r="AI196" s="580" t="s">
        <v>66</v>
      </c>
      <c r="AJ196" s="580" t="s">
        <v>66</v>
      </c>
      <c r="AK196" s="580" t="s">
        <v>66</v>
      </c>
      <c r="AL196" s="580" t="s">
        <v>66</v>
      </c>
      <c r="AM196" s="585" t="s">
        <v>66</v>
      </c>
      <c r="AN196" s="586" t="s">
        <v>1262</v>
      </c>
      <c r="AO196" s="579" t="s">
        <v>71</v>
      </c>
      <c r="AP196" s="579" t="s">
        <v>72</v>
      </c>
      <c r="AQ196" s="579"/>
      <c r="AR196" s="579" t="s">
        <v>435</v>
      </c>
      <c r="AS196" s="579"/>
      <c r="AT196" s="587"/>
      <c r="AU196" s="584" t="s">
        <v>2420</v>
      </c>
      <c r="AV196" s="578" t="s">
        <v>1545</v>
      </c>
      <c r="AW196" s="588">
        <v>45383</v>
      </c>
      <c r="AX196" s="588">
        <v>47208</v>
      </c>
      <c r="AY196" s="588" t="s">
        <v>152</v>
      </c>
      <c r="AZ196" s="589"/>
      <c r="BA196" s="589"/>
      <c r="BB196" s="589"/>
      <c r="BC196" s="590"/>
      <c r="BD196" s="591"/>
    </row>
    <row r="197" spans="1:56" s="560" customFormat="1" ht="16.5" customHeight="1">
      <c r="A197" s="576">
        <v>2024</v>
      </c>
      <c r="B197" s="577" t="s">
        <v>1264</v>
      </c>
      <c r="C197" s="577" t="s">
        <v>1170</v>
      </c>
      <c r="D197" s="562" t="s">
        <v>2415</v>
      </c>
      <c r="E197" s="578" t="s">
        <v>1265</v>
      </c>
      <c r="F197" s="579" t="s">
        <v>708</v>
      </c>
      <c r="G197" s="578" t="s">
        <v>1207</v>
      </c>
      <c r="H197" s="579" t="s">
        <v>1266</v>
      </c>
      <c r="I197" s="579" t="s">
        <v>58</v>
      </c>
      <c r="J197" s="579" t="s">
        <v>1210</v>
      </c>
      <c r="K197" s="579" t="s">
        <v>1211</v>
      </c>
      <c r="L197" s="578" t="s">
        <v>1212</v>
      </c>
      <c r="M197" s="580" t="s">
        <v>280</v>
      </c>
      <c r="N197" s="580" t="s">
        <v>280</v>
      </c>
      <c r="O197" s="581">
        <v>5444.12</v>
      </c>
      <c r="P197" s="581">
        <v>5990</v>
      </c>
      <c r="Q197" s="582"/>
      <c r="R197" s="579" t="s">
        <v>161</v>
      </c>
      <c r="S197" s="579" t="s">
        <v>151</v>
      </c>
      <c r="T197" s="580" t="s">
        <v>66</v>
      </c>
      <c r="U197" s="580" t="s">
        <v>66</v>
      </c>
      <c r="V197" s="580" t="s">
        <v>66</v>
      </c>
      <c r="W197" s="580" t="s">
        <v>66</v>
      </c>
      <c r="X197" s="580" t="s">
        <v>66</v>
      </c>
      <c r="Y197" s="580" t="s">
        <v>66</v>
      </c>
      <c r="Z197" s="580" t="s">
        <v>66</v>
      </c>
      <c r="AA197" s="578"/>
      <c r="AB197" s="580" t="s">
        <v>68</v>
      </c>
      <c r="AC197" s="579"/>
      <c r="AD197" s="580" t="s">
        <v>68</v>
      </c>
      <c r="AE197" s="579"/>
      <c r="AF197" s="587" t="s">
        <v>1214</v>
      </c>
      <c r="AG197" s="584" t="s">
        <v>66</v>
      </c>
      <c r="AH197" s="580" t="s">
        <v>66</v>
      </c>
      <c r="AI197" s="580" t="s">
        <v>66</v>
      </c>
      <c r="AJ197" s="580" t="s">
        <v>66</v>
      </c>
      <c r="AK197" s="580" t="s">
        <v>66</v>
      </c>
      <c r="AL197" s="580" t="s">
        <v>66</v>
      </c>
      <c r="AM197" s="585" t="s">
        <v>66</v>
      </c>
      <c r="AN197" s="586" t="s">
        <v>1070</v>
      </c>
      <c r="AO197" s="579" t="s">
        <v>71</v>
      </c>
      <c r="AP197" s="579" t="s">
        <v>72</v>
      </c>
      <c r="AQ197" s="579"/>
      <c r="AR197" s="579" t="s">
        <v>121</v>
      </c>
      <c r="AS197" s="579"/>
      <c r="AT197" s="587"/>
      <c r="AU197" s="584" t="s">
        <v>2420</v>
      </c>
      <c r="AV197" s="578" t="s">
        <v>1545</v>
      </c>
      <c r="AW197" s="588">
        <v>45383</v>
      </c>
      <c r="AX197" s="588">
        <v>47208</v>
      </c>
      <c r="AY197" s="588" t="s">
        <v>152</v>
      </c>
      <c r="AZ197" s="589"/>
      <c r="BA197" s="589"/>
      <c r="BB197" s="589"/>
      <c r="BC197" s="590"/>
      <c r="BD197" s="591"/>
    </row>
    <row r="198" spans="1:56" s="560" customFormat="1" ht="16.5" customHeight="1">
      <c r="A198" s="576">
        <v>2024</v>
      </c>
      <c r="B198" s="577" t="s">
        <v>1268</v>
      </c>
      <c r="C198" s="562" t="s">
        <v>1177</v>
      </c>
      <c r="D198" s="562" t="s">
        <v>2415</v>
      </c>
      <c r="E198" s="578" t="s">
        <v>1269</v>
      </c>
      <c r="F198" s="579" t="s">
        <v>708</v>
      </c>
      <c r="G198" s="578" t="s">
        <v>1207</v>
      </c>
      <c r="H198" s="579" t="s">
        <v>1270</v>
      </c>
      <c r="I198" s="579" t="s">
        <v>58</v>
      </c>
      <c r="J198" s="579" t="s">
        <v>1210</v>
      </c>
      <c r="K198" s="579" t="s">
        <v>1211</v>
      </c>
      <c r="L198" s="578" t="s">
        <v>1212</v>
      </c>
      <c r="M198" s="580" t="s">
        <v>280</v>
      </c>
      <c r="N198" s="580" t="s">
        <v>280</v>
      </c>
      <c r="O198" s="581">
        <v>11748.29</v>
      </c>
      <c r="P198" s="581">
        <v>5316.7300000000005</v>
      </c>
      <c r="Q198" s="582"/>
      <c r="R198" s="579" t="s">
        <v>93</v>
      </c>
      <c r="S198" s="579" t="s">
        <v>151</v>
      </c>
      <c r="T198" s="580" t="s">
        <v>66</v>
      </c>
      <c r="U198" s="580" t="s">
        <v>66</v>
      </c>
      <c r="V198" s="580" t="s">
        <v>66</v>
      </c>
      <c r="W198" s="580" t="s">
        <v>66</v>
      </c>
      <c r="X198" s="580" t="s">
        <v>66</v>
      </c>
      <c r="Y198" s="580" t="s">
        <v>66</v>
      </c>
      <c r="Z198" s="580" t="s">
        <v>66</v>
      </c>
      <c r="AA198" s="578"/>
      <c r="AB198" s="580" t="s">
        <v>68</v>
      </c>
      <c r="AC198" s="579"/>
      <c r="AD198" s="580" t="s">
        <v>68</v>
      </c>
      <c r="AE198" s="579"/>
      <c r="AF198" s="587" t="s">
        <v>1214</v>
      </c>
      <c r="AG198" s="584" t="s">
        <v>66</v>
      </c>
      <c r="AH198" s="580" t="s">
        <v>66</v>
      </c>
      <c r="AI198" s="580" t="s">
        <v>66</v>
      </c>
      <c r="AJ198" s="580" t="s">
        <v>66</v>
      </c>
      <c r="AK198" s="580" t="s">
        <v>66</v>
      </c>
      <c r="AL198" s="580" t="s">
        <v>66</v>
      </c>
      <c r="AM198" s="585" t="s">
        <v>66</v>
      </c>
      <c r="AN198" s="586" t="s">
        <v>120</v>
      </c>
      <c r="AO198" s="579" t="s">
        <v>71</v>
      </c>
      <c r="AP198" s="579" t="s">
        <v>72</v>
      </c>
      <c r="AQ198" s="579"/>
      <c r="AR198" s="579" t="s">
        <v>121</v>
      </c>
      <c r="AS198" s="579"/>
      <c r="AT198" s="587"/>
      <c r="AU198" s="584" t="s">
        <v>2420</v>
      </c>
      <c r="AV198" s="578" t="s">
        <v>1545</v>
      </c>
      <c r="AW198" s="588">
        <v>45383</v>
      </c>
      <c r="AX198" s="588">
        <v>47208</v>
      </c>
      <c r="AY198" s="588" t="s">
        <v>152</v>
      </c>
      <c r="AZ198" s="589"/>
      <c r="BA198" s="589"/>
      <c r="BB198" s="589"/>
      <c r="BC198" s="590">
        <v>68</v>
      </c>
      <c r="BD198" s="591"/>
    </row>
    <row r="199" spans="1:56" s="560" customFormat="1" ht="16.5" customHeight="1">
      <c r="A199" s="561">
        <v>2024</v>
      </c>
      <c r="B199" s="577" t="s">
        <v>1271</v>
      </c>
      <c r="C199" s="577" t="s">
        <v>1189</v>
      </c>
      <c r="D199" s="562" t="s">
        <v>2415</v>
      </c>
      <c r="E199" s="578" t="s">
        <v>1272</v>
      </c>
      <c r="F199" s="579" t="s">
        <v>708</v>
      </c>
      <c r="G199" s="578" t="s">
        <v>1207</v>
      </c>
      <c r="H199" s="579" t="s">
        <v>1273</v>
      </c>
      <c r="I199" s="579" t="s">
        <v>58</v>
      </c>
      <c r="J199" s="579" t="s">
        <v>1210</v>
      </c>
      <c r="K199" s="579" t="s">
        <v>1211</v>
      </c>
      <c r="L199" s="578" t="s">
        <v>1212</v>
      </c>
      <c r="M199" s="580" t="s">
        <v>286</v>
      </c>
      <c r="N199" s="580" t="s">
        <v>286</v>
      </c>
      <c r="O199" s="581">
        <v>1657.88</v>
      </c>
      <c r="P199" s="581">
        <v>1399.68</v>
      </c>
      <c r="Q199" s="582"/>
      <c r="R199" s="579" t="s">
        <v>93</v>
      </c>
      <c r="S199" s="579" t="s">
        <v>151</v>
      </c>
      <c r="T199" s="580" t="s">
        <v>66</v>
      </c>
      <c r="U199" s="580" t="s">
        <v>66</v>
      </c>
      <c r="V199" s="580" t="s">
        <v>66</v>
      </c>
      <c r="W199" s="580" t="s">
        <v>66</v>
      </c>
      <c r="X199" s="580" t="s">
        <v>66</v>
      </c>
      <c r="Y199" s="580" t="s">
        <v>66</v>
      </c>
      <c r="Z199" s="580" t="s">
        <v>66</v>
      </c>
      <c r="AA199" s="578"/>
      <c r="AB199" s="580" t="s">
        <v>68</v>
      </c>
      <c r="AC199" s="579"/>
      <c r="AD199" s="580" t="s">
        <v>68</v>
      </c>
      <c r="AE199" s="579"/>
      <c r="AF199" s="587" t="s">
        <v>1214</v>
      </c>
      <c r="AG199" s="584" t="s">
        <v>66</v>
      </c>
      <c r="AH199" s="580" t="s">
        <v>66</v>
      </c>
      <c r="AI199" s="580" t="s">
        <v>66</v>
      </c>
      <c r="AJ199" s="580" t="s">
        <v>66</v>
      </c>
      <c r="AK199" s="580" t="s">
        <v>66</v>
      </c>
      <c r="AL199" s="580" t="s">
        <v>66</v>
      </c>
      <c r="AM199" s="585" t="s">
        <v>66</v>
      </c>
      <c r="AN199" s="586" t="s">
        <v>95</v>
      </c>
      <c r="AO199" s="579" t="s">
        <v>71</v>
      </c>
      <c r="AP199" s="579" t="s">
        <v>72</v>
      </c>
      <c r="AQ199" s="579"/>
      <c r="AR199" s="579" t="s">
        <v>73</v>
      </c>
      <c r="AS199" s="579"/>
      <c r="AT199" s="587"/>
      <c r="AU199" s="584" t="s">
        <v>2420</v>
      </c>
      <c r="AV199" s="578" t="s">
        <v>1545</v>
      </c>
      <c r="AW199" s="588">
        <v>45383</v>
      </c>
      <c r="AX199" s="588">
        <v>47208</v>
      </c>
      <c r="AY199" s="588" t="s">
        <v>152</v>
      </c>
      <c r="AZ199" s="589"/>
      <c r="BA199" s="589"/>
      <c r="BB199" s="589"/>
      <c r="BC199" s="590"/>
      <c r="BD199" s="591"/>
    </row>
    <row r="200" spans="1:56" s="560" customFormat="1" ht="16.5" customHeight="1">
      <c r="A200" s="576">
        <v>2024</v>
      </c>
      <c r="B200" s="577" t="s">
        <v>1275</v>
      </c>
      <c r="C200" s="562" t="s">
        <v>1195</v>
      </c>
      <c r="D200" s="562" t="s">
        <v>2415</v>
      </c>
      <c r="E200" s="578" t="s">
        <v>1276</v>
      </c>
      <c r="F200" s="579" t="s">
        <v>708</v>
      </c>
      <c r="G200" s="578" t="s">
        <v>1207</v>
      </c>
      <c r="H200" s="579" t="s">
        <v>1277</v>
      </c>
      <c r="I200" s="579" t="s">
        <v>58</v>
      </c>
      <c r="J200" s="579" t="s">
        <v>1210</v>
      </c>
      <c r="K200" s="579" t="s">
        <v>1211</v>
      </c>
      <c r="L200" s="578" t="s">
        <v>1212</v>
      </c>
      <c r="M200" s="580" t="s">
        <v>396</v>
      </c>
      <c r="N200" s="580" t="s">
        <v>396</v>
      </c>
      <c r="O200" s="581">
        <v>1657.88</v>
      </c>
      <c r="P200" s="581">
        <v>1309</v>
      </c>
      <c r="Q200" s="582"/>
      <c r="R200" s="579" t="s">
        <v>245</v>
      </c>
      <c r="S200" s="579" t="s">
        <v>151</v>
      </c>
      <c r="T200" s="580" t="s">
        <v>66</v>
      </c>
      <c r="U200" s="580" t="s">
        <v>66</v>
      </c>
      <c r="V200" s="580" t="s">
        <v>66</v>
      </c>
      <c r="W200" s="580" t="s">
        <v>66</v>
      </c>
      <c r="X200" s="580" t="s">
        <v>66</v>
      </c>
      <c r="Y200" s="580" t="s">
        <v>66</v>
      </c>
      <c r="Z200" s="580" t="s">
        <v>66</v>
      </c>
      <c r="AA200" s="578"/>
      <c r="AB200" s="580" t="s">
        <v>68</v>
      </c>
      <c r="AC200" s="579"/>
      <c r="AD200" s="580" t="s">
        <v>68</v>
      </c>
      <c r="AE200" s="579"/>
      <c r="AF200" s="587" t="s">
        <v>1214</v>
      </c>
      <c r="AG200" s="584" t="s">
        <v>66</v>
      </c>
      <c r="AH200" s="580" t="s">
        <v>66</v>
      </c>
      <c r="AI200" s="580" t="s">
        <v>66</v>
      </c>
      <c r="AJ200" s="580" t="s">
        <v>66</v>
      </c>
      <c r="AK200" s="580" t="s">
        <v>66</v>
      </c>
      <c r="AL200" s="580" t="s">
        <v>66</v>
      </c>
      <c r="AM200" s="585" t="s">
        <v>66</v>
      </c>
      <c r="AN200" s="586" t="s">
        <v>164</v>
      </c>
      <c r="AO200" s="579" t="s">
        <v>71</v>
      </c>
      <c r="AP200" s="579" t="s">
        <v>72</v>
      </c>
      <c r="AQ200" s="579"/>
      <c r="AR200" s="579" t="s">
        <v>121</v>
      </c>
      <c r="AS200" s="579"/>
      <c r="AT200" s="587"/>
      <c r="AU200" s="584" t="s">
        <v>2420</v>
      </c>
      <c r="AV200" s="578" t="s">
        <v>1545</v>
      </c>
      <c r="AW200" s="588">
        <v>45383</v>
      </c>
      <c r="AX200" s="588">
        <v>47208</v>
      </c>
      <c r="AY200" s="588" t="s">
        <v>152</v>
      </c>
      <c r="AZ200" s="589"/>
      <c r="BA200" s="589"/>
      <c r="BB200" s="589"/>
      <c r="BC200" s="590">
        <v>5</v>
      </c>
      <c r="BD200" s="591"/>
    </row>
    <row r="201" spans="1:56" s="560" customFormat="1" ht="16.5" customHeight="1">
      <c r="A201" s="576">
        <v>2024</v>
      </c>
      <c r="B201" s="577" t="s">
        <v>1279</v>
      </c>
      <c r="C201" s="577" t="s">
        <v>72</v>
      </c>
      <c r="D201" s="562" t="s">
        <v>2415</v>
      </c>
      <c r="E201" s="578" t="s">
        <v>1280</v>
      </c>
      <c r="F201" s="579" t="s">
        <v>708</v>
      </c>
      <c r="G201" s="578" t="s">
        <v>1207</v>
      </c>
      <c r="H201" s="579" t="s">
        <v>1281</v>
      </c>
      <c r="I201" s="579" t="s">
        <v>58</v>
      </c>
      <c r="J201" s="579" t="s">
        <v>1210</v>
      </c>
      <c r="K201" s="579" t="s">
        <v>1211</v>
      </c>
      <c r="L201" s="578" t="s">
        <v>1212</v>
      </c>
      <c r="M201" s="580" t="s">
        <v>595</v>
      </c>
      <c r="N201" s="580" t="s">
        <v>595</v>
      </c>
      <c r="O201" s="581">
        <v>2174.88</v>
      </c>
      <c r="P201" s="581">
        <v>2096.16</v>
      </c>
      <c r="Q201" s="582"/>
      <c r="R201" s="579" t="s">
        <v>240</v>
      </c>
      <c r="S201" s="579" t="s">
        <v>151</v>
      </c>
      <c r="T201" s="580" t="s">
        <v>66</v>
      </c>
      <c r="U201" s="580" t="s">
        <v>66</v>
      </c>
      <c r="V201" s="580" t="s">
        <v>66</v>
      </c>
      <c r="W201" s="580" t="s">
        <v>66</v>
      </c>
      <c r="X201" s="580" t="s">
        <v>66</v>
      </c>
      <c r="Y201" s="580" t="s">
        <v>66</v>
      </c>
      <c r="Z201" s="580" t="s">
        <v>66</v>
      </c>
      <c r="AA201" s="578"/>
      <c r="AB201" s="580" t="s">
        <v>68</v>
      </c>
      <c r="AC201" s="579"/>
      <c r="AD201" s="580" t="s">
        <v>68</v>
      </c>
      <c r="AE201" s="579"/>
      <c r="AF201" s="587" t="s">
        <v>1214</v>
      </c>
      <c r="AG201" s="584" t="s">
        <v>63</v>
      </c>
      <c r="AH201" s="580" t="s">
        <v>63</v>
      </c>
      <c r="AI201" s="580" t="s">
        <v>63</v>
      </c>
      <c r="AJ201" s="580" t="s">
        <v>66</v>
      </c>
      <c r="AK201" s="580" t="s">
        <v>63</v>
      </c>
      <c r="AL201" s="580" t="s">
        <v>63</v>
      </c>
      <c r="AM201" s="585" t="s">
        <v>66</v>
      </c>
      <c r="AN201" s="586" t="s">
        <v>164</v>
      </c>
      <c r="AO201" s="579" t="s">
        <v>71</v>
      </c>
      <c r="AP201" s="579" t="s">
        <v>72</v>
      </c>
      <c r="AQ201" s="579"/>
      <c r="AR201" s="579" t="s">
        <v>121</v>
      </c>
      <c r="AS201" s="579"/>
      <c r="AT201" s="587"/>
      <c r="AU201" s="584" t="s">
        <v>2420</v>
      </c>
      <c r="AV201" s="578" t="s">
        <v>1545</v>
      </c>
      <c r="AW201" s="588">
        <v>45383</v>
      </c>
      <c r="AX201" s="588">
        <v>47208</v>
      </c>
      <c r="AY201" s="588" t="s">
        <v>152</v>
      </c>
      <c r="AZ201" s="589"/>
      <c r="BA201" s="589"/>
      <c r="BB201" s="589"/>
      <c r="BC201" s="590"/>
      <c r="BD201" s="591"/>
    </row>
    <row r="202" spans="1:56" s="560" customFormat="1" ht="16.5" customHeight="1">
      <c r="A202" s="561">
        <v>2024</v>
      </c>
      <c r="B202" s="577" t="s">
        <v>1283</v>
      </c>
      <c r="C202" s="562" t="s">
        <v>1197</v>
      </c>
      <c r="D202" s="562" t="s">
        <v>2415</v>
      </c>
      <c r="E202" s="578" t="s">
        <v>1284</v>
      </c>
      <c r="F202" s="579" t="s">
        <v>708</v>
      </c>
      <c r="G202" s="578" t="s">
        <v>1207</v>
      </c>
      <c r="H202" s="579" t="s">
        <v>1285</v>
      </c>
      <c r="I202" s="579" t="s">
        <v>58</v>
      </c>
      <c r="J202" s="579" t="s">
        <v>1210</v>
      </c>
      <c r="K202" s="579" t="s">
        <v>1211</v>
      </c>
      <c r="L202" s="578" t="s">
        <v>1212</v>
      </c>
      <c r="M202" s="580" t="s">
        <v>798</v>
      </c>
      <c r="N202" s="580" t="s">
        <v>798</v>
      </c>
      <c r="O202" s="581">
        <v>2909.62</v>
      </c>
      <c r="P202" s="581">
        <v>5285.7</v>
      </c>
      <c r="Q202" s="582"/>
      <c r="R202" s="579" t="s">
        <v>93</v>
      </c>
      <c r="S202" s="579" t="s">
        <v>151</v>
      </c>
      <c r="T202" s="580" t="s">
        <v>66</v>
      </c>
      <c r="U202" s="580" t="s">
        <v>66</v>
      </c>
      <c r="V202" s="580" t="s">
        <v>66</v>
      </c>
      <c r="W202" s="580" t="s">
        <v>66</v>
      </c>
      <c r="X202" s="580" t="s">
        <v>66</v>
      </c>
      <c r="Y202" s="580" t="s">
        <v>66</v>
      </c>
      <c r="Z202" s="580" t="s">
        <v>66</v>
      </c>
      <c r="AA202" s="578"/>
      <c r="AB202" s="580" t="s">
        <v>68</v>
      </c>
      <c r="AC202" s="579"/>
      <c r="AD202" s="580" t="s">
        <v>68</v>
      </c>
      <c r="AE202" s="579"/>
      <c r="AF202" s="587" t="s">
        <v>1214</v>
      </c>
      <c r="AG202" s="584" t="s">
        <v>66</v>
      </c>
      <c r="AH202" s="580" t="s">
        <v>66</v>
      </c>
      <c r="AI202" s="580" t="s">
        <v>66</v>
      </c>
      <c r="AJ202" s="580" t="s">
        <v>66</v>
      </c>
      <c r="AK202" s="580" t="s">
        <v>66</v>
      </c>
      <c r="AL202" s="580" t="s">
        <v>66</v>
      </c>
      <c r="AM202" s="585" t="s">
        <v>66</v>
      </c>
      <c r="AN202" s="586" t="s">
        <v>120</v>
      </c>
      <c r="AO202" s="579" t="s">
        <v>71</v>
      </c>
      <c r="AP202" s="579" t="s">
        <v>72</v>
      </c>
      <c r="AQ202" s="579"/>
      <c r="AR202" s="579" t="s">
        <v>121</v>
      </c>
      <c r="AS202" s="579"/>
      <c r="AT202" s="587"/>
      <c r="AU202" s="584" t="s">
        <v>2420</v>
      </c>
      <c r="AV202" s="578" t="s">
        <v>1545</v>
      </c>
      <c r="AW202" s="588">
        <v>45383</v>
      </c>
      <c r="AX202" s="588">
        <v>47208</v>
      </c>
      <c r="AY202" s="588" t="s">
        <v>152</v>
      </c>
      <c r="AZ202" s="589"/>
      <c r="BA202" s="589"/>
      <c r="BB202" s="589"/>
      <c r="BC202" s="590">
        <v>25</v>
      </c>
      <c r="BD202" s="591"/>
    </row>
    <row r="203" spans="1:56" s="560" customFormat="1" ht="16.5" customHeight="1">
      <c r="A203" s="576">
        <v>2024</v>
      </c>
      <c r="B203" s="577" t="s">
        <v>1287</v>
      </c>
      <c r="C203" s="577" t="s">
        <v>1198</v>
      </c>
      <c r="D203" s="562" t="s">
        <v>2415</v>
      </c>
      <c r="E203" s="578" t="s">
        <v>1288</v>
      </c>
      <c r="F203" s="579" t="s">
        <v>708</v>
      </c>
      <c r="G203" s="578" t="s">
        <v>1207</v>
      </c>
      <c r="H203" s="579" t="s">
        <v>1289</v>
      </c>
      <c r="I203" s="579" t="s">
        <v>58</v>
      </c>
      <c r="J203" s="579" t="s">
        <v>1210</v>
      </c>
      <c r="K203" s="579" t="s">
        <v>1211</v>
      </c>
      <c r="L203" s="578" t="s">
        <v>1212</v>
      </c>
      <c r="M203" s="580" t="s">
        <v>403</v>
      </c>
      <c r="N203" s="580" t="s">
        <v>403</v>
      </c>
      <c r="O203" s="581">
        <v>8110.74</v>
      </c>
      <c r="P203" s="581">
        <v>9410.16</v>
      </c>
      <c r="Q203" s="582"/>
      <c r="R203" s="579" t="s">
        <v>662</v>
      </c>
      <c r="S203" s="579" t="s">
        <v>151</v>
      </c>
      <c r="T203" s="580" t="s">
        <v>66</v>
      </c>
      <c r="U203" s="580" t="s">
        <v>66</v>
      </c>
      <c r="V203" s="580" t="s">
        <v>66</v>
      </c>
      <c r="W203" s="580" t="s">
        <v>66</v>
      </c>
      <c r="X203" s="580" t="s">
        <v>66</v>
      </c>
      <c r="Y203" s="580" t="s">
        <v>66</v>
      </c>
      <c r="Z203" s="580" t="s">
        <v>66</v>
      </c>
      <c r="AA203" s="578"/>
      <c r="AB203" s="580" t="s">
        <v>68</v>
      </c>
      <c r="AC203" s="579"/>
      <c r="AD203" s="580" t="s">
        <v>68</v>
      </c>
      <c r="AE203" s="579"/>
      <c r="AF203" s="587" t="s">
        <v>1214</v>
      </c>
      <c r="AG203" s="584" t="s">
        <v>66</v>
      </c>
      <c r="AH203" s="580" t="s">
        <v>66</v>
      </c>
      <c r="AI203" s="580" t="s">
        <v>66</v>
      </c>
      <c r="AJ203" s="580" t="s">
        <v>66</v>
      </c>
      <c r="AK203" s="580" t="s">
        <v>66</v>
      </c>
      <c r="AL203" s="580" t="s">
        <v>66</v>
      </c>
      <c r="AM203" s="585" t="s">
        <v>66</v>
      </c>
      <c r="AN203" s="586" t="s">
        <v>164</v>
      </c>
      <c r="AO203" s="579" t="s">
        <v>71</v>
      </c>
      <c r="AP203" s="579" t="s">
        <v>72</v>
      </c>
      <c r="AQ203" s="579"/>
      <c r="AR203" s="579" t="s">
        <v>121</v>
      </c>
      <c r="AS203" s="579"/>
      <c r="AT203" s="587"/>
      <c r="AU203" s="584" t="s">
        <v>2420</v>
      </c>
      <c r="AV203" s="578" t="s">
        <v>1545</v>
      </c>
      <c r="AW203" s="588">
        <v>45383</v>
      </c>
      <c r="AX203" s="588">
        <v>47208</v>
      </c>
      <c r="AY203" s="588" t="s">
        <v>152</v>
      </c>
      <c r="AZ203" s="589"/>
      <c r="BA203" s="589"/>
      <c r="BB203" s="589"/>
      <c r="BC203" s="590">
        <v>78</v>
      </c>
      <c r="BD203" s="591"/>
    </row>
    <row r="204" spans="1:56" s="560" customFormat="1" ht="16.5" customHeight="1">
      <c r="A204" s="576">
        <v>2024</v>
      </c>
      <c r="B204" s="577" t="s">
        <v>1291</v>
      </c>
      <c r="C204" s="562" t="s">
        <v>1204</v>
      </c>
      <c r="D204" s="562" t="s">
        <v>2415</v>
      </c>
      <c r="E204" s="578" t="s">
        <v>1292</v>
      </c>
      <c r="F204" s="579" t="s">
        <v>708</v>
      </c>
      <c r="G204" s="578" t="s">
        <v>1207</v>
      </c>
      <c r="H204" s="579" t="s">
        <v>1293</v>
      </c>
      <c r="I204" s="579" t="s">
        <v>58</v>
      </c>
      <c r="J204" s="579" t="s">
        <v>1210</v>
      </c>
      <c r="K204" s="579" t="s">
        <v>1211</v>
      </c>
      <c r="L204" s="578" t="s">
        <v>1212</v>
      </c>
      <c r="M204" s="580" t="s">
        <v>725</v>
      </c>
      <c r="N204" s="580" t="s">
        <v>725</v>
      </c>
      <c r="O204" s="581">
        <v>3397.16</v>
      </c>
      <c r="P204" s="581">
        <v>4562.6899999999996</v>
      </c>
      <c r="Q204" s="582"/>
      <c r="R204" s="579" t="s">
        <v>93</v>
      </c>
      <c r="S204" s="579" t="s">
        <v>151</v>
      </c>
      <c r="T204" s="580" t="s">
        <v>66</v>
      </c>
      <c r="U204" s="580" t="s">
        <v>66</v>
      </c>
      <c r="V204" s="580" t="s">
        <v>66</v>
      </c>
      <c r="W204" s="580" t="s">
        <v>66</v>
      </c>
      <c r="X204" s="580" t="s">
        <v>66</v>
      </c>
      <c r="Y204" s="580" t="s">
        <v>66</v>
      </c>
      <c r="Z204" s="580" t="s">
        <v>66</v>
      </c>
      <c r="AA204" s="578"/>
      <c r="AB204" s="580" t="s">
        <v>68</v>
      </c>
      <c r="AC204" s="579"/>
      <c r="AD204" s="580" t="s">
        <v>68</v>
      </c>
      <c r="AE204" s="579"/>
      <c r="AF204" s="587" t="s">
        <v>1214</v>
      </c>
      <c r="AG204" s="584" t="s">
        <v>66</v>
      </c>
      <c r="AH204" s="580" t="s">
        <v>66</v>
      </c>
      <c r="AI204" s="580" t="s">
        <v>66</v>
      </c>
      <c r="AJ204" s="580" t="s">
        <v>66</v>
      </c>
      <c r="AK204" s="580" t="s">
        <v>66</v>
      </c>
      <c r="AL204" s="580" t="s">
        <v>66</v>
      </c>
      <c r="AM204" s="585" t="s">
        <v>66</v>
      </c>
      <c r="AN204" s="586" t="s">
        <v>95</v>
      </c>
      <c r="AO204" s="579" t="s">
        <v>71</v>
      </c>
      <c r="AP204" s="579" t="s">
        <v>72</v>
      </c>
      <c r="AQ204" s="579"/>
      <c r="AR204" s="579" t="s">
        <v>73</v>
      </c>
      <c r="AS204" s="579"/>
      <c r="AT204" s="587"/>
      <c r="AU204" s="584" t="s">
        <v>2420</v>
      </c>
      <c r="AV204" s="578" t="s">
        <v>1545</v>
      </c>
      <c r="AW204" s="588">
        <v>45383</v>
      </c>
      <c r="AX204" s="588">
        <v>47208</v>
      </c>
      <c r="AY204" s="588" t="s">
        <v>152</v>
      </c>
      <c r="AZ204" s="589"/>
      <c r="BA204" s="589"/>
      <c r="BB204" s="589"/>
      <c r="BC204" s="590">
        <v>40</v>
      </c>
      <c r="BD204" s="591"/>
    </row>
    <row r="205" spans="1:56" s="560" customFormat="1" ht="16.5" customHeight="1">
      <c r="A205" s="561">
        <v>2024</v>
      </c>
      <c r="B205" s="577" t="s">
        <v>1295</v>
      </c>
      <c r="C205" s="577" t="s">
        <v>1216</v>
      </c>
      <c r="D205" s="562" t="s">
        <v>2415</v>
      </c>
      <c r="E205" s="578" t="s">
        <v>1296</v>
      </c>
      <c r="F205" s="579" t="s">
        <v>708</v>
      </c>
      <c r="G205" s="578" t="s">
        <v>1207</v>
      </c>
      <c r="H205" s="579" t="s">
        <v>1297</v>
      </c>
      <c r="I205" s="579" t="s">
        <v>58</v>
      </c>
      <c r="J205" s="579" t="s">
        <v>2758</v>
      </c>
      <c r="K205" s="579" t="s">
        <v>1211</v>
      </c>
      <c r="L205" s="578" t="s">
        <v>1212</v>
      </c>
      <c r="M205" s="580" t="s">
        <v>442</v>
      </c>
      <c r="N205" s="580" t="s">
        <v>442</v>
      </c>
      <c r="O205" s="581">
        <v>3197.82</v>
      </c>
      <c r="P205" s="581">
        <v>4181.01</v>
      </c>
      <c r="Q205" s="582"/>
      <c r="R205" s="579" t="s">
        <v>93</v>
      </c>
      <c r="S205" s="579" t="s">
        <v>151</v>
      </c>
      <c r="T205" s="580" t="s">
        <v>66</v>
      </c>
      <c r="U205" s="580" t="s">
        <v>66</v>
      </c>
      <c r="V205" s="580" t="s">
        <v>66</v>
      </c>
      <c r="W205" s="580" t="s">
        <v>66</v>
      </c>
      <c r="X205" s="580" t="s">
        <v>66</v>
      </c>
      <c r="Y205" s="580" t="s">
        <v>66</v>
      </c>
      <c r="Z205" s="580" t="s">
        <v>66</v>
      </c>
      <c r="AA205" s="578"/>
      <c r="AB205" s="580" t="s">
        <v>68</v>
      </c>
      <c r="AC205" s="579"/>
      <c r="AD205" s="580" t="s">
        <v>68</v>
      </c>
      <c r="AE205" s="579"/>
      <c r="AF205" s="587" t="s">
        <v>1214</v>
      </c>
      <c r="AG205" s="584" t="s">
        <v>66</v>
      </c>
      <c r="AH205" s="580" t="s">
        <v>66</v>
      </c>
      <c r="AI205" s="580" t="s">
        <v>66</v>
      </c>
      <c r="AJ205" s="580" t="s">
        <v>66</v>
      </c>
      <c r="AK205" s="580" t="s">
        <v>66</v>
      </c>
      <c r="AL205" s="580" t="s">
        <v>66</v>
      </c>
      <c r="AM205" s="585" t="s">
        <v>66</v>
      </c>
      <c r="AN205" s="586" t="s">
        <v>95</v>
      </c>
      <c r="AO205" s="579" t="s">
        <v>71</v>
      </c>
      <c r="AP205" s="579" t="s">
        <v>72</v>
      </c>
      <c r="AQ205" s="579"/>
      <c r="AR205" s="579" t="s">
        <v>73</v>
      </c>
      <c r="AS205" s="579"/>
      <c r="AT205" s="587"/>
      <c r="AU205" s="584" t="s">
        <v>2420</v>
      </c>
      <c r="AV205" s="578" t="s">
        <v>1545</v>
      </c>
      <c r="AW205" s="588">
        <v>45383</v>
      </c>
      <c r="AX205" s="588">
        <v>47208</v>
      </c>
      <c r="AY205" s="588" t="s">
        <v>152</v>
      </c>
      <c r="AZ205" s="589"/>
      <c r="BA205" s="589"/>
      <c r="BB205" s="589"/>
      <c r="BC205" s="590">
        <v>25</v>
      </c>
      <c r="BD205" s="591"/>
    </row>
    <row r="206" spans="1:56" s="560" customFormat="1" ht="16.5" customHeight="1">
      <c r="A206" s="576">
        <v>2024</v>
      </c>
      <c r="B206" s="577" t="s">
        <v>1299</v>
      </c>
      <c r="C206" s="562" t="s">
        <v>1221</v>
      </c>
      <c r="D206" s="562" t="s">
        <v>2415</v>
      </c>
      <c r="E206" s="578" t="s">
        <v>1300</v>
      </c>
      <c r="F206" s="579" t="s">
        <v>708</v>
      </c>
      <c r="G206" s="578" t="s">
        <v>1207</v>
      </c>
      <c r="H206" s="579" t="s">
        <v>1301</v>
      </c>
      <c r="I206" s="579" t="s">
        <v>58</v>
      </c>
      <c r="J206" s="579" t="s">
        <v>1210</v>
      </c>
      <c r="K206" s="579" t="s">
        <v>1211</v>
      </c>
      <c r="L206" s="578" t="s">
        <v>1212</v>
      </c>
      <c r="M206" s="580" t="s">
        <v>1302</v>
      </c>
      <c r="N206" s="580" t="s">
        <v>1302</v>
      </c>
      <c r="O206" s="581">
        <v>2337.17</v>
      </c>
      <c r="P206" s="581">
        <v>2323.7600000000002</v>
      </c>
      <c r="Q206" s="582"/>
      <c r="R206" s="579" t="s">
        <v>107</v>
      </c>
      <c r="S206" s="579" t="s">
        <v>151</v>
      </c>
      <c r="T206" s="580" t="s">
        <v>66</v>
      </c>
      <c r="U206" s="580" t="s">
        <v>66</v>
      </c>
      <c r="V206" s="580" t="s">
        <v>66</v>
      </c>
      <c r="W206" s="580" t="s">
        <v>66</v>
      </c>
      <c r="X206" s="580" t="s">
        <v>66</v>
      </c>
      <c r="Y206" s="580" t="s">
        <v>66</v>
      </c>
      <c r="Z206" s="580" t="s">
        <v>66</v>
      </c>
      <c r="AA206" s="578"/>
      <c r="AB206" s="580" t="s">
        <v>68</v>
      </c>
      <c r="AC206" s="579"/>
      <c r="AD206" s="580" t="s">
        <v>68</v>
      </c>
      <c r="AE206" s="579"/>
      <c r="AF206" s="587" t="s">
        <v>1214</v>
      </c>
      <c r="AG206" s="584" t="s">
        <v>66</v>
      </c>
      <c r="AH206" s="580" t="s">
        <v>66</v>
      </c>
      <c r="AI206" s="580" t="s">
        <v>66</v>
      </c>
      <c r="AJ206" s="580" t="s">
        <v>66</v>
      </c>
      <c r="AK206" s="580" t="s">
        <v>66</v>
      </c>
      <c r="AL206" s="580" t="s">
        <v>66</v>
      </c>
      <c r="AM206" s="585" t="s">
        <v>66</v>
      </c>
      <c r="AN206" s="586" t="s">
        <v>164</v>
      </c>
      <c r="AO206" s="579" t="s">
        <v>71</v>
      </c>
      <c r="AP206" s="579" t="s">
        <v>72</v>
      </c>
      <c r="AQ206" s="579"/>
      <c r="AR206" s="579" t="s">
        <v>121</v>
      </c>
      <c r="AS206" s="579"/>
      <c r="AT206" s="587"/>
      <c r="AU206" s="584" t="s">
        <v>2420</v>
      </c>
      <c r="AV206" s="578" t="s">
        <v>1545</v>
      </c>
      <c r="AW206" s="588">
        <v>45383</v>
      </c>
      <c r="AX206" s="588">
        <v>47208</v>
      </c>
      <c r="AY206" s="588" t="s">
        <v>152</v>
      </c>
      <c r="AZ206" s="589"/>
      <c r="BA206" s="589"/>
      <c r="BB206" s="589"/>
      <c r="BC206" s="590">
        <v>16</v>
      </c>
      <c r="BD206" s="591"/>
    </row>
    <row r="207" spans="1:56" s="560" customFormat="1" ht="16.5" customHeight="1">
      <c r="A207" s="576">
        <v>2024</v>
      </c>
      <c r="B207" s="577" t="s">
        <v>1304</v>
      </c>
      <c r="C207" s="577" t="s">
        <v>1225</v>
      </c>
      <c r="D207" s="562" t="s">
        <v>2415</v>
      </c>
      <c r="E207" s="578" t="s">
        <v>1305</v>
      </c>
      <c r="F207" s="579" t="s">
        <v>708</v>
      </c>
      <c r="G207" s="578" t="s">
        <v>1207</v>
      </c>
      <c r="H207" s="579" t="s">
        <v>1306</v>
      </c>
      <c r="I207" s="579" t="s">
        <v>58</v>
      </c>
      <c r="J207" s="579" t="s">
        <v>1210</v>
      </c>
      <c r="K207" s="579" t="s">
        <v>1211</v>
      </c>
      <c r="L207" s="578" t="s">
        <v>1993</v>
      </c>
      <c r="M207" s="580" t="s">
        <v>420</v>
      </c>
      <c r="N207" s="580" t="s">
        <v>420</v>
      </c>
      <c r="O207" s="581">
        <v>9310.81</v>
      </c>
      <c r="P207" s="581">
        <v>7987.6799999999994</v>
      </c>
      <c r="Q207" s="582"/>
      <c r="R207" s="579" t="s">
        <v>85</v>
      </c>
      <c r="S207" s="579" t="s">
        <v>151</v>
      </c>
      <c r="T207" s="580" t="s">
        <v>66</v>
      </c>
      <c r="U207" s="580" t="s">
        <v>66</v>
      </c>
      <c r="V207" s="580" t="s">
        <v>66</v>
      </c>
      <c r="W207" s="580" t="s">
        <v>66</v>
      </c>
      <c r="X207" s="580" t="s">
        <v>66</v>
      </c>
      <c r="Y207" s="580" t="s">
        <v>66</v>
      </c>
      <c r="Z207" s="580" t="s">
        <v>66</v>
      </c>
      <c r="AA207" s="578"/>
      <c r="AB207" s="580" t="s">
        <v>68</v>
      </c>
      <c r="AC207" s="579"/>
      <c r="AD207" s="580" t="s">
        <v>68</v>
      </c>
      <c r="AE207" s="579"/>
      <c r="AF207" s="587" t="s">
        <v>1214</v>
      </c>
      <c r="AG207" s="584" t="s">
        <v>66</v>
      </c>
      <c r="AH207" s="580" t="s">
        <v>66</v>
      </c>
      <c r="AI207" s="580" t="s">
        <v>66</v>
      </c>
      <c r="AJ207" s="580" t="s">
        <v>66</v>
      </c>
      <c r="AK207" s="580" t="s">
        <v>66</v>
      </c>
      <c r="AL207" s="580" t="s">
        <v>66</v>
      </c>
      <c r="AM207" s="585" t="s">
        <v>66</v>
      </c>
      <c r="AN207" s="586" t="s">
        <v>258</v>
      </c>
      <c r="AO207" s="579" t="s">
        <v>71</v>
      </c>
      <c r="AP207" s="579" t="s">
        <v>72</v>
      </c>
      <c r="AQ207" s="579" t="s">
        <v>268</v>
      </c>
      <c r="AR207" s="579"/>
      <c r="AS207" s="579"/>
      <c r="AT207" s="587"/>
      <c r="AU207" s="584" t="s">
        <v>2420</v>
      </c>
      <c r="AV207" s="578" t="s">
        <v>1545</v>
      </c>
      <c r="AW207" s="588">
        <v>45383</v>
      </c>
      <c r="AX207" s="588">
        <v>47208</v>
      </c>
      <c r="AY207" s="588" t="s">
        <v>152</v>
      </c>
      <c r="AZ207" s="589"/>
      <c r="BA207" s="589"/>
      <c r="BB207" s="589"/>
      <c r="BC207" s="590">
        <v>82</v>
      </c>
      <c r="BD207" s="591"/>
    </row>
    <row r="208" spans="1:56" s="560" customFormat="1" ht="16.5" customHeight="1">
      <c r="A208" s="561">
        <v>2024</v>
      </c>
      <c r="B208" s="577" t="s">
        <v>1308</v>
      </c>
      <c r="C208" s="562" t="s">
        <v>1228</v>
      </c>
      <c r="D208" s="562" t="s">
        <v>2415</v>
      </c>
      <c r="E208" s="578" t="s">
        <v>1309</v>
      </c>
      <c r="F208" s="579" t="s">
        <v>708</v>
      </c>
      <c r="G208" s="578" t="s">
        <v>1207</v>
      </c>
      <c r="H208" s="579" t="s">
        <v>1310</v>
      </c>
      <c r="I208" s="579" t="s">
        <v>58</v>
      </c>
      <c r="J208" s="579" t="s">
        <v>1210</v>
      </c>
      <c r="K208" s="579" t="s">
        <v>1211</v>
      </c>
      <c r="L208" s="578" t="s">
        <v>2554</v>
      </c>
      <c r="M208" s="580" t="s">
        <v>160</v>
      </c>
      <c r="N208" s="580" t="s">
        <v>160</v>
      </c>
      <c r="O208" s="581">
        <v>2876</v>
      </c>
      <c r="P208" s="581">
        <v>5148.2700000000004</v>
      </c>
      <c r="Q208" s="582"/>
      <c r="R208" s="579" t="s">
        <v>100</v>
      </c>
      <c r="S208" s="579" t="s">
        <v>151</v>
      </c>
      <c r="T208" s="580" t="s">
        <v>66</v>
      </c>
      <c r="U208" s="580" t="s">
        <v>66</v>
      </c>
      <c r="V208" s="580" t="s">
        <v>66</v>
      </c>
      <c r="W208" s="580" t="s">
        <v>66</v>
      </c>
      <c r="X208" s="580" t="s">
        <v>66</v>
      </c>
      <c r="Y208" s="580" t="s">
        <v>66</v>
      </c>
      <c r="Z208" s="580" t="s">
        <v>66</v>
      </c>
      <c r="AA208" s="578"/>
      <c r="AB208" s="580" t="s">
        <v>68</v>
      </c>
      <c r="AC208" s="579"/>
      <c r="AD208" s="580" t="s">
        <v>68</v>
      </c>
      <c r="AE208" s="579"/>
      <c r="AF208" s="587" t="s">
        <v>1214</v>
      </c>
      <c r="AG208" s="584" t="s">
        <v>66</v>
      </c>
      <c r="AH208" s="580" t="s">
        <v>66</v>
      </c>
      <c r="AI208" s="580" t="s">
        <v>66</v>
      </c>
      <c r="AJ208" s="580" t="s">
        <v>66</v>
      </c>
      <c r="AK208" s="580" t="s">
        <v>66</v>
      </c>
      <c r="AL208" s="580" t="s">
        <v>66</v>
      </c>
      <c r="AM208" s="585" t="s">
        <v>66</v>
      </c>
      <c r="AN208" s="586" t="s">
        <v>164</v>
      </c>
      <c r="AO208" s="579" t="s">
        <v>71</v>
      </c>
      <c r="AP208" s="579" t="s">
        <v>72</v>
      </c>
      <c r="AQ208" s="579"/>
      <c r="AR208" s="579" t="s">
        <v>121</v>
      </c>
      <c r="AS208" s="579"/>
      <c r="AT208" s="587"/>
      <c r="AU208" s="584" t="s">
        <v>2420</v>
      </c>
      <c r="AV208" s="578" t="s">
        <v>1545</v>
      </c>
      <c r="AW208" s="588">
        <v>45383</v>
      </c>
      <c r="AX208" s="588">
        <v>47208</v>
      </c>
      <c r="AY208" s="588" t="s">
        <v>152</v>
      </c>
      <c r="AZ208" s="589"/>
      <c r="BA208" s="589"/>
      <c r="BB208" s="589"/>
      <c r="BC208" s="590">
        <v>31</v>
      </c>
      <c r="BD208" s="591"/>
    </row>
    <row r="209" spans="1:56" s="560" customFormat="1" ht="16.5" customHeight="1">
      <c r="A209" s="561">
        <v>2024</v>
      </c>
      <c r="B209" s="577" t="s">
        <v>2573</v>
      </c>
      <c r="C209" s="577" t="s">
        <v>1231</v>
      </c>
      <c r="D209" s="562" t="s">
        <v>2415</v>
      </c>
      <c r="E209" s="578" t="s">
        <v>2572</v>
      </c>
      <c r="F209" s="579" t="s">
        <v>708</v>
      </c>
      <c r="G209" s="578" t="s">
        <v>1207</v>
      </c>
      <c r="H209" s="579" t="s">
        <v>2624</v>
      </c>
      <c r="I209" s="579" t="s">
        <v>58</v>
      </c>
      <c r="J209" s="579" t="s">
        <v>1210</v>
      </c>
      <c r="K209" s="579" t="s">
        <v>1211</v>
      </c>
      <c r="L209" s="578" t="s">
        <v>2554</v>
      </c>
      <c r="M209" s="580" t="s">
        <v>2625</v>
      </c>
      <c r="N209" s="580" t="s">
        <v>2625</v>
      </c>
      <c r="O209" s="581">
        <v>2920.49</v>
      </c>
      <c r="P209" s="581">
        <v>3116.45</v>
      </c>
      <c r="Q209" s="582"/>
      <c r="R209" s="579" t="s">
        <v>2626</v>
      </c>
      <c r="S209" s="579" t="s">
        <v>151</v>
      </c>
      <c r="T209" s="580" t="s">
        <v>66</v>
      </c>
      <c r="U209" s="580" t="s">
        <v>66</v>
      </c>
      <c r="V209" s="580" t="s">
        <v>66</v>
      </c>
      <c r="W209" s="580" t="s">
        <v>66</v>
      </c>
      <c r="X209" s="580" t="s">
        <v>66</v>
      </c>
      <c r="Y209" s="580" t="s">
        <v>66</v>
      </c>
      <c r="Z209" s="580" t="s">
        <v>66</v>
      </c>
      <c r="AA209" s="578"/>
      <c r="AB209" s="580" t="s">
        <v>68</v>
      </c>
      <c r="AC209" s="579"/>
      <c r="AD209" s="580" t="s">
        <v>68</v>
      </c>
      <c r="AE209" s="579"/>
      <c r="AF209" s="583" t="s">
        <v>2627</v>
      </c>
      <c r="AG209" s="584" t="s">
        <v>66</v>
      </c>
      <c r="AH209" s="580" t="s">
        <v>66</v>
      </c>
      <c r="AI209" s="580" t="s">
        <v>66</v>
      </c>
      <c r="AJ209" s="580" t="s">
        <v>66</v>
      </c>
      <c r="AK209" s="580" t="s">
        <v>66</v>
      </c>
      <c r="AL209" s="580" t="s">
        <v>66</v>
      </c>
      <c r="AM209" s="585" t="s">
        <v>66</v>
      </c>
      <c r="AN209" s="586" t="s">
        <v>164</v>
      </c>
      <c r="AO209" s="579" t="s">
        <v>71</v>
      </c>
      <c r="AP209" s="579" t="s">
        <v>72</v>
      </c>
      <c r="AQ209" s="579"/>
      <c r="AR209" s="579" t="s">
        <v>121</v>
      </c>
      <c r="AS209" s="579"/>
      <c r="AT209" s="587"/>
      <c r="AU209" s="584" t="s">
        <v>2420</v>
      </c>
      <c r="AV209" s="578" t="s">
        <v>1545</v>
      </c>
      <c r="AW209" s="588">
        <v>45383</v>
      </c>
      <c r="AX209" s="588">
        <v>47208</v>
      </c>
      <c r="AY209" s="588" t="s">
        <v>152</v>
      </c>
      <c r="AZ209" s="589"/>
      <c r="BA209" s="589"/>
      <c r="BB209" s="589"/>
      <c r="BC209" s="590">
        <v>22</v>
      </c>
      <c r="BD209" s="613" t="s">
        <v>2759</v>
      </c>
    </row>
    <row r="210" spans="1:56" s="560" customFormat="1" ht="16.5" customHeight="1">
      <c r="A210" s="576">
        <v>2024</v>
      </c>
      <c r="B210" s="577" t="s">
        <v>1312</v>
      </c>
      <c r="C210" s="562" t="s">
        <v>1235</v>
      </c>
      <c r="D210" s="562" t="s">
        <v>2415</v>
      </c>
      <c r="E210" s="578" t="s">
        <v>1313</v>
      </c>
      <c r="F210" s="579" t="s">
        <v>2103</v>
      </c>
      <c r="G210" s="578" t="s">
        <v>2467</v>
      </c>
      <c r="H210" s="579" t="s">
        <v>1314</v>
      </c>
      <c r="I210" s="579" t="s">
        <v>58</v>
      </c>
      <c r="J210" s="579" t="s">
        <v>1315</v>
      </c>
      <c r="K210" s="579" t="s">
        <v>1316</v>
      </c>
      <c r="L210" s="578"/>
      <c r="M210" s="580" t="s">
        <v>542</v>
      </c>
      <c r="N210" s="580" t="s">
        <v>542</v>
      </c>
      <c r="O210" s="581">
        <v>1270</v>
      </c>
      <c r="P210" s="581">
        <v>751.78</v>
      </c>
      <c r="Q210" s="582"/>
      <c r="R210" s="579" t="s">
        <v>64</v>
      </c>
      <c r="S210" s="579" t="s">
        <v>151</v>
      </c>
      <c r="T210" s="580" t="s">
        <v>66</v>
      </c>
      <c r="U210" s="580" t="s">
        <v>66</v>
      </c>
      <c r="V210" s="580" t="s">
        <v>66</v>
      </c>
      <c r="W210" s="580" t="s">
        <v>66</v>
      </c>
      <c r="X210" s="580" t="s">
        <v>66</v>
      </c>
      <c r="Y210" s="580" t="s">
        <v>66</v>
      </c>
      <c r="Z210" s="580" t="s">
        <v>66</v>
      </c>
      <c r="AA210" s="578"/>
      <c r="AB210" s="580" t="s">
        <v>68</v>
      </c>
      <c r="AC210" s="579"/>
      <c r="AD210" s="580" t="s">
        <v>68</v>
      </c>
      <c r="AE210" s="579"/>
      <c r="AF210" s="587" t="s">
        <v>1317</v>
      </c>
      <c r="AG210" s="584" t="s">
        <v>66</v>
      </c>
      <c r="AH210" s="580" t="s">
        <v>66</v>
      </c>
      <c r="AI210" s="580" t="s">
        <v>66</v>
      </c>
      <c r="AJ210" s="580" t="s">
        <v>66</v>
      </c>
      <c r="AK210" s="580" t="s">
        <v>66</v>
      </c>
      <c r="AL210" s="580" t="s">
        <v>66</v>
      </c>
      <c r="AM210" s="585" t="s">
        <v>66</v>
      </c>
      <c r="AN210" s="586" t="s">
        <v>70</v>
      </c>
      <c r="AO210" s="579" t="s">
        <v>71</v>
      </c>
      <c r="AP210" s="579" t="s">
        <v>72</v>
      </c>
      <c r="AQ210" s="579"/>
      <c r="AR210" s="579" t="s">
        <v>73</v>
      </c>
      <c r="AS210" s="579"/>
      <c r="AT210" s="587"/>
      <c r="AU210" s="584" t="s">
        <v>74</v>
      </c>
      <c r="AV210" s="578"/>
      <c r="AW210" s="588"/>
      <c r="AX210" s="588"/>
      <c r="AY210" s="588"/>
      <c r="AZ210" s="589"/>
      <c r="BA210" s="589"/>
      <c r="BB210" s="589" t="s">
        <v>1318</v>
      </c>
      <c r="BC210" s="590"/>
      <c r="BD210" s="591"/>
    </row>
    <row r="211" spans="1:56" s="560" customFormat="1" ht="16.5" customHeight="1">
      <c r="A211" s="576">
        <v>2024</v>
      </c>
      <c r="B211" s="577" t="s">
        <v>1320</v>
      </c>
      <c r="C211" s="577" t="s">
        <v>148</v>
      </c>
      <c r="D211" s="562" t="s">
        <v>2415</v>
      </c>
      <c r="E211" s="578" t="s">
        <v>1321</v>
      </c>
      <c r="F211" s="579" t="s">
        <v>2103</v>
      </c>
      <c r="G211" s="578" t="s">
        <v>2467</v>
      </c>
      <c r="H211" s="579" t="s">
        <v>1322</v>
      </c>
      <c r="I211" s="579" t="s">
        <v>58</v>
      </c>
      <c r="J211" s="579" t="s">
        <v>1315</v>
      </c>
      <c r="K211" s="579" t="s">
        <v>1316</v>
      </c>
      <c r="L211" s="578" t="s">
        <v>1323</v>
      </c>
      <c r="M211" s="580" t="s">
        <v>732</v>
      </c>
      <c r="N211" s="580" t="s">
        <v>732</v>
      </c>
      <c r="O211" s="581">
        <v>17000</v>
      </c>
      <c r="P211" s="581">
        <v>1818</v>
      </c>
      <c r="Q211" s="582"/>
      <c r="R211" s="579" t="s">
        <v>93</v>
      </c>
      <c r="S211" s="579" t="s">
        <v>151</v>
      </c>
      <c r="T211" s="580" t="s">
        <v>66</v>
      </c>
      <c r="U211" s="580" t="s">
        <v>66</v>
      </c>
      <c r="V211" s="580" t="s">
        <v>66</v>
      </c>
      <c r="W211" s="580" t="s">
        <v>66</v>
      </c>
      <c r="X211" s="580" t="s">
        <v>66</v>
      </c>
      <c r="Y211" s="580" t="s">
        <v>66</v>
      </c>
      <c r="Z211" s="580" t="s">
        <v>66</v>
      </c>
      <c r="AA211" s="578"/>
      <c r="AB211" s="580" t="s">
        <v>68</v>
      </c>
      <c r="AC211" s="579"/>
      <c r="AD211" s="580" t="s">
        <v>68</v>
      </c>
      <c r="AE211" s="579"/>
      <c r="AF211" s="587" t="s">
        <v>2468</v>
      </c>
      <c r="AG211" s="584" t="s">
        <v>66</v>
      </c>
      <c r="AH211" s="580" t="s">
        <v>66</v>
      </c>
      <c r="AI211" s="580" t="s">
        <v>66</v>
      </c>
      <c r="AJ211" s="580" t="s">
        <v>66</v>
      </c>
      <c r="AK211" s="580" t="s">
        <v>66</v>
      </c>
      <c r="AL211" s="580" t="s">
        <v>66</v>
      </c>
      <c r="AM211" s="585" t="s">
        <v>66</v>
      </c>
      <c r="AN211" s="586" t="s">
        <v>120</v>
      </c>
      <c r="AO211" s="579" t="s">
        <v>71</v>
      </c>
      <c r="AP211" s="579" t="s">
        <v>1922</v>
      </c>
      <c r="AQ211" s="579"/>
      <c r="AR211" s="579" t="s">
        <v>121</v>
      </c>
      <c r="AS211" s="579"/>
      <c r="AT211" s="587"/>
      <c r="AU211" s="584" t="s">
        <v>74</v>
      </c>
      <c r="AV211" s="578"/>
      <c r="AW211" s="588"/>
      <c r="AX211" s="588"/>
      <c r="AY211" s="588"/>
      <c r="AZ211" s="589" t="s">
        <v>1324</v>
      </c>
      <c r="BA211" s="589" t="s">
        <v>1325</v>
      </c>
      <c r="BB211" s="589" t="s">
        <v>1326</v>
      </c>
      <c r="BC211" s="590">
        <v>230</v>
      </c>
      <c r="BD211" s="591"/>
    </row>
    <row r="212" spans="1:56" s="560" customFormat="1" ht="16.5" customHeight="1">
      <c r="A212" s="561">
        <v>2024</v>
      </c>
      <c r="B212" s="577" t="s">
        <v>1328</v>
      </c>
      <c r="C212" s="562" t="s">
        <v>1241</v>
      </c>
      <c r="D212" s="562" t="s">
        <v>2415</v>
      </c>
      <c r="E212" s="578" t="s">
        <v>1329</v>
      </c>
      <c r="F212" s="579" t="s">
        <v>2103</v>
      </c>
      <c r="G212" s="578" t="s">
        <v>2467</v>
      </c>
      <c r="H212" s="579" t="s">
        <v>1330</v>
      </c>
      <c r="I212" s="579" t="s">
        <v>58</v>
      </c>
      <c r="J212" s="579" t="s">
        <v>1315</v>
      </c>
      <c r="K212" s="579" t="s">
        <v>1316</v>
      </c>
      <c r="L212" s="578" t="s">
        <v>1323</v>
      </c>
      <c r="M212" s="580" t="s">
        <v>235</v>
      </c>
      <c r="N212" s="580" t="s">
        <v>235</v>
      </c>
      <c r="O212" s="581">
        <v>2200</v>
      </c>
      <c r="P212" s="581">
        <v>197.05</v>
      </c>
      <c r="Q212" s="582"/>
      <c r="R212" s="579" t="s">
        <v>93</v>
      </c>
      <c r="S212" s="579" t="s">
        <v>151</v>
      </c>
      <c r="T212" s="580" t="s">
        <v>66</v>
      </c>
      <c r="U212" s="580" t="s">
        <v>66</v>
      </c>
      <c r="V212" s="580" t="s">
        <v>66</v>
      </c>
      <c r="W212" s="580" t="s">
        <v>66</v>
      </c>
      <c r="X212" s="580" t="s">
        <v>66</v>
      </c>
      <c r="Y212" s="580" t="s">
        <v>66</v>
      </c>
      <c r="Z212" s="580" t="s">
        <v>66</v>
      </c>
      <c r="AA212" s="578"/>
      <c r="AB212" s="580" t="s">
        <v>68</v>
      </c>
      <c r="AC212" s="579"/>
      <c r="AD212" s="580" t="s">
        <v>68</v>
      </c>
      <c r="AE212" s="579"/>
      <c r="AF212" s="587" t="s">
        <v>1331</v>
      </c>
      <c r="AG212" s="584" t="s">
        <v>66</v>
      </c>
      <c r="AH212" s="580" t="s">
        <v>63</v>
      </c>
      <c r="AI212" s="580" t="s">
        <v>63</v>
      </c>
      <c r="AJ212" s="580" t="s">
        <v>63</v>
      </c>
      <c r="AK212" s="580" t="s">
        <v>66</v>
      </c>
      <c r="AL212" s="580" t="s">
        <v>66</v>
      </c>
      <c r="AM212" s="585" t="s">
        <v>63</v>
      </c>
      <c r="AN212" s="586" t="s">
        <v>120</v>
      </c>
      <c r="AO212" s="579" t="s">
        <v>71</v>
      </c>
      <c r="AP212" s="579" t="s">
        <v>72</v>
      </c>
      <c r="AQ212" s="579"/>
      <c r="AR212" s="579" t="s">
        <v>121</v>
      </c>
      <c r="AS212" s="579"/>
      <c r="AT212" s="587"/>
      <c r="AU212" s="584" t="s">
        <v>1332</v>
      </c>
      <c r="AV212" s="578" t="s">
        <v>1333</v>
      </c>
      <c r="AW212" s="588"/>
      <c r="AX212" s="588"/>
      <c r="AY212" s="588"/>
      <c r="AZ212" s="589" t="s">
        <v>1324</v>
      </c>
      <c r="BA212" s="589" t="s">
        <v>1153</v>
      </c>
      <c r="BB212" s="589" t="s">
        <v>1334</v>
      </c>
      <c r="BC212" s="590"/>
      <c r="BD212" s="591"/>
    </row>
    <row r="213" spans="1:56" s="560" customFormat="1" ht="16.5" customHeight="1">
      <c r="A213" s="576">
        <v>2024</v>
      </c>
      <c r="B213" s="577" t="s">
        <v>1336</v>
      </c>
      <c r="C213" s="577" t="s">
        <v>1245</v>
      </c>
      <c r="D213" s="562" t="s">
        <v>2415</v>
      </c>
      <c r="E213" s="578" t="s">
        <v>1337</v>
      </c>
      <c r="F213" s="579" t="s">
        <v>2103</v>
      </c>
      <c r="G213" s="578" t="s">
        <v>2467</v>
      </c>
      <c r="H213" s="579" t="s">
        <v>1338</v>
      </c>
      <c r="I213" s="579" t="s">
        <v>58</v>
      </c>
      <c r="J213" s="579" t="s">
        <v>1315</v>
      </c>
      <c r="K213" s="579" t="s">
        <v>1316</v>
      </c>
      <c r="L213" s="578" t="s">
        <v>1323</v>
      </c>
      <c r="M213" s="580" t="s">
        <v>235</v>
      </c>
      <c r="N213" s="580" t="s">
        <v>235</v>
      </c>
      <c r="O213" s="581">
        <v>13000</v>
      </c>
      <c r="P213" s="581">
        <v>270.63</v>
      </c>
      <c r="Q213" s="582"/>
      <c r="R213" s="579" t="s">
        <v>240</v>
      </c>
      <c r="S213" s="579" t="s">
        <v>151</v>
      </c>
      <c r="T213" s="580" t="s">
        <v>66</v>
      </c>
      <c r="U213" s="580" t="s">
        <v>66</v>
      </c>
      <c r="V213" s="580" t="s">
        <v>66</v>
      </c>
      <c r="W213" s="580" t="s">
        <v>66</v>
      </c>
      <c r="X213" s="580" t="s">
        <v>66</v>
      </c>
      <c r="Y213" s="580" t="s">
        <v>66</v>
      </c>
      <c r="Z213" s="580" t="s">
        <v>66</v>
      </c>
      <c r="AA213" s="578"/>
      <c r="AB213" s="580" t="s">
        <v>68</v>
      </c>
      <c r="AC213" s="579"/>
      <c r="AD213" s="580" t="s">
        <v>68</v>
      </c>
      <c r="AE213" s="579"/>
      <c r="AF213" s="587" t="s">
        <v>1339</v>
      </c>
      <c r="AG213" s="584" t="s">
        <v>66</v>
      </c>
      <c r="AH213" s="580" t="s">
        <v>66</v>
      </c>
      <c r="AI213" s="580" t="s">
        <v>63</v>
      </c>
      <c r="AJ213" s="580" t="s">
        <v>66</v>
      </c>
      <c r="AK213" s="580" t="s">
        <v>66</v>
      </c>
      <c r="AL213" s="580" t="s">
        <v>66</v>
      </c>
      <c r="AM213" s="585" t="s">
        <v>63</v>
      </c>
      <c r="AN213" s="586" t="s">
        <v>258</v>
      </c>
      <c r="AO213" s="579" t="s">
        <v>71</v>
      </c>
      <c r="AP213" s="579" t="s">
        <v>72</v>
      </c>
      <c r="AQ213" s="579" t="s">
        <v>268</v>
      </c>
      <c r="AR213" s="579"/>
      <c r="AS213" s="579"/>
      <c r="AT213" s="587"/>
      <c r="AU213" s="584" t="s">
        <v>74</v>
      </c>
      <c r="AV213" s="578"/>
      <c r="AW213" s="588"/>
      <c r="AX213" s="588"/>
      <c r="AY213" s="588"/>
      <c r="AZ213" s="589"/>
      <c r="BA213" s="589"/>
      <c r="BB213" s="589" t="s">
        <v>1340</v>
      </c>
      <c r="BC213" s="590"/>
      <c r="BD213" s="591"/>
    </row>
    <row r="214" spans="1:56" s="560" customFormat="1" ht="16.5" customHeight="1">
      <c r="A214" s="576">
        <v>2024</v>
      </c>
      <c r="B214" s="577" t="s">
        <v>1342</v>
      </c>
      <c r="C214" s="562" t="s">
        <v>1249</v>
      </c>
      <c r="D214" s="562" t="s">
        <v>2415</v>
      </c>
      <c r="E214" s="578" t="s">
        <v>1343</v>
      </c>
      <c r="F214" s="579" t="s">
        <v>2103</v>
      </c>
      <c r="G214" s="578" t="s">
        <v>2467</v>
      </c>
      <c r="H214" s="579" t="s">
        <v>1344</v>
      </c>
      <c r="I214" s="579" t="s">
        <v>58</v>
      </c>
      <c r="J214" s="579" t="s">
        <v>1315</v>
      </c>
      <c r="K214" s="579" t="s">
        <v>1316</v>
      </c>
      <c r="L214" s="578" t="s">
        <v>1323</v>
      </c>
      <c r="M214" s="580" t="s">
        <v>420</v>
      </c>
      <c r="N214" s="580" t="s">
        <v>92</v>
      </c>
      <c r="O214" s="581">
        <v>87000</v>
      </c>
      <c r="P214" s="581">
        <v>1298.67</v>
      </c>
      <c r="Q214" s="582"/>
      <c r="R214" s="579" t="s">
        <v>85</v>
      </c>
      <c r="S214" s="579" t="s">
        <v>151</v>
      </c>
      <c r="T214" s="580" t="s">
        <v>63</v>
      </c>
      <c r="U214" s="580" t="s">
        <v>63</v>
      </c>
      <c r="V214" s="580" t="s">
        <v>63</v>
      </c>
      <c r="W214" s="580" t="s">
        <v>63</v>
      </c>
      <c r="X214" s="580" t="s">
        <v>63</v>
      </c>
      <c r="Y214" s="580" t="s">
        <v>66</v>
      </c>
      <c r="Z214" s="580" t="s">
        <v>66</v>
      </c>
      <c r="AA214" s="578"/>
      <c r="AB214" s="580" t="s">
        <v>2213</v>
      </c>
      <c r="AC214" s="579" t="s">
        <v>2662</v>
      </c>
      <c r="AD214" s="580" t="s">
        <v>68</v>
      </c>
      <c r="AE214" s="579"/>
      <c r="AF214" s="587" t="s">
        <v>1345</v>
      </c>
      <c r="AG214" s="584" t="s">
        <v>63</v>
      </c>
      <c r="AH214" s="580" t="s">
        <v>63</v>
      </c>
      <c r="AI214" s="580" t="s">
        <v>63</v>
      </c>
      <c r="AJ214" s="580" t="s">
        <v>63</v>
      </c>
      <c r="AK214" s="580" t="s">
        <v>63</v>
      </c>
      <c r="AL214" s="580" t="s">
        <v>63</v>
      </c>
      <c r="AM214" s="585" t="s">
        <v>63</v>
      </c>
      <c r="AN214" s="586" t="s">
        <v>258</v>
      </c>
      <c r="AO214" s="579" t="s">
        <v>71</v>
      </c>
      <c r="AP214" s="579" t="s">
        <v>72</v>
      </c>
      <c r="AQ214" s="579" t="s">
        <v>268</v>
      </c>
      <c r="AR214" s="579"/>
      <c r="AS214" s="579"/>
      <c r="AT214" s="587"/>
      <c r="AU214" s="584" t="s">
        <v>2420</v>
      </c>
      <c r="AV214" s="578" t="s">
        <v>2214</v>
      </c>
      <c r="AW214" s="588">
        <v>43922</v>
      </c>
      <c r="AX214" s="588">
        <v>45747</v>
      </c>
      <c r="AY214" s="588" t="s">
        <v>2215</v>
      </c>
      <c r="AZ214" s="589" t="s">
        <v>2000</v>
      </c>
      <c r="BA214" s="589"/>
      <c r="BB214" s="589" t="s">
        <v>1346</v>
      </c>
      <c r="BC214" s="590">
        <v>341</v>
      </c>
      <c r="BD214" s="591"/>
    </row>
    <row r="215" spans="1:56" s="560" customFormat="1" ht="16.5" customHeight="1">
      <c r="A215" s="561">
        <v>2024</v>
      </c>
      <c r="B215" s="577" t="s">
        <v>1348</v>
      </c>
      <c r="C215" s="577" t="s">
        <v>1252</v>
      </c>
      <c r="D215" s="562" t="s">
        <v>2415</v>
      </c>
      <c r="E215" s="578" t="s">
        <v>1349</v>
      </c>
      <c r="F215" s="579" t="s">
        <v>2103</v>
      </c>
      <c r="G215" s="578" t="s">
        <v>2467</v>
      </c>
      <c r="H215" s="579" t="s">
        <v>1350</v>
      </c>
      <c r="I215" s="579" t="s">
        <v>58</v>
      </c>
      <c r="J215" s="579" t="s">
        <v>1315</v>
      </c>
      <c r="K215" s="579" t="s">
        <v>1316</v>
      </c>
      <c r="L215" s="578" t="s">
        <v>1323</v>
      </c>
      <c r="M215" s="580" t="s">
        <v>1351</v>
      </c>
      <c r="N215" s="580" t="s">
        <v>1351</v>
      </c>
      <c r="O215" s="581">
        <v>15000</v>
      </c>
      <c r="P215" s="581">
        <v>225.89</v>
      </c>
      <c r="Q215" s="582"/>
      <c r="R215" s="579" t="s">
        <v>118</v>
      </c>
      <c r="S215" s="579" t="s">
        <v>151</v>
      </c>
      <c r="T215" s="580" t="s">
        <v>66</v>
      </c>
      <c r="U215" s="580" t="s">
        <v>66</v>
      </c>
      <c r="V215" s="580" t="s">
        <v>66</v>
      </c>
      <c r="W215" s="580" t="s">
        <v>66</v>
      </c>
      <c r="X215" s="580" t="s">
        <v>66</v>
      </c>
      <c r="Y215" s="580" t="s">
        <v>66</v>
      </c>
      <c r="Z215" s="580" t="s">
        <v>66</v>
      </c>
      <c r="AA215" s="578"/>
      <c r="AB215" s="580" t="s">
        <v>1874</v>
      </c>
      <c r="AC215" s="579"/>
      <c r="AD215" s="580" t="s">
        <v>68</v>
      </c>
      <c r="AE215" s="579"/>
      <c r="AF215" s="587" t="s">
        <v>1352</v>
      </c>
      <c r="AG215" s="584" t="s">
        <v>66</v>
      </c>
      <c r="AH215" s="580" t="s">
        <v>66</v>
      </c>
      <c r="AI215" s="580" t="s">
        <v>63</v>
      </c>
      <c r="AJ215" s="580" t="s">
        <v>63</v>
      </c>
      <c r="AK215" s="580" t="s">
        <v>63</v>
      </c>
      <c r="AL215" s="580" t="s">
        <v>66</v>
      </c>
      <c r="AM215" s="585" t="s">
        <v>63</v>
      </c>
      <c r="AN215" s="586" t="s">
        <v>1353</v>
      </c>
      <c r="AO215" s="579" t="s">
        <v>71</v>
      </c>
      <c r="AP215" s="579" t="s">
        <v>72</v>
      </c>
      <c r="AQ215" s="579"/>
      <c r="AR215" s="579" t="s">
        <v>121</v>
      </c>
      <c r="AS215" s="579"/>
      <c r="AT215" s="587"/>
      <c r="AU215" s="584" t="s">
        <v>1332</v>
      </c>
      <c r="AV215" s="578" t="s">
        <v>1354</v>
      </c>
      <c r="AW215" s="588"/>
      <c r="AX215" s="588"/>
      <c r="AY215" s="588"/>
      <c r="AZ215" s="589" t="s">
        <v>1324</v>
      </c>
      <c r="BA215" s="589" t="s">
        <v>784</v>
      </c>
      <c r="BB215" s="589" t="s">
        <v>1355</v>
      </c>
      <c r="BC215" s="590"/>
      <c r="BD215" s="591"/>
    </row>
    <row r="216" spans="1:56" s="560" customFormat="1" ht="16.5" customHeight="1">
      <c r="A216" s="576">
        <v>2024</v>
      </c>
      <c r="B216" s="577" t="s">
        <v>1357</v>
      </c>
      <c r="C216" s="562" t="s">
        <v>1253</v>
      </c>
      <c r="D216" s="562" t="s">
        <v>2415</v>
      </c>
      <c r="E216" s="578" t="s">
        <v>1358</v>
      </c>
      <c r="F216" s="579" t="s">
        <v>2103</v>
      </c>
      <c r="G216" s="578" t="s">
        <v>2467</v>
      </c>
      <c r="H216" s="579" t="s">
        <v>1359</v>
      </c>
      <c r="I216" s="579" t="s">
        <v>58</v>
      </c>
      <c r="J216" s="579" t="s">
        <v>1315</v>
      </c>
      <c r="K216" s="579" t="s">
        <v>1316</v>
      </c>
      <c r="L216" s="578" t="s">
        <v>1323</v>
      </c>
      <c r="M216" s="580" t="s">
        <v>250</v>
      </c>
      <c r="N216" s="580" t="s">
        <v>250</v>
      </c>
      <c r="O216" s="581">
        <v>19000</v>
      </c>
      <c r="P216" s="581">
        <v>180.52</v>
      </c>
      <c r="Q216" s="582"/>
      <c r="R216" s="579" t="s">
        <v>503</v>
      </c>
      <c r="S216" s="579" t="s">
        <v>151</v>
      </c>
      <c r="T216" s="580" t="s">
        <v>66</v>
      </c>
      <c r="U216" s="580" t="s">
        <v>66</v>
      </c>
      <c r="V216" s="580" t="s">
        <v>66</v>
      </c>
      <c r="W216" s="580" t="s">
        <v>66</v>
      </c>
      <c r="X216" s="580" t="s">
        <v>66</v>
      </c>
      <c r="Y216" s="580" t="s">
        <v>66</v>
      </c>
      <c r="Z216" s="580" t="s">
        <v>66</v>
      </c>
      <c r="AA216" s="578"/>
      <c r="AB216" s="580" t="s">
        <v>68</v>
      </c>
      <c r="AC216" s="579"/>
      <c r="AD216" s="580" t="s">
        <v>68</v>
      </c>
      <c r="AE216" s="579"/>
      <c r="AF216" s="587" t="s">
        <v>1339</v>
      </c>
      <c r="AG216" s="584" t="s">
        <v>66</v>
      </c>
      <c r="AH216" s="580" t="s">
        <v>66</v>
      </c>
      <c r="AI216" s="580" t="s">
        <v>66</v>
      </c>
      <c r="AJ216" s="580" t="s">
        <v>66</v>
      </c>
      <c r="AK216" s="580" t="s">
        <v>66</v>
      </c>
      <c r="AL216" s="580" t="s">
        <v>66</v>
      </c>
      <c r="AM216" s="585" t="s">
        <v>66</v>
      </c>
      <c r="AN216" s="586" t="s">
        <v>120</v>
      </c>
      <c r="AO216" s="579" t="s">
        <v>71</v>
      </c>
      <c r="AP216" s="579" t="s">
        <v>72</v>
      </c>
      <c r="AQ216" s="579"/>
      <c r="AR216" s="579" t="s">
        <v>121</v>
      </c>
      <c r="AS216" s="579"/>
      <c r="AT216" s="587"/>
      <c r="AU216" s="584" t="s">
        <v>74</v>
      </c>
      <c r="AV216" s="578"/>
      <c r="AW216" s="588"/>
      <c r="AX216" s="588"/>
      <c r="AY216" s="588"/>
      <c r="AZ216" s="589"/>
      <c r="BA216" s="589"/>
      <c r="BB216" s="589" t="s">
        <v>1340</v>
      </c>
      <c r="BC216" s="590"/>
      <c r="BD216" s="591"/>
    </row>
    <row r="217" spans="1:56" s="560" customFormat="1" ht="16.5" customHeight="1">
      <c r="A217" s="576">
        <v>2024</v>
      </c>
      <c r="B217" s="577" t="s">
        <v>1361</v>
      </c>
      <c r="C217" s="577" t="s">
        <v>1254</v>
      </c>
      <c r="D217" s="562" t="s">
        <v>2415</v>
      </c>
      <c r="E217" s="578" t="s">
        <v>2760</v>
      </c>
      <c r="F217" s="579" t="s">
        <v>1363</v>
      </c>
      <c r="G217" s="578" t="s">
        <v>2761</v>
      </c>
      <c r="H217" s="579" t="s">
        <v>2066</v>
      </c>
      <c r="I217" s="579" t="s">
        <v>58</v>
      </c>
      <c r="J217" s="579" t="s">
        <v>1315</v>
      </c>
      <c r="K217" s="579" t="s">
        <v>1316</v>
      </c>
      <c r="L217" s="578" t="s">
        <v>1365</v>
      </c>
      <c r="M217" s="580" t="s">
        <v>199</v>
      </c>
      <c r="N217" s="580" t="s">
        <v>199</v>
      </c>
      <c r="O217" s="581"/>
      <c r="P217" s="581">
        <v>266.19</v>
      </c>
      <c r="Q217" s="582"/>
      <c r="R217" s="579" t="s">
        <v>524</v>
      </c>
      <c r="S217" s="579" t="s">
        <v>151</v>
      </c>
      <c r="T217" s="580" t="s">
        <v>66</v>
      </c>
      <c r="U217" s="580" t="s">
        <v>66</v>
      </c>
      <c r="V217" s="580" t="s">
        <v>66</v>
      </c>
      <c r="W217" s="580" t="s">
        <v>66</v>
      </c>
      <c r="X217" s="580" t="s">
        <v>66</v>
      </c>
      <c r="Y217" s="580" t="s">
        <v>66</v>
      </c>
      <c r="Z217" s="580" t="s">
        <v>66</v>
      </c>
      <c r="AA217" s="578"/>
      <c r="AB217" s="580" t="s">
        <v>68</v>
      </c>
      <c r="AC217" s="579"/>
      <c r="AD217" s="580" t="s">
        <v>68</v>
      </c>
      <c r="AE217" s="579"/>
      <c r="AF217" s="587" t="s">
        <v>1848</v>
      </c>
      <c r="AG217" s="584" t="s">
        <v>66</v>
      </c>
      <c r="AH217" s="580" t="s">
        <v>66</v>
      </c>
      <c r="AI217" s="580" t="s">
        <v>66</v>
      </c>
      <c r="AJ217" s="580" t="s">
        <v>66</v>
      </c>
      <c r="AK217" s="580" t="s">
        <v>66</v>
      </c>
      <c r="AL217" s="580" t="s">
        <v>66</v>
      </c>
      <c r="AM217" s="585" t="s">
        <v>66</v>
      </c>
      <c r="AN217" s="586" t="s">
        <v>109</v>
      </c>
      <c r="AO217" s="579" t="s">
        <v>110</v>
      </c>
      <c r="AP217" s="579" t="s">
        <v>111</v>
      </c>
      <c r="AQ217" s="579"/>
      <c r="AR217" s="579" t="s">
        <v>112</v>
      </c>
      <c r="AS217" s="579"/>
      <c r="AT217" s="587" t="s">
        <v>1366</v>
      </c>
      <c r="AU217" s="584" t="s">
        <v>2225</v>
      </c>
      <c r="AV217" s="578" t="s">
        <v>2226</v>
      </c>
      <c r="AW217" s="588"/>
      <c r="AX217" s="588"/>
      <c r="AY217" s="588"/>
      <c r="AZ217" s="589" t="s">
        <v>2695</v>
      </c>
      <c r="BA217" s="589" t="s">
        <v>2062</v>
      </c>
      <c r="BB217" s="589" t="s">
        <v>1367</v>
      </c>
      <c r="BC217" s="590">
        <v>0</v>
      </c>
      <c r="BD217" s="591"/>
    </row>
    <row r="218" spans="1:56" s="560" customFormat="1" ht="16.5" customHeight="1">
      <c r="A218" s="561">
        <v>2024</v>
      </c>
      <c r="B218" s="577" t="s">
        <v>1371</v>
      </c>
      <c r="C218" s="562" t="s">
        <v>1258</v>
      </c>
      <c r="D218" s="562" t="s">
        <v>2415</v>
      </c>
      <c r="E218" s="578" t="s">
        <v>2762</v>
      </c>
      <c r="F218" s="579" t="s">
        <v>170</v>
      </c>
      <c r="G218" s="578" t="s">
        <v>1373</v>
      </c>
      <c r="H218" s="579" t="s">
        <v>1375</v>
      </c>
      <c r="I218" s="579" t="s">
        <v>2763</v>
      </c>
      <c r="J218" s="579" t="s">
        <v>1376</v>
      </c>
      <c r="K218" s="579" t="s">
        <v>1377</v>
      </c>
      <c r="L218" s="578" t="s">
        <v>1398</v>
      </c>
      <c r="M218" s="580" t="s">
        <v>106</v>
      </c>
      <c r="N218" s="580" t="s">
        <v>106</v>
      </c>
      <c r="O218" s="581">
        <v>76696.94</v>
      </c>
      <c r="P218" s="581">
        <v>10173</v>
      </c>
      <c r="Q218" s="582"/>
      <c r="R218" s="579" t="s">
        <v>662</v>
      </c>
      <c r="S218" s="579" t="s">
        <v>151</v>
      </c>
      <c r="T218" s="580" t="s">
        <v>63</v>
      </c>
      <c r="U218" s="580" t="s">
        <v>63</v>
      </c>
      <c r="V218" s="580" t="s">
        <v>63</v>
      </c>
      <c r="W218" s="580" t="s">
        <v>63</v>
      </c>
      <c r="X218" s="580" t="s">
        <v>63</v>
      </c>
      <c r="Y218" s="580" t="s">
        <v>63</v>
      </c>
      <c r="Z218" s="580" t="s">
        <v>2490</v>
      </c>
      <c r="AA218" s="578"/>
      <c r="AB218" s="580" t="s">
        <v>68</v>
      </c>
      <c r="AC218" s="614"/>
      <c r="AD218" s="580" t="s">
        <v>68</v>
      </c>
      <c r="AE218" s="614"/>
      <c r="AF218" s="597" t="s">
        <v>1378</v>
      </c>
      <c r="AG218" s="584" t="s">
        <v>63</v>
      </c>
      <c r="AH218" s="580" t="s">
        <v>66</v>
      </c>
      <c r="AI218" s="580" t="s">
        <v>63</v>
      </c>
      <c r="AJ218" s="580" t="s">
        <v>63</v>
      </c>
      <c r="AK218" s="580" t="s">
        <v>66</v>
      </c>
      <c r="AL218" s="580" t="s">
        <v>63</v>
      </c>
      <c r="AM218" s="585" t="s">
        <v>66</v>
      </c>
      <c r="AN218" s="586" t="s">
        <v>70</v>
      </c>
      <c r="AO218" s="579" t="s">
        <v>71</v>
      </c>
      <c r="AP218" s="579" t="s">
        <v>72</v>
      </c>
      <c r="AQ218" s="579"/>
      <c r="AR218" s="579"/>
      <c r="AS218" s="579"/>
      <c r="AT218" s="587"/>
      <c r="AU218" s="584" t="s">
        <v>2419</v>
      </c>
      <c r="AV218" s="578" t="s">
        <v>2764</v>
      </c>
      <c r="AW218" s="615">
        <v>45383</v>
      </c>
      <c r="AX218" s="588">
        <v>46477</v>
      </c>
      <c r="AY218" s="588" t="s">
        <v>270</v>
      </c>
      <c r="AZ218" s="589" t="s">
        <v>1379</v>
      </c>
      <c r="BA218" s="589" t="s">
        <v>1380</v>
      </c>
      <c r="BB218" s="589"/>
      <c r="BC218" s="590">
        <v>196</v>
      </c>
      <c r="BD218" s="591"/>
    </row>
    <row r="219" spans="1:56" s="560" customFormat="1" ht="16.5" customHeight="1">
      <c r="A219" s="576">
        <v>2024</v>
      </c>
      <c r="B219" s="577" t="s">
        <v>1382</v>
      </c>
      <c r="C219" s="577" t="s">
        <v>1263</v>
      </c>
      <c r="D219" s="562" t="s">
        <v>2415</v>
      </c>
      <c r="E219" s="616" t="s">
        <v>2315</v>
      </c>
      <c r="F219" s="579" t="s">
        <v>170</v>
      </c>
      <c r="G219" s="578" t="s">
        <v>1373</v>
      </c>
      <c r="H219" s="579" t="s">
        <v>2491</v>
      </c>
      <c r="I219" s="579" t="s">
        <v>58</v>
      </c>
      <c r="J219" s="579" t="s">
        <v>1376</v>
      </c>
      <c r="K219" s="579" t="s">
        <v>1377</v>
      </c>
      <c r="L219" s="578" t="s">
        <v>1398</v>
      </c>
      <c r="M219" s="580" t="s">
        <v>350</v>
      </c>
      <c r="N219" s="580" t="s">
        <v>350</v>
      </c>
      <c r="O219" s="581">
        <v>11313.4</v>
      </c>
      <c r="P219" s="581">
        <v>3037.21</v>
      </c>
      <c r="Q219" s="582"/>
      <c r="R219" s="579" t="s">
        <v>524</v>
      </c>
      <c r="S219" s="579" t="s">
        <v>151</v>
      </c>
      <c r="T219" s="580" t="s">
        <v>63</v>
      </c>
      <c r="U219" s="580" t="s">
        <v>63</v>
      </c>
      <c r="V219" s="580" t="s">
        <v>63</v>
      </c>
      <c r="W219" s="580" t="s">
        <v>63</v>
      </c>
      <c r="X219" s="580" t="s">
        <v>63</v>
      </c>
      <c r="Y219" s="580" t="s">
        <v>66</v>
      </c>
      <c r="Z219" s="580" t="s">
        <v>66</v>
      </c>
      <c r="AA219" s="578"/>
      <c r="AB219" s="580" t="s">
        <v>68</v>
      </c>
      <c r="AC219" s="579"/>
      <c r="AD219" s="580" t="s">
        <v>68</v>
      </c>
      <c r="AE219" s="579"/>
      <c r="AF219" s="597" t="s">
        <v>1383</v>
      </c>
      <c r="AG219" s="584" t="s">
        <v>63</v>
      </c>
      <c r="AH219" s="580" t="s">
        <v>66</v>
      </c>
      <c r="AI219" s="580" t="s">
        <v>63</v>
      </c>
      <c r="AJ219" s="580" t="s">
        <v>63</v>
      </c>
      <c r="AK219" s="580" t="s">
        <v>66</v>
      </c>
      <c r="AL219" s="580" t="s">
        <v>66</v>
      </c>
      <c r="AM219" s="585" t="s">
        <v>66</v>
      </c>
      <c r="AN219" s="586" t="s">
        <v>1384</v>
      </c>
      <c r="AO219" s="579" t="s">
        <v>1385</v>
      </c>
      <c r="AP219" s="579" t="s">
        <v>1386</v>
      </c>
      <c r="AQ219" s="579"/>
      <c r="AR219" s="579" t="s">
        <v>1387</v>
      </c>
      <c r="AS219" s="579"/>
      <c r="AT219" s="587"/>
      <c r="AU219" s="584" t="s">
        <v>2419</v>
      </c>
      <c r="AV219" s="578" t="s">
        <v>2765</v>
      </c>
      <c r="AW219" s="615">
        <v>45383</v>
      </c>
      <c r="AX219" s="588">
        <v>46477</v>
      </c>
      <c r="AY219" s="588" t="s">
        <v>152</v>
      </c>
      <c r="AZ219" s="589" t="s">
        <v>271</v>
      </c>
      <c r="BA219" s="589" t="s">
        <v>1388</v>
      </c>
      <c r="BB219" s="589"/>
      <c r="BC219" s="590">
        <v>80</v>
      </c>
      <c r="BD219" s="591"/>
    </row>
    <row r="220" spans="1:56" s="560" customFormat="1" ht="16.5" customHeight="1">
      <c r="A220" s="576">
        <v>2024</v>
      </c>
      <c r="B220" s="577" t="s">
        <v>1390</v>
      </c>
      <c r="C220" s="562" t="s">
        <v>1267</v>
      </c>
      <c r="D220" s="562" t="s">
        <v>2415</v>
      </c>
      <c r="E220" s="578" t="s">
        <v>1391</v>
      </c>
      <c r="F220" s="579" t="s">
        <v>170</v>
      </c>
      <c r="G220" s="578" t="s">
        <v>1373</v>
      </c>
      <c r="H220" s="579" t="s">
        <v>1392</v>
      </c>
      <c r="I220" s="579" t="s">
        <v>58</v>
      </c>
      <c r="J220" s="579" t="s">
        <v>1376</v>
      </c>
      <c r="K220" s="579" t="s">
        <v>1377</v>
      </c>
      <c r="L220" s="578" t="s">
        <v>1398</v>
      </c>
      <c r="M220" s="580" t="s">
        <v>350</v>
      </c>
      <c r="N220" s="580" t="s">
        <v>350</v>
      </c>
      <c r="O220" s="581">
        <v>4630.3</v>
      </c>
      <c r="P220" s="581">
        <v>24.49</v>
      </c>
      <c r="Q220" s="582"/>
      <c r="R220" s="579" t="s">
        <v>251</v>
      </c>
      <c r="S220" s="579" t="s">
        <v>151</v>
      </c>
      <c r="T220" s="580" t="s">
        <v>66</v>
      </c>
      <c r="U220" s="580" t="s">
        <v>63</v>
      </c>
      <c r="V220" s="580" t="s">
        <v>63</v>
      </c>
      <c r="W220" s="580" t="s">
        <v>63</v>
      </c>
      <c r="X220" s="580" t="s">
        <v>66</v>
      </c>
      <c r="Y220" s="580" t="s">
        <v>66</v>
      </c>
      <c r="Z220" s="580" t="s">
        <v>66</v>
      </c>
      <c r="AA220" s="578"/>
      <c r="AB220" s="580" t="s">
        <v>101</v>
      </c>
      <c r="AC220" s="579" t="s">
        <v>2766</v>
      </c>
      <c r="AD220" s="580" t="s">
        <v>68</v>
      </c>
      <c r="AE220" s="579"/>
      <c r="AF220" s="597" t="s">
        <v>1383</v>
      </c>
      <c r="AG220" s="584" t="s">
        <v>66</v>
      </c>
      <c r="AH220" s="580" t="s">
        <v>66</v>
      </c>
      <c r="AI220" s="580" t="s">
        <v>66</v>
      </c>
      <c r="AJ220" s="580" t="s">
        <v>66</v>
      </c>
      <c r="AK220" s="580" t="s">
        <v>66</v>
      </c>
      <c r="AL220" s="580" t="s">
        <v>66</v>
      </c>
      <c r="AM220" s="585" t="s">
        <v>66</v>
      </c>
      <c r="AN220" s="586" t="s">
        <v>258</v>
      </c>
      <c r="AO220" s="579" t="s">
        <v>71</v>
      </c>
      <c r="AP220" s="579" t="s">
        <v>72</v>
      </c>
      <c r="AQ220" s="579" t="s">
        <v>268</v>
      </c>
      <c r="AR220" s="579"/>
      <c r="AS220" s="579"/>
      <c r="AT220" s="587"/>
      <c r="AU220" s="584" t="s">
        <v>2419</v>
      </c>
      <c r="AV220" s="578" t="s">
        <v>1393</v>
      </c>
      <c r="AW220" s="615">
        <v>45383</v>
      </c>
      <c r="AX220" s="588">
        <v>46477</v>
      </c>
      <c r="AY220" s="588" t="s">
        <v>152</v>
      </c>
      <c r="AZ220" s="589" t="s">
        <v>2767</v>
      </c>
      <c r="BA220" s="589" t="s">
        <v>1388</v>
      </c>
      <c r="BB220" s="589"/>
      <c r="BC220" s="590">
        <v>45</v>
      </c>
      <c r="BD220" s="591"/>
    </row>
    <row r="221" spans="1:56" s="560" customFormat="1" ht="16.5" customHeight="1">
      <c r="A221" s="561">
        <v>2024</v>
      </c>
      <c r="B221" s="577" t="s">
        <v>1395</v>
      </c>
      <c r="C221" s="577" t="s">
        <v>157</v>
      </c>
      <c r="D221" s="562" t="s">
        <v>2415</v>
      </c>
      <c r="E221" s="578" t="s">
        <v>1396</v>
      </c>
      <c r="F221" s="579" t="s">
        <v>170</v>
      </c>
      <c r="G221" s="578" t="s">
        <v>1373</v>
      </c>
      <c r="H221" s="579" t="s">
        <v>1397</v>
      </c>
      <c r="I221" s="579" t="s">
        <v>58</v>
      </c>
      <c r="J221" s="579" t="s">
        <v>1376</v>
      </c>
      <c r="K221" s="579" t="s">
        <v>1377</v>
      </c>
      <c r="L221" s="578" t="s">
        <v>1398</v>
      </c>
      <c r="M221" s="580" t="s">
        <v>350</v>
      </c>
      <c r="N221" s="580" t="s">
        <v>350</v>
      </c>
      <c r="O221" s="581">
        <v>13000.8</v>
      </c>
      <c r="P221" s="581">
        <v>278.45999999999998</v>
      </c>
      <c r="Q221" s="582"/>
      <c r="R221" s="579" t="s">
        <v>107</v>
      </c>
      <c r="S221" s="579" t="s">
        <v>151</v>
      </c>
      <c r="T221" s="580" t="s">
        <v>66</v>
      </c>
      <c r="U221" s="580" t="s">
        <v>63</v>
      </c>
      <c r="V221" s="580" t="s">
        <v>63</v>
      </c>
      <c r="W221" s="580" t="s">
        <v>63</v>
      </c>
      <c r="X221" s="580" t="s">
        <v>66</v>
      </c>
      <c r="Y221" s="580" t="s">
        <v>66</v>
      </c>
      <c r="Z221" s="580" t="s">
        <v>66</v>
      </c>
      <c r="AA221" s="578"/>
      <c r="AB221" s="580" t="s">
        <v>68</v>
      </c>
      <c r="AC221" s="579"/>
      <c r="AD221" s="580" t="s">
        <v>68</v>
      </c>
      <c r="AE221" s="579"/>
      <c r="AF221" s="597" t="s">
        <v>1383</v>
      </c>
      <c r="AG221" s="584" t="s">
        <v>63</v>
      </c>
      <c r="AH221" s="580" t="s">
        <v>66</v>
      </c>
      <c r="AI221" s="580" t="s">
        <v>66</v>
      </c>
      <c r="AJ221" s="580" t="s">
        <v>66</v>
      </c>
      <c r="AK221" s="580" t="s">
        <v>63</v>
      </c>
      <c r="AL221" s="580" t="s">
        <v>66</v>
      </c>
      <c r="AM221" s="585" t="s">
        <v>66</v>
      </c>
      <c r="AN221" s="586" t="s">
        <v>95</v>
      </c>
      <c r="AO221" s="579" t="s">
        <v>71</v>
      </c>
      <c r="AP221" s="579" t="s">
        <v>72</v>
      </c>
      <c r="AQ221" s="579"/>
      <c r="AR221" s="579" t="s">
        <v>73</v>
      </c>
      <c r="AS221" s="579"/>
      <c r="AT221" s="587"/>
      <c r="AU221" s="584" t="s">
        <v>2419</v>
      </c>
      <c r="AV221" s="578" t="s">
        <v>2768</v>
      </c>
      <c r="AW221" s="588">
        <v>45383</v>
      </c>
      <c r="AX221" s="588">
        <v>46477</v>
      </c>
      <c r="AY221" s="588" t="s">
        <v>270</v>
      </c>
      <c r="AZ221" s="589" t="s">
        <v>1324</v>
      </c>
      <c r="BA221" s="589" t="s">
        <v>1388</v>
      </c>
      <c r="BB221" s="589"/>
      <c r="BC221" s="590"/>
      <c r="BD221" s="591"/>
    </row>
    <row r="222" spans="1:56" s="560" customFormat="1" ht="16.5" customHeight="1">
      <c r="A222" s="576">
        <v>2024</v>
      </c>
      <c r="B222" s="577" t="s">
        <v>1402</v>
      </c>
      <c r="C222" s="562" t="s">
        <v>1274</v>
      </c>
      <c r="D222" s="562" t="s">
        <v>2415</v>
      </c>
      <c r="E222" s="578" t="s">
        <v>1403</v>
      </c>
      <c r="F222" s="579" t="s">
        <v>1404</v>
      </c>
      <c r="G222" s="578" t="s">
        <v>2146</v>
      </c>
      <c r="H222" s="579" t="s">
        <v>2001</v>
      </c>
      <c r="I222" s="579" t="s">
        <v>58</v>
      </c>
      <c r="J222" s="579" t="s">
        <v>1407</v>
      </c>
      <c r="K222" s="579" t="s">
        <v>1408</v>
      </c>
      <c r="L222" s="578" t="s">
        <v>1409</v>
      </c>
      <c r="M222" s="617" t="s">
        <v>732</v>
      </c>
      <c r="N222" s="617" t="s">
        <v>732</v>
      </c>
      <c r="O222" s="618">
        <v>1319.95</v>
      </c>
      <c r="P222" s="618">
        <v>6844.88</v>
      </c>
      <c r="Q222" s="596"/>
      <c r="R222" s="579" t="s">
        <v>229</v>
      </c>
      <c r="S222" s="579" t="s">
        <v>151</v>
      </c>
      <c r="T222" s="580" t="s">
        <v>66</v>
      </c>
      <c r="U222" s="580" t="s">
        <v>66</v>
      </c>
      <c r="V222" s="580" t="s">
        <v>66</v>
      </c>
      <c r="W222" s="580" t="s">
        <v>66</v>
      </c>
      <c r="X222" s="580" t="s">
        <v>66</v>
      </c>
      <c r="Y222" s="580" t="s">
        <v>66</v>
      </c>
      <c r="Z222" s="580" t="s">
        <v>66</v>
      </c>
      <c r="AA222" s="578"/>
      <c r="AB222" s="593" t="s">
        <v>68</v>
      </c>
      <c r="AC222" s="580"/>
      <c r="AD222" s="580" t="s">
        <v>68</v>
      </c>
      <c r="AE222" s="579"/>
      <c r="AF222" s="587" t="s">
        <v>1410</v>
      </c>
      <c r="AG222" s="584" t="s">
        <v>66</v>
      </c>
      <c r="AH222" s="580" t="s">
        <v>66</v>
      </c>
      <c r="AI222" s="580" t="s">
        <v>66</v>
      </c>
      <c r="AJ222" s="580" t="s">
        <v>66</v>
      </c>
      <c r="AK222" s="580" t="s">
        <v>66</v>
      </c>
      <c r="AL222" s="580" t="s">
        <v>66</v>
      </c>
      <c r="AM222" s="585" t="s">
        <v>66</v>
      </c>
      <c r="AN222" s="586" t="s">
        <v>1411</v>
      </c>
      <c r="AO222" s="579" t="s">
        <v>132</v>
      </c>
      <c r="AP222" s="579" t="s">
        <v>133</v>
      </c>
      <c r="AQ222" s="579"/>
      <c r="AR222" s="579"/>
      <c r="AS222" s="579" t="s">
        <v>134</v>
      </c>
      <c r="AT222" s="587"/>
      <c r="AU222" s="619" t="s">
        <v>2419</v>
      </c>
      <c r="AV222" s="604" t="s">
        <v>2202</v>
      </c>
      <c r="AW222" s="615">
        <v>44075</v>
      </c>
      <c r="AX222" s="615">
        <v>45747</v>
      </c>
      <c r="AY222" s="615" t="s">
        <v>152</v>
      </c>
      <c r="AZ222" s="620" t="s">
        <v>1412</v>
      </c>
      <c r="BA222" s="620"/>
      <c r="BB222" s="620" t="s">
        <v>2696</v>
      </c>
      <c r="BC222" s="621">
        <v>337</v>
      </c>
      <c r="BD222" s="613"/>
    </row>
    <row r="223" spans="1:56" s="560" customFormat="1" ht="16.5" customHeight="1">
      <c r="A223" s="576">
        <v>2024</v>
      </c>
      <c r="B223" s="577" t="s">
        <v>1414</v>
      </c>
      <c r="C223" s="577" t="s">
        <v>1278</v>
      </c>
      <c r="D223" s="562" t="s">
        <v>2415</v>
      </c>
      <c r="E223" s="578" t="s">
        <v>1415</v>
      </c>
      <c r="F223" s="579" t="s">
        <v>1404</v>
      </c>
      <c r="G223" s="578" t="s">
        <v>2146</v>
      </c>
      <c r="H223" s="579" t="s">
        <v>2002</v>
      </c>
      <c r="I223" s="579" t="s">
        <v>58</v>
      </c>
      <c r="J223" s="579" t="s">
        <v>1407</v>
      </c>
      <c r="K223" s="579" t="s">
        <v>1408</v>
      </c>
      <c r="L223" s="578" t="s">
        <v>1409</v>
      </c>
      <c r="M223" s="617" t="s">
        <v>595</v>
      </c>
      <c r="N223" s="617" t="s">
        <v>595</v>
      </c>
      <c r="O223" s="618">
        <v>3806.31</v>
      </c>
      <c r="P223" s="618">
        <v>3806.31</v>
      </c>
      <c r="Q223" s="596"/>
      <c r="R223" s="579" t="s">
        <v>229</v>
      </c>
      <c r="S223" s="579" t="s">
        <v>151</v>
      </c>
      <c r="T223" s="580" t="s">
        <v>66</v>
      </c>
      <c r="U223" s="580" t="s">
        <v>66</v>
      </c>
      <c r="V223" s="580" t="s">
        <v>66</v>
      </c>
      <c r="W223" s="580" t="s">
        <v>66</v>
      </c>
      <c r="X223" s="580" t="s">
        <v>66</v>
      </c>
      <c r="Y223" s="580" t="s">
        <v>66</v>
      </c>
      <c r="Z223" s="580" t="s">
        <v>66</v>
      </c>
      <c r="AA223" s="578"/>
      <c r="AB223" s="593" t="s">
        <v>68</v>
      </c>
      <c r="AC223" s="580"/>
      <c r="AD223" s="580" t="s">
        <v>68</v>
      </c>
      <c r="AE223" s="579"/>
      <c r="AF223" s="587" t="s">
        <v>1410</v>
      </c>
      <c r="AG223" s="584" t="s">
        <v>66</v>
      </c>
      <c r="AH223" s="580" t="s">
        <v>66</v>
      </c>
      <c r="AI223" s="580" t="s">
        <v>66</v>
      </c>
      <c r="AJ223" s="580" t="s">
        <v>66</v>
      </c>
      <c r="AK223" s="580" t="s">
        <v>66</v>
      </c>
      <c r="AL223" s="580" t="s">
        <v>66</v>
      </c>
      <c r="AM223" s="585" t="s">
        <v>66</v>
      </c>
      <c r="AN223" s="586" t="s">
        <v>1411</v>
      </c>
      <c r="AO223" s="579" t="s">
        <v>132</v>
      </c>
      <c r="AP223" s="579" t="s">
        <v>133</v>
      </c>
      <c r="AQ223" s="579"/>
      <c r="AR223" s="579"/>
      <c r="AS223" s="579" t="s">
        <v>134</v>
      </c>
      <c r="AT223" s="583" t="s">
        <v>135</v>
      </c>
      <c r="AU223" s="619" t="s">
        <v>2419</v>
      </c>
      <c r="AV223" s="604" t="s">
        <v>2202</v>
      </c>
      <c r="AW223" s="615">
        <v>44075</v>
      </c>
      <c r="AX223" s="615">
        <v>45747</v>
      </c>
      <c r="AY223" s="615" t="s">
        <v>152</v>
      </c>
      <c r="AZ223" s="620" t="s">
        <v>1412</v>
      </c>
      <c r="BA223" s="620"/>
      <c r="BB223" s="620" t="s">
        <v>2003</v>
      </c>
      <c r="BC223" s="621">
        <v>102</v>
      </c>
      <c r="BD223" s="613"/>
    </row>
    <row r="224" spans="1:56" s="560" customFormat="1" ht="16.5" customHeight="1">
      <c r="A224" s="561">
        <v>2024</v>
      </c>
      <c r="B224" s="577" t="s">
        <v>1417</v>
      </c>
      <c r="C224" s="562" t="s">
        <v>1282</v>
      </c>
      <c r="D224" s="562" t="s">
        <v>2415</v>
      </c>
      <c r="E224" s="578" t="s">
        <v>1418</v>
      </c>
      <c r="F224" s="579" t="s">
        <v>1404</v>
      </c>
      <c r="G224" s="578" t="s">
        <v>2146</v>
      </c>
      <c r="H224" s="579" t="s">
        <v>2004</v>
      </c>
      <c r="I224" s="579" t="s">
        <v>58</v>
      </c>
      <c r="J224" s="579" t="s">
        <v>1407</v>
      </c>
      <c r="K224" s="579" t="s">
        <v>1408</v>
      </c>
      <c r="L224" s="578" t="s">
        <v>1409</v>
      </c>
      <c r="M224" s="617" t="s">
        <v>1213</v>
      </c>
      <c r="N224" s="617" t="s">
        <v>1213</v>
      </c>
      <c r="O224" s="618">
        <v>13566.72</v>
      </c>
      <c r="P224" s="618">
        <v>13566.72</v>
      </c>
      <c r="Q224" s="596"/>
      <c r="R224" s="579" t="s">
        <v>130</v>
      </c>
      <c r="S224" s="579" t="s">
        <v>151</v>
      </c>
      <c r="T224" s="580" t="s">
        <v>66</v>
      </c>
      <c r="U224" s="580" t="s">
        <v>66</v>
      </c>
      <c r="V224" s="580" t="s">
        <v>66</v>
      </c>
      <c r="W224" s="580" t="s">
        <v>66</v>
      </c>
      <c r="X224" s="580" t="s">
        <v>66</v>
      </c>
      <c r="Y224" s="580" t="s">
        <v>66</v>
      </c>
      <c r="Z224" s="580" t="s">
        <v>66</v>
      </c>
      <c r="AA224" s="578"/>
      <c r="AB224" s="593" t="s">
        <v>68</v>
      </c>
      <c r="AC224" s="580"/>
      <c r="AD224" s="580" t="s">
        <v>68</v>
      </c>
      <c r="AE224" s="579"/>
      <c r="AF224" s="587" t="s">
        <v>1410</v>
      </c>
      <c r="AG224" s="584" t="s">
        <v>66</v>
      </c>
      <c r="AH224" s="580" t="s">
        <v>66</v>
      </c>
      <c r="AI224" s="580" t="s">
        <v>66</v>
      </c>
      <c r="AJ224" s="580" t="s">
        <v>66</v>
      </c>
      <c r="AK224" s="580" t="s">
        <v>66</v>
      </c>
      <c r="AL224" s="580" t="s">
        <v>66</v>
      </c>
      <c r="AM224" s="585" t="s">
        <v>63</v>
      </c>
      <c r="AN224" s="586" t="s">
        <v>1411</v>
      </c>
      <c r="AO224" s="579" t="s">
        <v>132</v>
      </c>
      <c r="AP224" s="579" t="s">
        <v>133</v>
      </c>
      <c r="AQ224" s="579"/>
      <c r="AR224" s="579"/>
      <c r="AS224" s="579" t="s">
        <v>134</v>
      </c>
      <c r="AT224" s="587"/>
      <c r="AU224" s="619" t="s">
        <v>2419</v>
      </c>
      <c r="AV224" s="604" t="s">
        <v>2202</v>
      </c>
      <c r="AW224" s="615">
        <v>44075</v>
      </c>
      <c r="AX224" s="615">
        <v>45747</v>
      </c>
      <c r="AY224" s="615" t="s">
        <v>152</v>
      </c>
      <c r="AZ224" s="620" t="s">
        <v>1401</v>
      </c>
      <c r="BA224" s="620"/>
      <c r="BB224" s="620" t="s">
        <v>2650</v>
      </c>
      <c r="BC224" s="621">
        <v>440</v>
      </c>
      <c r="BD224" s="613"/>
    </row>
    <row r="225" spans="1:56" s="560" customFormat="1" ht="16.5" customHeight="1">
      <c r="A225" s="576">
        <v>2024</v>
      </c>
      <c r="B225" s="577" t="s">
        <v>1420</v>
      </c>
      <c r="C225" s="577" t="s">
        <v>1286</v>
      </c>
      <c r="D225" s="562" t="s">
        <v>2415</v>
      </c>
      <c r="E225" s="578" t="s">
        <v>1421</v>
      </c>
      <c r="F225" s="579" t="s">
        <v>1404</v>
      </c>
      <c r="G225" s="578" t="s">
        <v>2146</v>
      </c>
      <c r="H225" s="579" t="s">
        <v>2079</v>
      </c>
      <c r="I225" s="579" t="s">
        <v>58</v>
      </c>
      <c r="J225" s="579" t="s">
        <v>1407</v>
      </c>
      <c r="K225" s="579" t="s">
        <v>1408</v>
      </c>
      <c r="L225" s="578" t="s">
        <v>1422</v>
      </c>
      <c r="M225" s="617" t="s">
        <v>396</v>
      </c>
      <c r="N225" s="617" t="s">
        <v>396</v>
      </c>
      <c r="O225" s="618">
        <v>1232.99</v>
      </c>
      <c r="P225" s="618">
        <v>901.79</v>
      </c>
      <c r="Q225" s="596"/>
      <c r="R225" s="579" t="s">
        <v>130</v>
      </c>
      <c r="S225" s="579" t="s">
        <v>2025</v>
      </c>
      <c r="T225" s="580" t="s">
        <v>66</v>
      </c>
      <c r="U225" s="580" t="s">
        <v>66</v>
      </c>
      <c r="V225" s="580" t="s">
        <v>66</v>
      </c>
      <c r="W225" s="580" t="s">
        <v>66</v>
      </c>
      <c r="X225" s="580" t="s">
        <v>66</v>
      </c>
      <c r="Y225" s="580" t="s">
        <v>66</v>
      </c>
      <c r="Z225" s="580" t="s">
        <v>66</v>
      </c>
      <c r="AA225" s="578" t="s">
        <v>2646</v>
      </c>
      <c r="AB225" s="593" t="s">
        <v>68</v>
      </c>
      <c r="AC225" s="580"/>
      <c r="AD225" s="580" t="s">
        <v>68</v>
      </c>
      <c r="AE225" s="579"/>
      <c r="AF225" s="587" t="s">
        <v>1423</v>
      </c>
      <c r="AG225" s="584" t="s">
        <v>66</v>
      </c>
      <c r="AH225" s="580" t="s">
        <v>66</v>
      </c>
      <c r="AI225" s="580" t="s">
        <v>66</v>
      </c>
      <c r="AJ225" s="580" t="s">
        <v>66</v>
      </c>
      <c r="AK225" s="580" t="s">
        <v>66</v>
      </c>
      <c r="AL225" s="580" t="s">
        <v>66</v>
      </c>
      <c r="AM225" s="585" t="s">
        <v>66</v>
      </c>
      <c r="AN225" s="586" t="s">
        <v>1424</v>
      </c>
      <c r="AO225" s="579" t="s">
        <v>71</v>
      </c>
      <c r="AP225" s="579" t="s">
        <v>72</v>
      </c>
      <c r="AQ225" s="579"/>
      <c r="AR225" s="579" t="s">
        <v>2648</v>
      </c>
      <c r="AS225" s="579" t="s">
        <v>134</v>
      </c>
      <c r="AT225" s="587"/>
      <c r="AU225" s="619" t="s">
        <v>2419</v>
      </c>
      <c r="AV225" s="604" t="s">
        <v>2203</v>
      </c>
      <c r="AW225" s="615">
        <v>44287</v>
      </c>
      <c r="AX225" s="615">
        <v>46112</v>
      </c>
      <c r="AY225" s="615" t="s">
        <v>152</v>
      </c>
      <c r="AZ225" s="620" t="s">
        <v>1425</v>
      </c>
      <c r="BA225" s="620"/>
      <c r="BB225" s="620" t="s">
        <v>2769</v>
      </c>
      <c r="BC225" s="621">
        <v>879</v>
      </c>
      <c r="BD225" s="613"/>
    </row>
    <row r="226" spans="1:56" s="560" customFormat="1" ht="16.5" customHeight="1">
      <c r="A226" s="576">
        <v>2024</v>
      </c>
      <c r="B226" s="577" t="s">
        <v>1427</v>
      </c>
      <c r="C226" s="562" t="s">
        <v>1290</v>
      </c>
      <c r="D226" s="562" t="s">
        <v>2415</v>
      </c>
      <c r="E226" s="578" t="s">
        <v>1428</v>
      </c>
      <c r="F226" s="579" t="s">
        <v>1404</v>
      </c>
      <c r="G226" s="578" t="s">
        <v>2146</v>
      </c>
      <c r="H226" s="579" t="s">
        <v>2005</v>
      </c>
      <c r="I226" s="579" t="s">
        <v>58</v>
      </c>
      <c r="J226" s="579" t="s">
        <v>1407</v>
      </c>
      <c r="K226" s="579" t="s">
        <v>1408</v>
      </c>
      <c r="L226" s="578" t="s">
        <v>1422</v>
      </c>
      <c r="M226" s="617" t="s">
        <v>396</v>
      </c>
      <c r="N226" s="617" t="s">
        <v>396</v>
      </c>
      <c r="O226" s="618">
        <v>491.21</v>
      </c>
      <c r="P226" s="618">
        <v>1141.01</v>
      </c>
      <c r="Q226" s="596"/>
      <c r="R226" s="579" t="s">
        <v>130</v>
      </c>
      <c r="S226" s="579" t="s">
        <v>151</v>
      </c>
      <c r="T226" s="580" t="s">
        <v>66</v>
      </c>
      <c r="U226" s="580" t="s">
        <v>66</v>
      </c>
      <c r="V226" s="580" t="s">
        <v>66</v>
      </c>
      <c r="W226" s="580" t="s">
        <v>66</v>
      </c>
      <c r="X226" s="580" t="s">
        <v>66</v>
      </c>
      <c r="Y226" s="580" t="s">
        <v>66</v>
      </c>
      <c r="Z226" s="580" t="s">
        <v>66</v>
      </c>
      <c r="AA226" s="578"/>
      <c r="AB226" s="593" t="s">
        <v>68</v>
      </c>
      <c r="AC226" s="580"/>
      <c r="AD226" s="580" t="s">
        <v>68</v>
      </c>
      <c r="AE226" s="579"/>
      <c r="AF226" s="587" t="s">
        <v>1423</v>
      </c>
      <c r="AG226" s="584" t="s">
        <v>66</v>
      </c>
      <c r="AH226" s="580" t="s">
        <v>66</v>
      </c>
      <c r="AI226" s="580" t="s">
        <v>66</v>
      </c>
      <c r="AJ226" s="580" t="s">
        <v>66</v>
      </c>
      <c r="AK226" s="580" t="s">
        <v>66</v>
      </c>
      <c r="AL226" s="580" t="s">
        <v>66</v>
      </c>
      <c r="AM226" s="585" t="s">
        <v>66</v>
      </c>
      <c r="AN226" s="586" t="s">
        <v>1411</v>
      </c>
      <c r="AO226" s="579" t="s">
        <v>132</v>
      </c>
      <c r="AP226" s="579" t="s">
        <v>133</v>
      </c>
      <c r="AQ226" s="579"/>
      <c r="AR226" s="579"/>
      <c r="AS226" s="579" t="s">
        <v>134</v>
      </c>
      <c r="AT226" s="587"/>
      <c r="AU226" s="619" t="s">
        <v>2419</v>
      </c>
      <c r="AV226" s="604" t="s">
        <v>2203</v>
      </c>
      <c r="AW226" s="615">
        <v>44287</v>
      </c>
      <c r="AX226" s="615">
        <v>46112</v>
      </c>
      <c r="AY226" s="615" t="s">
        <v>152</v>
      </c>
      <c r="AZ226" s="620" t="s">
        <v>1425</v>
      </c>
      <c r="BA226" s="620"/>
      <c r="BB226" s="620" t="s">
        <v>2651</v>
      </c>
      <c r="BC226" s="621">
        <v>1106</v>
      </c>
      <c r="BD226" s="613"/>
    </row>
    <row r="227" spans="1:56" s="560" customFormat="1" ht="16.5" customHeight="1">
      <c r="A227" s="561">
        <v>2024</v>
      </c>
      <c r="B227" s="577" t="s">
        <v>1430</v>
      </c>
      <c r="C227" s="577" t="s">
        <v>1294</v>
      </c>
      <c r="D227" s="562" t="s">
        <v>2415</v>
      </c>
      <c r="E227" s="578" t="s">
        <v>1431</v>
      </c>
      <c r="F227" s="579" t="s">
        <v>1404</v>
      </c>
      <c r="G227" s="578" t="s">
        <v>2146</v>
      </c>
      <c r="H227" s="579" t="s">
        <v>2080</v>
      </c>
      <c r="I227" s="579" t="s">
        <v>58</v>
      </c>
      <c r="J227" s="579" t="s">
        <v>1407</v>
      </c>
      <c r="K227" s="579" t="s">
        <v>1408</v>
      </c>
      <c r="L227" s="578" t="s">
        <v>1422</v>
      </c>
      <c r="M227" s="617" t="s">
        <v>222</v>
      </c>
      <c r="N227" s="617" t="s">
        <v>222</v>
      </c>
      <c r="O227" s="618">
        <v>1281.75</v>
      </c>
      <c r="P227" s="618">
        <v>1281.75</v>
      </c>
      <c r="Q227" s="596"/>
      <c r="R227" s="579" t="s">
        <v>107</v>
      </c>
      <c r="S227" s="579" t="s">
        <v>151</v>
      </c>
      <c r="T227" s="580" t="s">
        <v>66</v>
      </c>
      <c r="U227" s="580" t="s">
        <v>66</v>
      </c>
      <c r="V227" s="580" t="s">
        <v>66</v>
      </c>
      <c r="W227" s="580" t="s">
        <v>66</v>
      </c>
      <c r="X227" s="580" t="s">
        <v>66</v>
      </c>
      <c r="Y227" s="580" t="s">
        <v>66</v>
      </c>
      <c r="Z227" s="580" t="s">
        <v>66</v>
      </c>
      <c r="AA227" s="578"/>
      <c r="AB227" s="593" t="s">
        <v>68</v>
      </c>
      <c r="AC227" s="580"/>
      <c r="AD227" s="580" t="s">
        <v>68</v>
      </c>
      <c r="AE227" s="579"/>
      <c r="AF227" s="587" t="s">
        <v>1423</v>
      </c>
      <c r="AG227" s="584" t="s">
        <v>66</v>
      </c>
      <c r="AH227" s="580" t="s">
        <v>66</v>
      </c>
      <c r="AI227" s="580" t="s">
        <v>66</v>
      </c>
      <c r="AJ227" s="580" t="s">
        <v>66</v>
      </c>
      <c r="AK227" s="580" t="s">
        <v>66</v>
      </c>
      <c r="AL227" s="580" t="s">
        <v>66</v>
      </c>
      <c r="AM227" s="585" t="s">
        <v>66</v>
      </c>
      <c r="AN227" s="586" t="s">
        <v>201</v>
      </c>
      <c r="AO227" s="579" t="s">
        <v>132</v>
      </c>
      <c r="AP227" s="579" t="s">
        <v>72</v>
      </c>
      <c r="AQ227" s="579"/>
      <c r="AR227" s="579" t="s">
        <v>73</v>
      </c>
      <c r="AS227" s="579"/>
      <c r="AT227" s="587"/>
      <c r="AU227" s="619" t="s">
        <v>2419</v>
      </c>
      <c r="AV227" s="604" t="s">
        <v>2203</v>
      </c>
      <c r="AW227" s="615">
        <v>44287</v>
      </c>
      <c r="AX227" s="615">
        <v>46112</v>
      </c>
      <c r="AY227" s="615" t="s">
        <v>152</v>
      </c>
      <c r="AZ227" s="620" t="s">
        <v>1425</v>
      </c>
      <c r="BA227" s="620"/>
      <c r="BB227" s="620" t="s">
        <v>2770</v>
      </c>
      <c r="BC227" s="621">
        <v>511</v>
      </c>
      <c r="BD227" s="613"/>
    </row>
    <row r="228" spans="1:56" s="560" customFormat="1" ht="16.5" customHeight="1">
      <c r="A228" s="576">
        <v>2024</v>
      </c>
      <c r="B228" s="577" t="s">
        <v>1433</v>
      </c>
      <c r="C228" s="562" t="s">
        <v>1298</v>
      </c>
      <c r="D228" s="562" t="s">
        <v>2415</v>
      </c>
      <c r="E228" s="578" t="s">
        <v>2006</v>
      </c>
      <c r="F228" s="579" t="s">
        <v>1404</v>
      </c>
      <c r="G228" s="578" t="s">
        <v>2146</v>
      </c>
      <c r="H228" s="579" t="s">
        <v>2007</v>
      </c>
      <c r="I228" s="579" t="s">
        <v>58</v>
      </c>
      <c r="J228" s="579" t="s">
        <v>1407</v>
      </c>
      <c r="K228" s="579" t="s">
        <v>1408</v>
      </c>
      <c r="L228" s="578" t="s">
        <v>1422</v>
      </c>
      <c r="M228" s="617" t="s">
        <v>732</v>
      </c>
      <c r="N228" s="617" t="s">
        <v>732</v>
      </c>
      <c r="O228" s="618">
        <v>2952.05</v>
      </c>
      <c r="P228" s="618"/>
      <c r="Q228" s="596"/>
      <c r="R228" s="579" t="s">
        <v>130</v>
      </c>
      <c r="S228" s="579" t="s">
        <v>1917</v>
      </c>
      <c r="T228" s="580" t="s">
        <v>66</v>
      </c>
      <c r="U228" s="580" t="s">
        <v>66</v>
      </c>
      <c r="V228" s="580" t="s">
        <v>66</v>
      </c>
      <c r="W228" s="580" t="s">
        <v>66</v>
      </c>
      <c r="X228" s="580" t="s">
        <v>66</v>
      </c>
      <c r="Y228" s="580" t="s">
        <v>66</v>
      </c>
      <c r="Z228" s="580" t="s">
        <v>66</v>
      </c>
      <c r="AA228" s="578"/>
      <c r="AB228" s="593" t="s">
        <v>2070</v>
      </c>
      <c r="AC228" s="580" t="s">
        <v>2008</v>
      </c>
      <c r="AD228" s="580" t="s">
        <v>68</v>
      </c>
      <c r="AE228" s="579"/>
      <c r="AF228" s="587" t="s">
        <v>1423</v>
      </c>
      <c r="AG228" s="584" t="s">
        <v>66</v>
      </c>
      <c r="AH228" s="580" t="s">
        <v>66</v>
      </c>
      <c r="AI228" s="580" t="s">
        <v>66</v>
      </c>
      <c r="AJ228" s="580" t="s">
        <v>66</v>
      </c>
      <c r="AK228" s="580" t="s">
        <v>66</v>
      </c>
      <c r="AL228" s="580" t="s">
        <v>66</v>
      </c>
      <c r="AM228" s="585" t="s">
        <v>66</v>
      </c>
      <c r="AN228" s="586" t="s">
        <v>1411</v>
      </c>
      <c r="AO228" s="579" t="s">
        <v>132</v>
      </c>
      <c r="AP228" s="579" t="s">
        <v>72</v>
      </c>
      <c r="AQ228" s="579"/>
      <c r="AR228" s="579"/>
      <c r="AS228" s="579" t="s">
        <v>134</v>
      </c>
      <c r="AT228" s="587"/>
      <c r="AU228" s="619" t="s">
        <v>2419</v>
      </c>
      <c r="AV228" s="604" t="s">
        <v>2203</v>
      </c>
      <c r="AW228" s="615">
        <v>44287</v>
      </c>
      <c r="AX228" s="615">
        <v>46112</v>
      </c>
      <c r="AY228" s="615" t="s">
        <v>152</v>
      </c>
      <c r="AZ228" s="620" t="s">
        <v>1401</v>
      </c>
      <c r="BA228" s="620"/>
      <c r="BB228" s="620" t="s">
        <v>2771</v>
      </c>
      <c r="BC228" s="622">
        <v>1894</v>
      </c>
      <c r="BD228" s="623"/>
    </row>
    <row r="229" spans="1:56" s="560" customFormat="1" ht="16.5" customHeight="1">
      <c r="A229" s="576">
        <v>2024</v>
      </c>
      <c r="B229" s="577" t="s">
        <v>1435</v>
      </c>
      <c r="C229" s="577" t="s">
        <v>1303</v>
      </c>
      <c r="D229" s="562" t="s">
        <v>2415</v>
      </c>
      <c r="E229" s="578" t="s">
        <v>2009</v>
      </c>
      <c r="F229" s="579" t="s">
        <v>1404</v>
      </c>
      <c r="G229" s="578" t="s">
        <v>2146</v>
      </c>
      <c r="H229" s="579" t="s">
        <v>2010</v>
      </c>
      <c r="I229" s="579" t="s">
        <v>58</v>
      </c>
      <c r="J229" s="579" t="s">
        <v>1407</v>
      </c>
      <c r="K229" s="579" t="s">
        <v>1408</v>
      </c>
      <c r="L229" s="578" t="s">
        <v>1422</v>
      </c>
      <c r="M229" s="617" t="s">
        <v>2644</v>
      </c>
      <c r="N229" s="617" t="s">
        <v>2644</v>
      </c>
      <c r="O229" s="618">
        <v>351.1</v>
      </c>
      <c r="P229" s="618"/>
      <c r="Q229" s="596"/>
      <c r="R229" s="579" t="s">
        <v>130</v>
      </c>
      <c r="S229" s="579" t="s">
        <v>1917</v>
      </c>
      <c r="T229" s="580" t="s">
        <v>66</v>
      </c>
      <c r="U229" s="580" t="s">
        <v>66</v>
      </c>
      <c r="V229" s="580" t="s">
        <v>66</v>
      </c>
      <c r="W229" s="580" t="s">
        <v>66</v>
      </c>
      <c r="X229" s="580" t="s">
        <v>66</v>
      </c>
      <c r="Y229" s="580" t="s">
        <v>66</v>
      </c>
      <c r="Z229" s="580" t="s">
        <v>66</v>
      </c>
      <c r="AA229" s="578"/>
      <c r="AB229" s="593" t="s">
        <v>68</v>
      </c>
      <c r="AC229" s="580"/>
      <c r="AD229" s="580" t="s">
        <v>68</v>
      </c>
      <c r="AE229" s="579"/>
      <c r="AF229" s="587" t="s">
        <v>1423</v>
      </c>
      <c r="AG229" s="584" t="s">
        <v>66</v>
      </c>
      <c r="AH229" s="580" t="s">
        <v>66</v>
      </c>
      <c r="AI229" s="580" t="s">
        <v>66</v>
      </c>
      <c r="AJ229" s="580" t="s">
        <v>66</v>
      </c>
      <c r="AK229" s="580" t="s">
        <v>66</v>
      </c>
      <c r="AL229" s="580" t="s">
        <v>66</v>
      </c>
      <c r="AM229" s="585" t="s">
        <v>66</v>
      </c>
      <c r="AN229" s="586" t="s">
        <v>1411</v>
      </c>
      <c r="AO229" s="579" t="s">
        <v>132</v>
      </c>
      <c r="AP229" s="579" t="s">
        <v>72</v>
      </c>
      <c r="AQ229" s="579"/>
      <c r="AR229" s="579"/>
      <c r="AS229" s="579" t="s">
        <v>134</v>
      </c>
      <c r="AT229" s="587"/>
      <c r="AU229" s="619" t="s">
        <v>2419</v>
      </c>
      <c r="AV229" s="604" t="s">
        <v>2203</v>
      </c>
      <c r="AW229" s="615">
        <v>44287</v>
      </c>
      <c r="AX229" s="615">
        <v>46112</v>
      </c>
      <c r="AY229" s="615" t="s">
        <v>152</v>
      </c>
      <c r="AZ229" s="620" t="s">
        <v>1401</v>
      </c>
      <c r="BA229" s="620"/>
      <c r="BB229" s="620" t="s">
        <v>2020</v>
      </c>
      <c r="BC229" s="621">
        <v>235</v>
      </c>
      <c r="BD229" s="613"/>
    </row>
    <row r="230" spans="1:56" s="560" customFormat="1" ht="16.5" customHeight="1">
      <c r="A230" s="561">
        <v>2024</v>
      </c>
      <c r="B230" s="577" t="s">
        <v>1437</v>
      </c>
      <c r="C230" s="562" t="s">
        <v>2548</v>
      </c>
      <c r="D230" s="562" t="s">
        <v>2415</v>
      </c>
      <c r="E230" s="578" t="s">
        <v>1438</v>
      </c>
      <c r="F230" s="579" t="s">
        <v>1404</v>
      </c>
      <c r="G230" s="578" t="s">
        <v>2146</v>
      </c>
      <c r="H230" s="579" t="s">
        <v>2011</v>
      </c>
      <c r="I230" s="579" t="s">
        <v>58</v>
      </c>
      <c r="J230" s="579" t="s">
        <v>1407</v>
      </c>
      <c r="K230" s="579" t="s">
        <v>1408</v>
      </c>
      <c r="L230" s="578" t="s">
        <v>1422</v>
      </c>
      <c r="M230" s="617" t="s">
        <v>656</v>
      </c>
      <c r="N230" s="617" t="s">
        <v>656</v>
      </c>
      <c r="O230" s="618">
        <v>1303.32</v>
      </c>
      <c r="P230" s="618"/>
      <c r="Q230" s="596"/>
      <c r="R230" s="579" t="s">
        <v>229</v>
      </c>
      <c r="S230" s="579" t="s">
        <v>1917</v>
      </c>
      <c r="T230" s="580" t="s">
        <v>66</v>
      </c>
      <c r="U230" s="580" t="s">
        <v>66</v>
      </c>
      <c r="V230" s="580" t="s">
        <v>66</v>
      </c>
      <c r="W230" s="580" t="s">
        <v>66</v>
      </c>
      <c r="X230" s="580" t="s">
        <v>66</v>
      </c>
      <c r="Y230" s="580" t="s">
        <v>66</v>
      </c>
      <c r="Z230" s="580" t="s">
        <v>66</v>
      </c>
      <c r="AA230" s="578"/>
      <c r="AB230" s="593" t="s">
        <v>68</v>
      </c>
      <c r="AC230" s="580"/>
      <c r="AD230" s="580" t="s">
        <v>68</v>
      </c>
      <c r="AE230" s="579"/>
      <c r="AF230" s="587" t="s">
        <v>1423</v>
      </c>
      <c r="AG230" s="584" t="s">
        <v>66</v>
      </c>
      <c r="AH230" s="580" t="s">
        <v>66</v>
      </c>
      <c r="AI230" s="580" t="s">
        <v>66</v>
      </c>
      <c r="AJ230" s="580" t="s">
        <v>66</v>
      </c>
      <c r="AK230" s="580" t="s">
        <v>66</v>
      </c>
      <c r="AL230" s="580" t="s">
        <v>66</v>
      </c>
      <c r="AM230" s="585" t="s">
        <v>66</v>
      </c>
      <c r="AN230" s="586" t="s">
        <v>1439</v>
      </c>
      <c r="AO230" s="579" t="s">
        <v>71</v>
      </c>
      <c r="AP230" s="579" t="s">
        <v>72</v>
      </c>
      <c r="AQ230" s="579"/>
      <c r="AR230" s="579"/>
      <c r="AS230" s="579"/>
      <c r="AT230" s="587"/>
      <c r="AU230" s="619" t="s">
        <v>2419</v>
      </c>
      <c r="AV230" s="604" t="s">
        <v>2203</v>
      </c>
      <c r="AW230" s="615">
        <v>44287</v>
      </c>
      <c r="AX230" s="615">
        <v>46112</v>
      </c>
      <c r="AY230" s="615" t="s">
        <v>152</v>
      </c>
      <c r="AZ230" s="620" t="s">
        <v>1401</v>
      </c>
      <c r="BA230" s="620"/>
      <c r="BB230" s="620" t="s">
        <v>2652</v>
      </c>
      <c r="BC230" s="621">
        <v>814</v>
      </c>
      <c r="BD230" s="613"/>
    </row>
    <row r="231" spans="1:56" s="560" customFormat="1" ht="16.5" customHeight="1">
      <c r="A231" s="576">
        <v>2024</v>
      </c>
      <c r="B231" s="577" t="s">
        <v>1441</v>
      </c>
      <c r="C231" s="577" t="s">
        <v>1307</v>
      </c>
      <c r="D231" s="562" t="s">
        <v>2415</v>
      </c>
      <c r="E231" s="578" t="s">
        <v>2012</v>
      </c>
      <c r="F231" s="579" t="s">
        <v>1404</v>
      </c>
      <c r="G231" s="578" t="s">
        <v>2146</v>
      </c>
      <c r="H231" s="579" t="s">
        <v>2013</v>
      </c>
      <c r="I231" s="579" t="s">
        <v>58</v>
      </c>
      <c r="J231" s="579" t="s">
        <v>1407</v>
      </c>
      <c r="K231" s="579" t="s">
        <v>1408</v>
      </c>
      <c r="L231" s="578" t="s">
        <v>1422</v>
      </c>
      <c r="M231" s="617" t="s">
        <v>1213</v>
      </c>
      <c r="N231" s="617" t="s">
        <v>1213</v>
      </c>
      <c r="O231" s="618">
        <v>1379.1</v>
      </c>
      <c r="P231" s="618"/>
      <c r="Q231" s="596"/>
      <c r="R231" s="579" t="s">
        <v>251</v>
      </c>
      <c r="S231" s="579" t="s">
        <v>1917</v>
      </c>
      <c r="T231" s="580" t="s">
        <v>66</v>
      </c>
      <c r="U231" s="580" t="s">
        <v>66</v>
      </c>
      <c r="V231" s="580" t="s">
        <v>66</v>
      </c>
      <c r="W231" s="580" t="s">
        <v>66</v>
      </c>
      <c r="X231" s="580" t="s">
        <v>66</v>
      </c>
      <c r="Y231" s="580" t="s">
        <v>66</v>
      </c>
      <c r="Z231" s="580" t="s">
        <v>66</v>
      </c>
      <c r="AA231" s="578"/>
      <c r="AB231" s="593" t="s">
        <v>2070</v>
      </c>
      <c r="AC231" s="580" t="s">
        <v>2014</v>
      </c>
      <c r="AD231" s="580" t="s">
        <v>68</v>
      </c>
      <c r="AE231" s="579"/>
      <c r="AF231" s="587" t="s">
        <v>1423</v>
      </c>
      <c r="AG231" s="584" t="s">
        <v>66</v>
      </c>
      <c r="AH231" s="580" t="s">
        <v>66</v>
      </c>
      <c r="AI231" s="580" t="s">
        <v>66</v>
      </c>
      <c r="AJ231" s="580" t="s">
        <v>66</v>
      </c>
      <c r="AK231" s="580" t="s">
        <v>66</v>
      </c>
      <c r="AL231" s="580" t="s">
        <v>66</v>
      </c>
      <c r="AM231" s="585" t="s">
        <v>66</v>
      </c>
      <c r="AN231" s="586" t="s">
        <v>1439</v>
      </c>
      <c r="AO231" s="579" t="s">
        <v>71</v>
      </c>
      <c r="AP231" s="579" t="s">
        <v>72</v>
      </c>
      <c r="AQ231" s="579"/>
      <c r="AR231" s="579"/>
      <c r="AS231" s="579"/>
      <c r="AT231" s="587"/>
      <c r="AU231" s="619" t="s">
        <v>2419</v>
      </c>
      <c r="AV231" s="604" t="s">
        <v>2203</v>
      </c>
      <c r="AW231" s="615">
        <v>44287</v>
      </c>
      <c r="AX231" s="615">
        <v>46112</v>
      </c>
      <c r="AY231" s="615" t="s">
        <v>152</v>
      </c>
      <c r="AZ231" s="620" t="s">
        <v>1401</v>
      </c>
      <c r="BA231" s="620"/>
      <c r="BB231" s="620" t="s">
        <v>2772</v>
      </c>
      <c r="BC231" s="621">
        <v>701</v>
      </c>
      <c r="BD231" s="613"/>
    </row>
    <row r="232" spans="1:56" s="560" customFormat="1" ht="16.5" customHeight="1">
      <c r="A232" s="576">
        <v>2024</v>
      </c>
      <c r="B232" s="577" t="s">
        <v>1443</v>
      </c>
      <c r="C232" s="562" t="s">
        <v>1311</v>
      </c>
      <c r="D232" s="562" t="s">
        <v>2415</v>
      </c>
      <c r="E232" s="578" t="s">
        <v>2015</v>
      </c>
      <c r="F232" s="579" t="s">
        <v>1404</v>
      </c>
      <c r="G232" s="578" t="s">
        <v>2146</v>
      </c>
      <c r="H232" s="579" t="s">
        <v>2016</v>
      </c>
      <c r="I232" s="579" t="s">
        <v>58</v>
      </c>
      <c r="J232" s="579" t="s">
        <v>1407</v>
      </c>
      <c r="K232" s="579" t="s">
        <v>1408</v>
      </c>
      <c r="L232" s="578" t="s">
        <v>1422</v>
      </c>
      <c r="M232" s="617" t="s">
        <v>235</v>
      </c>
      <c r="N232" s="617" t="s">
        <v>235</v>
      </c>
      <c r="O232" s="618">
        <v>754.66</v>
      </c>
      <c r="P232" s="618"/>
      <c r="Q232" s="596"/>
      <c r="R232" s="579" t="s">
        <v>130</v>
      </c>
      <c r="S232" s="579" t="s">
        <v>1917</v>
      </c>
      <c r="T232" s="580" t="s">
        <v>66</v>
      </c>
      <c r="U232" s="580" t="s">
        <v>66</v>
      </c>
      <c r="V232" s="580" t="s">
        <v>66</v>
      </c>
      <c r="W232" s="580" t="s">
        <v>66</v>
      </c>
      <c r="X232" s="580" t="s">
        <v>66</v>
      </c>
      <c r="Y232" s="580" t="s">
        <v>66</v>
      </c>
      <c r="Z232" s="580" t="s">
        <v>66</v>
      </c>
      <c r="AA232" s="578"/>
      <c r="AB232" s="593" t="s">
        <v>2017</v>
      </c>
      <c r="AC232" s="580" t="s">
        <v>2021</v>
      </c>
      <c r="AD232" s="580"/>
      <c r="AE232" s="579"/>
      <c r="AF232" s="587" t="s">
        <v>1423</v>
      </c>
      <c r="AG232" s="584" t="s">
        <v>66</v>
      </c>
      <c r="AH232" s="580" t="s">
        <v>66</v>
      </c>
      <c r="AI232" s="580" t="s">
        <v>66</v>
      </c>
      <c r="AJ232" s="580" t="s">
        <v>66</v>
      </c>
      <c r="AK232" s="580" t="s">
        <v>66</v>
      </c>
      <c r="AL232" s="580" t="s">
        <v>66</v>
      </c>
      <c r="AM232" s="585" t="s">
        <v>66</v>
      </c>
      <c r="AN232" s="586" t="s">
        <v>2647</v>
      </c>
      <c r="AO232" s="579" t="s">
        <v>132</v>
      </c>
      <c r="AP232" s="579" t="s">
        <v>72</v>
      </c>
      <c r="AQ232" s="579"/>
      <c r="AR232" s="579"/>
      <c r="AS232" s="579" t="s">
        <v>134</v>
      </c>
      <c r="AT232" s="587"/>
      <c r="AU232" s="619" t="s">
        <v>2419</v>
      </c>
      <c r="AV232" s="604" t="s">
        <v>2203</v>
      </c>
      <c r="AW232" s="615">
        <v>44287</v>
      </c>
      <c r="AX232" s="615">
        <v>46112</v>
      </c>
      <c r="AY232" s="615" t="s">
        <v>152</v>
      </c>
      <c r="AZ232" s="620" t="s">
        <v>1401</v>
      </c>
      <c r="BA232" s="620"/>
      <c r="BB232" s="620" t="s">
        <v>2204</v>
      </c>
      <c r="BC232" s="621">
        <v>459</v>
      </c>
      <c r="BD232" s="613"/>
    </row>
    <row r="233" spans="1:56" s="560" customFormat="1" ht="16.5" customHeight="1">
      <c r="A233" s="561">
        <v>2024</v>
      </c>
      <c r="B233" s="577" t="s">
        <v>1446</v>
      </c>
      <c r="C233" s="577" t="s">
        <v>1319</v>
      </c>
      <c r="D233" s="562" t="s">
        <v>2415</v>
      </c>
      <c r="E233" s="578" t="s">
        <v>1447</v>
      </c>
      <c r="F233" s="579" t="s">
        <v>1404</v>
      </c>
      <c r="G233" s="578" t="s">
        <v>2146</v>
      </c>
      <c r="H233" s="579" t="s">
        <v>2018</v>
      </c>
      <c r="I233" s="579" t="s">
        <v>58</v>
      </c>
      <c r="J233" s="579" t="s">
        <v>1407</v>
      </c>
      <c r="K233" s="579" t="s">
        <v>1408</v>
      </c>
      <c r="L233" s="578" t="s">
        <v>2022</v>
      </c>
      <c r="M233" s="617" t="s">
        <v>442</v>
      </c>
      <c r="N233" s="617" t="s">
        <v>442</v>
      </c>
      <c r="O233" s="618">
        <v>3024.11</v>
      </c>
      <c r="P233" s="618">
        <v>3024.11</v>
      </c>
      <c r="Q233" s="596"/>
      <c r="R233" s="579" t="s">
        <v>130</v>
      </c>
      <c r="S233" s="579" t="s">
        <v>1917</v>
      </c>
      <c r="T233" s="580" t="s">
        <v>66</v>
      </c>
      <c r="U233" s="580" t="s">
        <v>66</v>
      </c>
      <c r="V233" s="580" t="s">
        <v>66</v>
      </c>
      <c r="W233" s="580" t="s">
        <v>66</v>
      </c>
      <c r="X233" s="580" t="s">
        <v>66</v>
      </c>
      <c r="Y233" s="580" t="s">
        <v>66</v>
      </c>
      <c r="Z233" s="580" t="s">
        <v>66</v>
      </c>
      <c r="AA233" s="578"/>
      <c r="AB233" s="593" t="s">
        <v>68</v>
      </c>
      <c r="AC233" s="580"/>
      <c r="AD233" s="580" t="s">
        <v>68</v>
      </c>
      <c r="AE233" s="579"/>
      <c r="AF233" s="587" t="s">
        <v>1423</v>
      </c>
      <c r="AG233" s="584" t="s">
        <v>66</v>
      </c>
      <c r="AH233" s="580" t="s">
        <v>66</v>
      </c>
      <c r="AI233" s="580" t="s">
        <v>1846</v>
      </c>
      <c r="AJ233" s="580" t="s">
        <v>66</v>
      </c>
      <c r="AK233" s="580" t="s">
        <v>66</v>
      </c>
      <c r="AL233" s="580" t="s">
        <v>66</v>
      </c>
      <c r="AM233" s="585" t="s">
        <v>63</v>
      </c>
      <c r="AN233" s="586" t="s">
        <v>2647</v>
      </c>
      <c r="AO233" s="579" t="s">
        <v>132</v>
      </c>
      <c r="AP233" s="579" t="s">
        <v>1448</v>
      </c>
      <c r="AQ233" s="579"/>
      <c r="AR233" s="579"/>
      <c r="AS233" s="579" t="s">
        <v>134</v>
      </c>
      <c r="AT233" s="587"/>
      <c r="AU233" s="619" t="s">
        <v>2419</v>
      </c>
      <c r="AV233" s="604" t="s">
        <v>2203</v>
      </c>
      <c r="AW233" s="615">
        <v>44287</v>
      </c>
      <c r="AX233" s="615">
        <v>46112</v>
      </c>
      <c r="AY233" s="615" t="s">
        <v>152</v>
      </c>
      <c r="AZ233" s="620" t="s">
        <v>1425</v>
      </c>
      <c r="BA233" s="620"/>
      <c r="BB233" s="620" t="s">
        <v>2773</v>
      </c>
      <c r="BC233" s="621">
        <v>1200</v>
      </c>
      <c r="BD233" s="613"/>
    </row>
    <row r="234" spans="1:56" s="560" customFormat="1" ht="16.5" customHeight="1">
      <c r="A234" s="576">
        <v>2024</v>
      </c>
      <c r="B234" s="577" t="s">
        <v>1450</v>
      </c>
      <c r="C234" s="562" t="s">
        <v>1327</v>
      </c>
      <c r="D234" s="562" t="s">
        <v>2415</v>
      </c>
      <c r="E234" s="578" t="s">
        <v>2023</v>
      </c>
      <c r="F234" s="579" t="s">
        <v>1404</v>
      </c>
      <c r="G234" s="578" t="s">
        <v>2146</v>
      </c>
      <c r="H234" s="579" t="s">
        <v>2081</v>
      </c>
      <c r="I234" s="579" t="s">
        <v>58</v>
      </c>
      <c r="J234" s="579" t="s">
        <v>1407</v>
      </c>
      <c r="K234" s="579" t="s">
        <v>1408</v>
      </c>
      <c r="L234" s="578" t="s">
        <v>2022</v>
      </c>
      <c r="M234" s="617" t="s">
        <v>2645</v>
      </c>
      <c r="N234" s="617" t="s">
        <v>2645</v>
      </c>
      <c r="O234" s="618">
        <v>192.93</v>
      </c>
      <c r="P234" s="618"/>
      <c r="Q234" s="596"/>
      <c r="R234" s="579" t="s">
        <v>566</v>
      </c>
      <c r="S234" s="579" t="s">
        <v>1917</v>
      </c>
      <c r="T234" s="580" t="s">
        <v>66</v>
      </c>
      <c r="U234" s="580" t="s">
        <v>66</v>
      </c>
      <c r="V234" s="580" t="s">
        <v>66</v>
      </c>
      <c r="W234" s="580" t="s">
        <v>66</v>
      </c>
      <c r="X234" s="580" t="s">
        <v>66</v>
      </c>
      <c r="Y234" s="580" t="s">
        <v>66</v>
      </c>
      <c r="Z234" s="580" t="s">
        <v>66</v>
      </c>
      <c r="AA234" s="578"/>
      <c r="AB234" s="593" t="s">
        <v>2017</v>
      </c>
      <c r="AC234" s="580" t="s">
        <v>2014</v>
      </c>
      <c r="AD234" s="580"/>
      <c r="AE234" s="579"/>
      <c r="AF234" s="587" t="s">
        <v>1423</v>
      </c>
      <c r="AG234" s="584" t="s">
        <v>66</v>
      </c>
      <c r="AH234" s="580" t="s">
        <v>66</v>
      </c>
      <c r="AI234" s="580" t="s">
        <v>66</v>
      </c>
      <c r="AJ234" s="580" t="s">
        <v>66</v>
      </c>
      <c r="AK234" s="580" t="s">
        <v>66</v>
      </c>
      <c r="AL234" s="580" t="s">
        <v>66</v>
      </c>
      <c r="AM234" s="585" t="s">
        <v>66</v>
      </c>
      <c r="AN234" s="586" t="s">
        <v>1451</v>
      </c>
      <c r="AO234" s="579" t="s">
        <v>71</v>
      </c>
      <c r="AP234" s="579" t="s">
        <v>72</v>
      </c>
      <c r="AQ234" s="579"/>
      <c r="AR234" s="579" t="s">
        <v>2649</v>
      </c>
      <c r="AS234" s="579"/>
      <c r="AT234" s="587"/>
      <c r="AU234" s="619" t="s">
        <v>74</v>
      </c>
      <c r="AV234" s="604"/>
      <c r="AW234" s="615"/>
      <c r="AX234" s="615"/>
      <c r="AY234" s="615"/>
      <c r="AZ234" s="620" t="s">
        <v>1401</v>
      </c>
      <c r="BA234" s="620"/>
      <c r="BB234" s="620" t="s">
        <v>1452</v>
      </c>
      <c r="BC234" s="621">
        <v>100</v>
      </c>
      <c r="BD234" s="613"/>
    </row>
    <row r="235" spans="1:56" s="560" customFormat="1" ht="16.5" customHeight="1">
      <c r="A235" s="576">
        <v>2024</v>
      </c>
      <c r="B235" s="577" t="s">
        <v>1454</v>
      </c>
      <c r="C235" s="577" t="s">
        <v>1335</v>
      </c>
      <c r="D235" s="562" t="s">
        <v>2415</v>
      </c>
      <c r="E235" s="578" t="s">
        <v>1455</v>
      </c>
      <c r="F235" s="579" t="s">
        <v>2119</v>
      </c>
      <c r="G235" s="578" t="s">
        <v>2447</v>
      </c>
      <c r="H235" s="579" t="s">
        <v>1456</v>
      </c>
      <c r="I235" s="579" t="s">
        <v>58</v>
      </c>
      <c r="J235" s="579" t="s">
        <v>1407</v>
      </c>
      <c r="K235" s="579" t="s">
        <v>1408</v>
      </c>
      <c r="L235" s="578" t="s">
        <v>1457</v>
      </c>
      <c r="M235" s="580" t="s">
        <v>2024</v>
      </c>
      <c r="N235" s="580" t="s">
        <v>2024</v>
      </c>
      <c r="O235" s="581">
        <v>1638</v>
      </c>
      <c r="P235" s="581"/>
      <c r="Q235" s="596"/>
      <c r="R235" s="579" t="s">
        <v>130</v>
      </c>
      <c r="S235" s="579" t="s">
        <v>1917</v>
      </c>
      <c r="T235" s="580" t="s">
        <v>66</v>
      </c>
      <c r="U235" s="580" t="s">
        <v>66</v>
      </c>
      <c r="V235" s="580" t="s">
        <v>66</v>
      </c>
      <c r="W235" s="580" t="s">
        <v>66</v>
      </c>
      <c r="X235" s="580" t="s">
        <v>66</v>
      </c>
      <c r="Y235" s="580" t="s">
        <v>66</v>
      </c>
      <c r="Z235" s="580" t="s">
        <v>66</v>
      </c>
      <c r="AA235" s="578"/>
      <c r="AB235" s="593" t="s">
        <v>2017</v>
      </c>
      <c r="AC235" s="580" t="s">
        <v>2019</v>
      </c>
      <c r="AD235" s="580" t="s">
        <v>68</v>
      </c>
      <c r="AE235" s="579"/>
      <c r="AF235" s="587" t="s">
        <v>2110</v>
      </c>
      <c r="AG235" s="584" t="s">
        <v>66</v>
      </c>
      <c r="AH235" s="580" t="s">
        <v>66</v>
      </c>
      <c r="AI235" s="580" t="s">
        <v>66</v>
      </c>
      <c r="AJ235" s="580" t="s">
        <v>66</v>
      </c>
      <c r="AK235" s="580" t="s">
        <v>66</v>
      </c>
      <c r="AL235" s="580" t="s">
        <v>66</v>
      </c>
      <c r="AM235" s="585" t="s">
        <v>66</v>
      </c>
      <c r="AN235" s="586" t="s">
        <v>1458</v>
      </c>
      <c r="AO235" s="579" t="s">
        <v>71</v>
      </c>
      <c r="AP235" s="579" t="s">
        <v>72</v>
      </c>
      <c r="AQ235" s="579"/>
      <c r="AR235" s="579"/>
      <c r="AS235" s="579"/>
      <c r="AT235" s="587"/>
      <c r="AU235" s="584" t="s">
        <v>74</v>
      </c>
      <c r="AV235" s="578"/>
      <c r="AW235" s="588"/>
      <c r="AX235" s="588"/>
      <c r="AY235" s="588"/>
      <c r="AZ235" s="589" t="s">
        <v>2448</v>
      </c>
      <c r="BA235" s="589" t="s">
        <v>2557</v>
      </c>
      <c r="BB235" s="589"/>
      <c r="BC235" s="590"/>
      <c r="BD235" s="591"/>
    </row>
    <row r="236" spans="1:56" s="560" customFormat="1" ht="16.5" customHeight="1">
      <c r="A236" s="561">
        <v>2024</v>
      </c>
      <c r="B236" s="577" t="s">
        <v>2101</v>
      </c>
      <c r="C236" s="562" t="s">
        <v>1341</v>
      </c>
      <c r="D236" s="562" t="s">
        <v>2415</v>
      </c>
      <c r="E236" s="578" t="s">
        <v>2102</v>
      </c>
      <c r="F236" s="579" t="s">
        <v>2103</v>
      </c>
      <c r="G236" s="578" t="s">
        <v>2146</v>
      </c>
      <c r="H236" s="579" t="s">
        <v>2104</v>
      </c>
      <c r="I236" s="579" t="s">
        <v>2086</v>
      </c>
      <c r="J236" s="579" t="s">
        <v>2105</v>
      </c>
      <c r="K236" s="579" t="s">
        <v>2106</v>
      </c>
      <c r="L236" s="578" t="s">
        <v>1422</v>
      </c>
      <c r="M236" s="580" t="s">
        <v>2107</v>
      </c>
      <c r="N236" s="580" t="s">
        <v>2107</v>
      </c>
      <c r="O236" s="581" t="s">
        <v>1966</v>
      </c>
      <c r="P236" s="581" t="s">
        <v>1966</v>
      </c>
      <c r="Q236" s="596" t="s">
        <v>2108</v>
      </c>
      <c r="R236" s="579" t="s">
        <v>229</v>
      </c>
      <c r="S236" s="579" t="s">
        <v>1917</v>
      </c>
      <c r="T236" s="580" t="s">
        <v>66</v>
      </c>
      <c r="U236" s="580" t="s">
        <v>66</v>
      </c>
      <c r="V236" s="580" t="s">
        <v>66</v>
      </c>
      <c r="W236" s="580" t="s">
        <v>66</v>
      </c>
      <c r="X236" s="580" t="s">
        <v>66</v>
      </c>
      <c r="Y236" s="580" t="s">
        <v>66</v>
      </c>
      <c r="Z236" s="580" t="s">
        <v>66</v>
      </c>
      <c r="AA236" s="578"/>
      <c r="AB236" s="593" t="s">
        <v>2090</v>
      </c>
      <c r="AC236" s="580" t="s">
        <v>2109</v>
      </c>
      <c r="AD236" s="580" t="s">
        <v>1874</v>
      </c>
      <c r="AE236" s="579"/>
      <c r="AF236" s="587" t="s">
        <v>2110</v>
      </c>
      <c r="AG236" s="584" t="s">
        <v>66</v>
      </c>
      <c r="AH236" s="580" t="s">
        <v>66</v>
      </c>
      <c r="AI236" s="580" t="s">
        <v>66</v>
      </c>
      <c r="AJ236" s="580" t="s">
        <v>66</v>
      </c>
      <c r="AK236" s="580" t="s">
        <v>66</v>
      </c>
      <c r="AL236" s="580" t="s">
        <v>66</v>
      </c>
      <c r="AM236" s="585" t="s">
        <v>66</v>
      </c>
      <c r="AN236" s="624" t="s">
        <v>1444</v>
      </c>
      <c r="AO236" s="595" t="s">
        <v>132</v>
      </c>
      <c r="AP236" s="595" t="s">
        <v>2388</v>
      </c>
      <c r="AQ236" s="595"/>
      <c r="AR236" s="595"/>
      <c r="AS236" s="595" t="s">
        <v>134</v>
      </c>
      <c r="AT236" s="583" t="s">
        <v>2559</v>
      </c>
      <c r="AU236" s="619" t="s">
        <v>2419</v>
      </c>
      <c r="AV236" s="604" t="s">
        <v>2203</v>
      </c>
      <c r="AW236" s="615">
        <v>44287</v>
      </c>
      <c r="AX236" s="615">
        <v>46112</v>
      </c>
      <c r="AY236" s="615" t="s">
        <v>152</v>
      </c>
      <c r="AZ236" s="620" t="s">
        <v>2205</v>
      </c>
      <c r="BA236" s="620"/>
      <c r="BB236" s="620" t="s">
        <v>2206</v>
      </c>
      <c r="BC236" s="621">
        <v>255</v>
      </c>
      <c r="BD236" s="613"/>
    </row>
    <row r="237" spans="1:56" s="560" customFormat="1" ht="16.5" customHeight="1">
      <c r="A237" s="576">
        <v>2024</v>
      </c>
      <c r="B237" s="577" t="s">
        <v>1460</v>
      </c>
      <c r="C237" s="577" t="s">
        <v>1347</v>
      </c>
      <c r="D237" s="562" t="s">
        <v>2415</v>
      </c>
      <c r="E237" s="578" t="s">
        <v>1461</v>
      </c>
      <c r="F237" s="579" t="s">
        <v>78</v>
      </c>
      <c r="G237" s="578" t="s">
        <v>2328</v>
      </c>
      <c r="H237" s="579" t="s">
        <v>1463</v>
      </c>
      <c r="I237" s="579" t="s">
        <v>58</v>
      </c>
      <c r="J237" s="579" t="s">
        <v>1407</v>
      </c>
      <c r="K237" s="579" t="s">
        <v>1464</v>
      </c>
      <c r="L237" s="578" t="s">
        <v>1465</v>
      </c>
      <c r="M237" s="580" t="s">
        <v>280</v>
      </c>
      <c r="N237" s="580" t="s">
        <v>280</v>
      </c>
      <c r="O237" s="581">
        <v>3089</v>
      </c>
      <c r="P237" s="581">
        <v>1921.26</v>
      </c>
      <c r="Q237" s="582"/>
      <c r="R237" s="579" t="s">
        <v>85</v>
      </c>
      <c r="S237" s="579" t="s">
        <v>151</v>
      </c>
      <c r="T237" s="580" t="s">
        <v>66</v>
      </c>
      <c r="U237" s="580" t="s">
        <v>66</v>
      </c>
      <c r="V237" s="580" t="s">
        <v>66</v>
      </c>
      <c r="W237" s="580" t="s">
        <v>66</v>
      </c>
      <c r="X237" s="580" t="s">
        <v>66</v>
      </c>
      <c r="Y237" s="580" t="s">
        <v>66</v>
      </c>
      <c r="Z237" s="580" t="s">
        <v>66</v>
      </c>
      <c r="AA237" s="578" t="s">
        <v>2641</v>
      </c>
      <c r="AB237" s="580" t="s">
        <v>68</v>
      </c>
      <c r="AC237" s="579"/>
      <c r="AD237" s="580" t="s">
        <v>68</v>
      </c>
      <c r="AE237" s="579"/>
      <c r="AF237" s="587" t="s">
        <v>1466</v>
      </c>
      <c r="AG237" s="584" t="s">
        <v>66</v>
      </c>
      <c r="AH237" s="580" t="s">
        <v>66</v>
      </c>
      <c r="AI237" s="580" t="s">
        <v>66</v>
      </c>
      <c r="AJ237" s="580" t="s">
        <v>66</v>
      </c>
      <c r="AK237" s="580" t="s">
        <v>66</v>
      </c>
      <c r="AL237" s="580" t="s">
        <v>66</v>
      </c>
      <c r="AM237" s="585" t="s">
        <v>66</v>
      </c>
      <c r="AN237" s="586" t="s">
        <v>258</v>
      </c>
      <c r="AO237" s="579" t="s">
        <v>71</v>
      </c>
      <c r="AP237" s="579" t="s">
        <v>72</v>
      </c>
      <c r="AQ237" s="579"/>
      <c r="AR237" s="579"/>
      <c r="AS237" s="579"/>
      <c r="AT237" s="587"/>
      <c r="AU237" s="584" t="s">
        <v>74</v>
      </c>
      <c r="AV237" s="578"/>
      <c r="AW237" s="588"/>
      <c r="AX237" s="588"/>
      <c r="AY237" s="588"/>
      <c r="AZ237" s="589" t="s">
        <v>1051</v>
      </c>
      <c r="BA237" s="589" t="s">
        <v>2182</v>
      </c>
      <c r="BB237" s="589" t="s">
        <v>2642</v>
      </c>
      <c r="BC237" s="590"/>
      <c r="BD237" s="591"/>
    </row>
    <row r="238" spans="1:56" s="560" customFormat="1" ht="16.5" customHeight="1">
      <c r="A238" s="576">
        <v>2024</v>
      </c>
      <c r="B238" s="577" t="s">
        <v>1468</v>
      </c>
      <c r="C238" s="562" t="s">
        <v>1356</v>
      </c>
      <c r="D238" s="562" t="s">
        <v>2415</v>
      </c>
      <c r="E238" s="578" t="s">
        <v>1469</v>
      </c>
      <c r="F238" s="579" t="s">
        <v>78</v>
      </c>
      <c r="G238" s="578" t="s">
        <v>2580</v>
      </c>
      <c r="H238" s="579" t="s">
        <v>1471</v>
      </c>
      <c r="I238" s="579" t="s">
        <v>58</v>
      </c>
      <c r="J238" s="579" t="s">
        <v>1407</v>
      </c>
      <c r="K238" s="579" t="s">
        <v>1464</v>
      </c>
      <c r="L238" s="578" t="s">
        <v>1472</v>
      </c>
      <c r="M238" s="580" t="s">
        <v>732</v>
      </c>
      <c r="N238" s="580" t="s">
        <v>732</v>
      </c>
      <c r="O238" s="581">
        <v>1781.83</v>
      </c>
      <c r="P238" s="581">
        <v>1182</v>
      </c>
      <c r="Q238" s="582"/>
      <c r="R238" s="579" t="s">
        <v>130</v>
      </c>
      <c r="S238" s="579" t="s">
        <v>151</v>
      </c>
      <c r="T238" s="580" t="s">
        <v>66</v>
      </c>
      <c r="U238" s="580" t="s">
        <v>66</v>
      </c>
      <c r="V238" s="580" t="s">
        <v>66</v>
      </c>
      <c r="W238" s="580" t="s">
        <v>66</v>
      </c>
      <c r="X238" s="580" t="s">
        <v>66</v>
      </c>
      <c r="Y238" s="580" t="s">
        <v>66</v>
      </c>
      <c r="Z238" s="580" t="s">
        <v>66</v>
      </c>
      <c r="AA238" s="578"/>
      <c r="AB238" s="580" t="s">
        <v>68</v>
      </c>
      <c r="AC238" s="579"/>
      <c r="AD238" s="580" t="s">
        <v>68</v>
      </c>
      <c r="AE238" s="579"/>
      <c r="AF238" s="587" t="s">
        <v>1473</v>
      </c>
      <c r="AG238" s="584" t="s">
        <v>63</v>
      </c>
      <c r="AH238" s="580" t="s">
        <v>66</v>
      </c>
      <c r="AI238" s="580" t="s">
        <v>63</v>
      </c>
      <c r="AJ238" s="580" t="s">
        <v>63</v>
      </c>
      <c r="AK238" s="580" t="s">
        <v>66</v>
      </c>
      <c r="AL238" s="580" t="s">
        <v>66</v>
      </c>
      <c r="AM238" s="585" t="s">
        <v>66</v>
      </c>
      <c r="AN238" s="586" t="s">
        <v>120</v>
      </c>
      <c r="AO238" s="579" t="s">
        <v>71</v>
      </c>
      <c r="AP238" s="579" t="s">
        <v>72</v>
      </c>
      <c r="AQ238" s="579"/>
      <c r="AR238" s="579" t="s">
        <v>121</v>
      </c>
      <c r="AS238" s="579"/>
      <c r="AT238" s="587"/>
      <c r="AU238" s="584" t="s">
        <v>2419</v>
      </c>
      <c r="AV238" s="578" t="s">
        <v>1474</v>
      </c>
      <c r="AW238" s="588">
        <v>43556</v>
      </c>
      <c r="AX238" s="588">
        <v>45382</v>
      </c>
      <c r="AY238" s="588" t="s">
        <v>152</v>
      </c>
      <c r="AZ238" s="589" t="s">
        <v>1196</v>
      </c>
      <c r="BA238" s="589" t="s">
        <v>2389</v>
      </c>
      <c r="BB238" s="589" t="s">
        <v>2697</v>
      </c>
      <c r="BC238" s="590">
        <v>18</v>
      </c>
      <c r="BD238" s="591"/>
    </row>
    <row r="239" spans="1:56" s="560" customFormat="1" ht="16.5" customHeight="1">
      <c r="A239" s="561">
        <v>2024</v>
      </c>
      <c r="B239" s="577" t="s">
        <v>1475</v>
      </c>
      <c r="C239" s="577" t="s">
        <v>1360</v>
      </c>
      <c r="D239" s="562" t="s">
        <v>2415</v>
      </c>
      <c r="E239" s="578" t="s">
        <v>1880</v>
      </c>
      <c r="F239" s="579" t="s">
        <v>708</v>
      </c>
      <c r="G239" s="578" t="s">
        <v>1476</v>
      </c>
      <c r="H239" s="579" t="s">
        <v>1478</v>
      </c>
      <c r="I239" s="579" t="s">
        <v>58</v>
      </c>
      <c r="J239" s="579" t="s">
        <v>1407</v>
      </c>
      <c r="K239" s="579" t="s">
        <v>1464</v>
      </c>
      <c r="L239" s="578" t="s">
        <v>1881</v>
      </c>
      <c r="M239" s="580" t="s">
        <v>1882</v>
      </c>
      <c r="N239" s="580" t="s">
        <v>222</v>
      </c>
      <c r="O239" s="581">
        <v>11250</v>
      </c>
      <c r="P239" s="581">
        <v>5627.52</v>
      </c>
      <c r="Q239" s="582"/>
      <c r="R239" s="579" t="s">
        <v>130</v>
      </c>
      <c r="S239" s="579" t="s">
        <v>151</v>
      </c>
      <c r="T239" s="580" t="s">
        <v>66</v>
      </c>
      <c r="U239" s="580" t="s">
        <v>66</v>
      </c>
      <c r="V239" s="580" t="s">
        <v>66</v>
      </c>
      <c r="W239" s="580" t="s">
        <v>66</v>
      </c>
      <c r="X239" s="580" t="s">
        <v>66</v>
      </c>
      <c r="Y239" s="580" t="s">
        <v>66</v>
      </c>
      <c r="Z239" s="580" t="s">
        <v>66</v>
      </c>
      <c r="AA239" s="578"/>
      <c r="AB239" s="580" t="s">
        <v>68</v>
      </c>
      <c r="AC239" s="579"/>
      <c r="AD239" s="580" t="s">
        <v>68</v>
      </c>
      <c r="AE239" s="579"/>
      <c r="AF239" s="587" t="s">
        <v>1479</v>
      </c>
      <c r="AG239" s="584" t="s">
        <v>66</v>
      </c>
      <c r="AH239" s="580" t="s">
        <v>66</v>
      </c>
      <c r="AI239" s="580" t="s">
        <v>63</v>
      </c>
      <c r="AJ239" s="580" t="s">
        <v>66</v>
      </c>
      <c r="AK239" s="580" t="s">
        <v>66</v>
      </c>
      <c r="AL239" s="580" t="s">
        <v>66</v>
      </c>
      <c r="AM239" s="585" t="s">
        <v>66</v>
      </c>
      <c r="AN239" s="586" t="s">
        <v>258</v>
      </c>
      <c r="AO239" s="579" t="s">
        <v>71</v>
      </c>
      <c r="AP239" s="579" t="s">
        <v>72</v>
      </c>
      <c r="AQ239" s="579" t="s">
        <v>268</v>
      </c>
      <c r="AR239" s="579"/>
      <c r="AS239" s="579"/>
      <c r="AT239" s="587"/>
      <c r="AU239" s="584" t="s">
        <v>2419</v>
      </c>
      <c r="AV239" s="578" t="s">
        <v>2222</v>
      </c>
      <c r="AW239" s="588">
        <v>44652</v>
      </c>
      <c r="AX239" s="588">
        <v>46477</v>
      </c>
      <c r="AY239" s="588" t="s">
        <v>2215</v>
      </c>
      <c r="AZ239" s="589" t="s">
        <v>1883</v>
      </c>
      <c r="BA239" s="589"/>
      <c r="BB239" s="589" t="s">
        <v>2463</v>
      </c>
      <c r="BC239" s="590">
        <v>68</v>
      </c>
      <c r="BD239" s="591"/>
    </row>
    <row r="240" spans="1:56" s="560" customFormat="1" ht="16.5" customHeight="1">
      <c r="A240" s="576">
        <v>2024</v>
      </c>
      <c r="B240" s="577" t="s">
        <v>1480</v>
      </c>
      <c r="C240" s="562" t="s">
        <v>1368</v>
      </c>
      <c r="D240" s="562" t="s">
        <v>2415</v>
      </c>
      <c r="E240" s="578" t="s">
        <v>1481</v>
      </c>
      <c r="F240" s="579" t="s">
        <v>708</v>
      </c>
      <c r="G240" s="578" t="s">
        <v>2688</v>
      </c>
      <c r="H240" s="579" t="s">
        <v>1482</v>
      </c>
      <c r="I240" s="579" t="s">
        <v>58</v>
      </c>
      <c r="J240" s="579" t="s">
        <v>1407</v>
      </c>
      <c r="K240" s="579" t="s">
        <v>1464</v>
      </c>
      <c r="L240" s="578"/>
      <c r="M240" s="580" t="s">
        <v>1213</v>
      </c>
      <c r="N240" s="580" t="s">
        <v>1213</v>
      </c>
      <c r="O240" s="581">
        <v>65</v>
      </c>
      <c r="P240" s="581">
        <v>56.3</v>
      </c>
      <c r="Q240" s="582"/>
      <c r="R240" s="579" t="s">
        <v>251</v>
      </c>
      <c r="S240" s="579" t="s">
        <v>151</v>
      </c>
      <c r="T240" s="580" t="s">
        <v>66</v>
      </c>
      <c r="U240" s="580" t="s">
        <v>66</v>
      </c>
      <c r="V240" s="580" t="s">
        <v>66</v>
      </c>
      <c r="W240" s="580" t="s">
        <v>66</v>
      </c>
      <c r="X240" s="580" t="s">
        <v>66</v>
      </c>
      <c r="Y240" s="580" t="s">
        <v>66</v>
      </c>
      <c r="Z240" s="580" t="s">
        <v>66</v>
      </c>
      <c r="AA240" s="578"/>
      <c r="AB240" s="580" t="s">
        <v>1874</v>
      </c>
      <c r="AC240" s="579"/>
      <c r="AD240" s="580" t="s">
        <v>68</v>
      </c>
      <c r="AE240" s="579"/>
      <c r="AF240" s="587"/>
      <c r="AG240" s="584" t="s">
        <v>66</v>
      </c>
      <c r="AH240" s="580" t="s">
        <v>66</v>
      </c>
      <c r="AI240" s="580" t="s">
        <v>66</v>
      </c>
      <c r="AJ240" s="580" t="s">
        <v>66</v>
      </c>
      <c r="AK240" s="580" t="s">
        <v>66</v>
      </c>
      <c r="AL240" s="580" t="s">
        <v>66</v>
      </c>
      <c r="AM240" s="585" t="s">
        <v>66</v>
      </c>
      <c r="AN240" s="586" t="s">
        <v>258</v>
      </c>
      <c r="AO240" s="579" t="s">
        <v>71</v>
      </c>
      <c r="AP240" s="579" t="s">
        <v>72</v>
      </c>
      <c r="AQ240" s="579"/>
      <c r="AR240" s="579"/>
      <c r="AS240" s="579"/>
      <c r="AT240" s="587"/>
      <c r="AU240" s="584" t="s">
        <v>74</v>
      </c>
      <c r="AV240" s="578"/>
      <c r="AW240" s="588"/>
      <c r="AX240" s="588"/>
      <c r="AY240" s="588"/>
      <c r="AZ240" s="589"/>
      <c r="BA240" s="589"/>
      <c r="BB240" s="589"/>
      <c r="BC240" s="590"/>
      <c r="BD240" s="591"/>
    </row>
    <row r="241" spans="1:56" s="560" customFormat="1" ht="16.5" customHeight="1">
      <c r="A241" s="576">
        <v>2024</v>
      </c>
      <c r="B241" s="577" t="s">
        <v>1483</v>
      </c>
      <c r="C241" s="577" t="s">
        <v>305</v>
      </c>
      <c r="D241" s="562" t="s">
        <v>2415</v>
      </c>
      <c r="E241" s="578" t="s">
        <v>1484</v>
      </c>
      <c r="F241" s="579" t="s">
        <v>139</v>
      </c>
      <c r="G241" s="578" t="s">
        <v>2375</v>
      </c>
      <c r="H241" s="579" t="s">
        <v>1487</v>
      </c>
      <c r="I241" s="579" t="s">
        <v>58</v>
      </c>
      <c r="J241" s="579" t="s">
        <v>1407</v>
      </c>
      <c r="K241" s="579" t="s">
        <v>1464</v>
      </c>
      <c r="L241" s="578" t="s">
        <v>1488</v>
      </c>
      <c r="M241" s="580" t="s">
        <v>968</v>
      </c>
      <c r="N241" s="580" t="s">
        <v>968</v>
      </c>
      <c r="O241" s="581">
        <v>1844.78</v>
      </c>
      <c r="P241" s="581">
        <v>1000.96</v>
      </c>
      <c r="Q241" s="582"/>
      <c r="R241" s="579" t="s">
        <v>64</v>
      </c>
      <c r="S241" s="579" t="s">
        <v>151</v>
      </c>
      <c r="T241" s="580" t="s">
        <v>66</v>
      </c>
      <c r="U241" s="580" t="s">
        <v>66</v>
      </c>
      <c r="V241" s="580" t="s">
        <v>66</v>
      </c>
      <c r="W241" s="580" t="s">
        <v>66</v>
      </c>
      <c r="X241" s="580" t="s">
        <v>66</v>
      </c>
      <c r="Y241" s="580" t="s">
        <v>66</v>
      </c>
      <c r="Z241" s="580" t="s">
        <v>66</v>
      </c>
      <c r="AA241" s="578"/>
      <c r="AB241" s="580" t="s">
        <v>68</v>
      </c>
      <c r="AC241" s="579"/>
      <c r="AD241" s="580" t="s">
        <v>68</v>
      </c>
      <c r="AE241" s="579"/>
      <c r="AF241" s="583" t="s">
        <v>1489</v>
      </c>
      <c r="AG241" s="584" t="s">
        <v>66</v>
      </c>
      <c r="AH241" s="580" t="s">
        <v>66</v>
      </c>
      <c r="AI241" s="580" t="s">
        <v>63</v>
      </c>
      <c r="AJ241" s="580" t="s">
        <v>63</v>
      </c>
      <c r="AK241" s="580" t="s">
        <v>63</v>
      </c>
      <c r="AL241" s="580" t="s">
        <v>63</v>
      </c>
      <c r="AM241" s="585" t="s">
        <v>63</v>
      </c>
      <c r="AN241" s="586" t="s">
        <v>109</v>
      </c>
      <c r="AO241" s="579" t="s">
        <v>110</v>
      </c>
      <c r="AP241" s="579" t="s">
        <v>111</v>
      </c>
      <c r="AQ241" s="579"/>
      <c r="AR241" s="579" t="s">
        <v>112</v>
      </c>
      <c r="AS241" s="579"/>
      <c r="AT241" s="587"/>
      <c r="AU241" s="584" t="s">
        <v>2419</v>
      </c>
      <c r="AV241" s="578" t="s">
        <v>1490</v>
      </c>
      <c r="AW241" s="588">
        <v>45017</v>
      </c>
      <c r="AX241" s="588">
        <v>46843</v>
      </c>
      <c r="AY241" s="588" t="s">
        <v>270</v>
      </c>
      <c r="AZ241" s="620" t="s">
        <v>1491</v>
      </c>
      <c r="BA241" s="589"/>
      <c r="BB241" s="589"/>
      <c r="BC241" s="590">
        <v>28</v>
      </c>
      <c r="BD241" s="591"/>
    </row>
    <row r="242" spans="1:56" s="560" customFormat="1" ht="16.5" customHeight="1">
      <c r="A242" s="561">
        <v>2024</v>
      </c>
      <c r="B242" s="577" t="s">
        <v>1492</v>
      </c>
      <c r="C242" s="562" t="s">
        <v>1381</v>
      </c>
      <c r="D242" s="562" t="s">
        <v>2415</v>
      </c>
      <c r="E242" s="578" t="s">
        <v>1493</v>
      </c>
      <c r="F242" s="579" t="s">
        <v>1493</v>
      </c>
      <c r="G242" s="578" t="s">
        <v>1493</v>
      </c>
      <c r="H242" s="579" t="s">
        <v>1495</v>
      </c>
      <c r="I242" s="579" t="s">
        <v>58</v>
      </c>
      <c r="J242" s="579" t="s">
        <v>1496</v>
      </c>
      <c r="K242" s="579" t="s">
        <v>1497</v>
      </c>
      <c r="L242" s="578" t="s">
        <v>1498</v>
      </c>
      <c r="M242" s="580"/>
      <c r="N242" s="580" t="s">
        <v>396</v>
      </c>
      <c r="O242" s="581">
        <v>25623.51</v>
      </c>
      <c r="P242" s="581">
        <v>31396.76</v>
      </c>
      <c r="Q242" s="596"/>
      <c r="R242" s="579" t="s">
        <v>64</v>
      </c>
      <c r="S242" s="579" t="s">
        <v>151</v>
      </c>
      <c r="T242" s="580" t="s">
        <v>66</v>
      </c>
      <c r="U242" s="580" t="s">
        <v>66</v>
      </c>
      <c r="V242" s="580" t="s">
        <v>66</v>
      </c>
      <c r="W242" s="580" t="s">
        <v>66</v>
      </c>
      <c r="X242" s="580" t="s">
        <v>66</v>
      </c>
      <c r="Y242" s="580" t="s">
        <v>66</v>
      </c>
      <c r="Z242" s="580" t="s">
        <v>66</v>
      </c>
      <c r="AA242" s="578"/>
      <c r="AB242" s="580" t="s">
        <v>68</v>
      </c>
      <c r="AC242" s="579"/>
      <c r="AD242" s="580" t="s">
        <v>68</v>
      </c>
      <c r="AE242" s="579"/>
      <c r="AF242" s="587" t="s">
        <v>1499</v>
      </c>
      <c r="AG242" s="584" t="s">
        <v>1846</v>
      </c>
      <c r="AH242" s="580" t="s">
        <v>1846</v>
      </c>
      <c r="AI242" s="580" t="s">
        <v>1846</v>
      </c>
      <c r="AJ242" s="580" t="s">
        <v>1846</v>
      </c>
      <c r="AK242" s="580" t="s">
        <v>1846</v>
      </c>
      <c r="AL242" s="580" t="s">
        <v>1846</v>
      </c>
      <c r="AM242" s="585" t="s">
        <v>66</v>
      </c>
      <c r="AN242" s="586" t="s">
        <v>1500</v>
      </c>
      <c r="AO242" s="579" t="s">
        <v>71</v>
      </c>
      <c r="AP242" s="579" t="s">
        <v>72</v>
      </c>
      <c r="AQ242" s="579"/>
      <c r="AR242" s="579" t="s">
        <v>121</v>
      </c>
      <c r="AS242" s="579"/>
      <c r="AT242" s="587"/>
      <c r="AU242" s="584" t="s">
        <v>74</v>
      </c>
      <c r="AV242" s="578"/>
      <c r="AW242" s="588"/>
      <c r="AX242" s="588"/>
      <c r="AY242" s="588"/>
      <c r="AZ242" s="589" t="s">
        <v>2265</v>
      </c>
      <c r="BA242" s="589" t="s">
        <v>2266</v>
      </c>
      <c r="BB242" s="589"/>
      <c r="BC242" s="590">
        <v>166</v>
      </c>
      <c r="BD242" s="591"/>
    </row>
    <row r="243" spans="1:56" s="560" customFormat="1" ht="16.5" customHeight="1">
      <c r="A243" s="576">
        <v>2024</v>
      </c>
      <c r="B243" s="577" t="s">
        <v>1501</v>
      </c>
      <c r="C243" s="577" t="s">
        <v>1389</v>
      </c>
      <c r="D243" s="562" t="s">
        <v>2415</v>
      </c>
      <c r="E243" s="578" t="s">
        <v>1502</v>
      </c>
      <c r="F243" s="579" t="s">
        <v>1502</v>
      </c>
      <c r="G243" s="578" t="s">
        <v>1503</v>
      </c>
      <c r="H243" s="579" t="s">
        <v>2376</v>
      </c>
      <c r="I243" s="579" t="s">
        <v>58</v>
      </c>
      <c r="J243" s="579" t="s">
        <v>1496</v>
      </c>
      <c r="K243" s="579" t="s">
        <v>1505</v>
      </c>
      <c r="L243" s="578" t="s">
        <v>2377</v>
      </c>
      <c r="M243" s="580" t="s">
        <v>62</v>
      </c>
      <c r="N243" s="580" t="s">
        <v>62</v>
      </c>
      <c r="O243" s="581">
        <v>1750</v>
      </c>
      <c r="P243" s="581">
        <v>2485</v>
      </c>
      <c r="Q243" s="582"/>
      <c r="R243" s="579" t="s">
        <v>64</v>
      </c>
      <c r="S243" s="579" t="s">
        <v>151</v>
      </c>
      <c r="T243" s="580" t="s">
        <v>66</v>
      </c>
      <c r="U243" s="580" t="s">
        <v>66</v>
      </c>
      <c r="V243" s="580" t="s">
        <v>66</v>
      </c>
      <c r="W243" s="580" t="s">
        <v>66</v>
      </c>
      <c r="X243" s="580" t="s">
        <v>66</v>
      </c>
      <c r="Y243" s="580" t="s">
        <v>66</v>
      </c>
      <c r="Z243" s="580" t="s">
        <v>66</v>
      </c>
      <c r="AA243" s="578"/>
      <c r="AB243" s="580" t="s">
        <v>68</v>
      </c>
      <c r="AC243" s="579"/>
      <c r="AD243" s="580" t="s">
        <v>68</v>
      </c>
      <c r="AE243" s="579"/>
      <c r="AF243" s="583"/>
      <c r="AG243" s="584" t="s">
        <v>63</v>
      </c>
      <c r="AH243" s="580" t="s">
        <v>63</v>
      </c>
      <c r="AI243" s="580" t="s">
        <v>63</v>
      </c>
      <c r="AJ243" s="580" t="s">
        <v>63</v>
      </c>
      <c r="AK243" s="580" t="s">
        <v>63</v>
      </c>
      <c r="AL243" s="580" t="s">
        <v>63</v>
      </c>
      <c r="AM243" s="585" t="s">
        <v>63</v>
      </c>
      <c r="AN243" s="586" t="s">
        <v>70</v>
      </c>
      <c r="AO243" s="579" t="s">
        <v>71</v>
      </c>
      <c r="AP243" s="579" t="s">
        <v>72</v>
      </c>
      <c r="AQ243" s="579"/>
      <c r="AR243" s="579" t="s">
        <v>73</v>
      </c>
      <c r="AS243" s="579"/>
      <c r="AT243" s="587"/>
      <c r="AU243" s="584" t="s">
        <v>74</v>
      </c>
      <c r="AV243" s="578"/>
      <c r="AW243" s="588"/>
      <c r="AX243" s="588"/>
      <c r="AY243" s="588"/>
      <c r="AZ243" s="589" t="s">
        <v>1903</v>
      </c>
      <c r="BA243" s="589" t="s">
        <v>1902</v>
      </c>
      <c r="BB243" s="620"/>
      <c r="BC243" s="590">
        <v>3</v>
      </c>
      <c r="BD243" s="591"/>
    </row>
    <row r="244" spans="1:56" s="560" customFormat="1" ht="16.5" customHeight="1">
      <c r="A244" s="576">
        <v>2024</v>
      </c>
      <c r="B244" s="577" t="s">
        <v>1506</v>
      </c>
      <c r="C244" s="562" t="s">
        <v>1394</v>
      </c>
      <c r="D244" s="562" t="s">
        <v>2415</v>
      </c>
      <c r="E244" s="578" t="s">
        <v>1507</v>
      </c>
      <c r="F244" s="579" t="s">
        <v>1502</v>
      </c>
      <c r="G244" s="578" t="s">
        <v>1508</v>
      </c>
      <c r="H244" s="579" t="s">
        <v>2082</v>
      </c>
      <c r="I244" s="579" t="s">
        <v>58</v>
      </c>
      <c r="J244" s="579" t="s">
        <v>1496</v>
      </c>
      <c r="K244" s="579" t="s">
        <v>1505</v>
      </c>
      <c r="L244" s="578" t="s">
        <v>2378</v>
      </c>
      <c r="M244" s="580" t="s">
        <v>860</v>
      </c>
      <c r="N244" s="580" t="s">
        <v>860</v>
      </c>
      <c r="O244" s="581">
        <v>36645</v>
      </c>
      <c r="P244" s="581">
        <v>7425.49</v>
      </c>
      <c r="Q244" s="582"/>
      <c r="R244" s="579" t="s">
        <v>524</v>
      </c>
      <c r="S244" s="579" t="s">
        <v>151</v>
      </c>
      <c r="T244" s="580" t="s">
        <v>66</v>
      </c>
      <c r="U244" s="580" t="s">
        <v>66</v>
      </c>
      <c r="V244" s="580" t="s">
        <v>66</v>
      </c>
      <c r="W244" s="580" t="s">
        <v>66</v>
      </c>
      <c r="X244" s="580" t="s">
        <v>66</v>
      </c>
      <c r="Y244" s="580" t="s">
        <v>66</v>
      </c>
      <c r="Z244" s="580" t="s">
        <v>66</v>
      </c>
      <c r="AA244" s="578"/>
      <c r="AB244" s="580" t="s">
        <v>68</v>
      </c>
      <c r="AC244" s="579"/>
      <c r="AD244" s="580" t="s">
        <v>68</v>
      </c>
      <c r="AE244" s="579"/>
      <c r="AF244" s="587" t="s">
        <v>1510</v>
      </c>
      <c r="AG244" s="584" t="s">
        <v>66</v>
      </c>
      <c r="AH244" s="580" t="s">
        <v>63</v>
      </c>
      <c r="AI244" s="580" t="s">
        <v>63</v>
      </c>
      <c r="AJ244" s="580" t="s">
        <v>66</v>
      </c>
      <c r="AK244" s="580" t="s">
        <v>63</v>
      </c>
      <c r="AL244" s="580" t="s">
        <v>63</v>
      </c>
      <c r="AM244" s="585" t="s">
        <v>63</v>
      </c>
      <c r="AN244" s="586" t="s">
        <v>70</v>
      </c>
      <c r="AO244" s="579" t="s">
        <v>71</v>
      </c>
      <c r="AP244" s="579" t="s">
        <v>72</v>
      </c>
      <c r="AQ244" s="579"/>
      <c r="AR244" s="579" t="s">
        <v>73</v>
      </c>
      <c r="AS244" s="579"/>
      <c r="AT244" s="587" t="s">
        <v>2261</v>
      </c>
      <c r="AU244" s="584" t="s">
        <v>74</v>
      </c>
      <c r="AV244" s="578"/>
      <c r="AW244" s="588"/>
      <c r="AX244" s="588"/>
      <c r="AY244" s="588"/>
      <c r="AZ244" s="589"/>
      <c r="BA244" s="589"/>
      <c r="BB244" s="589"/>
      <c r="BC244" s="590"/>
      <c r="BD244" s="591"/>
    </row>
    <row r="245" spans="1:56" s="560" customFormat="1" ht="16.5" customHeight="1">
      <c r="A245" s="561">
        <v>2024</v>
      </c>
      <c r="B245" s="577" t="s">
        <v>1945</v>
      </c>
      <c r="C245" s="577" t="s">
        <v>1399</v>
      </c>
      <c r="D245" s="562" t="s">
        <v>2415</v>
      </c>
      <c r="E245" s="578" t="s">
        <v>1511</v>
      </c>
      <c r="F245" s="579" t="s">
        <v>1502</v>
      </c>
      <c r="G245" s="578" t="s">
        <v>1508</v>
      </c>
      <c r="H245" s="579" t="s">
        <v>1512</v>
      </c>
      <c r="I245" s="579" t="s">
        <v>58</v>
      </c>
      <c r="J245" s="579" t="s">
        <v>1496</v>
      </c>
      <c r="K245" s="579" t="s">
        <v>1505</v>
      </c>
      <c r="L245" s="578" t="s">
        <v>2378</v>
      </c>
      <c r="M245" s="580" t="s">
        <v>994</v>
      </c>
      <c r="N245" s="580" t="s">
        <v>994</v>
      </c>
      <c r="O245" s="581">
        <v>4103.03</v>
      </c>
      <c r="P245" s="581">
        <v>232.06</v>
      </c>
      <c r="Q245" s="582"/>
      <c r="R245" s="579" t="s">
        <v>251</v>
      </c>
      <c r="S245" s="579" t="s">
        <v>151</v>
      </c>
      <c r="T245" s="580" t="s">
        <v>66</v>
      </c>
      <c r="U245" s="580" t="s">
        <v>66</v>
      </c>
      <c r="V245" s="580" t="s">
        <v>66</v>
      </c>
      <c r="W245" s="580" t="s">
        <v>66</v>
      </c>
      <c r="X245" s="580" t="s">
        <v>66</v>
      </c>
      <c r="Y245" s="580" t="s">
        <v>66</v>
      </c>
      <c r="Z245" s="580" t="s">
        <v>66</v>
      </c>
      <c r="AA245" s="578"/>
      <c r="AB245" s="580" t="s">
        <v>68</v>
      </c>
      <c r="AC245" s="579"/>
      <c r="AD245" s="580" t="s">
        <v>68</v>
      </c>
      <c r="AE245" s="579"/>
      <c r="AF245" s="587" t="s">
        <v>1513</v>
      </c>
      <c r="AG245" s="584" t="s">
        <v>66</v>
      </c>
      <c r="AH245" s="580" t="s">
        <v>66</v>
      </c>
      <c r="AI245" s="580" t="s">
        <v>66</v>
      </c>
      <c r="AJ245" s="580" t="s">
        <v>66</v>
      </c>
      <c r="AK245" s="580" t="s">
        <v>66</v>
      </c>
      <c r="AL245" s="580" t="s">
        <v>66</v>
      </c>
      <c r="AM245" s="585" t="s">
        <v>66</v>
      </c>
      <c r="AN245" s="586" t="s">
        <v>2262</v>
      </c>
      <c r="AO245" s="579" t="s">
        <v>71</v>
      </c>
      <c r="AP245" s="579" t="s">
        <v>72</v>
      </c>
      <c r="AQ245" s="579"/>
      <c r="AR245" s="579" t="s">
        <v>1966</v>
      </c>
      <c r="AS245" s="579"/>
      <c r="AT245" s="587" t="s">
        <v>2261</v>
      </c>
      <c r="AU245" s="584" t="s">
        <v>74</v>
      </c>
      <c r="AV245" s="578"/>
      <c r="AW245" s="588"/>
      <c r="AX245" s="588"/>
      <c r="AY245" s="588"/>
      <c r="AZ245" s="589"/>
      <c r="BA245" s="589"/>
      <c r="BB245" s="589"/>
      <c r="BC245" s="590"/>
      <c r="BD245" s="591"/>
    </row>
    <row r="246" spans="1:56" s="560" customFormat="1" ht="16.5" customHeight="1">
      <c r="A246" s="576">
        <v>2024</v>
      </c>
      <c r="B246" s="577" t="s">
        <v>1946</v>
      </c>
      <c r="C246" s="562" t="s">
        <v>756</v>
      </c>
      <c r="D246" s="562" t="s">
        <v>2415</v>
      </c>
      <c r="E246" s="578" t="s">
        <v>1514</v>
      </c>
      <c r="F246" s="579" t="s">
        <v>1502</v>
      </c>
      <c r="G246" s="578" t="s">
        <v>1508</v>
      </c>
      <c r="H246" s="579" t="s">
        <v>2083</v>
      </c>
      <c r="I246" s="579" t="s">
        <v>58</v>
      </c>
      <c r="J246" s="579" t="s">
        <v>1496</v>
      </c>
      <c r="K246" s="579" t="s">
        <v>1505</v>
      </c>
      <c r="L246" s="578" t="s">
        <v>2378</v>
      </c>
      <c r="M246" s="580" t="s">
        <v>732</v>
      </c>
      <c r="N246" s="580" t="s">
        <v>732</v>
      </c>
      <c r="O246" s="581">
        <v>5146.835</v>
      </c>
      <c r="P246" s="581">
        <v>215.78</v>
      </c>
      <c r="Q246" s="582"/>
      <c r="R246" s="579" t="s">
        <v>1400</v>
      </c>
      <c r="S246" s="579" t="s">
        <v>151</v>
      </c>
      <c r="T246" s="580" t="s">
        <v>1910</v>
      </c>
      <c r="U246" s="580" t="s">
        <v>66</v>
      </c>
      <c r="V246" s="580" t="s">
        <v>66</v>
      </c>
      <c r="W246" s="580" t="s">
        <v>66</v>
      </c>
      <c r="X246" s="580" t="s">
        <v>66</v>
      </c>
      <c r="Y246" s="580" t="s">
        <v>66</v>
      </c>
      <c r="Z246" s="580" t="s">
        <v>66</v>
      </c>
      <c r="AA246" s="578"/>
      <c r="AB246" s="580" t="s">
        <v>68</v>
      </c>
      <c r="AC246" s="579"/>
      <c r="AD246" s="580" t="s">
        <v>68</v>
      </c>
      <c r="AE246" s="579"/>
      <c r="AF246" s="587" t="s">
        <v>1515</v>
      </c>
      <c r="AG246" s="584" t="s">
        <v>66</v>
      </c>
      <c r="AH246" s="580" t="s">
        <v>66</v>
      </c>
      <c r="AI246" s="580" t="s">
        <v>66</v>
      </c>
      <c r="AJ246" s="580" t="s">
        <v>66</v>
      </c>
      <c r="AK246" s="580" t="s">
        <v>66</v>
      </c>
      <c r="AL246" s="580" t="s">
        <v>66</v>
      </c>
      <c r="AM246" s="585" t="s">
        <v>66</v>
      </c>
      <c r="AN246" s="586" t="s">
        <v>2263</v>
      </c>
      <c r="AO246" s="579" t="s">
        <v>71</v>
      </c>
      <c r="AP246" s="579" t="s">
        <v>72</v>
      </c>
      <c r="AQ246" s="579"/>
      <c r="AR246" s="579" t="s">
        <v>2264</v>
      </c>
      <c r="AS246" s="579"/>
      <c r="AT246" s="587"/>
      <c r="AU246" s="584" t="s">
        <v>74</v>
      </c>
      <c r="AV246" s="578"/>
      <c r="AW246" s="588"/>
      <c r="AX246" s="588"/>
      <c r="AY246" s="588"/>
      <c r="AZ246" s="589"/>
      <c r="BA246" s="589"/>
      <c r="BB246" s="589"/>
      <c r="BC246" s="590"/>
      <c r="BD246" s="591"/>
    </row>
    <row r="247" spans="1:56" s="560" customFormat="1" ht="16.5" customHeight="1">
      <c r="A247" s="576">
        <v>2024</v>
      </c>
      <c r="B247" s="577" t="s">
        <v>1947</v>
      </c>
      <c r="C247" s="577" t="s">
        <v>1413</v>
      </c>
      <c r="D247" s="562" t="s">
        <v>2415</v>
      </c>
      <c r="E247" s="578" t="s">
        <v>1911</v>
      </c>
      <c r="F247" s="579" t="s">
        <v>1912</v>
      </c>
      <c r="G247" s="578" t="s">
        <v>1913</v>
      </c>
      <c r="H247" s="579" t="s">
        <v>1914</v>
      </c>
      <c r="I247" s="579" t="s">
        <v>1915</v>
      </c>
      <c r="J247" s="579" t="s">
        <v>1496</v>
      </c>
      <c r="K247" s="579" t="s">
        <v>1505</v>
      </c>
      <c r="L247" s="578" t="s">
        <v>2378</v>
      </c>
      <c r="M247" s="580" t="s">
        <v>1863</v>
      </c>
      <c r="N247" s="580" t="s">
        <v>1863</v>
      </c>
      <c r="O247" s="581">
        <v>1564.87</v>
      </c>
      <c r="P247" s="581">
        <v>465.79</v>
      </c>
      <c r="Q247" s="582"/>
      <c r="R247" s="579" t="s">
        <v>1916</v>
      </c>
      <c r="S247" s="579" t="s">
        <v>1917</v>
      </c>
      <c r="T247" s="580" t="s">
        <v>66</v>
      </c>
      <c r="U247" s="580" t="s">
        <v>66</v>
      </c>
      <c r="V247" s="580" t="s">
        <v>66</v>
      </c>
      <c r="W247" s="580" t="s">
        <v>66</v>
      </c>
      <c r="X247" s="580" t="s">
        <v>66</v>
      </c>
      <c r="Y247" s="580" t="s">
        <v>66</v>
      </c>
      <c r="Z247" s="580" t="s">
        <v>66</v>
      </c>
      <c r="AA247" s="578"/>
      <c r="AB247" s="580" t="s">
        <v>1918</v>
      </c>
      <c r="AC247" s="579"/>
      <c r="AD247" s="580" t="s">
        <v>1918</v>
      </c>
      <c r="AE247" s="579"/>
      <c r="AF247" s="587" t="s">
        <v>1919</v>
      </c>
      <c r="AG247" s="584" t="s">
        <v>66</v>
      </c>
      <c r="AH247" s="580" t="s">
        <v>66</v>
      </c>
      <c r="AI247" s="580" t="s">
        <v>63</v>
      </c>
      <c r="AJ247" s="580" t="s">
        <v>66</v>
      </c>
      <c r="AK247" s="580" t="s">
        <v>66</v>
      </c>
      <c r="AL247" s="580" t="s">
        <v>63</v>
      </c>
      <c r="AM247" s="585" t="s">
        <v>66</v>
      </c>
      <c r="AN247" s="586" t="s">
        <v>1920</v>
      </c>
      <c r="AO247" s="579" t="s">
        <v>1921</v>
      </c>
      <c r="AP247" s="579" t="s">
        <v>1922</v>
      </c>
      <c r="AQ247" s="579"/>
      <c r="AR247" s="579" t="s">
        <v>121</v>
      </c>
      <c r="AS247" s="579"/>
      <c r="AT247" s="587" t="s">
        <v>1923</v>
      </c>
      <c r="AU247" s="584" t="s">
        <v>1924</v>
      </c>
      <c r="AV247" s="578"/>
      <c r="AW247" s="588"/>
      <c r="AX247" s="588"/>
      <c r="AY247" s="588"/>
      <c r="AZ247" s="589"/>
      <c r="BA247" s="589"/>
      <c r="BB247" s="589"/>
      <c r="BC247" s="590"/>
      <c r="BD247" s="591"/>
    </row>
    <row r="248" spans="1:56" s="560" customFormat="1" ht="16.5" customHeight="1">
      <c r="A248" s="561">
        <v>2024</v>
      </c>
      <c r="B248" s="577" t="s">
        <v>1516</v>
      </c>
      <c r="C248" s="562" t="s">
        <v>1416</v>
      </c>
      <c r="D248" s="562" t="s">
        <v>2415</v>
      </c>
      <c r="E248" s="578" t="s">
        <v>1517</v>
      </c>
      <c r="F248" s="579" t="s">
        <v>1502</v>
      </c>
      <c r="G248" s="578" t="s">
        <v>2379</v>
      </c>
      <c r="H248" s="579" t="s">
        <v>1520</v>
      </c>
      <c r="I248" s="579" t="s">
        <v>58</v>
      </c>
      <c r="J248" s="579" t="s">
        <v>1496</v>
      </c>
      <c r="K248" s="579" t="s">
        <v>1505</v>
      </c>
      <c r="L248" s="578" t="s">
        <v>1521</v>
      </c>
      <c r="M248" s="580" t="s">
        <v>129</v>
      </c>
      <c r="N248" s="580" t="s">
        <v>129</v>
      </c>
      <c r="O248" s="581">
        <v>262.61</v>
      </c>
      <c r="P248" s="581">
        <v>133</v>
      </c>
      <c r="Q248" s="582"/>
      <c r="R248" s="579" t="s">
        <v>150</v>
      </c>
      <c r="S248" s="579" t="s">
        <v>151</v>
      </c>
      <c r="T248" s="580" t="s">
        <v>66</v>
      </c>
      <c r="U248" s="580" t="s">
        <v>66</v>
      </c>
      <c r="V248" s="580" t="s">
        <v>66</v>
      </c>
      <c r="W248" s="580" t="s">
        <v>66</v>
      </c>
      <c r="X248" s="580" t="s">
        <v>66</v>
      </c>
      <c r="Y248" s="580" t="s">
        <v>66</v>
      </c>
      <c r="Z248" s="580" t="s">
        <v>66</v>
      </c>
      <c r="AA248" s="578"/>
      <c r="AB248" s="580" t="s">
        <v>68</v>
      </c>
      <c r="AC248" s="579"/>
      <c r="AD248" s="580" t="s">
        <v>68</v>
      </c>
      <c r="AE248" s="579"/>
      <c r="AF248" s="587" t="s">
        <v>1522</v>
      </c>
      <c r="AG248" s="584" t="s">
        <v>66</v>
      </c>
      <c r="AH248" s="580" t="s">
        <v>66</v>
      </c>
      <c r="AI248" s="580" t="s">
        <v>66</v>
      </c>
      <c r="AJ248" s="580" t="s">
        <v>66</v>
      </c>
      <c r="AK248" s="580" t="s">
        <v>66</v>
      </c>
      <c r="AL248" s="580" t="s">
        <v>66</v>
      </c>
      <c r="AM248" s="585" t="s">
        <v>66</v>
      </c>
      <c r="AN248" s="586" t="s">
        <v>324</v>
      </c>
      <c r="AO248" s="579" t="s">
        <v>110</v>
      </c>
      <c r="AP248" s="579" t="s">
        <v>111</v>
      </c>
      <c r="AQ248" s="579"/>
      <c r="AR248" s="579" t="s">
        <v>112</v>
      </c>
      <c r="AS248" s="579"/>
      <c r="AT248" s="587"/>
      <c r="AU248" s="584" t="s">
        <v>74</v>
      </c>
      <c r="AV248" s="578"/>
      <c r="AW248" s="588"/>
      <c r="AX248" s="588"/>
      <c r="AY248" s="588"/>
      <c r="AZ248" s="589"/>
      <c r="BA248" s="589"/>
      <c r="BB248" s="589"/>
      <c r="BC248" s="590"/>
      <c r="BD248" s="591"/>
    </row>
    <row r="249" spans="1:56" s="560" customFormat="1" ht="16.5" customHeight="1">
      <c r="A249" s="576">
        <v>2024</v>
      </c>
      <c r="B249" s="577" t="s">
        <v>1523</v>
      </c>
      <c r="C249" s="577" t="s">
        <v>1419</v>
      </c>
      <c r="D249" s="562" t="s">
        <v>2415</v>
      </c>
      <c r="E249" s="578" t="s">
        <v>1524</v>
      </c>
      <c r="F249" s="579" t="s">
        <v>1502</v>
      </c>
      <c r="G249" s="578" t="s">
        <v>2379</v>
      </c>
      <c r="H249" s="579" t="s">
        <v>1525</v>
      </c>
      <c r="I249" s="579" t="s">
        <v>58</v>
      </c>
      <c r="J249" s="579" t="s">
        <v>1496</v>
      </c>
      <c r="K249" s="579" t="s">
        <v>1505</v>
      </c>
      <c r="L249" s="578" t="s">
        <v>1521</v>
      </c>
      <c r="M249" s="580" t="s">
        <v>1213</v>
      </c>
      <c r="N249" s="580" t="s">
        <v>1213</v>
      </c>
      <c r="O249" s="581">
        <v>7149</v>
      </c>
      <c r="P249" s="581">
        <v>764</v>
      </c>
      <c r="Q249" s="582"/>
      <c r="R249" s="579" t="s">
        <v>240</v>
      </c>
      <c r="S249" s="579" t="s">
        <v>151</v>
      </c>
      <c r="T249" s="580" t="s">
        <v>66</v>
      </c>
      <c r="U249" s="580" t="s">
        <v>66</v>
      </c>
      <c r="V249" s="580" t="s">
        <v>66</v>
      </c>
      <c r="W249" s="580" t="s">
        <v>66</v>
      </c>
      <c r="X249" s="580" t="s">
        <v>66</v>
      </c>
      <c r="Y249" s="580" t="s">
        <v>66</v>
      </c>
      <c r="Z249" s="580" t="s">
        <v>66</v>
      </c>
      <c r="AA249" s="578"/>
      <c r="AB249" s="580" t="s">
        <v>68</v>
      </c>
      <c r="AC249" s="579"/>
      <c r="AD249" s="580" t="s">
        <v>68</v>
      </c>
      <c r="AE249" s="579"/>
      <c r="AF249" s="587" t="s">
        <v>1904</v>
      </c>
      <c r="AG249" s="584" t="s">
        <v>66</v>
      </c>
      <c r="AH249" s="580" t="s">
        <v>66</v>
      </c>
      <c r="AI249" s="580" t="s">
        <v>66</v>
      </c>
      <c r="AJ249" s="580" t="s">
        <v>66</v>
      </c>
      <c r="AK249" s="580" t="s">
        <v>66</v>
      </c>
      <c r="AL249" s="580" t="s">
        <v>66</v>
      </c>
      <c r="AM249" s="585" t="s">
        <v>66</v>
      </c>
      <c r="AN249" s="586" t="s">
        <v>258</v>
      </c>
      <c r="AO249" s="579" t="s">
        <v>71</v>
      </c>
      <c r="AP249" s="579" t="s">
        <v>72</v>
      </c>
      <c r="AQ249" s="579"/>
      <c r="AR249" s="579"/>
      <c r="AS249" s="579"/>
      <c r="AT249" s="587"/>
      <c r="AU249" s="584" t="s">
        <v>74</v>
      </c>
      <c r="AV249" s="578"/>
      <c r="AW249" s="588"/>
      <c r="AX249" s="588"/>
      <c r="AY249" s="588"/>
      <c r="AZ249" s="589"/>
      <c r="BA249" s="589"/>
      <c r="BB249" s="589"/>
      <c r="BC249" s="590"/>
      <c r="BD249" s="591"/>
    </row>
    <row r="250" spans="1:56" s="560" customFormat="1" ht="16.5" customHeight="1">
      <c r="A250" s="576">
        <v>2024</v>
      </c>
      <c r="B250" s="577" t="s">
        <v>1526</v>
      </c>
      <c r="C250" s="562" t="s">
        <v>1426</v>
      </c>
      <c r="D250" s="562" t="s">
        <v>2415</v>
      </c>
      <c r="E250" s="578" t="s">
        <v>1527</v>
      </c>
      <c r="F250" s="579" t="s">
        <v>1502</v>
      </c>
      <c r="G250" s="578" t="s">
        <v>2379</v>
      </c>
      <c r="H250" s="579" t="s">
        <v>1528</v>
      </c>
      <c r="I250" s="579" t="s">
        <v>58</v>
      </c>
      <c r="J250" s="579" t="s">
        <v>1496</v>
      </c>
      <c r="K250" s="579" t="s">
        <v>1505</v>
      </c>
      <c r="L250" s="578" t="s">
        <v>1521</v>
      </c>
      <c r="M250" s="580" t="s">
        <v>1213</v>
      </c>
      <c r="N250" s="580" t="s">
        <v>1213</v>
      </c>
      <c r="O250" s="581">
        <v>500</v>
      </c>
      <c r="P250" s="581">
        <v>303</v>
      </c>
      <c r="Q250" s="582"/>
      <c r="R250" s="579" t="s">
        <v>662</v>
      </c>
      <c r="S250" s="579" t="s">
        <v>151</v>
      </c>
      <c r="T250" s="580" t="s">
        <v>66</v>
      </c>
      <c r="U250" s="580" t="s">
        <v>66</v>
      </c>
      <c r="V250" s="580" t="s">
        <v>66</v>
      </c>
      <c r="W250" s="580" t="s">
        <v>66</v>
      </c>
      <c r="X250" s="580" t="s">
        <v>66</v>
      </c>
      <c r="Y250" s="580" t="s">
        <v>66</v>
      </c>
      <c r="Z250" s="580" t="s">
        <v>66</v>
      </c>
      <c r="AA250" s="578"/>
      <c r="AB250" s="580" t="s">
        <v>68</v>
      </c>
      <c r="AC250" s="579"/>
      <c r="AD250" s="580" t="s">
        <v>68</v>
      </c>
      <c r="AE250" s="579"/>
      <c r="AF250" s="587" t="s">
        <v>2084</v>
      </c>
      <c r="AG250" s="584" t="s">
        <v>66</v>
      </c>
      <c r="AH250" s="580" t="s">
        <v>66</v>
      </c>
      <c r="AI250" s="580" t="s">
        <v>66</v>
      </c>
      <c r="AJ250" s="580" t="s">
        <v>66</v>
      </c>
      <c r="AK250" s="580" t="s">
        <v>66</v>
      </c>
      <c r="AL250" s="580" t="s">
        <v>66</v>
      </c>
      <c r="AM250" s="585" t="s">
        <v>66</v>
      </c>
      <c r="AN250" s="586" t="s">
        <v>164</v>
      </c>
      <c r="AO250" s="579" t="s">
        <v>71</v>
      </c>
      <c r="AP250" s="579" t="s">
        <v>72</v>
      </c>
      <c r="AQ250" s="579"/>
      <c r="AR250" s="579" t="s">
        <v>121</v>
      </c>
      <c r="AS250" s="579"/>
      <c r="AT250" s="587"/>
      <c r="AU250" s="584" t="s">
        <v>74</v>
      </c>
      <c r="AV250" s="578"/>
      <c r="AW250" s="588"/>
      <c r="AX250" s="588"/>
      <c r="AY250" s="588"/>
      <c r="AZ250" s="589"/>
      <c r="BA250" s="589"/>
      <c r="BB250" s="589"/>
      <c r="BC250" s="590"/>
      <c r="BD250" s="591"/>
    </row>
    <row r="251" spans="1:56" s="560" customFormat="1" ht="16.5" customHeight="1">
      <c r="A251" s="561">
        <v>2024</v>
      </c>
      <c r="B251" s="577" t="s">
        <v>1529</v>
      </c>
      <c r="C251" s="577" t="s">
        <v>1429</v>
      </c>
      <c r="D251" s="562" t="s">
        <v>2415</v>
      </c>
      <c r="E251" s="578" t="s">
        <v>1530</v>
      </c>
      <c r="F251" s="579" t="s">
        <v>1502</v>
      </c>
      <c r="G251" s="578" t="s">
        <v>2379</v>
      </c>
      <c r="H251" s="579" t="s">
        <v>1531</v>
      </c>
      <c r="I251" s="579" t="s">
        <v>58</v>
      </c>
      <c r="J251" s="579" t="s">
        <v>1496</v>
      </c>
      <c r="K251" s="579" t="s">
        <v>1505</v>
      </c>
      <c r="L251" s="578" t="s">
        <v>1521</v>
      </c>
      <c r="M251" s="580" t="s">
        <v>250</v>
      </c>
      <c r="N251" s="580" t="s">
        <v>250</v>
      </c>
      <c r="O251" s="581">
        <v>898.72</v>
      </c>
      <c r="P251" s="581">
        <v>832</v>
      </c>
      <c r="Q251" s="582"/>
      <c r="R251" s="579" t="s">
        <v>229</v>
      </c>
      <c r="S251" s="579" t="s">
        <v>151</v>
      </c>
      <c r="T251" s="580" t="s">
        <v>66</v>
      </c>
      <c r="U251" s="580" t="s">
        <v>66</v>
      </c>
      <c r="V251" s="580" t="s">
        <v>66</v>
      </c>
      <c r="W251" s="580" t="s">
        <v>66</v>
      </c>
      <c r="X251" s="580" t="s">
        <v>66</v>
      </c>
      <c r="Y251" s="580" t="s">
        <v>66</v>
      </c>
      <c r="Z251" s="580" t="s">
        <v>66</v>
      </c>
      <c r="AA251" s="578"/>
      <c r="AB251" s="580" t="s">
        <v>68</v>
      </c>
      <c r="AC251" s="579"/>
      <c r="AD251" s="580" t="s">
        <v>68</v>
      </c>
      <c r="AE251" s="579"/>
      <c r="AF251" s="587" t="s">
        <v>1905</v>
      </c>
      <c r="AG251" s="584" t="s">
        <v>66</v>
      </c>
      <c r="AH251" s="580" t="s">
        <v>66</v>
      </c>
      <c r="AI251" s="580" t="s">
        <v>66</v>
      </c>
      <c r="AJ251" s="580" t="s">
        <v>66</v>
      </c>
      <c r="AK251" s="580" t="s">
        <v>66</v>
      </c>
      <c r="AL251" s="580" t="s">
        <v>66</v>
      </c>
      <c r="AM251" s="585" t="s">
        <v>66</v>
      </c>
      <c r="AN251" s="586" t="s">
        <v>86</v>
      </c>
      <c r="AO251" s="579" t="s">
        <v>71</v>
      </c>
      <c r="AP251" s="579" t="s">
        <v>72</v>
      </c>
      <c r="AQ251" s="579"/>
      <c r="AR251" s="579"/>
      <c r="AS251" s="579"/>
      <c r="AT251" s="587"/>
      <c r="AU251" s="584" t="s">
        <v>74</v>
      </c>
      <c r="AV251" s="578"/>
      <c r="AW251" s="588"/>
      <c r="AX251" s="588"/>
      <c r="AY251" s="588"/>
      <c r="AZ251" s="589"/>
      <c r="BA251" s="589"/>
      <c r="BB251" s="589"/>
      <c r="BC251" s="590"/>
      <c r="BD251" s="591"/>
    </row>
    <row r="252" spans="1:56" s="560" customFormat="1" ht="16.5" customHeight="1">
      <c r="A252" s="576">
        <v>2024</v>
      </c>
      <c r="B252" s="577" t="s">
        <v>1532</v>
      </c>
      <c r="C252" s="562" t="s">
        <v>1432</v>
      </c>
      <c r="D252" s="562" t="s">
        <v>2415</v>
      </c>
      <c r="E252" s="578" t="s">
        <v>1533</v>
      </c>
      <c r="F252" s="579" t="s">
        <v>1502</v>
      </c>
      <c r="G252" s="578" t="s">
        <v>2379</v>
      </c>
      <c r="H252" s="579" t="s">
        <v>1534</v>
      </c>
      <c r="I252" s="579" t="s">
        <v>58</v>
      </c>
      <c r="J252" s="579" t="s">
        <v>1496</v>
      </c>
      <c r="K252" s="579" t="s">
        <v>1505</v>
      </c>
      <c r="L252" s="578" t="s">
        <v>1521</v>
      </c>
      <c r="M252" s="580" t="s">
        <v>420</v>
      </c>
      <c r="N252" s="580" t="s">
        <v>420</v>
      </c>
      <c r="O252" s="581">
        <v>2815.57</v>
      </c>
      <c r="P252" s="581">
        <v>1725</v>
      </c>
      <c r="Q252" s="582"/>
      <c r="R252" s="579" t="s">
        <v>85</v>
      </c>
      <c r="S252" s="579" t="s">
        <v>151</v>
      </c>
      <c r="T252" s="580" t="s">
        <v>66</v>
      </c>
      <c r="U252" s="580" t="s">
        <v>66</v>
      </c>
      <c r="V252" s="580" t="s">
        <v>66</v>
      </c>
      <c r="W252" s="580" t="s">
        <v>66</v>
      </c>
      <c r="X252" s="580" t="s">
        <v>66</v>
      </c>
      <c r="Y252" s="580" t="s">
        <v>66</v>
      </c>
      <c r="Z252" s="580" t="s">
        <v>66</v>
      </c>
      <c r="AA252" s="578"/>
      <c r="AB252" s="580" t="s">
        <v>68</v>
      </c>
      <c r="AC252" s="579"/>
      <c r="AD252" s="580" t="s">
        <v>68</v>
      </c>
      <c r="AE252" s="579"/>
      <c r="AF252" s="587" t="s">
        <v>1906</v>
      </c>
      <c r="AG252" s="584" t="s">
        <v>66</v>
      </c>
      <c r="AH252" s="580" t="s">
        <v>66</v>
      </c>
      <c r="AI252" s="580" t="s">
        <v>66</v>
      </c>
      <c r="AJ252" s="580" t="s">
        <v>66</v>
      </c>
      <c r="AK252" s="580" t="s">
        <v>66</v>
      </c>
      <c r="AL252" s="580" t="s">
        <v>66</v>
      </c>
      <c r="AM252" s="585" t="s">
        <v>66</v>
      </c>
      <c r="AN252" s="586" t="s">
        <v>86</v>
      </c>
      <c r="AO252" s="579" t="s">
        <v>71</v>
      </c>
      <c r="AP252" s="579" t="s">
        <v>72</v>
      </c>
      <c r="AQ252" s="579"/>
      <c r="AR252" s="579"/>
      <c r="AS252" s="579"/>
      <c r="AT252" s="587"/>
      <c r="AU252" s="584" t="s">
        <v>74</v>
      </c>
      <c r="AV252" s="578"/>
      <c r="AW252" s="588"/>
      <c r="AX252" s="588"/>
      <c r="AY252" s="588"/>
      <c r="AZ252" s="589"/>
      <c r="BA252" s="589"/>
      <c r="BB252" s="589"/>
      <c r="BC252" s="590"/>
      <c r="BD252" s="591"/>
    </row>
    <row r="253" spans="1:56" s="560" customFormat="1" ht="16.5" customHeight="1">
      <c r="A253" s="576">
        <v>2024</v>
      </c>
      <c r="B253" s="577" t="s">
        <v>1535</v>
      </c>
      <c r="C253" s="577" t="s">
        <v>1434</v>
      </c>
      <c r="D253" s="562" t="s">
        <v>2415</v>
      </c>
      <c r="E253" s="578" t="s">
        <v>1536</v>
      </c>
      <c r="F253" s="579" t="s">
        <v>1502</v>
      </c>
      <c r="G253" s="578" t="s">
        <v>2379</v>
      </c>
      <c r="H253" s="579" t="s">
        <v>1537</v>
      </c>
      <c r="I253" s="579" t="s">
        <v>58</v>
      </c>
      <c r="J253" s="579" t="s">
        <v>1496</v>
      </c>
      <c r="K253" s="579" t="s">
        <v>1505</v>
      </c>
      <c r="L253" s="578" t="s">
        <v>1521</v>
      </c>
      <c r="M253" s="580" t="s">
        <v>396</v>
      </c>
      <c r="N253" s="580" t="s">
        <v>396</v>
      </c>
      <c r="O253" s="581">
        <v>1493</v>
      </c>
      <c r="P253" s="581">
        <v>560</v>
      </c>
      <c r="Q253" s="582"/>
      <c r="R253" s="579" t="s">
        <v>85</v>
      </c>
      <c r="S253" s="579" t="s">
        <v>151</v>
      </c>
      <c r="T253" s="580" t="s">
        <v>66</v>
      </c>
      <c r="U253" s="580" t="s">
        <v>66</v>
      </c>
      <c r="V253" s="580" t="s">
        <v>66</v>
      </c>
      <c r="W253" s="580" t="s">
        <v>66</v>
      </c>
      <c r="X253" s="580" t="s">
        <v>66</v>
      </c>
      <c r="Y253" s="580" t="s">
        <v>66</v>
      </c>
      <c r="Z253" s="580" t="s">
        <v>66</v>
      </c>
      <c r="AA253" s="578"/>
      <c r="AB253" s="580" t="s">
        <v>68</v>
      </c>
      <c r="AC253" s="579"/>
      <c r="AD253" s="580" t="s">
        <v>68</v>
      </c>
      <c r="AE253" s="579"/>
      <c r="AF253" s="587" t="s">
        <v>1907</v>
      </c>
      <c r="AG253" s="584" t="s">
        <v>66</v>
      </c>
      <c r="AH253" s="580" t="s">
        <v>66</v>
      </c>
      <c r="AI253" s="580" t="s">
        <v>66</v>
      </c>
      <c r="AJ253" s="580" t="s">
        <v>66</v>
      </c>
      <c r="AK253" s="580" t="s">
        <v>66</v>
      </c>
      <c r="AL253" s="580" t="s">
        <v>66</v>
      </c>
      <c r="AM253" s="585" t="s">
        <v>66</v>
      </c>
      <c r="AN253" s="586" t="s">
        <v>258</v>
      </c>
      <c r="AO253" s="579" t="s">
        <v>71</v>
      </c>
      <c r="AP253" s="579" t="s">
        <v>72</v>
      </c>
      <c r="AQ253" s="579"/>
      <c r="AR253" s="579"/>
      <c r="AS253" s="579"/>
      <c r="AT253" s="587"/>
      <c r="AU253" s="584" t="s">
        <v>74</v>
      </c>
      <c r="AV253" s="578"/>
      <c r="AW253" s="588"/>
      <c r="AX253" s="588"/>
      <c r="AY253" s="588"/>
      <c r="AZ253" s="589"/>
      <c r="BA253" s="589"/>
      <c r="BB253" s="589"/>
      <c r="BC253" s="590"/>
      <c r="BD253" s="591"/>
    </row>
    <row r="254" spans="1:56" s="560" customFormat="1" ht="16.5" customHeight="1">
      <c r="A254" s="561">
        <v>2024</v>
      </c>
      <c r="B254" s="577" t="s">
        <v>1538</v>
      </c>
      <c r="C254" s="562" t="s">
        <v>1436</v>
      </c>
      <c r="D254" s="562" t="s">
        <v>2415</v>
      </c>
      <c r="E254" s="578" t="s">
        <v>1539</v>
      </c>
      <c r="F254" s="579" t="s">
        <v>1502</v>
      </c>
      <c r="G254" s="578" t="s">
        <v>2379</v>
      </c>
      <c r="H254" s="579" t="s">
        <v>1540</v>
      </c>
      <c r="I254" s="579" t="s">
        <v>58</v>
      </c>
      <c r="J254" s="579" t="s">
        <v>1496</v>
      </c>
      <c r="K254" s="579" t="s">
        <v>1505</v>
      </c>
      <c r="L254" s="578" t="s">
        <v>1521</v>
      </c>
      <c r="M254" s="580" t="s">
        <v>968</v>
      </c>
      <c r="N254" s="580" t="s">
        <v>968</v>
      </c>
      <c r="O254" s="581">
        <v>457.69</v>
      </c>
      <c r="P254" s="581">
        <v>129</v>
      </c>
      <c r="Q254" s="582"/>
      <c r="R254" s="579" t="s">
        <v>1908</v>
      </c>
      <c r="S254" s="579" t="s">
        <v>151</v>
      </c>
      <c r="T254" s="580" t="s">
        <v>66</v>
      </c>
      <c r="U254" s="580" t="s">
        <v>66</v>
      </c>
      <c r="V254" s="580" t="s">
        <v>66</v>
      </c>
      <c r="W254" s="580" t="s">
        <v>66</v>
      </c>
      <c r="X254" s="580" t="s">
        <v>66</v>
      </c>
      <c r="Y254" s="580" t="s">
        <v>66</v>
      </c>
      <c r="Z254" s="580" t="s">
        <v>66</v>
      </c>
      <c r="AA254" s="578"/>
      <c r="AB254" s="580" t="s">
        <v>68</v>
      </c>
      <c r="AC254" s="579"/>
      <c r="AD254" s="580" t="s">
        <v>68</v>
      </c>
      <c r="AE254" s="579"/>
      <c r="AF254" s="587" t="s">
        <v>1909</v>
      </c>
      <c r="AG254" s="584" t="s">
        <v>66</v>
      </c>
      <c r="AH254" s="580" t="s">
        <v>66</v>
      </c>
      <c r="AI254" s="580" t="s">
        <v>66</v>
      </c>
      <c r="AJ254" s="580" t="s">
        <v>66</v>
      </c>
      <c r="AK254" s="580" t="s">
        <v>66</v>
      </c>
      <c r="AL254" s="580" t="s">
        <v>66</v>
      </c>
      <c r="AM254" s="585" t="s">
        <v>66</v>
      </c>
      <c r="AN254" s="586" t="s">
        <v>258</v>
      </c>
      <c r="AO254" s="579" t="s">
        <v>71</v>
      </c>
      <c r="AP254" s="579" t="s">
        <v>72</v>
      </c>
      <c r="AQ254" s="579"/>
      <c r="AR254" s="579"/>
      <c r="AS254" s="579"/>
      <c r="AT254" s="587"/>
      <c r="AU254" s="584" t="s">
        <v>74</v>
      </c>
      <c r="AV254" s="578"/>
      <c r="AW254" s="588"/>
      <c r="AX254" s="588"/>
      <c r="AY254" s="588"/>
      <c r="AZ254" s="589"/>
      <c r="BA254" s="589"/>
      <c r="BB254" s="589"/>
      <c r="BC254" s="590"/>
      <c r="BD254" s="591"/>
    </row>
    <row r="255" spans="1:56" s="560" customFormat="1" ht="16.5" customHeight="1">
      <c r="A255" s="625">
        <v>2024</v>
      </c>
      <c r="B255" s="626" t="s">
        <v>1541</v>
      </c>
      <c r="C255" s="627" t="s">
        <v>1440</v>
      </c>
      <c r="D255" s="627" t="s">
        <v>2415</v>
      </c>
      <c r="E255" s="628" t="s">
        <v>1542</v>
      </c>
      <c r="F255" s="629" t="s">
        <v>1542</v>
      </c>
      <c r="G255" s="628" t="s">
        <v>1542</v>
      </c>
      <c r="H255" s="629" t="s">
        <v>2443</v>
      </c>
      <c r="I255" s="629" t="s">
        <v>58</v>
      </c>
      <c r="J255" s="629" t="s">
        <v>1496</v>
      </c>
      <c r="K255" s="629" t="s">
        <v>1544</v>
      </c>
      <c r="L255" s="628" t="s">
        <v>2444</v>
      </c>
      <c r="M255" s="627" t="s">
        <v>892</v>
      </c>
      <c r="N255" s="627" t="s">
        <v>892</v>
      </c>
      <c r="O255" s="630" t="s">
        <v>2445</v>
      </c>
      <c r="P255" s="631">
        <v>1132.6500000000001</v>
      </c>
      <c r="Q255" s="632"/>
      <c r="R255" s="629" t="s">
        <v>524</v>
      </c>
      <c r="S255" s="629" t="s">
        <v>151</v>
      </c>
      <c r="T255" s="627" t="s">
        <v>66</v>
      </c>
      <c r="U255" s="627" t="s">
        <v>66</v>
      </c>
      <c r="V255" s="627" t="s">
        <v>66</v>
      </c>
      <c r="W255" s="627" t="s">
        <v>66</v>
      </c>
      <c r="X255" s="627" t="s">
        <v>66</v>
      </c>
      <c r="Y255" s="627" t="s">
        <v>66</v>
      </c>
      <c r="Z255" s="627" t="s">
        <v>66</v>
      </c>
      <c r="AA255" s="628"/>
      <c r="AB255" s="627" t="s">
        <v>68</v>
      </c>
      <c r="AC255" s="629"/>
      <c r="AD255" s="627" t="s">
        <v>68</v>
      </c>
      <c r="AE255" s="629"/>
      <c r="AF255" s="633" t="s">
        <v>1900</v>
      </c>
      <c r="AG255" s="634" t="s">
        <v>63</v>
      </c>
      <c r="AH255" s="627" t="s">
        <v>63</v>
      </c>
      <c r="AI255" s="627" t="s">
        <v>63</v>
      </c>
      <c r="AJ255" s="627" t="s">
        <v>63</v>
      </c>
      <c r="AK255" s="627" t="s">
        <v>66</v>
      </c>
      <c r="AL255" s="627" t="s">
        <v>63</v>
      </c>
      <c r="AM255" s="635" t="s">
        <v>66</v>
      </c>
      <c r="AN255" s="636" t="s">
        <v>70</v>
      </c>
      <c r="AO255" s="629" t="s">
        <v>71</v>
      </c>
      <c r="AP255" s="629" t="s">
        <v>72</v>
      </c>
      <c r="AQ255" s="629"/>
      <c r="AR255" s="629" t="s">
        <v>73</v>
      </c>
      <c r="AS255" s="629"/>
      <c r="AT255" s="633"/>
      <c r="AU255" s="634" t="s">
        <v>74</v>
      </c>
      <c r="AV255" s="628"/>
      <c r="AW255" s="637"/>
      <c r="AX255" s="637"/>
      <c r="AY255" s="637"/>
      <c r="AZ255" s="638" t="s">
        <v>2446</v>
      </c>
      <c r="BA255" s="638" t="s">
        <v>1901</v>
      </c>
      <c r="BB255" s="638" t="s">
        <v>2643</v>
      </c>
      <c r="BC255" s="639">
        <v>7</v>
      </c>
      <c r="BD255" s="640"/>
    </row>
    <row r="256" spans="1:56" s="560" customFormat="1" ht="16.5" customHeight="1">
      <c r="B256" s="72"/>
      <c r="C256" s="72"/>
      <c r="D256" s="72"/>
      <c r="E256" s="73"/>
      <c r="F256" s="641"/>
      <c r="G256" s="73"/>
      <c r="H256" s="641"/>
      <c r="I256" s="641"/>
      <c r="J256" s="641"/>
      <c r="K256" s="641"/>
      <c r="L256" s="73"/>
      <c r="M256" s="72"/>
      <c r="N256" s="72"/>
      <c r="O256" s="642"/>
      <c r="P256" s="642">
        <f>SUM(P2:P255)</f>
        <v>612672.74000000022</v>
      </c>
      <c r="Q256" s="74"/>
      <c r="R256" s="641"/>
      <c r="S256" s="641"/>
      <c r="T256" s="72"/>
      <c r="U256" s="72"/>
      <c r="V256" s="72"/>
      <c r="W256" s="72"/>
      <c r="X256" s="72"/>
      <c r="Y256" s="72"/>
      <c r="Z256" s="72"/>
      <c r="AA256" s="73"/>
      <c r="AB256" s="72"/>
      <c r="AC256" s="641"/>
      <c r="AD256" s="72"/>
      <c r="AE256" s="641"/>
      <c r="AF256" s="641"/>
      <c r="AG256" s="72"/>
      <c r="AH256" s="72"/>
      <c r="AI256" s="72"/>
      <c r="AJ256" s="72"/>
      <c r="AK256" s="72"/>
      <c r="AL256" s="72"/>
      <c r="AM256" s="72"/>
      <c r="AN256" s="73"/>
      <c r="AO256" s="641"/>
      <c r="AP256" s="641"/>
      <c r="AQ256" s="641"/>
      <c r="AR256" s="641"/>
      <c r="AS256" s="641"/>
      <c r="AT256" s="641"/>
      <c r="AU256" s="72"/>
      <c r="AV256" s="73"/>
      <c r="AW256" s="643"/>
      <c r="AX256" s="643"/>
      <c r="AY256" s="643"/>
      <c r="AZ256" s="75"/>
      <c r="BA256" s="75"/>
      <c r="BB256" s="75"/>
    </row>
    <row r="257" spans="2:54" s="560" customFormat="1" ht="16.5" customHeight="1">
      <c r="B257" s="72"/>
      <c r="C257" s="72"/>
      <c r="D257" s="72"/>
      <c r="E257" s="73"/>
      <c r="F257" s="641"/>
      <c r="G257" s="73"/>
      <c r="H257" s="641"/>
      <c r="I257" s="641"/>
      <c r="J257" s="641"/>
      <c r="K257" s="641"/>
      <c r="L257" s="73"/>
      <c r="M257" s="72"/>
      <c r="N257" s="72"/>
      <c r="O257" s="642"/>
      <c r="P257" s="642"/>
      <c r="Q257" s="74"/>
      <c r="R257" s="641"/>
      <c r="S257" s="641"/>
      <c r="T257" s="72"/>
      <c r="U257" s="72"/>
      <c r="V257" s="72"/>
      <c r="W257" s="72"/>
      <c r="X257" s="72"/>
      <c r="Y257" s="72"/>
      <c r="Z257" s="72"/>
      <c r="AA257" s="73"/>
      <c r="AB257" s="72"/>
      <c r="AC257" s="641"/>
      <c r="AD257" s="72"/>
      <c r="AE257" s="641"/>
      <c r="AF257" s="641"/>
      <c r="AG257" s="72"/>
      <c r="AH257" s="72"/>
      <c r="AI257" s="72"/>
      <c r="AJ257" s="72"/>
      <c r="AK257" s="72"/>
      <c r="AL257" s="72"/>
      <c r="AM257" s="72"/>
      <c r="AN257" s="73"/>
      <c r="AO257" s="641"/>
      <c r="AP257" s="641"/>
      <c r="AQ257" s="641"/>
      <c r="AR257" s="641"/>
      <c r="AS257" s="641"/>
      <c r="AT257" s="641"/>
      <c r="AU257" s="72"/>
      <c r="AV257" s="73"/>
      <c r="AW257" s="643"/>
      <c r="AX257" s="643"/>
      <c r="AY257" s="643"/>
      <c r="AZ257" s="75"/>
      <c r="BA257" s="75"/>
      <c r="BB257" s="75"/>
    </row>
    <row r="258" spans="2:54" s="560" customFormat="1" ht="16.5" customHeight="1">
      <c r="B258" s="72"/>
      <c r="C258" s="72"/>
      <c r="D258" s="72"/>
      <c r="E258" s="73"/>
      <c r="F258" s="641"/>
      <c r="G258" s="73"/>
      <c r="H258" s="641"/>
      <c r="I258" s="641"/>
      <c r="J258" s="641"/>
      <c r="K258" s="641"/>
      <c r="L258" s="73"/>
      <c r="M258" s="72"/>
      <c r="N258" s="72"/>
      <c r="O258" s="642"/>
      <c r="P258" s="642"/>
      <c r="Q258" s="74"/>
      <c r="R258" s="641"/>
      <c r="S258" s="641"/>
      <c r="T258" s="72"/>
      <c r="U258" s="72"/>
      <c r="V258" s="72"/>
      <c r="W258" s="72"/>
      <c r="X258" s="72"/>
      <c r="Y258" s="72"/>
      <c r="Z258" s="72"/>
      <c r="AA258" s="73"/>
      <c r="AB258" s="72"/>
      <c r="AC258" s="641"/>
      <c r="AD258" s="72"/>
      <c r="AE258" s="641"/>
      <c r="AF258" s="641"/>
      <c r="AG258" s="72"/>
      <c r="AH258" s="72"/>
      <c r="AI258" s="72"/>
      <c r="AJ258" s="72"/>
      <c r="AK258" s="72"/>
      <c r="AL258" s="72"/>
      <c r="AM258" s="72"/>
      <c r="AN258" s="73"/>
      <c r="AO258" s="641"/>
      <c r="AP258" s="641"/>
      <c r="AQ258" s="641"/>
      <c r="AR258" s="641"/>
      <c r="AS258" s="641"/>
      <c r="AT258" s="641"/>
      <c r="AU258" s="72"/>
      <c r="AV258" s="73"/>
      <c r="AW258" s="643"/>
      <c r="AX258" s="643"/>
      <c r="AY258" s="643"/>
      <c r="AZ258" s="75"/>
      <c r="BA258" s="75"/>
      <c r="BB258" s="75"/>
    </row>
    <row r="259" spans="2:54" s="560" customFormat="1" ht="16.5" customHeight="1">
      <c r="B259" s="72"/>
      <c r="C259" s="72"/>
      <c r="D259" s="72"/>
      <c r="E259" s="73"/>
      <c r="F259" s="641"/>
      <c r="G259" s="73"/>
      <c r="H259" s="641"/>
      <c r="I259" s="641"/>
      <c r="J259" s="641"/>
      <c r="K259" s="641"/>
      <c r="L259" s="73"/>
      <c r="M259" s="72"/>
      <c r="N259" s="72"/>
      <c r="O259" s="642"/>
      <c r="P259" s="642"/>
      <c r="Q259" s="74"/>
      <c r="R259" s="641"/>
      <c r="S259" s="641"/>
      <c r="T259" s="72"/>
      <c r="U259" s="72"/>
      <c r="V259" s="72"/>
      <c r="W259" s="72"/>
      <c r="X259" s="72"/>
      <c r="Y259" s="72"/>
      <c r="Z259" s="72"/>
      <c r="AA259" s="73"/>
      <c r="AB259" s="72"/>
      <c r="AC259" s="641"/>
      <c r="AD259" s="72"/>
      <c r="AE259" s="641"/>
      <c r="AF259" s="641"/>
      <c r="AG259" s="72"/>
      <c r="AH259" s="72"/>
      <c r="AI259" s="72"/>
      <c r="AJ259" s="72"/>
      <c r="AK259" s="72"/>
      <c r="AL259" s="72"/>
      <c r="AM259" s="72"/>
      <c r="AN259" s="73"/>
      <c r="AO259" s="641"/>
      <c r="AP259" s="641"/>
      <c r="AQ259" s="641"/>
      <c r="AR259" s="641"/>
      <c r="AS259" s="641"/>
      <c r="AT259" s="641"/>
      <c r="AU259" s="72"/>
      <c r="AV259" s="73"/>
      <c r="AW259" s="643"/>
      <c r="AX259" s="643"/>
      <c r="AY259" s="643"/>
      <c r="AZ259" s="75"/>
      <c r="BA259" s="75"/>
      <c r="BB259" s="75"/>
    </row>
    <row r="260" spans="2:54" s="560" customFormat="1" ht="16.5" customHeight="1">
      <c r="B260" s="72"/>
      <c r="C260" s="72"/>
      <c r="D260" s="72"/>
      <c r="E260" s="73"/>
      <c r="F260" s="641"/>
      <c r="G260" s="73"/>
      <c r="H260" s="641"/>
      <c r="I260" s="641"/>
      <c r="J260" s="641"/>
      <c r="K260" s="641"/>
      <c r="L260" s="73"/>
      <c r="M260" s="72"/>
      <c r="N260" s="72"/>
      <c r="O260" s="642"/>
      <c r="P260" s="642"/>
      <c r="Q260" s="74"/>
      <c r="R260" s="641"/>
      <c r="S260" s="641"/>
      <c r="T260" s="72"/>
      <c r="U260" s="72"/>
      <c r="V260" s="72"/>
      <c r="W260" s="72"/>
      <c r="X260" s="72"/>
      <c r="Y260" s="72"/>
      <c r="Z260" s="72"/>
      <c r="AA260" s="73"/>
      <c r="AB260" s="72"/>
      <c r="AC260" s="641"/>
      <c r="AD260" s="72"/>
      <c r="AE260" s="641"/>
      <c r="AF260" s="641"/>
      <c r="AG260" s="72"/>
      <c r="AH260" s="72"/>
      <c r="AI260" s="72"/>
      <c r="AJ260" s="72"/>
      <c r="AK260" s="72"/>
      <c r="AL260" s="72"/>
      <c r="AM260" s="72"/>
      <c r="AN260" s="73"/>
      <c r="AO260" s="641"/>
      <c r="AP260" s="641"/>
      <c r="AQ260" s="641"/>
      <c r="AR260" s="641"/>
      <c r="AS260" s="641"/>
      <c r="AT260" s="641"/>
      <c r="AU260" s="72"/>
      <c r="AV260" s="73"/>
      <c r="AW260" s="643"/>
      <c r="AX260" s="643"/>
      <c r="AY260" s="643"/>
      <c r="AZ260" s="75"/>
      <c r="BA260" s="75"/>
      <c r="BB260" s="75"/>
    </row>
    <row r="261" spans="2:54" s="560" customFormat="1" ht="16.5" customHeight="1">
      <c r="B261" s="72"/>
      <c r="C261" s="72"/>
      <c r="D261" s="72"/>
      <c r="E261" s="73"/>
      <c r="F261" s="641"/>
      <c r="G261" s="73"/>
      <c r="H261" s="641"/>
      <c r="I261" s="641"/>
      <c r="J261" s="641"/>
      <c r="K261" s="641"/>
      <c r="L261" s="73"/>
      <c r="M261" s="72"/>
      <c r="N261" s="72"/>
      <c r="O261" s="642"/>
      <c r="P261" s="642"/>
      <c r="Q261" s="74"/>
      <c r="R261" s="641"/>
      <c r="S261" s="641"/>
      <c r="T261" s="72"/>
      <c r="U261" s="72"/>
      <c r="V261" s="72"/>
      <c r="W261" s="72"/>
      <c r="X261" s="72"/>
      <c r="Y261" s="72"/>
      <c r="Z261" s="72"/>
      <c r="AA261" s="73"/>
      <c r="AB261" s="72"/>
      <c r="AC261" s="641"/>
      <c r="AD261" s="72"/>
      <c r="AE261" s="641"/>
      <c r="AF261" s="641"/>
      <c r="AG261" s="72"/>
      <c r="AH261" s="72"/>
      <c r="AI261" s="72"/>
      <c r="AJ261" s="72"/>
      <c r="AK261" s="72"/>
      <c r="AL261" s="72"/>
      <c r="AM261" s="72"/>
      <c r="AN261" s="73"/>
      <c r="AO261" s="641"/>
      <c r="AP261" s="641"/>
      <c r="AQ261" s="641"/>
      <c r="AR261" s="641"/>
      <c r="AS261" s="641"/>
      <c r="AT261" s="641"/>
      <c r="AU261" s="72"/>
      <c r="AV261" s="73"/>
      <c r="AW261" s="643"/>
      <c r="AX261" s="643"/>
      <c r="AY261" s="643"/>
      <c r="AZ261" s="75"/>
      <c r="BA261" s="75"/>
      <c r="BB261" s="75"/>
    </row>
    <row r="262" spans="2:54" s="560" customFormat="1" ht="16.5" customHeight="1">
      <c r="B262" s="72"/>
      <c r="C262" s="72"/>
      <c r="D262" s="72"/>
      <c r="E262" s="73"/>
      <c r="F262" s="641"/>
      <c r="G262" s="73"/>
      <c r="H262" s="641"/>
      <c r="I262" s="641"/>
      <c r="J262" s="641"/>
      <c r="K262" s="641"/>
      <c r="L262" s="73"/>
      <c r="M262" s="72"/>
      <c r="N262" s="72"/>
      <c r="O262" s="642"/>
      <c r="P262" s="642"/>
      <c r="Q262" s="74"/>
      <c r="R262" s="641"/>
      <c r="S262" s="641"/>
      <c r="T262" s="72"/>
      <c r="U262" s="72"/>
      <c r="V262" s="72"/>
      <c r="W262" s="72"/>
      <c r="X262" s="72"/>
      <c r="Y262" s="72"/>
      <c r="Z262" s="72"/>
      <c r="AA262" s="73"/>
      <c r="AB262" s="72"/>
      <c r="AC262" s="641"/>
      <c r="AD262" s="72"/>
      <c r="AE262" s="641"/>
      <c r="AF262" s="641"/>
      <c r="AG262" s="72"/>
      <c r="AH262" s="72"/>
      <c r="AI262" s="72"/>
      <c r="AJ262" s="72"/>
      <c r="AK262" s="72"/>
      <c r="AL262" s="72"/>
      <c r="AM262" s="72"/>
      <c r="AN262" s="73"/>
      <c r="AO262" s="641"/>
      <c r="AP262" s="641"/>
      <c r="AQ262" s="641"/>
      <c r="AR262" s="641"/>
      <c r="AS262" s="641"/>
      <c r="AT262" s="641"/>
      <c r="AU262" s="72"/>
      <c r="AV262" s="73"/>
      <c r="AW262" s="643"/>
      <c r="AX262" s="643"/>
      <c r="AY262" s="643"/>
      <c r="AZ262" s="75"/>
      <c r="BA262" s="75"/>
      <c r="BB262" s="75"/>
    </row>
    <row r="263" spans="2:54" s="560" customFormat="1" ht="16.5" customHeight="1">
      <c r="B263" s="72"/>
      <c r="C263" s="72"/>
      <c r="D263" s="72"/>
      <c r="E263" s="73"/>
      <c r="F263" s="641"/>
      <c r="G263" s="73"/>
      <c r="H263" s="641"/>
      <c r="I263" s="641"/>
      <c r="J263" s="641"/>
      <c r="K263" s="641"/>
      <c r="L263" s="73"/>
      <c r="M263" s="72"/>
      <c r="N263" s="72"/>
      <c r="O263" s="642"/>
      <c r="P263" s="642"/>
      <c r="Q263" s="74"/>
      <c r="R263" s="641"/>
      <c r="S263" s="641"/>
      <c r="T263" s="72"/>
      <c r="U263" s="72"/>
      <c r="V263" s="72"/>
      <c r="W263" s="72"/>
      <c r="X263" s="72"/>
      <c r="Y263" s="72"/>
      <c r="Z263" s="72"/>
      <c r="AA263" s="73"/>
      <c r="AB263" s="72"/>
      <c r="AC263" s="641"/>
      <c r="AD263" s="72"/>
      <c r="AE263" s="641"/>
      <c r="AF263" s="641"/>
      <c r="AG263" s="72"/>
      <c r="AH263" s="72"/>
      <c r="AI263" s="72"/>
      <c r="AJ263" s="72"/>
      <c r="AK263" s="72"/>
      <c r="AL263" s="72"/>
      <c r="AM263" s="72"/>
      <c r="AN263" s="73"/>
      <c r="AO263" s="641"/>
      <c r="AP263" s="641"/>
      <c r="AQ263" s="641"/>
      <c r="AR263" s="641"/>
      <c r="AS263" s="641"/>
      <c r="AT263" s="641"/>
      <c r="AU263" s="72"/>
      <c r="AV263" s="73"/>
      <c r="AW263" s="643"/>
      <c r="AX263" s="643"/>
      <c r="AY263" s="643"/>
      <c r="AZ263" s="75"/>
      <c r="BA263" s="75"/>
      <c r="BB263" s="75"/>
    </row>
    <row r="264" spans="2:54" s="560" customFormat="1" ht="16.5" customHeight="1">
      <c r="B264" s="72"/>
      <c r="C264" s="72"/>
      <c r="D264" s="72"/>
      <c r="E264" s="73"/>
      <c r="F264" s="641"/>
      <c r="G264" s="73"/>
      <c r="H264" s="641"/>
      <c r="I264" s="641"/>
      <c r="J264" s="641"/>
      <c r="K264" s="641"/>
      <c r="L264" s="73"/>
      <c r="M264" s="72"/>
      <c r="N264" s="72"/>
      <c r="O264" s="642"/>
      <c r="P264" s="642"/>
      <c r="Q264" s="74"/>
      <c r="R264" s="641"/>
      <c r="S264" s="641"/>
      <c r="T264" s="72"/>
      <c r="U264" s="72"/>
      <c r="V264" s="72"/>
      <c r="W264" s="72"/>
      <c r="X264" s="72"/>
      <c r="Y264" s="72"/>
      <c r="Z264" s="72"/>
      <c r="AA264" s="73"/>
      <c r="AB264" s="72"/>
      <c r="AC264" s="641"/>
      <c r="AD264" s="72"/>
      <c r="AE264" s="641"/>
      <c r="AF264" s="641"/>
      <c r="AG264" s="72"/>
      <c r="AH264" s="72"/>
      <c r="AI264" s="72"/>
      <c r="AJ264" s="72"/>
      <c r="AK264" s="72"/>
      <c r="AL264" s="72"/>
      <c r="AM264" s="72"/>
      <c r="AN264" s="73"/>
      <c r="AO264" s="641"/>
      <c r="AP264" s="641"/>
      <c r="AQ264" s="641"/>
      <c r="AR264" s="641"/>
      <c r="AS264" s="641"/>
      <c r="AT264" s="641"/>
      <c r="AU264" s="72"/>
      <c r="AV264" s="73"/>
      <c r="AW264" s="643"/>
      <c r="AX264" s="643"/>
      <c r="AY264" s="643"/>
      <c r="AZ264" s="75"/>
      <c r="BA264" s="75"/>
      <c r="BB264" s="75"/>
    </row>
    <row r="265" spans="2:54" s="560" customFormat="1" ht="16.5" customHeight="1">
      <c r="B265" s="72"/>
      <c r="C265" s="72"/>
      <c r="D265" s="72"/>
      <c r="E265" s="73"/>
      <c r="F265" s="641"/>
      <c r="G265" s="73"/>
      <c r="H265" s="641"/>
      <c r="I265" s="641"/>
      <c r="J265" s="641"/>
      <c r="K265" s="641"/>
      <c r="L265" s="73"/>
      <c r="M265" s="72"/>
      <c r="N265" s="72"/>
      <c r="O265" s="642"/>
      <c r="P265" s="642"/>
      <c r="Q265" s="74"/>
      <c r="R265" s="641"/>
      <c r="S265" s="641"/>
      <c r="T265" s="72"/>
      <c r="U265" s="72"/>
      <c r="V265" s="72"/>
      <c r="W265" s="72"/>
      <c r="X265" s="72"/>
      <c r="Y265" s="72"/>
      <c r="Z265" s="72"/>
      <c r="AA265" s="73"/>
      <c r="AB265" s="72"/>
      <c r="AC265" s="641"/>
      <c r="AD265" s="72"/>
      <c r="AE265" s="641"/>
      <c r="AF265" s="641"/>
      <c r="AG265" s="72"/>
      <c r="AH265" s="72"/>
      <c r="AI265" s="72"/>
      <c r="AJ265" s="72"/>
      <c r="AK265" s="72"/>
      <c r="AL265" s="72"/>
      <c r="AM265" s="72"/>
      <c r="AN265" s="73"/>
      <c r="AO265" s="641"/>
      <c r="AP265" s="641"/>
      <c r="AQ265" s="641"/>
      <c r="AR265" s="641"/>
      <c r="AS265" s="641"/>
      <c r="AT265" s="641"/>
      <c r="AU265" s="72"/>
      <c r="AV265" s="73"/>
      <c r="AW265" s="643"/>
      <c r="AX265" s="643"/>
      <c r="AY265" s="643"/>
      <c r="AZ265" s="75"/>
      <c r="BA265" s="75"/>
      <c r="BB265" s="75"/>
    </row>
    <row r="266" spans="2:54" s="560" customFormat="1" ht="16.5" customHeight="1">
      <c r="B266" s="72"/>
      <c r="C266" s="72"/>
      <c r="D266" s="72"/>
      <c r="E266" s="73"/>
      <c r="F266" s="641"/>
      <c r="G266" s="73"/>
      <c r="H266" s="641"/>
      <c r="I266" s="641"/>
      <c r="J266" s="641"/>
      <c r="K266" s="641"/>
      <c r="L266" s="73"/>
      <c r="M266" s="72"/>
      <c r="N266" s="72"/>
      <c r="O266" s="642"/>
      <c r="P266" s="642"/>
      <c r="Q266" s="74"/>
      <c r="R266" s="641"/>
      <c r="S266" s="641"/>
      <c r="T266" s="72"/>
      <c r="U266" s="72"/>
      <c r="V266" s="72"/>
      <c r="W266" s="72"/>
      <c r="X266" s="72"/>
      <c r="Y266" s="72"/>
      <c r="Z266" s="72"/>
      <c r="AA266" s="73"/>
      <c r="AB266" s="72"/>
      <c r="AC266" s="641"/>
      <c r="AD266" s="72"/>
      <c r="AE266" s="641"/>
      <c r="AF266" s="641"/>
      <c r="AG266" s="72"/>
      <c r="AH266" s="72"/>
      <c r="AI266" s="72"/>
      <c r="AJ266" s="72"/>
      <c r="AK266" s="72"/>
      <c r="AL266" s="72"/>
      <c r="AM266" s="72"/>
      <c r="AN266" s="73"/>
      <c r="AO266" s="641"/>
      <c r="AP266" s="641"/>
      <c r="AQ266" s="641"/>
      <c r="AR266" s="641"/>
      <c r="AS266" s="641"/>
      <c r="AT266" s="641"/>
      <c r="AU266" s="72"/>
      <c r="AV266" s="73"/>
      <c r="AW266" s="643"/>
      <c r="AX266" s="643"/>
      <c r="AY266" s="643"/>
      <c r="AZ266" s="75"/>
      <c r="BA266" s="75"/>
      <c r="BB266" s="75"/>
    </row>
    <row r="267" spans="2:54" s="560" customFormat="1" ht="16.5" customHeight="1">
      <c r="B267" s="72"/>
      <c r="C267" s="72"/>
      <c r="D267" s="72"/>
      <c r="E267" s="73"/>
      <c r="F267" s="641"/>
      <c r="G267" s="73"/>
      <c r="H267" s="641"/>
      <c r="I267" s="641"/>
      <c r="J267" s="641"/>
      <c r="K267" s="641"/>
      <c r="L267" s="73"/>
      <c r="M267" s="72"/>
      <c r="N267" s="72"/>
      <c r="O267" s="642"/>
      <c r="P267" s="642"/>
      <c r="Q267" s="74"/>
      <c r="R267" s="641"/>
      <c r="S267" s="641"/>
      <c r="T267" s="72"/>
      <c r="U267" s="72"/>
      <c r="V267" s="72"/>
      <c r="W267" s="72"/>
      <c r="X267" s="72"/>
      <c r="Y267" s="72"/>
      <c r="Z267" s="72"/>
      <c r="AA267" s="73"/>
      <c r="AB267" s="72"/>
      <c r="AC267" s="641"/>
      <c r="AD267" s="72"/>
      <c r="AE267" s="641"/>
      <c r="AF267" s="641"/>
      <c r="AG267" s="72"/>
      <c r="AH267" s="72"/>
      <c r="AI267" s="72"/>
      <c r="AJ267" s="72"/>
      <c r="AK267" s="72"/>
      <c r="AL267" s="72"/>
      <c r="AM267" s="72"/>
      <c r="AN267" s="73"/>
      <c r="AO267" s="641"/>
      <c r="AP267" s="641"/>
      <c r="AQ267" s="641"/>
      <c r="AR267" s="641"/>
      <c r="AS267" s="641"/>
      <c r="AT267" s="641"/>
      <c r="AU267" s="72"/>
      <c r="AV267" s="73"/>
      <c r="AW267" s="643"/>
      <c r="AX267" s="643"/>
      <c r="AY267" s="643"/>
      <c r="AZ267" s="75"/>
      <c r="BA267" s="75"/>
      <c r="BB267" s="75"/>
    </row>
    <row r="268" spans="2:54" s="560" customFormat="1" ht="16.5" customHeight="1">
      <c r="B268" s="72"/>
      <c r="C268" s="72"/>
      <c r="D268" s="72"/>
      <c r="E268" s="73"/>
      <c r="F268" s="641"/>
      <c r="G268" s="73"/>
      <c r="H268" s="641"/>
      <c r="I268" s="641"/>
      <c r="J268" s="641"/>
      <c r="K268" s="641"/>
      <c r="L268" s="73"/>
      <c r="M268" s="72"/>
      <c r="N268" s="72"/>
      <c r="O268" s="642"/>
      <c r="P268" s="642"/>
      <c r="Q268" s="74"/>
      <c r="R268" s="641"/>
      <c r="S268" s="641"/>
      <c r="T268" s="72"/>
      <c r="U268" s="72"/>
      <c r="V268" s="72"/>
      <c r="W268" s="72"/>
      <c r="X268" s="72"/>
      <c r="Y268" s="72"/>
      <c r="Z268" s="72"/>
      <c r="AA268" s="73"/>
      <c r="AB268" s="72"/>
      <c r="AC268" s="641"/>
      <c r="AD268" s="72"/>
      <c r="AE268" s="641"/>
      <c r="AF268" s="641"/>
      <c r="AG268" s="72"/>
      <c r="AH268" s="72"/>
      <c r="AI268" s="72"/>
      <c r="AJ268" s="72"/>
      <c r="AK268" s="72"/>
      <c r="AL268" s="72"/>
      <c r="AM268" s="72"/>
      <c r="AN268" s="73"/>
      <c r="AO268" s="641"/>
      <c r="AP268" s="641"/>
      <c r="AQ268" s="641"/>
      <c r="AR268" s="641"/>
      <c r="AS268" s="641"/>
      <c r="AT268" s="641"/>
      <c r="AU268" s="72"/>
      <c r="AV268" s="73"/>
      <c r="AW268" s="643"/>
      <c r="AX268" s="643"/>
      <c r="AY268" s="643"/>
      <c r="AZ268" s="75"/>
      <c r="BA268" s="75"/>
      <c r="BB268" s="75"/>
    </row>
    <row r="269" spans="2:54" s="560" customFormat="1" ht="16.5" customHeight="1">
      <c r="B269" s="72"/>
      <c r="C269" s="72"/>
      <c r="D269" s="72"/>
      <c r="E269" s="73"/>
      <c r="F269" s="641"/>
      <c r="G269" s="73"/>
      <c r="H269" s="641"/>
      <c r="I269" s="641"/>
      <c r="J269" s="641"/>
      <c r="K269" s="641"/>
      <c r="L269" s="73"/>
      <c r="M269" s="72"/>
      <c r="N269" s="72"/>
      <c r="O269" s="642"/>
      <c r="P269" s="642"/>
      <c r="Q269" s="74"/>
      <c r="R269" s="641"/>
      <c r="S269" s="641"/>
      <c r="T269" s="72"/>
      <c r="U269" s="72"/>
      <c r="V269" s="72"/>
      <c r="W269" s="72"/>
      <c r="X269" s="72"/>
      <c r="Y269" s="72"/>
      <c r="Z269" s="72"/>
      <c r="AA269" s="73"/>
      <c r="AB269" s="72"/>
      <c r="AC269" s="641"/>
      <c r="AD269" s="72"/>
      <c r="AE269" s="641"/>
      <c r="AF269" s="641"/>
      <c r="AG269" s="72"/>
      <c r="AH269" s="72"/>
      <c r="AI269" s="72"/>
      <c r="AJ269" s="72"/>
      <c r="AK269" s="72"/>
      <c r="AL269" s="72"/>
      <c r="AM269" s="72"/>
      <c r="AN269" s="73"/>
      <c r="AO269" s="641"/>
      <c r="AP269" s="641"/>
      <c r="AQ269" s="641"/>
      <c r="AR269" s="641"/>
      <c r="AS269" s="641"/>
      <c r="AT269" s="641"/>
      <c r="AU269" s="72"/>
      <c r="AV269" s="73"/>
      <c r="AW269" s="643"/>
      <c r="AX269" s="643"/>
      <c r="AY269" s="643"/>
      <c r="AZ269" s="75"/>
      <c r="BA269" s="75"/>
      <c r="BB269" s="75"/>
    </row>
    <row r="270" spans="2:54" s="560" customFormat="1" ht="16.5" customHeight="1">
      <c r="B270" s="72"/>
      <c r="C270" s="72"/>
      <c r="D270" s="72"/>
      <c r="E270" s="73"/>
      <c r="F270" s="641"/>
      <c r="G270" s="73"/>
      <c r="H270" s="641"/>
      <c r="I270" s="641"/>
      <c r="J270" s="641"/>
      <c r="K270" s="641"/>
      <c r="L270" s="73"/>
      <c r="M270" s="72"/>
      <c r="N270" s="72"/>
      <c r="O270" s="642"/>
      <c r="P270" s="642"/>
      <c r="Q270" s="74"/>
      <c r="R270" s="641"/>
      <c r="S270" s="641"/>
      <c r="T270" s="72"/>
      <c r="U270" s="72"/>
      <c r="V270" s="72"/>
      <c r="W270" s="72"/>
      <c r="X270" s="72"/>
      <c r="Y270" s="72"/>
      <c r="Z270" s="72"/>
      <c r="AA270" s="73"/>
      <c r="AB270" s="72"/>
      <c r="AC270" s="641"/>
      <c r="AD270" s="72"/>
      <c r="AE270" s="641"/>
      <c r="AF270" s="641"/>
      <c r="AG270" s="72"/>
      <c r="AH270" s="72"/>
      <c r="AI270" s="72"/>
      <c r="AJ270" s="72"/>
      <c r="AK270" s="72"/>
      <c r="AL270" s="72"/>
      <c r="AM270" s="72"/>
      <c r="AN270" s="73"/>
      <c r="AO270" s="641"/>
      <c r="AP270" s="641"/>
      <c r="AQ270" s="641"/>
      <c r="AR270" s="641"/>
      <c r="AS270" s="641"/>
      <c r="AT270" s="641"/>
      <c r="AU270" s="72"/>
      <c r="AV270" s="73"/>
      <c r="AW270" s="643"/>
      <c r="AX270" s="643"/>
      <c r="AY270" s="643"/>
      <c r="AZ270" s="75"/>
      <c r="BA270" s="75"/>
      <c r="BB270" s="75"/>
    </row>
    <row r="271" spans="2:54" s="560" customFormat="1" ht="16.5" customHeight="1">
      <c r="B271" s="72"/>
      <c r="C271" s="72"/>
      <c r="D271" s="72"/>
      <c r="E271" s="73"/>
      <c r="F271" s="641"/>
      <c r="G271" s="73"/>
      <c r="H271" s="641"/>
      <c r="I271" s="641"/>
      <c r="J271" s="641"/>
      <c r="K271" s="641"/>
      <c r="L271" s="73"/>
      <c r="M271" s="72"/>
      <c r="N271" s="72"/>
      <c r="O271" s="642"/>
      <c r="P271" s="642"/>
      <c r="Q271" s="74"/>
      <c r="R271" s="641"/>
      <c r="S271" s="641"/>
      <c r="T271" s="72"/>
      <c r="U271" s="72"/>
      <c r="V271" s="72"/>
      <c r="W271" s="72"/>
      <c r="X271" s="72"/>
      <c r="Y271" s="72"/>
      <c r="Z271" s="72"/>
      <c r="AA271" s="73"/>
      <c r="AB271" s="72"/>
      <c r="AC271" s="641"/>
      <c r="AD271" s="72"/>
      <c r="AE271" s="641"/>
      <c r="AF271" s="641"/>
      <c r="AG271" s="72"/>
      <c r="AH271" s="72"/>
      <c r="AI271" s="72"/>
      <c r="AJ271" s="72"/>
      <c r="AK271" s="72"/>
      <c r="AL271" s="72"/>
      <c r="AM271" s="72"/>
      <c r="AN271" s="73"/>
      <c r="AO271" s="641"/>
      <c r="AP271" s="641"/>
      <c r="AQ271" s="641"/>
      <c r="AR271" s="641"/>
      <c r="AS271" s="641"/>
      <c r="AT271" s="641"/>
      <c r="AU271" s="72"/>
      <c r="AV271" s="73"/>
      <c r="AW271" s="643"/>
      <c r="AX271" s="643"/>
      <c r="AY271" s="643"/>
      <c r="AZ271" s="75"/>
      <c r="BA271" s="75"/>
      <c r="BB271" s="75"/>
    </row>
    <row r="272" spans="2:54" s="560" customFormat="1" ht="16.5" customHeight="1">
      <c r="B272" s="72"/>
      <c r="C272" s="72"/>
      <c r="D272" s="72"/>
      <c r="E272" s="73"/>
      <c r="F272" s="641"/>
      <c r="G272" s="73"/>
      <c r="H272" s="641"/>
      <c r="I272" s="641"/>
      <c r="J272" s="641"/>
      <c r="K272" s="641"/>
      <c r="L272" s="73"/>
      <c r="M272" s="72"/>
      <c r="N272" s="72"/>
      <c r="O272" s="642"/>
      <c r="P272" s="642"/>
      <c r="Q272" s="74"/>
      <c r="R272" s="641"/>
      <c r="S272" s="641"/>
      <c r="T272" s="72"/>
      <c r="U272" s="72"/>
      <c r="V272" s="72"/>
      <c r="W272" s="72"/>
      <c r="X272" s="72"/>
      <c r="Y272" s="72"/>
      <c r="Z272" s="72"/>
      <c r="AA272" s="73"/>
      <c r="AB272" s="72"/>
      <c r="AC272" s="641"/>
      <c r="AD272" s="72"/>
      <c r="AE272" s="641"/>
      <c r="AF272" s="641"/>
      <c r="AG272" s="72"/>
      <c r="AH272" s="72"/>
      <c r="AI272" s="72"/>
      <c r="AJ272" s="72"/>
      <c r="AK272" s="72"/>
      <c r="AL272" s="72"/>
      <c r="AM272" s="72"/>
      <c r="AN272" s="73"/>
      <c r="AO272" s="641"/>
      <c r="AP272" s="641"/>
      <c r="AQ272" s="641"/>
      <c r="AR272" s="641"/>
      <c r="AS272" s="641"/>
      <c r="AT272" s="641"/>
      <c r="AU272" s="72"/>
      <c r="AV272" s="73"/>
      <c r="AW272" s="643"/>
      <c r="AX272" s="643"/>
      <c r="AY272" s="643"/>
      <c r="AZ272" s="75"/>
      <c r="BA272" s="75"/>
      <c r="BB272" s="75"/>
    </row>
    <row r="273" spans="2:54" s="560" customFormat="1" ht="16.5" customHeight="1">
      <c r="B273" s="72"/>
      <c r="C273" s="72"/>
      <c r="D273" s="72"/>
      <c r="E273" s="73"/>
      <c r="F273" s="641"/>
      <c r="G273" s="73"/>
      <c r="H273" s="641"/>
      <c r="I273" s="641"/>
      <c r="J273" s="641"/>
      <c r="K273" s="641"/>
      <c r="L273" s="73"/>
      <c r="M273" s="72"/>
      <c r="N273" s="72"/>
      <c r="O273" s="642"/>
      <c r="P273" s="642"/>
      <c r="Q273" s="74"/>
      <c r="R273" s="641"/>
      <c r="S273" s="641"/>
      <c r="T273" s="72"/>
      <c r="U273" s="72"/>
      <c r="V273" s="72"/>
      <c r="W273" s="72"/>
      <c r="X273" s="72"/>
      <c r="Y273" s="72"/>
      <c r="Z273" s="72"/>
      <c r="AA273" s="73"/>
      <c r="AB273" s="72"/>
      <c r="AC273" s="641"/>
      <c r="AD273" s="72"/>
      <c r="AE273" s="641"/>
      <c r="AF273" s="641"/>
      <c r="AG273" s="72"/>
      <c r="AH273" s="72"/>
      <c r="AI273" s="72"/>
      <c r="AJ273" s="72"/>
      <c r="AK273" s="72"/>
      <c r="AL273" s="72"/>
      <c r="AM273" s="72"/>
      <c r="AN273" s="73"/>
      <c r="AO273" s="641"/>
      <c r="AP273" s="641"/>
      <c r="AQ273" s="641"/>
      <c r="AR273" s="641"/>
      <c r="AS273" s="641"/>
      <c r="AT273" s="641"/>
      <c r="AU273" s="72"/>
      <c r="AV273" s="73"/>
      <c r="AW273" s="643"/>
      <c r="AX273" s="643"/>
      <c r="AY273" s="643"/>
      <c r="AZ273" s="75"/>
      <c r="BA273" s="75"/>
      <c r="BB273" s="75"/>
    </row>
    <row r="274" spans="2:54" s="560" customFormat="1" ht="16.5" customHeight="1">
      <c r="B274" s="72"/>
      <c r="C274" s="72"/>
      <c r="D274" s="72"/>
      <c r="E274" s="73"/>
      <c r="F274" s="641"/>
      <c r="G274" s="73"/>
      <c r="H274" s="641"/>
      <c r="I274" s="641"/>
      <c r="J274" s="641"/>
      <c r="K274" s="641"/>
      <c r="L274" s="73"/>
      <c r="M274" s="72"/>
      <c r="N274" s="72"/>
      <c r="O274" s="642"/>
      <c r="P274" s="642"/>
      <c r="Q274" s="74"/>
      <c r="R274" s="641"/>
      <c r="S274" s="641"/>
      <c r="T274" s="72"/>
      <c r="U274" s="72"/>
      <c r="V274" s="72"/>
      <c r="W274" s="72"/>
      <c r="X274" s="72"/>
      <c r="Y274" s="72"/>
      <c r="Z274" s="72"/>
      <c r="AA274" s="73"/>
      <c r="AB274" s="72"/>
      <c r="AC274" s="641"/>
      <c r="AD274" s="72"/>
      <c r="AE274" s="641"/>
      <c r="AF274" s="641"/>
      <c r="AG274" s="72"/>
      <c r="AH274" s="72"/>
      <c r="AI274" s="72"/>
      <c r="AJ274" s="72"/>
      <c r="AK274" s="72"/>
      <c r="AL274" s="72"/>
      <c r="AM274" s="72"/>
      <c r="AN274" s="73"/>
      <c r="AO274" s="641"/>
      <c r="AP274" s="641"/>
      <c r="AQ274" s="641"/>
      <c r="AR274" s="641"/>
      <c r="AS274" s="641"/>
      <c r="AT274" s="641"/>
      <c r="AU274" s="72"/>
      <c r="AV274" s="73"/>
      <c r="AW274" s="643"/>
      <c r="AX274" s="643"/>
      <c r="AY274" s="643"/>
      <c r="AZ274" s="75"/>
      <c r="BA274" s="75"/>
      <c r="BB274" s="75"/>
    </row>
    <row r="275" spans="2:54" s="560" customFormat="1" ht="16.5" customHeight="1">
      <c r="B275" s="72"/>
      <c r="C275" s="72"/>
      <c r="D275" s="72"/>
      <c r="E275" s="73"/>
      <c r="F275" s="641"/>
      <c r="G275" s="73"/>
      <c r="H275" s="641"/>
      <c r="I275" s="641"/>
      <c r="J275" s="641"/>
      <c r="K275" s="641"/>
      <c r="L275" s="73"/>
      <c r="M275" s="72"/>
      <c r="N275" s="72"/>
      <c r="O275" s="642"/>
      <c r="P275" s="642"/>
      <c r="Q275" s="74"/>
      <c r="R275" s="641"/>
      <c r="S275" s="641"/>
      <c r="T275" s="72"/>
      <c r="U275" s="72"/>
      <c r="V275" s="72"/>
      <c r="W275" s="72"/>
      <c r="X275" s="72"/>
      <c r="Y275" s="72"/>
      <c r="Z275" s="72"/>
      <c r="AA275" s="73"/>
      <c r="AB275" s="72"/>
      <c r="AC275" s="641"/>
      <c r="AD275" s="72"/>
      <c r="AE275" s="641"/>
      <c r="AF275" s="641"/>
      <c r="AG275" s="72"/>
      <c r="AH275" s="72"/>
      <c r="AI275" s="72"/>
      <c r="AJ275" s="72"/>
      <c r="AK275" s="72"/>
      <c r="AL275" s="72"/>
      <c r="AM275" s="72"/>
      <c r="AN275" s="73"/>
      <c r="AO275" s="641"/>
      <c r="AP275" s="641"/>
      <c r="AQ275" s="641"/>
      <c r="AR275" s="641"/>
      <c r="AS275" s="641"/>
      <c r="AT275" s="641"/>
      <c r="AU275" s="72"/>
      <c r="AV275" s="73"/>
      <c r="AW275" s="643"/>
      <c r="AX275" s="643"/>
      <c r="AY275" s="643"/>
      <c r="AZ275" s="75"/>
      <c r="BA275" s="75"/>
      <c r="BB275" s="75"/>
    </row>
    <row r="276" spans="2:54" s="560" customFormat="1" ht="16.5" customHeight="1">
      <c r="B276" s="72"/>
      <c r="C276" s="72"/>
      <c r="D276" s="72"/>
      <c r="E276" s="73"/>
      <c r="F276" s="641"/>
      <c r="G276" s="73"/>
      <c r="H276" s="641"/>
      <c r="I276" s="641"/>
      <c r="J276" s="641"/>
      <c r="K276" s="641"/>
      <c r="L276" s="73"/>
      <c r="M276" s="72"/>
      <c r="N276" s="72"/>
      <c r="O276" s="642"/>
      <c r="P276" s="642"/>
      <c r="Q276" s="74"/>
      <c r="R276" s="641"/>
      <c r="S276" s="641"/>
      <c r="T276" s="72"/>
      <c r="U276" s="72"/>
      <c r="V276" s="72"/>
      <c r="W276" s="72"/>
      <c r="X276" s="72"/>
      <c r="Y276" s="72"/>
      <c r="Z276" s="72"/>
      <c r="AA276" s="73"/>
      <c r="AB276" s="72"/>
      <c r="AC276" s="641"/>
      <c r="AD276" s="72"/>
      <c r="AE276" s="641"/>
      <c r="AF276" s="641"/>
      <c r="AG276" s="72"/>
      <c r="AH276" s="72"/>
      <c r="AI276" s="72"/>
      <c r="AJ276" s="72"/>
      <c r="AK276" s="72"/>
      <c r="AL276" s="72"/>
      <c r="AM276" s="72"/>
      <c r="AN276" s="73"/>
      <c r="AO276" s="641"/>
      <c r="AP276" s="641"/>
      <c r="AQ276" s="641"/>
      <c r="AR276" s="641"/>
      <c r="AS276" s="641"/>
      <c r="AT276" s="641"/>
      <c r="AU276" s="72"/>
      <c r="AV276" s="73"/>
      <c r="AW276" s="643"/>
      <c r="AX276" s="643"/>
      <c r="AY276" s="643"/>
      <c r="AZ276" s="75"/>
      <c r="BA276" s="75"/>
      <c r="BB276" s="75"/>
    </row>
    <row r="277" spans="2:54" s="560" customFormat="1" ht="16.5" customHeight="1">
      <c r="B277" s="72"/>
      <c r="C277" s="72"/>
      <c r="D277" s="72"/>
      <c r="E277" s="73"/>
      <c r="F277" s="641"/>
      <c r="G277" s="73"/>
      <c r="H277" s="641"/>
      <c r="I277" s="641"/>
      <c r="J277" s="641"/>
      <c r="K277" s="641"/>
      <c r="L277" s="73"/>
      <c r="M277" s="72"/>
      <c r="N277" s="72"/>
      <c r="O277" s="642"/>
      <c r="P277" s="642"/>
      <c r="Q277" s="74"/>
      <c r="R277" s="641"/>
      <c r="S277" s="641"/>
      <c r="T277" s="72"/>
      <c r="U277" s="72"/>
      <c r="V277" s="72"/>
      <c r="W277" s="72"/>
      <c r="X277" s="72"/>
      <c r="Y277" s="72"/>
      <c r="Z277" s="72"/>
      <c r="AA277" s="73"/>
      <c r="AB277" s="72"/>
      <c r="AC277" s="641"/>
      <c r="AD277" s="72"/>
      <c r="AE277" s="641"/>
      <c r="AF277" s="641"/>
      <c r="AG277" s="72"/>
      <c r="AH277" s="72"/>
      <c r="AI277" s="72"/>
      <c r="AJ277" s="72"/>
      <c r="AK277" s="72"/>
      <c r="AL277" s="72"/>
      <c r="AM277" s="72"/>
      <c r="AN277" s="73"/>
      <c r="AO277" s="641"/>
      <c r="AP277" s="641"/>
      <c r="AQ277" s="641"/>
      <c r="AR277" s="641"/>
      <c r="AS277" s="641"/>
      <c r="AT277" s="641"/>
      <c r="AU277" s="72"/>
      <c r="AV277" s="73"/>
      <c r="AW277" s="643"/>
      <c r="AX277" s="643"/>
      <c r="AY277" s="643"/>
      <c r="AZ277" s="75"/>
      <c r="BA277" s="75"/>
      <c r="BB277" s="75"/>
    </row>
    <row r="278" spans="2:54" s="560" customFormat="1" ht="16.5" customHeight="1">
      <c r="B278" s="72"/>
      <c r="C278" s="72"/>
      <c r="D278" s="72"/>
      <c r="E278" s="73"/>
      <c r="F278" s="641"/>
      <c r="G278" s="73"/>
      <c r="H278" s="641"/>
      <c r="I278" s="641"/>
      <c r="J278" s="641"/>
      <c r="K278" s="641"/>
      <c r="L278" s="73"/>
      <c r="M278" s="72"/>
      <c r="N278" s="72"/>
      <c r="O278" s="642"/>
      <c r="P278" s="642"/>
      <c r="Q278" s="74"/>
      <c r="R278" s="641"/>
      <c r="S278" s="641"/>
      <c r="T278" s="72"/>
      <c r="U278" s="72"/>
      <c r="V278" s="72"/>
      <c r="W278" s="72"/>
      <c r="X278" s="72"/>
      <c r="Y278" s="72"/>
      <c r="Z278" s="72"/>
      <c r="AA278" s="73"/>
      <c r="AB278" s="72"/>
      <c r="AC278" s="641"/>
      <c r="AD278" s="72"/>
      <c r="AE278" s="641"/>
      <c r="AF278" s="641"/>
      <c r="AG278" s="72"/>
      <c r="AH278" s="72"/>
      <c r="AI278" s="72"/>
      <c r="AJ278" s="72"/>
      <c r="AK278" s="72"/>
      <c r="AL278" s="72"/>
      <c r="AM278" s="72"/>
      <c r="AN278" s="73"/>
      <c r="AO278" s="641"/>
      <c r="AP278" s="641"/>
      <c r="AQ278" s="641"/>
      <c r="AR278" s="641"/>
      <c r="AS278" s="641"/>
      <c r="AT278" s="641"/>
      <c r="AU278" s="72"/>
      <c r="AV278" s="73"/>
      <c r="AW278" s="643"/>
      <c r="AX278" s="643"/>
      <c r="AY278" s="643"/>
      <c r="AZ278" s="75"/>
      <c r="BA278" s="75"/>
      <c r="BB278" s="75"/>
    </row>
    <row r="279" spans="2:54" s="560" customFormat="1" ht="16.5" customHeight="1">
      <c r="B279" s="72"/>
      <c r="C279" s="72"/>
      <c r="D279" s="72"/>
      <c r="E279" s="73"/>
      <c r="F279" s="641"/>
      <c r="G279" s="73"/>
      <c r="H279" s="641"/>
      <c r="I279" s="641"/>
      <c r="J279" s="641"/>
      <c r="K279" s="641"/>
      <c r="L279" s="73"/>
      <c r="M279" s="72"/>
      <c r="N279" s="72"/>
      <c r="O279" s="642"/>
      <c r="P279" s="642"/>
      <c r="Q279" s="74"/>
      <c r="R279" s="641"/>
      <c r="S279" s="641"/>
      <c r="T279" s="72"/>
      <c r="U279" s="72"/>
      <c r="V279" s="72"/>
      <c r="W279" s="72"/>
      <c r="X279" s="72"/>
      <c r="Y279" s="72"/>
      <c r="Z279" s="72"/>
      <c r="AA279" s="73"/>
      <c r="AB279" s="72"/>
      <c r="AC279" s="641"/>
      <c r="AD279" s="72"/>
      <c r="AE279" s="641"/>
      <c r="AF279" s="641"/>
      <c r="AG279" s="72"/>
      <c r="AH279" s="72"/>
      <c r="AI279" s="72"/>
      <c r="AJ279" s="72"/>
      <c r="AK279" s="72"/>
      <c r="AL279" s="72"/>
      <c r="AM279" s="72"/>
      <c r="AN279" s="73"/>
      <c r="AO279" s="641"/>
      <c r="AP279" s="641"/>
      <c r="AQ279" s="641"/>
      <c r="AR279" s="641"/>
      <c r="AS279" s="641"/>
      <c r="AT279" s="641"/>
      <c r="AU279" s="72"/>
      <c r="AV279" s="73"/>
      <c r="AW279" s="643"/>
      <c r="AX279" s="643"/>
      <c r="AY279" s="643"/>
      <c r="AZ279" s="75"/>
      <c r="BA279" s="75"/>
      <c r="BB279" s="75"/>
    </row>
    <row r="280" spans="2:54" s="560" customFormat="1" ht="16.5" customHeight="1">
      <c r="B280" s="72"/>
      <c r="C280" s="72"/>
      <c r="D280" s="72"/>
      <c r="E280" s="73"/>
      <c r="F280" s="641"/>
      <c r="G280" s="73"/>
      <c r="H280" s="641"/>
      <c r="I280" s="641"/>
      <c r="J280" s="641"/>
      <c r="K280" s="641"/>
      <c r="L280" s="73"/>
      <c r="M280" s="72"/>
      <c r="N280" s="72"/>
      <c r="O280" s="642"/>
      <c r="P280" s="642"/>
      <c r="Q280" s="74"/>
      <c r="R280" s="641"/>
      <c r="S280" s="641"/>
      <c r="T280" s="72"/>
      <c r="U280" s="72"/>
      <c r="V280" s="72"/>
      <c r="W280" s="72"/>
      <c r="X280" s="72"/>
      <c r="Y280" s="72"/>
      <c r="Z280" s="72"/>
      <c r="AA280" s="73"/>
      <c r="AB280" s="72"/>
      <c r="AC280" s="641"/>
      <c r="AD280" s="72"/>
      <c r="AE280" s="641"/>
      <c r="AF280" s="641"/>
      <c r="AG280" s="72"/>
      <c r="AH280" s="72"/>
      <c r="AI280" s="72"/>
      <c r="AJ280" s="72"/>
      <c r="AK280" s="72"/>
      <c r="AL280" s="72"/>
      <c r="AM280" s="72"/>
      <c r="AN280" s="73"/>
      <c r="AO280" s="641"/>
      <c r="AP280" s="641"/>
      <c r="AQ280" s="641"/>
      <c r="AR280" s="641"/>
      <c r="AS280" s="641"/>
      <c r="AT280" s="641"/>
      <c r="AU280" s="72"/>
      <c r="AV280" s="73"/>
      <c r="AW280" s="643"/>
      <c r="AX280" s="643"/>
      <c r="AY280" s="643"/>
      <c r="AZ280" s="75"/>
      <c r="BA280" s="75"/>
      <c r="BB280" s="75"/>
    </row>
    <row r="281" spans="2:54" s="560" customFormat="1" ht="16.5" customHeight="1">
      <c r="B281" s="72"/>
      <c r="C281" s="72"/>
      <c r="D281" s="72"/>
      <c r="E281" s="73"/>
      <c r="F281" s="641"/>
      <c r="G281" s="73"/>
      <c r="H281" s="641"/>
      <c r="I281" s="641"/>
      <c r="J281" s="641"/>
      <c r="K281" s="641"/>
      <c r="L281" s="73"/>
      <c r="M281" s="72"/>
      <c r="N281" s="72"/>
      <c r="O281" s="642"/>
      <c r="P281" s="642"/>
      <c r="Q281" s="74"/>
      <c r="R281" s="641"/>
      <c r="S281" s="641"/>
      <c r="T281" s="72"/>
      <c r="U281" s="72"/>
      <c r="V281" s="72"/>
      <c r="W281" s="72"/>
      <c r="X281" s="72"/>
      <c r="Y281" s="72"/>
      <c r="Z281" s="72"/>
      <c r="AA281" s="73"/>
      <c r="AB281" s="72"/>
      <c r="AC281" s="641"/>
      <c r="AD281" s="72"/>
      <c r="AE281" s="641"/>
      <c r="AF281" s="641"/>
      <c r="AG281" s="72"/>
      <c r="AH281" s="72"/>
      <c r="AI281" s="72"/>
      <c r="AJ281" s="72"/>
      <c r="AK281" s="72"/>
      <c r="AL281" s="72"/>
      <c r="AM281" s="72"/>
      <c r="AN281" s="73"/>
      <c r="AO281" s="641"/>
      <c r="AP281" s="641"/>
      <c r="AQ281" s="641"/>
      <c r="AR281" s="641"/>
      <c r="AS281" s="641"/>
      <c r="AT281" s="641"/>
      <c r="AU281" s="72"/>
      <c r="AV281" s="73"/>
      <c r="AW281" s="643"/>
      <c r="AX281" s="643"/>
      <c r="AY281" s="643"/>
      <c r="AZ281" s="75"/>
      <c r="BA281" s="75"/>
      <c r="BB281" s="75"/>
    </row>
    <row r="282" spans="2:54" s="560" customFormat="1" ht="16.5" customHeight="1">
      <c r="B282" s="72"/>
      <c r="C282" s="72"/>
      <c r="D282" s="72"/>
      <c r="E282" s="73"/>
      <c r="F282" s="641"/>
      <c r="G282" s="73"/>
      <c r="H282" s="641"/>
      <c r="I282" s="641"/>
      <c r="J282" s="641"/>
      <c r="K282" s="641"/>
      <c r="L282" s="73"/>
      <c r="M282" s="72"/>
      <c r="N282" s="72"/>
      <c r="O282" s="642"/>
      <c r="P282" s="642"/>
      <c r="Q282" s="74"/>
      <c r="R282" s="641"/>
      <c r="S282" s="641"/>
      <c r="T282" s="72"/>
      <c r="U282" s="72"/>
      <c r="V282" s="72"/>
      <c r="W282" s="72"/>
      <c r="X282" s="72"/>
      <c r="Y282" s="72"/>
      <c r="Z282" s="72"/>
      <c r="AA282" s="73"/>
      <c r="AB282" s="72"/>
      <c r="AC282" s="641"/>
      <c r="AD282" s="72"/>
      <c r="AE282" s="641"/>
      <c r="AF282" s="641"/>
      <c r="AG282" s="72"/>
      <c r="AH282" s="72"/>
      <c r="AI282" s="72"/>
      <c r="AJ282" s="72"/>
      <c r="AK282" s="72"/>
      <c r="AL282" s="72"/>
      <c r="AM282" s="72"/>
      <c r="AN282" s="73"/>
      <c r="AO282" s="641"/>
      <c r="AP282" s="641"/>
      <c r="AQ282" s="641"/>
      <c r="AR282" s="641"/>
      <c r="AS282" s="641"/>
      <c r="AT282" s="641"/>
      <c r="AU282" s="72"/>
      <c r="AV282" s="73"/>
      <c r="AW282" s="643"/>
      <c r="AX282" s="643"/>
      <c r="AY282" s="643"/>
      <c r="AZ282" s="75"/>
      <c r="BA282" s="75"/>
      <c r="BB282" s="75"/>
    </row>
    <row r="283" spans="2:54" s="560" customFormat="1" ht="16.5" customHeight="1">
      <c r="B283" s="72"/>
      <c r="C283" s="72"/>
      <c r="D283" s="72"/>
      <c r="E283" s="73"/>
      <c r="F283" s="641"/>
      <c r="G283" s="73"/>
      <c r="H283" s="641"/>
      <c r="I283" s="641"/>
      <c r="J283" s="641"/>
      <c r="K283" s="641"/>
      <c r="L283" s="73"/>
      <c r="M283" s="72"/>
      <c r="N283" s="72"/>
      <c r="O283" s="642"/>
      <c r="P283" s="642"/>
      <c r="Q283" s="74"/>
      <c r="R283" s="641"/>
      <c r="S283" s="641"/>
      <c r="T283" s="72"/>
      <c r="U283" s="72"/>
      <c r="V283" s="72"/>
      <c r="W283" s="72"/>
      <c r="X283" s="72"/>
      <c r="Y283" s="72"/>
      <c r="Z283" s="72"/>
      <c r="AA283" s="73"/>
      <c r="AB283" s="72"/>
      <c r="AC283" s="641"/>
      <c r="AD283" s="72"/>
      <c r="AE283" s="641"/>
      <c r="AF283" s="641"/>
      <c r="AG283" s="72"/>
      <c r="AH283" s="72"/>
      <c r="AI283" s="72"/>
      <c r="AJ283" s="72"/>
      <c r="AK283" s="72"/>
      <c r="AL283" s="72"/>
      <c r="AM283" s="72"/>
      <c r="AN283" s="73"/>
      <c r="AO283" s="641"/>
      <c r="AP283" s="641"/>
      <c r="AQ283" s="641"/>
      <c r="AR283" s="641"/>
      <c r="AS283" s="641"/>
      <c r="AT283" s="641"/>
      <c r="AU283" s="72"/>
      <c r="AV283" s="73"/>
      <c r="AW283" s="643"/>
      <c r="AX283" s="643"/>
      <c r="AY283" s="643"/>
      <c r="AZ283" s="75"/>
      <c r="BA283" s="75"/>
      <c r="BB283" s="75"/>
    </row>
    <row r="284" spans="2:54" s="560" customFormat="1" ht="16.5" customHeight="1">
      <c r="B284" s="72"/>
      <c r="C284" s="72"/>
      <c r="D284" s="72"/>
      <c r="E284" s="73"/>
      <c r="F284" s="641"/>
      <c r="G284" s="73"/>
      <c r="H284" s="641"/>
      <c r="I284" s="641"/>
      <c r="J284" s="641"/>
      <c r="K284" s="641"/>
      <c r="L284" s="73"/>
      <c r="M284" s="72"/>
      <c r="N284" s="72"/>
      <c r="O284" s="642"/>
      <c r="P284" s="642"/>
      <c r="Q284" s="74"/>
      <c r="R284" s="641"/>
      <c r="S284" s="641"/>
      <c r="T284" s="72"/>
      <c r="U284" s="72"/>
      <c r="V284" s="72"/>
      <c r="W284" s="72"/>
      <c r="X284" s="72"/>
      <c r="Y284" s="72"/>
      <c r="Z284" s="72"/>
      <c r="AA284" s="73"/>
      <c r="AB284" s="72"/>
      <c r="AC284" s="641"/>
      <c r="AD284" s="72"/>
      <c r="AE284" s="641"/>
      <c r="AF284" s="641"/>
      <c r="AG284" s="72"/>
      <c r="AH284" s="72"/>
      <c r="AI284" s="72"/>
      <c r="AJ284" s="72"/>
      <c r="AK284" s="72"/>
      <c r="AL284" s="72"/>
      <c r="AM284" s="72"/>
      <c r="AN284" s="73"/>
      <c r="AO284" s="641"/>
      <c r="AP284" s="641"/>
      <c r="AQ284" s="641"/>
      <c r="AR284" s="641"/>
      <c r="AS284" s="641"/>
      <c r="AT284" s="641"/>
      <c r="AU284" s="72"/>
      <c r="AV284" s="73"/>
      <c r="AW284" s="643"/>
      <c r="AX284" s="643"/>
      <c r="AY284" s="643"/>
      <c r="AZ284" s="75"/>
      <c r="BA284" s="75"/>
      <c r="BB284" s="75"/>
    </row>
    <row r="285" spans="2:54" s="560" customFormat="1" ht="16.5" customHeight="1">
      <c r="B285" s="72"/>
      <c r="C285" s="72"/>
      <c r="D285" s="72"/>
      <c r="E285" s="73"/>
      <c r="F285" s="641"/>
      <c r="G285" s="73"/>
      <c r="H285" s="641"/>
      <c r="I285" s="641"/>
      <c r="J285" s="641"/>
      <c r="K285" s="641"/>
      <c r="L285" s="73"/>
      <c r="M285" s="72"/>
      <c r="N285" s="72"/>
      <c r="O285" s="642"/>
      <c r="P285" s="642"/>
      <c r="Q285" s="74"/>
      <c r="R285" s="641"/>
      <c r="S285" s="641"/>
      <c r="T285" s="72"/>
      <c r="U285" s="72"/>
      <c r="V285" s="72"/>
      <c r="W285" s="72"/>
      <c r="X285" s="72"/>
      <c r="Y285" s="72"/>
      <c r="Z285" s="72"/>
      <c r="AA285" s="73"/>
      <c r="AB285" s="72"/>
      <c r="AC285" s="641"/>
      <c r="AD285" s="72"/>
      <c r="AE285" s="641"/>
      <c r="AF285" s="641"/>
      <c r="AG285" s="72"/>
      <c r="AH285" s="72"/>
      <c r="AI285" s="72"/>
      <c r="AJ285" s="72"/>
      <c r="AK285" s="72"/>
      <c r="AL285" s="72"/>
      <c r="AM285" s="72"/>
      <c r="AN285" s="73"/>
      <c r="AO285" s="641"/>
      <c r="AP285" s="641"/>
      <c r="AQ285" s="641"/>
      <c r="AR285" s="641"/>
      <c r="AS285" s="641"/>
      <c r="AT285" s="641"/>
      <c r="AU285" s="72"/>
      <c r="AV285" s="73"/>
      <c r="AW285" s="643"/>
      <c r="AX285" s="643"/>
      <c r="AY285" s="643"/>
      <c r="AZ285" s="75"/>
      <c r="BA285" s="75"/>
      <c r="BB285" s="75"/>
    </row>
    <row r="286" spans="2:54" s="560" customFormat="1" ht="16.5" customHeight="1">
      <c r="B286" s="72"/>
      <c r="C286" s="72"/>
      <c r="D286" s="72"/>
      <c r="E286" s="73"/>
      <c r="F286" s="641"/>
      <c r="G286" s="73"/>
      <c r="H286" s="641"/>
      <c r="I286" s="641"/>
      <c r="J286" s="641"/>
      <c r="K286" s="641"/>
      <c r="L286" s="73"/>
      <c r="M286" s="72"/>
      <c r="N286" s="72"/>
      <c r="O286" s="642"/>
      <c r="P286" s="642"/>
      <c r="Q286" s="74"/>
      <c r="R286" s="641"/>
      <c r="S286" s="641"/>
      <c r="T286" s="72"/>
      <c r="U286" s="72"/>
      <c r="V286" s="72"/>
      <c r="W286" s="72"/>
      <c r="X286" s="72"/>
      <c r="Y286" s="72"/>
      <c r="Z286" s="72"/>
      <c r="AA286" s="73"/>
      <c r="AB286" s="72"/>
      <c r="AC286" s="641"/>
      <c r="AD286" s="72"/>
      <c r="AE286" s="641"/>
      <c r="AF286" s="641"/>
      <c r="AG286" s="72"/>
      <c r="AH286" s="72"/>
      <c r="AI286" s="72"/>
      <c r="AJ286" s="72"/>
      <c r="AK286" s="72"/>
      <c r="AL286" s="72"/>
      <c r="AM286" s="72"/>
      <c r="AN286" s="73"/>
      <c r="AO286" s="641"/>
      <c r="AP286" s="641"/>
      <c r="AQ286" s="641"/>
      <c r="AR286" s="641"/>
      <c r="AS286" s="641"/>
      <c r="AT286" s="641"/>
      <c r="AU286" s="72"/>
      <c r="AV286" s="73"/>
      <c r="AW286" s="643"/>
      <c r="AX286" s="643"/>
      <c r="AY286" s="643"/>
      <c r="AZ286" s="75"/>
      <c r="BA286" s="75"/>
      <c r="BB286" s="75"/>
    </row>
    <row r="287" spans="2:54" s="560" customFormat="1" ht="16.5" customHeight="1">
      <c r="B287" s="72"/>
      <c r="C287" s="72"/>
      <c r="D287" s="72"/>
      <c r="E287" s="73"/>
      <c r="F287" s="641"/>
      <c r="G287" s="73"/>
      <c r="H287" s="641"/>
      <c r="I287" s="641"/>
      <c r="J287" s="641"/>
      <c r="K287" s="641"/>
      <c r="L287" s="73"/>
      <c r="M287" s="72"/>
      <c r="N287" s="72"/>
      <c r="O287" s="642"/>
      <c r="P287" s="642"/>
      <c r="Q287" s="74"/>
      <c r="R287" s="641"/>
      <c r="S287" s="641"/>
      <c r="T287" s="72"/>
      <c r="U287" s="72"/>
      <c r="V287" s="72"/>
      <c r="W287" s="72"/>
      <c r="X287" s="72"/>
      <c r="Y287" s="72"/>
      <c r="Z287" s="72"/>
      <c r="AA287" s="73"/>
      <c r="AB287" s="72"/>
      <c r="AC287" s="641"/>
      <c r="AD287" s="72"/>
      <c r="AE287" s="641"/>
      <c r="AF287" s="641"/>
      <c r="AG287" s="72"/>
      <c r="AH287" s="72"/>
      <c r="AI287" s="72"/>
      <c r="AJ287" s="72"/>
      <c r="AK287" s="72"/>
      <c r="AL287" s="72"/>
      <c r="AM287" s="72"/>
      <c r="AN287" s="73"/>
      <c r="AO287" s="641"/>
      <c r="AP287" s="641"/>
      <c r="AQ287" s="641"/>
      <c r="AR287" s="641"/>
      <c r="AS287" s="641"/>
      <c r="AT287" s="641"/>
      <c r="AU287" s="72"/>
      <c r="AV287" s="73"/>
      <c r="AW287" s="643"/>
      <c r="AX287" s="643"/>
      <c r="AY287" s="643"/>
      <c r="AZ287" s="75"/>
      <c r="BA287" s="75"/>
      <c r="BB287" s="75"/>
    </row>
    <row r="288" spans="2:54" s="560" customFormat="1" ht="16.5" customHeight="1">
      <c r="B288" s="72"/>
      <c r="C288" s="72"/>
      <c r="D288" s="72"/>
      <c r="E288" s="73"/>
      <c r="F288" s="641"/>
      <c r="G288" s="73"/>
      <c r="H288" s="641"/>
      <c r="I288" s="641"/>
      <c r="J288" s="641"/>
      <c r="K288" s="641"/>
      <c r="L288" s="73"/>
      <c r="M288" s="72"/>
      <c r="N288" s="72"/>
      <c r="O288" s="642"/>
      <c r="P288" s="642"/>
      <c r="Q288" s="74"/>
      <c r="R288" s="641"/>
      <c r="S288" s="641"/>
      <c r="T288" s="72"/>
      <c r="U288" s="72"/>
      <c r="V288" s="72"/>
      <c r="W288" s="72"/>
      <c r="X288" s="72"/>
      <c r="Y288" s="72"/>
      <c r="Z288" s="72"/>
      <c r="AA288" s="73"/>
      <c r="AB288" s="72"/>
      <c r="AC288" s="641"/>
      <c r="AD288" s="72"/>
      <c r="AE288" s="641"/>
      <c r="AF288" s="641"/>
      <c r="AG288" s="72"/>
      <c r="AH288" s="72"/>
      <c r="AI288" s="72"/>
      <c r="AJ288" s="72"/>
      <c r="AK288" s="72"/>
      <c r="AL288" s="72"/>
      <c r="AM288" s="72"/>
      <c r="AN288" s="73"/>
      <c r="AO288" s="641"/>
      <c r="AP288" s="641"/>
      <c r="AQ288" s="641"/>
      <c r="AR288" s="641"/>
      <c r="AS288" s="641"/>
      <c r="AT288" s="641"/>
      <c r="AU288" s="72"/>
      <c r="AV288" s="73"/>
      <c r="AW288" s="643"/>
      <c r="AX288" s="643"/>
      <c r="AY288" s="643"/>
      <c r="AZ288" s="75"/>
      <c r="BA288" s="75"/>
      <c r="BB288" s="75"/>
    </row>
    <row r="289" spans="2:54" s="560" customFormat="1" ht="16.5" customHeight="1">
      <c r="B289" s="72"/>
      <c r="C289" s="72"/>
      <c r="D289" s="72"/>
      <c r="E289" s="73"/>
      <c r="F289" s="641"/>
      <c r="G289" s="73"/>
      <c r="H289" s="641"/>
      <c r="I289" s="641"/>
      <c r="J289" s="641"/>
      <c r="K289" s="641"/>
      <c r="L289" s="73"/>
      <c r="M289" s="72"/>
      <c r="N289" s="72"/>
      <c r="O289" s="642"/>
      <c r="P289" s="642"/>
      <c r="Q289" s="74"/>
      <c r="R289" s="641"/>
      <c r="S289" s="641"/>
      <c r="T289" s="72"/>
      <c r="U289" s="72"/>
      <c r="V289" s="72"/>
      <c r="W289" s="72"/>
      <c r="X289" s="72"/>
      <c r="Y289" s="72"/>
      <c r="Z289" s="72"/>
      <c r="AA289" s="73"/>
      <c r="AB289" s="72"/>
      <c r="AC289" s="641"/>
      <c r="AD289" s="72"/>
      <c r="AE289" s="641"/>
      <c r="AF289" s="641"/>
      <c r="AG289" s="72"/>
      <c r="AH289" s="72"/>
      <c r="AI289" s="72"/>
      <c r="AJ289" s="72"/>
      <c r="AK289" s="72"/>
      <c r="AL289" s="72"/>
      <c r="AM289" s="72"/>
      <c r="AN289" s="73"/>
      <c r="AO289" s="641"/>
      <c r="AP289" s="641"/>
      <c r="AQ289" s="641"/>
      <c r="AR289" s="641"/>
      <c r="AS289" s="641"/>
      <c r="AT289" s="641"/>
      <c r="AU289" s="72"/>
      <c r="AV289" s="73"/>
      <c r="AW289" s="643"/>
      <c r="AX289" s="643"/>
      <c r="AY289" s="643"/>
      <c r="AZ289" s="75"/>
      <c r="BA289" s="75"/>
      <c r="BB289" s="75"/>
    </row>
    <row r="290" spans="2:54" s="560" customFormat="1" ht="16.5" customHeight="1">
      <c r="B290" s="72"/>
      <c r="C290" s="72"/>
      <c r="D290" s="72"/>
      <c r="E290" s="73"/>
      <c r="F290" s="641"/>
      <c r="G290" s="73"/>
      <c r="H290" s="641"/>
      <c r="I290" s="641"/>
      <c r="J290" s="641"/>
      <c r="K290" s="641"/>
      <c r="L290" s="73"/>
      <c r="M290" s="72"/>
      <c r="N290" s="72"/>
      <c r="O290" s="642"/>
      <c r="P290" s="642"/>
      <c r="Q290" s="74"/>
      <c r="R290" s="641"/>
      <c r="S290" s="641"/>
      <c r="T290" s="72"/>
      <c r="U290" s="72"/>
      <c r="V290" s="72"/>
      <c r="W290" s="72"/>
      <c r="X290" s="72"/>
      <c r="Y290" s="72"/>
      <c r="Z290" s="72"/>
      <c r="AA290" s="73"/>
      <c r="AB290" s="72"/>
      <c r="AC290" s="641"/>
      <c r="AD290" s="72"/>
      <c r="AE290" s="641"/>
      <c r="AF290" s="641"/>
      <c r="AG290" s="72"/>
      <c r="AH290" s="72"/>
      <c r="AI290" s="72"/>
      <c r="AJ290" s="72"/>
      <c r="AK290" s="72"/>
      <c r="AL290" s="72"/>
      <c r="AM290" s="72"/>
      <c r="AN290" s="73"/>
      <c r="AO290" s="641"/>
      <c r="AP290" s="641"/>
      <c r="AQ290" s="641"/>
      <c r="AR290" s="641"/>
      <c r="AS290" s="641"/>
      <c r="AT290" s="641"/>
      <c r="AU290" s="72"/>
      <c r="AV290" s="73"/>
      <c r="AW290" s="643"/>
      <c r="AX290" s="643"/>
      <c r="AY290" s="643"/>
      <c r="AZ290" s="75"/>
      <c r="BA290" s="75"/>
      <c r="BB290" s="75"/>
    </row>
    <row r="291" spans="2:54" s="560" customFormat="1" ht="16.5" customHeight="1">
      <c r="B291" s="72"/>
      <c r="C291" s="72"/>
      <c r="D291" s="72"/>
      <c r="E291" s="73"/>
      <c r="F291" s="641"/>
      <c r="G291" s="73"/>
      <c r="H291" s="641"/>
      <c r="I291" s="641"/>
      <c r="J291" s="641"/>
      <c r="K291" s="641"/>
      <c r="L291" s="73"/>
      <c r="M291" s="72"/>
      <c r="N291" s="72"/>
      <c r="O291" s="642"/>
      <c r="P291" s="642"/>
      <c r="Q291" s="74"/>
      <c r="R291" s="641"/>
      <c r="S291" s="641"/>
      <c r="T291" s="72"/>
      <c r="U291" s="72"/>
      <c r="V291" s="72"/>
      <c r="W291" s="72"/>
      <c r="X291" s="72"/>
      <c r="Y291" s="72"/>
      <c r="Z291" s="72"/>
      <c r="AA291" s="73"/>
      <c r="AB291" s="72"/>
      <c r="AC291" s="641"/>
      <c r="AD291" s="72"/>
      <c r="AE291" s="641"/>
      <c r="AF291" s="641"/>
      <c r="AG291" s="72"/>
      <c r="AH291" s="72"/>
      <c r="AI291" s="72"/>
      <c r="AJ291" s="72"/>
      <c r="AK291" s="72"/>
      <c r="AL291" s="72"/>
      <c r="AM291" s="72"/>
      <c r="AN291" s="73"/>
      <c r="AO291" s="641"/>
      <c r="AP291" s="641"/>
      <c r="AQ291" s="641"/>
      <c r="AR291" s="641"/>
      <c r="AS291" s="641"/>
      <c r="AT291" s="641"/>
      <c r="AU291" s="72"/>
      <c r="AV291" s="73"/>
      <c r="AW291" s="643"/>
      <c r="AX291" s="643"/>
      <c r="AY291" s="643"/>
      <c r="AZ291" s="75"/>
      <c r="BA291" s="75"/>
      <c r="BB291" s="75"/>
    </row>
    <row r="292" spans="2:54" s="560" customFormat="1" ht="16.5" customHeight="1">
      <c r="B292" s="72"/>
      <c r="C292" s="72"/>
      <c r="D292" s="72"/>
      <c r="E292" s="73"/>
      <c r="F292" s="641"/>
      <c r="G292" s="73"/>
      <c r="H292" s="641"/>
      <c r="I292" s="641"/>
      <c r="J292" s="641"/>
      <c r="K292" s="641"/>
      <c r="L292" s="73"/>
      <c r="M292" s="72"/>
      <c r="N292" s="72"/>
      <c r="O292" s="642"/>
      <c r="P292" s="642"/>
      <c r="Q292" s="74"/>
      <c r="R292" s="641"/>
      <c r="S292" s="641"/>
      <c r="T292" s="72"/>
      <c r="U292" s="72"/>
      <c r="V292" s="72"/>
      <c r="W292" s="72"/>
      <c r="X292" s="72"/>
      <c r="Y292" s="72"/>
      <c r="Z292" s="72"/>
      <c r="AA292" s="73"/>
      <c r="AB292" s="72"/>
      <c r="AC292" s="641"/>
      <c r="AD292" s="72"/>
      <c r="AE292" s="641"/>
      <c r="AF292" s="641"/>
      <c r="AG292" s="72"/>
      <c r="AH292" s="72"/>
      <c r="AI292" s="72"/>
      <c r="AJ292" s="72"/>
      <c r="AK292" s="72"/>
      <c r="AL292" s="72"/>
      <c r="AM292" s="72"/>
      <c r="AN292" s="73"/>
      <c r="AO292" s="641"/>
      <c r="AP292" s="641"/>
      <c r="AQ292" s="641"/>
      <c r="AR292" s="641"/>
      <c r="AS292" s="641"/>
      <c r="AT292" s="641"/>
      <c r="AU292" s="72"/>
      <c r="AV292" s="73"/>
      <c r="AW292" s="643"/>
      <c r="AX292" s="643"/>
      <c r="AY292" s="643"/>
      <c r="AZ292" s="75"/>
      <c r="BA292" s="75"/>
      <c r="BB292" s="75"/>
    </row>
    <row r="293" spans="2:54" s="560" customFormat="1" ht="16.5" customHeight="1">
      <c r="B293" s="72"/>
      <c r="C293" s="72"/>
      <c r="D293" s="72"/>
      <c r="E293" s="73"/>
      <c r="F293" s="641"/>
      <c r="G293" s="73"/>
      <c r="H293" s="641"/>
      <c r="I293" s="641"/>
      <c r="J293" s="641"/>
      <c r="K293" s="641"/>
      <c r="L293" s="73"/>
      <c r="M293" s="72"/>
      <c r="N293" s="72"/>
      <c r="O293" s="642"/>
      <c r="P293" s="642"/>
      <c r="Q293" s="74"/>
      <c r="R293" s="641"/>
      <c r="S293" s="641"/>
      <c r="T293" s="72"/>
      <c r="U293" s="72"/>
      <c r="V293" s="72"/>
      <c r="W293" s="72"/>
      <c r="X293" s="72"/>
      <c r="Y293" s="72"/>
      <c r="Z293" s="72"/>
      <c r="AA293" s="73"/>
      <c r="AB293" s="72"/>
      <c r="AC293" s="641"/>
      <c r="AD293" s="72"/>
      <c r="AE293" s="641"/>
      <c r="AF293" s="641"/>
      <c r="AG293" s="72"/>
      <c r="AH293" s="72"/>
      <c r="AI293" s="72"/>
      <c r="AJ293" s="72"/>
      <c r="AK293" s="72"/>
      <c r="AL293" s="72"/>
      <c r="AM293" s="72"/>
      <c r="AN293" s="73"/>
      <c r="AO293" s="641"/>
      <c r="AP293" s="641"/>
      <c r="AQ293" s="641"/>
      <c r="AR293" s="641"/>
      <c r="AS293" s="641"/>
      <c r="AT293" s="641"/>
      <c r="AU293" s="72"/>
      <c r="AV293" s="73"/>
      <c r="AW293" s="643"/>
      <c r="AX293" s="643"/>
      <c r="AY293" s="643"/>
      <c r="AZ293" s="75"/>
      <c r="BA293" s="75"/>
      <c r="BB293" s="75"/>
    </row>
    <row r="294" spans="2:54" s="560" customFormat="1" ht="16.5" customHeight="1">
      <c r="B294" s="72"/>
      <c r="C294" s="72"/>
      <c r="D294" s="72"/>
      <c r="E294" s="73"/>
      <c r="F294" s="641"/>
      <c r="G294" s="73"/>
      <c r="H294" s="641"/>
      <c r="I294" s="641"/>
      <c r="J294" s="641"/>
      <c r="K294" s="641"/>
      <c r="L294" s="73"/>
      <c r="M294" s="72"/>
      <c r="N294" s="72"/>
      <c r="O294" s="642"/>
      <c r="P294" s="642"/>
      <c r="Q294" s="74"/>
      <c r="R294" s="641"/>
      <c r="S294" s="641"/>
      <c r="T294" s="72"/>
      <c r="U294" s="72"/>
      <c r="V294" s="72"/>
      <c r="W294" s="72"/>
      <c r="X294" s="72"/>
      <c r="Y294" s="72"/>
      <c r="Z294" s="72"/>
      <c r="AA294" s="73"/>
      <c r="AB294" s="72"/>
      <c r="AC294" s="641"/>
      <c r="AD294" s="72"/>
      <c r="AE294" s="641"/>
      <c r="AF294" s="641"/>
      <c r="AG294" s="72"/>
      <c r="AH294" s="72"/>
      <c r="AI294" s="72"/>
      <c r="AJ294" s="72"/>
      <c r="AK294" s="72"/>
      <c r="AL294" s="72"/>
      <c r="AM294" s="72"/>
      <c r="AN294" s="73"/>
      <c r="AO294" s="641"/>
      <c r="AP294" s="641"/>
      <c r="AQ294" s="641"/>
      <c r="AR294" s="641"/>
      <c r="AS294" s="641"/>
      <c r="AT294" s="641"/>
      <c r="AU294" s="72"/>
      <c r="AV294" s="73"/>
      <c r="AW294" s="643"/>
      <c r="AX294" s="643"/>
      <c r="AY294" s="643"/>
      <c r="AZ294" s="75"/>
      <c r="BA294" s="75"/>
      <c r="BB294" s="75"/>
    </row>
    <row r="295" spans="2:54" s="560" customFormat="1" ht="16.5" customHeight="1">
      <c r="B295" s="72"/>
      <c r="C295" s="72"/>
      <c r="D295" s="72"/>
      <c r="E295" s="73"/>
      <c r="F295" s="641"/>
      <c r="G295" s="73"/>
      <c r="H295" s="641"/>
      <c r="I295" s="641"/>
      <c r="J295" s="641"/>
      <c r="K295" s="641"/>
      <c r="L295" s="73"/>
      <c r="M295" s="72"/>
      <c r="N295" s="72"/>
      <c r="O295" s="642"/>
      <c r="P295" s="642"/>
      <c r="Q295" s="74"/>
      <c r="R295" s="641"/>
      <c r="S295" s="641"/>
      <c r="T295" s="72"/>
      <c r="U295" s="72"/>
      <c r="V295" s="72"/>
      <c r="W295" s="72"/>
      <c r="X295" s="72"/>
      <c r="Y295" s="72"/>
      <c r="Z295" s="72"/>
      <c r="AA295" s="73"/>
      <c r="AB295" s="72"/>
      <c r="AC295" s="641"/>
      <c r="AD295" s="72"/>
      <c r="AE295" s="641"/>
      <c r="AF295" s="641"/>
      <c r="AG295" s="72"/>
      <c r="AH295" s="72"/>
      <c r="AI295" s="72"/>
      <c r="AJ295" s="72"/>
      <c r="AK295" s="72"/>
      <c r="AL295" s="72"/>
      <c r="AM295" s="72"/>
      <c r="AN295" s="73"/>
      <c r="AO295" s="641"/>
      <c r="AP295" s="641"/>
      <c r="AQ295" s="641"/>
      <c r="AR295" s="641"/>
      <c r="AS295" s="641"/>
      <c r="AT295" s="641"/>
      <c r="AU295" s="72"/>
      <c r="AV295" s="73"/>
      <c r="AW295" s="643"/>
      <c r="AX295" s="643"/>
      <c r="AY295" s="643"/>
      <c r="AZ295" s="75"/>
      <c r="BA295" s="75"/>
      <c r="BB295" s="75"/>
    </row>
    <row r="296" spans="2:54" s="560" customFormat="1" ht="16.5" customHeight="1">
      <c r="B296" s="72"/>
      <c r="C296" s="72"/>
      <c r="D296" s="72"/>
      <c r="E296" s="73"/>
      <c r="F296" s="641"/>
      <c r="G296" s="73"/>
      <c r="H296" s="641"/>
      <c r="I296" s="641"/>
      <c r="J296" s="641"/>
      <c r="K296" s="641"/>
      <c r="L296" s="73"/>
      <c r="M296" s="72"/>
      <c r="N296" s="72"/>
      <c r="O296" s="642"/>
      <c r="P296" s="642"/>
      <c r="Q296" s="74"/>
      <c r="R296" s="641"/>
      <c r="S296" s="641"/>
      <c r="T296" s="72"/>
      <c r="U296" s="72"/>
      <c r="V296" s="72"/>
      <c r="W296" s="72"/>
      <c r="X296" s="72"/>
      <c r="Y296" s="72"/>
      <c r="Z296" s="72"/>
      <c r="AA296" s="73"/>
      <c r="AB296" s="72"/>
      <c r="AC296" s="641"/>
      <c r="AD296" s="72"/>
      <c r="AE296" s="641"/>
      <c r="AF296" s="641"/>
      <c r="AG296" s="72"/>
      <c r="AH296" s="72"/>
      <c r="AI296" s="72"/>
      <c r="AJ296" s="72"/>
      <c r="AK296" s="72"/>
      <c r="AL296" s="72"/>
      <c r="AM296" s="72"/>
      <c r="AN296" s="73"/>
      <c r="AO296" s="641"/>
      <c r="AP296" s="641"/>
      <c r="AQ296" s="641"/>
      <c r="AR296" s="641"/>
      <c r="AS296" s="641"/>
      <c r="AT296" s="641"/>
      <c r="AU296" s="72"/>
      <c r="AV296" s="73"/>
      <c r="AW296" s="643"/>
      <c r="AX296" s="643"/>
      <c r="AY296" s="643"/>
      <c r="AZ296" s="75"/>
      <c r="BA296" s="75"/>
      <c r="BB296" s="75"/>
    </row>
    <row r="297" spans="2:54" s="560" customFormat="1" ht="16.5" customHeight="1">
      <c r="B297" s="72"/>
      <c r="C297" s="72"/>
      <c r="D297" s="72"/>
      <c r="E297" s="73"/>
      <c r="F297" s="641"/>
      <c r="G297" s="73"/>
      <c r="H297" s="641"/>
      <c r="I297" s="641"/>
      <c r="J297" s="641"/>
      <c r="K297" s="641"/>
      <c r="L297" s="73"/>
      <c r="M297" s="72"/>
      <c r="N297" s="72"/>
      <c r="O297" s="642"/>
      <c r="P297" s="642"/>
      <c r="Q297" s="74"/>
      <c r="R297" s="641"/>
      <c r="S297" s="641"/>
      <c r="T297" s="72"/>
      <c r="U297" s="72"/>
      <c r="V297" s="72"/>
      <c r="W297" s="72"/>
      <c r="X297" s="72"/>
      <c r="Y297" s="72"/>
      <c r="Z297" s="72"/>
      <c r="AA297" s="73"/>
      <c r="AB297" s="72"/>
      <c r="AC297" s="641"/>
      <c r="AD297" s="72"/>
      <c r="AE297" s="641"/>
      <c r="AF297" s="641"/>
      <c r="AG297" s="72"/>
      <c r="AH297" s="72"/>
      <c r="AI297" s="72"/>
      <c r="AJ297" s="72"/>
      <c r="AK297" s="72"/>
      <c r="AL297" s="72"/>
      <c r="AM297" s="72"/>
      <c r="AN297" s="73"/>
      <c r="AO297" s="641"/>
      <c r="AP297" s="641"/>
      <c r="AQ297" s="641"/>
      <c r="AR297" s="641"/>
      <c r="AS297" s="641"/>
      <c r="AT297" s="641"/>
      <c r="AU297" s="72"/>
      <c r="AV297" s="73"/>
      <c r="AW297" s="643"/>
      <c r="AX297" s="643"/>
      <c r="AY297" s="643"/>
      <c r="AZ297" s="75"/>
      <c r="BA297" s="75"/>
      <c r="BB297" s="75"/>
    </row>
    <row r="298" spans="2:54" s="560" customFormat="1" ht="16.5" customHeight="1">
      <c r="B298" s="72"/>
      <c r="C298" s="72"/>
      <c r="D298" s="72"/>
      <c r="E298" s="73"/>
      <c r="F298" s="641"/>
      <c r="G298" s="73"/>
      <c r="H298" s="641"/>
      <c r="I298" s="641"/>
      <c r="J298" s="641"/>
      <c r="K298" s="641"/>
      <c r="L298" s="73"/>
      <c r="M298" s="72"/>
      <c r="N298" s="72"/>
      <c r="O298" s="642"/>
      <c r="P298" s="642"/>
      <c r="Q298" s="74"/>
      <c r="R298" s="641"/>
      <c r="S298" s="641"/>
      <c r="T298" s="72"/>
      <c r="U298" s="72"/>
      <c r="V298" s="72"/>
      <c r="W298" s="72"/>
      <c r="X298" s="72"/>
      <c r="Y298" s="72"/>
      <c r="Z298" s="72"/>
      <c r="AA298" s="73"/>
      <c r="AB298" s="72"/>
      <c r="AC298" s="641"/>
      <c r="AD298" s="72"/>
      <c r="AE298" s="641"/>
      <c r="AF298" s="641"/>
      <c r="AG298" s="72"/>
      <c r="AH298" s="72"/>
      <c r="AI298" s="72"/>
      <c r="AJ298" s="72"/>
      <c r="AK298" s="72"/>
      <c r="AL298" s="72"/>
      <c r="AM298" s="72"/>
      <c r="AN298" s="73"/>
      <c r="AO298" s="641"/>
      <c r="AP298" s="641"/>
      <c r="AQ298" s="641"/>
      <c r="AR298" s="641"/>
      <c r="AS298" s="641"/>
      <c r="AT298" s="641"/>
      <c r="AU298" s="72"/>
      <c r="AV298" s="73"/>
      <c r="AW298" s="643"/>
      <c r="AX298" s="643"/>
      <c r="AY298" s="643"/>
      <c r="AZ298" s="75"/>
      <c r="BA298" s="75"/>
      <c r="BB298" s="75"/>
    </row>
    <row r="299" spans="2:54" s="560" customFormat="1" ht="16.5" customHeight="1">
      <c r="B299" s="72"/>
      <c r="C299" s="72"/>
      <c r="D299" s="72"/>
      <c r="E299" s="73"/>
      <c r="F299" s="641"/>
      <c r="G299" s="73"/>
      <c r="H299" s="641"/>
      <c r="I299" s="641"/>
      <c r="J299" s="641"/>
      <c r="K299" s="641"/>
      <c r="L299" s="73"/>
      <c r="M299" s="72"/>
      <c r="N299" s="72"/>
      <c r="O299" s="642"/>
      <c r="P299" s="642"/>
      <c r="Q299" s="74"/>
      <c r="R299" s="641"/>
      <c r="S299" s="641"/>
      <c r="T299" s="72"/>
      <c r="U299" s="72"/>
      <c r="V299" s="72"/>
      <c r="W299" s="72"/>
      <c r="X299" s="72"/>
      <c r="Y299" s="72"/>
      <c r="Z299" s="72"/>
      <c r="AA299" s="73"/>
      <c r="AB299" s="72"/>
      <c r="AC299" s="641"/>
      <c r="AD299" s="72"/>
      <c r="AE299" s="641"/>
      <c r="AF299" s="641"/>
      <c r="AG299" s="72"/>
      <c r="AH299" s="72"/>
      <c r="AI299" s="72"/>
      <c r="AJ299" s="72"/>
      <c r="AK299" s="72"/>
      <c r="AL299" s="72"/>
      <c r="AM299" s="72"/>
      <c r="AN299" s="73"/>
      <c r="AO299" s="641"/>
      <c r="AP299" s="641"/>
      <c r="AQ299" s="641"/>
      <c r="AR299" s="641"/>
      <c r="AS299" s="641"/>
      <c r="AT299" s="641"/>
      <c r="AU299" s="72"/>
      <c r="AV299" s="73"/>
      <c r="AW299" s="643"/>
      <c r="AX299" s="643"/>
      <c r="AY299" s="643"/>
      <c r="AZ299" s="75"/>
      <c r="BA299" s="75"/>
      <c r="BB299" s="75"/>
    </row>
    <row r="300" spans="2:54" s="560" customFormat="1" ht="16.5" customHeight="1">
      <c r="B300" s="72"/>
      <c r="C300" s="72"/>
      <c r="D300" s="72"/>
      <c r="E300" s="73"/>
      <c r="F300" s="641"/>
      <c r="G300" s="73"/>
      <c r="H300" s="641"/>
      <c r="I300" s="641"/>
      <c r="J300" s="641"/>
      <c r="K300" s="641"/>
      <c r="L300" s="73"/>
      <c r="M300" s="72"/>
      <c r="N300" s="72"/>
      <c r="O300" s="642"/>
      <c r="P300" s="642"/>
      <c r="Q300" s="74"/>
      <c r="R300" s="641"/>
      <c r="S300" s="641"/>
      <c r="T300" s="72"/>
      <c r="U300" s="72"/>
      <c r="V300" s="72"/>
      <c r="W300" s="72"/>
      <c r="X300" s="72"/>
      <c r="Y300" s="72"/>
      <c r="Z300" s="72"/>
      <c r="AA300" s="73"/>
      <c r="AB300" s="72"/>
      <c r="AC300" s="641"/>
      <c r="AD300" s="72"/>
      <c r="AE300" s="641"/>
      <c r="AF300" s="641"/>
      <c r="AG300" s="72"/>
      <c r="AH300" s="72"/>
      <c r="AI300" s="72"/>
      <c r="AJ300" s="72"/>
      <c r="AK300" s="72"/>
      <c r="AL300" s="72"/>
      <c r="AM300" s="72"/>
      <c r="AN300" s="73"/>
      <c r="AO300" s="641"/>
      <c r="AP300" s="641"/>
      <c r="AQ300" s="641"/>
      <c r="AR300" s="641"/>
      <c r="AS300" s="641"/>
      <c r="AT300" s="641"/>
      <c r="AU300" s="72"/>
      <c r="AV300" s="73"/>
      <c r="AW300" s="643"/>
      <c r="AX300" s="643"/>
      <c r="AY300" s="643"/>
      <c r="AZ300" s="75"/>
      <c r="BA300" s="75"/>
      <c r="BB300" s="75"/>
    </row>
    <row r="301" spans="2:54" s="560" customFormat="1" ht="16.5" customHeight="1">
      <c r="B301" s="72"/>
      <c r="C301" s="72"/>
      <c r="D301" s="72"/>
      <c r="E301" s="73"/>
      <c r="F301" s="641"/>
      <c r="G301" s="73"/>
      <c r="H301" s="641"/>
      <c r="I301" s="641"/>
      <c r="J301" s="641"/>
      <c r="K301" s="641"/>
      <c r="L301" s="73"/>
      <c r="M301" s="72"/>
      <c r="N301" s="72"/>
      <c r="O301" s="642"/>
      <c r="P301" s="642"/>
      <c r="Q301" s="74"/>
      <c r="R301" s="641"/>
      <c r="S301" s="641"/>
      <c r="T301" s="72"/>
      <c r="U301" s="72"/>
      <c r="V301" s="72"/>
      <c r="W301" s="72"/>
      <c r="X301" s="72"/>
      <c r="Y301" s="72"/>
      <c r="Z301" s="72"/>
      <c r="AA301" s="73"/>
      <c r="AB301" s="72"/>
      <c r="AC301" s="641"/>
      <c r="AD301" s="72"/>
      <c r="AE301" s="641"/>
      <c r="AF301" s="641"/>
      <c r="AG301" s="72"/>
      <c r="AH301" s="72"/>
      <c r="AI301" s="72"/>
      <c r="AJ301" s="72"/>
      <c r="AK301" s="72"/>
      <c r="AL301" s="72"/>
      <c r="AM301" s="72"/>
      <c r="AN301" s="73"/>
      <c r="AO301" s="641"/>
      <c r="AP301" s="641"/>
      <c r="AQ301" s="641"/>
      <c r="AR301" s="641"/>
      <c r="AS301" s="641"/>
      <c r="AT301" s="641"/>
      <c r="AU301" s="72"/>
      <c r="AV301" s="73"/>
      <c r="AW301" s="643"/>
      <c r="AX301" s="643"/>
      <c r="AY301" s="643"/>
      <c r="AZ301" s="75"/>
      <c r="BA301" s="75"/>
      <c r="BB301" s="75"/>
    </row>
    <row r="302" spans="2:54" s="560" customFormat="1" ht="16.5" customHeight="1">
      <c r="B302" s="72"/>
      <c r="C302" s="72"/>
      <c r="D302" s="72"/>
      <c r="E302" s="73"/>
      <c r="F302" s="641"/>
      <c r="G302" s="73"/>
      <c r="H302" s="641"/>
      <c r="I302" s="641"/>
      <c r="J302" s="641"/>
      <c r="K302" s="641"/>
      <c r="L302" s="73"/>
      <c r="M302" s="72"/>
      <c r="N302" s="72"/>
      <c r="O302" s="642"/>
      <c r="P302" s="642"/>
      <c r="Q302" s="74"/>
      <c r="R302" s="641"/>
      <c r="S302" s="641"/>
      <c r="T302" s="72"/>
      <c r="U302" s="72"/>
      <c r="V302" s="72"/>
      <c r="W302" s="72"/>
      <c r="X302" s="72"/>
      <c r="Y302" s="72"/>
      <c r="Z302" s="72"/>
      <c r="AA302" s="73"/>
      <c r="AB302" s="72"/>
      <c r="AC302" s="641"/>
      <c r="AD302" s="72"/>
      <c r="AE302" s="641"/>
      <c r="AF302" s="641"/>
      <c r="AG302" s="72"/>
      <c r="AH302" s="72"/>
      <c r="AI302" s="72"/>
      <c r="AJ302" s="72"/>
      <c r="AK302" s="72"/>
      <c r="AL302" s="72"/>
      <c r="AM302" s="72"/>
      <c r="AN302" s="73"/>
      <c r="AO302" s="641"/>
      <c r="AP302" s="641"/>
      <c r="AQ302" s="641"/>
      <c r="AR302" s="641"/>
      <c r="AS302" s="641"/>
      <c r="AT302" s="641"/>
      <c r="AU302" s="72"/>
      <c r="AV302" s="73"/>
      <c r="AW302" s="643"/>
      <c r="AX302" s="643"/>
      <c r="AY302" s="643"/>
      <c r="AZ302" s="75"/>
      <c r="BA302" s="75"/>
      <c r="BB302" s="75"/>
    </row>
    <row r="303" spans="2:54" s="560" customFormat="1" ht="16.5" customHeight="1">
      <c r="B303" s="72"/>
      <c r="C303" s="72"/>
      <c r="D303" s="72"/>
      <c r="E303" s="73"/>
      <c r="F303" s="641"/>
      <c r="G303" s="73"/>
      <c r="H303" s="641"/>
      <c r="I303" s="641"/>
      <c r="J303" s="641"/>
      <c r="K303" s="641"/>
      <c r="L303" s="73"/>
      <c r="M303" s="72"/>
      <c r="N303" s="72"/>
      <c r="O303" s="642"/>
      <c r="P303" s="642"/>
      <c r="Q303" s="74"/>
      <c r="R303" s="641"/>
      <c r="S303" s="641"/>
      <c r="T303" s="72"/>
      <c r="U303" s="72"/>
      <c r="V303" s="72"/>
      <c r="W303" s="72"/>
      <c r="X303" s="72"/>
      <c r="Y303" s="72"/>
      <c r="Z303" s="72"/>
      <c r="AA303" s="73"/>
      <c r="AB303" s="72"/>
      <c r="AC303" s="641"/>
      <c r="AD303" s="72"/>
      <c r="AE303" s="641"/>
      <c r="AF303" s="641"/>
      <c r="AG303" s="72"/>
      <c r="AH303" s="72"/>
      <c r="AI303" s="72"/>
      <c r="AJ303" s="72"/>
      <c r="AK303" s="72"/>
      <c r="AL303" s="72"/>
      <c r="AM303" s="72"/>
      <c r="AN303" s="73"/>
      <c r="AO303" s="641"/>
      <c r="AP303" s="641"/>
      <c r="AQ303" s="641"/>
      <c r="AR303" s="641"/>
      <c r="AS303" s="641"/>
      <c r="AT303" s="641"/>
      <c r="AU303" s="72"/>
      <c r="AV303" s="73"/>
      <c r="AW303" s="643"/>
      <c r="AX303" s="643"/>
      <c r="AY303" s="643"/>
      <c r="AZ303" s="75"/>
      <c r="BA303" s="75"/>
      <c r="BB303" s="75"/>
    </row>
    <row r="304" spans="2:54" s="560" customFormat="1" ht="16.5" customHeight="1">
      <c r="B304" s="72"/>
      <c r="C304" s="72"/>
      <c r="D304" s="72"/>
      <c r="E304" s="73"/>
      <c r="F304" s="641"/>
      <c r="G304" s="73"/>
      <c r="H304" s="641"/>
      <c r="I304" s="641"/>
      <c r="J304" s="641"/>
      <c r="K304" s="641"/>
      <c r="L304" s="73"/>
      <c r="M304" s="72"/>
      <c r="N304" s="72"/>
      <c r="O304" s="642"/>
      <c r="P304" s="642"/>
      <c r="Q304" s="74"/>
      <c r="R304" s="641"/>
      <c r="S304" s="641"/>
      <c r="T304" s="72"/>
      <c r="U304" s="72"/>
      <c r="V304" s="72"/>
      <c r="W304" s="72"/>
      <c r="X304" s="72"/>
      <c r="Y304" s="72"/>
      <c r="Z304" s="72"/>
      <c r="AA304" s="73"/>
      <c r="AB304" s="72"/>
      <c r="AC304" s="641"/>
      <c r="AD304" s="72"/>
      <c r="AE304" s="641"/>
      <c r="AF304" s="641"/>
      <c r="AG304" s="72"/>
      <c r="AH304" s="72"/>
      <c r="AI304" s="72"/>
      <c r="AJ304" s="72"/>
      <c r="AK304" s="72"/>
      <c r="AL304" s="72"/>
      <c r="AM304" s="72"/>
      <c r="AN304" s="73"/>
      <c r="AO304" s="641"/>
      <c r="AP304" s="641"/>
      <c r="AQ304" s="641"/>
      <c r="AR304" s="641"/>
      <c r="AS304" s="641"/>
      <c r="AT304" s="641"/>
      <c r="AU304" s="72"/>
      <c r="AV304" s="73"/>
      <c r="AW304" s="643"/>
      <c r="AX304" s="643"/>
      <c r="AY304" s="643"/>
      <c r="AZ304" s="75"/>
      <c r="BA304" s="75"/>
      <c r="BB304" s="75"/>
    </row>
    <row r="305" spans="2:54" s="560" customFormat="1" ht="16.5" customHeight="1">
      <c r="B305" s="72"/>
      <c r="C305" s="72"/>
      <c r="D305" s="72"/>
      <c r="E305" s="73"/>
      <c r="F305" s="641"/>
      <c r="G305" s="73"/>
      <c r="H305" s="641"/>
      <c r="I305" s="641"/>
      <c r="J305" s="641"/>
      <c r="K305" s="641"/>
      <c r="L305" s="73"/>
      <c r="M305" s="72"/>
      <c r="N305" s="72"/>
      <c r="O305" s="642"/>
      <c r="P305" s="642"/>
      <c r="Q305" s="74"/>
      <c r="R305" s="641"/>
      <c r="S305" s="641"/>
      <c r="T305" s="72"/>
      <c r="U305" s="72"/>
      <c r="V305" s="72"/>
      <c r="W305" s="72"/>
      <c r="X305" s="72"/>
      <c r="Y305" s="72"/>
      <c r="Z305" s="72"/>
      <c r="AA305" s="73"/>
      <c r="AB305" s="72"/>
      <c r="AC305" s="641"/>
      <c r="AD305" s="72"/>
      <c r="AE305" s="641"/>
      <c r="AF305" s="641"/>
      <c r="AG305" s="72"/>
      <c r="AH305" s="72"/>
      <c r="AI305" s="72"/>
      <c r="AJ305" s="72"/>
      <c r="AK305" s="72"/>
      <c r="AL305" s="72"/>
      <c r="AM305" s="72"/>
      <c r="AN305" s="73"/>
      <c r="AO305" s="641"/>
      <c r="AP305" s="641"/>
      <c r="AQ305" s="641"/>
      <c r="AR305" s="641"/>
      <c r="AS305" s="641"/>
      <c r="AT305" s="641"/>
      <c r="AU305" s="72"/>
      <c r="AV305" s="73"/>
      <c r="AW305" s="643"/>
      <c r="AX305" s="643"/>
      <c r="AY305" s="643"/>
      <c r="AZ305" s="75"/>
      <c r="BA305" s="75"/>
      <c r="BB305" s="75"/>
    </row>
    <row r="306" spans="2:54" s="560" customFormat="1" ht="16.5" customHeight="1">
      <c r="B306" s="72"/>
      <c r="C306" s="72"/>
      <c r="D306" s="72"/>
      <c r="E306" s="73"/>
      <c r="F306" s="641"/>
      <c r="G306" s="73"/>
      <c r="H306" s="641"/>
      <c r="I306" s="641"/>
      <c r="J306" s="641"/>
      <c r="K306" s="641"/>
      <c r="L306" s="73"/>
      <c r="M306" s="72"/>
      <c r="N306" s="72"/>
      <c r="O306" s="642"/>
      <c r="P306" s="642"/>
      <c r="Q306" s="74"/>
      <c r="R306" s="641"/>
      <c r="S306" s="641"/>
      <c r="T306" s="72"/>
      <c r="U306" s="72"/>
      <c r="V306" s="72"/>
      <c r="W306" s="72"/>
      <c r="X306" s="72"/>
      <c r="Y306" s="72"/>
      <c r="Z306" s="72"/>
      <c r="AA306" s="73"/>
      <c r="AB306" s="72"/>
      <c r="AC306" s="641"/>
      <c r="AD306" s="72"/>
      <c r="AE306" s="641"/>
      <c r="AF306" s="641"/>
      <c r="AG306" s="72"/>
      <c r="AH306" s="72"/>
      <c r="AI306" s="72"/>
      <c r="AJ306" s="72"/>
      <c r="AK306" s="72"/>
      <c r="AL306" s="72"/>
      <c r="AM306" s="72"/>
      <c r="AN306" s="73"/>
      <c r="AO306" s="641"/>
      <c r="AP306" s="641"/>
      <c r="AQ306" s="641"/>
      <c r="AR306" s="641"/>
      <c r="AS306" s="641"/>
      <c r="AT306" s="641"/>
      <c r="AU306" s="72"/>
      <c r="AV306" s="73"/>
      <c r="AW306" s="643"/>
      <c r="AX306" s="643"/>
      <c r="AY306" s="643"/>
      <c r="AZ306" s="75"/>
      <c r="BA306" s="75"/>
      <c r="BB306" s="75"/>
    </row>
    <row r="307" spans="2:54" s="560" customFormat="1" ht="16.5" customHeight="1">
      <c r="B307" s="72"/>
      <c r="C307" s="72"/>
      <c r="D307" s="72"/>
      <c r="E307" s="73"/>
      <c r="F307" s="641"/>
      <c r="G307" s="73"/>
      <c r="H307" s="641"/>
      <c r="I307" s="641"/>
      <c r="J307" s="641"/>
      <c r="K307" s="641"/>
      <c r="L307" s="73"/>
      <c r="M307" s="72"/>
      <c r="N307" s="72"/>
      <c r="O307" s="642"/>
      <c r="P307" s="642"/>
      <c r="Q307" s="74"/>
      <c r="R307" s="641"/>
      <c r="S307" s="641"/>
      <c r="T307" s="72"/>
      <c r="U307" s="72"/>
      <c r="V307" s="72"/>
      <c r="W307" s="72"/>
      <c r="X307" s="72"/>
      <c r="Y307" s="72"/>
      <c r="Z307" s="72"/>
      <c r="AA307" s="73"/>
      <c r="AB307" s="72"/>
      <c r="AC307" s="641"/>
      <c r="AD307" s="72"/>
      <c r="AE307" s="641"/>
      <c r="AF307" s="641"/>
      <c r="AG307" s="72"/>
      <c r="AH307" s="72"/>
      <c r="AI307" s="72"/>
      <c r="AJ307" s="72"/>
      <c r="AK307" s="72"/>
      <c r="AL307" s="72"/>
      <c r="AM307" s="72"/>
      <c r="AN307" s="73"/>
      <c r="AO307" s="641"/>
      <c r="AP307" s="641"/>
      <c r="AQ307" s="641"/>
      <c r="AR307" s="641"/>
      <c r="AS307" s="641"/>
      <c r="AT307" s="641"/>
      <c r="AU307" s="72"/>
      <c r="AV307" s="73"/>
      <c r="AW307" s="643"/>
      <c r="AX307" s="643"/>
      <c r="AY307" s="643"/>
      <c r="AZ307" s="75"/>
      <c r="BA307" s="75"/>
      <c r="BB307" s="75"/>
    </row>
    <row r="308" spans="2:54" s="560" customFormat="1" ht="16.5" customHeight="1">
      <c r="B308" s="72"/>
      <c r="C308" s="72"/>
      <c r="D308" s="72"/>
      <c r="E308" s="73"/>
      <c r="F308" s="641"/>
      <c r="G308" s="73"/>
      <c r="H308" s="641"/>
      <c r="I308" s="641"/>
      <c r="J308" s="641"/>
      <c r="K308" s="641"/>
      <c r="L308" s="73"/>
      <c r="M308" s="72"/>
      <c r="N308" s="72"/>
      <c r="O308" s="642"/>
      <c r="P308" s="642"/>
      <c r="Q308" s="74"/>
      <c r="R308" s="641"/>
      <c r="S308" s="641"/>
      <c r="T308" s="72"/>
      <c r="U308" s="72"/>
      <c r="V308" s="72"/>
      <c r="W308" s="72"/>
      <c r="X308" s="72"/>
      <c r="Y308" s="72"/>
      <c r="Z308" s="72"/>
      <c r="AA308" s="73"/>
      <c r="AB308" s="72"/>
      <c r="AC308" s="641"/>
      <c r="AD308" s="72"/>
      <c r="AE308" s="641"/>
      <c r="AF308" s="641"/>
      <c r="AG308" s="72"/>
      <c r="AH308" s="72"/>
      <c r="AI308" s="72"/>
      <c r="AJ308" s="72"/>
      <c r="AK308" s="72"/>
      <c r="AL308" s="72"/>
      <c r="AM308" s="72"/>
      <c r="AN308" s="73"/>
      <c r="AO308" s="641"/>
      <c r="AP308" s="641"/>
      <c r="AQ308" s="641"/>
      <c r="AR308" s="641"/>
      <c r="AS308" s="641"/>
      <c r="AT308" s="641"/>
      <c r="AU308" s="72"/>
      <c r="AV308" s="73"/>
      <c r="AW308" s="643"/>
      <c r="AX308" s="643"/>
      <c r="AY308" s="643"/>
      <c r="AZ308" s="75"/>
      <c r="BA308" s="75"/>
      <c r="BB308" s="75"/>
    </row>
    <row r="309" spans="2:54" s="560" customFormat="1" ht="16.5" customHeight="1">
      <c r="B309" s="72"/>
      <c r="C309" s="72"/>
      <c r="D309" s="72"/>
      <c r="E309" s="73"/>
      <c r="F309" s="641"/>
      <c r="G309" s="73"/>
      <c r="H309" s="641"/>
      <c r="I309" s="641"/>
      <c r="J309" s="641"/>
      <c r="K309" s="641"/>
      <c r="L309" s="73"/>
      <c r="M309" s="72"/>
      <c r="N309" s="72"/>
      <c r="O309" s="642"/>
      <c r="P309" s="642"/>
      <c r="Q309" s="74"/>
      <c r="R309" s="641"/>
      <c r="S309" s="641"/>
      <c r="T309" s="72"/>
      <c r="U309" s="72"/>
      <c r="V309" s="72"/>
      <c r="W309" s="72"/>
      <c r="X309" s="72"/>
      <c r="Y309" s="72"/>
      <c r="Z309" s="72"/>
      <c r="AA309" s="73"/>
      <c r="AB309" s="72"/>
      <c r="AC309" s="641"/>
      <c r="AD309" s="72"/>
      <c r="AE309" s="641"/>
      <c r="AF309" s="641"/>
      <c r="AG309" s="72"/>
      <c r="AH309" s="72"/>
      <c r="AI309" s="72"/>
      <c r="AJ309" s="72"/>
      <c r="AK309" s="72"/>
      <c r="AL309" s="72"/>
      <c r="AM309" s="72"/>
      <c r="AN309" s="73"/>
      <c r="AO309" s="641"/>
      <c r="AP309" s="641"/>
      <c r="AQ309" s="641"/>
      <c r="AR309" s="641"/>
      <c r="AS309" s="641"/>
      <c r="AT309" s="641"/>
      <c r="AU309" s="72"/>
      <c r="AV309" s="73"/>
      <c r="AW309" s="643"/>
      <c r="AX309" s="643"/>
      <c r="AY309" s="643"/>
      <c r="AZ309" s="75"/>
      <c r="BA309" s="75"/>
      <c r="BB309" s="75"/>
    </row>
    <row r="310" spans="2:54" s="560" customFormat="1" ht="16.5" customHeight="1">
      <c r="B310" s="72"/>
      <c r="C310" s="72"/>
      <c r="D310" s="72"/>
      <c r="E310" s="73"/>
      <c r="F310" s="641"/>
      <c r="G310" s="73"/>
      <c r="H310" s="641"/>
      <c r="I310" s="641"/>
      <c r="J310" s="641"/>
      <c r="K310" s="641"/>
      <c r="L310" s="73"/>
      <c r="M310" s="72"/>
      <c r="N310" s="72"/>
      <c r="O310" s="642"/>
      <c r="P310" s="642"/>
      <c r="Q310" s="74"/>
      <c r="R310" s="641"/>
      <c r="S310" s="641"/>
      <c r="T310" s="72"/>
      <c r="U310" s="72"/>
      <c r="V310" s="72"/>
      <c r="W310" s="72"/>
      <c r="X310" s="72"/>
      <c r="Y310" s="72"/>
      <c r="Z310" s="72"/>
      <c r="AA310" s="73"/>
      <c r="AB310" s="72"/>
      <c r="AC310" s="641"/>
      <c r="AD310" s="72"/>
      <c r="AE310" s="641"/>
      <c r="AF310" s="641"/>
      <c r="AG310" s="72"/>
      <c r="AH310" s="72"/>
      <c r="AI310" s="72"/>
      <c r="AJ310" s="72"/>
      <c r="AK310" s="72"/>
      <c r="AL310" s="72"/>
      <c r="AM310" s="72"/>
      <c r="AN310" s="73"/>
      <c r="AO310" s="641"/>
      <c r="AP310" s="641"/>
      <c r="AQ310" s="641"/>
      <c r="AR310" s="641"/>
      <c r="AS310" s="641"/>
      <c r="AT310" s="641"/>
      <c r="AU310" s="72"/>
      <c r="AV310" s="73"/>
      <c r="AW310" s="643"/>
      <c r="AX310" s="643"/>
      <c r="AY310" s="643"/>
      <c r="AZ310" s="75"/>
      <c r="BA310" s="75"/>
      <c r="BB310" s="75"/>
    </row>
    <row r="311" spans="2:54" s="560" customFormat="1" ht="16.5" customHeight="1">
      <c r="B311" s="72"/>
      <c r="C311" s="72"/>
      <c r="D311" s="72"/>
      <c r="E311" s="73"/>
      <c r="F311" s="641"/>
      <c r="G311" s="73"/>
      <c r="H311" s="641"/>
      <c r="I311" s="641"/>
      <c r="J311" s="641"/>
      <c r="K311" s="641"/>
      <c r="L311" s="73"/>
      <c r="M311" s="72"/>
      <c r="N311" s="72"/>
      <c r="O311" s="642"/>
      <c r="P311" s="642"/>
      <c r="Q311" s="74"/>
      <c r="R311" s="641"/>
      <c r="S311" s="641"/>
      <c r="T311" s="72"/>
      <c r="U311" s="72"/>
      <c r="V311" s="72"/>
      <c r="W311" s="72"/>
      <c r="X311" s="72"/>
      <c r="Y311" s="72"/>
      <c r="Z311" s="72"/>
      <c r="AA311" s="73"/>
      <c r="AB311" s="72"/>
      <c r="AC311" s="641"/>
      <c r="AD311" s="72"/>
      <c r="AE311" s="641"/>
      <c r="AF311" s="641"/>
      <c r="AG311" s="72"/>
      <c r="AH311" s="72"/>
      <c r="AI311" s="72"/>
      <c r="AJ311" s="72"/>
      <c r="AK311" s="72"/>
      <c r="AL311" s="72"/>
      <c r="AM311" s="72"/>
      <c r="AN311" s="73"/>
      <c r="AO311" s="641"/>
      <c r="AP311" s="641"/>
      <c r="AQ311" s="641"/>
      <c r="AR311" s="641"/>
      <c r="AS311" s="641"/>
      <c r="AT311" s="641"/>
      <c r="AU311" s="72"/>
      <c r="AV311" s="73"/>
      <c r="AW311" s="643"/>
      <c r="AX311" s="643"/>
      <c r="AY311" s="643"/>
      <c r="AZ311" s="75"/>
      <c r="BA311" s="75"/>
      <c r="BB311" s="75"/>
    </row>
    <row r="312" spans="2:54" s="560" customFormat="1" ht="16.5" customHeight="1">
      <c r="B312" s="72"/>
      <c r="C312" s="72"/>
      <c r="D312" s="72"/>
      <c r="E312" s="73"/>
      <c r="F312" s="641"/>
      <c r="G312" s="73"/>
      <c r="H312" s="641"/>
      <c r="I312" s="641"/>
      <c r="J312" s="641"/>
      <c r="K312" s="641"/>
      <c r="L312" s="73"/>
      <c r="M312" s="72"/>
      <c r="N312" s="72"/>
      <c r="O312" s="642"/>
      <c r="P312" s="642"/>
      <c r="Q312" s="74"/>
      <c r="R312" s="641"/>
      <c r="S312" s="641"/>
      <c r="T312" s="72"/>
      <c r="U312" s="72"/>
      <c r="V312" s="72"/>
      <c r="W312" s="72"/>
      <c r="X312" s="72"/>
      <c r="Y312" s="72"/>
      <c r="Z312" s="72"/>
      <c r="AA312" s="73"/>
      <c r="AB312" s="72"/>
      <c r="AC312" s="641"/>
      <c r="AD312" s="72"/>
      <c r="AE312" s="641"/>
      <c r="AF312" s="641"/>
      <c r="AG312" s="72"/>
      <c r="AH312" s="72"/>
      <c r="AI312" s="72"/>
      <c r="AJ312" s="72"/>
      <c r="AK312" s="72"/>
      <c r="AL312" s="72"/>
      <c r="AM312" s="72"/>
      <c r="AN312" s="73"/>
      <c r="AO312" s="641"/>
      <c r="AP312" s="641"/>
      <c r="AQ312" s="641"/>
      <c r="AR312" s="641"/>
      <c r="AS312" s="641"/>
      <c r="AT312" s="641"/>
      <c r="AU312" s="72"/>
      <c r="AV312" s="73"/>
      <c r="AW312" s="643"/>
      <c r="AX312" s="643"/>
      <c r="AY312" s="643"/>
      <c r="AZ312" s="75"/>
      <c r="BA312" s="75"/>
      <c r="BB312" s="75"/>
    </row>
    <row r="313" spans="2:54" s="560" customFormat="1" ht="16.5" customHeight="1">
      <c r="B313" s="72"/>
      <c r="C313" s="72"/>
      <c r="D313" s="72"/>
      <c r="E313" s="73"/>
      <c r="F313" s="641"/>
      <c r="G313" s="73"/>
      <c r="H313" s="641"/>
      <c r="I313" s="641"/>
      <c r="J313" s="641"/>
      <c r="K313" s="641"/>
      <c r="L313" s="73"/>
      <c r="M313" s="72"/>
      <c r="N313" s="72"/>
      <c r="O313" s="642"/>
      <c r="P313" s="642"/>
      <c r="Q313" s="74"/>
      <c r="R313" s="641"/>
      <c r="S313" s="641"/>
      <c r="T313" s="72"/>
      <c r="U313" s="72"/>
      <c r="V313" s="72"/>
      <c r="W313" s="72"/>
      <c r="X313" s="72"/>
      <c r="Y313" s="72"/>
      <c r="Z313" s="72"/>
      <c r="AA313" s="73"/>
      <c r="AB313" s="72"/>
      <c r="AC313" s="641"/>
      <c r="AD313" s="72"/>
      <c r="AE313" s="641"/>
      <c r="AF313" s="641"/>
      <c r="AG313" s="72"/>
      <c r="AH313" s="72"/>
      <c r="AI313" s="72"/>
      <c r="AJ313" s="72"/>
      <c r="AK313" s="72"/>
      <c r="AL313" s="72"/>
      <c r="AM313" s="72"/>
      <c r="AN313" s="73"/>
      <c r="AO313" s="641"/>
      <c r="AP313" s="641"/>
      <c r="AQ313" s="641"/>
      <c r="AR313" s="641"/>
      <c r="AS313" s="641"/>
      <c r="AT313" s="641"/>
      <c r="AU313" s="72"/>
      <c r="AV313" s="73"/>
      <c r="AW313" s="643"/>
      <c r="AX313" s="643"/>
      <c r="AY313" s="643"/>
      <c r="AZ313" s="75"/>
      <c r="BA313" s="75"/>
      <c r="BB313" s="75"/>
    </row>
    <row r="314" spans="2:54" s="560" customFormat="1" ht="16.5" customHeight="1">
      <c r="B314" s="72"/>
      <c r="C314" s="72"/>
      <c r="D314" s="72"/>
      <c r="E314" s="73"/>
      <c r="F314" s="641"/>
      <c r="G314" s="73"/>
      <c r="H314" s="641"/>
      <c r="I314" s="641"/>
      <c r="J314" s="641"/>
      <c r="K314" s="641"/>
      <c r="L314" s="73"/>
      <c r="M314" s="72"/>
      <c r="N314" s="72"/>
      <c r="O314" s="642"/>
      <c r="P314" s="642"/>
      <c r="Q314" s="74"/>
      <c r="R314" s="641"/>
      <c r="S314" s="641"/>
      <c r="T314" s="72"/>
      <c r="U314" s="72"/>
      <c r="V314" s="72"/>
      <c r="W314" s="72"/>
      <c r="X314" s="72"/>
      <c r="Y314" s="72"/>
      <c r="Z314" s="72"/>
      <c r="AA314" s="73"/>
      <c r="AB314" s="72"/>
      <c r="AC314" s="641"/>
      <c r="AD314" s="72"/>
      <c r="AE314" s="641"/>
      <c r="AF314" s="641"/>
      <c r="AG314" s="72"/>
      <c r="AH314" s="72"/>
      <c r="AI314" s="72"/>
      <c r="AJ314" s="72"/>
      <c r="AK314" s="72"/>
      <c r="AL314" s="72"/>
      <c r="AM314" s="72"/>
      <c r="AN314" s="73"/>
      <c r="AO314" s="641"/>
      <c r="AP314" s="641"/>
      <c r="AQ314" s="641"/>
      <c r="AR314" s="641"/>
      <c r="AS314" s="641"/>
      <c r="AT314" s="641"/>
      <c r="AU314" s="72"/>
      <c r="AV314" s="73"/>
      <c r="AW314" s="643"/>
      <c r="AX314" s="643"/>
      <c r="AY314" s="643"/>
      <c r="AZ314" s="75"/>
      <c r="BA314" s="75"/>
      <c r="BB314" s="75"/>
    </row>
    <row r="315" spans="2:54" s="560" customFormat="1" ht="16.5" customHeight="1">
      <c r="B315" s="72"/>
      <c r="C315" s="72"/>
      <c r="D315" s="72"/>
      <c r="E315" s="73"/>
      <c r="F315" s="641"/>
      <c r="G315" s="73"/>
      <c r="H315" s="641"/>
      <c r="I315" s="641"/>
      <c r="J315" s="641"/>
      <c r="K315" s="641"/>
      <c r="L315" s="73"/>
      <c r="M315" s="72"/>
      <c r="N315" s="72"/>
      <c r="O315" s="642"/>
      <c r="P315" s="642"/>
      <c r="Q315" s="74"/>
      <c r="R315" s="641"/>
      <c r="S315" s="641"/>
      <c r="T315" s="72"/>
      <c r="U315" s="72"/>
      <c r="V315" s="72"/>
      <c r="W315" s="72"/>
      <c r="X315" s="72"/>
      <c r="Y315" s="72"/>
      <c r="Z315" s="72"/>
      <c r="AA315" s="73"/>
      <c r="AB315" s="72"/>
      <c r="AC315" s="641"/>
      <c r="AD315" s="72"/>
      <c r="AE315" s="641"/>
      <c r="AF315" s="641"/>
      <c r="AG315" s="72"/>
      <c r="AH315" s="72"/>
      <c r="AI315" s="72"/>
      <c r="AJ315" s="72"/>
      <c r="AK315" s="72"/>
      <c r="AL315" s="72"/>
      <c r="AM315" s="72"/>
      <c r="AN315" s="73"/>
      <c r="AO315" s="641"/>
      <c r="AP315" s="641"/>
      <c r="AQ315" s="641"/>
      <c r="AR315" s="641"/>
      <c r="AS315" s="641"/>
      <c r="AT315" s="641"/>
      <c r="AU315" s="72"/>
      <c r="AV315" s="73"/>
      <c r="AW315" s="643"/>
      <c r="AX315" s="643"/>
      <c r="AY315" s="643"/>
      <c r="AZ315" s="75"/>
      <c r="BA315" s="75"/>
      <c r="BB315" s="75"/>
    </row>
    <row r="316" spans="2:54" s="560" customFormat="1" ht="16.5" customHeight="1">
      <c r="B316" s="72"/>
      <c r="C316" s="72"/>
      <c r="D316" s="72"/>
      <c r="E316" s="73"/>
      <c r="F316" s="641"/>
      <c r="G316" s="73"/>
      <c r="H316" s="641"/>
      <c r="I316" s="641"/>
      <c r="J316" s="641"/>
      <c r="K316" s="641"/>
      <c r="L316" s="73"/>
      <c r="M316" s="72"/>
      <c r="N316" s="72"/>
      <c r="O316" s="642"/>
      <c r="P316" s="642"/>
      <c r="Q316" s="74"/>
      <c r="R316" s="641"/>
      <c r="S316" s="641"/>
      <c r="T316" s="72"/>
      <c r="U316" s="72"/>
      <c r="V316" s="72"/>
      <c r="W316" s="72"/>
      <c r="X316" s="72"/>
      <c r="Y316" s="72"/>
      <c r="Z316" s="72"/>
      <c r="AA316" s="73"/>
      <c r="AB316" s="72"/>
      <c r="AC316" s="641"/>
      <c r="AD316" s="72"/>
      <c r="AE316" s="641"/>
      <c r="AF316" s="641"/>
      <c r="AG316" s="72"/>
      <c r="AH316" s="72"/>
      <c r="AI316" s="72"/>
      <c r="AJ316" s="72"/>
      <c r="AK316" s="72"/>
      <c r="AL316" s="72"/>
      <c r="AM316" s="72"/>
      <c r="AN316" s="73"/>
      <c r="AO316" s="641"/>
      <c r="AP316" s="641"/>
      <c r="AQ316" s="641"/>
      <c r="AR316" s="641"/>
      <c r="AS316" s="641"/>
      <c r="AT316" s="641"/>
      <c r="AU316" s="72"/>
      <c r="AV316" s="73"/>
      <c r="AW316" s="643"/>
      <c r="AX316" s="643"/>
      <c r="AY316" s="643"/>
      <c r="AZ316" s="75"/>
      <c r="BA316" s="75"/>
      <c r="BB316" s="75"/>
    </row>
    <row r="317" spans="2:54" s="560" customFormat="1" ht="16.5" customHeight="1">
      <c r="B317" s="72"/>
      <c r="C317" s="72"/>
      <c r="D317" s="72"/>
      <c r="E317" s="73"/>
      <c r="F317" s="641"/>
      <c r="G317" s="73"/>
      <c r="H317" s="641"/>
      <c r="I317" s="641"/>
      <c r="J317" s="641"/>
      <c r="K317" s="641"/>
      <c r="L317" s="73"/>
      <c r="M317" s="72"/>
      <c r="N317" s="72"/>
      <c r="O317" s="642"/>
      <c r="P317" s="642"/>
      <c r="Q317" s="74"/>
      <c r="R317" s="641"/>
      <c r="S317" s="641"/>
      <c r="T317" s="72"/>
      <c r="U317" s="72"/>
      <c r="V317" s="72"/>
      <c r="W317" s="72"/>
      <c r="X317" s="72"/>
      <c r="Y317" s="72"/>
      <c r="Z317" s="72"/>
      <c r="AA317" s="73"/>
      <c r="AB317" s="72"/>
      <c r="AC317" s="641"/>
      <c r="AD317" s="72"/>
      <c r="AE317" s="641"/>
      <c r="AF317" s="641"/>
      <c r="AG317" s="72"/>
      <c r="AH317" s="72"/>
      <c r="AI317" s="72"/>
      <c r="AJ317" s="72"/>
      <c r="AK317" s="72"/>
      <c r="AL317" s="72"/>
      <c r="AM317" s="72"/>
      <c r="AN317" s="73"/>
      <c r="AO317" s="641"/>
      <c r="AP317" s="641"/>
      <c r="AQ317" s="641"/>
      <c r="AR317" s="641"/>
      <c r="AS317" s="641"/>
      <c r="AT317" s="641"/>
      <c r="AU317" s="72"/>
      <c r="AV317" s="73"/>
      <c r="AW317" s="643"/>
      <c r="AX317" s="643"/>
      <c r="AY317" s="643"/>
      <c r="AZ317" s="75"/>
      <c r="BA317" s="75"/>
      <c r="BB317" s="75"/>
    </row>
    <row r="318" spans="2:54" s="560" customFormat="1" ht="16.5" customHeight="1">
      <c r="B318" s="72"/>
      <c r="C318" s="72"/>
      <c r="D318" s="72"/>
      <c r="E318" s="73"/>
      <c r="F318" s="641"/>
      <c r="G318" s="73"/>
      <c r="H318" s="641"/>
      <c r="I318" s="641"/>
      <c r="J318" s="641"/>
      <c r="K318" s="641"/>
      <c r="L318" s="73"/>
      <c r="M318" s="72"/>
      <c r="N318" s="72"/>
      <c r="O318" s="642"/>
      <c r="P318" s="642"/>
      <c r="Q318" s="74"/>
      <c r="R318" s="641"/>
      <c r="S318" s="641"/>
      <c r="T318" s="72"/>
      <c r="U318" s="72"/>
      <c r="V318" s="72"/>
      <c r="W318" s="72"/>
      <c r="X318" s="72"/>
      <c r="Y318" s="72"/>
      <c r="Z318" s="72"/>
      <c r="AA318" s="73"/>
      <c r="AB318" s="72"/>
      <c r="AC318" s="641"/>
      <c r="AD318" s="72"/>
      <c r="AE318" s="641"/>
      <c r="AF318" s="641"/>
      <c r="AG318" s="72"/>
      <c r="AH318" s="72"/>
      <c r="AI318" s="72"/>
      <c r="AJ318" s="72"/>
      <c r="AK318" s="72"/>
      <c r="AL318" s="72"/>
      <c r="AM318" s="72"/>
      <c r="AN318" s="73"/>
      <c r="AO318" s="641"/>
      <c r="AP318" s="641"/>
      <c r="AQ318" s="641"/>
      <c r="AR318" s="641"/>
      <c r="AS318" s="641"/>
      <c r="AT318" s="641"/>
      <c r="AU318" s="72"/>
      <c r="AV318" s="73"/>
      <c r="AW318" s="643"/>
      <c r="AX318" s="643"/>
      <c r="AY318" s="643"/>
      <c r="AZ318" s="75"/>
      <c r="BA318" s="75"/>
      <c r="BB318" s="75"/>
    </row>
    <row r="319" spans="2:54" s="560" customFormat="1" ht="16.5" customHeight="1">
      <c r="B319" s="72"/>
      <c r="C319" s="72"/>
      <c r="D319" s="72"/>
      <c r="E319" s="73"/>
      <c r="F319" s="641"/>
      <c r="G319" s="73"/>
      <c r="H319" s="641"/>
      <c r="I319" s="641"/>
      <c r="J319" s="641"/>
      <c r="K319" s="641"/>
      <c r="L319" s="73"/>
      <c r="M319" s="72"/>
      <c r="N319" s="72"/>
      <c r="O319" s="642"/>
      <c r="P319" s="642"/>
      <c r="Q319" s="74"/>
      <c r="R319" s="641"/>
      <c r="S319" s="641"/>
      <c r="T319" s="72"/>
      <c r="U319" s="72"/>
      <c r="V319" s="72"/>
      <c r="W319" s="72"/>
      <c r="X319" s="72"/>
      <c r="Y319" s="72"/>
      <c r="Z319" s="72"/>
      <c r="AA319" s="73"/>
      <c r="AB319" s="72"/>
      <c r="AC319" s="641"/>
      <c r="AD319" s="72"/>
      <c r="AE319" s="641"/>
      <c r="AF319" s="641"/>
      <c r="AG319" s="72"/>
      <c r="AH319" s="72"/>
      <c r="AI319" s="72"/>
      <c r="AJ319" s="72"/>
      <c r="AK319" s="72"/>
      <c r="AL319" s="72"/>
      <c r="AM319" s="72"/>
      <c r="AN319" s="73"/>
      <c r="AO319" s="641"/>
      <c r="AP319" s="641"/>
      <c r="AQ319" s="641"/>
      <c r="AR319" s="641"/>
      <c r="AS319" s="641"/>
      <c r="AT319" s="641"/>
      <c r="AU319" s="72"/>
      <c r="AV319" s="73"/>
      <c r="AW319" s="643"/>
      <c r="AX319" s="643"/>
      <c r="AY319" s="643"/>
      <c r="AZ319" s="75"/>
      <c r="BA319" s="75"/>
      <c r="BB319" s="75"/>
    </row>
    <row r="320" spans="2:54" s="560" customFormat="1" ht="16.5" customHeight="1">
      <c r="B320" s="72"/>
      <c r="C320" s="72"/>
      <c r="D320" s="72"/>
      <c r="E320" s="73"/>
      <c r="F320" s="641"/>
      <c r="G320" s="73"/>
      <c r="H320" s="641"/>
      <c r="I320" s="641"/>
      <c r="J320" s="641"/>
      <c r="K320" s="641"/>
      <c r="L320" s="73"/>
      <c r="M320" s="72"/>
      <c r="N320" s="72"/>
      <c r="O320" s="642"/>
      <c r="P320" s="642"/>
      <c r="Q320" s="74"/>
      <c r="R320" s="641"/>
      <c r="S320" s="641"/>
      <c r="T320" s="72"/>
      <c r="U320" s="72"/>
      <c r="V320" s="72"/>
      <c r="W320" s="72"/>
      <c r="X320" s="72"/>
      <c r="Y320" s="72"/>
      <c r="Z320" s="72"/>
      <c r="AA320" s="73"/>
      <c r="AB320" s="72"/>
      <c r="AC320" s="641"/>
      <c r="AD320" s="72"/>
      <c r="AE320" s="641"/>
      <c r="AF320" s="641"/>
      <c r="AG320" s="72"/>
      <c r="AH320" s="72"/>
      <c r="AI320" s="72"/>
      <c r="AJ320" s="72"/>
      <c r="AK320" s="72"/>
      <c r="AL320" s="72"/>
      <c r="AM320" s="72"/>
      <c r="AN320" s="73"/>
      <c r="AO320" s="641"/>
      <c r="AP320" s="641"/>
      <c r="AQ320" s="641"/>
      <c r="AR320" s="641"/>
      <c r="AS320" s="641"/>
      <c r="AT320" s="641"/>
      <c r="AU320" s="72"/>
      <c r="AV320" s="73"/>
      <c r="AW320" s="643"/>
      <c r="AX320" s="643"/>
      <c r="AY320" s="643"/>
      <c r="AZ320" s="75"/>
      <c r="BA320" s="75"/>
      <c r="BB320" s="75"/>
    </row>
    <row r="321" spans="2:54" s="560" customFormat="1" ht="16.5" customHeight="1">
      <c r="B321" s="72"/>
      <c r="C321" s="72"/>
      <c r="D321" s="72"/>
      <c r="E321" s="73"/>
      <c r="F321" s="641"/>
      <c r="G321" s="73"/>
      <c r="H321" s="641"/>
      <c r="I321" s="641"/>
      <c r="J321" s="641"/>
      <c r="K321" s="641"/>
      <c r="L321" s="73"/>
      <c r="M321" s="72"/>
      <c r="N321" s="72"/>
      <c r="O321" s="642"/>
      <c r="P321" s="642"/>
      <c r="Q321" s="74"/>
      <c r="R321" s="641"/>
      <c r="S321" s="641"/>
      <c r="T321" s="72"/>
      <c r="U321" s="72"/>
      <c r="V321" s="72"/>
      <c r="W321" s="72"/>
      <c r="X321" s="72"/>
      <c r="Y321" s="72"/>
      <c r="Z321" s="72"/>
      <c r="AA321" s="73"/>
      <c r="AB321" s="72"/>
      <c r="AC321" s="641"/>
      <c r="AD321" s="72"/>
      <c r="AE321" s="641"/>
      <c r="AF321" s="641"/>
      <c r="AG321" s="72"/>
      <c r="AH321" s="72"/>
      <c r="AI321" s="72"/>
      <c r="AJ321" s="72"/>
      <c r="AK321" s="72"/>
      <c r="AL321" s="72"/>
      <c r="AM321" s="72"/>
      <c r="AN321" s="73"/>
      <c r="AO321" s="641"/>
      <c r="AP321" s="641"/>
      <c r="AQ321" s="641"/>
      <c r="AR321" s="641"/>
      <c r="AS321" s="641"/>
      <c r="AT321" s="641"/>
      <c r="AU321" s="72"/>
      <c r="AV321" s="73"/>
      <c r="AW321" s="643"/>
      <c r="AX321" s="643"/>
      <c r="AY321" s="643"/>
      <c r="AZ321" s="75"/>
      <c r="BA321" s="75"/>
      <c r="BB321" s="75"/>
    </row>
    <row r="322" spans="2:54" s="560" customFormat="1" ht="16.5" customHeight="1">
      <c r="B322" s="72"/>
      <c r="C322" s="72"/>
      <c r="D322" s="72"/>
      <c r="E322" s="73"/>
      <c r="F322" s="641"/>
      <c r="G322" s="73"/>
      <c r="H322" s="641"/>
      <c r="I322" s="641"/>
      <c r="J322" s="641"/>
      <c r="K322" s="641"/>
      <c r="L322" s="73"/>
      <c r="M322" s="72"/>
      <c r="N322" s="72"/>
      <c r="O322" s="642"/>
      <c r="P322" s="642"/>
      <c r="Q322" s="74"/>
      <c r="R322" s="641"/>
      <c r="S322" s="641"/>
      <c r="T322" s="72"/>
      <c r="U322" s="72"/>
      <c r="V322" s="72"/>
      <c r="W322" s="72"/>
      <c r="X322" s="72"/>
      <c r="Y322" s="72"/>
      <c r="Z322" s="72"/>
      <c r="AA322" s="73"/>
      <c r="AB322" s="72"/>
      <c r="AC322" s="641"/>
      <c r="AD322" s="72"/>
      <c r="AE322" s="641"/>
      <c r="AF322" s="641"/>
      <c r="AG322" s="72"/>
      <c r="AH322" s="72"/>
      <c r="AI322" s="72"/>
      <c r="AJ322" s="72"/>
      <c r="AK322" s="72"/>
      <c r="AL322" s="72"/>
      <c r="AM322" s="72"/>
      <c r="AN322" s="73"/>
      <c r="AO322" s="641"/>
      <c r="AP322" s="641"/>
      <c r="AQ322" s="641"/>
      <c r="AR322" s="641"/>
      <c r="AS322" s="641"/>
      <c r="AT322" s="641"/>
      <c r="AU322" s="72"/>
      <c r="AV322" s="73"/>
      <c r="AW322" s="643"/>
      <c r="AX322" s="643"/>
      <c r="AY322" s="643"/>
      <c r="AZ322" s="75"/>
      <c r="BA322" s="75"/>
      <c r="BB322" s="75"/>
    </row>
    <row r="323" spans="2:54" s="560" customFormat="1" ht="16.5" customHeight="1">
      <c r="B323" s="72"/>
      <c r="C323" s="72"/>
      <c r="D323" s="72"/>
      <c r="E323" s="73"/>
      <c r="F323" s="641"/>
      <c r="G323" s="73"/>
      <c r="H323" s="641"/>
      <c r="I323" s="641"/>
      <c r="J323" s="641"/>
      <c r="K323" s="641"/>
      <c r="L323" s="73"/>
      <c r="M323" s="72"/>
      <c r="N323" s="72"/>
      <c r="O323" s="642"/>
      <c r="P323" s="642"/>
      <c r="Q323" s="74"/>
      <c r="R323" s="641"/>
      <c r="S323" s="641"/>
      <c r="T323" s="72"/>
      <c r="U323" s="72"/>
      <c r="V323" s="72"/>
      <c r="W323" s="72"/>
      <c r="X323" s="72"/>
      <c r="Y323" s="72"/>
      <c r="Z323" s="72"/>
      <c r="AA323" s="73"/>
      <c r="AB323" s="72"/>
      <c r="AC323" s="641"/>
      <c r="AD323" s="72"/>
      <c r="AE323" s="641"/>
      <c r="AF323" s="641"/>
      <c r="AG323" s="72"/>
      <c r="AH323" s="72"/>
      <c r="AI323" s="72"/>
      <c r="AJ323" s="72"/>
      <c r="AK323" s="72"/>
      <c r="AL323" s="72"/>
      <c r="AM323" s="72"/>
      <c r="AN323" s="73"/>
      <c r="AO323" s="641"/>
      <c r="AP323" s="641"/>
      <c r="AQ323" s="641"/>
      <c r="AR323" s="641"/>
      <c r="AS323" s="641"/>
      <c r="AT323" s="641"/>
      <c r="AU323" s="72"/>
      <c r="AV323" s="73"/>
      <c r="AW323" s="643"/>
      <c r="AX323" s="643"/>
      <c r="AY323" s="643"/>
      <c r="AZ323" s="75"/>
      <c r="BA323" s="75"/>
      <c r="BB323" s="75"/>
    </row>
    <row r="324" spans="2:54" s="560" customFormat="1" ht="16.5" customHeight="1">
      <c r="B324" s="72"/>
      <c r="C324" s="72"/>
      <c r="D324" s="72"/>
      <c r="E324" s="73"/>
      <c r="F324" s="641"/>
      <c r="G324" s="73"/>
      <c r="H324" s="641"/>
      <c r="I324" s="641"/>
      <c r="J324" s="641"/>
      <c r="K324" s="641"/>
      <c r="L324" s="73"/>
      <c r="M324" s="72"/>
      <c r="N324" s="72"/>
      <c r="O324" s="642"/>
      <c r="P324" s="642"/>
      <c r="Q324" s="74"/>
      <c r="R324" s="641"/>
      <c r="S324" s="641"/>
      <c r="T324" s="72"/>
      <c r="U324" s="72"/>
      <c r="V324" s="72"/>
      <c r="W324" s="72"/>
      <c r="X324" s="72"/>
      <c r="Y324" s="72"/>
      <c r="Z324" s="72"/>
      <c r="AA324" s="73"/>
      <c r="AB324" s="72"/>
      <c r="AC324" s="641"/>
      <c r="AD324" s="72"/>
      <c r="AE324" s="641"/>
      <c r="AF324" s="641"/>
      <c r="AG324" s="72"/>
      <c r="AH324" s="72"/>
      <c r="AI324" s="72"/>
      <c r="AJ324" s="72"/>
      <c r="AK324" s="72"/>
      <c r="AL324" s="72"/>
      <c r="AM324" s="72"/>
      <c r="AN324" s="73"/>
      <c r="AO324" s="641"/>
      <c r="AP324" s="641"/>
      <c r="AQ324" s="641"/>
      <c r="AR324" s="641"/>
      <c r="AS324" s="641"/>
      <c r="AT324" s="641"/>
      <c r="AU324" s="72"/>
      <c r="AV324" s="73"/>
      <c r="AW324" s="643"/>
      <c r="AX324" s="643"/>
      <c r="AY324" s="643"/>
      <c r="AZ324" s="75"/>
      <c r="BA324" s="75"/>
      <c r="BB324" s="75"/>
    </row>
    <row r="325" spans="2:54" s="560" customFormat="1" ht="16.5" customHeight="1">
      <c r="B325" s="72"/>
      <c r="C325" s="72"/>
      <c r="D325" s="72"/>
      <c r="E325" s="73"/>
      <c r="F325" s="641"/>
      <c r="G325" s="73"/>
      <c r="H325" s="641"/>
      <c r="I325" s="641"/>
      <c r="J325" s="641"/>
      <c r="K325" s="641"/>
      <c r="L325" s="73"/>
      <c r="M325" s="72"/>
      <c r="N325" s="72"/>
      <c r="O325" s="642"/>
      <c r="P325" s="642"/>
      <c r="Q325" s="74"/>
      <c r="R325" s="641"/>
      <c r="S325" s="641"/>
      <c r="T325" s="72"/>
      <c r="U325" s="72"/>
      <c r="V325" s="72"/>
      <c r="W325" s="72"/>
      <c r="X325" s="72"/>
      <c r="Y325" s="72"/>
      <c r="Z325" s="72"/>
      <c r="AA325" s="73"/>
      <c r="AB325" s="72"/>
      <c r="AC325" s="641"/>
      <c r="AD325" s="72"/>
      <c r="AE325" s="641"/>
      <c r="AF325" s="641"/>
      <c r="AG325" s="72"/>
      <c r="AH325" s="72"/>
      <c r="AI325" s="72"/>
      <c r="AJ325" s="72"/>
      <c r="AK325" s="72"/>
      <c r="AL325" s="72"/>
      <c r="AM325" s="72"/>
      <c r="AN325" s="73"/>
      <c r="AO325" s="641"/>
      <c r="AP325" s="641"/>
      <c r="AQ325" s="641"/>
      <c r="AR325" s="641"/>
      <c r="AS325" s="641"/>
      <c r="AT325" s="641"/>
      <c r="AU325" s="72"/>
      <c r="AV325" s="73"/>
      <c r="AW325" s="643"/>
      <c r="AX325" s="643"/>
      <c r="AY325" s="643"/>
      <c r="AZ325" s="75"/>
      <c r="BA325" s="75"/>
      <c r="BB325" s="75"/>
    </row>
    <row r="326" spans="2:54" s="560" customFormat="1" ht="16.5" customHeight="1">
      <c r="B326" s="72"/>
      <c r="C326" s="72"/>
      <c r="D326" s="72"/>
      <c r="E326" s="73"/>
      <c r="F326" s="641"/>
      <c r="G326" s="73"/>
      <c r="H326" s="641"/>
      <c r="I326" s="641"/>
      <c r="J326" s="641"/>
      <c r="K326" s="641"/>
      <c r="L326" s="73"/>
      <c r="M326" s="72"/>
      <c r="N326" s="72"/>
      <c r="O326" s="642"/>
      <c r="P326" s="642"/>
      <c r="Q326" s="74"/>
      <c r="R326" s="641"/>
      <c r="S326" s="641"/>
      <c r="T326" s="72"/>
      <c r="U326" s="72"/>
      <c r="V326" s="72"/>
      <c r="W326" s="72"/>
      <c r="X326" s="72"/>
      <c r="Y326" s="72"/>
      <c r="Z326" s="72"/>
      <c r="AA326" s="73"/>
      <c r="AB326" s="72"/>
      <c r="AC326" s="641"/>
      <c r="AD326" s="72"/>
      <c r="AE326" s="641"/>
      <c r="AF326" s="641"/>
      <c r="AG326" s="72"/>
      <c r="AH326" s="72"/>
      <c r="AI326" s="72"/>
      <c r="AJ326" s="72"/>
      <c r="AK326" s="72"/>
      <c r="AL326" s="72"/>
      <c r="AM326" s="72"/>
      <c r="AN326" s="73"/>
      <c r="AO326" s="641"/>
      <c r="AP326" s="641"/>
      <c r="AQ326" s="641"/>
      <c r="AR326" s="641"/>
      <c r="AS326" s="641"/>
      <c r="AT326" s="641"/>
      <c r="AU326" s="72"/>
      <c r="AV326" s="73"/>
      <c r="AW326" s="643"/>
      <c r="AX326" s="643"/>
      <c r="AY326" s="643"/>
      <c r="AZ326" s="75"/>
      <c r="BA326" s="75"/>
      <c r="BB326" s="75"/>
    </row>
    <row r="327" spans="2:54" s="560" customFormat="1" ht="16.5" customHeight="1">
      <c r="B327" s="72"/>
      <c r="C327" s="72"/>
      <c r="D327" s="72"/>
      <c r="E327" s="73"/>
      <c r="F327" s="641"/>
      <c r="G327" s="73"/>
      <c r="H327" s="641"/>
      <c r="I327" s="641"/>
      <c r="J327" s="641"/>
      <c r="K327" s="641"/>
      <c r="L327" s="73"/>
      <c r="M327" s="72"/>
      <c r="N327" s="72"/>
      <c r="O327" s="642"/>
      <c r="P327" s="642"/>
      <c r="Q327" s="74"/>
      <c r="R327" s="641"/>
      <c r="S327" s="641"/>
      <c r="T327" s="72"/>
      <c r="U327" s="72"/>
      <c r="V327" s="72"/>
      <c r="W327" s="72"/>
      <c r="X327" s="72"/>
      <c r="Y327" s="72"/>
      <c r="Z327" s="72"/>
      <c r="AA327" s="73"/>
      <c r="AB327" s="72"/>
      <c r="AC327" s="641"/>
      <c r="AD327" s="72"/>
      <c r="AE327" s="641"/>
      <c r="AF327" s="641"/>
      <c r="AG327" s="72"/>
      <c r="AH327" s="72"/>
      <c r="AI327" s="72"/>
      <c r="AJ327" s="72"/>
      <c r="AK327" s="72"/>
      <c r="AL327" s="72"/>
      <c r="AM327" s="72"/>
      <c r="AN327" s="73"/>
      <c r="AO327" s="641"/>
      <c r="AP327" s="641"/>
      <c r="AQ327" s="641"/>
      <c r="AR327" s="641"/>
      <c r="AS327" s="641"/>
      <c r="AT327" s="641"/>
      <c r="AU327" s="72"/>
      <c r="AV327" s="73"/>
      <c r="AW327" s="643"/>
      <c r="AX327" s="643"/>
      <c r="AY327" s="643"/>
      <c r="AZ327" s="75"/>
      <c r="BA327" s="75"/>
      <c r="BB327" s="75"/>
    </row>
    <row r="328" spans="2:54" s="560" customFormat="1" ht="16.5" customHeight="1">
      <c r="B328" s="72"/>
      <c r="C328" s="72"/>
      <c r="D328" s="72"/>
      <c r="E328" s="73"/>
      <c r="F328" s="641"/>
      <c r="G328" s="73"/>
      <c r="H328" s="641"/>
      <c r="I328" s="641"/>
      <c r="J328" s="641"/>
      <c r="K328" s="641"/>
      <c r="L328" s="73"/>
      <c r="M328" s="72"/>
      <c r="N328" s="72"/>
      <c r="O328" s="642"/>
      <c r="P328" s="642"/>
      <c r="Q328" s="74"/>
      <c r="R328" s="641"/>
      <c r="S328" s="641"/>
      <c r="T328" s="72"/>
      <c r="U328" s="72"/>
      <c r="V328" s="72"/>
      <c r="W328" s="72"/>
      <c r="X328" s="72"/>
      <c r="Y328" s="72"/>
      <c r="Z328" s="72"/>
      <c r="AA328" s="73"/>
      <c r="AB328" s="72"/>
      <c r="AC328" s="641"/>
      <c r="AD328" s="72"/>
      <c r="AE328" s="641"/>
      <c r="AF328" s="641"/>
      <c r="AG328" s="72"/>
      <c r="AH328" s="72"/>
      <c r="AI328" s="72"/>
      <c r="AJ328" s="72"/>
      <c r="AK328" s="72"/>
      <c r="AL328" s="72"/>
      <c r="AM328" s="72"/>
      <c r="AN328" s="73"/>
      <c r="AO328" s="641"/>
      <c r="AP328" s="641"/>
      <c r="AQ328" s="641"/>
      <c r="AR328" s="641"/>
      <c r="AS328" s="641"/>
      <c r="AT328" s="641"/>
      <c r="AU328" s="72"/>
      <c r="AV328" s="73"/>
      <c r="AW328" s="643"/>
      <c r="AX328" s="643"/>
      <c r="AY328" s="643"/>
      <c r="AZ328" s="75"/>
      <c r="BA328" s="75"/>
      <c r="BB328" s="75"/>
    </row>
    <row r="329" spans="2:54" s="560" customFormat="1" ht="16.5" customHeight="1">
      <c r="B329" s="72"/>
      <c r="C329" s="72"/>
      <c r="D329" s="72"/>
      <c r="E329" s="73"/>
      <c r="F329" s="641"/>
      <c r="G329" s="73"/>
      <c r="H329" s="641"/>
      <c r="I329" s="641"/>
      <c r="J329" s="641"/>
      <c r="K329" s="641"/>
      <c r="L329" s="73"/>
      <c r="M329" s="72"/>
      <c r="N329" s="72"/>
      <c r="O329" s="642"/>
      <c r="P329" s="642"/>
      <c r="Q329" s="74"/>
      <c r="R329" s="641"/>
      <c r="S329" s="641"/>
      <c r="T329" s="72"/>
      <c r="U329" s="72"/>
      <c r="V329" s="72"/>
      <c r="W329" s="72"/>
      <c r="X329" s="72"/>
      <c r="Y329" s="72"/>
      <c r="Z329" s="72"/>
      <c r="AA329" s="73"/>
      <c r="AB329" s="72"/>
      <c r="AC329" s="641"/>
      <c r="AD329" s="72"/>
      <c r="AE329" s="641"/>
      <c r="AF329" s="641"/>
      <c r="AG329" s="72"/>
      <c r="AH329" s="72"/>
      <c r="AI329" s="72"/>
      <c r="AJ329" s="72"/>
      <c r="AK329" s="72"/>
      <c r="AL329" s="72"/>
      <c r="AM329" s="72"/>
      <c r="AN329" s="73"/>
      <c r="AO329" s="641"/>
      <c r="AP329" s="641"/>
      <c r="AQ329" s="641"/>
      <c r="AR329" s="641"/>
      <c r="AS329" s="641"/>
      <c r="AT329" s="641"/>
      <c r="AU329" s="72"/>
      <c r="AV329" s="73"/>
      <c r="AW329" s="643"/>
      <c r="AX329" s="643"/>
      <c r="AY329" s="643"/>
      <c r="AZ329" s="75"/>
      <c r="BA329" s="75"/>
      <c r="BB329" s="75"/>
    </row>
    <row r="330" spans="2:54" s="560" customFormat="1" ht="16.5" customHeight="1">
      <c r="B330" s="72"/>
      <c r="C330" s="72"/>
      <c r="D330" s="72"/>
      <c r="E330" s="73"/>
      <c r="F330" s="641"/>
      <c r="G330" s="73"/>
      <c r="H330" s="641"/>
      <c r="I330" s="641"/>
      <c r="J330" s="641"/>
      <c r="K330" s="641"/>
      <c r="L330" s="73"/>
      <c r="M330" s="72"/>
      <c r="N330" s="72"/>
      <c r="O330" s="642"/>
      <c r="P330" s="642"/>
      <c r="Q330" s="74"/>
      <c r="R330" s="641"/>
      <c r="S330" s="641"/>
      <c r="T330" s="72"/>
      <c r="U330" s="72"/>
      <c r="V330" s="72"/>
      <c r="W330" s="72"/>
      <c r="X330" s="72"/>
      <c r="Y330" s="72"/>
      <c r="Z330" s="72"/>
      <c r="AA330" s="73"/>
      <c r="AB330" s="72"/>
      <c r="AC330" s="641"/>
      <c r="AD330" s="72"/>
      <c r="AE330" s="641"/>
      <c r="AF330" s="641"/>
      <c r="AG330" s="72"/>
      <c r="AH330" s="72"/>
      <c r="AI330" s="72"/>
      <c r="AJ330" s="72"/>
      <c r="AK330" s="72"/>
      <c r="AL330" s="72"/>
      <c r="AM330" s="72"/>
      <c r="AN330" s="73"/>
      <c r="AO330" s="641"/>
      <c r="AP330" s="641"/>
      <c r="AQ330" s="641"/>
      <c r="AR330" s="641"/>
      <c r="AS330" s="641"/>
      <c r="AT330" s="641"/>
      <c r="AU330" s="72"/>
      <c r="AV330" s="73"/>
      <c r="AW330" s="643"/>
      <c r="AX330" s="643"/>
      <c r="AY330" s="643"/>
      <c r="AZ330" s="75"/>
      <c r="BA330" s="75"/>
      <c r="BB330" s="75"/>
    </row>
    <row r="331" spans="2:54" s="560" customFormat="1" ht="16.5" customHeight="1">
      <c r="B331" s="72"/>
      <c r="C331" s="72"/>
      <c r="D331" s="72"/>
      <c r="E331" s="73"/>
      <c r="F331" s="641"/>
      <c r="G331" s="73"/>
      <c r="H331" s="641"/>
      <c r="I331" s="641"/>
      <c r="J331" s="641"/>
      <c r="K331" s="641"/>
      <c r="L331" s="73"/>
      <c r="M331" s="72"/>
      <c r="N331" s="72"/>
      <c r="O331" s="642"/>
      <c r="P331" s="642"/>
      <c r="Q331" s="74"/>
      <c r="R331" s="641"/>
      <c r="S331" s="641"/>
      <c r="T331" s="72"/>
      <c r="U331" s="72"/>
      <c r="V331" s="72"/>
      <c r="W331" s="72"/>
      <c r="X331" s="72"/>
      <c r="Y331" s="72"/>
      <c r="Z331" s="72"/>
      <c r="AA331" s="73"/>
      <c r="AB331" s="72"/>
      <c r="AC331" s="641"/>
      <c r="AD331" s="72"/>
      <c r="AE331" s="641"/>
      <c r="AF331" s="641"/>
      <c r="AG331" s="72"/>
      <c r="AH331" s="72"/>
      <c r="AI331" s="72"/>
      <c r="AJ331" s="72"/>
      <c r="AK331" s="72"/>
      <c r="AL331" s="72"/>
      <c r="AM331" s="72"/>
      <c r="AN331" s="73"/>
      <c r="AO331" s="641"/>
      <c r="AP331" s="641"/>
      <c r="AQ331" s="641"/>
      <c r="AR331" s="641"/>
      <c r="AS331" s="641"/>
      <c r="AT331" s="641"/>
      <c r="AU331" s="72"/>
      <c r="AV331" s="73"/>
      <c r="AW331" s="643"/>
      <c r="AX331" s="643"/>
      <c r="AY331" s="643"/>
      <c r="AZ331" s="75"/>
      <c r="BA331" s="75"/>
      <c r="BB331" s="75"/>
    </row>
    <row r="332" spans="2:54" s="560" customFormat="1" ht="16.5" customHeight="1">
      <c r="B332" s="72"/>
      <c r="C332" s="72"/>
      <c r="D332" s="72"/>
      <c r="E332" s="73"/>
      <c r="F332" s="641"/>
      <c r="G332" s="73"/>
      <c r="H332" s="641"/>
      <c r="I332" s="641"/>
      <c r="J332" s="641"/>
      <c r="K332" s="641"/>
      <c r="L332" s="73"/>
      <c r="M332" s="72"/>
      <c r="N332" s="72"/>
      <c r="O332" s="642"/>
      <c r="P332" s="642"/>
      <c r="Q332" s="74"/>
      <c r="R332" s="641"/>
      <c r="S332" s="641"/>
      <c r="T332" s="72"/>
      <c r="U332" s="72"/>
      <c r="V332" s="72"/>
      <c r="W332" s="72"/>
      <c r="X332" s="72"/>
      <c r="Y332" s="72"/>
      <c r="Z332" s="72"/>
      <c r="AA332" s="73"/>
      <c r="AB332" s="72"/>
      <c r="AC332" s="641"/>
      <c r="AD332" s="72"/>
      <c r="AE332" s="641"/>
      <c r="AF332" s="641"/>
      <c r="AG332" s="72"/>
      <c r="AH332" s="72"/>
      <c r="AI332" s="72"/>
      <c r="AJ332" s="72"/>
      <c r="AK332" s="72"/>
      <c r="AL332" s="72"/>
      <c r="AM332" s="72"/>
      <c r="AN332" s="73"/>
      <c r="AO332" s="641"/>
      <c r="AP332" s="641"/>
      <c r="AQ332" s="641"/>
      <c r="AR332" s="641"/>
      <c r="AS332" s="641"/>
      <c r="AT332" s="641"/>
      <c r="AU332" s="72"/>
      <c r="AV332" s="73"/>
      <c r="AW332" s="643"/>
      <c r="AX332" s="643"/>
      <c r="AY332" s="643"/>
      <c r="AZ332" s="75"/>
      <c r="BA332" s="75"/>
      <c r="BB332" s="75"/>
    </row>
    <row r="333" spans="2:54" s="560" customFormat="1" ht="16.5" customHeight="1">
      <c r="B333" s="72"/>
      <c r="C333" s="72"/>
      <c r="D333" s="72"/>
      <c r="E333" s="73"/>
      <c r="F333" s="641"/>
      <c r="G333" s="73"/>
      <c r="H333" s="641"/>
      <c r="I333" s="641"/>
      <c r="J333" s="641"/>
      <c r="K333" s="641"/>
      <c r="L333" s="73"/>
      <c r="M333" s="72"/>
      <c r="N333" s="72"/>
      <c r="O333" s="642"/>
      <c r="P333" s="642"/>
      <c r="Q333" s="74"/>
      <c r="R333" s="641"/>
      <c r="S333" s="641"/>
      <c r="T333" s="72"/>
      <c r="U333" s="72"/>
      <c r="V333" s="72"/>
      <c r="W333" s="72"/>
      <c r="X333" s="72"/>
      <c r="Y333" s="72"/>
      <c r="Z333" s="72"/>
      <c r="AA333" s="73"/>
      <c r="AB333" s="72"/>
      <c r="AC333" s="641"/>
      <c r="AD333" s="72"/>
      <c r="AE333" s="641"/>
      <c r="AF333" s="641"/>
      <c r="AG333" s="72"/>
      <c r="AH333" s="72"/>
      <c r="AI333" s="72"/>
      <c r="AJ333" s="72"/>
      <c r="AK333" s="72"/>
      <c r="AL333" s="72"/>
      <c r="AM333" s="72"/>
      <c r="AN333" s="73"/>
      <c r="AO333" s="641"/>
      <c r="AP333" s="641"/>
      <c r="AQ333" s="641"/>
      <c r="AR333" s="641"/>
      <c r="AS333" s="641"/>
      <c r="AT333" s="641"/>
      <c r="AU333" s="72"/>
      <c r="AV333" s="73"/>
      <c r="AW333" s="643"/>
      <c r="AX333" s="643"/>
      <c r="AY333" s="643"/>
      <c r="AZ333" s="75"/>
      <c r="BA333" s="75"/>
      <c r="BB333" s="75"/>
    </row>
    <row r="334" spans="2:54" s="560" customFormat="1" ht="16.5" customHeight="1">
      <c r="B334" s="72"/>
      <c r="C334" s="72"/>
      <c r="D334" s="72"/>
      <c r="E334" s="73"/>
      <c r="F334" s="641"/>
      <c r="G334" s="73"/>
      <c r="H334" s="641"/>
      <c r="I334" s="641"/>
      <c r="J334" s="641"/>
      <c r="K334" s="641"/>
      <c r="L334" s="73"/>
      <c r="M334" s="72"/>
      <c r="N334" s="72"/>
      <c r="O334" s="642"/>
      <c r="P334" s="642"/>
      <c r="Q334" s="74"/>
      <c r="R334" s="641"/>
      <c r="S334" s="641"/>
      <c r="T334" s="72"/>
      <c r="U334" s="72"/>
      <c r="V334" s="72"/>
      <c r="W334" s="72"/>
      <c r="X334" s="72"/>
      <c r="Y334" s="72"/>
      <c r="Z334" s="72"/>
      <c r="AA334" s="73"/>
      <c r="AB334" s="72"/>
      <c r="AC334" s="641"/>
      <c r="AD334" s="72"/>
      <c r="AE334" s="641"/>
      <c r="AF334" s="641"/>
      <c r="AG334" s="72"/>
      <c r="AH334" s="72"/>
      <c r="AI334" s="72"/>
      <c r="AJ334" s="72"/>
      <c r="AK334" s="72"/>
      <c r="AL334" s="72"/>
      <c r="AM334" s="72"/>
      <c r="AN334" s="73"/>
      <c r="AO334" s="641"/>
      <c r="AP334" s="641"/>
      <c r="AQ334" s="641"/>
      <c r="AR334" s="641"/>
      <c r="AS334" s="641"/>
      <c r="AT334" s="641"/>
      <c r="AU334" s="72"/>
      <c r="AV334" s="73"/>
      <c r="AW334" s="643"/>
      <c r="AX334" s="643"/>
      <c r="AY334" s="643"/>
      <c r="AZ334" s="75"/>
      <c r="BA334" s="75"/>
      <c r="BB334" s="75"/>
    </row>
    <row r="335" spans="2:54" s="560" customFormat="1" ht="16.5" customHeight="1">
      <c r="B335" s="72"/>
      <c r="C335" s="72"/>
      <c r="D335" s="72"/>
      <c r="E335" s="73"/>
      <c r="F335" s="641"/>
      <c r="G335" s="73"/>
      <c r="H335" s="641"/>
      <c r="I335" s="641"/>
      <c r="J335" s="641"/>
      <c r="K335" s="641"/>
      <c r="L335" s="73"/>
      <c r="M335" s="72"/>
      <c r="N335" s="72"/>
      <c r="O335" s="642"/>
      <c r="P335" s="642"/>
      <c r="Q335" s="74"/>
      <c r="R335" s="641"/>
      <c r="S335" s="641"/>
      <c r="T335" s="72"/>
      <c r="U335" s="72"/>
      <c r="V335" s="72"/>
      <c r="W335" s="72"/>
      <c r="X335" s="72"/>
      <c r="Y335" s="72"/>
      <c r="Z335" s="72"/>
      <c r="AA335" s="73"/>
      <c r="AB335" s="72"/>
      <c r="AC335" s="641"/>
      <c r="AD335" s="72"/>
      <c r="AE335" s="641"/>
      <c r="AF335" s="641"/>
      <c r="AG335" s="72"/>
      <c r="AH335" s="72"/>
      <c r="AI335" s="72"/>
      <c r="AJ335" s="72"/>
      <c r="AK335" s="72"/>
      <c r="AL335" s="72"/>
      <c r="AM335" s="72"/>
      <c r="AN335" s="73"/>
      <c r="AO335" s="641"/>
      <c r="AP335" s="641"/>
      <c r="AQ335" s="641"/>
      <c r="AR335" s="641"/>
      <c r="AS335" s="641"/>
      <c r="AT335" s="641"/>
      <c r="AU335" s="72"/>
      <c r="AV335" s="73"/>
      <c r="AW335" s="643"/>
      <c r="AX335" s="643"/>
      <c r="AY335" s="643"/>
      <c r="AZ335" s="75"/>
      <c r="BA335" s="75"/>
      <c r="BB335" s="75"/>
    </row>
    <row r="336" spans="2:54" s="560" customFormat="1" ht="16.5" customHeight="1">
      <c r="B336" s="72"/>
      <c r="C336" s="72"/>
      <c r="D336" s="72"/>
      <c r="E336" s="73"/>
      <c r="F336" s="641"/>
      <c r="G336" s="73"/>
      <c r="H336" s="641"/>
      <c r="I336" s="641"/>
      <c r="J336" s="641"/>
      <c r="K336" s="641"/>
      <c r="L336" s="73"/>
      <c r="M336" s="72"/>
      <c r="N336" s="72"/>
      <c r="O336" s="642"/>
      <c r="P336" s="642"/>
      <c r="Q336" s="74"/>
      <c r="R336" s="641"/>
      <c r="S336" s="641"/>
      <c r="T336" s="72"/>
      <c r="U336" s="72"/>
      <c r="V336" s="72"/>
      <c r="W336" s="72"/>
      <c r="X336" s="72"/>
      <c r="Y336" s="72"/>
      <c r="Z336" s="72"/>
      <c r="AA336" s="73"/>
      <c r="AB336" s="72"/>
      <c r="AC336" s="641"/>
      <c r="AD336" s="72"/>
      <c r="AE336" s="641"/>
      <c r="AF336" s="641"/>
      <c r="AG336" s="72"/>
      <c r="AH336" s="72"/>
      <c r="AI336" s="72"/>
      <c r="AJ336" s="72"/>
      <c r="AK336" s="72"/>
      <c r="AL336" s="72"/>
      <c r="AM336" s="72"/>
      <c r="AN336" s="73"/>
      <c r="AO336" s="641"/>
      <c r="AP336" s="641"/>
      <c r="AQ336" s="641"/>
      <c r="AR336" s="641"/>
      <c r="AS336" s="641"/>
      <c r="AT336" s="641"/>
      <c r="AU336" s="72"/>
      <c r="AV336" s="73"/>
      <c r="AW336" s="643"/>
      <c r="AX336" s="643"/>
      <c r="AY336" s="643"/>
      <c r="AZ336" s="75"/>
      <c r="BA336" s="75"/>
      <c r="BB336" s="75"/>
    </row>
    <row r="337" spans="2:54" s="560" customFormat="1" ht="16.5" customHeight="1">
      <c r="B337" s="72"/>
      <c r="C337" s="72"/>
      <c r="D337" s="72"/>
      <c r="E337" s="73"/>
      <c r="F337" s="641"/>
      <c r="G337" s="73"/>
      <c r="H337" s="641"/>
      <c r="I337" s="641"/>
      <c r="J337" s="641"/>
      <c r="K337" s="641"/>
      <c r="L337" s="73"/>
      <c r="M337" s="72"/>
      <c r="N337" s="72"/>
      <c r="O337" s="642"/>
      <c r="P337" s="642"/>
      <c r="Q337" s="74"/>
      <c r="R337" s="641"/>
      <c r="S337" s="641"/>
      <c r="T337" s="72"/>
      <c r="U337" s="72"/>
      <c r="V337" s="72"/>
      <c r="W337" s="72"/>
      <c r="X337" s="72"/>
      <c r="Y337" s="72"/>
      <c r="Z337" s="72"/>
      <c r="AA337" s="73"/>
      <c r="AB337" s="72"/>
      <c r="AC337" s="641"/>
      <c r="AD337" s="72"/>
      <c r="AE337" s="641"/>
      <c r="AF337" s="641"/>
      <c r="AG337" s="72"/>
      <c r="AH337" s="72"/>
      <c r="AI337" s="72"/>
      <c r="AJ337" s="72"/>
      <c r="AK337" s="72"/>
      <c r="AL337" s="72"/>
      <c r="AM337" s="72"/>
      <c r="AN337" s="73"/>
      <c r="AO337" s="641"/>
      <c r="AP337" s="641"/>
      <c r="AQ337" s="641"/>
      <c r="AR337" s="641"/>
      <c r="AS337" s="641"/>
      <c r="AT337" s="641"/>
      <c r="AU337" s="72"/>
      <c r="AV337" s="73"/>
      <c r="AW337" s="643"/>
      <c r="AX337" s="643"/>
      <c r="AY337" s="643"/>
      <c r="AZ337" s="75"/>
      <c r="BA337" s="75"/>
      <c r="BB337" s="75"/>
    </row>
    <row r="338" spans="2:54" s="560" customFormat="1" ht="16.5" customHeight="1">
      <c r="B338" s="72"/>
      <c r="C338" s="72"/>
      <c r="D338" s="72"/>
      <c r="E338" s="73"/>
      <c r="F338" s="641"/>
      <c r="G338" s="73"/>
      <c r="H338" s="641"/>
      <c r="I338" s="641"/>
      <c r="J338" s="641"/>
      <c r="K338" s="641"/>
      <c r="L338" s="73"/>
      <c r="M338" s="72"/>
      <c r="N338" s="72"/>
      <c r="O338" s="642"/>
      <c r="P338" s="642"/>
      <c r="Q338" s="74"/>
      <c r="R338" s="641"/>
      <c r="S338" s="641"/>
      <c r="T338" s="72"/>
      <c r="U338" s="72"/>
      <c r="V338" s="72"/>
      <c r="W338" s="72"/>
      <c r="X338" s="72"/>
      <c r="Y338" s="72"/>
      <c r="Z338" s="72"/>
      <c r="AA338" s="73"/>
      <c r="AB338" s="72"/>
      <c r="AC338" s="641"/>
      <c r="AD338" s="72"/>
      <c r="AE338" s="641"/>
      <c r="AF338" s="641"/>
      <c r="AG338" s="72"/>
      <c r="AH338" s="72"/>
      <c r="AI338" s="72"/>
      <c r="AJ338" s="72"/>
      <c r="AK338" s="72"/>
      <c r="AL338" s="72"/>
      <c r="AM338" s="72"/>
      <c r="AN338" s="73"/>
      <c r="AO338" s="641"/>
      <c r="AP338" s="641"/>
      <c r="AQ338" s="641"/>
      <c r="AR338" s="641"/>
      <c r="AS338" s="641"/>
      <c r="AT338" s="641"/>
      <c r="AU338" s="72"/>
      <c r="AV338" s="73"/>
      <c r="AW338" s="643"/>
      <c r="AX338" s="643"/>
      <c r="AY338" s="643"/>
      <c r="AZ338" s="75"/>
      <c r="BA338" s="75"/>
      <c r="BB338" s="75"/>
    </row>
    <row r="339" spans="2:54" s="560" customFormat="1" ht="16.5" customHeight="1">
      <c r="B339" s="72"/>
      <c r="C339" s="72"/>
      <c r="D339" s="72"/>
      <c r="E339" s="73"/>
      <c r="F339" s="641"/>
      <c r="G339" s="73"/>
      <c r="H339" s="641"/>
      <c r="I339" s="641"/>
      <c r="J339" s="641"/>
      <c r="K339" s="641"/>
      <c r="L339" s="73"/>
      <c r="M339" s="72"/>
      <c r="N339" s="72"/>
      <c r="O339" s="642"/>
      <c r="P339" s="642"/>
      <c r="Q339" s="74"/>
      <c r="R339" s="641"/>
      <c r="S339" s="641"/>
      <c r="T339" s="72"/>
      <c r="U339" s="72"/>
      <c r="V339" s="72"/>
      <c r="W339" s="72"/>
      <c r="X339" s="72"/>
      <c r="Y339" s="72"/>
      <c r="Z339" s="72"/>
      <c r="AA339" s="73"/>
      <c r="AB339" s="72"/>
      <c r="AC339" s="641"/>
      <c r="AD339" s="72"/>
      <c r="AE339" s="641"/>
      <c r="AF339" s="641"/>
      <c r="AG339" s="72"/>
      <c r="AH339" s="72"/>
      <c r="AI339" s="72"/>
      <c r="AJ339" s="72"/>
      <c r="AK339" s="72"/>
      <c r="AL339" s="72"/>
      <c r="AM339" s="72"/>
      <c r="AN339" s="73"/>
      <c r="AO339" s="641"/>
      <c r="AP339" s="641"/>
      <c r="AQ339" s="641"/>
      <c r="AR339" s="641"/>
      <c r="AS339" s="641"/>
      <c r="AT339" s="641"/>
      <c r="AU339" s="72"/>
      <c r="AV339" s="73"/>
      <c r="AW339" s="643"/>
      <c r="AX339" s="643"/>
      <c r="AY339" s="643"/>
      <c r="AZ339" s="75"/>
      <c r="BA339" s="75"/>
      <c r="BB339" s="75"/>
    </row>
    <row r="340" spans="2:54" s="560" customFormat="1" ht="16.5" customHeight="1">
      <c r="B340" s="72"/>
      <c r="C340" s="72"/>
      <c r="D340" s="72"/>
      <c r="E340" s="73"/>
      <c r="F340" s="641"/>
      <c r="G340" s="73"/>
      <c r="H340" s="641"/>
      <c r="I340" s="641"/>
      <c r="J340" s="641"/>
      <c r="K340" s="641"/>
      <c r="L340" s="73"/>
      <c r="M340" s="72"/>
      <c r="N340" s="72"/>
      <c r="O340" s="642"/>
      <c r="P340" s="642"/>
      <c r="Q340" s="74"/>
      <c r="R340" s="641"/>
      <c r="S340" s="641"/>
      <c r="T340" s="72"/>
      <c r="U340" s="72"/>
      <c r="V340" s="72"/>
      <c r="W340" s="72"/>
      <c r="X340" s="72"/>
      <c r="Y340" s="72"/>
      <c r="Z340" s="72"/>
      <c r="AA340" s="73"/>
      <c r="AB340" s="72"/>
      <c r="AC340" s="641"/>
      <c r="AD340" s="72"/>
      <c r="AE340" s="641"/>
      <c r="AF340" s="641"/>
      <c r="AG340" s="72"/>
      <c r="AH340" s="72"/>
      <c r="AI340" s="72"/>
      <c r="AJ340" s="72"/>
      <c r="AK340" s="72"/>
      <c r="AL340" s="72"/>
      <c r="AM340" s="72"/>
      <c r="AN340" s="73"/>
      <c r="AO340" s="641"/>
      <c r="AP340" s="641"/>
      <c r="AQ340" s="641"/>
      <c r="AR340" s="641"/>
      <c r="AS340" s="641"/>
      <c r="AT340" s="641"/>
      <c r="AU340" s="72"/>
      <c r="AV340" s="73"/>
      <c r="AW340" s="643"/>
      <c r="AX340" s="643"/>
      <c r="AY340" s="643"/>
      <c r="AZ340" s="75"/>
      <c r="BA340" s="75"/>
      <c r="BB340" s="75"/>
    </row>
    <row r="341" spans="2:54" s="560" customFormat="1" ht="16.5" customHeight="1">
      <c r="B341" s="72"/>
      <c r="C341" s="72"/>
      <c r="D341" s="72"/>
      <c r="E341" s="73"/>
      <c r="F341" s="641"/>
      <c r="G341" s="73"/>
      <c r="H341" s="641"/>
      <c r="I341" s="641"/>
      <c r="J341" s="641"/>
      <c r="K341" s="641"/>
      <c r="L341" s="73"/>
      <c r="M341" s="72"/>
      <c r="N341" s="72"/>
      <c r="O341" s="642"/>
      <c r="P341" s="642"/>
      <c r="Q341" s="74"/>
      <c r="R341" s="641"/>
      <c r="S341" s="641"/>
      <c r="T341" s="72"/>
      <c r="U341" s="72"/>
      <c r="V341" s="72"/>
      <c r="W341" s="72"/>
      <c r="X341" s="72"/>
      <c r="Y341" s="72"/>
      <c r="Z341" s="72"/>
      <c r="AA341" s="73"/>
      <c r="AB341" s="72"/>
      <c r="AC341" s="641"/>
      <c r="AD341" s="72"/>
      <c r="AE341" s="641"/>
      <c r="AF341" s="641"/>
      <c r="AG341" s="72"/>
      <c r="AH341" s="72"/>
      <c r="AI341" s="72"/>
      <c r="AJ341" s="72"/>
      <c r="AK341" s="72"/>
      <c r="AL341" s="72"/>
      <c r="AM341" s="72"/>
      <c r="AN341" s="73"/>
      <c r="AO341" s="641"/>
      <c r="AP341" s="641"/>
      <c r="AQ341" s="641"/>
      <c r="AR341" s="641"/>
      <c r="AS341" s="641"/>
      <c r="AT341" s="641"/>
      <c r="AU341" s="72"/>
      <c r="AV341" s="73"/>
      <c r="AW341" s="643"/>
      <c r="AX341" s="643"/>
      <c r="AY341" s="643"/>
      <c r="AZ341" s="75"/>
      <c r="BA341" s="75"/>
      <c r="BB341" s="75"/>
    </row>
    <row r="342" spans="2:54" s="560" customFormat="1" ht="16.5" customHeight="1">
      <c r="B342" s="72"/>
      <c r="C342" s="72"/>
      <c r="D342" s="72"/>
      <c r="E342" s="73"/>
      <c r="F342" s="641"/>
      <c r="G342" s="73"/>
      <c r="H342" s="641"/>
      <c r="I342" s="641"/>
      <c r="J342" s="641"/>
      <c r="K342" s="641"/>
      <c r="L342" s="73"/>
      <c r="M342" s="72"/>
      <c r="N342" s="72"/>
      <c r="O342" s="642"/>
      <c r="P342" s="642"/>
      <c r="Q342" s="74"/>
      <c r="R342" s="641"/>
      <c r="S342" s="641"/>
      <c r="T342" s="72"/>
      <c r="U342" s="72"/>
      <c r="V342" s="72"/>
      <c r="W342" s="72"/>
      <c r="X342" s="72"/>
      <c r="Y342" s="72"/>
      <c r="Z342" s="72"/>
      <c r="AA342" s="73"/>
      <c r="AB342" s="72"/>
      <c r="AC342" s="641"/>
      <c r="AD342" s="72"/>
      <c r="AE342" s="641"/>
      <c r="AF342" s="641"/>
      <c r="AG342" s="72"/>
      <c r="AH342" s="72"/>
      <c r="AI342" s="72"/>
      <c r="AJ342" s="72"/>
      <c r="AK342" s="72"/>
      <c r="AL342" s="72"/>
      <c r="AM342" s="72"/>
      <c r="AN342" s="73"/>
      <c r="AO342" s="641"/>
      <c r="AP342" s="641"/>
      <c r="AQ342" s="641"/>
      <c r="AR342" s="641"/>
      <c r="AS342" s="641"/>
      <c r="AT342" s="641"/>
      <c r="AU342" s="72"/>
      <c r="AV342" s="73"/>
      <c r="AW342" s="643"/>
      <c r="AX342" s="643"/>
      <c r="AY342" s="643"/>
      <c r="AZ342" s="75"/>
      <c r="BA342" s="75"/>
      <c r="BB342" s="75"/>
    </row>
    <row r="343" spans="2:54" s="560" customFormat="1" ht="16.5" customHeight="1">
      <c r="B343" s="72"/>
      <c r="C343" s="72"/>
      <c r="D343" s="72"/>
      <c r="E343" s="73"/>
      <c r="F343" s="641"/>
      <c r="G343" s="73"/>
      <c r="H343" s="641"/>
      <c r="I343" s="641"/>
      <c r="J343" s="641"/>
      <c r="K343" s="641"/>
      <c r="L343" s="73"/>
      <c r="M343" s="72"/>
      <c r="N343" s="72"/>
      <c r="O343" s="642"/>
      <c r="P343" s="642"/>
      <c r="Q343" s="74"/>
      <c r="R343" s="641"/>
      <c r="S343" s="641"/>
      <c r="T343" s="72"/>
      <c r="U343" s="72"/>
      <c r="V343" s="72"/>
      <c r="W343" s="72"/>
      <c r="X343" s="72"/>
      <c r="Y343" s="72"/>
      <c r="Z343" s="72"/>
      <c r="AA343" s="73"/>
      <c r="AB343" s="72"/>
      <c r="AC343" s="641"/>
      <c r="AD343" s="72"/>
      <c r="AE343" s="641"/>
      <c r="AF343" s="641"/>
      <c r="AG343" s="72"/>
      <c r="AH343" s="72"/>
      <c r="AI343" s="72"/>
      <c r="AJ343" s="72"/>
      <c r="AK343" s="72"/>
      <c r="AL343" s="72"/>
      <c r="AM343" s="72"/>
      <c r="AN343" s="73"/>
      <c r="AO343" s="641"/>
      <c r="AP343" s="641"/>
      <c r="AQ343" s="641"/>
      <c r="AR343" s="641"/>
      <c r="AS343" s="641"/>
      <c r="AT343" s="641"/>
      <c r="AU343" s="72"/>
      <c r="AV343" s="73"/>
      <c r="AW343" s="643"/>
      <c r="AX343" s="643"/>
      <c r="AY343" s="643"/>
      <c r="AZ343" s="75"/>
      <c r="BA343" s="75"/>
      <c r="BB343" s="75"/>
    </row>
    <row r="344" spans="2:54" s="560" customFormat="1" ht="16.5" customHeight="1">
      <c r="B344" s="72"/>
      <c r="C344" s="72"/>
      <c r="D344" s="72"/>
      <c r="E344" s="73"/>
      <c r="F344" s="641"/>
      <c r="G344" s="73"/>
      <c r="H344" s="641"/>
      <c r="I344" s="641"/>
      <c r="J344" s="641"/>
      <c r="K344" s="641"/>
      <c r="L344" s="73"/>
      <c r="M344" s="72"/>
      <c r="N344" s="72"/>
      <c r="O344" s="642"/>
      <c r="P344" s="642"/>
      <c r="Q344" s="74"/>
      <c r="R344" s="641"/>
      <c r="S344" s="641"/>
      <c r="T344" s="72"/>
      <c r="U344" s="72"/>
      <c r="V344" s="72"/>
      <c r="W344" s="72"/>
      <c r="X344" s="72"/>
      <c r="Y344" s="72"/>
      <c r="Z344" s="72"/>
      <c r="AA344" s="73"/>
      <c r="AB344" s="72"/>
      <c r="AC344" s="641"/>
      <c r="AD344" s="72"/>
      <c r="AE344" s="641"/>
      <c r="AF344" s="641"/>
      <c r="AG344" s="72"/>
      <c r="AH344" s="72"/>
      <c r="AI344" s="72"/>
      <c r="AJ344" s="72"/>
      <c r="AK344" s="72"/>
      <c r="AL344" s="72"/>
      <c r="AM344" s="72"/>
      <c r="AN344" s="73"/>
      <c r="AO344" s="641"/>
      <c r="AP344" s="641"/>
      <c r="AQ344" s="641"/>
      <c r="AR344" s="641"/>
      <c r="AS344" s="641"/>
      <c r="AT344" s="641"/>
      <c r="AU344" s="72"/>
      <c r="AV344" s="73"/>
      <c r="AW344" s="643"/>
      <c r="AX344" s="643"/>
      <c r="AY344" s="643"/>
      <c r="AZ344" s="75"/>
      <c r="BA344" s="75"/>
      <c r="BB344" s="75"/>
    </row>
    <row r="345" spans="2:54" s="560" customFormat="1" ht="16.5" customHeight="1">
      <c r="B345" s="72"/>
      <c r="C345" s="72"/>
      <c r="D345" s="72"/>
      <c r="E345" s="73"/>
      <c r="F345" s="641"/>
      <c r="G345" s="73"/>
      <c r="H345" s="641"/>
      <c r="I345" s="641"/>
      <c r="J345" s="641"/>
      <c r="K345" s="641"/>
      <c r="L345" s="73"/>
      <c r="M345" s="72"/>
      <c r="N345" s="72"/>
      <c r="O345" s="642"/>
      <c r="P345" s="642"/>
      <c r="Q345" s="74"/>
      <c r="R345" s="641"/>
      <c r="S345" s="641"/>
      <c r="T345" s="72"/>
      <c r="U345" s="72"/>
      <c r="V345" s="72"/>
      <c r="W345" s="72"/>
      <c r="X345" s="72"/>
      <c r="Y345" s="72"/>
      <c r="Z345" s="72"/>
      <c r="AA345" s="73"/>
      <c r="AB345" s="72"/>
      <c r="AC345" s="641"/>
      <c r="AD345" s="72"/>
      <c r="AE345" s="641"/>
      <c r="AF345" s="641"/>
      <c r="AG345" s="72"/>
      <c r="AH345" s="72"/>
      <c r="AI345" s="72"/>
      <c r="AJ345" s="72"/>
      <c r="AK345" s="72"/>
      <c r="AL345" s="72"/>
      <c r="AM345" s="72"/>
      <c r="AN345" s="73"/>
      <c r="AO345" s="641"/>
      <c r="AP345" s="641"/>
      <c r="AQ345" s="641"/>
      <c r="AR345" s="641"/>
      <c r="AS345" s="641"/>
      <c r="AT345" s="641"/>
      <c r="AU345" s="72"/>
      <c r="AV345" s="73"/>
      <c r="AW345" s="643"/>
      <c r="AX345" s="643"/>
      <c r="AY345" s="643"/>
      <c r="AZ345" s="75"/>
      <c r="BA345" s="75"/>
      <c r="BB345" s="75"/>
    </row>
    <row r="346" spans="2:54" s="560" customFormat="1" ht="16.5" customHeight="1">
      <c r="B346" s="72"/>
      <c r="C346" s="72"/>
      <c r="D346" s="72"/>
      <c r="E346" s="73"/>
      <c r="F346" s="641"/>
      <c r="G346" s="73"/>
      <c r="H346" s="641"/>
      <c r="I346" s="641"/>
      <c r="J346" s="641"/>
      <c r="K346" s="641"/>
      <c r="L346" s="73"/>
      <c r="M346" s="72"/>
      <c r="N346" s="72"/>
      <c r="O346" s="642"/>
      <c r="P346" s="642"/>
      <c r="Q346" s="74"/>
      <c r="R346" s="641"/>
      <c r="S346" s="641"/>
      <c r="T346" s="72"/>
      <c r="U346" s="72"/>
      <c r="V346" s="72"/>
      <c r="W346" s="72"/>
      <c r="X346" s="72"/>
      <c r="Y346" s="72"/>
      <c r="Z346" s="72"/>
      <c r="AA346" s="73"/>
      <c r="AB346" s="72"/>
      <c r="AC346" s="641"/>
      <c r="AD346" s="72"/>
      <c r="AE346" s="641"/>
      <c r="AF346" s="641"/>
      <c r="AG346" s="72"/>
      <c r="AH346" s="72"/>
      <c r="AI346" s="72"/>
      <c r="AJ346" s="72"/>
      <c r="AK346" s="72"/>
      <c r="AL346" s="72"/>
      <c r="AM346" s="72"/>
      <c r="AN346" s="73"/>
      <c r="AO346" s="641"/>
      <c r="AP346" s="641"/>
      <c r="AQ346" s="641"/>
      <c r="AR346" s="641"/>
      <c r="AS346" s="641"/>
      <c r="AT346" s="641"/>
      <c r="AU346" s="72"/>
      <c r="AV346" s="73"/>
      <c r="AW346" s="643"/>
      <c r="AX346" s="643"/>
      <c r="AY346" s="643"/>
      <c r="AZ346" s="75"/>
      <c r="BA346" s="75"/>
      <c r="BB346" s="75"/>
    </row>
    <row r="347" spans="2:54" s="560" customFormat="1" ht="16.5" customHeight="1">
      <c r="B347" s="72"/>
      <c r="C347" s="72"/>
      <c r="D347" s="72"/>
      <c r="E347" s="73"/>
      <c r="F347" s="641"/>
      <c r="G347" s="73"/>
      <c r="H347" s="641"/>
      <c r="I347" s="641"/>
      <c r="J347" s="641"/>
      <c r="K347" s="641"/>
      <c r="L347" s="73"/>
      <c r="M347" s="72"/>
      <c r="N347" s="72"/>
      <c r="O347" s="642"/>
      <c r="P347" s="642"/>
      <c r="Q347" s="74"/>
      <c r="R347" s="641"/>
      <c r="S347" s="641"/>
      <c r="T347" s="72"/>
      <c r="U347" s="72"/>
      <c r="V347" s="72"/>
      <c r="W347" s="72"/>
      <c r="X347" s="72"/>
      <c r="Y347" s="72"/>
      <c r="Z347" s="72"/>
      <c r="AA347" s="73"/>
      <c r="AB347" s="72"/>
      <c r="AC347" s="641"/>
      <c r="AD347" s="72"/>
      <c r="AE347" s="641"/>
      <c r="AF347" s="641"/>
      <c r="AG347" s="72"/>
      <c r="AH347" s="72"/>
      <c r="AI347" s="72"/>
      <c r="AJ347" s="72"/>
      <c r="AK347" s="72"/>
      <c r="AL347" s="72"/>
      <c r="AM347" s="72"/>
      <c r="AN347" s="73"/>
      <c r="AO347" s="641"/>
      <c r="AP347" s="641"/>
      <c r="AQ347" s="641"/>
      <c r="AR347" s="641"/>
      <c r="AS347" s="641"/>
      <c r="AT347" s="641"/>
      <c r="AU347" s="72"/>
      <c r="AV347" s="73"/>
      <c r="AW347" s="643"/>
      <c r="AX347" s="643"/>
      <c r="AY347" s="643"/>
      <c r="AZ347" s="75"/>
      <c r="BA347" s="75"/>
      <c r="BB347" s="75"/>
    </row>
    <row r="348" spans="2:54" s="560" customFormat="1" ht="16.5" customHeight="1">
      <c r="B348" s="72"/>
      <c r="C348" s="72"/>
      <c r="D348" s="72"/>
      <c r="E348" s="73"/>
      <c r="F348" s="641"/>
      <c r="G348" s="73"/>
      <c r="H348" s="641"/>
      <c r="I348" s="641"/>
      <c r="J348" s="641"/>
      <c r="K348" s="641"/>
      <c r="L348" s="73"/>
      <c r="M348" s="72"/>
      <c r="N348" s="72"/>
      <c r="O348" s="642"/>
      <c r="P348" s="642"/>
      <c r="Q348" s="74"/>
      <c r="R348" s="641"/>
      <c r="S348" s="641"/>
      <c r="T348" s="72"/>
      <c r="U348" s="72"/>
      <c r="V348" s="72"/>
      <c r="W348" s="72"/>
      <c r="X348" s="72"/>
      <c r="Y348" s="72"/>
      <c r="Z348" s="72"/>
      <c r="AA348" s="73"/>
      <c r="AB348" s="72"/>
      <c r="AC348" s="641"/>
      <c r="AD348" s="72"/>
      <c r="AE348" s="641"/>
      <c r="AF348" s="641"/>
      <c r="AG348" s="72"/>
      <c r="AH348" s="72"/>
      <c r="AI348" s="72"/>
      <c r="AJ348" s="72"/>
      <c r="AK348" s="72"/>
      <c r="AL348" s="72"/>
      <c r="AM348" s="72"/>
      <c r="AN348" s="73"/>
      <c r="AO348" s="641"/>
      <c r="AP348" s="641"/>
      <c r="AQ348" s="641"/>
      <c r="AR348" s="641"/>
      <c r="AS348" s="641"/>
      <c r="AT348" s="641"/>
      <c r="AU348" s="72"/>
      <c r="AV348" s="73"/>
      <c r="AW348" s="643"/>
      <c r="AX348" s="643"/>
      <c r="AY348" s="643"/>
      <c r="AZ348" s="75"/>
      <c r="BA348" s="75"/>
      <c r="BB348" s="75"/>
    </row>
    <row r="349" spans="2:54" s="560" customFormat="1" ht="16.5" customHeight="1">
      <c r="B349" s="72"/>
      <c r="C349" s="72"/>
      <c r="D349" s="72"/>
      <c r="E349" s="73"/>
      <c r="F349" s="641"/>
      <c r="G349" s="73"/>
      <c r="H349" s="641"/>
      <c r="I349" s="641"/>
      <c r="J349" s="641"/>
      <c r="K349" s="641"/>
      <c r="L349" s="73"/>
      <c r="M349" s="72"/>
      <c r="N349" s="72"/>
      <c r="O349" s="642"/>
      <c r="P349" s="642"/>
      <c r="Q349" s="74"/>
      <c r="R349" s="641"/>
      <c r="S349" s="641"/>
      <c r="T349" s="72"/>
      <c r="U349" s="72"/>
      <c r="V349" s="72"/>
      <c r="W349" s="72"/>
      <c r="X349" s="72"/>
      <c r="Y349" s="72"/>
      <c r="Z349" s="72"/>
      <c r="AA349" s="73"/>
      <c r="AB349" s="72"/>
      <c r="AC349" s="641"/>
      <c r="AD349" s="72"/>
      <c r="AE349" s="641"/>
      <c r="AF349" s="641"/>
      <c r="AG349" s="72"/>
      <c r="AH349" s="72"/>
      <c r="AI349" s="72"/>
      <c r="AJ349" s="72"/>
      <c r="AK349" s="72"/>
      <c r="AL349" s="72"/>
      <c r="AM349" s="72"/>
      <c r="AN349" s="73"/>
      <c r="AO349" s="641"/>
      <c r="AP349" s="641"/>
      <c r="AQ349" s="641"/>
      <c r="AR349" s="641"/>
      <c r="AS349" s="641"/>
      <c r="AT349" s="641"/>
      <c r="AU349" s="72"/>
      <c r="AV349" s="73"/>
      <c r="AW349" s="643"/>
      <c r="AX349" s="643"/>
      <c r="AY349" s="643"/>
      <c r="AZ349" s="75"/>
      <c r="BA349" s="75"/>
      <c r="BB349" s="75"/>
    </row>
    <row r="350" spans="2:54" s="560" customFormat="1" ht="16.5" customHeight="1">
      <c r="B350" s="72"/>
      <c r="C350" s="72"/>
      <c r="D350" s="72"/>
      <c r="E350" s="73"/>
      <c r="F350" s="641"/>
      <c r="G350" s="73"/>
      <c r="H350" s="641"/>
      <c r="I350" s="641"/>
      <c r="J350" s="641"/>
      <c r="K350" s="641"/>
      <c r="L350" s="73"/>
      <c r="M350" s="72"/>
      <c r="N350" s="72"/>
      <c r="O350" s="642"/>
      <c r="P350" s="642"/>
      <c r="Q350" s="74"/>
      <c r="R350" s="641"/>
      <c r="S350" s="641"/>
      <c r="T350" s="72"/>
      <c r="U350" s="72"/>
      <c r="V350" s="72"/>
      <c r="W350" s="72"/>
      <c r="X350" s="72"/>
      <c r="Y350" s="72"/>
      <c r="Z350" s="72"/>
      <c r="AA350" s="73"/>
      <c r="AB350" s="72"/>
      <c r="AC350" s="641"/>
      <c r="AD350" s="72"/>
      <c r="AE350" s="641"/>
      <c r="AF350" s="641"/>
      <c r="AG350" s="72"/>
      <c r="AH350" s="72"/>
      <c r="AI350" s="72"/>
      <c r="AJ350" s="72"/>
      <c r="AK350" s="72"/>
      <c r="AL350" s="72"/>
      <c r="AM350" s="72"/>
      <c r="AN350" s="73"/>
      <c r="AO350" s="641"/>
      <c r="AP350" s="641"/>
      <c r="AQ350" s="641"/>
      <c r="AR350" s="641"/>
      <c r="AS350" s="641"/>
      <c r="AT350" s="641"/>
      <c r="AU350" s="72"/>
      <c r="AV350" s="73"/>
      <c r="AW350" s="643"/>
      <c r="AX350" s="643"/>
      <c r="AY350" s="643"/>
      <c r="AZ350" s="75"/>
      <c r="BA350" s="75"/>
      <c r="BB350" s="75"/>
    </row>
    <row r="351" spans="2:54" s="560" customFormat="1" ht="16.5" customHeight="1">
      <c r="B351" s="72"/>
      <c r="C351" s="72"/>
      <c r="D351" s="72"/>
      <c r="E351" s="73"/>
      <c r="F351" s="641"/>
      <c r="G351" s="73"/>
      <c r="H351" s="641"/>
      <c r="I351" s="641"/>
      <c r="J351" s="641"/>
      <c r="K351" s="641"/>
      <c r="L351" s="73"/>
      <c r="M351" s="72"/>
      <c r="N351" s="72"/>
      <c r="O351" s="642"/>
      <c r="P351" s="642"/>
      <c r="Q351" s="74"/>
      <c r="R351" s="641"/>
      <c r="S351" s="641"/>
      <c r="T351" s="72"/>
      <c r="U351" s="72"/>
      <c r="V351" s="72"/>
      <c r="W351" s="72"/>
      <c r="X351" s="72"/>
      <c r="Y351" s="72"/>
      <c r="Z351" s="72"/>
      <c r="AA351" s="73"/>
      <c r="AB351" s="72"/>
      <c r="AC351" s="641"/>
      <c r="AD351" s="72"/>
      <c r="AE351" s="641"/>
      <c r="AF351" s="641"/>
      <c r="AG351" s="72"/>
      <c r="AH351" s="72"/>
      <c r="AI351" s="72"/>
      <c r="AJ351" s="72"/>
      <c r="AK351" s="72"/>
      <c r="AL351" s="72"/>
      <c r="AM351" s="72"/>
      <c r="AN351" s="73"/>
      <c r="AO351" s="641"/>
      <c r="AP351" s="641"/>
      <c r="AQ351" s="641"/>
      <c r="AR351" s="641"/>
      <c r="AS351" s="641"/>
      <c r="AT351" s="641"/>
      <c r="AU351" s="72"/>
      <c r="AV351" s="73"/>
      <c r="AW351" s="643"/>
      <c r="AX351" s="643"/>
      <c r="AY351" s="643"/>
      <c r="AZ351" s="75"/>
      <c r="BA351" s="75"/>
      <c r="BB351" s="75"/>
    </row>
    <row r="352" spans="2:54" s="560" customFormat="1" ht="16.5" customHeight="1">
      <c r="B352" s="72"/>
      <c r="C352" s="72"/>
      <c r="D352" s="72"/>
      <c r="E352" s="73"/>
      <c r="F352" s="641"/>
      <c r="G352" s="73"/>
      <c r="H352" s="641"/>
      <c r="I352" s="641"/>
      <c r="J352" s="641"/>
      <c r="K352" s="641"/>
      <c r="L352" s="73"/>
      <c r="M352" s="72"/>
      <c r="N352" s="72"/>
      <c r="O352" s="642"/>
      <c r="P352" s="642"/>
      <c r="Q352" s="74"/>
      <c r="R352" s="641"/>
      <c r="S352" s="641"/>
      <c r="T352" s="72"/>
      <c r="U352" s="72"/>
      <c r="V352" s="72"/>
      <c r="W352" s="72"/>
      <c r="X352" s="72"/>
      <c r="Y352" s="72"/>
      <c r="Z352" s="72"/>
      <c r="AA352" s="73"/>
      <c r="AB352" s="72"/>
      <c r="AC352" s="641"/>
      <c r="AD352" s="72"/>
      <c r="AE352" s="641"/>
      <c r="AF352" s="641"/>
      <c r="AG352" s="72"/>
      <c r="AH352" s="72"/>
      <c r="AI352" s="72"/>
      <c r="AJ352" s="72"/>
      <c r="AK352" s="72"/>
      <c r="AL352" s="72"/>
      <c r="AM352" s="72"/>
      <c r="AN352" s="73"/>
      <c r="AO352" s="641"/>
      <c r="AP352" s="641"/>
      <c r="AQ352" s="641"/>
      <c r="AR352" s="641"/>
      <c r="AS352" s="641"/>
      <c r="AT352" s="641"/>
      <c r="AU352" s="72"/>
      <c r="AV352" s="73"/>
      <c r="AW352" s="643"/>
      <c r="AX352" s="643"/>
      <c r="AY352" s="643"/>
      <c r="AZ352" s="75"/>
      <c r="BA352" s="75"/>
      <c r="BB352" s="75"/>
    </row>
    <row r="353" spans="2:54" s="560" customFormat="1" ht="16.5" customHeight="1">
      <c r="B353" s="72"/>
      <c r="C353" s="72"/>
      <c r="D353" s="72"/>
      <c r="E353" s="73"/>
      <c r="F353" s="641"/>
      <c r="G353" s="73"/>
      <c r="H353" s="641"/>
      <c r="I353" s="641"/>
      <c r="J353" s="641"/>
      <c r="K353" s="641"/>
      <c r="L353" s="73"/>
      <c r="M353" s="72"/>
      <c r="N353" s="72"/>
      <c r="O353" s="642"/>
      <c r="P353" s="642"/>
      <c r="Q353" s="74"/>
      <c r="R353" s="641"/>
      <c r="S353" s="641"/>
      <c r="T353" s="72"/>
      <c r="U353" s="72"/>
      <c r="V353" s="72"/>
      <c r="W353" s="72"/>
      <c r="X353" s="72"/>
      <c r="Y353" s="72"/>
      <c r="Z353" s="72"/>
      <c r="AA353" s="73"/>
      <c r="AB353" s="72"/>
      <c r="AC353" s="641"/>
      <c r="AD353" s="72"/>
      <c r="AE353" s="641"/>
      <c r="AF353" s="641"/>
      <c r="AG353" s="72"/>
      <c r="AH353" s="72"/>
      <c r="AI353" s="72"/>
      <c r="AJ353" s="72"/>
      <c r="AK353" s="72"/>
      <c r="AL353" s="72"/>
      <c r="AM353" s="72"/>
      <c r="AN353" s="73"/>
      <c r="AO353" s="641"/>
      <c r="AP353" s="641"/>
      <c r="AQ353" s="641"/>
      <c r="AR353" s="641"/>
      <c r="AS353" s="641"/>
      <c r="AT353" s="641"/>
      <c r="AU353" s="72"/>
      <c r="AV353" s="73"/>
      <c r="AW353" s="643"/>
      <c r="AX353" s="643"/>
      <c r="AY353" s="643"/>
      <c r="AZ353" s="75"/>
      <c r="BA353" s="75"/>
      <c r="BB353" s="75"/>
    </row>
    <row r="354" spans="2:54" s="560" customFormat="1" ht="16.5" customHeight="1">
      <c r="B354" s="72"/>
      <c r="C354" s="72"/>
      <c r="D354" s="72"/>
      <c r="E354" s="73"/>
      <c r="F354" s="641"/>
      <c r="G354" s="73"/>
      <c r="H354" s="641"/>
      <c r="I354" s="641"/>
      <c r="J354" s="641"/>
      <c r="K354" s="641"/>
      <c r="L354" s="73"/>
      <c r="M354" s="72"/>
      <c r="N354" s="72"/>
      <c r="O354" s="642"/>
      <c r="P354" s="642"/>
      <c r="Q354" s="74"/>
      <c r="R354" s="641"/>
      <c r="S354" s="641"/>
      <c r="T354" s="72"/>
      <c r="U354" s="72"/>
      <c r="V354" s="72"/>
      <c r="W354" s="72"/>
      <c r="X354" s="72"/>
      <c r="Y354" s="72"/>
      <c r="Z354" s="72"/>
      <c r="AA354" s="73"/>
      <c r="AB354" s="72"/>
      <c r="AC354" s="641"/>
      <c r="AD354" s="72"/>
      <c r="AE354" s="641"/>
      <c r="AF354" s="641"/>
      <c r="AG354" s="72"/>
      <c r="AH354" s="72"/>
      <c r="AI354" s="72"/>
      <c r="AJ354" s="72"/>
      <c r="AK354" s="72"/>
      <c r="AL354" s="72"/>
      <c r="AM354" s="72"/>
      <c r="AN354" s="73"/>
      <c r="AO354" s="641"/>
      <c r="AP354" s="641"/>
      <c r="AQ354" s="641"/>
      <c r="AR354" s="641"/>
      <c r="AS354" s="641"/>
      <c r="AT354" s="641"/>
      <c r="AU354" s="72"/>
      <c r="AV354" s="73"/>
      <c r="AW354" s="643"/>
      <c r="AX354" s="643"/>
      <c r="AY354" s="643"/>
      <c r="AZ354" s="75"/>
      <c r="BA354" s="75"/>
      <c r="BB354" s="75"/>
    </row>
    <row r="355" spans="2:54" s="560" customFormat="1" ht="16.5" customHeight="1">
      <c r="B355" s="72"/>
      <c r="C355" s="72"/>
      <c r="D355" s="72"/>
      <c r="E355" s="73"/>
      <c r="F355" s="641"/>
      <c r="G355" s="73"/>
      <c r="H355" s="641"/>
      <c r="I355" s="641"/>
      <c r="J355" s="641"/>
      <c r="K355" s="641"/>
      <c r="L355" s="73"/>
      <c r="M355" s="72"/>
      <c r="N355" s="72"/>
      <c r="O355" s="642"/>
      <c r="P355" s="642"/>
      <c r="Q355" s="74"/>
      <c r="R355" s="641"/>
      <c r="S355" s="641"/>
      <c r="T355" s="72"/>
      <c r="U355" s="72"/>
      <c r="V355" s="72"/>
      <c r="W355" s="72"/>
      <c r="X355" s="72"/>
      <c r="Y355" s="72"/>
      <c r="Z355" s="72"/>
      <c r="AA355" s="73"/>
      <c r="AB355" s="72"/>
      <c r="AC355" s="641"/>
      <c r="AD355" s="72"/>
      <c r="AE355" s="641"/>
      <c r="AF355" s="641"/>
      <c r="AG355" s="72"/>
      <c r="AH355" s="72"/>
      <c r="AI355" s="72"/>
      <c r="AJ355" s="72"/>
      <c r="AK355" s="72"/>
      <c r="AL355" s="72"/>
      <c r="AM355" s="72"/>
      <c r="AN355" s="73"/>
      <c r="AO355" s="641"/>
      <c r="AP355" s="641"/>
      <c r="AQ355" s="641"/>
      <c r="AR355" s="641"/>
      <c r="AS355" s="641"/>
      <c r="AT355" s="641"/>
      <c r="AU355" s="72"/>
      <c r="AV355" s="73"/>
      <c r="AW355" s="643"/>
      <c r="AX355" s="643"/>
      <c r="AY355" s="643"/>
      <c r="AZ355" s="75"/>
      <c r="BA355" s="75"/>
      <c r="BB355" s="75"/>
    </row>
    <row r="356" spans="2:54" s="560" customFormat="1" ht="16.5" customHeight="1">
      <c r="B356" s="72"/>
      <c r="C356" s="72"/>
      <c r="D356" s="72"/>
      <c r="E356" s="73"/>
      <c r="F356" s="641"/>
      <c r="G356" s="73"/>
      <c r="H356" s="641"/>
      <c r="I356" s="641"/>
      <c r="J356" s="641"/>
      <c r="K356" s="641"/>
      <c r="L356" s="73"/>
      <c r="M356" s="72"/>
      <c r="N356" s="72"/>
      <c r="O356" s="642"/>
      <c r="P356" s="642"/>
      <c r="Q356" s="74"/>
      <c r="R356" s="641"/>
      <c r="S356" s="641"/>
      <c r="T356" s="72"/>
      <c r="U356" s="72"/>
      <c r="V356" s="72"/>
      <c r="W356" s="72"/>
      <c r="X356" s="72"/>
      <c r="Y356" s="72"/>
      <c r="Z356" s="72"/>
      <c r="AA356" s="73"/>
      <c r="AB356" s="72"/>
      <c r="AC356" s="641"/>
      <c r="AD356" s="72"/>
      <c r="AE356" s="641"/>
      <c r="AF356" s="641"/>
      <c r="AG356" s="72"/>
      <c r="AH356" s="72"/>
      <c r="AI356" s="72"/>
      <c r="AJ356" s="72"/>
      <c r="AK356" s="72"/>
      <c r="AL356" s="72"/>
      <c r="AM356" s="72"/>
      <c r="AN356" s="73"/>
      <c r="AO356" s="641"/>
      <c r="AP356" s="641"/>
      <c r="AQ356" s="641"/>
      <c r="AR356" s="641"/>
      <c r="AS356" s="641"/>
      <c r="AT356" s="641"/>
      <c r="AU356" s="72"/>
      <c r="AV356" s="73"/>
      <c r="AW356" s="643"/>
      <c r="AX356" s="643"/>
      <c r="AY356" s="643"/>
      <c r="AZ356" s="75"/>
      <c r="BA356" s="75"/>
      <c r="BB356" s="75"/>
    </row>
    <row r="357" spans="2:54" s="560" customFormat="1" ht="16.5" customHeight="1">
      <c r="B357" s="72"/>
      <c r="C357" s="72"/>
      <c r="D357" s="72"/>
      <c r="E357" s="73"/>
      <c r="F357" s="641"/>
      <c r="G357" s="73"/>
      <c r="H357" s="641"/>
      <c r="I357" s="641"/>
      <c r="J357" s="641"/>
      <c r="K357" s="641"/>
      <c r="L357" s="73"/>
      <c r="M357" s="72"/>
      <c r="N357" s="72"/>
      <c r="O357" s="642"/>
      <c r="P357" s="642"/>
      <c r="Q357" s="74"/>
      <c r="R357" s="641"/>
      <c r="S357" s="641"/>
      <c r="T357" s="72"/>
      <c r="U357" s="72"/>
      <c r="V357" s="72"/>
      <c r="W357" s="72"/>
      <c r="X357" s="72"/>
      <c r="Y357" s="72"/>
      <c r="Z357" s="72"/>
      <c r="AA357" s="73"/>
      <c r="AB357" s="72"/>
      <c r="AC357" s="641"/>
      <c r="AD357" s="72"/>
      <c r="AE357" s="641"/>
      <c r="AF357" s="641"/>
      <c r="AG357" s="72"/>
      <c r="AH357" s="72"/>
      <c r="AI357" s="72"/>
      <c r="AJ357" s="72"/>
      <c r="AK357" s="72"/>
      <c r="AL357" s="72"/>
      <c r="AM357" s="72"/>
      <c r="AN357" s="73"/>
      <c r="AO357" s="641"/>
      <c r="AP357" s="641"/>
      <c r="AQ357" s="641"/>
      <c r="AR357" s="641"/>
      <c r="AS357" s="641"/>
      <c r="AT357" s="641"/>
      <c r="AU357" s="72"/>
      <c r="AV357" s="73"/>
      <c r="AW357" s="643"/>
      <c r="AX357" s="643"/>
      <c r="AY357" s="643"/>
      <c r="AZ357" s="75"/>
      <c r="BA357" s="75"/>
      <c r="BB357" s="75"/>
    </row>
    <row r="358" spans="2:54" s="560" customFormat="1" ht="16.5" customHeight="1">
      <c r="B358" s="72"/>
      <c r="C358" s="72"/>
      <c r="D358" s="72"/>
      <c r="E358" s="73"/>
      <c r="F358" s="641"/>
      <c r="G358" s="73"/>
      <c r="H358" s="641"/>
      <c r="I358" s="641"/>
      <c r="J358" s="641"/>
      <c r="K358" s="641"/>
      <c r="L358" s="73"/>
      <c r="M358" s="72"/>
      <c r="N358" s="72"/>
      <c r="O358" s="642"/>
      <c r="P358" s="642"/>
      <c r="Q358" s="74"/>
      <c r="R358" s="641"/>
      <c r="S358" s="641"/>
      <c r="T358" s="72"/>
      <c r="U358" s="72"/>
      <c r="V358" s="72"/>
      <c r="W358" s="72"/>
      <c r="X358" s="72"/>
      <c r="Y358" s="72"/>
      <c r="Z358" s="72"/>
      <c r="AA358" s="73"/>
      <c r="AB358" s="72"/>
      <c r="AC358" s="641"/>
      <c r="AD358" s="72"/>
      <c r="AE358" s="641"/>
      <c r="AF358" s="641"/>
      <c r="AG358" s="72"/>
      <c r="AH358" s="72"/>
      <c r="AI358" s="72"/>
      <c r="AJ358" s="72"/>
      <c r="AK358" s="72"/>
      <c r="AL358" s="72"/>
      <c r="AM358" s="72"/>
      <c r="AN358" s="73"/>
      <c r="AO358" s="641"/>
      <c r="AP358" s="641"/>
      <c r="AQ358" s="641"/>
      <c r="AR358" s="641"/>
      <c r="AS358" s="641"/>
      <c r="AT358" s="641"/>
      <c r="AU358" s="72"/>
      <c r="AV358" s="73"/>
      <c r="AW358" s="643"/>
      <c r="AX358" s="643"/>
      <c r="AY358" s="643"/>
      <c r="AZ358" s="75"/>
      <c r="BA358" s="75"/>
      <c r="BB358" s="75"/>
    </row>
    <row r="359" spans="2:54" s="560" customFormat="1" ht="16.5" customHeight="1">
      <c r="B359" s="72"/>
      <c r="C359" s="72"/>
      <c r="D359" s="72"/>
      <c r="E359" s="73"/>
      <c r="F359" s="641"/>
      <c r="G359" s="73"/>
      <c r="H359" s="641"/>
      <c r="I359" s="641"/>
      <c r="J359" s="641"/>
      <c r="K359" s="641"/>
      <c r="L359" s="73"/>
      <c r="M359" s="72"/>
      <c r="N359" s="72"/>
      <c r="O359" s="642"/>
      <c r="P359" s="642"/>
      <c r="Q359" s="74"/>
      <c r="R359" s="641"/>
      <c r="S359" s="641"/>
      <c r="T359" s="72"/>
      <c r="U359" s="72"/>
      <c r="V359" s="72"/>
      <c r="W359" s="72"/>
      <c r="X359" s="72"/>
      <c r="Y359" s="72"/>
      <c r="Z359" s="72"/>
      <c r="AA359" s="73"/>
      <c r="AB359" s="72"/>
      <c r="AC359" s="641"/>
      <c r="AD359" s="72"/>
      <c r="AE359" s="641"/>
      <c r="AF359" s="641"/>
      <c r="AG359" s="72"/>
      <c r="AH359" s="72"/>
      <c r="AI359" s="72"/>
      <c r="AJ359" s="72"/>
      <c r="AK359" s="72"/>
      <c r="AL359" s="72"/>
      <c r="AM359" s="72"/>
      <c r="AN359" s="73"/>
      <c r="AO359" s="641"/>
      <c r="AP359" s="641"/>
      <c r="AQ359" s="641"/>
      <c r="AR359" s="641"/>
      <c r="AS359" s="641"/>
      <c r="AT359" s="641"/>
      <c r="AU359" s="72"/>
      <c r="AV359" s="73"/>
      <c r="AW359" s="643"/>
      <c r="AX359" s="643"/>
      <c r="AY359" s="643"/>
      <c r="AZ359" s="75"/>
      <c r="BA359" s="75"/>
      <c r="BB359" s="75"/>
    </row>
    <row r="360" spans="2:54" s="560" customFormat="1" ht="16.5" customHeight="1">
      <c r="B360" s="72"/>
      <c r="C360" s="72"/>
      <c r="D360" s="72"/>
      <c r="E360" s="73"/>
      <c r="F360" s="641"/>
      <c r="G360" s="73"/>
      <c r="H360" s="641"/>
      <c r="I360" s="641"/>
      <c r="J360" s="641"/>
      <c r="K360" s="641"/>
      <c r="L360" s="73"/>
      <c r="M360" s="72"/>
      <c r="N360" s="72"/>
      <c r="O360" s="642"/>
      <c r="P360" s="642"/>
      <c r="Q360" s="74"/>
      <c r="R360" s="641"/>
      <c r="S360" s="641"/>
      <c r="T360" s="72"/>
      <c r="U360" s="72"/>
      <c r="V360" s="72"/>
      <c r="W360" s="72"/>
      <c r="X360" s="72"/>
      <c r="Y360" s="72"/>
      <c r="Z360" s="72"/>
      <c r="AA360" s="73"/>
      <c r="AB360" s="72"/>
      <c r="AC360" s="641"/>
      <c r="AD360" s="72"/>
      <c r="AE360" s="641"/>
      <c r="AF360" s="641"/>
      <c r="AG360" s="72"/>
      <c r="AH360" s="72"/>
      <c r="AI360" s="72"/>
      <c r="AJ360" s="72"/>
      <c r="AK360" s="72"/>
      <c r="AL360" s="72"/>
      <c r="AM360" s="72"/>
      <c r="AN360" s="73"/>
      <c r="AO360" s="641"/>
      <c r="AP360" s="641"/>
      <c r="AQ360" s="641"/>
      <c r="AR360" s="641"/>
      <c r="AS360" s="641"/>
      <c r="AT360" s="641"/>
      <c r="AU360" s="72"/>
      <c r="AV360" s="73"/>
      <c r="AW360" s="643"/>
      <c r="AX360" s="643"/>
      <c r="AY360" s="643"/>
      <c r="AZ360" s="75"/>
      <c r="BA360" s="75"/>
      <c r="BB360" s="75"/>
    </row>
    <row r="361" spans="2:54" s="560" customFormat="1" ht="16.5" customHeight="1">
      <c r="B361" s="72"/>
      <c r="C361" s="72"/>
      <c r="D361" s="72"/>
      <c r="E361" s="73"/>
      <c r="F361" s="641"/>
      <c r="G361" s="73"/>
      <c r="H361" s="641"/>
      <c r="I361" s="641"/>
      <c r="J361" s="641"/>
      <c r="K361" s="641"/>
      <c r="L361" s="73"/>
      <c r="M361" s="72"/>
      <c r="N361" s="72"/>
      <c r="O361" s="642"/>
      <c r="P361" s="642"/>
      <c r="Q361" s="74"/>
      <c r="R361" s="641"/>
      <c r="S361" s="641"/>
      <c r="T361" s="72"/>
      <c r="U361" s="72"/>
      <c r="V361" s="72"/>
      <c r="W361" s="72"/>
      <c r="X361" s="72"/>
      <c r="Y361" s="72"/>
      <c r="Z361" s="72"/>
      <c r="AA361" s="73"/>
      <c r="AB361" s="72"/>
      <c r="AC361" s="641"/>
      <c r="AD361" s="72"/>
      <c r="AE361" s="641"/>
      <c r="AF361" s="641"/>
      <c r="AG361" s="72"/>
      <c r="AH361" s="72"/>
      <c r="AI361" s="72"/>
      <c r="AJ361" s="72"/>
      <c r="AK361" s="72"/>
      <c r="AL361" s="72"/>
      <c r="AM361" s="72"/>
      <c r="AN361" s="73"/>
      <c r="AO361" s="641"/>
      <c r="AP361" s="641"/>
      <c r="AQ361" s="641"/>
      <c r="AR361" s="641"/>
      <c r="AS361" s="641"/>
      <c r="AT361" s="641"/>
      <c r="AU361" s="72"/>
      <c r="AV361" s="73"/>
      <c r="AW361" s="643"/>
      <c r="AX361" s="643"/>
      <c r="AY361" s="643"/>
      <c r="AZ361" s="75"/>
      <c r="BA361" s="75"/>
      <c r="BB361" s="75"/>
    </row>
    <row r="362" spans="2:54" s="560" customFormat="1" ht="16.5" customHeight="1">
      <c r="B362" s="72"/>
      <c r="C362" s="72"/>
      <c r="D362" s="72"/>
      <c r="E362" s="73"/>
      <c r="F362" s="641"/>
      <c r="G362" s="73"/>
      <c r="H362" s="641"/>
      <c r="I362" s="641"/>
      <c r="J362" s="641"/>
      <c r="K362" s="641"/>
      <c r="L362" s="73"/>
      <c r="M362" s="72"/>
      <c r="N362" s="72"/>
      <c r="O362" s="642"/>
      <c r="P362" s="642"/>
      <c r="Q362" s="74"/>
      <c r="R362" s="641"/>
      <c r="S362" s="641"/>
      <c r="T362" s="72"/>
      <c r="U362" s="72"/>
      <c r="V362" s="72"/>
      <c r="W362" s="72"/>
      <c r="X362" s="72"/>
      <c r="Y362" s="72"/>
      <c r="Z362" s="72"/>
      <c r="AA362" s="73"/>
      <c r="AB362" s="72"/>
      <c r="AC362" s="641"/>
      <c r="AD362" s="72"/>
      <c r="AE362" s="641"/>
      <c r="AF362" s="641"/>
      <c r="AG362" s="72"/>
      <c r="AH362" s="72"/>
      <c r="AI362" s="72"/>
      <c r="AJ362" s="72"/>
      <c r="AK362" s="72"/>
      <c r="AL362" s="72"/>
      <c r="AM362" s="72"/>
      <c r="AN362" s="73"/>
      <c r="AO362" s="641"/>
      <c r="AP362" s="641"/>
      <c r="AQ362" s="641"/>
      <c r="AR362" s="641"/>
      <c r="AS362" s="641"/>
      <c r="AT362" s="641"/>
      <c r="AU362" s="72"/>
      <c r="AV362" s="73"/>
      <c r="AW362" s="643"/>
      <c r="AX362" s="643"/>
      <c r="AY362" s="643"/>
      <c r="AZ362" s="75"/>
      <c r="BA362" s="75"/>
      <c r="BB362" s="75"/>
    </row>
    <row r="363" spans="2:54" s="560" customFormat="1" ht="16.5" customHeight="1">
      <c r="B363" s="72"/>
      <c r="C363" s="72"/>
      <c r="D363" s="72"/>
      <c r="E363" s="73"/>
      <c r="F363" s="641"/>
      <c r="G363" s="73"/>
      <c r="H363" s="641"/>
      <c r="I363" s="641"/>
      <c r="J363" s="641"/>
      <c r="K363" s="641"/>
      <c r="L363" s="73"/>
      <c r="M363" s="72"/>
      <c r="N363" s="72"/>
      <c r="O363" s="642"/>
      <c r="P363" s="642"/>
      <c r="Q363" s="74"/>
      <c r="R363" s="641"/>
      <c r="S363" s="641"/>
      <c r="T363" s="72"/>
      <c r="U363" s="72"/>
      <c r="V363" s="72"/>
      <c r="W363" s="72"/>
      <c r="X363" s="72"/>
      <c r="Y363" s="72"/>
      <c r="Z363" s="72"/>
      <c r="AA363" s="73"/>
      <c r="AB363" s="72"/>
      <c r="AC363" s="641"/>
      <c r="AD363" s="72"/>
      <c r="AE363" s="641"/>
      <c r="AF363" s="641"/>
      <c r="AG363" s="72"/>
      <c r="AH363" s="72"/>
      <c r="AI363" s="72"/>
      <c r="AJ363" s="72"/>
      <c r="AK363" s="72"/>
      <c r="AL363" s="72"/>
      <c r="AM363" s="72"/>
      <c r="AN363" s="73"/>
      <c r="AO363" s="641"/>
      <c r="AP363" s="641"/>
      <c r="AQ363" s="641"/>
      <c r="AR363" s="641"/>
      <c r="AS363" s="641"/>
      <c r="AT363" s="641"/>
      <c r="AU363" s="72"/>
      <c r="AV363" s="73"/>
      <c r="AW363" s="643"/>
      <c r="AX363" s="643"/>
      <c r="AY363" s="643"/>
      <c r="AZ363" s="75"/>
      <c r="BA363" s="75"/>
      <c r="BB363" s="75"/>
    </row>
    <row r="364" spans="2:54" s="560" customFormat="1" ht="16.5" customHeight="1">
      <c r="B364" s="72"/>
      <c r="C364" s="72"/>
      <c r="D364" s="72"/>
      <c r="E364" s="73"/>
      <c r="F364" s="641"/>
      <c r="G364" s="73"/>
      <c r="H364" s="641"/>
      <c r="I364" s="641"/>
      <c r="J364" s="641"/>
      <c r="K364" s="641"/>
      <c r="L364" s="73"/>
      <c r="M364" s="72"/>
      <c r="N364" s="72"/>
      <c r="O364" s="642"/>
      <c r="P364" s="642"/>
      <c r="Q364" s="74"/>
      <c r="R364" s="641"/>
      <c r="S364" s="641"/>
      <c r="T364" s="72"/>
      <c r="U364" s="72"/>
      <c r="V364" s="72"/>
      <c r="W364" s="72"/>
      <c r="X364" s="72"/>
      <c r="Y364" s="72"/>
      <c r="Z364" s="72"/>
      <c r="AA364" s="73"/>
      <c r="AB364" s="72"/>
      <c r="AC364" s="641"/>
      <c r="AD364" s="72"/>
      <c r="AE364" s="641"/>
      <c r="AF364" s="641"/>
      <c r="AG364" s="72"/>
      <c r="AH364" s="72"/>
      <c r="AI364" s="72"/>
      <c r="AJ364" s="72"/>
      <c r="AK364" s="72"/>
      <c r="AL364" s="72"/>
      <c r="AM364" s="72"/>
      <c r="AN364" s="73"/>
      <c r="AO364" s="641"/>
      <c r="AP364" s="641"/>
      <c r="AQ364" s="641"/>
      <c r="AR364" s="641"/>
      <c r="AS364" s="641"/>
      <c r="AT364" s="641"/>
      <c r="AU364" s="72"/>
      <c r="AV364" s="73"/>
      <c r="AW364" s="643"/>
      <c r="AX364" s="643"/>
      <c r="AY364" s="643"/>
      <c r="AZ364" s="75"/>
      <c r="BA364" s="75"/>
      <c r="BB364" s="75"/>
    </row>
    <row r="365" spans="2:54" s="560" customFormat="1" ht="16.5" customHeight="1">
      <c r="B365" s="72"/>
      <c r="C365" s="72"/>
      <c r="D365" s="72"/>
      <c r="E365" s="73"/>
      <c r="F365" s="641"/>
      <c r="G365" s="73"/>
      <c r="H365" s="641"/>
      <c r="I365" s="641"/>
      <c r="J365" s="641"/>
      <c r="K365" s="641"/>
      <c r="L365" s="73"/>
      <c r="M365" s="72"/>
      <c r="N365" s="72"/>
      <c r="O365" s="642"/>
      <c r="P365" s="642"/>
      <c r="Q365" s="74"/>
      <c r="R365" s="641"/>
      <c r="S365" s="641"/>
      <c r="T365" s="72"/>
      <c r="U365" s="72"/>
      <c r="V365" s="72"/>
      <c r="W365" s="72"/>
      <c r="X365" s="72"/>
      <c r="Y365" s="72"/>
      <c r="Z365" s="72"/>
      <c r="AA365" s="73"/>
      <c r="AB365" s="72"/>
      <c r="AC365" s="641"/>
      <c r="AD365" s="72"/>
      <c r="AE365" s="641"/>
      <c r="AF365" s="641"/>
      <c r="AG365" s="72"/>
      <c r="AH365" s="72"/>
      <c r="AI365" s="72"/>
      <c r="AJ365" s="72"/>
      <c r="AK365" s="72"/>
      <c r="AL365" s="72"/>
      <c r="AM365" s="72"/>
      <c r="AN365" s="73"/>
      <c r="AO365" s="641"/>
      <c r="AP365" s="641"/>
      <c r="AQ365" s="641"/>
      <c r="AR365" s="641"/>
      <c r="AS365" s="641"/>
      <c r="AT365" s="641"/>
      <c r="AU365" s="72"/>
      <c r="AV365" s="73"/>
      <c r="AW365" s="643"/>
      <c r="AX365" s="643"/>
      <c r="AY365" s="643"/>
      <c r="AZ365" s="75"/>
      <c r="BA365" s="75"/>
      <c r="BB365" s="75"/>
    </row>
    <row r="366" spans="2:54" s="560" customFormat="1" ht="16.5" customHeight="1">
      <c r="B366" s="72"/>
      <c r="C366" s="72"/>
      <c r="D366" s="72"/>
      <c r="E366" s="73"/>
      <c r="F366" s="641"/>
      <c r="G366" s="73"/>
      <c r="H366" s="641"/>
      <c r="I366" s="641"/>
      <c r="J366" s="641"/>
      <c r="K366" s="641"/>
      <c r="L366" s="73"/>
      <c r="M366" s="72"/>
      <c r="N366" s="72"/>
      <c r="O366" s="642"/>
      <c r="P366" s="642"/>
      <c r="Q366" s="74"/>
      <c r="R366" s="641"/>
      <c r="S366" s="641"/>
      <c r="T366" s="72"/>
      <c r="U366" s="72"/>
      <c r="V366" s="72"/>
      <c r="W366" s="72"/>
      <c r="X366" s="72"/>
      <c r="Y366" s="72"/>
      <c r="Z366" s="72"/>
      <c r="AA366" s="73"/>
      <c r="AB366" s="72"/>
      <c r="AC366" s="641"/>
      <c r="AD366" s="72"/>
      <c r="AE366" s="641"/>
      <c r="AF366" s="641"/>
      <c r="AG366" s="72"/>
      <c r="AH366" s="72"/>
      <c r="AI366" s="72"/>
      <c r="AJ366" s="72"/>
      <c r="AK366" s="72"/>
      <c r="AL366" s="72"/>
      <c r="AM366" s="72"/>
      <c r="AN366" s="73"/>
      <c r="AO366" s="641"/>
      <c r="AP366" s="641"/>
      <c r="AQ366" s="641"/>
      <c r="AR366" s="641"/>
      <c r="AS366" s="641"/>
      <c r="AT366" s="641"/>
      <c r="AU366" s="72"/>
      <c r="AV366" s="73"/>
      <c r="AW366" s="643"/>
      <c r="AX366" s="643"/>
      <c r="AY366" s="643"/>
      <c r="AZ366" s="75"/>
      <c r="BA366" s="75"/>
      <c r="BB366" s="75"/>
    </row>
    <row r="367" spans="2:54" s="560" customFormat="1" ht="16.5" customHeight="1">
      <c r="B367" s="72"/>
      <c r="C367" s="72"/>
      <c r="D367" s="72"/>
      <c r="E367" s="73"/>
      <c r="F367" s="641"/>
      <c r="G367" s="73"/>
      <c r="H367" s="641"/>
      <c r="I367" s="641"/>
      <c r="J367" s="641"/>
      <c r="K367" s="641"/>
      <c r="L367" s="73"/>
      <c r="M367" s="72"/>
      <c r="N367" s="72"/>
      <c r="O367" s="642"/>
      <c r="P367" s="642"/>
      <c r="Q367" s="74"/>
      <c r="R367" s="641"/>
      <c r="S367" s="641"/>
      <c r="T367" s="72"/>
      <c r="U367" s="72"/>
      <c r="V367" s="72"/>
      <c r="W367" s="72"/>
      <c r="X367" s="72"/>
      <c r="Y367" s="72"/>
      <c r="Z367" s="72"/>
      <c r="AA367" s="73"/>
      <c r="AB367" s="72"/>
      <c r="AC367" s="641"/>
      <c r="AD367" s="72"/>
      <c r="AE367" s="641"/>
      <c r="AF367" s="641"/>
      <c r="AG367" s="72"/>
      <c r="AH367" s="72"/>
      <c r="AI367" s="72"/>
      <c r="AJ367" s="72"/>
      <c r="AK367" s="72"/>
      <c r="AL367" s="72"/>
      <c r="AM367" s="72"/>
      <c r="AN367" s="73"/>
      <c r="AO367" s="641"/>
      <c r="AP367" s="641"/>
      <c r="AQ367" s="641"/>
      <c r="AR367" s="641"/>
      <c r="AS367" s="641"/>
      <c r="AT367" s="641"/>
      <c r="AU367" s="72"/>
      <c r="AV367" s="73"/>
      <c r="AW367" s="643"/>
      <c r="AX367" s="643"/>
      <c r="AY367" s="643"/>
      <c r="AZ367" s="75"/>
      <c r="BA367" s="75"/>
      <c r="BB367" s="75"/>
    </row>
    <row r="368" spans="2:54" s="560" customFormat="1" ht="16.5" customHeight="1">
      <c r="B368" s="72"/>
      <c r="C368" s="72"/>
      <c r="D368" s="72"/>
      <c r="E368" s="73"/>
      <c r="F368" s="641"/>
      <c r="G368" s="73"/>
      <c r="H368" s="641"/>
      <c r="I368" s="641"/>
      <c r="J368" s="641"/>
      <c r="K368" s="641"/>
      <c r="L368" s="73"/>
      <c r="M368" s="72"/>
      <c r="N368" s="72"/>
      <c r="O368" s="642"/>
      <c r="P368" s="642"/>
      <c r="Q368" s="74"/>
      <c r="R368" s="641"/>
      <c r="S368" s="641"/>
      <c r="T368" s="72"/>
      <c r="U368" s="72"/>
      <c r="V368" s="72"/>
      <c r="W368" s="72"/>
      <c r="X368" s="72"/>
      <c r="Y368" s="72"/>
      <c r="Z368" s="72"/>
      <c r="AA368" s="73"/>
      <c r="AB368" s="72"/>
      <c r="AC368" s="641"/>
      <c r="AD368" s="72"/>
      <c r="AE368" s="641"/>
      <c r="AF368" s="641"/>
      <c r="AG368" s="72"/>
      <c r="AH368" s="72"/>
      <c r="AI368" s="72"/>
      <c r="AJ368" s="72"/>
      <c r="AK368" s="72"/>
      <c r="AL368" s="72"/>
      <c r="AM368" s="72"/>
      <c r="AN368" s="73"/>
      <c r="AO368" s="641"/>
      <c r="AP368" s="641"/>
      <c r="AQ368" s="641"/>
      <c r="AR368" s="641"/>
      <c r="AS368" s="641"/>
      <c r="AT368" s="641"/>
      <c r="AU368" s="72"/>
      <c r="AV368" s="73"/>
      <c r="AW368" s="643"/>
      <c r="AX368" s="643"/>
      <c r="AY368" s="643"/>
      <c r="AZ368" s="75"/>
      <c r="BA368" s="75"/>
      <c r="BB368" s="75"/>
    </row>
    <row r="369" spans="2:54" s="560" customFormat="1" ht="16.5" customHeight="1">
      <c r="B369" s="72"/>
      <c r="C369" s="72"/>
      <c r="D369" s="72"/>
      <c r="E369" s="73"/>
      <c r="F369" s="641"/>
      <c r="G369" s="73"/>
      <c r="H369" s="641"/>
      <c r="I369" s="641"/>
      <c r="J369" s="641"/>
      <c r="K369" s="641"/>
      <c r="L369" s="73"/>
      <c r="M369" s="72"/>
      <c r="N369" s="72"/>
      <c r="O369" s="642"/>
      <c r="P369" s="642"/>
      <c r="Q369" s="74"/>
      <c r="R369" s="641"/>
      <c r="S369" s="641"/>
      <c r="T369" s="72"/>
      <c r="U369" s="72"/>
      <c r="V369" s="72"/>
      <c r="W369" s="72"/>
      <c r="X369" s="72"/>
      <c r="Y369" s="72"/>
      <c r="Z369" s="72"/>
      <c r="AA369" s="73"/>
      <c r="AB369" s="72"/>
      <c r="AC369" s="641"/>
      <c r="AD369" s="72"/>
      <c r="AE369" s="641"/>
      <c r="AF369" s="641"/>
      <c r="AG369" s="72"/>
      <c r="AH369" s="72"/>
      <c r="AI369" s="72"/>
      <c r="AJ369" s="72"/>
      <c r="AK369" s="72"/>
      <c r="AL369" s="72"/>
      <c r="AM369" s="72"/>
      <c r="AN369" s="73"/>
      <c r="AO369" s="641"/>
      <c r="AP369" s="641"/>
      <c r="AQ369" s="641"/>
      <c r="AR369" s="641"/>
      <c r="AS369" s="641"/>
      <c r="AT369" s="641"/>
      <c r="AU369" s="72"/>
      <c r="AV369" s="73"/>
      <c r="AW369" s="643"/>
      <c r="AX369" s="643"/>
      <c r="AY369" s="643"/>
      <c r="AZ369" s="75"/>
      <c r="BA369" s="75"/>
      <c r="BB369" s="75"/>
    </row>
    <row r="370" spans="2:54" s="560" customFormat="1" ht="16.5" customHeight="1">
      <c r="B370" s="72"/>
      <c r="C370" s="72"/>
      <c r="D370" s="72"/>
      <c r="E370" s="73"/>
      <c r="F370" s="641"/>
      <c r="G370" s="73"/>
      <c r="H370" s="641"/>
      <c r="I370" s="641"/>
      <c r="J370" s="641"/>
      <c r="K370" s="641"/>
      <c r="L370" s="73"/>
      <c r="M370" s="72"/>
      <c r="N370" s="72"/>
      <c r="O370" s="642"/>
      <c r="P370" s="642"/>
      <c r="Q370" s="74"/>
      <c r="R370" s="641"/>
      <c r="S370" s="641"/>
      <c r="T370" s="72"/>
      <c r="U370" s="72"/>
      <c r="V370" s="72"/>
      <c r="W370" s="72"/>
      <c r="X370" s="72"/>
      <c r="Y370" s="72"/>
      <c r="Z370" s="72"/>
      <c r="AA370" s="73"/>
      <c r="AB370" s="72"/>
      <c r="AC370" s="641"/>
      <c r="AD370" s="72"/>
      <c r="AE370" s="641"/>
      <c r="AF370" s="641"/>
      <c r="AG370" s="72"/>
      <c r="AH370" s="72"/>
      <c r="AI370" s="72"/>
      <c r="AJ370" s="72"/>
      <c r="AK370" s="72"/>
      <c r="AL370" s="72"/>
      <c r="AM370" s="72"/>
      <c r="AN370" s="73"/>
      <c r="AO370" s="641"/>
      <c r="AP370" s="641"/>
      <c r="AQ370" s="641"/>
      <c r="AR370" s="641"/>
      <c r="AS370" s="641"/>
      <c r="AT370" s="641"/>
      <c r="AU370" s="72"/>
      <c r="AV370" s="73"/>
      <c r="AW370" s="643"/>
      <c r="AX370" s="643"/>
      <c r="AY370" s="643"/>
      <c r="AZ370" s="75"/>
      <c r="BA370" s="75"/>
      <c r="BB370" s="75"/>
    </row>
    <row r="371" spans="2:54" s="560" customFormat="1" ht="16.5" customHeight="1">
      <c r="B371" s="72"/>
      <c r="C371" s="72"/>
      <c r="D371" s="72"/>
      <c r="E371" s="73"/>
      <c r="F371" s="641"/>
      <c r="G371" s="73"/>
      <c r="H371" s="641"/>
      <c r="I371" s="641"/>
      <c r="J371" s="641"/>
      <c r="K371" s="641"/>
      <c r="L371" s="73"/>
      <c r="M371" s="72"/>
      <c r="N371" s="72"/>
      <c r="O371" s="642"/>
      <c r="P371" s="642"/>
      <c r="Q371" s="74"/>
      <c r="R371" s="641"/>
      <c r="S371" s="641"/>
      <c r="T371" s="72"/>
      <c r="U371" s="72"/>
      <c r="V371" s="72"/>
      <c r="W371" s="72"/>
      <c r="X371" s="72"/>
      <c r="Y371" s="72"/>
      <c r="Z371" s="72"/>
      <c r="AA371" s="73"/>
      <c r="AB371" s="72"/>
      <c r="AC371" s="641"/>
      <c r="AD371" s="72"/>
      <c r="AE371" s="641"/>
      <c r="AF371" s="641"/>
      <c r="AG371" s="72"/>
      <c r="AH371" s="72"/>
      <c r="AI371" s="72"/>
      <c r="AJ371" s="72"/>
      <c r="AK371" s="72"/>
      <c r="AL371" s="72"/>
      <c r="AM371" s="72"/>
      <c r="AN371" s="73"/>
      <c r="AO371" s="641"/>
      <c r="AP371" s="641"/>
      <c r="AQ371" s="641"/>
      <c r="AR371" s="641"/>
      <c r="AS371" s="641"/>
      <c r="AT371" s="641"/>
      <c r="AU371" s="72"/>
      <c r="AV371" s="73"/>
      <c r="AW371" s="643"/>
      <c r="AX371" s="643"/>
      <c r="AY371" s="643"/>
      <c r="AZ371" s="75"/>
      <c r="BA371" s="75"/>
      <c r="BB371" s="75"/>
    </row>
    <row r="372" spans="2:54" s="560" customFormat="1" ht="16.5" customHeight="1">
      <c r="B372" s="72"/>
      <c r="C372" s="72"/>
      <c r="D372" s="72"/>
      <c r="E372" s="73"/>
      <c r="F372" s="641"/>
      <c r="G372" s="73"/>
      <c r="H372" s="641"/>
      <c r="I372" s="641"/>
      <c r="J372" s="641"/>
      <c r="K372" s="641"/>
      <c r="L372" s="73"/>
      <c r="M372" s="72"/>
      <c r="N372" s="72"/>
      <c r="O372" s="642"/>
      <c r="P372" s="642"/>
      <c r="Q372" s="74"/>
      <c r="R372" s="641"/>
      <c r="S372" s="641"/>
      <c r="T372" s="72"/>
      <c r="U372" s="72"/>
      <c r="V372" s="72"/>
      <c r="W372" s="72"/>
      <c r="X372" s="72"/>
      <c r="Y372" s="72"/>
      <c r="Z372" s="72"/>
      <c r="AA372" s="73"/>
      <c r="AB372" s="72"/>
      <c r="AC372" s="641"/>
      <c r="AD372" s="72"/>
      <c r="AE372" s="641"/>
      <c r="AF372" s="641"/>
      <c r="AG372" s="72"/>
      <c r="AH372" s="72"/>
      <c r="AI372" s="72"/>
      <c r="AJ372" s="72"/>
      <c r="AK372" s="72"/>
      <c r="AL372" s="72"/>
      <c r="AM372" s="72"/>
      <c r="AN372" s="73"/>
      <c r="AO372" s="641"/>
      <c r="AP372" s="641"/>
      <c r="AQ372" s="641"/>
      <c r="AR372" s="641"/>
      <c r="AS372" s="641"/>
      <c r="AT372" s="641"/>
      <c r="AU372" s="72"/>
      <c r="AV372" s="73"/>
      <c r="AW372" s="643"/>
      <c r="AX372" s="643"/>
      <c r="AY372" s="643"/>
      <c r="AZ372" s="75"/>
      <c r="BA372" s="75"/>
      <c r="BB372" s="75"/>
    </row>
    <row r="373" spans="2:54" s="560" customFormat="1" ht="16.5" customHeight="1">
      <c r="B373" s="72"/>
      <c r="C373" s="72"/>
      <c r="D373" s="72"/>
      <c r="E373" s="73"/>
      <c r="F373" s="641"/>
      <c r="G373" s="73"/>
      <c r="H373" s="641"/>
      <c r="I373" s="641"/>
      <c r="J373" s="641"/>
      <c r="K373" s="641"/>
      <c r="L373" s="73"/>
      <c r="M373" s="72"/>
      <c r="N373" s="72"/>
      <c r="O373" s="642"/>
      <c r="P373" s="642"/>
      <c r="Q373" s="74"/>
      <c r="R373" s="641"/>
      <c r="S373" s="641"/>
      <c r="T373" s="72"/>
      <c r="U373" s="72"/>
      <c r="V373" s="72"/>
      <c r="W373" s="72"/>
      <c r="X373" s="72"/>
      <c r="Y373" s="72"/>
      <c r="Z373" s="72"/>
      <c r="AA373" s="73"/>
      <c r="AB373" s="72"/>
      <c r="AC373" s="641"/>
      <c r="AD373" s="72"/>
      <c r="AE373" s="641"/>
      <c r="AF373" s="641"/>
      <c r="AG373" s="72"/>
      <c r="AH373" s="72"/>
      <c r="AI373" s="72"/>
      <c r="AJ373" s="72"/>
      <c r="AK373" s="72"/>
      <c r="AL373" s="72"/>
      <c r="AM373" s="72"/>
      <c r="AN373" s="73"/>
      <c r="AO373" s="641"/>
      <c r="AP373" s="641"/>
      <c r="AQ373" s="641"/>
      <c r="AR373" s="641"/>
      <c r="AS373" s="641"/>
      <c r="AT373" s="641"/>
      <c r="AU373" s="72"/>
      <c r="AV373" s="73"/>
      <c r="AW373" s="643"/>
      <c r="AX373" s="643"/>
      <c r="AY373" s="643"/>
      <c r="AZ373" s="75"/>
      <c r="BA373" s="75"/>
      <c r="BB373" s="75"/>
    </row>
    <row r="374" spans="2:54" s="560" customFormat="1" ht="16.5" customHeight="1">
      <c r="B374" s="72"/>
      <c r="C374" s="72"/>
      <c r="D374" s="72"/>
      <c r="E374" s="73"/>
      <c r="F374" s="641"/>
      <c r="G374" s="73"/>
      <c r="H374" s="641"/>
      <c r="I374" s="641"/>
      <c r="J374" s="641"/>
      <c r="K374" s="641"/>
      <c r="L374" s="73"/>
      <c r="M374" s="72"/>
      <c r="N374" s="72"/>
      <c r="O374" s="642"/>
      <c r="P374" s="642"/>
      <c r="Q374" s="74"/>
      <c r="R374" s="641"/>
      <c r="S374" s="641"/>
      <c r="T374" s="72"/>
      <c r="U374" s="72"/>
      <c r="V374" s="72"/>
      <c r="W374" s="72"/>
      <c r="X374" s="72"/>
      <c r="Y374" s="72"/>
      <c r="Z374" s="72"/>
      <c r="AA374" s="73"/>
      <c r="AB374" s="72"/>
      <c r="AC374" s="641"/>
      <c r="AD374" s="72"/>
      <c r="AE374" s="641"/>
      <c r="AF374" s="641"/>
      <c r="AG374" s="72"/>
      <c r="AH374" s="72"/>
      <c r="AI374" s="72"/>
      <c r="AJ374" s="72"/>
      <c r="AK374" s="72"/>
      <c r="AL374" s="72"/>
      <c r="AM374" s="72"/>
      <c r="AN374" s="73"/>
      <c r="AO374" s="641"/>
      <c r="AP374" s="641"/>
      <c r="AQ374" s="641"/>
      <c r="AR374" s="641"/>
      <c r="AS374" s="641"/>
      <c r="AT374" s="641"/>
      <c r="AU374" s="72"/>
      <c r="AV374" s="73"/>
      <c r="AW374" s="643"/>
      <c r="AX374" s="643"/>
      <c r="AY374" s="643"/>
      <c r="AZ374" s="75"/>
      <c r="BA374" s="75"/>
      <c r="BB374" s="75"/>
    </row>
    <row r="375" spans="2:54" s="560" customFormat="1" ht="16.5" customHeight="1">
      <c r="B375" s="72"/>
      <c r="C375" s="72"/>
      <c r="D375" s="72"/>
      <c r="E375" s="73"/>
      <c r="F375" s="641"/>
      <c r="G375" s="73"/>
      <c r="H375" s="641"/>
      <c r="I375" s="641"/>
      <c r="J375" s="641"/>
      <c r="K375" s="641"/>
      <c r="L375" s="73"/>
      <c r="M375" s="72"/>
      <c r="N375" s="72"/>
      <c r="O375" s="642"/>
      <c r="P375" s="642"/>
      <c r="Q375" s="74"/>
      <c r="R375" s="641"/>
      <c r="S375" s="641"/>
      <c r="T375" s="72"/>
      <c r="U375" s="72"/>
      <c r="V375" s="72"/>
      <c r="W375" s="72"/>
      <c r="X375" s="72"/>
      <c r="Y375" s="72"/>
      <c r="Z375" s="72"/>
      <c r="AA375" s="73"/>
      <c r="AB375" s="72"/>
      <c r="AC375" s="641"/>
      <c r="AD375" s="72"/>
      <c r="AE375" s="641"/>
      <c r="AF375" s="641"/>
      <c r="AG375" s="72"/>
      <c r="AH375" s="72"/>
      <c r="AI375" s="72"/>
      <c r="AJ375" s="72"/>
      <c r="AK375" s="72"/>
      <c r="AL375" s="72"/>
      <c r="AM375" s="72"/>
      <c r="AN375" s="73"/>
      <c r="AO375" s="641"/>
      <c r="AP375" s="641"/>
      <c r="AQ375" s="641"/>
      <c r="AR375" s="641"/>
      <c r="AS375" s="641"/>
      <c r="AT375" s="641"/>
      <c r="AU375" s="72"/>
      <c r="AV375" s="73"/>
      <c r="AW375" s="643"/>
      <c r="AX375" s="643"/>
      <c r="AY375" s="643"/>
      <c r="AZ375" s="75"/>
      <c r="BA375" s="75"/>
      <c r="BB375" s="75"/>
    </row>
    <row r="376" spans="2:54" s="560" customFormat="1" ht="16.5" customHeight="1">
      <c r="B376" s="72"/>
      <c r="C376" s="72"/>
      <c r="D376" s="72"/>
      <c r="E376" s="73"/>
      <c r="F376" s="641"/>
      <c r="G376" s="73"/>
      <c r="H376" s="641"/>
      <c r="I376" s="641"/>
      <c r="J376" s="641"/>
      <c r="K376" s="641"/>
      <c r="L376" s="73"/>
      <c r="M376" s="72"/>
      <c r="N376" s="72"/>
      <c r="O376" s="642"/>
      <c r="P376" s="642"/>
      <c r="Q376" s="74"/>
      <c r="R376" s="641"/>
      <c r="S376" s="641"/>
      <c r="T376" s="72"/>
      <c r="U376" s="72"/>
      <c r="V376" s="72"/>
      <c r="W376" s="72"/>
      <c r="X376" s="72"/>
      <c r="Y376" s="72"/>
      <c r="Z376" s="72"/>
      <c r="AA376" s="73"/>
      <c r="AB376" s="72"/>
      <c r="AC376" s="641"/>
      <c r="AD376" s="72"/>
      <c r="AE376" s="641"/>
      <c r="AF376" s="641"/>
      <c r="AG376" s="72"/>
      <c r="AH376" s="72"/>
      <c r="AI376" s="72"/>
      <c r="AJ376" s="72"/>
      <c r="AK376" s="72"/>
      <c r="AL376" s="72"/>
      <c r="AM376" s="72"/>
      <c r="AN376" s="73"/>
      <c r="AO376" s="641"/>
      <c r="AP376" s="641"/>
      <c r="AQ376" s="641"/>
      <c r="AR376" s="641"/>
      <c r="AS376" s="641"/>
      <c r="AT376" s="641"/>
      <c r="AU376" s="72"/>
      <c r="AV376" s="73"/>
      <c r="AW376" s="643"/>
      <c r="AX376" s="643"/>
      <c r="AY376" s="643"/>
      <c r="AZ376" s="75"/>
      <c r="BA376" s="75"/>
      <c r="BB376" s="75"/>
    </row>
    <row r="377" spans="2:54" s="560" customFormat="1" ht="16.5" customHeight="1">
      <c r="B377" s="72"/>
      <c r="C377" s="72"/>
      <c r="D377" s="72"/>
      <c r="E377" s="73"/>
      <c r="F377" s="641"/>
      <c r="G377" s="73"/>
      <c r="H377" s="641"/>
      <c r="I377" s="641"/>
      <c r="J377" s="641"/>
      <c r="K377" s="641"/>
      <c r="L377" s="73"/>
      <c r="M377" s="72"/>
      <c r="N377" s="72"/>
      <c r="O377" s="642"/>
      <c r="P377" s="642"/>
      <c r="Q377" s="74"/>
      <c r="R377" s="641"/>
      <c r="S377" s="641"/>
      <c r="T377" s="72"/>
      <c r="U377" s="72"/>
      <c r="V377" s="72"/>
      <c r="W377" s="72"/>
      <c r="X377" s="72"/>
      <c r="Y377" s="72"/>
      <c r="Z377" s="72"/>
      <c r="AA377" s="73"/>
      <c r="AB377" s="72"/>
      <c r="AC377" s="641"/>
      <c r="AD377" s="72"/>
      <c r="AE377" s="641"/>
      <c r="AF377" s="641"/>
      <c r="AG377" s="72"/>
      <c r="AH377" s="72"/>
      <c r="AI377" s="72"/>
      <c r="AJ377" s="72"/>
      <c r="AK377" s="72"/>
      <c r="AL377" s="72"/>
      <c r="AM377" s="72"/>
      <c r="AN377" s="73"/>
      <c r="AO377" s="641"/>
      <c r="AP377" s="641"/>
      <c r="AQ377" s="641"/>
      <c r="AR377" s="641"/>
      <c r="AS377" s="641"/>
      <c r="AT377" s="641"/>
      <c r="AU377" s="72"/>
      <c r="AV377" s="73"/>
      <c r="AW377" s="643"/>
      <c r="AX377" s="643"/>
      <c r="AY377" s="643"/>
      <c r="AZ377" s="75"/>
      <c r="BA377" s="75"/>
      <c r="BB377" s="75"/>
    </row>
    <row r="378" spans="2:54" s="560" customFormat="1" ht="16.5" customHeight="1">
      <c r="B378" s="72"/>
      <c r="C378" s="72"/>
      <c r="D378" s="72"/>
      <c r="E378" s="73"/>
      <c r="F378" s="641"/>
      <c r="G378" s="73"/>
      <c r="H378" s="641"/>
      <c r="I378" s="641"/>
      <c r="J378" s="641"/>
      <c r="K378" s="641"/>
      <c r="L378" s="73"/>
      <c r="M378" s="72"/>
      <c r="N378" s="72"/>
      <c r="O378" s="642"/>
      <c r="P378" s="642"/>
      <c r="Q378" s="74"/>
      <c r="R378" s="641"/>
      <c r="S378" s="641"/>
      <c r="T378" s="72"/>
      <c r="U378" s="72"/>
      <c r="V378" s="72"/>
      <c r="W378" s="72"/>
      <c r="X378" s="72"/>
      <c r="Y378" s="72"/>
      <c r="Z378" s="72"/>
      <c r="AA378" s="73"/>
      <c r="AB378" s="72"/>
      <c r="AC378" s="641"/>
      <c r="AD378" s="72"/>
      <c r="AE378" s="641"/>
      <c r="AF378" s="641"/>
      <c r="AG378" s="72"/>
      <c r="AH378" s="72"/>
      <c r="AI378" s="72"/>
      <c r="AJ378" s="72"/>
      <c r="AK378" s="72"/>
      <c r="AL378" s="72"/>
      <c r="AM378" s="72"/>
      <c r="AN378" s="73"/>
      <c r="AO378" s="641"/>
      <c r="AP378" s="641"/>
      <c r="AQ378" s="641"/>
      <c r="AR378" s="641"/>
      <c r="AS378" s="641"/>
      <c r="AT378" s="641"/>
      <c r="AU378" s="72"/>
      <c r="AV378" s="73"/>
      <c r="AW378" s="643"/>
      <c r="AX378" s="643"/>
      <c r="AY378" s="643"/>
      <c r="AZ378" s="75"/>
      <c r="BA378" s="75"/>
      <c r="BB378" s="75"/>
    </row>
    <row r="379" spans="2:54" s="560" customFormat="1" ht="16.5" customHeight="1">
      <c r="B379" s="72"/>
      <c r="C379" s="72"/>
      <c r="D379" s="72"/>
      <c r="E379" s="73"/>
      <c r="F379" s="641"/>
      <c r="G379" s="73"/>
      <c r="H379" s="641"/>
      <c r="I379" s="641"/>
      <c r="J379" s="641"/>
      <c r="K379" s="641"/>
      <c r="L379" s="73"/>
      <c r="M379" s="72"/>
      <c r="N379" s="72"/>
      <c r="O379" s="642"/>
      <c r="P379" s="642"/>
      <c r="Q379" s="74"/>
      <c r="R379" s="641"/>
      <c r="S379" s="641"/>
      <c r="T379" s="72"/>
      <c r="U379" s="72"/>
      <c r="V379" s="72"/>
      <c r="W379" s="72"/>
      <c r="X379" s="72"/>
      <c r="Y379" s="72"/>
      <c r="Z379" s="72"/>
      <c r="AA379" s="73"/>
      <c r="AB379" s="72"/>
      <c r="AC379" s="641"/>
      <c r="AD379" s="72"/>
      <c r="AE379" s="641"/>
      <c r="AF379" s="641"/>
      <c r="AG379" s="72"/>
      <c r="AH379" s="72"/>
      <c r="AI379" s="72"/>
      <c r="AJ379" s="72"/>
      <c r="AK379" s="72"/>
      <c r="AL379" s="72"/>
      <c r="AM379" s="72"/>
      <c r="AN379" s="73"/>
      <c r="AO379" s="641"/>
      <c r="AP379" s="641"/>
      <c r="AQ379" s="641"/>
      <c r="AR379" s="641"/>
      <c r="AS379" s="641"/>
      <c r="AT379" s="641"/>
      <c r="AU379" s="72"/>
      <c r="AV379" s="73"/>
      <c r="AW379" s="643"/>
      <c r="AX379" s="643"/>
      <c r="AY379" s="643"/>
      <c r="AZ379" s="75"/>
      <c r="BA379" s="75"/>
      <c r="BB379" s="75"/>
    </row>
    <row r="380" spans="2:54" s="560" customFormat="1" ht="16.5" customHeight="1">
      <c r="B380" s="72"/>
      <c r="C380" s="72"/>
      <c r="D380" s="72"/>
      <c r="E380" s="73"/>
      <c r="F380" s="641"/>
      <c r="G380" s="73"/>
      <c r="H380" s="641"/>
      <c r="I380" s="641"/>
      <c r="J380" s="641"/>
      <c r="K380" s="641"/>
      <c r="L380" s="73"/>
      <c r="M380" s="72"/>
      <c r="N380" s="72"/>
      <c r="O380" s="642"/>
      <c r="P380" s="642"/>
      <c r="Q380" s="74"/>
      <c r="R380" s="641"/>
      <c r="S380" s="641"/>
      <c r="T380" s="72"/>
      <c r="U380" s="72"/>
      <c r="V380" s="72"/>
      <c r="W380" s="72"/>
      <c r="X380" s="72"/>
      <c r="Y380" s="72"/>
      <c r="Z380" s="72"/>
      <c r="AA380" s="73"/>
      <c r="AB380" s="72"/>
      <c r="AC380" s="641"/>
      <c r="AD380" s="72"/>
      <c r="AE380" s="641"/>
      <c r="AF380" s="641"/>
      <c r="AG380" s="72"/>
      <c r="AH380" s="72"/>
      <c r="AI380" s="72"/>
      <c r="AJ380" s="72"/>
      <c r="AK380" s="72"/>
      <c r="AL380" s="72"/>
      <c r="AM380" s="72"/>
      <c r="AN380" s="73"/>
      <c r="AO380" s="641"/>
      <c r="AP380" s="641"/>
      <c r="AQ380" s="641"/>
      <c r="AR380" s="641"/>
      <c r="AS380" s="641"/>
      <c r="AT380" s="641"/>
      <c r="AU380" s="72"/>
      <c r="AV380" s="73"/>
      <c r="AW380" s="643"/>
      <c r="AX380" s="643"/>
      <c r="AY380" s="643"/>
      <c r="AZ380" s="75"/>
      <c r="BA380" s="75"/>
      <c r="BB380" s="75"/>
    </row>
    <row r="381" spans="2:54" s="560" customFormat="1" ht="16.5" customHeight="1">
      <c r="B381" s="72"/>
      <c r="C381" s="72"/>
      <c r="D381" s="72"/>
      <c r="E381" s="73"/>
      <c r="F381" s="641"/>
      <c r="G381" s="73"/>
      <c r="H381" s="641"/>
      <c r="I381" s="641"/>
      <c r="J381" s="641"/>
      <c r="K381" s="641"/>
      <c r="L381" s="73"/>
      <c r="M381" s="72"/>
      <c r="N381" s="72"/>
      <c r="O381" s="642"/>
      <c r="P381" s="642"/>
      <c r="Q381" s="74"/>
      <c r="R381" s="641"/>
      <c r="S381" s="641"/>
      <c r="T381" s="72"/>
      <c r="U381" s="72"/>
      <c r="V381" s="72"/>
      <c r="W381" s="72"/>
      <c r="X381" s="72"/>
      <c r="Y381" s="72"/>
      <c r="Z381" s="72"/>
      <c r="AA381" s="73"/>
      <c r="AB381" s="72"/>
      <c r="AC381" s="641"/>
      <c r="AD381" s="72"/>
      <c r="AE381" s="641"/>
      <c r="AF381" s="641"/>
      <c r="AG381" s="72"/>
      <c r="AH381" s="72"/>
      <c r="AI381" s="72"/>
      <c r="AJ381" s="72"/>
      <c r="AK381" s="72"/>
      <c r="AL381" s="72"/>
      <c r="AM381" s="72"/>
      <c r="AN381" s="73"/>
      <c r="AO381" s="641"/>
      <c r="AP381" s="641"/>
      <c r="AQ381" s="641"/>
      <c r="AR381" s="641"/>
      <c r="AS381" s="641"/>
      <c r="AT381" s="641"/>
      <c r="AU381" s="72"/>
      <c r="AV381" s="73"/>
      <c r="AW381" s="643"/>
      <c r="AX381" s="643"/>
      <c r="AY381" s="643"/>
      <c r="AZ381" s="75"/>
      <c r="BA381" s="75"/>
      <c r="BB381" s="75"/>
    </row>
    <row r="382" spans="2:54" s="560" customFormat="1" ht="16.5" customHeight="1">
      <c r="B382" s="72"/>
      <c r="C382" s="72"/>
      <c r="D382" s="72"/>
      <c r="E382" s="73"/>
      <c r="F382" s="641"/>
      <c r="G382" s="73"/>
      <c r="H382" s="641"/>
      <c r="I382" s="641"/>
      <c r="J382" s="641"/>
      <c r="K382" s="641"/>
      <c r="L382" s="73"/>
      <c r="M382" s="72"/>
      <c r="N382" s="72"/>
      <c r="O382" s="642"/>
      <c r="P382" s="642"/>
      <c r="Q382" s="74"/>
      <c r="R382" s="641"/>
      <c r="S382" s="641"/>
      <c r="T382" s="72"/>
      <c r="U382" s="72"/>
      <c r="V382" s="72"/>
      <c r="W382" s="72"/>
      <c r="X382" s="72"/>
      <c r="Y382" s="72"/>
      <c r="Z382" s="72"/>
      <c r="AA382" s="73"/>
      <c r="AB382" s="72"/>
      <c r="AC382" s="641"/>
      <c r="AD382" s="72"/>
      <c r="AE382" s="641"/>
      <c r="AF382" s="641"/>
      <c r="AG382" s="72"/>
      <c r="AH382" s="72"/>
      <c r="AI382" s="72"/>
      <c r="AJ382" s="72"/>
      <c r="AK382" s="72"/>
      <c r="AL382" s="72"/>
      <c r="AM382" s="72"/>
      <c r="AN382" s="73"/>
      <c r="AO382" s="641"/>
      <c r="AP382" s="641"/>
      <c r="AQ382" s="641"/>
      <c r="AR382" s="641"/>
      <c r="AS382" s="641"/>
      <c r="AT382" s="641"/>
      <c r="AU382" s="72"/>
      <c r="AV382" s="73"/>
      <c r="AW382" s="643"/>
      <c r="AX382" s="643"/>
      <c r="AY382" s="643"/>
      <c r="AZ382" s="75"/>
      <c r="BA382" s="75"/>
      <c r="BB382" s="75"/>
    </row>
    <row r="383" spans="2:54" s="560" customFormat="1" ht="16.5" customHeight="1">
      <c r="B383" s="72"/>
      <c r="C383" s="72"/>
      <c r="D383" s="72"/>
      <c r="E383" s="73"/>
      <c r="F383" s="641"/>
      <c r="G383" s="73"/>
      <c r="H383" s="641"/>
      <c r="I383" s="641"/>
      <c r="J383" s="641"/>
      <c r="K383" s="641"/>
      <c r="L383" s="73"/>
      <c r="M383" s="72"/>
      <c r="N383" s="72"/>
      <c r="O383" s="642"/>
      <c r="P383" s="642"/>
      <c r="Q383" s="74"/>
      <c r="R383" s="641"/>
      <c r="S383" s="641"/>
      <c r="T383" s="72"/>
      <c r="U383" s="72"/>
      <c r="V383" s="72"/>
      <c r="W383" s="72"/>
      <c r="X383" s="72"/>
      <c r="Y383" s="72"/>
      <c r="Z383" s="72"/>
      <c r="AA383" s="73"/>
      <c r="AB383" s="72"/>
      <c r="AC383" s="641"/>
      <c r="AD383" s="72"/>
      <c r="AE383" s="641"/>
      <c r="AF383" s="641"/>
      <c r="AG383" s="72"/>
      <c r="AH383" s="72"/>
      <c r="AI383" s="72"/>
      <c r="AJ383" s="72"/>
      <c r="AK383" s="72"/>
      <c r="AL383" s="72"/>
      <c r="AM383" s="72"/>
      <c r="AN383" s="73"/>
      <c r="AO383" s="641"/>
      <c r="AP383" s="641"/>
      <c r="AQ383" s="641"/>
      <c r="AR383" s="641"/>
      <c r="AS383" s="641"/>
      <c r="AT383" s="641"/>
      <c r="AU383" s="72"/>
      <c r="AV383" s="73"/>
      <c r="AW383" s="643"/>
      <c r="AX383" s="643"/>
      <c r="AY383" s="643"/>
      <c r="AZ383" s="75"/>
      <c r="BA383" s="75"/>
      <c r="BB383" s="75"/>
    </row>
    <row r="384" spans="2:54" s="560" customFormat="1" ht="16.5" customHeight="1">
      <c r="B384" s="72"/>
      <c r="C384" s="72"/>
      <c r="D384" s="72"/>
      <c r="E384" s="73"/>
      <c r="F384" s="641"/>
      <c r="G384" s="73"/>
      <c r="H384" s="641"/>
      <c r="I384" s="641"/>
      <c r="J384" s="641"/>
      <c r="K384" s="641"/>
      <c r="L384" s="73"/>
      <c r="M384" s="72"/>
      <c r="N384" s="72"/>
      <c r="O384" s="642"/>
      <c r="P384" s="642"/>
      <c r="Q384" s="74"/>
      <c r="R384" s="641"/>
      <c r="S384" s="641"/>
      <c r="T384" s="72"/>
      <c r="U384" s="72"/>
      <c r="V384" s="72"/>
      <c r="W384" s="72"/>
      <c r="X384" s="72"/>
      <c r="Y384" s="72"/>
      <c r="Z384" s="72"/>
      <c r="AA384" s="73"/>
      <c r="AB384" s="72"/>
      <c r="AC384" s="641"/>
      <c r="AD384" s="72"/>
      <c r="AE384" s="641"/>
      <c r="AF384" s="641"/>
      <c r="AG384" s="72"/>
      <c r="AH384" s="72"/>
      <c r="AI384" s="72"/>
      <c r="AJ384" s="72"/>
      <c r="AK384" s="72"/>
      <c r="AL384" s="72"/>
      <c r="AM384" s="72"/>
      <c r="AN384" s="73"/>
      <c r="AO384" s="641"/>
      <c r="AP384" s="641"/>
      <c r="AQ384" s="641"/>
      <c r="AR384" s="641"/>
      <c r="AS384" s="641"/>
      <c r="AT384" s="641"/>
      <c r="AU384" s="72"/>
      <c r="AV384" s="73"/>
      <c r="AW384" s="643"/>
      <c r="AX384" s="643"/>
      <c r="AY384" s="643"/>
      <c r="AZ384" s="75"/>
      <c r="BA384" s="75"/>
      <c r="BB384" s="75"/>
    </row>
    <row r="385" spans="2:54" s="560" customFormat="1" ht="16.5" customHeight="1">
      <c r="B385" s="72"/>
      <c r="C385" s="72"/>
      <c r="D385" s="72"/>
      <c r="E385" s="73"/>
      <c r="F385" s="641"/>
      <c r="G385" s="73"/>
      <c r="H385" s="641"/>
      <c r="I385" s="641"/>
      <c r="J385" s="641"/>
      <c r="K385" s="641"/>
      <c r="L385" s="73"/>
      <c r="M385" s="72"/>
      <c r="N385" s="72"/>
      <c r="O385" s="642"/>
      <c r="P385" s="642"/>
      <c r="Q385" s="74"/>
      <c r="R385" s="641"/>
      <c r="S385" s="641"/>
      <c r="T385" s="72"/>
      <c r="U385" s="72"/>
      <c r="V385" s="72"/>
      <c r="W385" s="72"/>
      <c r="X385" s="72"/>
      <c r="Y385" s="72"/>
      <c r="Z385" s="72"/>
      <c r="AA385" s="73"/>
      <c r="AB385" s="72"/>
      <c r="AC385" s="641"/>
      <c r="AD385" s="72"/>
      <c r="AE385" s="641"/>
      <c r="AF385" s="641"/>
      <c r="AG385" s="72"/>
      <c r="AH385" s="72"/>
      <c r="AI385" s="72"/>
      <c r="AJ385" s="72"/>
      <c r="AK385" s="72"/>
      <c r="AL385" s="72"/>
      <c r="AM385" s="72"/>
      <c r="AN385" s="73"/>
      <c r="AO385" s="641"/>
      <c r="AP385" s="641"/>
      <c r="AQ385" s="641"/>
      <c r="AR385" s="641"/>
      <c r="AS385" s="641"/>
      <c r="AT385" s="641"/>
      <c r="AU385" s="72"/>
      <c r="AV385" s="73"/>
      <c r="AW385" s="643"/>
      <c r="AX385" s="643"/>
      <c r="AY385" s="643"/>
      <c r="AZ385" s="75"/>
      <c r="BA385" s="75"/>
      <c r="BB385" s="75"/>
    </row>
    <row r="386" spans="2:54" s="560" customFormat="1" ht="16.5" customHeight="1">
      <c r="B386" s="72"/>
      <c r="C386" s="72"/>
      <c r="D386" s="72"/>
      <c r="E386" s="73"/>
      <c r="F386" s="641"/>
      <c r="G386" s="73"/>
      <c r="H386" s="641"/>
      <c r="I386" s="641"/>
      <c r="J386" s="641"/>
      <c r="K386" s="641"/>
      <c r="L386" s="73"/>
      <c r="M386" s="72"/>
      <c r="N386" s="72"/>
      <c r="O386" s="642"/>
      <c r="P386" s="642"/>
      <c r="Q386" s="74"/>
      <c r="R386" s="641"/>
      <c r="S386" s="641"/>
      <c r="T386" s="72"/>
      <c r="U386" s="72"/>
      <c r="V386" s="72"/>
      <c r="W386" s="72"/>
      <c r="X386" s="72"/>
      <c r="Y386" s="72"/>
      <c r="Z386" s="72"/>
      <c r="AA386" s="73"/>
      <c r="AB386" s="72"/>
      <c r="AC386" s="641"/>
      <c r="AD386" s="72"/>
      <c r="AE386" s="641"/>
      <c r="AF386" s="641"/>
      <c r="AG386" s="72"/>
      <c r="AH386" s="72"/>
      <c r="AI386" s="72"/>
      <c r="AJ386" s="72"/>
      <c r="AK386" s="72"/>
      <c r="AL386" s="72"/>
      <c r="AM386" s="72"/>
      <c r="AN386" s="73"/>
      <c r="AO386" s="641"/>
      <c r="AP386" s="641"/>
      <c r="AQ386" s="641"/>
      <c r="AR386" s="641"/>
      <c r="AS386" s="641"/>
      <c r="AT386" s="641"/>
      <c r="AU386" s="72"/>
      <c r="AV386" s="73"/>
      <c r="AW386" s="643"/>
      <c r="AX386" s="643"/>
      <c r="AY386" s="643"/>
      <c r="AZ386" s="75"/>
      <c r="BA386" s="75"/>
      <c r="BB386" s="75"/>
    </row>
    <row r="387" spans="2:54" s="560" customFormat="1" ht="16.5" customHeight="1">
      <c r="B387" s="72"/>
      <c r="C387" s="72"/>
      <c r="D387" s="72"/>
      <c r="E387" s="73"/>
      <c r="F387" s="641"/>
      <c r="G387" s="73"/>
      <c r="H387" s="641"/>
      <c r="I387" s="641"/>
      <c r="J387" s="641"/>
      <c r="K387" s="641"/>
      <c r="L387" s="73"/>
      <c r="M387" s="72"/>
      <c r="N387" s="72"/>
      <c r="O387" s="642"/>
      <c r="P387" s="642"/>
      <c r="Q387" s="74"/>
      <c r="R387" s="641"/>
      <c r="S387" s="641"/>
      <c r="T387" s="72"/>
      <c r="U387" s="72"/>
      <c r="V387" s="72"/>
      <c r="W387" s="72"/>
      <c r="X387" s="72"/>
      <c r="Y387" s="72"/>
      <c r="Z387" s="72"/>
      <c r="AA387" s="73"/>
      <c r="AB387" s="72"/>
      <c r="AC387" s="641"/>
      <c r="AD387" s="72"/>
      <c r="AE387" s="641"/>
      <c r="AF387" s="641"/>
      <c r="AG387" s="72"/>
      <c r="AH387" s="72"/>
      <c r="AI387" s="72"/>
      <c r="AJ387" s="72"/>
      <c r="AK387" s="72"/>
      <c r="AL387" s="72"/>
      <c r="AM387" s="72"/>
      <c r="AN387" s="73"/>
      <c r="AO387" s="641"/>
      <c r="AP387" s="641"/>
      <c r="AQ387" s="641"/>
      <c r="AR387" s="641"/>
      <c r="AS387" s="641"/>
      <c r="AT387" s="641"/>
      <c r="AU387" s="72"/>
      <c r="AV387" s="73"/>
      <c r="AW387" s="643"/>
      <c r="AX387" s="643"/>
      <c r="AY387" s="643"/>
      <c r="AZ387" s="75"/>
      <c r="BA387" s="75"/>
      <c r="BB387" s="75"/>
    </row>
    <row r="388" spans="2:54" s="560" customFormat="1" ht="16.5" customHeight="1">
      <c r="B388" s="72"/>
      <c r="C388" s="72"/>
      <c r="D388" s="72"/>
      <c r="E388" s="73"/>
      <c r="F388" s="641"/>
      <c r="G388" s="73"/>
      <c r="H388" s="641"/>
      <c r="I388" s="641"/>
      <c r="J388" s="641"/>
      <c r="K388" s="641"/>
      <c r="L388" s="73"/>
      <c r="M388" s="72"/>
      <c r="N388" s="72"/>
      <c r="O388" s="642"/>
      <c r="P388" s="642"/>
      <c r="Q388" s="74"/>
      <c r="R388" s="641"/>
      <c r="S388" s="641"/>
      <c r="T388" s="72"/>
      <c r="U388" s="72"/>
      <c r="V388" s="72"/>
      <c r="W388" s="72"/>
      <c r="X388" s="72"/>
      <c r="Y388" s="72"/>
      <c r="Z388" s="72"/>
      <c r="AA388" s="73"/>
      <c r="AB388" s="72"/>
      <c r="AC388" s="641"/>
      <c r="AD388" s="72"/>
      <c r="AE388" s="641"/>
      <c r="AF388" s="641"/>
      <c r="AG388" s="72"/>
      <c r="AH388" s="72"/>
      <c r="AI388" s="72"/>
      <c r="AJ388" s="72"/>
      <c r="AK388" s="72"/>
      <c r="AL388" s="72"/>
      <c r="AM388" s="72"/>
      <c r="AN388" s="73"/>
      <c r="AO388" s="641"/>
      <c r="AP388" s="641"/>
      <c r="AQ388" s="641"/>
      <c r="AR388" s="641"/>
      <c r="AS388" s="641"/>
      <c r="AT388" s="641"/>
      <c r="AU388" s="72"/>
      <c r="AV388" s="73"/>
      <c r="AW388" s="643"/>
      <c r="AX388" s="643"/>
      <c r="AY388" s="643"/>
      <c r="AZ388" s="75"/>
      <c r="BA388" s="75"/>
      <c r="BB388" s="75"/>
    </row>
    <row r="389" spans="2:54" s="560" customFormat="1" ht="16.5" customHeight="1">
      <c r="B389" s="72"/>
      <c r="C389" s="72"/>
      <c r="D389" s="72"/>
      <c r="E389" s="73"/>
      <c r="F389" s="641"/>
      <c r="G389" s="73"/>
      <c r="H389" s="641"/>
      <c r="I389" s="641"/>
      <c r="J389" s="641"/>
      <c r="K389" s="641"/>
      <c r="L389" s="73"/>
      <c r="M389" s="72"/>
      <c r="N389" s="72"/>
      <c r="O389" s="642"/>
      <c r="P389" s="642"/>
      <c r="Q389" s="74"/>
      <c r="R389" s="641"/>
      <c r="S389" s="641"/>
      <c r="T389" s="72"/>
      <c r="U389" s="72"/>
      <c r="V389" s="72"/>
      <c r="W389" s="72"/>
      <c r="X389" s="72"/>
      <c r="Y389" s="72"/>
      <c r="Z389" s="72"/>
      <c r="AA389" s="73"/>
      <c r="AB389" s="72"/>
      <c r="AC389" s="641"/>
      <c r="AD389" s="72"/>
      <c r="AE389" s="641"/>
      <c r="AF389" s="641"/>
      <c r="AG389" s="72"/>
      <c r="AH389" s="72"/>
      <c r="AI389" s="72"/>
      <c r="AJ389" s="72"/>
      <c r="AK389" s="72"/>
      <c r="AL389" s="72"/>
      <c r="AM389" s="72"/>
      <c r="AN389" s="73"/>
      <c r="AO389" s="641"/>
      <c r="AP389" s="641"/>
      <c r="AQ389" s="641"/>
      <c r="AR389" s="641"/>
      <c r="AS389" s="641"/>
      <c r="AT389" s="641"/>
      <c r="AU389" s="72"/>
      <c r="AV389" s="73"/>
      <c r="AW389" s="643"/>
      <c r="AX389" s="643"/>
      <c r="AY389" s="643"/>
      <c r="AZ389" s="75"/>
      <c r="BA389" s="75"/>
      <c r="BB389" s="75"/>
    </row>
    <row r="390" spans="2:54" s="560" customFormat="1" ht="16.5" customHeight="1">
      <c r="B390" s="72"/>
      <c r="C390" s="72"/>
      <c r="D390" s="72"/>
      <c r="E390" s="73"/>
      <c r="F390" s="641"/>
      <c r="G390" s="73"/>
      <c r="H390" s="641"/>
      <c r="I390" s="641"/>
      <c r="J390" s="641"/>
      <c r="K390" s="641"/>
      <c r="L390" s="73"/>
      <c r="M390" s="72"/>
      <c r="N390" s="72"/>
      <c r="O390" s="642"/>
      <c r="P390" s="642"/>
      <c r="Q390" s="74"/>
      <c r="R390" s="641"/>
      <c r="S390" s="641"/>
      <c r="T390" s="72"/>
      <c r="U390" s="72"/>
      <c r="V390" s="72"/>
      <c r="W390" s="72"/>
      <c r="X390" s="72"/>
      <c r="Y390" s="72"/>
      <c r="Z390" s="72"/>
      <c r="AA390" s="73"/>
      <c r="AB390" s="72"/>
      <c r="AC390" s="641"/>
      <c r="AD390" s="72"/>
      <c r="AE390" s="641"/>
      <c r="AF390" s="641"/>
      <c r="AG390" s="72"/>
      <c r="AH390" s="72"/>
      <c r="AI390" s="72"/>
      <c r="AJ390" s="72"/>
      <c r="AK390" s="72"/>
      <c r="AL390" s="72"/>
      <c r="AM390" s="72"/>
      <c r="AN390" s="73"/>
      <c r="AO390" s="641"/>
      <c r="AP390" s="641"/>
      <c r="AQ390" s="641"/>
      <c r="AR390" s="641"/>
      <c r="AS390" s="641"/>
      <c r="AT390" s="641"/>
      <c r="AU390" s="72"/>
      <c r="AV390" s="73"/>
      <c r="AW390" s="643"/>
      <c r="AX390" s="643"/>
      <c r="AY390" s="643"/>
      <c r="AZ390" s="75"/>
      <c r="BA390" s="75"/>
      <c r="BB390" s="75"/>
    </row>
    <row r="391" spans="2:54" s="560" customFormat="1" ht="16.5" customHeight="1">
      <c r="B391" s="72"/>
      <c r="C391" s="72"/>
      <c r="D391" s="72"/>
      <c r="E391" s="73"/>
      <c r="F391" s="641"/>
      <c r="G391" s="73"/>
      <c r="H391" s="641"/>
      <c r="I391" s="641"/>
      <c r="J391" s="641"/>
      <c r="K391" s="641"/>
      <c r="L391" s="73"/>
      <c r="M391" s="72"/>
      <c r="N391" s="72"/>
      <c r="O391" s="642"/>
      <c r="P391" s="642"/>
      <c r="Q391" s="74"/>
      <c r="R391" s="641"/>
      <c r="S391" s="641"/>
      <c r="T391" s="72"/>
      <c r="U391" s="72"/>
      <c r="V391" s="72"/>
      <c r="W391" s="72"/>
      <c r="X391" s="72"/>
      <c r="Y391" s="72"/>
      <c r="Z391" s="72"/>
      <c r="AA391" s="73"/>
      <c r="AB391" s="72"/>
      <c r="AC391" s="641"/>
      <c r="AD391" s="72"/>
      <c r="AE391" s="641"/>
      <c r="AF391" s="641"/>
      <c r="AG391" s="72"/>
      <c r="AH391" s="72"/>
      <c r="AI391" s="72"/>
      <c r="AJ391" s="72"/>
      <c r="AK391" s="72"/>
      <c r="AL391" s="72"/>
      <c r="AM391" s="72"/>
      <c r="AN391" s="73"/>
      <c r="AO391" s="641"/>
      <c r="AP391" s="641"/>
      <c r="AQ391" s="641"/>
      <c r="AR391" s="641"/>
      <c r="AS391" s="641"/>
      <c r="AT391" s="641"/>
      <c r="AU391" s="72"/>
      <c r="AV391" s="73"/>
      <c r="AW391" s="643"/>
      <c r="AX391" s="643"/>
      <c r="AY391" s="643"/>
      <c r="AZ391" s="75"/>
      <c r="BA391" s="75"/>
      <c r="BB391" s="75"/>
    </row>
    <row r="392" spans="2:54" s="560" customFormat="1" ht="16.5" customHeight="1">
      <c r="B392" s="72"/>
      <c r="C392" s="72"/>
      <c r="D392" s="72"/>
      <c r="E392" s="73"/>
      <c r="F392" s="641"/>
      <c r="G392" s="73"/>
      <c r="H392" s="641"/>
      <c r="I392" s="641"/>
      <c r="J392" s="641"/>
      <c r="K392" s="641"/>
      <c r="L392" s="73"/>
      <c r="M392" s="72"/>
      <c r="N392" s="72"/>
      <c r="O392" s="642"/>
      <c r="P392" s="642"/>
      <c r="Q392" s="74"/>
      <c r="R392" s="641"/>
      <c r="S392" s="641"/>
      <c r="T392" s="72"/>
      <c r="U392" s="72"/>
      <c r="V392" s="72"/>
      <c r="W392" s="72"/>
      <c r="X392" s="72"/>
      <c r="Y392" s="72"/>
      <c r="Z392" s="72"/>
      <c r="AA392" s="73"/>
      <c r="AB392" s="72"/>
      <c r="AC392" s="641"/>
      <c r="AD392" s="72"/>
      <c r="AE392" s="641"/>
      <c r="AF392" s="641"/>
      <c r="AG392" s="72"/>
      <c r="AH392" s="72"/>
      <c r="AI392" s="72"/>
      <c r="AJ392" s="72"/>
      <c r="AK392" s="72"/>
      <c r="AL392" s="72"/>
      <c r="AM392" s="72"/>
      <c r="AN392" s="73"/>
      <c r="AO392" s="641"/>
      <c r="AP392" s="641"/>
      <c r="AQ392" s="641"/>
      <c r="AR392" s="641"/>
      <c r="AS392" s="641"/>
      <c r="AT392" s="641"/>
      <c r="AU392" s="72"/>
      <c r="AV392" s="73"/>
      <c r="AW392" s="643"/>
      <c r="AX392" s="643"/>
      <c r="AY392" s="643"/>
      <c r="AZ392" s="75"/>
      <c r="BA392" s="75"/>
      <c r="BB392" s="75"/>
    </row>
    <row r="393" spans="2:54" s="560" customFormat="1" ht="16.5" customHeight="1">
      <c r="B393" s="72"/>
      <c r="C393" s="72"/>
      <c r="D393" s="72"/>
      <c r="E393" s="73"/>
      <c r="F393" s="641"/>
      <c r="G393" s="73"/>
      <c r="H393" s="641"/>
      <c r="I393" s="641"/>
      <c r="J393" s="641"/>
      <c r="K393" s="641"/>
      <c r="L393" s="73"/>
      <c r="M393" s="72"/>
      <c r="N393" s="72"/>
      <c r="O393" s="642"/>
      <c r="P393" s="642"/>
      <c r="Q393" s="74"/>
      <c r="R393" s="641"/>
      <c r="S393" s="641"/>
      <c r="T393" s="72"/>
      <c r="U393" s="72"/>
      <c r="V393" s="72"/>
      <c r="W393" s="72"/>
      <c r="X393" s="72"/>
      <c r="Y393" s="72"/>
      <c r="Z393" s="72"/>
      <c r="AA393" s="73"/>
      <c r="AB393" s="72"/>
      <c r="AC393" s="641"/>
      <c r="AD393" s="72"/>
      <c r="AE393" s="641"/>
      <c r="AF393" s="641"/>
      <c r="AG393" s="72"/>
      <c r="AH393" s="72"/>
      <c r="AI393" s="72"/>
      <c r="AJ393" s="72"/>
      <c r="AK393" s="72"/>
      <c r="AL393" s="72"/>
      <c r="AM393" s="72"/>
      <c r="AN393" s="73"/>
      <c r="AO393" s="641"/>
      <c r="AP393" s="641"/>
      <c r="AQ393" s="641"/>
      <c r="AR393" s="641"/>
      <c r="AS393" s="641"/>
      <c r="AT393" s="641"/>
      <c r="AU393" s="72"/>
      <c r="AV393" s="73"/>
      <c r="AW393" s="643"/>
      <c r="AX393" s="643"/>
      <c r="AY393" s="643"/>
      <c r="AZ393" s="75"/>
      <c r="BA393" s="75"/>
      <c r="BB393" s="75"/>
    </row>
    <row r="394" spans="2:54" s="560" customFormat="1" ht="16.5" customHeight="1">
      <c r="B394" s="72"/>
      <c r="C394" s="72"/>
      <c r="D394" s="72"/>
      <c r="E394" s="73"/>
      <c r="F394" s="641"/>
      <c r="G394" s="73"/>
      <c r="H394" s="641"/>
      <c r="I394" s="641"/>
      <c r="J394" s="641"/>
      <c r="K394" s="641"/>
      <c r="L394" s="73"/>
      <c r="M394" s="72"/>
      <c r="N394" s="72"/>
      <c r="O394" s="642"/>
      <c r="P394" s="642"/>
      <c r="Q394" s="74"/>
      <c r="R394" s="641"/>
      <c r="S394" s="641"/>
      <c r="T394" s="72"/>
      <c r="U394" s="72"/>
      <c r="V394" s="72"/>
      <c r="W394" s="72"/>
      <c r="X394" s="72"/>
      <c r="Y394" s="72"/>
      <c r="Z394" s="72"/>
      <c r="AA394" s="73"/>
      <c r="AB394" s="72"/>
      <c r="AC394" s="641"/>
      <c r="AD394" s="72"/>
      <c r="AE394" s="641"/>
      <c r="AF394" s="641"/>
      <c r="AG394" s="72"/>
      <c r="AH394" s="72"/>
      <c r="AI394" s="72"/>
      <c r="AJ394" s="72"/>
      <c r="AK394" s="72"/>
      <c r="AL394" s="72"/>
      <c r="AM394" s="72"/>
      <c r="AN394" s="73"/>
      <c r="AO394" s="641"/>
      <c r="AP394" s="641"/>
      <c r="AQ394" s="641"/>
      <c r="AR394" s="641"/>
      <c r="AS394" s="641"/>
      <c r="AT394" s="641"/>
      <c r="AU394" s="72"/>
      <c r="AV394" s="73"/>
      <c r="AW394" s="643"/>
      <c r="AX394" s="643"/>
      <c r="AY394" s="643"/>
      <c r="AZ394" s="75"/>
      <c r="BA394" s="75"/>
      <c r="BB394" s="75"/>
    </row>
    <row r="395" spans="2:54" s="560" customFormat="1" ht="16.5" customHeight="1">
      <c r="B395" s="72"/>
      <c r="C395" s="72"/>
      <c r="D395" s="72"/>
      <c r="E395" s="73"/>
      <c r="F395" s="641"/>
      <c r="G395" s="73"/>
      <c r="H395" s="641"/>
      <c r="I395" s="641"/>
      <c r="J395" s="641"/>
      <c r="K395" s="641"/>
      <c r="L395" s="73"/>
      <c r="M395" s="72"/>
      <c r="N395" s="72"/>
      <c r="O395" s="642"/>
      <c r="P395" s="642"/>
      <c r="Q395" s="74"/>
      <c r="R395" s="641"/>
      <c r="S395" s="641"/>
      <c r="T395" s="72"/>
      <c r="U395" s="72"/>
      <c r="V395" s="72"/>
      <c r="W395" s="72"/>
      <c r="X395" s="72"/>
      <c r="Y395" s="72"/>
      <c r="Z395" s="72"/>
      <c r="AA395" s="73"/>
      <c r="AB395" s="72"/>
      <c r="AC395" s="641"/>
      <c r="AD395" s="72"/>
      <c r="AE395" s="641"/>
      <c r="AF395" s="641"/>
      <c r="AG395" s="72"/>
      <c r="AH395" s="72"/>
      <c r="AI395" s="72"/>
      <c r="AJ395" s="72"/>
      <c r="AK395" s="72"/>
      <c r="AL395" s="72"/>
      <c r="AM395" s="72"/>
      <c r="AN395" s="73"/>
      <c r="AO395" s="641"/>
      <c r="AP395" s="641"/>
      <c r="AQ395" s="641"/>
      <c r="AR395" s="641"/>
      <c r="AS395" s="641"/>
      <c r="AT395" s="641"/>
      <c r="AU395" s="72"/>
      <c r="AV395" s="73"/>
      <c r="AW395" s="643"/>
      <c r="AX395" s="643"/>
      <c r="AY395" s="643"/>
      <c r="AZ395" s="75"/>
      <c r="BA395" s="75"/>
      <c r="BB395" s="75"/>
    </row>
    <row r="396" spans="2:54" s="560" customFormat="1" ht="16.5" customHeight="1">
      <c r="B396" s="72"/>
      <c r="C396" s="72"/>
      <c r="D396" s="72"/>
      <c r="E396" s="73"/>
      <c r="F396" s="641"/>
      <c r="G396" s="73"/>
      <c r="H396" s="641"/>
      <c r="I396" s="641"/>
      <c r="J396" s="641"/>
      <c r="K396" s="641"/>
      <c r="L396" s="73"/>
      <c r="M396" s="72"/>
      <c r="N396" s="72"/>
      <c r="O396" s="642"/>
      <c r="P396" s="642"/>
      <c r="Q396" s="74"/>
      <c r="R396" s="641"/>
      <c r="S396" s="641"/>
      <c r="T396" s="72"/>
      <c r="U396" s="72"/>
      <c r="V396" s="72"/>
      <c r="W396" s="72"/>
      <c r="X396" s="72"/>
      <c r="Y396" s="72"/>
      <c r="Z396" s="72"/>
      <c r="AA396" s="73"/>
      <c r="AB396" s="72"/>
      <c r="AC396" s="641"/>
      <c r="AD396" s="72"/>
      <c r="AE396" s="641"/>
      <c r="AF396" s="641"/>
      <c r="AG396" s="72"/>
      <c r="AH396" s="72"/>
      <c r="AI396" s="72"/>
      <c r="AJ396" s="72"/>
      <c r="AK396" s="72"/>
      <c r="AL396" s="72"/>
      <c r="AM396" s="72"/>
      <c r="AN396" s="73"/>
      <c r="AO396" s="641"/>
      <c r="AP396" s="641"/>
      <c r="AQ396" s="641"/>
      <c r="AR396" s="641"/>
      <c r="AS396" s="641"/>
      <c r="AT396" s="641"/>
      <c r="AU396" s="72"/>
      <c r="AV396" s="73"/>
      <c r="AW396" s="643"/>
      <c r="AX396" s="643"/>
      <c r="AY396" s="643"/>
      <c r="AZ396" s="75"/>
      <c r="BA396" s="75"/>
      <c r="BB396" s="75"/>
    </row>
    <row r="397" spans="2:54" s="560" customFormat="1" ht="16.5" customHeight="1">
      <c r="B397" s="72"/>
      <c r="C397" s="72"/>
      <c r="D397" s="72"/>
      <c r="E397" s="73"/>
      <c r="F397" s="641"/>
      <c r="G397" s="73"/>
      <c r="H397" s="641"/>
      <c r="I397" s="641"/>
      <c r="J397" s="641"/>
      <c r="K397" s="641"/>
      <c r="L397" s="73"/>
      <c r="M397" s="72"/>
      <c r="N397" s="72"/>
      <c r="O397" s="642"/>
      <c r="P397" s="642"/>
      <c r="Q397" s="74"/>
      <c r="R397" s="641"/>
      <c r="S397" s="641"/>
      <c r="T397" s="72"/>
      <c r="U397" s="72"/>
      <c r="V397" s="72"/>
      <c r="W397" s="72"/>
      <c r="X397" s="72"/>
      <c r="Y397" s="72"/>
      <c r="Z397" s="72"/>
      <c r="AA397" s="73"/>
      <c r="AB397" s="72"/>
      <c r="AC397" s="641"/>
      <c r="AD397" s="72"/>
      <c r="AE397" s="641"/>
      <c r="AF397" s="641"/>
      <c r="AG397" s="72"/>
      <c r="AH397" s="72"/>
      <c r="AI397" s="72"/>
      <c r="AJ397" s="72"/>
      <c r="AK397" s="72"/>
      <c r="AL397" s="72"/>
      <c r="AM397" s="72"/>
      <c r="AN397" s="73"/>
      <c r="AO397" s="641"/>
      <c r="AP397" s="641"/>
      <c r="AQ397" s="641"/>
      <c r="AR397" s="641"/>
      <c r="AS397" s="641"/>
      <c r="AT397" s="641"/>
      <c r="AU397" s="72"/>
      <c r="AV397" s="73"/>
      <c r="AW397" s="643"/>
      <c r="AX397" s="643"/>
      <c r="AY397" s="643"/>
      <c r="AZ397" s="75"/>
      <c r="BA397" s="75"/>
      <c r="BB397" s="75"/>
    </row>
    <row r="398" spans="2:54" s="560" customFormat="1" ht="16.5" customHeight="1">
      <c r="B398" s="72"/>
      <c r="C398" s="72"/>
      <c r="D398" s="72"/>
      <c r="E398" s="73"/>
      <c r="F398" s="641"/>
      <c r="G398" s="73"/>
      <c r="H398" s="641"/>
      <c r="I398" s="641"/>
      <c r="J398" s="641"/>
      <c r="K398" s="641"/>
      <c r="L398" s="73"/>
      <c r="M398" s="72"/>
      <c r="N398" s="72"/>
      <c r="O398" s="642"/>
      <c r="P398" s="642"/>
      <c r="Q398" s="74"/>
      <c r="R398" s="641"/>
      <c r="S398" s="641"/>
      <c r="T398" s="72"/>
      <c r="U398" s="72"/>
      <c r="V398" s="72"/>
      <c r="W398" s="72"/>
      <c r="X398" s="72"/>
      <c r="Y398" s="72"/>
      <c r="Z398" s="72"/>
      <c r="AA398" s="73"/>
      <c r="AB398" s="72"/>
      <c r="AC398" s="641"/>
      <c r="AD398" s="72"/>
      <c r="AE398" s="641"/>
      <c r="AF398" s="641"/>
      <c r="AG398" s="72"/>
      <c r="AH398" s="72"/>
      <c r="AI398" s="72"/>
      <c r="AJ398" s="72"/>
      <c r="AK398" s="72"/>
      <c r="AL398" s="72"/>
      <c r="AM398" s="72"/>
      <c r="AN398" s="73"/>
      <c r="AO398" s="641"/>
      <c r="AP398" s="641"/>
      <c r="AQ398" s="641"/>
      <c r="AR398" s="641"/>
      <c r="AS398" s="641"/>
      <c r="AT398" s="641"/>
      <c r="AU398" s="72"/>
      <c r="AV398" s="73"/>
      <c r="AW398" s="643"/>
      <c r="AX398" s="643"/>
      <c r="AY398" s="643"/>
      <c r="AZ398" s="75"/>
      <c r="BA398" s="75"/>
      <c r="BB398" s="75"/>
    </row>
    <row r="399" spans="2:54" s="560" customFormat="1" ht="16.5" customHeight="1">
      <c r="B399" s="72"/>
      <c r="C399" s="72"/>
      <c r="D399" s="72"/>
      <c r="E399" s="73"/>
      <c r="F399" s="641"/>
      <c r="G399" s="73"/>
      <c r="H399" s="641"/>
      <c r="I399" s="641"/>
      <c r="J399" s="641"/>
      <c r="K399" s="641"/>
      <c r="L399" s="73"/>
      <c r="M399" s="72"/>
      <c r="N399" s="72"/>
      <c r="O399" s="642"/>
      <c r="P399" s="642"/>
      <c r="Q399" s="74"/>
      <c r="R399" s="641"/>
      <c r="S399" s="641"/>
      <c r="T399" s="72"/>
      <c r="U399" s="72"/>
      <c r="V399" s="72"/>
      <c r="W399" s="72"/>
      <c r="X399" s="72"/>
      <c r="Y399" s="72"/>
      <c r="Z399" s="72"/>
      <c r="AA399" s="73"/>
      <c r="AB399" s="72"/>
      <c r="AC399" s="641"/>
      <c r="AD399" s="72"/>
      <c r="AE399" s="641"/>
      <c r="AF399" s="641"/>
      <c r="AG399" s="72"/>
      <c r="AH399" s="72"/>
      <c r="AI399" s="72"/>
      <c r="AJ399" s="72"/>
      <c r="AK399" s="72"/>
      <c r="AL399" s="72"/>
      <c r="AM399" s="72"/>
      <c r="AN399" s="73"/>
      <c r="AO399" s="641"/>
      <c r="AP399" s="641"/>
      <c r="AQ399" s="641"/>
      <c r="AR399" s="641"/>
      <c r="AS399" s="641"/>
      <c r="AT399" s="641"/>
      <c r="AU399" s="72"/>
      <c r="AV399" s="73"/>
      <c r="AW399" s="643"/>
      <c r="AX399" s="643"/>
      <c r="AY399" s="643"/>
      <c r="AZ399" s="75"/>
      <c r="BA399" s="75"/>
      <c r="BB399" s="75"/>
    </row>
    <row r="400" spans="2:54" s="560" customFormat="1" ht="16.5" customHeight="1">
      <c r="B400" s="72"/>
      <c r="C400" s="72"/>
      <c r="D400" s="72"/>
      <c r="E400" s="73"/>
      <c r="F400" s="641"/>
      <c r="G400" s="73"/>
      <c r="H400" s="641"/>
      <c r="I400" s="641"/>
      <c r="J400" s="641"/>
      <c r="K400" s="641"/>
      <c r="L400" s="73"/>
      <c r="M400" s="72"/>
      <c r="N400" s="72"/>
      <c r="O400" s="642"/>
      <c r="P400" s="642"/>
      <c r="Q400" s="74"/>
      <c r="R400" s="641"/>
      <c r="S400" s="641"/>
      <c r="T400" s="72"/>
      <c r="U400" s="72"/>
      <c r="V400" s="72"/>
      <c r="W400" s="72"/>
      <c r="X400" s="72"/>
      <c r="Y400" s="72"/>
      <c r="Z400" s="72"/>
      <c r="AA400" s="73"/>
      <c r="AB400" s="72"/>
      <c r="AC400" s="641"/>
      <c r="AD400" s="72"/>
      <c r="AE400" s="641"/>
      <c r="AF400" s="641"/>
      <c r="AG400" s="72"/>
      <c r="AH400" s="72"/>
      <c r="AI400" s="72"/>
      <c r="AJ400" s="72"/>
      <c r="AK400" s="72"/>
      <c r="AL400" s="72"/>
      <c r="AM400" s="72"/>
      <c r="AN400" s="73"/>
      <c r="AO400" s="641"/>
      <c r="AP400" s="641"/>
      <c r="AQ400" s="641"/>
      <c r="AR400" s="641"/>
      <c r="AS400" s="641"/>
      <c r="AT400" s="641"/>
      <c r="AU400" s="72"/>
      <c r="AV400" s="73"/>
      <c r="AW400" s="643"/>
      <c r="AX400" s="643"/>
      <c r="AY400" s="643"/>
      <c r="AZ400" s="75"/>
      <c r="BA400" s="75"/>
      <c r="BB400" s="75"/>
    </row>
    <row r="401" spans="2:54" s="560" customFormat="1" ht="16.5" customHeight="1">
      <c r="B401" s="72"/>
      <c r="C401" s="72"/>
      <c r="D401" s="72"/>
      <c r="E401" s="73"/>
      <c r="F401" s="641"/>
      <c r="G401" s="73"/>
      <c r="H401" s="641"/>
      <c r="I401" s="641"/>
      <c r="J401" s="641"/>
      <c r="K401" s="641"/>
      <c r="L401" s="73"/>
      <c r="M401" s="72"/>
      <c r="N401" s="72"/>
      <c r="O401" s="642"/>
      <c r="P401" s="642"/>
      <c r="Q401" s="74"/>
      <c r="R401" s="641"/>
      <c r="S401" s="641"/>
      <c r="T401" s="72"/>
      <c r="U401" s="72"/>
      <c r="V401" s="72"/>
      <c r="W401" s="72"/>
      <c r="X401" s="72"/>
      <c r="Y401" s="72"/>
      <c r="Z401" s="72"/>
      <c r="AA401" s="73"/>
      <c r="AB401" s="72"/>
      <c r="AC401" s="641"/>
      <c r="AD401" s="72"/>
      <c r="AE401" s="641"/>
      <c r="AF401" s="641"/>
      <c r="AG401" s="72"/>
      <c r="AH401" s="72"/>
      <c r="AI401" s="72"/>
      <c r="AJ401" s="72"/>
      <c r="AK401" s="72"/>
      <c r="AL401" s="72"/>
      <c r="AM401" s="72"/>
      <c r="AN401" s="73"/>
      <c r="AO401" s="641"/>
      <c r="AP401" s="641"/>
      <c r="AQ401" s="641"/>
      <c r="AR401" s="641"/>
      <c r="AS401" s="641"/>
      <c r="AT401" s="641"/>
      <c r="AU401" s="72"/>
      <c r="AV401" s="73"/>
      <c r="AW401" s="643"/>
      <c r="AX401" s="643"/>
      <c r="AY401" s="643"/>
      <c r="AZ401" s="75"/>
      <c r="BA401" s="75"/>
      <c r="BB401" s="75"/>
    </row>
    <row r="402" spans="2:54" s="560" customFormat="1" ht="16.5" customHeight="1">
      <c r="B402" s="72"/>
      <c r="C402" s="72"/>
      <c r="D402" s="72"/>
      <c r="E402" s="73"/>
      <c r="F402" s="641"/>
      <c r="G402" s="73"/>
      <c r="H402" s="641"/>
      <c r="I402" s="641"/>
      <c r="J402" s="641"/>
      <c r="K402" s="641"/>
      <c r="L402" s="73"/>
      <c r="M402" s="72"/>
      <c r="N402" s="72"/>
      <c r="O402" s="642"/>
      <c r="P402" s="642"/>
      <c r="Q402" s="74"/>
      <c r="R402" s="641"/>
      <c r="S402" s="641"/>
      <c r="T402" s="72"/>
      <c r="U402" s="72"/>
      <c r="V402" s="72"/>
      <c r="W402" s="72"/>
      <c r="X402" s="72"/>
      <c r="Y402" s="72"/>
      <c r="Z402" s="72"/>
      <c r="AA402" s="73"/>
      <c r="AB402" s="72"/>
      <c r="AC402" s="641"/>
      <c r="AD402" s="72"/>
      <c r="AE402" s="641"/>
      <c r="AF402" s="641"/>
      <c r="AG402" s="72"/>
      <c r="AH402" s="72"/>
      <c r="AI402" s="72"/>
      <c r="AJ402" s="72"/>
      <c r="AK402" s="72"/>
      <c r="AL402" s="72"/>
      <c r="AM402" s="72"/>
      <c r="AN402" s="73"/>
      <c r="AO402" s="641"/>
      <c r="AP402" s="641"/>
      <c r="AQ402" s="641"/>
      <c r="AR402" s="641"/>
      <c r="AS402" s="641"/>
      <c r="AT402" s="641"/>
      <c r="AU402" s="72"/>
      <c r="AV402" s="73"/>
      <c r="AW402" s="643"/>
      <c r="AX402" s="643"/>
      <c r="AY402" s="643"/>
      <c r="AZ402" s="75"/>
      <c r="BA402" s="75"/>
      <c r="BB402" s="75"/>
    </row>
    <row r="403" spans="2:54" s="560" customFormat="1" ht="16.5" customHeight="1">
      <c r="B403" s="72"/>
      <c r="C403" s="72"/>
      <c r="D403" s="72"/>
      <c r="E403" s="73"/>
      <c r="F403" s="641"/>
      <c r="G403" s="73"/>
      <c r="H403" s="641"/>
      <c r="I403" s="641"/>
      <c r="J403" s="641"/>
      <c r="K403" s="641"/>
      <c r="L403" s="73"/>
      <c r="M403" s="72"/>
      <c r="N403" s="72"/>
      <c r="O403" s="642"/>
      <c r="P403" s="642"/>
      <c r="Q403" s="74"/>
      <c r="R403" s="641"/>
      <c r="S403" s="641"/>
      <c r="T403" s="72"/>
      <c r="U403" s="72"/>
      <c r="V403" s="72"/>
      <c r="W403" s="72"/>
      <c r="X403" s="72"/>
      <c r="Y403" s="72"/>
      <c r="Z403" s="72"/>
      <c r="AA403" s="73"/>
      <c r="AB403" s="72"/>
      <c r="AC403" s="641"/>
      <c r="AD403" s="72"/>
      <c r="AE403" s="641"/>
      <c r="AF403" s="641"/>
      <c r="AG403" s="72"/>
      <c r="AH403" s="72"/>
      <c r="AI403" s="72"/>
      <c r="AJ403" s="72"/>
      <c r="AK403" s="72"/>
      <c r="AL403" s="72"/>
      <c r="AM403" s="72"/>
      <c r="AN403" s="73"/>
      <c r="AO403" s="641"/>
      <c r="AP403" s="641"/>
      <c r="AQ403" s="641"/>
      <c r="AR403" s="641"/>
      <c r="AS403" s="641"/>
      <c r="AT403" s="641"/>
      <c r="AU403" s="72"/>
      <c r="AV403" s="73"/>
      <c r="AW403" s="643"/>
      <c r="AX403" s="643"/>
      <c r="AY403" s="643"/>
      <c r="AZ403" s="75"/>
      <c r="BA403" s="75"/>
      <c r="BB403" s="75"/>
    </row>
    <row r="404" spans="2:54" s="560" customFormat="1" ht="16.5" customHeight="1">
      <c r="B404" s="72"/>
      <c r="C404" s="72"/>
      <c r="D404" s="72"/>
      <c r="E404" s="73"/>
      <c r="F404" s="641"/>
      <c r="G404" s="73"/>
      <c r="H404" s="641"/>
      <c r="I404" s="641"/>
      <c r="J404" s="641"/>
      <c r="K404" s="641"/>
      <c r="L404" s="73"/>
      <c r="M404" s="72"/>
      <c r="N404" s="72"/>
      <c r="O404" s="642"/>
      <c r="P404" s="642"/>
      <c r="Q404" s="74"/>
      <c r="R404" s="641"/>
      <c r="S404" s="641"/>
      <c r="T404" s="72"/>
      <c r="U404" s="72"/>
      <c r="V404" s="72"/>
      <c r="W404" s="72"/>
      <c r="X404" s="72"/>
      <c r="Y404" s="72"/>
      <c r="Z404" s="72"/>
      <c r="AA404" s="73"/>
      <c r="AB404" s="72"/>
      <c r="AC404" s="641"/>
      <c r="AD404" s="72"/>
      <c r="AE404" s="641"/>
      <c r="AF404" s="641"/>
      <c r="AG404" s="72"/>
      <c r="AH404" s="72"/>
      <c r="AI404" s="72"/>
      <c r="AJ404" s="72"/>
      <c r="AK404" s="72"/>
      <c r="AL404" s="72"/>
      <c r="AM404" s="72"/>
      <c r="AN404" s="73"/>
      <c r="AO404" s="641"/>
      <c r="AP404" s="641"/>
      <c r="AQ404" s="641"/>
      <c r="AR404" s="641"/>
      <c r="AS404" s="641"/>
      <c r="AT404" s="641"/>
      <c r="AU404" s="72"/>
      <c r="AV404" s="73"/>
      <c r="AW404" s="643"/>
      <c r="AX404" s="643"/>
      <c r="AY404" s="643"/>
      <c r="AZ404" s="75"/>
      <c r="BA404" s="75"/>
      <c r="BB404" s="75"/>
    </row>
    <row r="405" spans="2:54" s="560" customFormat="1" ht="16.5" customHeight="1">
      <c r="B405" s="72"/>
      <c r="C405" s="72"/>
      <c r="D405" s="72"/>
      <c r="E405" s="73"/>
      <c r="F405" s="641"/>
      <c r="G405" s="73"/>
      <c r="H405" s="641"/>
      <c r="I405" s="641"/>
      <c r="J405" s="641"/>
      <c r="K405" s="641"/>
      <c r="L405" s="73"/>
      <c r="M405" s="72"/>
      <c r="N405" s="72"/>
      <c r="O405" s="642"/>
      <c r="P405" s="642"/>
      <c r="Q405" s="74"/>
      <c r="R405" s="641"/>
      <c r="S405" s="641"/>
      <c r="T405" s="72"/>
      <c r="U405" s="72"/>
      <c r="V405" s="72"/>
      <c r="W405" s="72"/>
      <c r="X405" s="72"/>
      <c r="Y405" s="72"/>
      <c r="Z405" s="72"/>
      <c r="AA405" s="73"/>
      <c r="AB405" s="72"/>
      <c r="AC405" s="641"/>
      <c r="AD405" s="72"/>
      <c r="AE405" s="641"/>
      <c r="AF405" s="641"/>
      <c r="AG405" s="72"/>
      <c r="AH405" s="72"/>
      <c r="AI405" s="72"/>
      <c r="AJ405" s="72"/>
      <c r="AK405" s="72"/>
      <c r="AL405" s="72"/>
      <c r="AM405" s="72"/>
      <c r="AN405" s="73"/>
      <c r="AO405" s="641"/>
      <c r="AP405" s="641"/>
      <c r="AQ405" s="641"/>
      <c r="AR405" s="641"/>
      <c r="AS405" s="641"/>
      <c r="AT405" s="641"/>
      <c r="AU405" s="72"/>
      <c r="AV405" s="73"/>
      <c r="AW405" s="643"/>
      <c r="AX405" s="643"/>
      <c r="AY405" s="643"/>
      <c r="AZ405" s="75"/>
      <c r="BA405" s="75"/>
      <c r="BB405" s="75"/>
    </row>
    <row r="406" spans="2:54" s="560" customFormat="1" ht="16.5" customHeight="1">
      <c r="B406" s="72"/>
      <c r="C406" s="72"/>
      <c r="D406" s="72"/>
      <c r="E406" s="73"/>
      <c r="F406" s="641"/>
      <c r="G406" s="73"/>
      <c r="H406" s="641"/>
      <c r="I406" s="641"/>
      <c r="J406" s="641"/>
      <c r="K406" s="641"/>
      <c r="L406" s="73"/>
      <c r="M406" s="72"/>
      <c r="N406" s="72"/>
      <c r="O406" s="642"/>
      <c r="P406" s="642"/>
      <c r="Q406" s="74"/>
      <c r="R406" s="641"/>
      <c r="S406" s="641"/>
      <c r="T406" s="72"/>
      <c r="U406" s="72"/>
      <c r="V406" s="72"/>
      <c r="W406" s="72"/>
      <c r="X406" s="72"/>
      <c r="Y406" s="72"/>
      <c r="Z406" s="72"/>
      <c r="AA406" s="73"/>
      <c r="AB406" s="72"/>
      <c r="AC406" s="641"/>
      <c r="AD406" s="72"/>
      <c r="AE406" s="641"/>
      <c r="AF406" s="641"/>
      <c r="AG406" s="72"/>
      <c r="AH406" s="72"/>
      <c r="AI406" s="72"/>
      <c r="AJ406" s="72"/>
      <c r="AK406" s="72"/>
      <c r="AL406" s="72"/>
      <c r="AM406" s="72"/>
      <c r="AN406" s="73"/>
      <c r="AO406" s="641"/>
      <c r="AP406" s="641"/>
      <c r="AQ406" s="641"/>
      <c r="AR406" s="641"/>
      <c r="AS406" s="641"/>
      <c r="AT406" s="641"/>
      <c r="AU406" s="72"/>
      <c r="AV406" s="73"/>
      <c r="AW406" s="643"/>
      <c r="AX406" s="643"/>
      <c r="AY406" s="643"/>
      <c r="AZ406" s="75"/>
      <c r="BA406" s="75"/>
      <c r="BB406" s="75"/>
    </row>
    <row r="407" spans="2:54" s="560" customFormat="1" ht="16.5" customHeight="1">
      <c r="B407" s="72"/>
      <c r="C407" s="72"/>
      <c r="D407" s="72"/>
      <c r="E407" s="73"/>
      <c r="F407" s="641"/>
      <c r="G407" s="73"/>
      <c r="H407" s="641"/>
      <c r="I407" s="641"/>
      <c r="J407" s="641"/>
      <c r="K407" s="641"/>
      <c r="L407" s="73"/>
      <c r="M407" s="72"/>
      <c r="N407" s="72"/>
      <c r="O407" s="642"/>
      <c r="P407" s="642"/>
      <c r="Q407" s="74"/>
      <c r="R407" s="641"/>
      <c r="S407" s="641"/>
      <c r="T407" s="72"/>
      <c r="U407" s="72"/>
      <c r="V407" s="72"/>
      <c r="W407" s="72"/>
      <c r="X407" s="72"/>
      <c r="Y407" s="72"/>
      <c r="Z407" s="72"/>
      <c r="AA407" s="73"/>
      <c r="AB407" s="72"/>
      <c r="AC407" s="641"/>
      <c r="AD407" s="72"/>
      <c r="AE407" s="641"/>
      <c r="AF407" s="641"/>
      <c r="AG407" s="72"/>
      <c r="AH407" s="72"/>
      <c r="AI407" s="72"/>
      <c r="AJ407" s="72"/>
      <c r="AK407" s="72"/>
      <c r="AL407" s="72"/>
      <c r="AM407" s="72"/>
      <c r="AN407" s="73"/>
      <c r="AO407" s="641"/>
      <c r="AP407" s="641"/>
      <c r="AQ407" s="641"/>
      <c r="AR407" s="641"/>
      <c r="AS407" s="641"/>
      <c r="AT407" s="641"/>
      <c r="AU407" s="72"/>
      <c r="AV407" s="73"/>
      <c r="AW407" s="643"/>
      <c r="AX407" s="643"/>
      <c r="AY407" s="643"/>
      <c r="AZ407" s="75"/>
      <c r="BA407" s="75"/>
      <c r="BB407" s="75"/>
    </row>
    <row r="408" spans="2:54" s="560" customFormat="1" ht="16.5" customHeight="1">
      <c r="B408" s="72"/>
      <c r="C408" s="72"/>
      <c r="D408" s="72"/>
      <c r="E408" s="73"/>
      <c r="F408" s="641"/>
      <c r="G408" s="73"/>
      <c r="H408" s="641"/>
      <c r="I408" s="641"/>
      <c r="J408" s="641"/>
      <c r="K408" s="641"/>
      <c r="L408" s="73"/>
      <c r="M408" s="72"/>
      <c r="N408" s="72"/>
      <c r="O408" s="642"/>
      <c r="P408" s="642"/>
      <c r="Q408" s="74"/>
      <c r="R408" s="641"/>
      <c r="S408" s="641"/>
      <c r="T408" s="72"/>
      <c r="U408" s="72"/>
      <c r="V408" s="72"/>
      <c r="W408" s="72"/>
      <c r="X408" s="72"/>
      <c r="Y408" s="72"/>
      <c r="Z408" s="72"/>
      <c r="AA408" s="73"/>
      <c r="AB408" s="72"/>
      <c r="AC408" s="641"/>
      <c r="AD408" s="72"/>
      <c r="AE408" s="641"/>
      <c r="AF408" s="641"/>
      <c r="AG408" s="72"/>
      <c r="AH408" s="72"/>
      <c r="AI408" s="72"/>
      <c r="AJ408" s="72"/>
      <c r="AK408" s="72"/>
      <c r="AL408" s="72"/>
      <c r="AM408" s="72"/>
      <c r="AN408" s="73"/>
      <c r="AO408" s="641"/>
      <c r="AP408" s="641"/>
      <c r="AQ408" s="641"/>
      <c r="AR408" s="641"/>
      <c r="AS408" s="641"/>
      <c r="AT408" s="641"/>
      <c r="AU408" s="72"/>
      <c r="AV408" s="73"/>
      <c r="AW408" s="643"/>
      <c r="AX408" s="643"/>
      <c r="AY408" s="643"/>
      <c r="AZ408" s="75"/>
      <c r="BA408" s="75"/>
      <c r="BB408" s="75"/>
    </row>
    <row r="409" spans="2:54" s="560" customFormat="1" ht="16.5" customHeight="1">
      <c r="B409" s="72"/>
      <c r="C409" s="72"/>
      <c r="D409" s="72"/>
      <c r="E409" s="73"/>
      <c r="F409" s="641"/>
      <c r="G409" s="73"/>
      <c r="H409" s="641"/>
      <c r="I409" s="641"/>
      <c r="J409" s="641"/>
      <c r="K409" s="641"/>
      <c r="L409" s="73"/>
      <c r="M409" s="72"/>
      <c r="N409" s="72"/>
      <c r="O409" s="642"/>
      <c r="P409" s="642"/>
      <c r="Q409" s="74"/>
      <c r="R409" s="641"/>
      <c r="S409" s="641"/>
      <c r="T409" s="72"/>
      <c r="U409" s="72"/>
      <c r="V409" s="72"/>
      <c r="W409" s="72"/>
      <c r="X409" s="72"/>
      <c r="Y409" s="72"/>
      <c r="Z409" s="72"/>
      <c r="AA409" s="73"/>
      <c r="AB409" s="72"/>
      <c r="AC409" s="641"/>
      <c r="AD409" s="72"/>
      <c r="AE409" s="641"/>
      <c r="AF409" s="641"/>
      <c r="AG409" s="72"/>
      <c r="AH409" s="72"/>
      <c r="AI409" s="72"/>
      <c r="AJ409" s="72"/>
      <c r="AK409" s="72"/>
      <c r="AL409" s="72"/>
      <c r="AM409" s="72"/>
      <c r="AN409" s="73"/>
      <c r="AO409" s="641"/>
      <c r="AP409" s="641"/>
      <c r="AQ409" s="641"/>
      <c r="AR409" s="641"/>
      <c r="AS409" s="641"/>
      <c r="AT409" s="641"/>
      <c r="AU409" s="72"/>
      <c r="AV409" s="73"/>
      <c r="AW409" s="643"/>
      <c r="AX409" s="643"/>
      <c r="AY409" s="643"/>
      <c r="AZ409" s="75"/>
      <c r="BA409" s="75"/>
      <c r="BB409" s="75"/>
    </row>
    <row r="410" spans="2:54" s="560" customFormat="1" ht="16.5" customHeight="1">
      <c r="B410" s="72"/>
      <c r="C410" s="72"/>
      <c r="D410" s="72"/>
      <c r="E410" s="73"/>
      <c r="F410" s="641"/>
      <c r="G410" s="73"/>
      <c r="H410" s="641"/>
      <c r="I410" s="641"/>
      <c r="J410" s="641"/>
      <c r="K410" s="641"/>
      <c r="L410" s="73"/>
      <c r="M410" s="72"/>
      <c r="N410" s="72"/>
      <c r="O410" s="642"/>
      <c r="P410" s="642"/>
      <c r="Q410" s="74"/>
      <c r="R410" s="641"/>
      <c r="S410" s="641"/>
      <c r="T410" s="72"/>
      <c r="U410" s="72"/>
      <c r="V410" s="72"/>
      <c r="W410" s="72"/>
      <c r="X410" s="72"/>
      <c r="Y410" s="72"/>
      <c r="Z410" s="72"/>
      <c r="AA410" s="73"/>
      <c r="AB410" s="72"/>
      <c r="AC410" s="641"/>
      <c r="AD410" s="72"/>
      <c r="AE410" s="641"/>
      <c r="AF410" s="641"/>
      <c r="AG410" s="72"/>
      <c r="AH410" s="72"/>
      <c r="AI410" s="72"/>
      <c r="AJ410" s="72"/>
      <c r="AK410" s="72"/>
      <c r="AL410" s="72"/>
      <c r="AM410" s="72"/>
      <c r="AN410" s="73"/>
      <c r="AO410" s="641"/>
      <c r="AP410" s="641"/>
      <c r="AQ410" s="641"/>
      <c r="AR410" s="641"/>
      <c r="AS410" s="641"/>
      <c r="AT410" s="641"/>
      <c r="AU410" s="72"/>
      <c r="AV410" s="73"/>
      <c r="AW410" s="643"/>
      <c r="AX410" s="643"/>
      <c r="AY410" s="643"/>
      <c r="AZ410" s="75"/>
      <c r="BA410" s="75"/>
      <c r="BB410" s="75"/>
    </row>
    <row r="411" spans="2:54" s="560" customFormat="1" ht="16.5" customHeight="1">
      <c r="B411" s="72"/>
      <c r="C411" s="72"/>
      <c r="D411" s="72"/>
      <c r="E411" s="73"/>
      <c r="F411" s="641"/>
      <c r="G411" s="73"/>
      <c r="H411" s="641"/>
      <c r="I411" s="641"/>
      <c r="J411" s="641"/>
      <c r="K411" s="641"/>
      <c r="L411" s="73"/>
      <c r="M411" s="72"/>
      <c r="N411" s="72"/>
      <c r="O411" s="642"/>
      <c r="P411" s="642"/>
      <c r="Q411" s="74"/>
      <c r="R411" s="641"/>
      <c r="S411" s="641"/>
      <c r="T411" s="72"/>
      <c r="U411" s="72"/>
      <c r="V411" s="72"/>
      <c r="W411" s="72"/>
      <c r="X411" s="72"/>
      <c r="Y411" s="72"/>
      <c r="Z411" s="72"/>
      <c r="AA411" s="73"/>
      <c r="AB411" s="72"/>
      <c r="AC411" s="641"/>
      <c r="AD411" s="72"/>
      <c r="AE411" s="641"/>
      <c r="AF411" s="641"/>
      <c r="AG411" s="72"/>
      <c r="AH411" s="72"/>
      <c r="AI411" s="72"/>
      <c r="AJ411" s="72"/>
      <c r="AK411" s="72"/>
      <c r="AL411" s="72"/>
      <c r="AM411" s="72"/>
      <c r="AN411" s="73"/>
      <c r="AO411" s="641"/>
      <c r="AP411" s="641"/>
      <c r="AQ411" s="641"/>
      <c r="AR411" s="641"/>
      <c r="AS411" s="641"/>
      <c r="AT411" s="641"/>
      <c r="AU411" s="72"/>
      <c r="AV411" s="73"/>
      <c r="AW411" s="643"/>
      <c r="AX411" s="643"/>
      <c r="AY411" s="643"/>
      <c r="AZ411" s="75"/>
      <c r="BA411" s="75"/>
      <c r="BB411" s="75"/>
    </row>
    <row r="412" spans="2:54" s="560" customFormat="1" ht="16.5" customHeight="1">
      <c r="B412" s="72"/>
      <c r="C412" s="72"/>
      <c r="D412" s="72"/>
      <c r="E412" s="73"/>
      <c r="F412" s="641"/>
      <c r="G412" s="73"/>
      <c r="H412" s="641"/>
      <c r="I412" s="641"/>
      <c r="J412" s="641"/>
      <c r="K412" s="641"/>
      <c r="L412" s="73"/>
      <c r="M412" s="72"/>
      <c r="N412" s="72"/>
      <c r="O412" s="642"/>
      <c r="P412" s="642"/>
      <c r="Q412" s="74"/>
      <c r="R412" s="641"/>
      <c r="S412" s="641"/>
      <c r="T412" s="72"/>
      <c r="U412" s="72"/>
      <c r="V412" s="72"/>
      <c r="W412" s="72"/>
      <c r="X412" s="72"/>
      <c r="Y412" s="72"/>
      <c r="Z412" s="72"/>
      <c r="AA412" s="73"/>
      <c r="AB412" s="72"/>
      <c r="AC412" s="641"/>
      <c r="AD412" s="72"/>
      <c r="AE412" s="641"/>
      <c r="AF412" s="641"/>
      <c r="AG412" s="72"/>
      <c r="AH412" s="72"/>
      <c r="AI412" s="72"/>
      <c r="AJ412" s="72"/>
      <c r="AK412" s="72"/>
      <c r="AL412" s="72"/>
      <c r="AM412" s="72"/>
      <c r="AN412" s="73"/>
      <c r="AO412" s="641"/>
      <c r="AP412" s="641"/>
      <c r="AQ412" s="641"/>
      <c r="AR412" s="641"/>
      <c r="AS412" s="641"/>
      <c r="AT412" s="641"/>
      <c r="AU412" s="72"/>
      <c r="AV412" s="73"/>
      <c r="AW412" s="643"/>
      <c r="AX412" s="643"/>
      <c r="AY412" s="643"/>
      <c r="AZ412" s="75"/>
      <c r="BA412" s="75"/>
      <c r="BB412" s="75"/>
    </row>
    <row r="413" spans="2:54" s="560" customFormat="1" ht="16.5" customHeight="1">
      <c r="B413" s="72"/>
      <c r="C413" s="72"/>
      <c r="D413" s="72"/>
      <c r="E413" s="73"/>
      <c r="F413" s="641"/>
      <c r="G413" s="73"/>
      <c r="H413" s="641"/>
      <c r="I413" s="641"/>
      <c r="J413" s="641"/>
      <c r="K413" s="641"/>
      <c r="L413" s="73"/>
      <c r="M413" s="72"/>
      <c r="N413" s="72"/>
      <c r="O413" s="642"/>
      <c r="P413" s="642"/>
      <c r="Q413" s="74"/>
      <c r="R413" s="641"/>
      <c r="S413" s="641"/>
      <c r="T413" s="72"/>
      <c r="U413" s="72"/>
      <c r="V413" s="72"/>
      <c r="W413" s="72"/>
      <c r="X413" s="72"/>
      <c r="Y413" s="72"/>
      <c r="Z413" s="72"/>
      <c r="AA413" s="73"/>
      <c r="AB413" s="72"/>
      <c r="AC413" s="641"/>
      <c r="AD413" s="72"/>
      <c r="AE413" s="641"/>
      <c r="AF413" s="641"/>
      <c r="AG413" s="72"/>
      <c r="AH413" s="72"/>
      <c r="AI413" s="72"/>
      <c r="AJ413" s="72"/>
      <c r="AK413" s="72"/>
      <c r="AL413" s="72"/>
      <c r="AM413" s="72"/>
      <c r="AN413" s="73"/>
      <c r="AO413" s="641"/>
      <c r="AP413" s="641"/>
      <c r="AQ413" s="641"/>
      <c r="AR413" s="641"/>
      <c r="AS413" s="641"/>
      <c r="AT413" s="641"/>
      <c r="AU413" s="72"/>
      <c r="AV413" s="73"/>
      <c r="AW413" s="643"/>
      <c r="AX413" s="643"/>
      <c r="AY413" s="643"/>
      <c r="AZ413" s="75"/>
      <c r="BA413" s="75"/>
      <c r="BB413" s="75"/>
    </row>
    <row r="414" spans="2:54" s="560" customFormat="1" ht="16.5" customHeight="1">
      <c r="B414" s="72"/>
      <c r="C414" s="72"/>
      <c r="D414" s="72"/>
      <c r="E414" s="73"/>
      <c r="F414" s="641"/>
      <c r="G414" s="73"/>
      <c r="H414" s="641"/>
      <c r="I414" s="641"/>
      <c r="J414" s="641"/>
      <c r="K414" s="641"/>
      <c r="L414" s="73"/>
      <c r="M414" s="72"/>
      <c r="N414" s="72"/>
      <c r="O414" s="642"/>
      <c r="P414" s="642"/>
      <c r="Q414" s="74"/>
      <c r="R414" s="641"/>
      <c r="S414" s="641"/>
      <c r="T414" s="72"/>
      <c r="U414" s="72"/>
      <c r="V414" s="72"/>
      <c r="W414" s="72"/>
      <c r="X414" s="72"/>
      <c r="Y414" s="72"/>
      <c r="Z414" s="72"/>
      <c r="AA414" s="73"/>
      <c r="AB414" s="72"/>
      <c r="AC414" s="641"/>
      <c r="AD414" s="72"/>
      <c r="AE414" s="641"/>
      <c r="AF414" s="641"/>
      <c r="AG414" s="72"/>
      <c r="AH414" s="72"/>
      <c r="AI414" s="72"/>
      <c r="AJ414" s="72"/>
      <c r="AK414" s="72"/>
      <c r="AL414" s="72"/>
      <c r="AM414" s="72"/>
      <c r="AN414" s="73"/>
      <c r="AO414" s="641"/>
      <c r="AP414" s="641"/>
      <c r="AQ414" s="641"/>
      <c r="AR414" s="641"/>
      <c r="AS414" s="641"/>
      <c r="AT414" s="641"/>
      <c r="AU414" s="72"/>
      <c r="AV414" s="73"/>
      <c r="AW414" s="643"/>
      <c r="AX414" s="643"/>
      <c r="AY414" s="643"/>
      <c r="AZ414" s="75"/>
      <c r="BA414" s="75"/>
      <c r="BB414" s="75"/>
    </row>
    <row r="415" spans="2:54" s="560" customFormat="1" ht="16.5" customHeight="1">
      <c r="B415" s="72"/>
      <c r="C415" s="72"/>
      <c r="D415" s="72"/>
      <c r="E415" s="73"/>
      <c r="F415" s="641"/>
      <c r="G415" s="73"/>
      <c r="H415" s="641"/>
      <c r="I415" s="641"/>
      <c r="J415" s="641"/>
      <c r="K415" s="641"/>
      <c r="L415" s="73"/>
      <c r="M415" s="72"/>
      <c r="N415" s="72"/>
      <c r="O415" s="642"/>
      <c r="P415" s="642"/>
      <c r="Q415" s="74"/>
      <c r="R415" s="641"/>
      <c r="S415" s="641"/>
      <c r="T415" s="72"/>
      <c r="U415" s="72"/>
      <c r="V415" s="72"/>
      <c r="W415" s="72"/>
      <c r="X415" s="72"/>
      <c r="Y415" s="72"/>
      <c r="Z415" s="72"/>
      <c r="AA415" s="73"/>
      <c r="AB415" s="72"/>
      <c r="AC415" s="641"/>
      <c r="AD415" s="72"/>
      <c r="AE415" s="641"/>
      <c r="AF415" s="641"/>
      <c r="AG415" s="72"/>
      <c r="AH415" s="72"/>
      <c r="AI415" s="72"/>
      <c r="AJ415" s="72"/>
      <c r="AK415" s="72"/>
      <c r="AL415" s="72"/>
      <c r="AM415" s="72"/>
      <c r="AN415" s="73"/>
      <c r="AO415" s="641"/>
      <c r="AP415" s="641"/>
      <c r="AQ415" s="641"/>
      <c r="AR415" s="641"/>
      <c r="AS415" s="641"/>
      <c r="AT415" s="641"/>
      <c r="AU415" s="72"/>
      <c r="AV415" s="73"/>
      <c r="AW415" s="643"/>
      <c r="AX415" s="643"/>
      <c r="AY415" s="643"/>
      <c r="AZ415" s="75"/>
      <c r="BA415" s="75"/>
      <c r="BB415" s="75"/>
    </row>
    <row r="416" spans="2:54" s="560" customFormat="1" ht="16.5" customHeight="1">
      <c r="B416" s="72"/>
      <c r="C416" s="72"/>
      <c r="D416" s="72"/>
      <c r="E416" s="73"/>
      <c r="F416" s="641"/>
      <c r="G416" s="73"/>
      <c r="H416" s="641"/>
      <c r="I416" s="641"/>
      <c r="J416" s="641"/>
      <c r="K416" s="641"/>
      <c r="L416" s="73"/>
      <c r="M416" s="72"/>
      <c r="N416" s="72"/>
      <c r="O416" s="642"/>
      <c r="P416" s="642"/>
      <c r="Q416" s="74"/>
      <c r="R416" s="641"/>
      <c r="S416" s="641"/>
      <c r="T416" s="72"/>
      <c r="U416" s="72"/>
      <c r="V416" s="72"/>
      <c r="W416" s="72"/>
      <c r="X416" s="72"/>
      <c r="Y416" s="72"/>
      <c r="Z416" s="72"/>
      <c r="AA416" s="73"/>
      <c r="AB416" s="72"/>
      <c r="AC416" s="641"/>
      <c r="AD416" s="72"/>
      <c r="AE416" s="641"/>
      <c r="AF416" s="641"/>
      <c r="AG416" s="72"/>
      <c r="AH416" s="72"/>
      <c r="AI416" s="72"/>
      <c r="AJ416" s="72"/>
      <c r="AK416" s="72"/>
      <c r="AL416" s="72"/>
      <c r="AM416" s="72"/>
      <c r="AN416" s="73"/>
      <c r="AO416" s="641"/>
      <c r="AP416" s="641"/>
      <c r="AQ416" s="641"/>
      <c r="AR416" s="641"/>
      <c r="AS416" s="641"/>
      <c r="AT416" s="641"/>
      <c r="AU416" s="72"/>
      <c r="AV416" s="73"/>
      <c r="AW416" s="643"/>
      <c r="AX416" s="643"/>
      <c r="AY416" s="643"/>
      <c r="AZ416" s="75"/>
      <c r="BA416" s="75"/>
      <c r="BB416" s="75"/>
    </row>
    <row r="417" spans="2:54" s="560" customFormat="1" ht="16.5" customHeight="1">
      <c r="B417" s="72"/>
      <c r="C417" s="72"/>
      <c r="D417" s="72"/>
      <c r="E417" s="73"/>
      <c r="F417" s="641"/>
      <c r="G417" s="73"/>
      <c r="H417" s="641"/>
      <c r="I417" s="641"/>
      <c r="J417" s="641"/>
      <c r="K417" s="641"/>
      <c r="L417" s="73"/>
      <c r="M417" s="72"/>
      <c r="N417" s="72"/>
      <c r="O417" s="642"/>
      <c r="P417" s="642"/>
      <c r="Q417" s="74"/>
      <c r="R417" s="641"/>
      <c r="S417" s="641"/>
      <c r="T417" s="72"/>
      <c r="U417" s="72"/>
      <c r="V417" s="72"/>
      <c r="W417" s="72"/>
      <c r="X417" s="72"/>
      <c r="Y417" s="72"/>
      <c r="Z417" s="72"/>
      <c r="AA417" s="73"/>
      <c r="AB417" s="72"/>
      <c r="AC417" s="641"/>
      <c r="AD417" s="72"/>
      <c r="AE417" s="641"/>
      <c r="AF417" s="641"/>
      <c r="AG417" s="72"/>
      <c r="AH417" s="72"/>
      <c r="AI417" s="72"/>
      <c r="AJ417" s="72"/>
      <c r="AK417" s="72"/>
      <c r="AL417" s="72"/>
      <c r="AM417" s="72"/>
      <c r="AN417" s="73"/>
      <c r="AO417" s="641"/>
      <c r="AP417" s="641"/>
      <c r="AQ417" s="641"/>
      <c r="AR417" s="641"/>
      <c r="AS417" s="641"/>
      <c r="AT417" s="641"/>
      <c r="AU417" s="72"/>
      <c r="AV417" s="73"/>
      <c r="AW417" s="643"/>
      <c r="AX417" s="643"/>
      <c r="AY417" s="643"/>
      <c r="AZ417" s="75"/>
      <c r="BA417" s="75"/>
      <c r="BB417" s="75"/>
    </row>
    <row r="418" spans="2:54" s="560" customFormat="1" ht="16.5" customHeight="1">
      <c r="B418" s="72"/>
      <c r="C418" s="72"/>
      <c r="D418" s="72"/>
      <c r="E418" s="73"/>
      <c r="F418" s="641"/>
      <c r="G418" s="73"/>
      <c r="H418" s="641"/>
      <c r="I418" s="641"/>
      <c r="J418" s="641"/>
      <c r="K418" s="641"/>
      <c r="L418" s="73"/>
      <c r="M418" s="72"/>
      <c r="N418" s="72"/>
      <c r="O418" s="642"/>
      <c r="P418" s="642"/>
      <c r="Q418" s="74"/>
      <c r="R418" s="641"/>
      <c r="S418" s="641"/>
      <c r="T418" s="72"/>
      <c r="U418" s="72"/>
      <c r="V418" s="72"/>
      <c r="W418" s="72"/>
      <c r="X418" s="72"/>
      <c r="Y418" s="72"/>
      <c r="Z418" s="72"/>
      <c r="AA418" s="73"/>
      <c r="AB418" s="72"/>
      <c r="AC418" s="641"/>
      <c r="AD418" s="72"/>
      <c r="AE418" s="641"/>
      <c r="AF418" s="641"/>
      <c r="AG418" s="72"/>
      <c r="AH418" s="72"/>
      <c r="AI418" s="72"/>
      <c r="AJ418" s="72"/>
      <c r="AK418" s="72"/>
      <c r="AL418" s="72"/>
      <c r="AM418" s="72"/>
      <c r="AN418" s="73"/>
      <c r="AO418" s="641"/>
      <c r="AP418" s="641"/>
      <c r="AQ418" s="641"/>
      <c r="AR418" s="641"/>
      <c r="AS418" s="641"/>
      <c r="AT418" s="641"/>
      <c r="AU418" s="72"/>
      <c r="AV418" s="73"/>
      <c r="AW418" s="643"/>
      <c r="AX418" s="643"/>
      <c r="AY418" s="643"/>
      <c r="AZ418" s="75"/>
      <c r="BA418" s="75"/>
      <c r="BB418" s="75"/>
    </row>
    <row r="419" spans="2:54" s="560" customFormat="1" ht="16.5" customHeight="1">
      <c r="B419" s="72"/>
      <c r="C419" s="72"/>
      <c r="D419" s="72"/>
      <c r="E419" s="73"/>
      <c r="F419" s="641"/>
      <c r="G419" s="73"/>
      <c r="H419" s="641"/>
      <c r="I419" s="641"/>
      <c r="J419" s="641"/>
      <c r="K419" s="641"/>
      <c r="L419" s="73"/>
      <c r="M419" s="72"/>
      <c r="N419" s="72"/>
      <c r="O419" s="642"/>
      <c r="P419" s="642"/>
      <c r="Q419" s="74"/>
      <c r="R419" s="641"/>
      <c r="S419" s="641"/>
      <c r="T419" s="72"/>
      <c r="U419" s="72"/>
      <c r="V419" s="72"/>
      <c r="W419" s="72"/>
      <c r="X419" s="72"/>
      <c r="Y419" s="72"/>
      <c r="Z419" s="72"/>
      <c r="AA419" s="73"/>
      <c r="AB419" s="72"/>
      <c r="AC419" s="641"/>
      <c r="AD419" s="72"/>
      <c r="AE419" s="641"/>
      <c r="AF419" s="641"/>
      <c r="AG419" s="72"/>
      <c r="AH419" s="72"/>
      <c r="AI419" s="72"/>
      <c r="AJ419" s="72"/>
      <c r="AK419" s="72"/>
      <c r="AL419" s="72"/>
      <c r="AM419" s="72"/>
      <c r="AN419" s="73"/>
      <c r="AO419" s="641"/>
      <c r="AP419" s="641"/>
      <c r="AQ419" s="641"/>
      <c r="AR419" s="641"/>
      <c r="AS419" s="641"/>
      <c r="AT419" s="641"/>
      <c r="AU419" s="72"/>
      <c r="AV419" s="73"/>
      <c r="AW419" s="643"/>
      <c r="AX419" s="643"/>
      <c r="AY419" s="643"/>
      <c r="AZ419" s="75"/>
      <c r="BA419" s="75"/>
      <c r="BB419" s="75"/>
    </row>
    <row r="420" spans="2:54" s="560" customFormat="1" ht="16.5" customHeight="1">
      <c r="B420" s="72"/>
      <c r="C420" s="72"/>
      <c r="D420" s="72"/>
      <c r="E420" s="73"/>
      <c r="F420" s="641"/>
      <c r="G420" s="73"/>
      <c r="H420" s="641"/>
      <c r="I420" s="641"/>
      <c r="J420" s="641"/>
      <c r="K420" s="641"/>
      <c r="L420" s="73"/>
      <c r="M420" s="72"/>
      <c r="N420" s="72"/>
      <c r="O420" s="642"/>
      <c r="P420" s="642"/>
      <c r="Q420" s="74"/>
      <c r="R420" s="641"/>
      <c r="S420" s="641"/>
      <c r="T420" s="72"/>
      <c r="U420" s="72"/>
      <c r="V420" s="72"/>
      <c r="W420" s="72"/>
      <c r="X420" s="72"/>
      <c r="Y420" s="72"/>
      <c r="Z420" s="72"/>
      <c r="AA420" s="73"/>
      <c r="AB420" s="72"/>
      <c r="AC420" s="641"/>
      <c r="AD420" s="72"/>
      <c r="AE420" s="641"/>
      <c r="AF420" s="641"/>
      <c r="AG420" s="72"/>
      <c r="AH420" s="72"/>
      <c r="AI420" s="72"/>
      <c r="AJ420" s="72"/>
      <c r="AK420" s="72"/>
      <c r="AL420" s="72"/>
      <c r="AM420" s="72"/>
      <c r="AN420" s="73"/>
      <c r="AO420" s="641"/>
      <c r="AP420" s="641"/>
      <c r="AQ420" s="641"/>
      <c r="AR420" s="641"/>
      <c r="AS420" s="641"/>
      <c r="AT420" s="641"/>
      <c r="AU420" s="72"/>
      <c r="AV420" s="73"/>
      <c r="AW420" s="643"/>
      <c r="AX420" s="643"/>
      <c r="AY420" s="643"/>
      <c r="AZ420" s="75"/>
      <c r="BA420" s="75"/>
      <c r="BB420" s="75"/>
    </row>
    <row r="421" spans="2:54" s="560" customFormat="1" ht="16.5" customHeight="1">
      <c r="B421" s="72"/>
      <c r="C421" s="72"/>
      <c r="D421" s="72"/>
      <c r="E421" s="73"/>
      <c r="F421" s="641"/>
      <c r="G421" s="73"/>
      <c r="H421" s="641"/>
      <c r="I421" s="641"/>
      <c r="J421" s="641"/>
      <c r="K421" s="641"/>
      <c r="L421" s="73"/>
      <c r="M421" s="72"/>
      <c r="N421" s="72"/>
      <c r="O421" s="642"/>
      <c r="P421" s="642"/>
      <c r="Q421" s="74"/>
      <c r="R421" s="641"/>
      <c r="S421" s="641"/>
      <c r="T421" s="72"/>
      <c r="U421" s="72"/>
      <c r="V421" s="72"/>
      <c r="W421" s="72"/>
      <c r="X421" s="72"/>
      <c r="Y421" s="72"/>
      <c r="Z421" s="72"/>
      <c r="AA421" s="73"/>
      <c r="AB421" s="72"/>
      <c r="AC421" s="641"/>
      <c r="AD421" s="72"/>
      <c r="AE421" s="641"/>
      <c r="AF421" s="641"/>
      <c r="AG421" s="72"/>
      <c r="AH421" s="72"/>
      <c r="AI421" s="72"/>
      <c r="AJ421" s="72"/>
      <c r="AK421" s="72"/>
      <c r="AL421" s="72"/>
      <c r="AM421" s="72"/>
      <c r="AN421" s="73"/>
      <c r="AO421" s="641"/>
      <c r="AP421" s="641"/>
      <c r="AQ421" s="641"/>
      <c r="AR421" s="641"/>
      <c r="AS421" s="641"/>
      <c r="AT421" s="641"/>
      <c r="AU421" s="72"/>
      <c r="AV421" s="73"/>
      <c r="AW421" s="643"/>
      <c r="AX421" s="643"/>
      <c r="AY421" s="643"/>
      <c r="AZ421" s="75"/>
      <c r="BA421" s="75"/>
      <c r="BB421" s="75"/>
    </row>
    <row r="422" spans="2:54" s="560" customFormat="1" ht="16.5" customHeight="1">
      <c r="B422" s="72"/>
      <c r="C422" s="72"/>
      <c r="D422" s="72"/>
      <c r="E422" s="73"/>
      <c r="F422" s="641"/>
      <c r="G422" s="73"/>
      <c r="H422" s="641"/>
      <c r="I422" s="641"/>
      <c r="J422" s="641"/>
      <c r="K422" s="641"/>
      <c r="L422" s="73"/>
      <c r="M422" s="72"/>
      <c r="N422" s="72"/>
      <c r="O422" s="642"/>
      <c r="P422" s="642"/>
      <c r="Q422" s="74"/>
      <c r="R422" s="641"/>
      <c r="S422" s="641"/>
      <c r="T422" s="72"/>
      <c r="U422" s="72"/>
      <c r="V422" s="72"/>
      <c r="W422" s="72"/>
      <c r="X422" s="72"/>
      <c r="Y422" s="72"/>
      <c r="Z422" s="72"/>
      <c r="AA422" s="73"/>
      <c r="AB422" s="72"/>
      <c r="AC422" s="641"/>
      <c r="AD422" s="72"/>
      <c r="AE422" s="641"/>
      <c r="AF422" s="641"/>
      <c r="AG422" s="72"/>
      <c r="AH422" s="72"/>
      <c r="AI422" s="72"/>
      <c r="AJ422" s="72"/>
      <c r="AK422" s="72"/>
      <c r="AL422" s="72"/>
      <c r="AM422" s="72"/>
      <c r="AN422" s="73"/>
      <c r="AO422" s="641"/>
      <c r="AP422" s="641"/>
      <c r="AQ422" s="641"/>
      <c r="AR422" s="641"/>
      <c r="AS422" s="641"/>
      <c r="AT422" s="641"/>
      <c r="AU422" s="72"/>
      <c r="AV422" s="73"/>
      <c r="AW422" s="643"/>
      <c r="AX422" s="643"/>
      <c r="AY422" s="643"/>
      <c r="AZ422" s="75"/>
      <c r="BA422" s="75"/>
      <c r="BB422" s="75"/>
    </row>
    <row r="423" spans="2:54" s="560" customFormat="1" ht="16.5" customHeight="1">
      <c r="B423" s="72"/>
      <c r="C423" s="72"/>
      <c r="D423" s="72"/>
      <c r="E423" s="73"/>
      <c r="F423" s="641"/>
      <c r="G423" s="73"/>
      <c r="H423" s="641"/>
      <c r="I423" s="641"/>
      <c r="J423" s="641"/>
      <c r="K423" s="641"/>
      <c r="L423" s="73"/>
      <c r="M423" s="72"/>
      <c r="N423" s="72"/>
      <c r="O423" s="642"/>
      <c r="P423" s="642"/>
      <c r="Q423" s="74"/>
      <c r="R423" s="641"/>
      <c r="S423" s="641"/>
      <c r="T423" s="72"/>
      <c r="U423" s="72"/>
      <c r="V423" s="72"/>
      <c r="W423" s="72"/>
      <c r="X423" s="72"/>
      <c r="Y423" s="72"/>
      <c r="Z423" s="72"/>
      <c r="AA423" s="73"/>
      <c r="AB423" s="72"/>
      <c r="AC423" s="641"/>
      <c r="AD423" s="72"/>
      <c r="AE423" s="641"/>
      <c r="AF423" s="641"/>
      <c r="AG423" s="72"/>
      <c r="AH423" s="72"/>
      <c r="AI423" s="72"/>
      <c r="AJ423" s="72"/>
      <c r="AK423" s="72"/>
      <c r="AL423" s="72"/>
      <c r="AM423" s="72"/>
      <c r="AN423" s="73"/>
      <c r="AO423" s="641"/>
      <c r="AP423" s="641"/>
      <c r="AQ423" s="641"/>
      <c r="AR423" s="641"/>
      <c r="AS423" s="641"/>
      <c r="AT423" s="641"/>
      <c r="AU423" s="72"/>
      <c r="AV423" s="73"/>
      <c r="AW423" s="643"/>
      <c r="AX423" s="643"/>
      <c r="AY423" s="643"/>
      <c r="AZ423" s="75"/>
      <c r="BA423" s="75"/>
      <c r="BB423" s="75"/>
    </row>
    <row r="424" spans="2:54" s="560" customFormat="1" ht="16.5" customHeight="1">
      <c r="B424" s="72"/>
      <c r="C424" s="72"/>
      <c r="D424" s="72"/>
      <c r="E424" s="73"/>
      <c r="F424" s="641"/>
      <c r="G424" s="73"/>
      <c r="H424" s="641"/>
      <c r="I424" s="641"/>
      <c r="J424" s="641"/>
      <c r="K424" s="641"/>
      <c r="L424" s="73"/>
      <c r="M424" s="72"/>
      <c r="N424" s="72"/>
      <c r="O424" s="642"/>
      <c r="P424" s="642"/>
      <c r="Q424" s="74"/>
      <c r="R424" s="641"/>
      <c r="S424" s="641"/>
      <c r="T424" s="72"/>
      <c r="U424" s="72"/>
      <c r="V424" s="72"/>
      <c r="W424" s="72"/>
      <c r="X424" s="72"/>
      <c r="Y424" s="72"/>
      <c r="Z424" s="72"/>
      <c r="AA424" s="73"/>
      <c r="AB424" s="72"/>
      <c r="AC424" s="641"/>
      <c r="AD424" s="72"/>
      <c r="AE424" s="641"/>
      <c r="AF424" s="641"/>
      <c r="AG424" s="72"/>
      <c r="AH424" s="72"/>
      <c r="AI424" s="72"/>
      <c r="AJ424" s="72"/>
      <c r="AK424" s="72"/>
      <c r="AL424" s="72"/>
      <c r="AM424" s="72"/>
      <c r="AN424" s="73"/>
      <c r="AO424" s="641"/>
      <c r="AP424" s="641"/>
      <c r="AQ424" s="641"/>
      <c r="AR424" s="641"/>
      <c r="AS424" s="641"/>
      <c r="AT424" s="641"/>
      <c r="AU424" s="72"/>
      <c r="AV424" s="73"/>
      <c r="AW424" s="643"/>
      <c r="AX424" s="643"/>
      <c r="AY424" s="643"/>
      <c r="AZ424" s="75"/>
      <c r="BA424" s="75"/>
      <c r="BB424" s="75"/>
    </row>
    <row r="425" spans="2:54" s="560" customFormat="1" ht="16.5" customHeight="1">
      <c r="B425" s="72"/>
      <c r="C425" s="72"/>
      <c r="D425" s="72"/>
      <c r="E425" s="73"/>
      <c r="F425" s="641"/>
      <c r="G425" s="73"/>
      <c r="H425" s="641"/>
      <c r="I425" s="641"/>
      <c r="J425" s="641"/>
      <c r="K425" s="641"/>
      <c r="L425" s="73"/>
      <c r="M425" s="72"/>
      <c r="N425" s="72"/>
      <c r="O425" s="642"/>
      <c r="P425" s="642"/>
      <c r="Q425" s="74"/>
      <c r="R425" s="641"/>
      <c r="S425" s="641"/>
      <c r="T425" s="72"/>
      <c r="U425" s="72"/>
      <c r="V425" s="72"/>
      <c r="W425" s="72"/>
      <c r="X425" s="72"/>
      <c r="Y425" s="72"/>
      <c r="Z425" s="72"/>
      <c r="AA425" s="73"/>
      <c r="AB425" s="72"/>
      <c r="AC425" s="641"/>
      <c r="AD425" s="72"/>
      <c r="AE425" s="641"/>
      <c r="AF425" s="641"/>
      <c r="AG425" s="72"/>
      <c r="AH425" s="72"/>
      <c r="AI425" s="72"/>
      <c r="AJ425" s="72"/>
      <c r="AK425" s="72"/>
      <c r="AL425" s="72"/>
      <c r="AM425" s="72"/>
      <c r="AN425" s="73"/>
      <c r="AO425" s="641"/>
      <c r="AP425" s="641"/>
      <c r="AQ425" s="641"/>
      <c r="AR425" s="641"/>
      <c r="AS425" s="641"/>
      <c r="AT425" s="641"/>
      <c r="AU425" s="72"/>
      <c r="AV425" s="73"/>
      <c r="AW425" s="643"/>
      <c r="AX425" s="643"/>
      <c r="AY425" s="643"/>
      <c r="AZ425" s="75"/>
      <c r="BA425" s="75"/>
      <c r="BB425" s="75"/>
    </row>
    <row r="426" spans="2:54" s="560" customFormat="1" ht="16.5" customHeight="1">
      <c r="B426" s="72"/>
      <c r="C426" s="72"/>
      <c r="D426" s="72"/>
      <c r="E426" s="73"/>
      <c r="F426" s="641"/>
      <c r="G426" s="73"/>
      <c r="H426" s="641"/>
      <c r="I426" s="641"/>
      <c r="J426" s="641"/>
      <c r="K426" s="641"/>
      <c r="L426" s="73"/>
      <c r="M426" s="72"/>
      <c r="N426" s="72"/>
      <c r="O426" s="642"/>
      <c r="P426" s="642"/>
      <c r="Q426" s="74"/>
      <c r="R426" s="641"/>
      <c r="S426" s="641"/>
      <c r="T426" s="72"/>
      <c r="U426" s="72"/>
      <c r="V426" s="72"/>
      <c r="W426" s="72"/>
      <c r="X426" s="72"/>
      <c r="Y426" s="72"/>
      <c r="Z426" s="72"/>
      <c r="AA426" s="73"/>
      <c r="AB426" s="72"/>
      <c r="AC426" s="641"/>
      <c r="AD426" s="72"/>
      <c r="AE426" s="641"/>
      <c r="AF426" s="641"/>
      <c r="AG426" s="72"/>
      <c r="AH426" s="72"/>
      <c r="AI426" s="72"/>
      <c r="AJ426" s="72"/>
      <c r="AK426" s="72"/>
      <c r="AL426" s="72"/>
      <c r="AM426" s="72"/>
      <c r="AN426" s="73"/>
      <c r="AO426" s="641"/>
      <c r="AP426" s="641"/>
      <c r="AQ426" s="641"/>
      <c r="AR426" s="641"/>
      <c r="AS426" s="641"/>
      <c r="AT426" s="641"/>
      <c r="AU426" s="72"/>
      <c r="AV426" s="73"/>
      <c r="AW426" s="643"/>
      <c r="AX426" s="643"/>
      <c r="AY426" s="643"/>
      <c r="AZ426" s="75"/>
      <c r="BA426" s="75"/>
      <c r="BB426" s="75"/>
    </row>
    <row r="427" spans="2:54" s="560" customFormat="1" ht="16.5" customHeight="1">
      <c r="B427" s="72"/>
      <c r="C427" s="72"/>
      <c r="D427" s="72"/>
      <c r="E427" s="73"/>
      <c r="F427" s="641"/>
      <c r="G427" s="73"/>
      <c r="H427" s="641"/>
      <c r="I427" s="641"/>
      <c r="J427" s="641"/>
      <c r="K427" s="641"/>
      <c r="L427" s="73"/>
      <c r="M427" s="72"/>
      <c r="N427" s="72"/>
      <c r="O427" s="642"/>
      <c r="P427" s="642"/>
      <c r="Q427" s="74"/>
      <c r="R427" s="641"/>
      <c r="S427" s="641"/>
      <c r="T427" s="72"/>
      <c r="U427" s="72"/>
      <c r="V427" s="72"/>
      <c r="W427" s="72"/>
      <c r="X427" s="72"/>
      <c r="Y427" s="72"/>
      <c r="Z427" s="72"/>
      <c r="AA427" s="73"/>
      <c r="AB427" s="72"/>
      <c r="AC427" s="641"/>
      <c r="AD427" s="72"/>
      <c r="AE427" s="641"/>
      <c r="AF427" s="641"/>
      <c r="AG427" s="72"/>
      <c r="AH427" s="72"/>
      <c r="AI427" s="72"/>
      <c r="AJ427" s="72"/>
      <c r="AK427" s="72"/>
      <c r="AL427" s="72"/>
      <c r="AM427" s="72"/>
      <c r="AN427" s="73"/>
      <c r="AO427" s="641"/>
      <c r="AP427" s="641"/>
      <c r="AQ427" s="641"/>
      <c r="AR427" s="641"/>
      <c r="AS427" s="641"/>
      <c r="AT427" s="641"/>
      <c r="AU427" s="72"/>
      <c r="AV427" s="73"/>
      <c r="AW427" s="643"/>
      <c r="AX427" s="643"/>
      <c r="AY427" s="643"/>
      <c r="AZ427" s="75"/>
      <c r="BA427" s="75"/>
      <c r="BB427" s="75"/>
    </row>
    <row r="428" spans="2:54" s="560" customFormat="1" ht="16.5" customHeight="1">
      <c r="B428" s="72"/>
      <c r="C428" s="72"/>
      <c r="D428" s="72"/>
      <c r="E428" s="73"/>
      <c r="F428" s="641"/>
      <c r="G428" s="73"/>
      <c r="H428" s="641"/>
      <c r="I428" s="641"/>
      <c r="J428" s="641"/>
      <c r="K428" s="641"/>
      <c r="L428" s="73"/>
      <c r="M428" s="72"/>
      <c r="N428" s="72"/>
      <c r="O428" s="642"/>
      <c r="P428" s="642"/>
      <c r="Q428" s="74"/>
      <c r="R428" s="641"/>
      <c r="S428" s="641"/>
      <c r="T428" s="72"/>
      <c r="U428" s="72"/>
      <c r="V428" s="72"/>
      <c r="W428" s="72"/>
      <c r="X428" s="72"/>
      <c r="Y428" s="72"/>
      <c r="Z428" s="72"/>
      <c r="AA428" s="73"/>
      <c r="AB428" s="72"/>
      <c r="AC428" s="641"/>
      <c r="AD428" s="72"/>
      <c r="AE428" s="641"/>
      <c r="AF428" s="641"/>
      <c r="AG428" s="72"/>
      <c r="AH428" s="72"/>
      <c r="AI428" s="72"/>
      <c r="AJ428" s="72"/>
      <c r="AK428" s="72"/>
      <c r="AL428" s="72"/>
      <c r="AM428" s="72"/>
      <c r="AN428" s="73"/>
      <c r="AO428" s="641"/>
      <c r="AP428" s="641"/>
      <c r="AQ428" s="641"/>
      <c r="AR428" s="641"/>
      <c r="AS428" s="641"/>
      <c r="AT428" s="641"/>
      <c r="AU428" s="72"/>
      <c r="AV428" s="73"/>
      <c r="AW428" s="643"/>
      <c r="AX428" s="643"/>
      <c r="AY428" s="643"/>
      <c r="AZ428" s="75"/>
      <c r="BA428" s="75"/>
      <c r="BB428" s="75"/>
    </row>
    <row r="429" spans="2:54" s="560" customFormat="1" ht="16.5" customHeight="1">
      <c r="B429" s="72"/>
      <c r="C429" s="72"/>
      <c r="D429" s="72"/>
      <c r="E429" s="73"/>
      <c r="F429" s="641"/>
      <c r="G429" s="73"/>
      <c r="H429" s="641"/>
      <c r="I429" s="641"/>
      <c r="J429" s="641"/>
      <c r="K429" s="641"/>
      <c r="L429" s="73"/>
      <c r="M429" s="72"/>
      <c r="N429" s="72"/>
      <c r="O429" s="642"/>
      <c r="P429" s="642"/>
      <c r="Q429" s="74"/>
      <c r="R429" s="641"/>
      <c r="S429" s="641"/>
      <c r="T429" s="72"/>
      <c r="U429" s="72"/>
      <c r="V429" s="72"/>
      <c r="W429" s="72"/>
      <c r="X429" s="72"/>
      <c r="Y429" s="72"/>
      <c r="Z429" s="72"/>
      <c r="AA429" s="73"/>
      <c r="AB429" s="72"/>
      <c r="AC429" s="641"/>
      <c r="AD429" s="72"/>
      <c r="AE429" s="641"/>
      <c r="AF429" s="641"/>
      <c r="AG429" s="72"/>
      <c r="AH429" s="72"/>
      <c r="AI429" s="72"/>
      <c r="AJ429" s="72"/>
      <c r="AK429" s="72"/>
      <c r="AL429" s="72"/>
      <c r="AM429" s="72"/>
      <c r="AN429" s="73"/>
      <c r="AO429" s="641"/>
      <c r="AP429" s="641"/>
      <c r="AQ429" s="641"/>
      <c r="AR429" s="641"/>
      <c r="AS429" s="641"/>
      <c r="AT429" s="641"/>
      <c r="AU429" s="72"/>
      <c r="AV429" s="73"/>
      <c r="AW429" s="643"/>
      <c r="AX429" s="643"/>
      <c r="AY429" s="643"/>
      <c r="AZ429" s="75"/>
      <c r="BA429" s="75"/>
      <c r="BB429" s="75"/>
    </row>
    <row r="430" spans="2:54" s="560" customFormat="1" ht="16.5" customHeight="1">
      <c r="B430" s="72"/>
      <c r="C430" s="72"/>
      <c r="D430" s="72"/>
      <c r="E430" s="73"/>
      <c r="F430" s="641"/>
      <c r="G430" s="73"/>
      <c r="H430" s="641"/>
      <c r="I430" s="641"/>
      <c r="J430" s="641"/>
      <c r="K430" s="641"/>
      <c r="L430" s="73"/>
      <c r="M430" s="72"/>
      <c r="N430" s="72"/>
      <c r="O430" s="642"/>
      <c r="P430" s="642"/>
      <c r="Q430" s="74"/>
      <c r="R430" s="641"/>
      <c r="S430" s="641"/>
      <c r="T430" s="72"/>
      <c r="U430" s="72"/>
      <c r="V430" s="72"/>
      <c r="W430" s="72"/>
      <c r="X430" s="72"/>
      <c r="Y430" s="72"/>
      <c r="Z430" s="72"/>
      <c r="AA430" s="73"/>
      <c r="AB430" s="72"/>
      <c r="AC430" s="641"/>
      <c r="AD430" s="72"/>
      <c r="AE430" s="641"/>
      <c r="AF430" s="641"/>
      <c r="AG430" s="72"/>
      <c r="AH430" s="72"/>
      <c r="AI430" s="72"/>
      <c r="AJ430" s="72"/>
      <c r="AK430" s="72"/>
      <c r="AL430" s="72"/>
      <c r="AM430" s="72"/>
      <c r="AN430" s="73"/>
      <c r="AO430" s="641"/>
      <c r="AP430" s="641"/>
      <c r="AQ430" s="641"/>
      <c r="AR430" s="641"/>
      <c r="AS430" s="641"/>
      <c r="AT430" s="641"/>
      <c r="AU430" s="72"/>
      <c r="AV430" s="73"/>
      <c r="AW430" s="643"/>
      <c r="AX430" s="643"/>
      <c r="AY430" s="643"/>
      <c r="AZ430" s="75"/>
      <c r="BA430" s="75"/>
      <c r="BB430" s="75"/>
    </row>
    <row r="431" spans="2:54" s="560" customFormat="1" ht="16.5" customHeight="1">
      <c r="B431" s="72"/>
      <c r="C431" s="72"/>
      <c r="D431" s="72"/>
      <c r="E431" s="73"/>
      <c r="F431" s="641"/>
      <c r="G431" s="73"/>
      <c r="H431" s="641"/>
      <c r="I431" s="641"/>
      <c r="J431" s="641"/>
      <c r="K431" s="641"/>
      <c r="L431" s="73"/>
      <c r="M431" s="72"/>
      <c r="N431" s="72"/>
      <c r="O431" s="642"/>
      <c r="P431" s="642"/>
      <c r="Q431" s="74"/>
      <c r="R431" s="641"/>
      <c r="S431" s="641"/>
      <c r="T431" s="72"/>
      <c r="U431" s="72"/>
      <c r="V431" s="72"/>
      <c r="W431" s="72"/>
      <c r="X431" s="72"/>
      <c r="Y431" s="72"/>
      <c r="Z431" s="72"/>
      <c r="AA431" s="73"/>
      <c r="AB431" s="72"/>
      <c r="AC431" s="641"/>
      <c r="AD431" s="72"/>
      <c r="AE431" s="641"/>
      <c r="AF431" s="641"/>
      <c r="AG431" s="72"/>
      <c r="AH431" s="72"/>
      <c r="AI431" s="72"/>
      <c r="AJ431" s="72"/>
      <c r="AK431" s="72"/>
      <c r="AL431" s="72"/>
      <c r="AM431" s="72"/>
      <c r="AN431" s="73"/>
      <c r="AO431" s="641"/>
      <c r="AP431" s="641"/>
      <c r="AQ431" s="641"/>
      <c r="AR431" s="641"/>
      <c r="AS431" s="641"/>
      <c r="AT431" s="641"/>
      <c r="AU431" s="72"/>
      <c r="AV431" s="73"/>
      <c r="AW431" s="643"/>
      <c r="AX431" s="643"/>
      <c r="AY431" s="643"/>
      <c r="AZ431" s="75"/>
      <c r="BA431" s="75"/>
      <c r="BB431" s="75"/>
    </row>
    <row r="432" spans="2:54" s="560" customFormat="1" ht="16.5" customHeight="1">
      <c r="B432" s="72"/>
      <c r="C432" s="72"/>
      <c r="D432" s="72"/>
      <c r="E432" s="73"/>
      <c r="F432" s="641"/>
      <c r="G432" s="73"/>
      <c r="H432" s="641"/>
      <c r="I432" s="641"/>
      <c r="J432" s="641"/>
      <c r="K432" s="641"/>
      <c r="L432" s="73"/>
      <c r="M432" s="72"/>
      <c r="N432" s="72"/>
      <c r="O432" s="642"/>
      <c r="P432" s="642"/>
      <c r="Q432" s="74"/>
      <c r="R432" s="641"/>
      <c r="S432" s="641"/>
      <c r="T432" s="72"/>
      <c r="U432" s="72"/>
      <c r="V432" s="72"/>
      <c r="W432" s="72"/>
      <c r="X432" s="72"/>
      <c r="Y432" s="72"/>
      <c r="Z432" s="72"/>
      <c r="AA432" s="73"/>
      <c r="AB432" s="72"/>
      <c r="AC432" s="641"/>
      <c r="AD432" s="72"/>
      <c r="AE432" s="641"/>
      <c r="AF432" s="641"/>
      <c r="AG432" s="72"/>
      <c r="AH432" s="72"/>
      <c r="AI432" s="72"/>
      <c r="AJ432" s="72"/>
      <c r="AK432" s="72"/>
      <c r="AL432" s="72"/>
      <c r="AM432" s="72"/>
      <c r="AN432" s="73"/>
      <c r="AO432" s="641"/>
      <c r="AP432" s="641"/>
      <c r="AQ432" s="641"/>
      <c r="AR432" s="641"/>
      <c r="AS432" s="641"/>
      <c r="AT432" s="641"/>
      <c r="AU432" s="72"/>
      <c r="AV432" s="73"/>
      <c r="AW432" s="643"/>
      <c r="AX432" s="643"/>
      <c r="AY432" s="643"/>
      <c r="AZ432" s="75"/>
      <c r="BA432" s="75"/>
      <c r="BB432" s="75"/>
    </row>
    <row r="433" spans="2:54" s="560" customFormat="1" ht="16.5" customHeight="1">
      <c r="B433" s="72"/>
      <c r="C433" s="72"/>
      <c r="D433" s="72"/>
      <c r="E433" s="73"/>
      <c r="F433" s="641"/>
      <c r="G433" s="73"/>
      <c r="H433" s="641"/>
      <c r="I433" s="641"/>
      <c r="J433" s="641"/>
      <c r="K433" s="641"/>
      <c r="L433" s="73"/>
      <c r="M433" s="72"/>
      <c r="N433" s="72"/>
      <c r="O433" s="642"/>
      <c r="P433" s="642"/>
      <c r="Q433" s="74"/>
      <c r="R433" s="641"/>
      <c r="S433" s="641"/>
      <c r="T433" s="72"/>
      <c r="U433" s="72"/>
      <c r="V433" s="72"/>
      <c r="W433" s="72"/>
      <c r="X433" s="72"/>
      <c r="Y433" s="72"/>
      <c r="Z433" s="72"/>
      <c r="AA433" s="73"/>
      <c r="AB433" s="72"/>
      <c r="AC433" s="641"/>
      <c r="AD433" s="72"/>
      <c r="AE433" s="641"/>
      <c r="AF433" s="641"/>
      <c r="AG433" s="72"/>
      <c r="AH433" s="72"/>
      <c r="AI433" s="72"/>
      <c r="AJ433" s="72"/>
      <c r="AK433" s="72"/>
      <c r="AL433" s="72"/>
      <c r="AM433" s="72"/>
      <c r="AN433" s="73"/>
      <c r="AO433" s="641"/>
      <c r="AP433" s="641"/>
      <c r="AQ433" s="641"/>
      <c r="AR433" s="641"/>
      <c r="AS433" s="641"/>
      <c r="AT433" s="641"/>
      <c r="AU433" s="72"/>
      <c r="AV433" s="73"/>
      <c r="AW433" s="643"/>
      <c r="AX433" s="643"/>
      <c r="AY433" s="643"/>
      <c r="AZ433" s="75"/>
      <c r="BA433" s="75"/>
      <c r="BB433" s="75"/>
    </row>
    <row r="434" spans="2:54" s="560" customFormat="1" ht="16.5" customHeight="1">
      <c r="B434" s="72"/>
      <c r="C434" s="72"/>
      <c r="D434" s="72"/>
      <c r="E434" s="73"/>
      <c r="F434" s="641"/>
      <c r="G434" s="73"/>
      <c r="H434" s="641"/>
      <c r="I434" s="641"/>
      <c r="J434" s="641"/>
      <c r="K434" s="641"/>
      <c r="L434" s="73"/>
      <c r="M434" s="72"/>
      <c r="N434" s="72"/>
      <c r="O434" s="642"/>
      <c r="P434" s="642"/>
      <c r="Q434" s="74"/>
      <c r="R434" s="641"/>
      <c r="S434" s="641"/>
      <c r="T434" s="72"/>
      <c r="U434" s="72"/>
      <c r="V434" s="72"/>
      <c r="W434" s="72"/>
      <c r="X434" s="72"/>
      <c r="Y434" s="72"/>
      <c r="Z434" s="72"/>
      <c r="AA434" s="73"/>
      <c r="AB434" s="72"/>
      <c r="AC434" s="641"/>
      <c r="AD434" s="72"/>
      <c r="AE434" s="641"/>
      <c r="AF434" s="641"/>
      <c r="AG434" s="72"/>
      <c r="AH434" s="72"/>
      <c r="AI434" s="72"/>
      <c r="AJ434" s="72"/>
      <c r="AK434" s="72"/>
      <c r="AL434" s="72"/>
      <c r="AM434" s="72"/>
      <c r="AN434" s="73"/>
      <c r="AO434" s="641"/>
      <c r="AP434" s="641"/>
      <c r="AQ434" s="641"/>
      <c r="AR434" s="641"/>
      <c r="AS434" s="641"/>
      <c r="AT434" s="641"/>
      <c r="AU434" s="72"/>
      <c r="AV434" s="73"/>
      <c r="AW434" s="643"/>
      <c r="AX434" s="643"/>
      <c r="AY434" s="643"/>
      <c r="AZ434" s="75"/>
      <c r="BA434" s="75"/>
      <c r="BB434" s="75"/>
    </row>
    <row r="435" spans="2:54" s="560" customFormat="1" ht="16.5" customHeight="1">
      <c r="B435" s="72"/>
      <c r="C435" s="72"/>
      <c r="D435" s="72"/>
      <c r="E435" s="73"/>
      <c r="F435" s="641"/>
      <c r="G435" s="73"/>
      <c r="H435" s="641"/>
      <c r="I435" s="641"/>
      <c r="J435" s="641"/>
      <c r="K435" s="641"/>
      <c r="L435" s="73"/>
      <c r="M435" s="72"/>
      <c r="N435" s="72"/>
      <c r="O435" s="642"/>
      <c r="P435" s="642"/>
      <c r="Q435" s="74"/>
      <c r="R435" s="641"/>
      <c r="S435" s="641"/>
      <c r="T435" s="72"/>
      <c r="U435" s="72"/>
      <c r="V435" s="72"/>
      <c r="W435" s="72"/>
      <c r="X435" s="72"/>
      <c r="Y435" s="72"/>
      <c r="Z435" s="72"/>
      <c r="AA435" s="73"/>
      <c r="AB435" s="72"/>
      <c r="AC435" s="641"/>
      <c r="AD435" s="72"/>
      <c r="AE435" s="641"/>
      <c r="AF435" s="641"/>
      <c r="AG435" s="72"/>
      <c r="AH435" s="72"/>
      <c r="AI435" s="72"/>
      <c r="AJ435" s="72"/>
      <c r="AK435" s="72"/>
      <c r="AL435" s="72"/>
      <c r="AM435" s="72"/>
      <c r="AN435" s="73"/>
      <c r="AO435" s="641"/>
      <c r="AP435" s="641"/>
      <c r="AQ435" s="641"/>
      <c r="AR435" s="641"/>
      <c r="AS435" s="641"/>
      <c r="AT435" s="641"/>
      <c r="AU435" s="72"/>
      <c r="AV435" s="73"/>
      <c r="AW435" s="643"/>
      <c r="AX435" s="643"/>
      <c r="AY435" s="643"/>
      <c r="AZ435" s="75"/>
      <c r="BA435" s="75"/>
      <c r="BB435" s="75"/>
    </row>
    <row r="436" spans="2:54" s="560" customFormat="1" ht="16.5" customHeight="1">
      <c r="B436" s="72"/>
      <c r="C436" s="72"/>
      <c r="D436" s="72"/>
      <c r="E436" s="73"/>
      <c r="F436" s="641"/>
      <c r="G436" s="73"/>
      <c r="H436" s="641"/>
      <c r="I436" s="641"/>
      <c r="J436" s="641"/>
      <c r="K436" s="641"/>
      <c r="L436" s="73"/>
      <c r="M436" s="72"/>
      <c r="N436" s="72"/>
      <c r="O436" s="642"/>
      <c r="P436" s="642"/>
      <c r="Q436" s="74"/>
      <c r="R436" s="641"/>
      <c r="S436" s="641"/>
      <c r="T436" s="72"/>
      <c r="U436" s="72"/>
      <c r="V436" s="72"/>
      <c r="W436" s="72"/>
      <c r="X436" s="72"/>
      <c r="Y436" s="72"/>
      <c r="Z436" s="72"/>
      <c r="AA436" s="73"/>
      <c r="AB436" s="72"/>
      <c r="AC436" s="641"/>
      <c r="AD436" s="72"/>
      <c r="AE436" s="641"/>
      <c r="AF436" s="641"/>
      <c r="AG436" s="72"/>
      <c r="AH436" s="72"/>
      <c r="AI436" s="72"/>
      <c r="AJ436" s="72"/>
      <c r="AK436" s="72"/>
      <c r="AL436" s="72"/>
      <c r="AM436" s="72"/>
      <c r="AN436" s="73"/>
      <c r="AO436" s="641"/>
      <c r="AP436" s="641"/>
      <c r="AQ436" s="641"/>
      <c r="AR436" s="641"/>
      <c r="AS436" s="641"/>
      <c r="AT436" s="641"/>
      <c r="AU436" s="72"/>
      <c r="AV436" s="73"/>
      <c r="AW436" s="643"/>
      <c r="AX436" s="643"/>
      <c r="AY436" s="643"/>
      <c r="AZ436" s="75"/>
      <c r="BA436" s="75"/>
      <c r="BB436" s="75"/>
    </row>
    <row r="437" spans="2:54" s="560" customFormat="1" ht="16.5" customHeight="1">
      <c r="B437" s="72"/>
      <c r="C437" s="72"/>
      <c r="D437" s="72"/>
      <c r="E437" s="73"/>
      <c r="F437" s="641"/>
      <c r="G437" s="73"/>
      <c r="H437" s="641"/>
      <c r="I437" s="641"/>
      <c r="J437" s="641"/>
      <c r="K437" s="641"/>
      <c r="L437" s="73"/>
      <c r="M437" s="72"/>
      <c r="N437" s="72"/>
      <c r="O437" s="642"/>
      <c r="P437" s="642"/>
      <c r="Q437" s="74"/>
      <c r="R437" s="641"/>
      <c r="S437" s="641"/>
      <c r="T437" s="72"/>
      <c r="U437" s="72"/>
      <c r="V437" s="72"/>
      <c r="W437" s="72"/>
      <c r="X437" s="72"/>
      <c r="Y437" s="72"/>
      <c r="Z437" s="72"/>
      <c r="AA437" s="73"/>
      <c r="AB437" s="72"/>
      <c r="AC437" s="641"/>
      <c r="AD437" s="72"/>
      <c r="AE437" s="641"/>
      <c r="AF437" s="641"/>
      <c r="AG437" s="72"/>
      <c r="AH437" s="72"/>
      <c r="AI437" s="72"/>
      <c r="AJ437" s="72"/>
      <c r="AK437" s="72"/>
      <c r="AL437" s="72"/>
      <c r="AM437" s="72"/>
      <c r="AN437" s="73"/>
      <c r="AO437" s="641"/>
      <c r="AP437" s="641"/>
      <c r="AQ437" s="641"/>
      <c r="AR437" s="641"/>
      <c r="AS437" s="641"/>
      <c r="AT437" s="641"/>
      <c r="AU437" s="72"/>
      <c r="AV437" s="73"/>
      <c r="AW437" s="643"/>
      <c r="AX437" s="643"/>
      <c r="AY437" s="643"/>
      <c r="AZ437" s="75"/>
      <c r="BA437" s="75"/>
      <c r="BB437" s="75"/>
    </row>
    <row r="438" spans="2:54" s="560" customFormat="1" ht="16.5" customHeight="1">
      <c r="B438" s="72"/>
      <c r="C438" s="72"/>
      <c r="D438" s="72"/>
      <c r="E438" s="73"/>
      <c r="F438" s="641"/>
      <c r="G438" s="73"/>
      <c r="H438" s="641"/>
      <c r="I438" s="641"/>
      <c r="J438" s="641"/>
      <c r="K438" s="641"/>
      <c r="L438" s="73"/>
      <c r="M438" s="72"/>
      <c r="N438" s="72"/>
      <c r="O438" s="642"/>
      <c r="P438" s="642"/>
      <c r="Q438" s="74"/>
      <c r="R438" s="641"/>
      <c r="S438" s="641"/>
      <c r="T438" s="72"/>
      <c r="U438" s="72"/>
      <c r="V438" s="72"/>
      <c r="W438" s="72"/>
      <c r="X438" s="72"/>
      <c r="Y438" s="72"/>
      <c r="Z438" s="72"/>
      <c r="AA438" s="73"/>
      <c r="AB438" s="72"/>
      <c r="AC438" s="641"/>
      <c r="AD438" s="72"/>
      <c r="AE438" s="641"/>
      <c r="AF438" s="641"/>
      <c r="AG438" s="72"/>
      <c r="AH438" s="72"/>
      <c r="AI438" s="72"/>
      <c r="AJ438" s="72"/>
      <c r="AK438" s="72"/>
      <c r="AL438" s="72"/>
      <c r="AM438" s="72"/>
      <c r="AN438" s="73"/>
      <c r="AO438" s="641"/>
      <c r="AP438" s="641"/>
      <c r="AQ438" s="641"/>
      <c r="AR438" s="641"/>
      <c r="AS438" s="641"/>
      <c r="AT438" s="641"/>
      <c r="AU438" s="72"/>
      <c r="AV438" s="73"/>
      <c r="AW438" s="643"/>
      <c r="AX438" s="643"/>
      <c r="AY438" s="643"/>
      <c r="AZ438" s="75"/>
      <c r="BA438" s="75"/>
      <c r="BB438" s="75"/>
    </row>
    <row r="439" spans="2:54" s="560" customFormat="1" ht="16.5" customHeight="1">
      <c r="B439" s="72"/>
      <c r="C439" s="72"/>
      <c r="D439" s="72"/>
      <c r="E439" s="73"/>
      <c r="F439" s="641"/>
      <c r="G439" s="73"/>
      <c r="H439" s="641"/>
      <c r="I439" s="641"/>
      <c r="J439" s="641"/>
      <c r="K439" s="641"/>
      <c r="L439" s="73"/>
      <c r="M439" s="72"/>
      <c r="N439" s="72"/>
      <c r="O439" s="642"/>
      <c r="P439" s="642"/>
      <c r="Q439" s="74"/>
      <c r="R439" s="641"/>
      <c r="S439" s="641"/>
      <c r="T439" s="72"/>
      <c r="U439" s="72"/>
      <c r="V439" s="72"/>
      <c r="W439" s="72"/>
      <c r="X439" s="72"/>
      <c r="Y439" s="72"/>
      <c r="Z439" s="72"/>
      <c r="AA439" s="73"/>
      <c r="AB439" s="72"/>
      <c r="AC439" s="641"/>
      <c r="AD439" s="72"/>
      <c r="AE439" s="641"/>
      <c r="AF439" s="641"/>
      <c r="AG439" s="72"/>
      <c r="AH439" s="72"/>
      <c r="AI439" s="72"/>
      <c r="AJ439" s="72"/>
      <c r="AK439" s="72"/>
      <c r="AL439" s="72"/>
      <c r="AM439" s="72"/>
      <c r="AN439" s="73"/>
      <c r="AO439" s="641"/>
      <c r="AP439" s="641"/>
      <c r="AQ439" s="641"/>
      <c r="AR439" s="641"/>
      <c r="AS439" s="641"/>
      <c r="AT439" s="641"/>
      <c r="AU439" s="72"/>
      <c r="AV439" s="73"/>
      <c r="AW439" s="643"/>
      <c r="AX439" s="643"/>
      <c r="AY439" s="643"/>
      <c r="AZ439" s="75"/>
      <c r="BA439" s="75"/>
      <c r="BB439" s="75"/>
    </row>
    <row r="440" spans="2:54" s="560" customFormat="1" ht="16.5" customHeight="1">
      <c r="B440" s="72"/>
      <c r="C440" s="72"/>
      <c r="D440" s="72"/>
      <c r="E440" s="73"/>
      <c r="F440" s="641"/>
      <c r="G440" s="73"/>
      <c r="H440" s="641"/>
      <c r="I440" s="641"/>
      <c r="J440" s="641"/>
      <c r="K440" s="641"/>
      <c r="L440" s="73"/>
      <c r="M440" s="72"/>
      <c r="N440" s="72"/>
      <c r="O440" s="642"/>
      <c r="P440" s="642"/>
      <c r="Q440" s="74"/>
      <c r="R440" s="641"/>
      <c r="S440" s="641"/>
      <c r="T440" s="72"/>
      <c r="U440" s="72"/>
      <c r="V440" s="72"/>
      <c r="W440" s="72"/>
      <c r="X440" s="72"/>
      <c r="Y440" s="72"/>
      <c r="Z440" s="72"/>
      <c r="AA440" s="73"/>
      <c r="AB440" s="72"/>
      <c r="AC440" s="641"/>
      <c r="AD440" s="72"/>
      <c r="AE440" s="641"/>
      <c r="AF440" s="641"/>
      <c r="AG440" s="72"/>
      <c r="AH440" s="72"/>
      <c r="AI440" s="72"/>
      <c r="AJ440" s="72"/>
      <c r="AK440" s="72"/>
      <c r="AL440" s="72"/>
      <c r="AM440" s="72"/>
      <c r="AN440" s="73"/>
      <c r="AO440" s="641"/>
      <c r="AP440" s="641"/>
      <c r="AQ440" s="641"/>
      <c r="AR440" s="641"/>
      <c r="AS440" s="641"/>
      <c r="AT440" s="641"/>
      <c r="AU440" s="72"/>
      <c r="AV440" s="73"/>
      <c r="AW440" s="643"/>
      <c r="AX440" s="643"/>
      <c r="AY440" s="643"/>
      <c r="AZ440" s="75"/>
      <c r="BA440" s="75"/>
      <c r="BB440" s="75"/>
    </row>
    <row r="441" spans="2:54" s="560" customFormat="1" ht="16.5" customHeight="1">
      <c r="B441" s="72"/>
      <c r="C441" s="72"/>
      <c r="D441" s="72"/>
      <c r="E441" s="73"/>
      <c r="F441" s="641"/>
      <c r="G441" s="73"/>
      <c r="H441" s="641"/>
      <c r="I441" s="641"/>
      <c r="J441" s="641"/>
      <c r="K441" s="641"/>
      <c r="L441" s="73"/>
      <c r="M441" s="72"/>
      <c r="N441" s="72"/>
      <c r="O441" s="642"/>
      <c r="P441" s="642"/>
      <c r="Q441" s="74"/>
      <c r="R441" s="641"/>
      <c r="S441" s="641"/>
      <c r="T441" s="72"/>
      <c r="U441" s="72"/>
      <c r="V441" s="72"/>
      <c r="W441" s="72"/>
      <c r="X441" s="72"/>
      <c r="Y441" s="72"/>
      <c r="Z441" s="72"/>
      <c r="AA441" s="73"/>
      <c r="AB441" s="72"/>
      <c r="AC441" s="641"/>
      <c r="AD441" s="72"/>
      <c r="AE441" s="641"/>
      <c r="AF441" s="641"/>
      <c r="AG441" s="72"/>
      <c r="AH441" s="72"/>
      <c r="AI441" s="72"/>
      <c r="AJ441" s="72"/>
      <c r="AK441" s="72"/>
      <c r="AL441" s="72"/>
      <c r="AM441" s="72"/>
      <c r="AN441" s="73"/>
      <c r="AO441" s="641"/>
      <c r="AP441" s="641"/>
      <c r="AQ441" s="641"/>
      <c r="AR441" s="641"/>
      <c r="AS441" s="641"/>
      <c r="AT441" s="641"/>
      <c r="AU441" s="72"/>
      <c r="AV441" s="73"/>
      <c r="AW441" s="643"/>
      <c r="AX441" s="643"/>
      <c r="AY441" s="643"/>
      <c r="AZ441" s="75"/>
      <c r="BA441" s="75"/>
      <c r="BB441" s="75"/>
    </row>
    <row r="442" spans="2:54" s="560" customFormat="1" ht="16.5" customHeight="1">
      <c r="B442" s="72"/>
      <c r="C442" s="72"/>
      <c r="D442" s="72"/>
      <c r="E442" s="73"/>
      <c r="F442" s="641"/>
      <c r="G442" s="73"/>
      <c r="H442" s="641"/>
      <c r="I442" s="641"/>
      <c r="J442" s="641"/>
      <c r="K442" s="641"/>
      <c r="L442" s="73"/>
      <c r="M442" s="72"/>
      <c r="N442" s="72"/>
      <c r="O442" s="642"/>
      <c r="P442" s="642"/>
      <c r="Q442" s="74"/>
      <c r="R442" s="641"/>
      <c r="S442" s="641"/>
      <c r="T442" s="72"/>
      <c r="U442" s="72"/>
      <c r="V442" s="72"/>
      <c r="W442" s="72"/>
      <c r="X442" s="72"/>
      <c r="Y442" s="72"/>
      <c r="Z442" s="72"/>
      <c r="AA442" s="73"/>
      <c r="AB442" s="72"/>
      <c r="AC442" s="641"/>
      <c r="AD442" s="72"/>
      <c r="AE442" s="641"/>
      <c r="AF442" s="641"/>
      <c r="AG442" s="72"/>
      <c r="AH442" s="72"/>
      <c r="AI442" s="72"/>
      <c r="AJ442" s="72"/>
      <c r="AK442" s="72"/>
      <c r="AL442" s="72"/>
      <c r="AM442" s="72"/>
      <c r="AN442" s="73"/>
      <c r="AO442" s="641"/>
      <c r="AP442" s="641"/>
      <c r="AQ442" s="641"/>
      <c r="AR442" s="641"/>
      <c r="AS442" s="641"/>
      <c r="AT442" s="641"/>
      <c r="AU442" s="72"/>
      <c r="AV442" s="73"/>
      <c r="AW442" s="643"/>
      <c r="AX442" s="643"/>
      <c r="AY442" s="643"/>
      <c r="AZ442" s="75"/>
      <c r="BA442" s="75"/>
      <c r="BB442" s="75"/>
    </row>
    <row r="443" spans="2:54" s="560" customFormat="1" ht="16.5" customHeight="1">
      <c r="B443" s="72"/>
      <c r="C443" s="72"/>
      <c r="D443" s="72"/>
      <c r="E443" s="73"/>
      <c r="F443" s="641"/>
      <c r="G443" s="73"/>
      <c r="H443" s="641"/>
      <c r="I443" s="641"/>
      <c r="J443" s="641"/>
      <c r="K443" s="641"/>
      <c r="L443" s="73"/>
      <c r="M443" s="72"/>
      <c r="N443" s="72"/>
      <c r="O443" s="642"/>
      <c r="P443" s="642"/>
      <c r="Q443" s="74"/>
      <c r="R443" s="641"/>
      <c r="S443" s="641"/>
      <c r="T443" s="72"/>
      <c r="U443" s="72"/>
      <c r="V443" s="72"/>
      <c r="W443" s="72"/>
      <c r="X443" s="72"/>
      <c r="Y443" s="72"/>
      <c r="Z443" s="72"/>
      <c r="AA443" s="73"/>
      <c r="AB443" s="72"/>
      <c r="AC443" s="641"/>
      <c r="AD443" s="72"/>
      <c r="AE443" s="641"/>
      <c r="AF443" s="641"/>
      <c r="AG443" s="72"/>
      <c r="AH443" s="72"/>
      <c r="AI443" s="72"/>
      <c r="AJ443" s="72"/>
      <c r="AK443" s="72"/>
      <c r="AL443" s="72"/>
      <c r="AM443" s="72"/>
      <c r="AN443" s="73"/>
      <c r="AO443" s="641"/>
      <c r="AP443" s="641"/>
      <c r="AQ443" s="641"/>
      <c r="AR443" s="641"/>
      <c r="AS443" s="641"/>
      <c r="AT443" s="641"/>
      <c r="AU443" s="72"/>
      <c r="AV443" s="73"/>
      <c r="AW443" s="643"/>
      <c r="AX443" s="643"/>
      <c r="AY443" s="643"/>
      <c r="AZ443" s="75"/>
      <c r="BA443" s="75"/>
      <c r="BB443" s="75"/>
    </row>
    <row r="444" spans="2:54" s="560" customFormat="1" ht="16.5" customHeight="1">
      <c r="B444" s="72"/>
      <c r="C444" s="72"/>
      <c r="D444" s="72"/>
      <c r="E444" s="73"/>
      <c r="F444" s="641"/>
      <c r="G444" s="73"/>
      <c r="H444" s="641"/>
      <c r="I444" s="641"/>
      <c r="J444" s="641"/>
      <c r="K444" s="641"/>
      <c r="L444" s="73"/>
      <c r="M444" s="72"/>
      <c r="N444" s="72"/>
      <c r="O444" s="642"/>
      <c r="P444" s="642"/>
      <c r="Q444" s="74"/>
      <c r="R444" s="641"/>
      <c r="S444" s="641"/>
      <c r="T444" s="72"/>
      <c r="U444" s="72"/>
      <c r="V444" s="72"/>
      <c r="W444" s="72"/>
      <c r="X444" s="72"/>
      <c r="Y444" s="72"/>
      <c r="Z444" s="72"/>
      <c r="AA444" s="73"/>
      <c r="AB444" s="72"/>
      <c r="AC444" s="641"/>
      <c r="AD444" s="72"/>
      <c r="AE444" s="641"/>
      <c r="AF444" s="641"/>
      <c r="AG444" s="72"/>
      <c r="AH444" s="72"/>
      <c r="AI444" s="72"/>
      <c r="AJ444" s="72"/>
      <c r="AK444" s="72"/>
      <c r="AL444" s="72"/>
      <c r="AM444" s="72"/>
      <c r="AN444" s="73"/>
      <c r="AO444" s="641"/>
      <c r="AP444" s="641"/>
      <c r="AQ444" s="641"/>
      <c r="AR444" s="641"/>
      <c r="AS444" s="641"/>
      <c r="AT444" s="641"/>
      <c r="AU444" s="72"/>
      <c r="AV444" s="73"/>
      <c r="AW444" s="643"/>
      <c r="AX444" s="643"/>
      <c r="AY444" s="643"/>
      <c r="AZ444" s="75"/>
      <c r="BA444" s="75"/>
      <c r="BB444" s="75"/>
    </row>
    <row r="445" spans="2:54" s="560" customFormat="1" ht="16.5" customHeight="1">
      <c r="B445" s="72"/>
      <c r="C445" s="72"/>
      <c r="D445" s="72"/>
      <c r="E445" s="73"/>
      <c r="F445" s="641"/>
      <c r="G445" s="73"/>
      <c r="H445" s="641"/>
      <c r="I445" s="641"/>
      <c r="J445" s="641"/>
      <c r="K445" s="641"/>
      <c r="L445" s="73"/>
      <c r="M445" s="72"/>
      <c r="N445" s="72"/>
      <c r="O445" s="642"/>
      <c r="P445" s="642"/>
      <c r="Q445" s="74"/>
      <c r="R445" s="641"/>
      <c r="S445" s="641"/>
      <c r="T445" s="72"/>
      <c r="U445" s="72"/>
      <c r="V445" s="72"/>
      <c r="W445" s="72"/>
      <c r="X445" s="72"/>
      <c r="Y445" s="72"/>
      <c r="Z445" s="72"/>
      <c r="AA445" s="73"/>
      <c r="AB445" s="72"/>
      <c r="AC445" s="641"/>
      <c r="AD445" s="72"/>
      <c r="AE445" s="641"/>
      <c r="AF445" s="641"/>
      <c r="AG445" s="72"/>
      <c r="AH445" s="72"/>
      <c r="AI445" s="72"/>
      <c r="AJ445" s="72"/>
      <c r="AK445" s="72"/>
      <c r="AL445" s="72"/>
      <c r="AM445" s="72"/>
      <c r="AN445" s="73"/>
      <c r="AO445" s="641"/>
      <c r="AP445" s="641"/>
      <c r="AQ445" s="641"/>
      <c r="AR445" s="641"/>
      <c r="AS445" s="641"/>
      <c r="AT445" s="641"/>
      <c r="AU445" s="72"/>
      <c r="AV445" s="73"/>
      <c r="AW445" s="643"/>
      <c r="AX445" s="643"/>
      <c r="AY445" s="643"/>
      <c r="AZ445" s="75"/>
      <c r="BA445" s="75"/>
      <c r="BB445" s="75"/>
    </row>
    <row r="446" spans="2:54" s="560" customFormat="1" ht="16.5" customHeight="1">
      <c r="B446" s="72"/>
      <c r="C446" s="72"/>
      <c r="D446" s="72"/>
      <c r="E446" s="73"/>
      <c r="F446" s="641"/>
      <c r="G446" s="73"/>
      <c r="H446" s="641"/>
      <c r="I446" s="641"/>
      <c r="J446" s="641"/>
      <c r="K446" s="641"/>
      <c r="L446" s="73"/>
      <c r="M446" s="72"/>
      <c r="N446" s="72"/>
      <c r="O446" s="642"/>
      <c r="P446" s="642"/>
      <c r="Q446" s="74"/>
      <c r="R446" s="641"/>
      <c r="S446" s="641"/>
      <c r="T446" s="72"/>
      <c r="U446" s="72"/>
      <c r="V446" s="72"/>
      <c r="W446" s="72"/>
      <c r="X446" s="72"/>
      <c r="Y446" s="72"/>
      <c r="Z446" s="72"/>
      <c r="AA446" s="73"/>
      <c r="AB446" s="72"/>
      <c r="AC446" s="641"/>
      <c r="AD446" s="72"/>
      <c r="AE446" s="641"/>
      <c r="AF446" s="641"/>
      <c r="AG446" s="72"/>
      <c r="AH446" s="72"/>
      <c r="AI446" s="72"/>
      <c r="AJ446" s="72"/>
      <c r="AK446" s="72"/>
      <c r="AL446" s="72"/>
      <c r="AM446" s="72"/>
      <c r="AN446" s="73"/>
      <c r="AO446" s="641"/>
      <c r="AP446" s="641"/>
      <c r="AQ446" s="641"/>
      <c r="AR446" s="641"/>
      <c r="AS446" s="641"/>
      <c r="AT446" s="641"/>
      <c r="AU446" s="72"/>
      <c r="AV446" s="73"/>
      <c r="AW446" s="643"/>
      <c r="AX446" s="643"/>
      <c r="AY446" s="643"/>
      <c r="AZ446" s="75"/>
      <c r="BA446" s="75"/>
      <c r="BB446" s="75"/>
    </row>
    <row r="447" spans="2:54" s="560" customFormat="1" ht="16.5" customHeight="1">
      <c r="B447" s="72"/>
      <c r="C447" s="72"/>
      <c r="D447" s="72"/>
      <c r="E447" s="73"/>
      <c r="F447" s="641"/>
      <c r="G447" s="73"/>
      <c r="H447" s="641"/>
      <c r="I447" s="641"/>
      <c r="J447" s="641"/>
      <c r="K447" s="641"/>
      <c r="L447" s="73"/>
      <c r="M447" s="72"/>
      <c r="N447" s="72"/>
      <c r="O447" s="642"/>
      <c r="P447" s="642"/>
      <c r="Q447" s="74"/>
      <c r="R447" s="641"/>
      <c r="S447" s="641"/>
      <c r="T447" s="72"/>
      <c r="U447" s="72"/>
      <c r="V447" s="72"/>
      <c r="W447" s="72"/>
      <c r="X447" s="72"/>
      <c r="Y447" s="72"/>
      <c r="Z447" s="72"/>
      <c r="AA447" s="73"/>
      <c r="AB447" s="72"/>
      <c r="AC447" s="641"/>
      <c r="AD447" s="72"/>
      <c r="AE447" s="641"/>
      <c r="AF447" s="641"/>
      <c r="AG447" s="72"/>
      <c r="AH447" s="72"/>
      <c r="AI447" s="72"/>
      <c r="AJ447" s="72"/>
      <c r="AK447" s="72"/>
      <c r="AL447" s="72"/>
      <c r="AM447" s="72"/>
      <c r="AN447" s="73"/>
      <c r="AO447" s="641"/>
      <c r="AP447" s="641"/>
      <c r="AQ447" s="641"/>
      <c r="AR447" s="641"/>
      <c r="AS447" s="641"/>
      <c r="AT447" s="641"/>
      <c r="AU447" s="72"/>
      <c r="AV447" s="73"/>
      <c r="AW447" s="643"/>
      <c r="AX447" s="643"/>
      <c r="AY447" s="643"/>
      <c r="AZ447" s="75"/>
      <c r="BA447" s="75"/>
      <c r="BB447" s="75"/>
    </row>
    <row r="448" spans="2:54" s="560" customFormat="1" ht="16.5" customHeight="1">
      <c r="B448" s="72"/>
      <c r="C448" s="72"/>
      <c r="D448" s="72"/>
      <c r="E448" s="73"/>
      <c r="F448" s="641"/>
      <c r="G448" s="73"/>
      <c r="H448" s="641"/>
      <c r="I448" s="641"/>
      <c r="J448" s="641"/>
      <c r="K448" s="641"/>
      <c r="L448" s="73"/>
      <c r="M448" s="72"/>
      <c r="N448" s="72"/>
      <c r="O448" s="642"/>
      <c r="P448" s="642"/>
      <c r="Q448" s="74"/>
      <c r="R448" s="641"/>
      <c r="S448" s="641"/>
      <c r="T448" s="72"/>
      <c r="U448" s="72"/>
      <c r="V448" s="72"/>
      <c r="W448" s="72"/>
      <c r="X448" s="72"/>
      <c r="Y448" s="72"/>
      <c r="Z448" s="72"/>
      <c r="AA448" s="73"/>
      <c r="AB448" s="72"/>
      <c r="AC448" s="641"/>
      <c r="AD448" s="72"/>
      <c r="AE448" s="641"/>
      <c r="AF448" s="641"/>
      <c r="AG448" s="72"/>
      <c r="AH448" s="72"/>
      <c r="AI448" s="72"/>
      <c r="AJ448" s="72"/>
      <c r="AK448" s="72"/>
      <c r="AL448" s="72"/>
      <c r="AM448" s="72"/>
      <c r="AN448" s="73"/>
      <c r="AO448" s="641"/>
      <c r="AP448" s="641"/>
      <c r="AQ448" s="641"/>
      <c r="AR448" s="641"/>
      <c r="AS448" s="641"/>
      <c r="AT448" s="641"/>
      <c r="AU448" s="72"/>
      <c r="AV448" s="73"/>
      <c r="AW448" s="643"/>
      <c r="AX448" s="643"/>
      <c r="AY448" s="643"/>
      <c r="AZ448" s="75"/>
      <c r="BA448" s="75"/>
      <c r="BB448" s="75"/>
    </row>
    <row r="449" spans="2:54" s="560" customFormat="1" ht="16.5" customHeight="1">
      <c r="B449" s="72"/>
      <c r="C449" s="72"/>
      <c r="D449" s="72"/>
      <c r="E449" s="73"/>
      <c r="F449" s="641"/>
      <c r="G449" s="73"/>
      <c r="H449" s="641"/>
      <c r="I449" s="641"/>
      <c r="J449" s="641"/>
      <c r="K449" s="641"/>
      <c r="L449" s="73"/>
      <c r="M449" s="72"/>
      <c r="N449" s="72"/>
      <c r="O449" s="642"/>
      <c r="P449" s="642"/>
      <c r="Q449" s="74"/>
      <c r="R449" s="641"/>
      <c r="S449" s="641"/>
      <c r="T449" s="72"/>
      <c r="U449" s="72"/>
      <c r="V449" s="72"/>
      <c r="W449" s="72"/>
      <c r="X449" s="72"/>
      <c r="Y449" s="72"/>
      <c r="Z449" s="72"/>
      <c r="AA449" s="73"/>
      <c r="AB449" s="72"/>
      <c r="AC449" s="641"/>
      <c r="AD449" s="72"/>
      <c r="AE449" s="641"/>
      <c r="AF449" s="641"/>
      <c r="AG449" s="72"/>
      <c r="AH449" s="72"/>
      <c r="AI449" s="72"/>
      <c r="AJ449" s="72"/>
      <c r="AK449" s="72"/>
      <c r="AL449" s="72"/>
      <c r="AM449" s="72"/>
      <c r="AN449" s="73"/>
      <c r="AO449" s="641"/>
      <c r="AP449" s="641"/>
      <c r="AQ449" s="641"/>
      <c r="AR449" s="641"/>
      <c r="AS449" s="641"/>
      <c r="AT449" s="641"/>
      <c r="AU449" s="72"/>
      <c r="AV449" s="73"/>
      <c r="AW449" s="643"/>
      <c r="AX449" s="643"/>
      <c r="AY449" s="643"/>
      <c r="AZ449" s="75"/>
      <c r="BA449" s="75"/>
      <c r="BB449" s="75"/>
    </row>
    <row r="450" spans="2:54" s="560" customFormat="1" ht="16.5" customHeight="1">
      <c r="B450" s="72"/>
      <c r="C450" s="72"/>
      <c r="D450" s="72"/>
      <c r="E450" s="73"/>
      <c r="F450" s="641"/>
      <c r="G450" s="73"/>
      <c r="H450" s="641"/>
      <c r="I450" s="641"/>
      <c r="J450" s="641"/>
      <c r="K450" s="641"/>
      <c r="L450" s="73"/>
      <c r="M450" s="72"/>
      <c r="N450" s="72"/>
      <c r="O450" s="642"/>
      <c r="P450" s="642"/>
      <c r="Q450" s="74"/>
      <c r="R450" s="641"/>
      <c r="S450" s="641"/>
      <c r="T450" s="72"/>
      <c r="U450" s="72"/>
      <c r="V450" s="72"/>
      <c r="W450" s="72"/>
      <c r="X450" s="72"/>
      <c r="Y450" s="72"/>
      <c r="Z450" s="72"/>
      <c r="AA450" s="73"/>
      <c r="AB450" s="72"/>
      <c r="AC450" s="641"/>
      <c r="AD450" s="72"/>
      <c r="AE450" s="641"/>
      <c r="AF450" s="641"/>
      <c r="AG450" s="72"/>
      <c r="AH450" s="72"/>
      <c r="AI450" s="72"/>
      <c r="AJ450" s="72"/>
      <c r="AK450" s="72"/>
      <c r="AL450" s="72"/>
      <c r="AM450" s="72"/>
      <c r="AN450" s="73"/>
      <c r="AO450" s="641"/>
      <c r="AP450" s="641"/>
      <c r="AQ450" s="641"/>
      <c r="AR450" s="641"/>
      <c r="AS450" s="641"/>
      <c r="AT450" s="641"/>
      <c r="AU450" s="72"/>
      <c r="AV450" s="73"/>
      <c r="AW450" s="643"/>
      <c r="AX450" s="643"/>
      <c r="AY450" s="643"/>
      <c r="AZ450" s="75"/>
      <c r="BA450" s="75"/>
      <c r="BB450" s="75"/>
    </row>
    <row r="451" spans="2:54" s="560" customFormat="1" ht="16.5" customHeight="1">
      <c r="B451" s="72"/>
      <c r="C451" s="72"/>
      <c r="D451" s="72"/>
      <c r="E451" s="73"/>
      <c r="F451" s="641"/>
      <c r="G451" s="73"/>
      <c r="H451" s="641"/>
      <c r="I451" s="641"/>
      <c r="J451" s="641"/>
      <c r="K451" s="641"/>
      <c r="L451" s="73"/>
      <c r="M451" s="72"/>
      <c r="N451" s="72"/>
      <c r="O451" s="642"/>
      <c r="P451" s="642"/>
      <c r="Q451" s="74"/>
      <c r="R451" s="641"/>
      <c r="S451" s="641"/>
      <c r="T451" s="72"/>
      <c r="U451" s="72"/>
      <c r="V451" s="72"/>
      <c r="W451" s="72"/>
      <c r="X451" s="72"/>
      <c r="Y451" s="72"/>
      <c r="Z451" s="72"/>
      <c r="AA451" s="73"/>
      <c r="AB451" s="72"/>
      <c r="AC451" s="641"/>
      <c r="AD451" s="72"/>
      <c r="AE451" s="641"/>
      <c r="AF451" s="641"/>
      <c r="AG451" s="72"/>
      <c r="AH451" s="72"/>
      <c r="AI451" s="72"/>
      <c r="AJ451" s="72"/>
      <c r="AK451" s="72"/>
      <c r="AL451" s="72"/>
      <c r="AM451" s="72"/>
      <c r="AN451" s="73"/>
      <c r="AO451" s="641"/>
      <c r="AP451" s="641"/>
      <c r="AQ451" s="641"/>
      <c r="AR451" s="641"/>
      <c r="AS451" s="641"/>
      <c r="AT451" s="641"/>
      <c r="AU451" s="72"/>
      <c r="AV451" s="73"/>
      <c r="AW451" s="643"/>
      <c r="AX451" s="643"/>
      <c r="AY451" s="643"/>
      <c r="AZ451" s="75"/>
      <c r="BA451" s="75"/>
      <c r="BB451" s="75"/>
    </row>
    <row r="452" spans="2:54" s="560" customFormat="1" ht="16.5" customHeight="1">
      <c r="B452" s="72"/>
      <c r="C452" s="72"/>
      <c r="D452" s="72"/>
      <c r="E452" s="73"/>
      <c r="F452" s="641"/>
      <c r="G452" s="73"/>
      <c r="H452" s="641"/>
      <c r="I452" s="641"/>
      <c r="J452" s="641"/>
      <c r="K452" s="641"/>
      <c r="L452" s="73"/>
      <c r="M452" s="72"/>
      <c r="N452" s="72"/>
      <c r="O452" s="642"/>
      <c r="P452" s="642"/>
      <c r="Q452" s="74"/>
      <c r="R452" s="641"/>
      <c r="S452" s="641"/>
      <c r="T452" s="72"/>
      <c r="U452" s="72"/>
      <c r="V452" s="72"/>
      <c r="W452" s="72"/>
      <c r="X452" s="72"/>
      <c r="Y452" s="72"/>
      <c r="Z452" s="72"/>
      <c r="AA452" s="73"/>
      <c r="AB452" s="72"/>
      <c r="AC452" s="641"/>
      <c r="AD452" s="72"/>
      <c r="AE452" s="641"/>
      <c r="AF452" s="641"/>
      <c r="AG452" s="72"/>
      <c r="AH452" s="72"/>
      <c r="AI452" s="72"/>
      <c r="AJ452" s="72"/>
      <c r="AK452" s="72"/>
      <c r="AL452" s="72"/>
      <c r="AM452" s="72"/>
      <c r="AN452" s="73"/>
      <c r="AO452" s="641"/>
      <c r="AP452" s="641"/>
      <c r="AQ452" s="641"/>
      <c r="AR452" s="641"/>
      <c r="AS452" s="641"/>
      <c r="AT452" s="641"/>
      <c r="AU452" s="72"/>
      <c r="AV452" s="73"/>
      <c r="AW452" s="643"/>
      <c r="AX452" s="643"/>
      <c r="AY452" s="643"/>
      <c r="AZ452" s="75"/>
      <c r="BA452" s="75"/>
      <c r="BB452" s="75"/>
    </row>
    <row r="453" spans="2:54" s="560" customFormat="1" ht="16.5" customHeight="1">
      <c r="B453" s="72"/>
      <c r="C453" s="72"/>
      <c r="D453" s="72"/>
      <c r="E453" s="73"/>
      <c r="F453" s="641"/>
      <c r="G453" s="73"/>
      <c r="H453" s="641"/>
      <c r="I453" s="641"/>
      <c r="J453" s="641"/>
      <c r="K453" s="641"/>
      <c r="L453" s="73"/>
      <c r="M453" s="72"/>
      <c r="N453" s="72"/>
      <c r="O453" s="642"/>
      <c r="P453" s="642"/>
      <c r="Q453" s="74"/>
      <c r="R453" s="641"/>
      <c r="S453" s="641"/>
      <c r="T453" s="72"/>
      <c r="U453" s="72"/>
      <c r="V453" s="72"/>
      <c r="W453" s="72"/>
      <c r="X453" s="72"/>
      <c r="Y453" s="72"/>
      <c r="Z453" s="72"/>
      <c r="AA453" s="73"/>
      <c r="AB453" s="72"/>
      <c r="AC453" s="641"/>
      <c r="AD453" s="72"/>
      <c r="AE453" s="641"/>
      <c r="AF453" s="641"/>
      <c r="AG453" s="72"/>
      <c r="AH453" s="72"/>
      <c r="AI453" s="72"/>
      <c r="AJ453" s="72"/>
      <c r="AK453" s="72"/>
      <c r="AL453" s="72"/>
      <c r="AM453" s="72"/>
      <c r="AN453" s="73"/>
      <c r="AO453" s="641"/>
      <c r="AP453" s="641"/>
      <c r="AQ453" s="641"/>
      <c r="AR453" s="641"/>
      <c r="AS453" s="641"/>
      <c r="AT453" s="641"/>
      <c r="AU453" s="72"/>
      <c r="AV453" s="73"/>
      <c r="AW453" s="643"/>
      <c r="AX453" s="643"/>
      <c r="AY453" s="643"/>
      <c r="AZ453" s="75"/>
      <c r="BA453" s="75"/>
      <c r="BB453" s="75"/>
    </row>
    <row r="454" spans="2:54" s="560" customFormat="1" ht="16.5" customHeight="1">
      <c r="B454" s="72"/>
      <c r="C454" s="72"/>
      <c r="D454" s="72"/>
      <c r="E454" s="73"/>
      <c r="F454" s="641"/>
      <c r="G454" s="73"/>
      <c r="H454" s="641"/>
      <c r="I454" s="641"/>
      <c r="J454" s="641"/>
      <c r="K454" s="641"/>
      <c r="L454" s="73"/>
      <c r="M454" s="72"/>
      <c r="N454" s="72"/>
      <c r="O454" s="642"/>
      <c r="P454" s="642"/>
      <c r="Q454" s="74"/>
      <c r="R454" s="641"/>
      <c r="S454" s="641"/>
      <c r="T454" s="72"/>
      <c r="U454" s="72"/>
      <c r="V454" s="72"/>
      <c r="W454" s="72"/>
      <c r="X454" s="72"/>
      <c r="Y454" s="72"/>
      <c r="Z454" s="72"/>
      <c r="AA454" s="73"/>
      <c r="AB454" s="72"/>
      <c r="AC454" s="641"/>
      <c r="AD454" s="72"/>
      <c r="AE454" s="641"/>
      <c r="AF454" s="641"/>
      <c r="AG454" s="72"/>
      <c r="AH454" s="72"/>
      <c r="AI454" s="72"/>
      <c r="AJ454" s="72"/>
      <c r="AK454" s="72"/>
      <c r="AL454" s="72"/>
      <c r="AM454" s="72"/>
      <c r="AN454" s="73"/>
      <c r="AO454" s="641"/>
      <c r="AP454" s="641"/>
      <c r="AQ454" s="641"/>
      <c r="AR454" s="641"/>
      <c r="AS454" s="641"/>
      <c r="AT454" s="641"/>
      <c r="AU454" s="72"/>
      <c r="AV454" s="73"/>
      <c r="AW454" s="643"/>
      <c r="AX454" s="643"/>
      <c r="AY454" s="643"/>
      <c r="AZ454" s="75"/>
      <c r="BA454" s="75"/>
      <c r="BB454" s="75"/>
    </row>
    <row r="455" spans="2:54" s="560" customFormat="1" ht="16.5" customHeight="1">
      <c r="B455" s="72"/>
      <c r="C455" s="72"/>
      <c r="D455" s="72"/>
      <c r="E455" s="73"/>
      <c r="F455" s="641"/>
      <c r="G455" s="73"/>
      <c r="H455" s="641"/>
      <c r="I455" s="641"/>
      <c r="J455" s="641"/>
      <c r="K455" s="641"/>
      <c r="L455" s="73"/>
      <c r="M455" s="72"/>
      <c r="N455" s="72"/>
      <c r="O455" s="642"/>
      <c r="P455" s="642"/>
      <c r="Q455" s="74"/>
      <c r="R455" s="641"/>
      <c r="S455" s="641"/>
      <c r="T455" s="72"/>
      <c r="U455" s="72"/>
      <c r="V455" s="72"/>
      <c r="W455" s="72"/>
      <c r="X455" s="72"/>
      <c r="Y455" s="72"/>
      <c r="Z455" s="72"/>
      <c r="AA455" s="73"/>
      <c r="AB455" s="72"/>
      <c r="AC455" s="641"/>
      <c r="AD455" s="72"/>
      <c r="AE455" s="641"/>
      <c r="AF455" s="641"/>
      <c r="AG455" s="72"/>
      <c r="AH455" s="72"/>
      <c r="AI455" s="72"/>
      <c r="AJ455" s="72"/>
      <c r="AK455" s="72"/>
      <c r="AL455" s="72"/>
      <c r="AM455" s="72"/>
      <c r="AN455" s="73"/>
      <c r="AO455" s="641"/>
      <c r="AP455" s="641"/>
      <c r="AQ455" s="641"/>
      <c r="AR455" s="641"/>
      <c r="AS455" s="641"/>
      <c r="AT455" s="641"/>
      <c r="AU455" s="72"/>
      <c r="AV455" s="73"/>
      <c r="AW455" s="643"/>
      <c r="AX455" s="643"/>
      <c r="AY455" s="643"/>
      <c r="AZ455" s="75"/>
      <c r="BA455" s="75"/>
      <c r="BB455" s="75"/>
    </row>
    <row r="456" spans="2:54" s="560" customFormat="1" ht="16.5" customHeight="1">
      <c r="B456" s="72"/>
      <c r="C456" s="72"/>
      <c r="D456" s="72"/>
      <c r="E456" s="73"/>
      <c r="F456" s="641"/>
      <c r="G456" s="73"/>
      <c r="H456" s="641"/>
      <c r="I456" s="641"/>
      <c r="J456" s="641"/>
      <c r="K456" s="641"/>
      <c r="L456" s="73"/>
      <c r="M456" s="72"/>
      <c r="N456" s="72"/>
      <c r="O456" s="642"/>
      <c r="P456" s="642"/>
      <c r="Q456" s="74"/>
      <c r="R456" s="641"/>
      <c r="S456" s="641"/>
      <c r="T456" s="72"/>
      <c r="U456" s="72"/>
      <c r="V456" s="72"/>
      <c r="W456" s="72"/>
      <c r="X456" s="72"/>
      <c r="Y456" s="72"/>
      <c r="Z456" s="72"/>
      <c r="AA456" s="73"/>
      <c r="AB456" s="72"/>
      <c r="AC456" s="641"/>
      <c r="AD456" s="72"/>
      <c r="AE456" s="641"/>
      <c r="AF456" s="641"/>
      <c r="AG456" s="72"/>
      <c r="AH456" s="72"/>
      <c r="AI456" s="72"/>
      <c r="AJ456" s="72"/>
      <c r="AK456" s="72"/>
      <c r="AL456" s="72"/>
      <c r="AM456" s="72"/>
      <c r="AN456" s="73"/>
      <c r="AO456" s="641"/>
      <c r="AP456" s="641"/>
      <c r="AQ456" s="641"/>
      <c r="AR456" s="641"/>
      <c r="AS456" s="641"/>
      <c r="AT456" s="641"/>
      <c r="AU456" s="72"/>
      <c r="AV456" s="73"/>
      <c r="AW456" s="643"/>
      <c r="AX456" s="643"/>
      <c r="AY456" s="643"/>
      <c r="AZ456" s="75"/>
      <c r="BA456" s="75"/>
      <c r="BB456" s="75"/>
    </row>
    <row r="457" spans="2:54" s="560" customFormat="1" ht="16.5" customHeight="1">
      <c r="B457" s="72"/>
      <c r="C457" s="72"/>
      <c r="D457" s="72"/>
      <c r="E457" s="73"/>
      <c r="F457" s="641"/>
      <c r="G457" s="73"/>
      <c r="H457" s="641"/>
      <c r="I457" s="641"/>
      <c r="J457" s="641"/>
      <c r="K457" s="641"/>
      <c r="L457" s="73"/>
      <c r="M457" s="72"/>
      <c r="N457" s="72"/>
      <c r="O457" s="642"/>
      <c r="P457" s="642"/>
      <c r="Q457" s="74"/>
      <c r="R457" s="641"/>
      <c r="S457" s="641"/>
      <c r="T457" s="72"/>
      <c r="U457" s="72"/>
      <c r="V457" s="72"/>
      <c r="W457" s="72"/>
      <c r="X457" s="72"/>
      <c r="Y457" s="72"/>
      <c r="Z457" s="72"/>
      <c r="AA457" s="73"/>
      <c r="AB457" s="72"/>
      <c r="AC457" s="641"/>
      <c r="AD457" s="72"/>
      <c r="AE457" s="641"/>
      <c r="AF457" s="641"/>
      <c r="AG457" s="72"/>
      <c r="AH457" s="72"/>
      <c r="AI457" s="72"/>
      <c r="AJ457" s="72"/>
      <c r="AK457" s="72"/>
      <c r="AL457" s="72"/>
      <c r="AM457" s="72"/>
      <c r="AN457" s="73"/>
      <c r="AO457" s="641"/>
      <c r="AP457" s="641"/>
      <c r="AQ457" s="641"/>
      <c r="AR457" s="641"/>
      <c r="AS457" s="641"/>
      <c r="AT457" s="641"/>
      <c r="AU457" s="72"/>
      <c r="AV457" s="73"/>
      <c r="AW457" s="643"/>
      <c r="AX457" s="643"/>
      <c r="AY457" s="643"/>
      <c r="AZ457" s="75"/>
      <c r="BA457" s="75"/>
      <c r="BB457" s="75"/>
    </row>
    <row r="458" spans="2:54" s="560" customFormat="1" ht="16.5" customHeight="1">
      <c r="B458" s="72"/>
      <c r="C458" s="72"/>
      <c r="D458" s="72"/>
      <c r="E458" s="73"/>
      <c r="F458" s="641"/>
      <c r="G458" s="73"/>
      <c r="H458" s="641"/>
      <c r="I458" s="641"/>
      <c r="J458" s="641"/>
      <c r="K458" s="641"/>
      <c r="L458" s="73"/>
      <c r="M458" s="72"/>
      <c r="N458" s="72"/>
      <c r="O458" s="642"/>
      <c r="P458" s="642"/>
      <c r="Q458" s="74"/>
      <c r="R458" s="641"/>
      <c r="S458" s="641"/>
      <c r="T458" s="72"/>
      <c r="U458" s="72"/>
      <c r="V458" s="72"/>
      <c r="W458" s="72"/>
      <c r="X458" s="72"/>
      <c r="Y458" s="72"/>
      <c r="Z458" s="72"/>
      <c r="AA458" s="73"/>
      <c r="AB458" s="72"/>
      <c r="AC458" s="641"/>
      <c r="AD458" s="72"/>
      <c r="AE458" s="641"/>
      <c r="AF458" s="641"/>
      <c r="AG458" s="72"/>
      <c r="AH458" s="72"/>
      <c r="AI458" s="72"/>
      <c r="AJ458" s="72"/>
      <c r="AK458" s="72"/>
      <c r="AL458" s="72"/>
      <c r="AM458" s="72"/>
      <c r="AN458" s="73"/>
      <c r="AO458" s="641"/>
      <c r="AP458" s="641"/>
      <c r="AQ458" s="641"/>
      <c r="AR458" s="641"/>
      <c r="AS458" s="641"/>
      <c r="AT458" s="641"/>
      <c r="AU458" s="72"/>
      <c r="AV458" s="73"/>
      <c r="AW458" s="643"/>
      <c r="AX458" s="643"/>
      <c r="AY458" s="643"/>
      <c r="AZ458" s="75"/>
      <c r="BA458" s="75"/>
      <c r="BB458" s="75"/>
    </row>
    <row r="459" spans="2:54" s="560" customFormat="1" ht="16.5" customHeight="1">
      <c r="B459" s="72"/>
      <c r="C459" s="72"/>
      <c r="D459" s="72"/>
      <c r="E459" s="73"/>
      <c r="F459" s="641"/>
      <c r="G459" s="73"/>
      <c r="H459" s="641"/>
      <c r="I459" s="641"/>
      <c r="J459" s="641"/>
      <c r="K459" s="641"/>
      <c r="L459" s="73"/>
      <c r="M459" s="72"/>
      <c r="N459" s="72"/>
      <c r="O459" s="642"/>
      <c r="P459" s="642"/>
      <c r="Q459" s="74"/>
      <c r="R459" s="641"/>
      <c r="S459" s="641"/>
      <c r="T459" s="72"/>
      <c r="U459" s="72"/>
      <c r="V459" s="72"/>
      <c r="W459" s="72"/>
      <c r="X459" s="72"/>
      <c r="Y459" s="72"/>
      <c r="Z459" s="72"/>
      <c r="AA459" s="73"/>
      <c r="AB459" s="72"/>
      <c r="AC459" s="641"/>
      <c r="AD459" s="72"/>
      <c r="AE459" s="641"/>
      <c r="AF459" s="641"/>
      <c r="AG459" s="72"/>
      <c r="AH459" s="72"/>
      <c r="AI459" s="72"/>
      <c r="AJ459" s="72"/>
      <c r="AK459" s="72"/>
      <c r="AL459" s="72"/>
      <c r="AM459" s="72"/>
      <c r="AN459" s="73"/>
      <c r="AO459" s="641"/>
      <c r="AP459" s="641"/>
      <c r="AQ459" s="641"/>
      <c r="AR459" s="641"/>
      <c r="AS459" s="641"/>
      <c r="AT459" s="641"/>
      <c r="AU459" s="72"/>
      <c r="AV459" s="73"/>
      <c r="AW459" s="643"/>
      <c r="AX459" s="643"/>
      <c r="AY459" s="643"/>
      <c r="AZ459" s="75"/>
      <c r="BA459" s="75"/>
      <c r="BB459" s="75"/>
    </row>
    <row r="460" spans="2:54" s="560" customFormat="1" ht="16.5" customHeight="1">
      <c r="B460" s="72"/>
      <c r="C460" s="72"/>
      <c r="D460" s="72"/>
      <c r="E460" s="73"/>
      <c r="F460" s="641"/>
      <c r="G460" s="73"/>
      <c r="H460" s="641"/>
      <c r="I460" s="641"/>
      <c r="J460" s="641"/>
      <c r="K460" s="641"/>
      <c r="L460" s="73"/>
      <c r="M460" s="72"/>
      <c r="N460" s="72"/>
      <c r="O460" s="642"/>
      <c r="P460" s="642"/>
      <c r="Q460" s="74"/>
      <c r="R460" s="641"/>
      <c r="S460" s="641"/>
      <c r="T460" s="72"/>
      <c r="U460" s="72"/>
      <c r="V460" s="72"/>
      <c r="W460" s="72"/>
      <c r="X460" s="72"/>
      <c r="Y460" s="72"/>
      <c r="Z460" s="72"/>
      <c r="AA460" s="73"/>
      <c r="AB460" s="72"/>
      <c r="AC460" s="641"/>
      <c r="AD460" s="72"/>
      <c r="AE460" s="641"/>
      <c r="AF460" s="641"/>
      <c r="AG460" s="72"/>
      <c r="AH460" s="72"/>
      <c r="AI460" s="72"/>
      <c r="AJ460" s="72"/>
      <c r="AK460" s="72"/>
      <c r="AL460" s="72"/>
      <c r="AM460" s="72"/>
      <c r="AN460" s="73"/>
      <c r="AO460" s="641"/>
      <c r="AP460" s="641"/>
      <c r="AQ460" s="641"/>
      <c r="AR460" s="641"/>
      <c r="AS460" s="641"/>
      <c r="AT460" s="641"/>
      <c r="AU460" s="72"/>
      <c r="AV460" s="73"/>
      <c r="AW460" s="643"/>
      <c r="AX460" s="643"/>
      <c r="AY460" s="643"/>
      <c r="AZ460" s="75"/>
      <c r="BA460" s="75"/>
      <c r="BB460" s="75"/>
    </row>
    <row r="461" spans="2:54" s="560" customFormat="1" ht="16.5" customHeight="1">
      <c r="B461" s="72"/>
      <c r="C461" s="72"/>
      <c r="D461" s="72"/>
      <c r="E461" s="73"/>
      <c r="F461" s="641"/>
      <c r="G461" s="73"/>
      <c r="H461" s="641"/>
      <c r="I461" s="641"/>
      <c r="J461" s="641"/>
      <c r="K461" s="641"/>
      <c r="L461" s="73"/>
      <c r="M461" s="72"/>
      <c r="N461" s="72"/>
      <c r="O461" s="642"/>
      <c r="P461" s="642"/>
      <c r="Q461" s="74"/>
      <c r="R461" s="641"/>
      <c r="S461" s="641"/>
      <c r="T461" s="72"/>
      <c r="U461" s="72"/>
      <c r="V461" s="72"/>
      <c r="W461" s="72"/>
      <c r="X461" s="72"/>
      <c r="Y461" s="72"/>
      <c r="Z461" s="72"/>
      <c r="AA461" s="73"/>
      <c r="AB461" s="72"/>
      <c r="AC461" s="641"/>
      <c r="AD461" s="72"/>
      <c r="AE461" s="641"/>
      <c r="AF461" s="641"/>
      <c r="AG461" s="72"/>
      <c r="AH461" s="72"/>
      <c r="AI461" s="72"/>
      <c r="AJ461" s="72"/>
      <c r="AK461" s="72"/>
      <c r="AL461" s="72"/>
      <c r="AM461" s="72"/>
      <c r="AN461" s="73"/>
      <c r="AO461" s="641"/>
      <c r="AP461" s="641"/>
      <c r="AQ461" s="641"/>
      <c r="AR461" s="641"/>
      <c r="AS461" s="641"/>
      <c r="AT461" s="641"/>
      <c r="AU461" s="72"/>
      <c r="AV461" s="73"/>
      <c r="AW461" s="643"/>
      <c r="AX461" s="643"/>
      <c r="AY461" s="643"/>
      <c r="AZ461" s="75"/>
      <c r="BA461" s="75"/>
      <c r="BB461" s="75"/>
    </row>
    <row r="462" spans="2:54" s="560" customFormat="1" ht="16.5" customHeight="1">
      <c r="B462" s="72"/>
      <c r="C462" s="72"/>
      <c r="D462" s="72"/>
      <c r="E462" s="73"/>
      <c r="F462" s="641"/>
      <c r="G462" s="73"/>
      <c r="H462" s="641"/>
      <c r="I462" s="641"/>
      <c r="J462" s="641"/>
      <c r="K462" s="641"/>
      <c r="L462" s="73"/>
      <c r="M462" s="72"/>
      <c r="N462" s="72"/>
      <c r="O462" s="642"/>
      <c r="P462" s="642"/>
      <c r="Q462" s="74"/>
      <c r="R462" s="641"/>
      <c r="S462" s="641"/>
      <c r="T462" s="72"/>
      <c r="U462" s="72"/>
      <c r="V462" s="72"/>
      <c r="W462" s="72"/>
      <c r="X462" s="72"/>
      <c r="Y462" s="72"/>
      <c r="Z462" s="72"/>
      <c r="AA462" s="73"/>
      <c r="AB462" s="72"/>
      <c r="AC462" s="641"/>
      <c r="AD462" s="72"/>
      <c r="AE462" s="641"/>
      <c r="AF462" s="641"/>
      <c r="AG462" s="72"/>
      <c r="AH462" s="72"/>
      <c r="AI462" s="72"/>
      <c r="AJ462" s="72"/>
      <c r="AK462" s="72"/>
      <c r="AL462" s="72"/>
      <c r="AM462" s="72"/>
      <c r="AN462" s="73"/>
      <c r="AO462" s="641"/>
      <c r="AP462" s="641"/>
      <c r="AQ462" s="641"/>
      <c r="AR462" s="641"/>
      <c r="AS462" s="641"/>
      <c r="AT462" s="641"/>
      <c r="AU462" s="72"/>
      <c r="AV462" s="73"/>
      <c r="AW462" s="643"/>
      <c r="AX462" s="643"/>
      <c r="AY462" s="643"/>
      <c r="AZ462" s="75"/>
      <c r="BA462" s="75"/>
      <c r="BB462" s="75"/>
    </row>
    <row r="463" spans="2:54" s="560" customFormat="1" ht="16.5" customHeight="1">
      <c r="B463" s="72"/>
      <c r="C463" s="72"/>
      <c r="D463" s="72"/>
      <c r="E463" s="73"/>
      <c r="F463" s="641"/>
      <c r="G463" s="73"/>
      <c r="H463" s="641"/>
      <c r="I463" s="641"/>
      <c r="J463" s="641"/>
      <c r="K463" s="641"/>
      <c r="L463" s="73"/>
      <c r="M463" s="72"/>
      <c r="N463" s="72"/>
      <c r="O463" s="642"/>
      <c r="P463" s="642"/>
      <c r="Q463" s="74"/>
      <c r="R463" s="641"/>
      <c r="S463" s="641"/>
      <c r="T463" s="72"/>
      <c r="U463" s="72"/>
      <c r="V463" s="72"/>
      <c r="W463" s="72"/>
      <c r="X463" s="72"/>
      <c r="Y463" s="72"/>
      <c r="Z463" s="72"/>
      <c r="AA463" s="73"/>
      <c r="AB463" s="72"/>
      <c r="AC463" s="641"/>
      <c r="AD463" s="72"/>
      <c r="AE463" s="641"/>
      <c r="AF463" s="641"/>
      <c r="AG463" s="72"/>
      <c r="AH463" s="72"/>
      <c r="AI463" s="72"/>
      <c r="AJ463" s="72"/>
      <c r="AK463" s="72"/>
      <c r="AL463" s="72"/>
      <c r="AM463" s="72"/>
      <c r="AN463" s="73"/>
      <c r="AO463" s="641"/>
      <c r="AP463" s="641"/>
      <c r="AQ463" s="641"/>
      <c r="AR463" s="641"/>
      <c r="AS463" s="641"/>
      <c r="AT463" s="641"/>
      <c r="AU463" s="72"/>
      <c r="AV463" s="73"/>
      <c r="AW463" s="643"/>
      <c r="AX463" s="643"/>
      <c r="AY463" s="643"/>
      <c r="AZ463" s="75"/>
      <c r="BA463" s="75"/>
      <c r="BB463" s="75"/>
    </row>
    <row r="464" spans="2:54" s="560" customFormat="1" ht="16.5" customHeight="1">
      <c r="B464" s="72"/>
      <c r="C464" s="72"/>
      <c r="D464" s="72"/>
      <c r="E464" s="73"/>
      <c r="F464" s="641"/>
      <c r="G464" s="73"/>
      <c r="H464" s="641"/>
      <c r="I464" s="641"/>
      <c r="J464" s="641"/>
      <c r="K464" s="641"/>
      <c r="L464" s="73"/>
      <c r="M464" s="72"/>
      <c r="N464" s="72"/>
      <c r="O464" s="642"/>
      <c r="P464" s="642"/>
      <c r="Q464" s="74"/>
      <c r="R464" s="641"/>
      <c r="S464" s="641"/>
      <c r="T464" s="72"/>
      <c r="U464" s="72"/>
      <c r="V464" s="72"/>
      <c r="W464" s="72"/>
      <c r="X464" s="72"/>
      <c r="Y464" s="72"/>
      <c r="Z464" s="72"/>
      <c r="AA464" s="73"/>
      <c r="AB464" s="72"/>
      <c r="AC464" s="641"/>
      <c r="AD464" s="72"/>
      <c r="AE464" s="641"/>
      <c r="AF464" s="641"/>
      <c r="AG464" s="72"/>
      <c r="AH464" s="72"/>
      <c r="AI464" s="72"/>
      <c r="AJ464" s="72"/>
      <c r="AK464" s="72"/>
      <c r="AL464" s="72"/>
      <c r="AM464" s="72"/>
      <c r="AN464" s="73"/>
      <c r="AO464" s="641"/>
      <c r="AP464" s="641"/>
      <c r="AQ464" s="641"/>
      <c r="AR464" s="641"/>
      <c r="AS464" s="641"/>
      <c r="AT464" s="641"/>
      <c r="AU464" s="72"/>
      <c r="AV464" s="73"/>
      <c r="AW464" s="643"/>
      <c r="AX464" s="643"/>
      <c r="AY464" s="643"/>
      <c r="AZ464" s="75"/>
      <c r="BA464" s="75"/>
      <c r="BB464" s="75"/>
    </row>
    <row r="465" spans="2:54" s="560" customFormat="1" ht="16.5" customHeight="1">
      <c r="B465" s="72"/>
      <c r="C465" s="72"/>
      <c r="D465" s="72"/>
      <c r="E465" s="73"/>
      <c r="F465" s="641"/>
      <c r="G465" s="73"/>
      <c r="H465" s="641"/>
      <c r="I465" s="641"/>
      <c r="J465" s="641"/>
      <c r="K465" s="641"/>
      <c r="L465" s="73"/>
      <c r="M465" s="72"/>
      <c r="N465" s="72"/>
      <c r="O465" s="642"/>
      <c r="P465" s="642"/>
      <c r="Q465" s="74"/>
      <c r="R465" s="641"/>
      <c r="S465" s="641"/>
      <c r="T465" s="72"/>
      <c r="U465" s="72"/>
      <c r="V465" s="72"/>
      <c r="W465" s="72"/>
      <c r="X465" s="72"/>
      <c r="Y465" s="72"/>
      <c r="Z465" s="72"/>
      <c r="AA465" s="73"/>
      <c r="AB465" s="72"/>
      <c r="AC465" s="641"/>
      <c r="AD465" s="72"/>
      <c r="AE465" s="641"/>
      <c r="AF465" s="641"/>
      <c r="AG465" s="72"/>
      <c r="AH465" s="72"/>
      <c r="AI465" s="72"/>
      <c r="AJ465" s="72"/>
      <c r="AK465" s="72"/>
      <c r="AL465" s="72"/>
      <c r="AM465" s="72"/>
      <c r="AN465" s="73"/>
      <c r="AO465" s="641"/>
      <c r="AP465" s="641"/>
      <c r="AQ465" s="641"/>
      <c r="AR465" s="641"/>
      <c r="AS465" s="641"/>
      <c r="AT465" s="641"/>
      <c r="AU465" s="72"/>
      <c r="AV465" s="73"/>
      <c r="AW465" s="643"/>
      <c r="AX465" s="643"/>
      <c r="AY465" s="643"/>
      <c r="AZ465" s="75"/>
      <c r="BA465" s="75"/>
      <c r="BB465" s="75"/>
    </row>
    <row r="466" spans="2:54" s="560" customFormat="1" ht="16.5" customHeight="1">
      <c r="B466" s="72"/>
      <c r="C466" s="72"/>
      <c r="D466" s="72"/>
      <c r="E466" s="73"/>
      <c r="F466" s="641"/>
      <c r="G466" s="73"/>
      <c r="H466" s="641"/>
      <c r="I466" s="641"/>
      <c r="J466" s="641"/>
      <c r="K466" s="641"/>
      <c r="L466" s="73"/>
      <c r="M466" s="72"/>
      <c r="N466" s="72"/>
      <c r="O466" s="642"/>
      <c r="P466" s="642"/>
      <c r="Q466" s="74"/>
      <c r="R466" s="641"/>
      <c r="S466" s="641"/>
      <c r="T466" s="72"/>
      <c r="U466" s="72"/>
      <c r="V466" s="72"/>
      <c r="W466" s="72"/>
      <c r="X466" s="72"/>
      <c r="Y466" s="72"/>
      <c r="Z466" s="72"/>
      <c r="AA466" s="73"/>
      <c r="AB466" s="72"/>
      <c r="AC466" s="641"/>
      <c r="AD466" s="72"/>
      <c r="AE466" s="641"/>
      <c r="AF466" s="641"/>
      <c r="AG466" s="72"/>
      <c r="AH466" s="72"/>
      <c r="AI466" s="72"/>
      <c r="AJ466" s="72"/>
      <c r="AK466" s="72"/>
      <c r="AL466" s="72"/>
      <c r="AM466" s="72"/>
      <c r="AN466" s="73"/>
      <c r="AO466" s="641"/>
      <c r="AP466" s="641"/>
      <c r="AQ466" s="641"/>
      <c r="AR466" s="641"/>
      <c r="AS466" s="641"/>
      <c r="AT466" s="641"/>
      <c r="AU466" s="72"/>
      <c r="AV466" s="73"/>
      <c r="AW466" s="643"/>
      <c r="AX466" s="643"/>
      <c r="AY466" s="643"/>
      <c r="AZ466" s="75"/>
      <c r="BA466" s="75"/>
      <c r="BB466" s="75"/>
    </row>
    <row r="467" spans="2:54" s="560" customFormat="1" ht="16.5" customHeight="1">
      <c r="B467" s="72"/>
      <c r="C467" s="72"/>
      <c r="D467" s="72"/>
      <c r="E467" s="73"/>
      <c r="F467" s="641"/>
      <c r="G467" s="73"/>
      <c r="H467" s="641"/>
      <c r="I467" s="641"/>
      <c r="J467" s="641"/>
      <c r="K467" s="641"/>
      <c r="L467" s="73"/>
      <c r="M467" s="72"/>
      <c r="N467" s="72"/>
      <c r="O467" s="642"/>
      <c r="P467" s="642"/>
      <c r="Q467" s="74"/>
      <c r="R467" s="641"/>
      <c r="S467" s="641"/>
      <c r="T467" s="72"/>
      <c r="U467" s="72"/>
      <c r="V467" s="72"/>
      <c r="W467" s="72"/>
      <c r="X467" s="72"/>
      <c r="Y467" s="72"/>
      <c r="Z467" s="72"/>
      <c r="AA467" s="73"/>
      <c r="AB467" s="72"/>
      <c r="AC467" s="641"/>
      <c r="AD467" s="72"/>
      <c r="AE467" s="641"/>
      <c r="AF467" s="641"/>
      <c r="AG467" s="72"/>
      <c r="AH467" s="72"/>
      <c r="AI467" s="72"/>
      <c r="AJ467" s="72"/>
      <c r="AK467" s="72"/>
      <c r="AL467" s="72"/>
      <c r="AM467" s="72"/>
      <c r="AN467" s="73"/>
      <c r="AO467" s="641"/>
      <c r="AP467" s="641"/>
      <c r="AQ467" s="641"/>
      <c r="AR467" s="641"/>
      <c r="AS467" s="641"/>
      <c r="AT467" s="641"/>
      <c r="AU467" s="72"/>
      <c r="AV467" s="73"/>
      <c r="AW467" s="643"/>
      <c r="AX467" s="643"/>
      <c r="AY467" s="643"/>
      <c r="AZ467" s="75"/>
      <c r="BA467" s="75"/>
      <c r="BB467" s="75"/>
    </row>
    <row r="468" spans="2:54" s="560" customFormat="1" ht="16.5" customHeight="1">
      <c r="B468" s="72"/>
      <c r="C468" s="72"/>
      <c r="D468" s="72"/>
      <c r="E468" s="73"/>
      <c r="F468" s="641"/>
      <c r="G468" s="73"/>
      <c r="H468" s="641"/>
      <c r="I468" s="641"/>
      <c r="J468" s="641"/>
      <c r="K468" s="641"/>
      <c r="L468" s="73"/>
      <c r="M468" s="72"/>
      <c r="N468" s="72"/>
      <c r="O468" s="642"/>
      <c r="P468" s="642"/>
      <c r="Q468" s="74"/>
      <c r="R468" s="641"/>
      <c r="S468" s="641"/>
      <c r="T468" s="72"/>
      <c r="U468" s="72"/>
      <c r="V468" s="72"/>
      <c r="W468" s="72"/>
      <c r="X468" s="72"/>
      <c r="Y468" s="72"/>
      <c r="Z468" s="72"/>
      <c r="AA468" s="73"/>
      <c r="AB468" s="72"/>
      <c r="AC468" s="641"/>
      <c r="AD468" s="72"/>
      <c r="AE468" s="641"/>
      <c r="AF468" s="641"/>
      <c r="AG468" s="72"/>
      <c r="AH468" s="72"/>
      <c r="AI468" s="72"/>
      <c r="AJ468" s="72"/>
      <c r="AK468" s="72"/>
      <c r="AL468" s="72"/>
      <c r="AM468" s="72"/>
      <c r="AN468" s="73"/>
      <c r="AO468" s="641"/>
      <c r="AP468" s="641"/>
      <c r="AQ468" s="641"/>
      <c r="AR468" s="641"/>
      <c r="AS468" s="641"/>
      <c r="AT468" s="641"/>
      <c r="AU468" s="72"/>
      <c r="AV468" s="73"/>
      <c r="AW468" s="643"/>
      <c r="AX468" s="643"/>
      <c r="AY468" s="643"/>
      <c r="AZ468" s="75"/>
      <c r="BA468" s="75"/>
      <c r="BB468" s="75"/>
    </row>
    <row r="469" spans="2:54" s="560" customFormat="1" ht="16.5" customHeight="1">
      <c r="B469" s="72"/>
      <c r="C469" s="72"/>
      <c r="D469" s="72"/>
      <c r="E469" s="73"/>
      <c r="F469" s="641"/>
      <c r="G469" s="73"/>
      <c r="H469" s="641"/>
      <c r="I469" s="641"/>
      <c r="J469" s="641"/>
      <c r="K469" s="641"/>
      <c r="L469" s="73"/>
      <c r="M469" s="72"/>
      <c r="N469" s="72"/>
      <c r="O469" s="642"/>
      <c r="P469" s="642"/>
      <c r="Q469" s="74"/>
      <c r="R469" s="641"/>
      <c r="S469" s="641"/>
      <c r="T469" s="72"/>
      <c r="U469" s="72"/>
      <c r="V469" s="72"/>
      <c r="W469" s="72"/>
      <c r="X469" s="72"/>
      <c r="Y469" s="72"/>
      <c r="Z469" s="72"/>
      <c r="AA469" s="73"/>
      <c r="AB469" s="72"/>
      <c r="AC469" s="641"/>
      <c r="AD469" s="72"/>
      <c r="AE469" s="641"/>
      <c r="AF469" s="641"/>
      <c r="AG469" s="72"/>
      <c r="AH469" s="72"/>
      <c r="AI469" s="72"/>
      <c r="AJ469" s="72"/>
      <c r="AK469" s="72"/>
      <c r="AL469" s="72"/>
      <c r="AM469" s="72"/>
      <c r="AN469" s="73"/>
      <c r="AO469" s="641"/>
      <c r="AP469" s="641"/>
      <c r="AQ469" s="641"/>
      <c r="AR469" s="641"/>
      <c r="AS469" s="641"/>
      <c r="AT469" s="641"/>
      <c r="AU469" s="72"/>
      <c r="AV469" s="73"/>
      <c r="AW469" s="643"/>
      <c r="AX469" s="643"/>
      <c r="AY469" s="643"/>
      <c r="AZ469" s="75"/>
      <c r="BA469" s="75"/>
      <c r="BB469" s="75"/>
    </row>
    <row r="470" spans="2:54" s="560" customFormat="1" ht="16.5" customHeight="1">
      <c r="B470" s="72"/>
      <c r="C470" s="72"/>
      <c r="D470" s="72"/>
      <c r="E470" s="73"/>
      <c r="F470" s="641"/>
      <c r="G470" s="73"/>
      <c r="H470" s="641"/>
      <c r="I470" s="641"/>
      <c r="J470" s="641"/>
      <c r="K470" s="641"/>
      <c r="L470" s="73"/>
      <c r="M470" s="72"/>
      <c r="N470" s="72"/>
      <c r="O470" s="642"/>
      <c r="P470" s="642"/>
      <c r="Q470" s="74"/>
      <c r="R470" s="641"/>
      <c r="S470" s="641"/>
      <c r="T470" s="72"/>
      <c r="U470" s="72"/>
      <c r="V470" s="72"/>
      <c r="W470" s="72"/>
      <c r="X470" s="72"/>
      <c r="Y470" s="72"/>
      <c r="Z470" s="72"/>
      <c r="AA470" s="73"/>
      <c r="AB470" s="72"/>
      <c r="AC470" s="641"/>
      <c r="AD470" s="72"/>
      <c r="AE470" s="641"/>
      <c r="AF470" s="641"/>
      <c r="AG470" s="72"/>
      <c r="AH470" s="72"/>
      <c r="AI470" s="72"/>
      <c r="AJ470" s="72"/>
      <c r="AK470" s="72"/>
      <c r="AL470" s="72"/>
      <c r="AM470" s="72"/>
      <c r="AN470" s="73"/>
      <c r="AO470" s="641"/>
      <c r="AP470" s="641"/>
      <c r="AQ470" s="641"/>
      <c r="AR470" s="641"/>
      <c r="AS470" s="641"/>
      <c r="AT470" s="641"/>
      <c r="AU470" s="72"/>
      <c r="AV470" s="73"/>
      <c r="AW470" s="643"/>
      <c r="AX470" s="643"/>
      <c r="AY470" s="643"/>
      <c r="AZ470" s="75"/>
      <c r="BA470" s="75"/>
      <c r="BB470" s="75"/>
    </row>
    <row r="471" spans="2:54" s="560" customFormat="1" ht="16.5" customHeight="1">
      <c r="B471" s="72"/>
      <c r="C471" s="72"/>
      <c r="D471" s="72"/>
      <c r="E471" s="73"/>
      <c r="F471" s="641"/>
      <c r="G471" s="73"/>
      <c r="H471" s="641"/>
      <c r="I471" s="641"/>
      <c r="J471" s="641"/>
      <c r="K471" s="641"/>
      <c r="L471" s="73"/>
      <c r="M471" s="72"/>
      <c r="N471" s="72"/>
      <c r="O471" s="642"/>
      <c r="P471" s="642"/>
      <c r="Q471" s="74"/>
      <c r="R471" s="641"/>
      <c r="S471" s="641"/>
      <c r="T471" s="72"/>
      <c r="U471" s="72"/>
      <c r="V471" s="72"/>
      <c r="W471" s="72"/>
      <c r="X471" s="72"/>
      <c r="Y471" s="72"/>
      <c r="Z471" s="72"/>
      <c r="AA471" s="73"/>
      <c r="AB471" s="72"/>
      <c r="AC471" s="641"/>
      <c r="AD471" s="72"/>
      <c r="AE471" s="641"/>
      <c r="AF471" s="641"/>
      <c r="AG471" s="72"/>
      <c r="AH471" s="72"/>
      <c r="AI471" s="72"/>
      <c r="AJ471" s="72"/>
      <c r="AK471" s="72"/>
      <c r="AL471" s="72"/>
      <c r="AM471" s="72"/>
      <c r="AN471" s="73"/>
      <c r="AO471" s="641"/>
      <c r="AP471" s="641"/>
      <c r="AQ471" s="641"/>
      <c r="AR471" s="641"/>
      <c r="AS471" s="641"/>
      <c r="AT471" s="641"/>
      <c r="AU471" s="72"/>
      <c r="AV471" s="73"/>
      <c r="AW471" s="643"/>
      <c r="AX471" s="643"/>
      <c r="AY471" s="643"/>
      <c r="AZ471" s="75"/>
      <c r="BA471" s="75"/>
      <c r="BB471" s="75"/>
    </row>
    <row r="472" spans="2:54" s="560" customFormat="1" ht="16.5" customHeight="1">
      <c r="B472" s="72"/>
      <c r="C472" s="72"/>
      <c r="D472" s="72"/>
      <c r="E472" s="73"/>
      <c r="F472" s="641"/>
      <c r="G472" s="73"/>
      <c r="H472" s="641"/>
      <c r="I472" s="641"/>
      <c r="J472" s="641"/>
      <c r="K472" s="641"/>
      <c r="L472" s="73"/>
      <c r="M472" s="72"/>
      <c r="N472" s="72"/>
      <c r="O472" s="642"/>
      <c r="P472" s="642"/>
      <c r="Q472" s="74"/>
      <c r="R472" s="641"/>
      <c r="S472" s="641"/>
      <c r="T472" s="72"/>
      <c r="U472" s="72"/>
      <c r="V472" s="72"/>
      <c r="W472" s="72"/>
      <c r="X472" s="72"/>
      <c r="Y472" s="72"/>
      <c r="Z472" s="72"/>
      <c r="AA472" s="73"/>
      <c r="AB472" s="72"/>
      <c r="AC472" s="641"/>
      <c r="AD472" s="72"/>
      <c r="AE472" s="641"/>
      <c r="AF472" s="641"/>
      <c r="AG472" s="72"/>
      <c r="AH472" s="72"/>
      <c r="AI472" s="72"/>
      <c r="AJ472" s="72"/>
      <c r="AK472" s="72"/>
      <c r="AL472" s="72"/>
      <c r="AM472" s="72"/>
      <c r="AN472" s="73"/>
      <c r="AO472" s="641"/>
      <c r="AP472" s="641"/>
      <c r="AQ472" s="641"/>
      <c r="AR472" s="641"/>
      <c r="AS472" s="641"/>
      <c r="AT472" s="641"/>
      <c r="AU472" s="72"/>
      <c r="AV472" s="73"/>
      <c r="AW472" s="643"/>
      <c r="AX472" s="643"/>
      <c r="AY472" s="643"/>
      <c r="AZ472" s="75"/>
      <c r="BA472" s="75"/>
      <c r="BB472" s="75"/>
    </row>
    <row r="473" spans="2:54" s="560" customFormat="1" ht="16.5" customHeight="1">
      <c r="B473" s="72"/>
      <c r="C473" s="72"/>
      <c r="D473" s="72"/>
      <c r="E473" s="73"/>
      <c r="F473" s="641"/>
      <c r="G473" s="73"/>
      <c r="H473" s="641"/>
      <c r="I473" s="641"/>
      <c r="J473" s="641"/>
      <c r="K473" s="641"/>
      <c r="L473" s="73"/>
      <c r="M473" s="72"/>
      <c r="N473" s="72"/>
      <c r="O473" s="642"/>
      <c r="P473" s="642"/>
      <c r="Q473" s="74"/>
      <c r="R473" s="641"/>
      <c r="S473" s="641"/>
      <c r="T473" s="72"/>
      <c r="U473" s="72"/>
      <c r="V473" s="72"/>
      <c r="W473" s="72"/>
      <c r="X473" s="72"/>
      <c r="Y473" s="72"/>
      <c r="Z473" s="72"/>
      <c r="AA473" s="73"/>
      <c r="AB473" s="72"/>
      <c r="AC473" s="641"/>
      <c r="AD473" s="72"/>
      <c r="AE473" s="641"/>
      <c r="AF473" s="641"/>
      <c r="AG473" s="72"/>
      <c r="AH473" s="72"/>
      <c r="AI473" s="72"/>
      <c r="AJ473" s="72"/>
      <c r="AK473" s="72"/>
      <c r="AL473" s="72"/>
      <c r="AM473" s="72"/>
      <c r="AN473" s="73"/>
      <c r="AO473" s="641"/>
      <c r="AP473" s="641"/>
      <c r="AQ473" s="641"/>
      <c r="AR473" s="641"/>
      <c r="AS473" s="641"/>
      <c r="AT473" s="641"/>
      <c r="AU473" s="72"/>
      <c r="AV473" s="73"/>
      <c r="AW473" s="643"/>
      <c r="AX473" s="643"/>
      <c r="AY473" s="643"/>
      <c r="AZ473" s="75"/>
      <c r="BA473" s="75"/>
      <c r="BB473" s="75"/>
    </row>
    <row r="474" spans="2:54" s="560" customFormat="1" ht="16.5" customHeight="1">
      <c r="B474" s="72"/>
      <c r="C474" s="72"/>
      <c r="D474" s="72"/>
      <c r="E474" s="73"/>
      <c r="F474" s="641"/>
      <c r="G474" s="73"/>
      <c r="H474" s="641"/>
      <c r="I474" s="641"/>
      <c r="J474" s="641"/>
      <c r="K474" s="641"/>
      <c r="L474" s="73"/>
      <c r="M474" s="72"/>
      <c r="N474" s="72"/>
      <c r="O474" s="642"/>
      <c r="P474" s="642"/>
      <c r="Q474" s="74"/>
      <c r="R474" s="641"/>
      <c r="S474" s="641"/>
      <c r="T474" s="72"/>
      <c r="U474" s="72"/>
      <c r="V474" s="72"/>
      <c r="W474" s="72"/>
      <c r="X474" s="72"/>
      <c r="Y474" s="72"/>
      <c r="Z474" s="72"/>
      <c r="AA474" s="73"/>
      <c r="AB474" s="72"/>
      <c r="AC474" s="641"/>
      <c r="AD474" s="72"/>
      <c r="AE474" s="641"/>
      <c r="AF474" s="641"/>
      <c r="AG474" s="72"/>
      <c r="AH474" s="72"/>
      <c r="AI474" s="72"/>
      <c r="AJ474" s="72"/>
      <c r="AK474" s="72"/>
      <c r="AL474" s="72"/>
      <c r="AM474" s="72"/>
      <c r="AN474" s="73"/>
      <c r="AO474" s="641"/>
      <c r="AP474" s="641"/>
      <c r="AQ474" s="641"/>
      <c r="AR474" s="641"/>
      <c r="AS474" s="641"/>
      <c r="AT474" s="641"/>
      <c r="AU474" s="72"/>
      <c r="AV474" s="73"/>
      <c r="AW474" s="643"/>
      <c r="AX474" s="643"/>
      <c r="AY474" s="643"/>
      <c r="AZ474" s="75"/>
      <c r="BA474" s="75"/>
      <c r="BB474" s="75"/>
    </row>
    <row r="475" spans="2:54" s="560" customFormat="1" ht="16.5" customHeight="1">
      <c r="B475" s="72"/>
      <c r="C475" s="72"/>
      <c r="D475" s="72"/>
      <c r="E475" s="73"/>
      <c r="F475" s="641"/>
      <c r="G475" s="73"/>
      <c r="H475" s="641"/>
      <c r="I475" s="641"/>
      <c r="J475" s="641"/>
      <c r="K475" s="641"/>
      <c r="L475" s="73"/>
      <c r="M475" s="72"/>
      <c r="N475" s="72"/>
      <c r="O475" s="642"/>
      <c r="P475" s="642"/>
      <c r="Q475" s="74"/>
      <c r="R475" s="641"/>
      <c r="S475" s="641"/>
      <c r="T475" s="72"/>
      <c r="U475" s="72"/>
      <c r="V475" s="72"/>
      <c r="W475" s="72"/>
      <c r="X475" s="72"/>
      <c r="Y475" s="72"/>
      <c r="Z475" s="72"/>
      <c r="AA475" s="73"/>
      <c r="AB475" s="72"/>
      <c r="AC475" s="641"/>
      <c r="AD475" s="72"/>
      <c r="AE475" s="641"/>
      <c r="AF475" s="641"/>
      <c r="AG475" s="72"/>
      <c r="AH475" s="72"/>
      <c r="AI475" s="72"/>
      <c r="AJ475" s="72"/>
      <c r="AK475" s="72"/>
      <c r="AL475" s="72"/>
      <c r="AM475" s="72"/>
      <c r="AN475" s="73"/>
      <c r="AO475" s="641"/>
      <c r="AP475" s="641"/>
      <c r="AQ475" s="641"/>
      <c r="AR475" s="641"/>
      <c r="AS475" s="641"/>
      <c r="AT475" s="641"/>
      <c r="AU475" s="72"/>
      <c r="AV475" s="73"/>
      <c r="AW475" s="643"/>
      <c r="AX475" s="643"/>
      <c r="AY475" s="643"/>
      <c r="AZ475" s="75"/>
      <c r="BA475" s="75"/>
      <c r="BB475" s="75"/>
    </row>
    <row r="476" spans="2:54" s="560" customFormat="1" ht="16.5" customHeight="1">
      <c r="B476" s="72"/>
      <c r="C476" s="72"/>
      <c r="D476" s="72"/>
      <c r="E476" s="73"/>
      <c r="F476" s="641"/>
      <c r="G476" s="73"/>
      <c r="H476" s="641"/>
      <c r="I476" s="641"/>
      <c r="J476" s="641"/>
      <c r="K476" s="641"/>
      <c r="L476" s="73"/>
      <c r="M476" s="72"/>
      <c r="N476" s="72"/>
      <c r="O476" s="642"/>
      <c r="P476" s="642"/>
      <c r="Q476" s="74"/>
      <c r="R476" s="641"/>
      <c r="S476" s="641"/>
      <c r="T476" s="72"/>
      <c r="U476" s="72"/>
      <c r="V476" s="72"/>
      <c r="W476" s="72"/>
      <c r="X476" s="72"/>
      <c r="Y476" s="72"/>
      <c r="Z476" s="72"/>
      <c r="AA476" s="73"/>
      <c r="AB476" s="72"/>
      <c r="AC476" s="641"/>
      <c r="AD476" s="72"/>
      <c r="AE476" s="641"/>
      <c r="AF476" s="641"/>
      <c r="AG476" s="72"/>
      <c r="AH476" s="72"/>
      <c r="AI476" s="72"/>
      <c r="AJ476" s="72"/>
      <c r="AK476" s="72"/>
      <c r="AL476" s="72"/>
      <c r="AM476" s="72"/>
      <c r="AN476" s="73"/>
      <c r="AO476" s="641"/>
      <c r="AP476" s="641"/>
      <c r="AQ476" s="641"/>
      <c r="AR476" s="641"/>
      <c r="AS476" s="641"/>
      <c r="AT476" s="641"/>
      <c r="AU476" s="72"/>
      <c r="AV476" s="73"/>
      <c r="AW476" s="643"/>
      <c r="AX476" s="643"/>
      <c r="AY476" s="643"/>
      <c r="AZ476" s="75"/>
      <c r="BA476" s="75"/>
      <c r="BB476" s="75"/>
    </row>
    <row r="477" spans="2:54" s="560" customFormat="1" ht="16.5" customHeight="1">
      <c r="B477" s="72"/>
      <c r="C477" s="72"/>
      <c r="D477" s="72"/>
      <c r="E477" s="73"/>
      <c r="F477" s="641"/>
      <c r="G477" s="73"/>
      <c r="H477" s="641"/>
      <c r="I477" s="641"/>
      <c r="J477" s="641"/>
      <c r="K477" s="641"/>
      <c r="L477" s="73"/>
      <c r="M477" s="72"/>
      <c r="N477" s="72"/>
      <c r="O477" s="642"/>
      <c r="P477" s="642"/>
      <c r="Q477" s="74"/>
      <c r="R477" s="641"/>
      <c r="S477" s="641"/>
      <c r="T477" s="72"/>
      <c r="U477" s="72"/>
      <c r="V477" s="72"/>
      <c r="W477" s="72"/>
      <c r="X477" s="72"/>
      <c r="Y477" s="72"/>
      <c r="Z477" s="72"/>
      <c r="AA477" s="73"/>
      <c r="AB477" s="72"/>
      <c r="AC477" s="641"/>
      <c r="AD477" s="72"/>
      <c r="AE477" s="641"/>
      <c r="AF477" s="641"/>
      <c r="AG477" s="72"/>
      <c r="AH477" s="72"/>
      <c r="AI477" s="72"/>
      <c r="AJ477" s="72"/>
      <c r="AK477" s="72"/>
      <c r="AL477" s="72"/>
      <c r="AM477" s="72"/>
      <c r="AN477" s="73"/>
      <c r="AO477" s="641"/>
      <c r="AP477" s="641"/>
      <c r="AQ477" s="641"/>
      <c r="AR477" s="641"/>
      <c r="AS477" s="641"/>
      <c r="AT477" s="641"/>
      <c r="AU477" s="72"/>
      <c r="AV477" s="73"/>
      <c r="AW477" s="643"/>
      <c r="AX477" s="643"/>
      <c r="AY477" s="643"/>
      <c r="AZ477" s="75"/>
      <c r="BA477" s="75"/>
      <c r="BB477" s="75"/>
    </row>
    <row r="478" spans="2:54" s="560" customFormat="1" ht="16.5" customHeight="1">
      <c r="B478" s="72"/>
      <c r="C478" s="72"/>
      <c r="D478" s="72"/>
      <c r="E478" s="73"/>
      <c r="F478" s="641"/>
      <c r="G478" s="73"/>
      <c r="H478" s="641"/>
      <c r="I478" s="641"/>
      <c r="J478" s="641"/>
      <c r="K478" s="641"/>
      <c r="L478" s="73"/>
      <c r="M478" s="72"/>
      <c r="N478" s="72"/>
      <c r="O478" s="642"/>
      <c r="P478" s="642"/>
      <c r="Q478" s="74"/>
      <c r="R478" s="641"/>
      <c r="S478" s="641"/>
      <c r="T478" s="72"/>
      <c r="U478" s="72"/>
      <c r="V478" s="72"/>
      <c r="W478" s="72"/>
      <c r="X478" s="72"/>
      <c r="Y478" s="72"/>
      <c r="Z478" s="72"/>
      <c r="AA478" s="73"/>
      <c r="AB478" s="72"/>
      <c r="AC478" s="641"/>
      <c r="AD478" s="72"/>
      <c r="AE478" s="641"/>
      <c r="AF478" s="641"/>
      <c r="AG478" s="72"/>
      <c r="AH478" s="72"/>
      <c r="AI478" s="72"/>
      <c r="AJ478" s="72"/>
      <c r="AK478" s="72"/>
      <c r="AL478" s="72"/>
      <c r="AM478" s="72"/>
      <c r="AN478" s="73"/>
      <c r="AO478" s="641"/>
      <c r="AP478" s="641"/>
      <c r="AQ478" s="641"/>
      <c r="AR478" s="641"/>
      <c r="AS478" s="641"/>
      <c r="AT478" s="641"/>
      <c r="AU478" s="72"/>
      <c r="AV478" s="73"/>
      <c r="AW478" s="643"/>
      <c r="AX478" s="643"/>
      <c r="AY478" s="643"/>
      <c r="AZ478" s="75"/>
      <c r="BA478" s="75"/>
      <c r="BB478" s="75"/>
    </row>
    <row r="479" spans="2:54" s="560" customFormat="1" ht="16.5" customHeight="1">
      <c r="B479" s="72"/>
      <c r="C479" s="72"/>
      <c r="D479" s="72"/>
      <c r="E479" s="73"/>
      <c r="F479" s="641"/>
      <c r="G479" s="73"/>
      <c r="H479" s="641"/>
      <c r="I479" s="641"/>
      <c r="J479" s="641"/>
      <c r="K479" s="641"/>
      <c r="L479" s="73"/>
      <c r="M479" s="72"/>
      <c r="N479" s="72"/>
      <c r="O479" s="642"/>
      <c r="P479" s="642"/>
      <c r="Q479" s="74"/>
      <c r="R479" s="641"/>
      <c r="S479" s="641"/>
      <c r="T479" s="72"/>
      <c r="U479" s="72"/>
      <c r="V479" s="72"/>
      <c r="W479" s="72"/>
      <c r="X479" s="72"/>
      <c r="Y479" s="72"/>
      <c r="Z479" s="72"/>
      <c r="AA479" s="73"/>
      <c r="AB479" s="72"/>
      <c r="AC479" s="641"/>
      <c r="AD479" s="72"/>
      <c r="AE479" s="641"/>
      <c r="AF479" s="641"/>
      <c r="AG479" s="72"/>
      <c r="AH479" s="72"/>
      <c r="AI479" s="72"/>
      <c r="AJ479" s="72"/>
      <c r="AK479" s="72"/>
      <c r="AL479" s="72"/>
      <c r="AM479" s="72"/>
      <c r="AN479" s="73"/>
      <c r="AO479" s="641"/>
      <c r="AP479" s="641"/>
      <c r="AQ479" s="641"/>
      <c r="AR479" s="641"/>
      <c r="AS479" s="641"/>
      <c r="AT479" s="641"/>
      <c r="AU479" s="72"/>
      <c r="AV479" s="73"/>
      <c r="AW479" s="643"/>
      <c r="AX479" s="643"/>
      <c r="AY479" s="643"/>
      <c r="AZ479" s="75"/>
      <c r="BA479" s="75"/>
      <c r="BB479" s="75"/>
    </row>
    <row r="480" spans="2:54" s="560" customFormat="1" ht="16.5" customHeight="1">
      <c r="B480" s="72"/>
      <c r="C480" s="72"/>
      <c r="D480" s="72"/>
      <c r="E480" s="73"/>
      <c r="F480" s="641"/>
      <c r="G480" s="73"/>
      <c r="H480" s="641"/>
      <c r="I480" s="641"/>
      <c r="J480" s="641"/>
      <c r="K480" s="641"/>
      <c r="L480" s="73"/>
      <c r="M480" s="72"/>
      <c r="N480" s="72"/>
      <c r="O480" s="642"/>
      <c r="P480" s="642"/>
      <c r="Q480" s="74"/>
      <c r="R480" s="641"/>
      <c r="S480" s="641"/>
      <c r="T480" s="72"/>
      <c r="U480" s="72"/>
      <c r="V480" s="72"/>
      <c r="W480" s="72"/>
      <c r="X480" s="72"/>
      <c r="Y480" s="72"/>
      <c r="Z480" s="72"/>
      <c r="AA480" s="73"/>
      <c r="AB480" s="72"/>
      <c r="AC480" s="641"/>
      <c r="AD480" s="72"/>
      <c r="AE480" s="641"/>
      <c r="AF480" s="641"/>
      <c r="AG480" s="72"/>
      <c r="AH480" s="72"/>
      <c r="AI480" s="72"/>
      <c r="AJ480" s="72"/>
      <c r="AK480" s="72"/>
      <c r="AL480" s="72"/>
      <c r="AM480" s="72"/>
      <c r="AN480" s="73"/>
      <c r="AO480" s="641"/>
      <c r="AP480" s="641"/>
      <c r="AQ480" s="641"/>
      <c r="AR480" s="641"/>
      <c r="AS480" s="641"/>
      <c r="AT480" s="641"/>
      <c r="AU480" s="72"/>
      <c r="AV480" s="73"/>
      <c r="AW480" s="643"/>
      <c r="AX480" s="643"/>
      <c r="AY480" s="643"/>
      <c r="AZ480" s="75"/>
      <c r="BA480" s="75"/>
      <c r="BB480" s="75"/>
    </row>
    <row r="481" spans="2:54" s="560" customFormat="1" ht="16.5" customHeight="1">
      <c r="B481" s="72"/>
      <c r="C481" s="72"/>
      <c r="D481" s="72"/>
      <c r="E481" s="73"/>
      <c r="F481" s="641"/>
      <c r="G481" s="73"/>
      <c r="H481" s="641"/>
      <c r="I481" s="641"/>
      <c r="J481" s="641"/>
      <c r="K481" s="641"/>
      <c r="L481" s="73"/>
      <c r="M481" s="72"/>
      <c r="N481" s="72"/>
      <c r="O481" s="642"/>
      <c r="P481" s="642"/>
      <c r="Q481" s="74"/>
      <c r="R481" s="641"/>
      <c r="S481" s="641"/>
      <c r="T481" s="72"/>
      <c r="U481" s="72"/>
      <c r="V481" s="72"/>
      <c r="W481" s="72"/>
      <c r="X481" s="72"/>
      <c r="Y481" s="72"/>
      <c r="Z481" s="72"/>
      <c r="AA481" s="73"/>
      <c r="AB481" s="72"/>
      <c r="AC481" s="641"/>
      <c r="AD481" s="72"/>
      <c r="AE481" s="641"/>
      <c r="AF481" s="641"/>
      <c r="AG481" s="72"/>
      <c r="AH481" s="72"/>
      <c r="AI481" s="72"/>
      <c r="AJ481" s="72"/>
      <c r="AK481" s="72"/>
      <c r="AL481" s="72"/>
      <c r="AM481" s="72"/>
      <c r="AN481" s="73"/>
      <c r="AO481" s="641"/>
      <c r="AP481" s="641"/>
      <c r="AQ481" s="641"/>
      <c r="AR481" s="641"/>
      <c r="AS481" s="641"/>
      <c r="AT481" s="641"/>
      <c r="AU481" s="72"/>
      <c r="AV481" s="73"/>
      <c r="AW481" s="643"/>
      <c r="AX481" s="643"/>
      <c r="AY481" s="643"/>
      <c r="AZ481" s="75"/>
      <c r="BA481" s="75"/>
      <c r="BB481" s="75"/>
    </row>
    <row r="482" spans="2:54" s="560" customFormat="1" ht="16.5" customHeight="1">
      <c r="B482" s="72"/>
      <c r="C482" s="72"/>
      <c r="D482" s="72"/>
      <c r="E482" s="73"/>
      <c r="F482" s="641"/>
      <c r="G482" s="73"/>
      <c r="H482" s="641"/>
      <c r="I482" s="641"/>
      <c r="J482" s="641"/>
      <c r="K482" s="641"/>
      <c r="L482" s="73"/>
      <c r="M482" s="72"/>
      <c r="N482" s="72"/>
      <c r="O482" s="642"/>
      <c r="P482" s="642"/>
      <c r="Q482" s="74"/>
      <c r="R482" s="641"/>
      <c r="S482" s="641"/>
      <c r="T482" s="72"/>
      <c r="U482" s="72"/>
      <c r="V482" s="72"/>
      <c r="W482" s="72"/>
      <c r="X482" s="72"/>
      <c r="Y482" s="72"/>
      <c r="Z482" s="72"/>
      <c r="AA482" s="73"/>
      <c r="AB482" s="72"/>
      <c r="AC482" s="641"/>
      <c r="AD482" s="72"/>
      <c r="AE482" s="641"/>
      <c r="AF482" s="641"/>
      <c r="AG482" s="72"/>
      <c r="AH482" s="72"/>
      <c r="AI482" s="72"/>
      <c r="AJ482" s="72"/>
      <c r="AK482" s="72"/>
      <c r="AL482" s="72"/>
      <c r="AM482" s="72"/>
      <c r="AN482" s="73"/>
      <c r="AO482" s="641"/>
      <c r="AP482" s="641"/>
      <c r="AQ482" s="641"/>
      <c r="AR482" s="641"/>
      <c r="AS482" s="641"/>
      <c r="AT482" s="641"/>
      <c r="AU482" s="72"/>
      <c r="AV482" s="73"/>
      <c r="AW482" s="643"/>
      <c r="AX482" s="643"/>
      <c r="AY482" s="643"/>
      <c r="AZ482" s="75"/>
      <c r="BA482" s="75"/>
      <c r="BB482" s="75"/>
    </row>
    <row r="483" spans="2:54" s="560" customFormat="1" ht="16.5" customHeight="1">
      <c r="B483" s="72"/>
      <c r="C483" s="72"/>
      <c r="D483" s="72"/>
      <c r="E483" s="73"/>
      <c r="F483" s="641"/>
      <c r="G483" s="73"/>
      <c r="H483" s="641"/>
      <c r="I483" s="641"/>
      <c r="J483" s="641"/>
      <c r="K483" s="641"/>
      <c r="L483" s="73"/>
      <c r="M483" s="72"/>
      <c r="N483" s="72"/>
      <c r="O483" s="642"/>
      <c r="P483" s="642"/>
      <c r="Q483" s="74"/>
      <c r="R483" s="641"/>
      <c r="S483" s="641"/>
      <c r="T483" s="72"/>
      <c r="U483" s="72"/>
      <c r="V483" s="72"/>
      <c r="W483" s="72"/>
      <c r="X483" s="72"/>
      <c r="Y483" s="72"/>
      <c r="Z483" s="72"/>
      <c r="AA483" s="73"/>
      <c r="AB483" s="72"/>
      <c r="AC483" s="641"/>
      <c r="AD483" s="72"/>
      <c r="AE483" s="641"/>
      <c r="AF483" s="641"/>
      <c r="AG483" s="72"/>
      <c r="AH483" s="72"/>
      <c r="AI483" s="72"/>
      <c r="AJ483" s="72"/>
      <c r="AK483" s="72"/>
      <c r="AL483" s="72"/>
      <c r="AM483" s="72"/>
      <c r="AN483" s="73"/>
      <c r="AO483" s="641"/>
      <c r="AP483" s="641"/>
      <c r="AQ483" s="641"/>
      <c r="AR483" s="641"/>
      <c r="AS483" s="641"/>
      <c r="AT483" s="641"/>
      <c r="AU483" s="72"/>
      <c r="AV483" s="73"/>
      <c r="AW483" s="643"/>
      <c r="AX483" s="643"/>
      <c r="AY483" s="643"/>
      <c r="AZ483" s="75"/>
      <c r="BA483" s="75"/>
      <c r="BB483" s="75"/>
    </row>
    <row r="484" spans="2:54" s="560" customFormat="1" ht="16.5" customHeight="1">
      <c r="B484" s="72"/>
      <c r="C484" s="72"/>
      <c r="D484" s="72"/>
      <c r="E484" s="73"/>
      <c r="F484" s="641"/>
      <c r="G484" s="73"/>
      <c r="H484" s="641"/>
      <c r="I484" s="641"/>
      <c r="J484" s="641"/>
      <c r="K484" s="641"/>
      <c r="L484" s="73"/>
      <c r="M484" s="72"/>
      <c r="N484" s="72"/>
      <c r="O484" s="642"/>
      <c r="P484" s="642"/>
      <c r="Q484" s="74"/>
      <c r="R484" s="641"/>
      <c r="S484" s="641"/>
      <c r="T484" s="72"/>
      <c r="U484" s="72"/>
      <c r="V484" s="72"/>
      <c r="W484" s="72"/>
      <c r="X484" s="72"/>
      <c r="Y484" s="72"/>
      <c r="Z484" s="72"/>
      <c r="AA484" s="73"/>
      <c r="AB484" s="72"/>
      <c r="AC484" s="641"/>
      <c r="AD484" s="72"/>
      <c r="AE484" s="641"/>
      <c r="AF484" s="641"/>
      <c r="AG484" s="72"/>
      <c r="AH484" s="72"/>
      <c r="AI484" s="72"/>
      <c r="AJ484" s="72"/>
      <c r="AK484" s="72"/>
      <c r="AL484" s="72"/>
      <c r="AM484" s="72"/>
      <c r="AN484" s="73"/>
      <c r="AO484" s="641"/>
      <c r="AP484" s="641"/>
      <c r="AQ484" s="641"/>
      <c r="AR484" s="641"/>
      <c r="AS484" s="641"/>
      <c r="AT484" s="641"/>
      <c r="AU484" s="72"/>
      <c r="AV484" s="73"/>
      <c r="AW484" s="643"/>
      <c r="AX484" s="643"/>
      <c r="AY484" s="643"/>
      <c r="AZ484" s="75"/>
      <c r="BA484" s="75"/>
      <c r="BB484" s="75"/>
    </row>
    <row r="485" spans="2:54" s="560" customFormat="1" ht="16.5" customHeight="1">
      <c r="B485" s="72"/>
      <c r="C485" s="72"/>
      <c r="D485" s="72"/>
      <c r="E485" s="73"/>
      <c r="F485" s="641"/>
      <c r="G485" s="73"/>
      <c r="H485" s="641"/>
      <c r="I485" s="641"/>
      <c r="J485" s="641"/>
      <c r="K485" s="641"/>
      <c r="L485" s="73"/>
      <c r="M485" s="72"/>
      <c r="N485" s="72"/>
      <c r="O485" s="642"/>
      <c r="P485" s="642"/>
      <c r="Q485" s="74"/>
      <c r="R485" s="641"/>
      <c r="S485" s="641"/>
      <c r="T485" s="72"/>
      <c r="U485" s="72"/>
      <c r="V485" s="72"/>
      <c r="W485" s="72"/>
      <c r="X485" s="72"/>
      <c r="Y485" s="72"/>
      <c r="Z485" s="72"/>
      <c r="AA485" s="73"/>
      <c r="AB485" s="72"/>
      <c r="AC485" s="641"/>
      <c r="AD485" s="72"/>
      <c r="AE485" s="641"/>
      <c r="AF485" s="641"/>
      <c r="AG485" s="72"/>
      <c r="AH485" s="72"/>
      <c r="AI485" s="72"/>
      <c r="AJ485" s="72"/>
      <c r="AK485" s="72"/>
      <c r="AL485" s="72"/>
      <c r="AM485" s="72"/>
      <c r="AN485" s="73"/>
      <c r="AO485" s="641"/>
      <c r="AP485" s="641"/>
      <c r="AQ485" s="641"/>
      <c r="AR485" s="641"/>
      <c r="AS485" s="641"/>
      <c r="AT485" s="641"/>
      <c r="AU485" s="72"/>
      <c r="AV485" s="73"/>
      <c r="AW485" s="643"/>
      <c r="AX485" s="643"/>
      <c r="AY485" s="643"/>
      <c r="AZ485" s="75"/>
      <c r="BA485" s="75"/>
      <c r="BB485" s="75"/>
    </row>
    <row r="486" spans="2:54" s="560" customFormat="1" ht="16.5" customHeight="1">
      <c r="B486" s="72"/>
      <c r="C486" s="72"/>
      <c r="D486" s="72"/>
      <c r="E486" s="73"/>
      <c r="F486" s="641"/>
      <c r="G486" s="73"/>
      <c r="H486" s="641"/>
      <c r="I486" s="641"/>
      <c r="J486" s="641"/>
      <c r="K486" s="641"/>
      <c r="L486" s="73"/>
      <c r="M486" s="72"/>
      <c r="N486" s="72"/>
      <c r="O486" s="642"/>
      <c r="P486" s="642"/>
      <c r="Q486" s="74"/>
      <c r="R486" s="641"/>
      <c r="S486" s="641"/>
      <c r="T486" s="72"/>
      <c r="U486" s="72"/>
      <c r="V486" s="72"/>
      <c r="W486" s="72"/>
      <c r="X486" s="72"/>
      <c r="Y486" s="72"/>
      <c r="Z486" s="72"/>
      <c r="AA486" s="73"/>
      <c r="AB486" s="72"/>
      <c r="AC486" s="641"/>
      <c r="AD486" s="72"/>
      <c r="AE486" s="641"/>
      <c r="AF486" s="641"/>
      <c r="AG486" s="72"/>
      <c r="AH486" s="72"/>
      <c r="AI486" s="72"/>
      <c r="AJ486" s="72"/>
      <c r="AK486" s="72"/>
      <c r="AL486" s="72"/>
      <c r="AM486" s="72"/>
      <c r="AN486" s="73"/>
      <c r="AO486" s="641"/>
      <c r="AP486" s="641"/>
      <c r="AQ486" s="641"/>
      <c r="AR486" s="641"/>
      <c r="AS486" s="641"/>
      <c r="AT486" s="641"/>
      <c r="AU486" s="72"/>
      <c r="AV486" s="73"/>
      <c r="AW486" s="643"/>
      <c r="AX486" s="643"/>
      <c r="AY486" s="643"/>
      <c r="AZ486" s="75"/>
      <c r="BA486" s="75"/>
      <c r="BB486" s="75"/>
    </row>
    <row r="487" spans="2:54" s="560" customFormat="1" ht="16.5" customHeight="1">
      <c r="B487" s="72"/>
      <c r="C487" s="72"/>
      <c r="D487" s="72"/>
      <c r="E487" s="73"/>
      <c r="F487" s="641"/>
      <c r="G487" s="73"/>
      <c r="H487" s="641"/>
      <c r="I487" s="641"/>
      <c r="J487" s="641"/>
      <c r="K487" s="641"/>
      <c r="L487" s="73"/>
      <c r="M487" s="72"/>
      <c r="N487" s="72"/>
      <c r="O487" s="642"/>
      <c r="P487" s="642"/>
      <c r="Q487" s="74"/>
      <c r="R487" s="641"/>
      <c r="S487" s="641"/>
      <c r="T487" s="72"/>
      <c r="U487" s="72"/>
      <c r="V487" s="72"/>
      <c r="W487" s="72"/>
      <c r="X487" s="72"/>
      <c r="Y487" s="72"/>
      <c r="Z487" s="72"/>
      <c r="AA487" s="73"/>
      <c r="AB487" s="72"/>
      <c r="AC487" s="641"/>
      <c r="AD487" s="72"/>
      <c r="AE487" s="641"/>
      <c r="AF487" s="641"/>
      <c r="AG487" s="72"/>
      <c r="AH487" s="72"/>
      <c r="AI487" s="72"/>
      <c r="AJ487" s="72"/>
      <c r="AK487" s="72"/>
      <c r="AL487" s="72"/>
      <c r="AM487" s="72"/>
      <c r="AN487" s="73"/>
      <c r="AO487" s="641"/>
      <c r="AP487" s="641"/>
      <c r="AQ487" s="641"/>
      <c r="AR487" s="641"/>
      <c r="AS487" s="641"/>
      <c r="AT487" s="641"/>
      <c r="AU487" s="72"/>
      <c r="AV487" s="73"/>
      <c r="AW487" s="643"/>
      <c r="AX487" s="643"/>
      <c r="AY487" s="643"/>
      <c r="AZ487" s="75"/>
      <c r="BA487" s="75"/>
      <c r="BB487" s="75"/>
    </row>
    <row r="488" spans="2:54" s="560" customFormat="1" ht="16.5" customHeight="1">
      <c r="B488" s="72"/>
      <c r="C488" s="72"/>
      <c r="D488" s="72"/>
      <c r="E488" s="73"/>
      <c r="F488" s="641"/>
      <c r="G488" s="73"/>
      <c r="H488" s="641"/>
      <c r="I488" s="641"/>
      <c r="J488" s="641"/>
      <c r="K488" s="641"/>
      <c r="L488" s="73"/>
      <c r="M488" s="72"/>
      <c r="N488" s="72"/>
      <c r="O488" s="642"/>
      <c r="P488" s="642"/>
      <c r="Q488" s="74"/>
      <c r="R488" s="641"/>
      <c r="S488" s="641"/>
      <c r="T488" s="72"/>
      <c r="U488" s="72"/>
      <c r="V488" s="72"/>
      <c r="W488" s="72"/>
      <c r="X488" s="72"/>
      <c r="Y488" s="72"/>
      <c r="Z488" s="72"/>
      <c r="AA488" s="73"/>
      <c r="AB488" s="72"/>
      <c r="AC488" s="641"/>
      <c r="AD488" s="72"/>
      <c r="AE488" s="641"/>
      <c r="AF488" s="641"/>
      <c r="AG488" s="72"/>
      <c r="AH488" s="72"/>
      <c r="AI488" s="72"/>
      <c r="AJ488" s="72"/>
      <c r="AK488" s="72"/>
      <c r="AL488" s="72"/>
      <c r="AM488" s="72"/>
      <c r="AN488" s="73"/>
      <c r="AO488" s="641"/>
      <c r="AP488" s="641"/>
      <c r="AQ488" s="641"/>
      <c r="AR488" s="641"/>
      <c r="AS488" s="641"/>
      <c r="AT488" s="641"/>
      <c r="AU488" s="72"/>
      <c r="AV488" s="73"/>
      <c r="AW488" s="643"/>
      <c r="AX488" s="643"/>
      <c r="AY488" s="643"/>
      <c r="AZ488" s="75"/>
      <c r="BA488" s="75"/>
      <c r="BB488" s="75"/>
    </row>
    <row r="489" spans="2:54" s="560" customFormat="1" ht="16.5" customHeight="1">
      <c r="B489" s="72"/>
      <c r="C489" s="72"/>
      <c r="D489" s="72"/>
      <c r="E489" s="73"/>
      <c r="F489" s="641"/>
      <c r="G489" s="73"/>
      <c r="H489" s="641"/>
      <c r="I489" s="641"/>
      <c r="J489" s="641"/>
      <c r="K489" s="641"/>
      <c r="L489" s="73"/>
      <c r="M489" s="72"/>
      <c r="N489" s="72"/>
      <c r="O489" s="642"/>
      <c r="P489" s="642"/>
      <c r="Q489" s="74"/>
      <c r="R489" s="641"/>
      <c r="S489" s="641"/>
      <c r="T489" s="72"/>
      <c r="U489" s="72"/>
      <c r="V489" s="72"/>
      <c r="W489" s="72"/>
      <c r="X489" s="72"/>
      <c r="Y489" s="72"/>
      <c r="Z489" s="72"/>
      <c r="AA489" s="73"/>
      <c r="AB489" s="72"/>
      <c r="AC489" s="641"/>
      <c r="AD489" s="72"/>
      <c r="AE489" s="641"/>
      <c r="AF489" s="641"/>
      <c r="AG489" s="72"/>
      <c r="AH489" s="72"/>
      <c r="AI489" s="72"/>
      <c r="AJ489" s="72"/>
      <c r="AK489" s="72"/>
      <c r="AL489" s="72"/>
      <c r="AM489" s="72"/>
      <c r="AN489" s="73"/>
      <c r="AO489" s="641"/>
      <c r="AP489" s="641"/>
      <c r="AQ489" s="641"/>
      <c r="AR489" s="641"/>
      <c r="AS489" s="641"/>
      <c r="AT489" s="641"/>
      <c r="AU489" s="72"/>
      <c r="AV489" s="73"/>
      <c r="AW489" s="643"/>
      <c r="AX489" s="643"/>
      <c r="AY489" s="643"/>
      <c r="AZ489" s="75"/>
      <c r="BA489" s="75"/>
      <c r="BB489" s="75"/>
    </row>
    <row r="490" spans="2:54" s="560" customFormat="1" ht="16.5" customHeight="1">
      <c r="B490" s="72"/>
      <c r="C490" s="72"/>
      <c r="D490" s="72"/>
      <c r="E490" s="73"/>
      <c r="F490" s="641"/>
      <c r="G490" s="73"/>
      <c r="H490" s="641"/>
      <c r="I490" s="641"/>
      <c r="J490" s="641"/>
      <c r="K490" s="641"/>
      <c r="L490" s="73"/>
      <c r="M490" s="72"/>
      <c r="N490" s="72"/>
      <c r="O490" s="642"/>
      <c r="P490" s="642"/>
      <c r="Q490" s="74"/>
      <c r="R490" s="641"/>
      <c r="S490" s="641"/>
      <c r="T490" s="72"/>
      <c r="U490" s="72"/>
      <c r="V490" s="72"/>
      <c r="W490" s="72"/>
      <c r="X490" s="72"/>
      <c r="Y490" s="72"/>
      <c r="Z490" s="72"/>
      <c r="AA490" s="73"/>
      <c r="AB490" s="72"/>
      <c r="AC490" s="641"/>
      <c r="AD490" s="72"/>
      <c r="AE490" s="641"/>
      <c r="AF490" s="641"/>
      <c r="AG490" s="72"/>
      <c r="AH490" s="72"/>
      <c r="AI490" s="72"/>
      <c r="AJ490" s="72"/>
      <c r="AK490" s="72"/>
      <c r="AL490" s="72"/>
      <c r="AM490" s="72"/>
      <c r="AN490" s="73"/>
      <c r="AO490" s="641"/>
      <c r="AP490" s="641"/>
      <c r="AQ490" s="641"/>
      <c r="AR490" s="641"/>
      <c r="AS490" s="641"/>
      <c r="AT490" s="641"/>
      <c r="AU490" s="72"/>
      <c r="AV490" s="73"/>
      <c r="AW490" s="643"/>
      <c r="AX490" s="643"/>
      <c r="AY490" s="643"/>
      <c r="AZ490" s="75"/>
      <c r="BA490" s="75"/>
      <c r="BB490" s="75"/>
    </row>
    <row r="491" spans="2:54" s="560" customFormat="1" ht="16.5" customHeight="1">
      <c r="B491" s="72"/>
      <c r="C491" s="72"/>
      <c r="D491" s="72"/>
      <c r="E491" s="73"/>
      <c r="F491" s="641"/>
      <c r="G491" s="73"/>
      <c r="H491" s="641"/>
      <c r="I491" s="641"/>
      <c r="J491" s="641"/>
      <c r="K491" s="641"/>
      <c r="L491" s="73"/>
      <c r="M491" s="72"/>
      <c r="N491" s="72"/>
      <c r="O491" s="642"/>
      <c r="P491" s="642"/>
      <c r="Q491" s="74"/>
      <c r="R491" s="641"/>
      <c r="S491" s="641"/>
      <c r="T491" s="72"/>
      <c r="U491" s="72"/>
      <c r="V491" s="72"/>
      <c r="W491" s="72"/>
      <c r="X491" s="72"/>
      <c r="Y491" s="72"/>
      <c r="Z491" s="72"/>
      <c r="AA491" s="73"/>
      <c r="AB491" s="72"/>
      <c r="AC491" s="641"/>
      <c r="AD491" s="72"/>
      <c r="AE491" s="641"/>
      <c r="AF491" s="641"/>
      <c r="AG491" s="72"/>
      <c r="AH491" s="72"/>
      <c r="AI491" s="72"/>
      <c r="AJ491" s="72"/>
      <c r="AK491" s="72"/>
      <c r="AL491" s="72"/>
      <c r="AM491" s="72"/>
      <c r="AN491" s="73"/>
      <c r="AO491" s="641"/>
      <c r="AP491" s="641"/>
      <c r="AQ491" s="641"/>
      <c r="AR491" s="641"/>
      <c r="AS491" s="641"/>
      <c r="AT491" s="641"/>
      <c r="AU491" s="72"/>
      <c r="AV491" s="73"/>
      <c r="AW491" s="643"/>
      <c r="AX491" s="643"/>
      <c r="AY491" s="643"/>
      <c r="AZ491" s="75"/>
      <c r="BA491" s="75"/>
      <c r="BB491" s="75"/>
    </row>
    <row r="492" spans="2:54" s="560" customFormat="1" ht="16.5" customHeight="1">
      <c r="B492" s="72"/>
      <c r="C492" s="72"/>
      <c r="D492" s="72"/>
      <c r="E492" s="73"/>
      <c r="F492" s="641"/>
      <c r="G492" s="73"/>
      <c r="H492" s="641"/>
      <c r="I492" s="641"/>
      <c r="J492" s="641"/>
      <c r="K492" s="641"/>
      <c r="L492" s="73"/>
      <c r="M492" s="72"/>
      <c r="N492" s="72"/>
      <c r="O492" s="642"/>
      <c r="P492" s="642"/>
      <c r="Q492" s="74"/>
      <c r="R492" s="641"/>
      <c r="S492" s="641"/>
      <c r="T492" s="72"/>
      <c r="U492" s="72"/>
      <c r="V492" s="72"/>
      <c r="W492" s="72"/>
      <c r="X492" s="72"/>
      <c r="Y492" s="72"/>
      <c r="Z492" s="72"/>
      <c r="AA492" s="73"/>
      <c r="AB492" s="72"/>
      <c r="AC492" s="641"/>
      <c r="AD492" s="72"/>
      <c r="AE492" s="641"/>
      <c r="AF492" s="641"/>
      <c r="AG492" s="72"/>
      <c r="AH492" s="72"/>
      <c r="AI492" s="72"/>
      <c r="AJ492" s="72"/>
      <c r="AK492" s="72"/>
      <c r="AL492" s="72"/>
      <c r="AM492" s="72"/>
      <c r="AN492" s="73"/>
      <c r="AO492" s="641"/>
      <c r="AP492" s="641"/>
      <c r="AQ492" s="641"/>
      <c r="AR492" s="641"/>
      <c r="AS492" s="641"/>
      <c r="AT492" s="641"/>
      <c r="AU492" s="72"/>
      <c r="AV492" s="73"/>
      <c r="AW492" s="643"/>
      <c r="AX492" s="643"/>
      <c r="AY492" s="643"/>
      <c r="AZ492" s="75"/>
      <c r="BA492" s="75"/>
      <c r="BB492" s="75"/>
    </row>
    <row r="493" spans="2:54" s="560" customFormat="1" ht="16.5" customHeight="1">
      <c r="B493" s="72"/>
      <c r="C493" s="72"/>
      <c r="D493" s="72"/>
      <c r="E493" s="73"/>
      <c r="F493" s="641"/>
      <c r="G493" s="73"/>
      <c r="H493" s="641"/>
      <c r="I493" s="641"/>
      <c r="J493" s="641"/>
      <c r="K493" s="641"/>
      <c r="L493" s="73"/>
      <c r="M493" s="72"/>
      <c r="N493" s="72"/>
      <c r="O493" s="642"/>
      <c r="P493" s="642"/>
      <c r="Q493" s="74"/>
      <c r="R493" s="641"/>
      <c r="S493" s="641"/>
      <c r="T493" s="72"/>
      <c r="U493" s="72"/>
      <c r="V493" s="72"/>
      <c r="W493" s="72"/>
      <c r="X493" s="72"/>
      <c r="Y493" s="72"/>
      <c r="Z493" s="72"/>
      <c r="AA493" s="73"/>
      <c r="AB493" s="72"/>
      <c r="AC493" s="641"/>
      <c r="AD493" s="72"/>
      <c r="AE493" s="641"/>
      <c r="AF493" s="641"/>
      <c r="AG493" s="72"/>
      <c r="AH493" s="72"/>
      <c r="AI493" s="72"/>
      <c r="AJ493" s="72"/>
      <c r="AK493" s="72"/>
      <c r="AL493" s="72"/>
      <c r="AM493" s="72"/>
      <c r="AN493" s="73"/>
      <c r="AO493" s="641"/>
      <c r="AP493" s="641"/>
      <c r="AQ493" s="641"/>
      <c r="AR493" s="641"/>
      <c r="AS493" s="641"/>
      <c r="AT493" s="641"/>
      <c r="AU493" s="72"/>
      <c r="AV493" s="73"/>
      <c r="AW493" s="643"/>
      <c r="AX493" s="643"/>
      <c r="AY493" s="643"/>
      <c r="AZ493" s="75"/>
      <c r="BA493" s="75"/>
      <c r="BB493" s="75"/>
    </row>
    <row r="494" spans="2:54" s="560" customFormat="1" ht="16.5" customHeight="1">
      <c r="B494" s="72"/>
      <c r="C494" s="72"/>
      <c r="D494" s="72"/>
      <c r="E494" s="73"/>
      <c r="F494" s="641"/>
      <c r="G494" s="73"/>
      <c r="H494" s="641"/>
      <c r="I494" s="641"/>
      <c r="J494" s="641"/>
      <c r="K494" s="641"/>
      <c r="L494" s="73"/>
      <c r="M494" s="72"/>
      <c r="N494" s="72"/>
      <c r="O494" s="642"/>
      <c r="P494" s="642"/>
      <c r="Q494" s="74"/>
      <c r="R494" s="641"/>
      <c r="S494" s="641"/>
      <c r="T494" s="72"/>
      <c r="U494" s="72"/>
      <c r="V494" s="72"/>
      <c r="W494" s="72"/>
      <c r="X494" s="72"/>
      <c r="Y494" s="72"/>
      <c r="Z494" s="72"/>
      <c r="AA494" s="73"/>
      <c r="AB494" s="72"/>
      <c r="AC494" s="641"/>
      <c r="AD494" s="72"/>
      <c r="AE494" s="641"/>
      <c r="AF494" s="641"/>
      <c r="AG494" s="72"/>
      <c r="AH494" s="72"/>
      <c r="AI494" s="72"/>
      <c r="AJ494" s="72"/>
      <c r="AK494" s="72"/>
      <c r="AL494" s="72"/>
      <c r="AM494" s="72"/>
      <c r="AN494" s="73"/>
      <c r="AO494" s="641"/>
      <c r="AP494" s="641"/>
      <c r="AQ494" s="641"/>
      <c r="AR494" s="641"/>
      <c r="AS494" s="641"/>
      <c r="AT494" s="641"/>
      <c r="AU494" s="72"/>
      <c r="AV494" s="73"/>
      <c r="AW494" s="643"/>
      <c r="AX494" s="643"/>
      <c r="AY494" s="643"/>
      <c r="AZ494" s="75"/>
      <c r="BA494" s="75"/>
      <c r="BB494" s="75"/>
    </row>
    <row r="495" spans="2:54" s="560" customFormat="1" ht="16.5" customHeight="1">
      <c r="B495" s="72"/>
      <c r="C495" s="72"/>
      <c r="D495" s="72"/>
      <c r="E495" s="73"/>
      <c r="F495" s="641"/>
      <c r="G495" s="73"/>
      <c r="H495" s="641"/>
      <c r="I495" s="641"/>
      <c r="J495" s="641"/>
      <c r="K495" s="641"/>
      <c r="L495" s="73"/>
      <c r="M495" s="72"/>
      <c r="N495" s="72"/>
      <c r="O495" s="642"/>
      <c r="P495" s="642"/>
      <c r="Q495" s="74"/>
      <c r="R495" s="641"/>
      <c r="S495" s="641"/>
      <c r="T495" s="72"/>
      <c r="U495" s="72"/>
      <c r="V495" s="72"/>
      <c r="W495" s="72"/>
      <c r="X495" s="72"/>
      <c r="Y495" s="72"/>
      <c r="Z495" s="72"/>
      <c r="AA495" s="73"/>
      <c r="AB495" s="72"/>
      <c r="AC495" s="641"/>
      <c r="AD495" s="72"/>
      <c r="AE495" s="641"/>
      <c r="AF495" s="641"/>
      <c r="AG495" s="72"/>
      <c r="AH495" s="72"/>
      <c r="AI495" s="72"/>
      <c r="AJ495" s="72"/>
      <c r="AK495" s="72"/>
      <c r="AL495" s="72"/>
      <c r="AM495" s="72"/>
      <c r="AN495" s="73"/>
      <c r="AO495" s="641"/>
      <c r="AP495" s="641"/>
      <c r="AQ495" s="641"/>
      <c r="AR495" s="641"/>
      <c r="AS495" s="641"/>
      <c r="AT495" s="641"/>
      <c r="AU495" s="72"/>
      <c r="AV495" s="73"/>
      <c r="AW495" s="643"/>
      <c r="AX495" s="643"/>
      <c r="AY495" s="643"/>
      <c r="AZ495" s="75"/>
      <c r="BA495" s="75"/>
      <c r="BB495" s="75"/>
    </row>
    <row r="496" spans="2:54" s="560" customFormat="1" ht="16.5" customHeight="1">
      <c r="B496" s="72"/>
      <c r="C496" s="72"/>
      <c r="D496" s="72"/>
      <c r="E496" s="73"/>
      <c r="F496" s="641"/>
      <c r="G496" s="73"/>
      <c r="H496" s="641"/>
      <c r="I496" s="641"/>
      <c r="J496" s="641"/>
      <c r="K496" s="641"/>
      <c r="L496" s="73"/>
      <c r="M496" s="72"/>
      <c r="N496" s="72"/>
      <c r="O496" s="642"/>
      <c r="P496" s="642"/>
      <c r="Q496" s="74"/>
      <c r="R496" s="641"/>
      <c r="S496" s="641"/>
      <c r="T496" s="72"/>
      <c r="U496" s="72"/>
      <c r="V496" s="72"/>
      <c r="W496" s="72"/>
      <c r="X496" s="72"/>
      <c r="Y496" s="72"/>
      <c r="Z496" s="72"/>
      <c r="AA496" s="73"/>
      <c r="AB496" s="72"/>
      <c r="AC496" s="641"/>
      <c r="AD496" s="72"/>
      <c r="AE496" s="641"/>
      <c r="AF496" s="641"/>
      <c r="AG496" s="72"/>
      <c r="AH496" s="72"/>
      <c r="AI496" s="72"/>
      <c r="AJ496" s="72"/>
      <c r="AK496" s="72"/>
      <c r="AL496" s="72"/>
      <c r="AM496" s="72"/>
      <c r="AN496" s="73"/>
      <c r="AO496" s="641"/>
      <c r="AP496" s="641"/>
      <c r="AQ496" s="641"/>
      <c r="AR496" s="641"/>
      <c r="AS496" s="641"/>
      <c r="AT496" s="641"/>
      <c r="AU496" s="72"/>
      <c r="AV496" s="73"/>
      <c r="AW496" s="643"/>
      <c r="AX496" s="643"/>
      <c r="AY496" s="643"/>
      <c r="AZ496" s="75"/>
      <c r="BA496" s="75"/>
      <c r="BB496" s="75"/>
    </row>
    <row r="497" spans="2:54" s="560" customFormat="1" ht="16.5" customHeight="1">
      <c r="B497" s="72"/>
      <c r="C497" s="72"/>
      <c r="D497" s="72"/>
      <c r="E497" s="73"/>
      <c r="F497" s="641"/>
      <c r="G497" s="73"/>
      <c r="H497" s="641"/>
      <c r="I497" s="641"/>
      <c r="J497" s="641"/>
      <c r="K497" s="641"/>
      <c r="L497" s="73"/>
      <c r="M497" s="72"/>
      <c r="N497" s="72"/>
      <c r="O497" s="642"/>
      <c r="P497" s="642"/>
      <c r="Q497" s="74"/>
      <c r="R497" s="641"/>
      <c r="S497" s="641"/>
      <c r="T497" s="72"/>
      <c r="U497" s="72"/>
      <c r="V497" s="72"/>
      <c r="W497" s="72"/>
      <c r="X497" s="72"/>
      <c r="Y497" s="72"/>
      <c r="Z497" s="72"/>
      <c r="AA497" s="73"/>
      <c r="AB497" s="72"/>
      <c r="AC497" s="641"/>
      <c r="AD497" s="72"/>
      <c r="AE497" s="641"/>
      <c r="AF497" s="641"/>
      <c r="AG497" s="72"/>
      <c r="AH497" s="72"/>
      <c r="AI497" s="72"/>
      <c r="AJ497" s="72"/>
      <c r="AK497" s="72"/>
      <c r="AL497" s="72"/>
      <c r="AM497" s="72"/>
      <c r="AN497" s="73"/>
      <c r="AO497" s="641"/>
      <c r="AP497" s="641"/>
      <c r="AQ497" s="641"/>
      <c r="AR497" s="641"/>
      <c r="AS497" s="641"/>
      <c r="AT497" s="641"/>
      <c r="AU497" s="72"/>
      <c r="AV497" s="73"/>
      <c r="AW497" s="643"/>
      <c r="AX497" s="643"/>
      <c r="AY497" s="643"/>
      <c r="AZ497" s="75"/>
      <c r="BA497" s="75"/>
      <c r="BB497" s="75"/>
    </row>
    <row r="498" spans="2:54" s="560" customFormat="1" ht="16.5" customHeight="1">
      <c r="B498" s="72"/>
      <c r="C498" s="72"/>
      <c r="D498" s="72"/>
      <c r="E498" s="73"/>
      <c r="F498" s="641"/>
      <c r="G498" s="73"/>
      <c r="H498" s="641"/>
      <c r="I498" s="641"/>
      <c r="J498" s="641"/>
      <c r="K498" s="641"/>
      <c r="L498" s="73"/>
      <c r="M498" s="72"/>
      <c r="N498" s="72"/>
      <c r="O498" s="642"/>
      <c r="P498" s="642"/>
      <c r="Q498" s="74"/>
      <c r="R498" s="641"/>
      <c r="S498" s="641"/>
      <c r="T498" s="72"/>
      <c r="U498" s="72"/>
      <c r="V498" s="72"/>
      <c r="W498" s="72"/>
      <c r="X498" s="72"/>
      <c r="Y498" s="72"/>
      <c r="Z498" s="72"/>
      <c r="AA498" s="73"/>
      <c r="AB498" s="72"/>
      <c r="AC498" s="641"/>
      <c r="AD498" s="72"/>
      <c r="AE498" s="641"/>
      <c r="AF498" s="641"/>
      <c r="AG498" s="72"/>
      <c r="AH498" s="72"/>
      <c r="AI498" s="72"/>
      <c r="AJ498" s="72"/>
      <c r="AK498" s="72"/>
      <c r="AL498" s="72"/>
      <c r="AM498" s="72"/>
      <c r="AN498" s="73"/>
      <c r="AO498" s="641"/>
      <c r="AP498" s="641"/>
      <c r="AQ498" s="641"/>
      <c r="AR498" s="641"/>
      <c r="AS498" s="641"/>
      <c r="AT498" s="641"/>
      <c r="AU498" s="72"/>
      <c r="AV498" s="73"/>
      <c r="AW498" s="643"/>
      <c r="AX498" s="643"/>
      <c r="AY498" s="643"/>
      <c r="AZ498" s="75"/>
      <c r="BA498" s="75"/>
      <c r="BB498" s="75"/>
    </row>
    <row r="499" spans="2:54" s="560" customFormat="1" ht="16.5" customHeight="1">
      <c r="B499" s="72"/>
      <c r="C499" s="72"/>
      <c r="D499" s="72"/>
      <c r="E499" s="73"/>
      <c r="F499" s="641"/>
      <c r="G499" s="73"/>
      <c r="H499" s="641"/>
      <c r="I499" s="641"/>
      <c r="J499" s="641"/>
      <c r="K499" s="641"/>
      <c r="L499" s="73"/>
      <c r="M499" s="72"/>
      <c r="N499" s="72"/>
      <c r="O499" s="642"/>
      <c r="P499" s="642"/>
      <c r="Q499" s="74"/>
      <c r="R499" s="641"/>
      <c r="S499" s="641"/>
      <c r="T499" s="72"/>
      <c r="U499" s="72"/>
      <c r="V499" s="72"/>
      <c r="W499" s="72"/>
      <c r="X499" s="72"/>
      <c r="Y499" s="72"/>
      <c r="Z499" s="72"/>
      <c r="AA499" s="73"/>
      <c r="AB499" s="72"/>
      <c r="AC499" s="641"/>
      <c r="AD499" s="72"/>
      <c r="AE499" s="641"/>
      <c r="AF499" s="641"/>
      <c r="AG499" s="72"/>
      <c r="AH499" s="72"/>
      <c r="AI499" s="72"/>
      <c r="AJ499" s="72"/>
      <c r="AK499" s="72"/>
      <c r="AL499" s="72"/>
      <c r="AM499" s="72"/>
      <c r="AN499" s="73"/>
      <c r="AO499" s="641"/>
      <c r="AP499" s="641"/>
      <c r="AQ499" s="641"/>
      <c r="AR499" s="641"/>
      <c r="AS499" s="641"/>
      <c r="AT499" s="641"/>
      <c r="AU499" s="72"/>
      <c r="AV499" s="73"/>
      <c r="AW499" s="643"/>
      <c r="AX499" s="643"/>
      <c r="AY499" s="643"/>
      <c r="AZ499" s="75"/>
      <c r="BA499" s="75"/>
      <c r="BB499" s="75"/>
    </row>
    <row r="500" spans="2:54" s="560" customFormat="1" ht="16.5" customHeight="1">
      <c r="B500" s="72"/>
      <c r="C500" s="72"/>
      <c r="D500" s="72"/>
      <c r="E500" s="73"/>
      <c r="F500" s="641"/>
      <c r="G500" s="73"/>
      <c r="H500" s="641"/>
      <c r="I500" s="641"/>
      <c r="J500" s="641"/>
      <c r="K500" s="641"/>
      <c r="L500" s="73"/>
      <c r="M500" s="72"/>
      <c r="N500" s="72"/>
      <c r="O500" s="642"/>
      <c r="P500" s="642"/>
      <c r="Q500" s="74"/>
      <c r="R500" s="641"/>
      <c r="S500" s="641"/>
      <c r="T500" s="72"/>
      <c r="U500" s="72"/>
      <c r="V500" s="72"/>
      <c r="W500" s="72"/>
      <c r="X500" s="72"/>
      <c r="Y500" s="72"/>
      <c r="Z500" s="72"/>
      <c r="AA500" s="73"/>
      <c r="AB500" s="72"/>
      <c r="AC500" s="641"/>
      <c r="AD500" s="72"/>
      <c r="AE500" s="641"/>
      <c r="AF500" s="641"/>
      <c r="AG500" s="72"/>
      <c r="AH500" s="72"/>
      <c r="AI500" s="72"/>
      <c r="AJ500" s="72"/>
      <c r="AK500" s="72"/>
      <c r="AL500" s="72"/>
      <c r="AM500" s="72"/>
      <c r="AN500" s="73"/>
      <c r="AO500" s="641"/>
      <c r="AP500" s="641"/>
      <c r="AQ500" s="641"/>
      <c r="AR500" s="641"/>
      <c r="AS500" s="641"/>
      <c r="AT500" s="641"/>
      <c r="AU500" s="72"/>
      <c r="AV500" s="73"/>
      <c r="AW500" s="643"/>
      <c r="AX500" s="643"/>
      <c r="AY500" s="643"/>
      <c r="AZ500" s="75"/>
      <c r="BA500" s="75"/>
      <c r="BB500" s="75"/>
    </row>
    <row r="501" spans="2:54" s="560" customFormat="1" ht="16.5" customHeight="1">
      <c r="B501" s="72"/>
      <c r="C501" s="72"/>
      <c r="D501" s="72"/>
      <c r="E501" s="73"/>
      <c r="F501" s="641"/>
      <c r="G501" s="73"/>
      <c r="H501" s="641"/>
      <c r="I501" s="641"/>
      <c r="J501" s="641"/>
      <c r="K501" s="641"/>
      <c r="L501" s="73"/>
      <c r="M501" s="72"/>
      <c r="N501" s="72"/>
      <c r="O501" s="642"/>
      <c r="P501" s="642"/>
      <c r="Q501" s="74"/>
      <c r="R501" s="641"/>
      <c r="S501" s="641"/>
      <c r="T501" s="72"/>
      <c r="U501" s="72"/>
      <c r="V501" s="72"/>
      <c r="W501" s="72"/>
      <c r="X501" s="72"/>
      <c r="Y501" s="72"/>
      <c r="Z501" s="72"/>
      <c r="AA501" s="73"/>
      <c r="AB501" s="72"/>
      <c r="AC501" s="641"/>
      <c r="AD501" s="72"/>
      <c r="AE501" s="641"/>
      <c r="AF501" s="641"/>
      <c r="AG501" s="72"/>
      <c r="AH501" s="72"/>
      <c r="AI501" s="72"/>
      <c r="AJ501" s="72"/>
      <c r="AK501" s="72"/>
      <c r="AL501" s="72"/>
      <c r="AM501" s="72"/>
      <c r="AN501" s="73"/>
      <c r="AO501" s="641"/>
      <c r="AP501" s="641"/>
      <c r="AQ501" s="641"/>
      <c r="AR501" s="641"/>
      <c r="AS501" s="641"/>
      <c r="AT501" s="641"/>
      <c r="AU501" s="72"/>
      <c r="AV501" s="73"/>
      <c r="AW501" s="643"/>
      <c r="AX501" s="643"/>
      <c r="AY501" s="643"/>
      <c r="AZ501" s="75"/>
      <c r="BA501" s="75"/>
      <c r="BB501" s="75"/>
    </row>
    <row r="502" spans="2:54" s="560" customFormat="1" ht="16.5" customHeight="1">
      <c r="B502" s="72"/>
      <c r="C502" s="72"/>
      <c r="D502" s="72"/>
      <c r="E502" s="73"/>
      <c r="F502" s="641"/>
      <c r="G502" s="73"/>
      <c r="H502" s="641"/>
      <c r="I502" s="641"/>
      <c r="J502" s="641"/>
      <c r="K502" s="641"/>
      <c r="L502" s="73"/>
      <c r="M502" s="72"/>
      <c r="N502" s="72"/>
      <c r="O502" s="642"/>
      <c r="P502" s="642"/>
      <c r="Q502" s="74"/>
      <c r="R502" s="641"/>
      <c r="S502" s="641"/>
      <c r="T502" s="72"/>
      <c r="U502" s="72"/>
      <c r="V502" s="72"/>
      <c r="W502" s="72"/>
      <c r="X502" s="72"/>
      <c r="Y502" s="72"/>
      <c r="Z502" s="72"/>
      <c r="AA502" s="73"/>
      <c r="AB502" s="72"/>
      <c r="AC502" s="641"/>
      <c r="AD502" s="72"/>
      <c r="AE502" s="641"/>
      <c r="AF502" s="641"/>
      <c r="AG502" s="72"/>
      <c r="AH502" s="72"/>
      <c r="AI502" s="72"/>
      <c r="AJ502" s="72"/>
      <c r="AK502" s="72"/>
      <c r="AL502" s="72"/>
      <c r="AM502" s="72"/>
      <c r="AN502" s="73"/>
      <c r="AO502" s="641"/>
      <c r="AP502" s="641"/>
      <c r="AQ502" s="641"/>
      <c r="AR502" s="641"/>
      <c r="AS502" s="641"/>
      <c r="AT502" s="641"/>
      <c r="AU502" s="72"/>
      <c r="AV502" s="73"/>
      <c r="AW502" s="643"/>
      <c r="AX502" s="643"/>
      <c r="AY502" s="643"/>
      <c r="AZ502" s="75"/>
      <c r="BA502" s="75"/>
      <c r="BB502" s="75"/>
    </row>
    <row r="503" spans="2:54" s="560" customFormat="1" ht="16.5" customHeight="1">
      <c r="B503" s="72"/>
      <c r="C503" s="72"/>
      <c r="D503" s="72"/>
      <c r="E503" s="73"/>
      <c r="F503" s="641"/>
      <c r="G503" s="73"/>
      <c r="H503" s="641"/>
      <c r="I503" s="641"/>
      <c r="J503" s="641"/>
      <c r="K503" s="641"/>
      <c r="L503" s="73"/>
      <c r="M503" s="72"/>
      <c r="N503" s="72"/>
      <c r="O503" s="642"/>
      <c r="P503" s="642"/>
      <c r="Q503" s="74"/>
      <c r="R503" s="641"/>
      <c r="S503" s="641"/>
      <c r="T503" s="72"/>
      <c r="U503" s="72"/>
      <c r="V503" s="72"/>
      <c r="W503" s="72"/>
      <c r="X503" s="72"/>
      <c r="Y503" s="72"/>
      <c r="Z503" s="72"/>
      <c r="AA503" s="73"/>
      <c r="AB503" s="72"/>
      <c r="AC503" s="641"/>
      <c r="AD503" s="72"/>
      <c r="AE503" s="641"/>
      <c r="AF503" s="641"/>
      <c r="AG503" s="72"/>
      <c r="AH503" s="72"/>
      <c r="AI503" s="72"/>
      <c r="AJ503" s="72"/>
      <c r="AK503" s="72"/>
      <c r="AL503" s="72"/>
      <c r="AM503" s="72"/>
      <c r="AN503" s="73"/>
      <c r="AO503" s="641"/>
      <c r="AP503" s="641"/>
      <c r="AQ503" s="641"/>
      <c r="AR503" s="641"/>
      <c r="AS503" s="641"/>
      <c r="AT503" s="641"/>
      <c r="AU503" s="72"/>
      <c r="AV503" s="73"/>
      <c r="AW503" s="643"/>
      <c r="AX503" s="643"/>
      <c r="AY503" s="643"/>
      <c r="AZ503" s="75"/>
      <c r="BA503" s="75"/>
      <c r="BB503" s="75"/>
    </row>
    <row r="504" spans="2:54" s="560" customFormat="1" ht="16.5" customHeight="1">
      <c r="B504" s="72"/>
      <c r="C504" s="72"/>
      <c r="D504" s="72"/>
      <c r="E504" s="73"/>
      <c r="F504" s="641"/>
      <c r="G504" s="73"/>
      <c r="H504" s="641"/>
      <c r="I504" s="641"/>
      <c r="J504" s="641"/>
      <c r="K504" s="641"/>
      <c r="L504" s="73"/>
      <c r="M504" s="72"/>
      <c r="N504" s="72"/>
      <c r="O504" s="642"/>
      <c r="P504" s="642"/>
      <c r="Q504" s="74"/>
      <c r="R504" s="641"/>
      <c r="S504" s="641"/>
      <c r="T504" s="72"/>
      <c r="U504" s="72"/>
      <c r="V504" s="72"/>
      <c r="W504" s="72"/>
      <c r="X504" s="72"/>
      <c r="Y504" s="72"/>
      <c r="Z504" s="72"/>
      <c r="AA504" s="73"/>
      <c r="AB504" s="72"/>
      <c r="AC504" s="641"/>
      <c r="AD504" s="72"/>
      <c r="AE504" s="641"/>
      <c r="AF504" s="641"/>
      <c r="AG504" s="72"/>
      <c r="AH504" s="72"/>
      <c r="AI504" s="72"/>
      <c r="AJ504" s="72"/>
      <c r="AK504" s="72"/>
      <c r="AL504" s="72"/>
      <c r="AM504" s="72"/>
      <c r="AN504" s="73"/>
      <c r="AO504" s="641"/>
      <c r="AP504" s="641"/>
      <c r="AQ504" s="641"/>
      <c r="AR504" s="641"/>
      <c r="AS504" s="641"/>
      <c r="AT504" s="641"/>
      <c r="AU504" s="72"/>
      <c r="AV504" s="73"/>
      <c r="AW504" s="643"/>
      <c r="AX504" s="643"/>
      <c r="AY504" s="643"/>
      <c r="AZ504" s="75"/>
      <c r="BA504" s="75"/>
      <c r="BB504" s="75"/>
    </row>
    <row r="505" spans="2:54" s="560" customFormat="1" ht="16.5" customHeight="1">
      <c r="B505" s="72"/>
      <c r="C505" s="72"/>
      <c r="D505" s="72"/>
      <c r="E505" s="73"/>
      <c r="F505" s="641"/>
      <c r="G505" s="73"/>
      <c r="H505" s="641"/>
      <c r="I505" s="641"/>
      <c r="J505" s="641"/>
      <c r="K505" s="641"/>
      <c r="L505" s="73"/>
      <c r="M505" s="72"/>
      <c r="N505" s="72"/>
      <c r="O505" s="642"/>
      <c r="P505" s="642"/>
      <c r="Q505" s="74"/>
      <c r="R505" s="641"/>
      <c r="S505" s="641"/>
      <c r="T505" s="72"/>
      <c r="U505" s="72"/>
      <c r="V505" s="72"/>
      <c r="W505" s="72"/>
      <c r="X505" s="72"/>
      <c r="Y505" s="72"/>
      <c r="Z505" s="72"/>
      <c r="AA505" s="73"/>
      <c r="AB505" s="72"/>
      <c r="AC505" s="641"/>
      <c r="AD505" s="72"/>
      <c r="AE505" s="641"/>
      <c r="AF505" s="641"/>
      <c r="AG505" s="72"/>
      <c r="AH505" s="72"/>
      <c r="AI505" s="72"/>
      <c r="AJ505" s="72"/>
      <c r="AK505" s="72"/>
      <c r="AL505" s="72"/>
      <c r="AM505" s="72"/>
      <c r="AN505" s="73"/>
      <c r="AO505" s="641"/>
      <c r="AP505" s="641"/>
      <c r="AQ505" s="641"/>
      <c r="AR505" s="641"/>
      <c r="AS505" s="641"/>
      <c r="AT505" s="641"/>
      <c r="AU505" s="72"/>
      <c r="AV505" s="73"/>
      <c r="AW505" s="643"/>
      <c r="AX505" s="643"/>
      <c r="AY505" s="643"/>
      <c r="AZ505" s="75"/>
      <c r="BA505" s="75"/>
      <c r="BB505" s="75"/>
    </row>
    <row r="506" spans="2:54" s="560" customFormat="1" ht="16.5" customHeight="1">
      <c r="B506" s="72"/>
      <c r="C506" s="72"/>
      <c r="D506" s="72"/>
      <c r="E506" s="73"/>
      <c r="F506" s="641"/>
      <c r="G506" s="73"/>
      <c r="H506" s="641"/>
      <c r="I506" s="641"/>
      <c r="J506" s="641"/>
      <c r="K506" s="641"/>
      <c r="L506" s="73"/>
      <c r="M506" s="72"/>
      <c r="N506" s="72"/>
      <c r="O506" s="642"/>
      <c r="P506" s="642"/>
      <c r="Q506" s="74"/>
      <c r="R506" s="641"/>
      <c r="S506" s="641"/>
      <c r="T506" s="72"/>
      <c r="U506" s="72"/>
      <c r="V506" s="72"/>
      <c r="W506" s="72"/>
      <c r="X506" s="72"/>
      <c r="Y506" s="72"/>
      <c r="Z506" s="72"/>
      <c r="AA506" s="73"/>
      <c r="AB506" s="72"/>
      <c r="AC506" s="641"/>
      <c r="AD506" s="72"/>
      <c r="AE506" s="641"/>
      <c r="AF506" s="641"/>
      <c r="AG506" s="72"/>
      <c r="AH506" s="72"/>
      <c r="AI506" s="72"/>
      <c r="AJ506" s="72"/>
      <c r="AK506" s="72"/>
      <c r="AL506" s="72"/>
      <c r="AM506" s="72"/>
      <c r="AN506" s="73"/>
      <c r="AO506" s="641"/>
      <c r="AP506" s="641"/>
      <c r="AQ506" s="641"/>
      <c r="AR506" s="641"/>
      <c r="AS506" s="641"/>
      <c r="AT506" s="641"/>
      <c r="AU506" s="72"/>
      <c r="AV506" s="73"/>
      <c r="AW506" s="643"/>
      <c r="AX506" s="643"/>
      <c r="AY506" s="643"/>
      <c r="AZ506" s="75"/>
      <c r="BA506" s="75"/>
      <c r="BB506" s="75"/>
    </row>
    <row r="507" spans="2:54" s="560" customFormat="1" ht="16.5" customHeight="1">
      <c r="B507" s="72"/>
      <c r="C507" s="72"/>
      <c r="D507" s="72"/>
      <c r="E507" s="73"/>
      <c r="F507" s="641"/>
      <c r="G507" s="73"/>
      <c r="H507" s="641"/>
      <c r="I507" s="641"/>
      <c r="J507" s="641"/>
      <c r="K507" s="641"/>
      <c r="L507" s="73"/>
      <c r="M507" s="72"/>
      <c r="N507" s="72"/>
      <c r="O507" s="642"/>
      <c r="P507" s="642"/>
      <c r="Q507" s="74"/>
      <c r="R507" s="641"/>
      <c r="S507" s="641"/>
      <c r="T507" s="72"/>
      <c r="U507" s="72"/>
      <c r="V507" s="72"/>
      <c r="W507" s="72"/>
      <c r="X507" s="72"/>
      <c r="Y507" s="72"/>
      <c r="Z507" s="72"/>
      <c r="AA507" s="73"/>
      <c r="AB507" s="72"/>
      <c r="AC507" s="641"/>
      <c r="AD507" s="72"/>
      <c r="AE507" s="641"/>
      <c r="AF507" s="641"/>
      <c r="AG507" s="72"/>
      <c r="AH507" s="72"/>
      <c r="AI507" s="72"/>
      <c r="AJ507" s="72"/>
      <c r="AK507" s="72"/>
      <c r="AL507" s="72"/>
      <c r="AM507" s="72"/>
      <c r="AN507" s="73"/>
      <c r="AO507" s="641"/>
      <c r="AP507" s="641"/>
      <c r="AQ507" s="641"/>
      <c r="AR507" s="641"/>
      <c r="AS507" s="641"/>
      <c r="AT507" s="641"/>
      <c r="AU507" s="72"/>
      <c r="AV507" s="73"/>
      <c r="AW507" s="643"/>
      <c r="AX507" s="643"/>
      <c r="AY507" s="643"/>
      <c r="AZ507" s="75"/>
      <c r="BA507" s="75"/>
      <c r="BB507" s="75"/>
    </row>
    <row r="508" spans="2:54" s="560" customFormat="1" ht="16.5" customHeight="1">
      <c r="B508" s="72"/>
      <c r="C508" s="72"/>
      <c r="D508" s="72"/>
      <c r="E508" s="73"/>
      <c r="F508" s="641"/>
      <c r="G508" s="73"/>
      <c r="H508" s="641"/>
      <c r="I508" s="641"/>
      <c r="J508" s="641"/>
      <c r="K508" s="641"/>
      <c r="L508" s="73"/>
      <c r="M508" s="72"/>
      <c r="N508" s="72"/>
      <c r="O508" s="642"/>
      <c r="P508" s="642"/>
      <c r="Q508" s="74"/>
      <c r="R508" s="641"/>
      <c r="S508" s="641"/>
      <c r="T508" s="72"/>
      <c r="U508" s="72"/>
      <c r="V508" s="72"/>
      <c r="W508" s="72"/>
      <c r="X508" s="72"/>
      <c r="Y508" s="72"/>
      <c r="Z508" s="72"/>
      <c r="AA508" s="73"/>
      <c r="AB508" s="72"/>
      <c r="AC508" s="641"/>
      <c r="AD508" s="72"/>
      <c r="AE508" s="641"/>
      <c r="AF508" s="641"/>
      <c r="AG508" s="72"/>
      <c r="AH508" s="72"/>
      <c r="AI508" s="72"/>
      <c r="AJ508" s="72"/>
      <c r="AK508" s="72"/>
      <c r="AL508" s="72"/>
      <c r="AM508" s="72"/>
      <c r="AN508" s="73"/>
      <c r="AO508" s="641"/>
      <c r="AP508" s="641"/>
      <c r="AQ508" s="641"/>
      <c r="AR508" s="641"/>
      <c r="AS508" s="641"/>
      <c r="AT508" s="641"/>
      <c r="AU508" s="72"/>
      <c r="AV508" s="73"/>
      <c r="AW508" s="643"/>
      <c r="AX508" s="643"/>
      <c r="AY508" s="643"/>
      <c r="AZ508" s="75"/>
      <c r="BA508" s="75"/>
      <c r="BB508" s="75"/>
    </row>
    <row r="509" spans="2:54" s="560" customFormat="1" ht="16.5" customHeight="1">
      <c r="B509" s="72"/>
      <c r="C509" s="72"/>
      <c r="D509" s="72"/>
      <c r="E509" s="73"/>
      <c r="F509" s="641"/>
      <c r="G509" s="73"/>
      <c r="H509" s="641"/>
      <c r="I509" s="641"/>
      <c r="J509" s="641"/>
      <c r="K509" s="641"/>
      <c r="L509" s="73"/>
      <c r="M509" s="72"/>
      <c r="N509" s="72"/>
      <c r="O509" s="642"/>
      <c r="P509" s="642"/>
      <c r="Q509" s="74"/>
      <c r="R509" s="641"/>
      <c r="S509" s="641"/>
      <c r="T509" s="72"/>
      <c r="U509" s="72"/>
      <c r="V509" s="72"/>
      <c r="W509" s="72"/>
      <c r="X509" s="72"/>
      <c r="Y509" s="72"/>
      <c r="Z509" s="72"/>
      <c r="AA509" s="73"/>
      <c r="AB509" s="72"/>
      <c r="AC509" s="641"/>
      <c r="AD509" s="72"/>
      <c r="AE509" s="641"/>
      <c r="AF509" s="641"/>
      <c r="AG509" s="72"/>
      <c r="AH509" s="72"/>
      <c r="AI509" s="72"/>
      <c r="AJ509" s="72"/>
      <c r="AK509" s="72"/>
      <c r="AL509" s="72"/>
      <c r="AM509" s="72"/>
      <c r="AN509" s="73"/>
      <c r="AO509" s="641"/>
      <c r="AP509" s="641"/>
      <c r="AQ509" s="641"/>
      <c r="AR509" s="641"/>
      <c r="AS509" s="641"/>
      <c r="AT509" s="641"/>
      <c r="AU509" s="72"/>
      <c r="AV509" s="73"/>
      <c r="AW509" s="643"/>
      <c r="AX509" s="643"/>
      <c r="AY509" s="643"/>
      <c r="AZ509" s="75"/>
      <c r="BA509" s="75"/>
      <c r="BB509" s="75"/>
    </row>
    <row r="510" spans="2:54" s="560" customFormat="1" ht="16.5" customHeight="1">
      <c r="B510" s="72"/>
      <c r="C510" s="72"/>
      <c r="D510" s="72"/>
      <c r="E510" s="73"/>
      <c r="F510" s="641"/>
      <c r="G510" s="73"/>
      <c r="H510" s="641"/>
      <c r="I510" s="641"/>
      <c r="J510" s="641"/>
      <c r="K510" s="641"/>
      <c r="L510" s="73"/>
      <c r="M510" s="72"/>
      <c r="N510" s="72"/>
      <c r="O510" s="642"/>
      <c r="P510" s="642"/>
      <c r="Q510" s="74"/>
      <c r="R510" s="641"/>
      <c r="S510" s="641"/>
      <c r="T510" s="72"/>
      <c r="U510" s="72"/>
      <c r="V510" s="72"/>
      <c r="W510" s="72"/>
      <c r="X510" s="72"/>
      <c r="Y510" s="72"/>
      <c r="Z510" s="72"/>
      <c r="AA510" s="73"/>
      <c r="AB510" s="72"/>
      <c r="AC510" s="641"/>
      <c r="AD510" s="72"/>
      <c r="AE510" s="641"/>
      <c r="AF510" s="641"/>
      <c r="AG510" s="72"/>
      <c r="AH510" s="72"/>
      <c r="AI510" s="72"/>
      <c r="AJ510" s="72"/>
      <c r="AK510" s="72"/>
      <c r="AL510" s="72"/>
      <c r="AM510" s="72"/>
      <c r="AN510" s="73"/>
      <c r="AO510" s="641"/>
      <c r="AP510" s="641"/>
      <c r="AQ510" s="641"/>
      <c r="AR510" s="641"/>
      <c r="AS510" s="641"/>
      <c r="AT510" s="641"/>
      <c r="AU510" s="72"/>
      <c r="AV510" s="73"/>
      <c r="AW510" s="643"/>
      <c r="AX510" s="643"/>
      <c r="AY510" s="643"/>
      <c r="AZ510" s="75"/>
      <c r="BA510" s="75"/>
      <c r="BB510" s="75"/>
    </row>
    <row r="511" spans="2:54" s="560" customFormat="1" ht="16.5" customHeight="1">
      <c r="B511" s="72"/>
      <c r="C511" s="72"/>
      <c r="D511" s="72"/>
      <c r="E511" s="73"/>
      <c r="F511" s="641"/>
      <c r="G511" s="73"/>
      <c r="H511" s="641"/>
      <c r="I511" s="641"/>
      <c r="J511" s="641"/>
      <c r="K511" s="641"/>
      <c r="L511" s="73"/>
      <c r="M511" s="72"/>
      <c r="N511" s="72"/>
      <c r="O511" s="642"/>
      <c r="P511" s="642"/>
      <c r="Q511" s="74"/>
      <c r="R511" s="641"/>
      <c r="S511" s="641"/>
      <c r="T511" s="72"/>
      <c r="U511" s="72"/>
      <c r="V511" s="72"/>
      <c r="W511" s="72"/>
      <c r="X511" s="72"/>
      <c r="Y511" s="72"/>
      <c r="Z511" s="72"/>
      <c r="AA511" s="73"/>
      <c r="AB511" s="72"/>
      <c r="AC511" s="641"/>
      <c r="AD511" s="72"/>
      <c r="AE511" s="641"/>
      <c r="AF511" s="641"/>
      <c r="AG511" s="72"/>
      <c r="AH511" s="72"/>
      <c r="AI511" s="72"/>
      <c r="AJ511" s="72"/>
      <c r="AK511" s="72"/>
      <c r="AL511" s="72"/>
      <c r="AM511" s="72"/>
      <c r="AN511" s="73"/>
      <c r="AO511" s="641"/>
      <c r="AP511" s="641"/>
      <c r="AQ511" s="641"/>
      <c r="AR511" s="641"/>
      <c r="AS511" s="641"/>
      <c r="AT511" s="641"/>
      <c r="AU511" s="72"/>
      <c r="AV511" s="73"/>
      <c r="AW511" s="643"/>
      <c r="AX511" s="643"/>
      <c r="AY511" s="643"/>
      <c r="AZ511" s="75"/>
      <c r="BA511" s="75"/>
      <c r="BB511" s="75"/>
    </row>
    <row r="512" spans="2:54" s="560" customFormat="1" ht="16.5" customHeight="1">
      <c r="B512" s="72"/>
      <c r="C512" s="72"/>
      <c r="D512" s="72"/>
      <c r="E512" s="73"/>
      <c r="F512" s="641"/>
      <c r="G512" s="73"/>
      <c r="H512" s="641"/>
      <c r="I512" s="641"/>
      <c r="J512" s="641"/>
      <c r="K512" s="641"/>
      <c r="L512" s="73"/>
      <c r="M512" s="72"/>
      <c r="N512" s="72"/>
      <c r="O512" s="642"/>
      <c r="P512" s="642"/>
      <c r="Q512" s="74"/>
      <c r="R512" s="641"/>
      <c r="S512" s="641"/>
      <c r="T512" s="72"/>
      <c r="U512" s="72"/>
      <c r="V512" s="72"/>
      <c r="W512" s="72"/>
      <c r="X512" s="72"/>
      <c r="Y512" s="72"/>
      <c r="Z512" s="72"/>
      <c r="AA512" s="73"/>
      <c r="AB512" s="72"/>
      <c r="AC512" s="641"/>
      <c r="AD512" s="72"/>
      <c r="AE512" s="641"/>
      <c r="AF512" s="641"/>
      <c r="AG512" s="72"/>
      <c r="AH512" s="72"/>
      <c r="AI512" s="72"/>
      <c r="AJ512" s="72"/>
      <c r="AK512" s="72"/>
      <c r="AL512" s="72"/>
      <c r="AM512" s="72"/>
      <c r="AN512" s="73"/>
      <c r="AO512" s="641"/>
      <c r="AP512" s="641"/>
      <c r="AQ512" s="641"/>
      <c r="AR512" s="641"/>
      <c r="AS512" s="641"/>
      <c r="AT512" s="641"/>
      <c r="AU512" s="72"/>
      <c r="AV512" s="73"/>
      <c r="AW512" s="643"/>
      <c r="AX512" s="643"/>
      <c r="AY512" s="643"/>
      <c r="AZ512" s="75"/>
      <c r="BA512" s="75"/>
      <c r="BB512" s="75"/>
    </row>
    <row r="513" spans="2:54" s="560" customFormat="1" ht="16.5" customHeight="1">
      <c r="B513" s="72"/>
      <c r="C513" s="72"/>
      <c r="D513" s="72"/>
      <c r="E513" s="73"/>
      <c r="F513" s="641"/>
      <c r="G513" s="73"/>
      <c r="H513" s="641"/>
      <c r="I513" s="641"/>
      <c r="J513" s="641"/>
      <c r="K513" s="641"/>
      <c r="L513" s="73"/>
      <c r="M513" s="72"/>
      <c r="N513" s="72"/>
      <c r="O513" s="642"/>
      <c r="P513" s="642"/>
      <c r="Q513" s="74"/>
      <c r="R513" s="641"/>
      <c r="S513" s="641"/>
      <c r="T513" s="72"/>
      <c r="U513" s="72"/>
      <c r="V513" s="72"/>
      <c r="W513" s="72"/>
      <c r="X513" s="72"/>
      <c r="Y513" s="72"/>
      <c r="Z513" s="72"/>
      <c r="AA513" s="73"/>
      <c r="AB513" s="72"/>
      <c r="AC513" s="641"/>
      <c r="AD513" s="72"/>
      <c r="AE513" s="641"/>
      <c r="AF513" s="641"/>
      <c r="AG513" s="72"/>
      <c r="AH513" s="72"/>
      <c r="AI513" s="72"/>
      <c r="AJ513" s="72"/>
      <c r="AK513" s="72"/>
      <c r="AL513" s="72"/>
      <c r="AM513" s="72"/>
      <c r="AN513" s="73"/>
      <c r="AO513" s="641"/>
      <c r="AP513" s="641"/>
      <c r="AQ513" s="641"/>
      <c r="AR513" s="641"/>
      <c r="AS513" s="641"/>
      <c r="AT513" s="641"/>
      <c r="AU513" s="72"/>
      <c r="AV513" s="73"/>
      <c r="AW513" s="643"/>
      <c r="AX513" s="643"/>
      <c r="AY513" s="643"/>
      <c r="AZ513" s="75"/>
      <c r="BA513" s="75"/>
      <c r="BB513" s="75"/>
    </row>
    <row r="514" spans="2:54" s="560" customFormat="1" ht="16.5" customHeight="1">
      <c r="B514" s="72"/>
      <c r="C514" s="72"/>
      <c r="D514" s="72"/>
      <c r="E514" s="73"/>
      <c r="F514" s="641"/>
      <c r="G514" s="73"/>
      <c r="H514" s="641"/>
      <c r="I514" s="641"/>
      <c r="J514" s="641"/>
      <c r="K514" s="641"/>
      <c r="L514" s="73"/>
      <c r="M514" s="72"/>
      <c r="N514" s="72"/>
      <c r="O514" s="642"/>
      <c r="P514" s="642"/>
      <c r="Q514" s="74"/>
      <c r="R514" s="641"/>
      <c r="S514" s="641"/>
      <c r="T514" s="72"/>
      <c r="U514" s="72"/>
      <c r="V514" s="72"/>
      <c r="W514" s="72"/>
      <c r="X514" s="72"/>
      <c r="Y514" s="72"/>
      <c r="Z514" s="72"/>
      <c r="AA514" s="73"/>
      <c r="AB514" s="72"/>
      <c r="AC514" s="641"/>
      <c r="AD514" s="72"/>
      <c r="AE514" s="641"/>
      <c r="AF514" s="641"/>
      <c r="AG514" s="72"/>
      <c r="AH514" s="72"/>
      <c r="AI514" s="72"/>
      <c r="AJ514" s="72"/>
      <c r="AK514" s="72"/>
      <c r="AL514" s="72"/>
      <c r="AM514" s="72"/>
      <c r="AN514" s="73"/>
      <c r="AO514" s="641"/>
      <c r="AP514" s="641"/>
      <c r="AQ514" s="641"/>
      <c r="AR514" s="641"/>
      <c r="AS514" s="641"/>
      <c r="AT514" s="641"/>
      <c r="AU514" s="72"/>
      <c r="AV514" s="73"/>
      <c r="AW514" s="643"/>
      <c r="AX514" s="643"/>
      <c r="AY514" s="643"/>
      <c r="AZ514" s="75"/>
      <c r="BA514" s="75"/>
      <c r="BB514" s="75"/>
    </row>
    <row r="515" spans="2:54" s="560" customFormat="1" ht="16.5" customHeight="1">
      <c r="B515" s="72"/>
      <c r="C515" s="72"/>
      <c r="D515" s="72"/>
      <c r="E515" s="73"/>
      <c r="F515" s="641"/>
      <c r="G515" s="73"/>
      <c r="H515" s="641"/>
      <c r="I515" s="641"/>
      <c r="J515" s="641"/>
      <c r="K515" s="641"/>
      <c r="L515" s="73"/>
      <c r="M515" s="72"/>
      <c r="N515" s="72"/>
      <c r="O515" s="642"/>
      <c r="P515" s="642"/>
      <c r="Q515" s="74"/>
      <c r="R515" s="641"/>
      <c r="S515" s="641"/>
      <c r="T515" s="72"/>
      <c r="U515" s="72"/>
      <c r="V515" s="72"/>
      <c r="W515" s="72"/>
      <c r="X515" s="72"/>
      <c r="Y515" s="72"/>
      <c r="Z515" s="72"/>
      <c r="AA515" s="73"/>
      <c r="AB515" s="72"/>
      <c r="AC515" s="641"/>
      <c r="AD515" s="72"/>
      <c r="AE515" s="641"/>
      <c r="AF515" s="641"/>
      <c r="AG515" s="72"/>
      <c r="AH515" s="72"/>
      <c r="AI515" s="72"/>
      <c r="AJ515" s="72"/>
      <c r="AK515" s="72"/>
      <c r="AL515" s="72"/>
      <c r="AM515" s="72"/>
      <c r="AN515" s="73"/>
      <c r="AO515" s="641"/>
      <c r="AP515" s="641"/>
      <c r="AQ515" s="641"/>
      <c r="AR515" s="641"/>
      <c r="AS515" s="641"/>
      <c r="AT515" s="641"/>
      <c r="AU515" s="72"/>
      <c r="AV515" s="73"/>
      <c r="AW515" s="643"/>
      <c r="AX515" s="643"/>
      <c r="AY515" s="643"/>
      <c r="AZ515" s="75"/>
      <c r="BA515" s="75"/>
      <c r="BB515" s="75"/>
    </row>
    <row r="516" spans="2:54" s="560" customFormat="1" ht="16.5" customHeight="1">
      <c r="B516" s="72"/>
      <c r="C516" s="72"/>
      <c r="D516" s="72"/>
      <c r="E516" s="73"/>
      <c r="F516" s="641"/>
      <c r="G516" s="73"/>
      <c r="H516" s="641"/>
      <c r="I516" s="641"/>
      <c r="J516" s="641"/>
      <c r="K516" s="641"/>
      <c r="L516" s="73"/>
      <c r="M516" s="72"/>
      <c r="N516" s="72"/>
      <c r="O516" s="642"/>
      <c r="P516" s="642"/>
      <c r="Q516" s="74"/>
      <c r="R516" s="641"/>
      <c r="S516" s="641"/>
      <c r="T516" s="72"/>
      <c r="U516" s="72"/>
      <c r="V516" s="72"/>
      <c r="W516" s="72"/>
      <c r="X516" s="72"/>
      <c r="Y516" s="72"/>
      <c r="Z516" s="72"/>
      <c r="AA516" s="73"/>
      <c r="AB516" s="72"/>
      <c r="AC516" s="641"/>
      <c r="AD516" s="72"/>
      <c r="AE516" s="641"/>
      <c r="AF516" s="641"/>
      <c r="AG516" s="72"/>
      <c r="AH516" s="72"/>
      <c r="AI516" s="72"/>
      <c r="AJ516" s="72"/>
      <c r="AK516" s="72"/>
      <c r="AL516" s="72"/>
      <c r="AM516" s="72"/>
      <c r="AN516" s="73"/>
      <c r="AO516" s="641"/>
      <c r="AP516" s="641"/>
      <c r="AQ516" s="641"/>
      <c r="AR516" s="641"/>
      <c r="AS516" s="641"/>
      <c r="AT516" s="641"/>
      <c r="AU516" s="72"/>
      <c r="AV516" s="73"/>
      <c r="AW516" s="643"/>
      <c r="AX516" s="643"/>
      <c r="AY516" s="643"/>
      <c r="AZ516" s="75"/>
      <c r="BA516" s="75"/>
      <c r="BB516" s="75"/>
    </row>
    <row r="517" spans="2:54" s="560" customFormat="1" ht="16.5" customHeight="1">
      <c r="B517" s="72"/>
      <c r="C517" s="72"/>
      <c r="D517" s="72"/>
      <c r="E517" s="73"/>
      <c r="F517" s="641"/>
      <c r="G517" s="73"/>
      <c r="H517" s="641"/>
      <c r="I517" s="641"/>
      <c r="J517" s="641"/>
      <c r="K517" s="641"/>
      <c r="L517" s="73"/>
      <c r="M517" s="72"/>
      <c r="N517" s="72"/>
      <c r="O517" s="642"/>
      <c r="P517" s="642"/>
      <c r="Q517" s="74"/>
      <c r="R517" s="641"/>
      <c r="S517" s="641"/>
      <c r="T517" s="72"/>
      <c r="U517" s="72"/>
      <c r="V517" s="72"/>
      <c r="W517" s="72"/>
      <c r="X517" s="72"/>
      <c r="Y517" s="72"/>
      <c r="Z517" s="72"/>
      <c r="AA517" s="73"/>
      <c r="AB517" s="72"/>
      <c r="AC517" s="641"/>
      <c r="AD517" s="72"/>
      <c r="AE517" s="641"/>
      <c r="AF517" s="641"/>
      <c r="AG517" s="72"/>
      <c r="AH517" s="72"/>
      <c r="AI517" s="72"/>
      <c r="AJ517" s="72"/>
      <c r="AK517" s="72"/>
      <c r="AL517" s="72"/>
      <c r="AM517" s="72"/>
      <c r="AN517" s="73"/>
      <c r="AO517" s="641"/>
      <c r="AP517" s="641"/>
      <c r="AQ517" s="641"/>
      <c r="AR517" s="641"/>
      <c r="AS517" s="641"/>
      <c r="AT517" s="641"/>
      <c r="AU517" s="72"/>
      <c r="AV517" s="73"/>
      <c r="AW517" s="643"/>
      <c r="AX517" s="643"/>
      <c r="AY517" s="643"/>
      <c r="AZ517" s="75"/>
      <c r="BA517" s="75"/>
      <c r="BB517" s="75"/>
    </row>
    <row r="518" spans="2:54" s="560" customFormat="1" ht="16.5" customHeight="1">
      <c r="B518" s="72"/>
      <c r="C518" s="72"/>
      <c r="D518" s="72"/>
      <c r="E518" s="73"/>
      <c r="F518" s="641"/>
      <c r="G518" s="73"/>
      <c r="H518" s="641"/>
      <c r="I518" s="641"/>
      <c r="J518" s="641"/>
      <c r="K518" s="641"/>
      <c r="L518" s="73"/>
      <c r="M518" s="72"/>
      <c r="N518" s="72"/>
      <c r="O518" s="642"/>
      <c r="P518" s="642"/>
      <c r="Q518" s="74"/>
      <c r="R518" s="641"/>
      <c r="S518" s="641"/>
      <c r="T518" s="72"/>
      <c r="U518" s="72"/>
      <c r="V518" s="72"/>
      <c r="W518" s="72"/>
      <c r="X518" s="72"/>
      <c r="Y518" s="72"/>
      <c r="Z518" s="72"/>
      <c r="AA518" s="73"/>
      <c r="AB518" s="72"/>
      <c r="AC518" s="641"/>
      <c r="AD518" s="72"/>
      <c r="AE518" s="641"/>
      <c r="AF518" s="641"/>
      <c r="AG518" s="72"/>
      <c r="AH518" s="72"/>
      <c r="AI518" s="72"/>
      <c r="AJ518" s="72"/>
      <c r="AK518" s="72"/>
      <c r="AL518" s="72"/>
      <c r="AM518" s="72"/>
      <c r="AN518" s="73"/>
      <c r="AO518" s="641"/>
      <c r="AP518" s="641"/>
      <c r="AQ518" s="641"/>
      <c r="AR518" s="641"/>
      <c r="AS518" s="641"/>
      <c r="AT518" s="641"/>
      <c r="AU518" s="72"/>
      <c r="AV518" s="73"/>
      <c r="AW518" s="643"/>
      <c r="AX518" s="643"/>
      <c r="AY518" s="643"/>
      <c r="AZ518" s="75"/>
      <c r="BA518" s="75"/>
      <c r="BB518" s="75"/>
    </row>
    <row r="519" spans="2:54" s="560" customFormat="1" ht="16.5" customHeight="1">
      <c r="B519" s="72"/>
      <c r="C519" s="72"/>
      <c r="D519" s="72"/>
      <c r="E519" s="73"/>
      <c r="F519" s="641"/>
      <c r="G519" s="73"/>
      <c r="H519" s="641"/>
      <c r="I519" s="641"/>
      <c r="J519" s="641"/>
      <c r="K519" s="641"/>
      <c r="L519" s="73"/>
      <c r="M519" s="72"/>
      <c r="N519" s="72"/>
      <c r="O519" s="642"/>
      <c r="P519" s="642"/>
      <c r="Q519" s="74"/>
      <c r="R519" s="641"/>
      <c r="S519" s="641"/>
      <c r="T519" s="72"/>
      <c r="U519" s="72"/>
      <c r="V519" s="72"/>
      <c r="W519" s="72"/>
      <c r="X519" s="72"/>
      <c r="Y519" s="72"/>
      <c r="Z519" s="72"/>
      <c r="AA519" s="73"/>
      <c r="AB519" s="72"/>
      <c r="AC519" s="641"/>
      <c r="AD519" s="72"/>
      <c r="AE519" s="641"/>
      <c r="AF519" s="641"/>
      <c r="AG519" s="72"/>
      <c r="AH519" s="72"/>
      <c r="AI519" s="72"/>
      <c r="AJ519" s="72"/>
      <c r="AK519" s="72"/>
      <c r="AL519" s="72"/>
      <c r="AM519" s="72"/>
      <c r="AN519" s="73"/>
      <c r="AO519" s="641"/>
      <c r="AP519" s="641"/>
      <c r="AQ519" s="641"/>
      <c r="AR519" s="641"/>
      <c r="AS519" s="641"/>
      <c r="AT519" s="641"/>
      <c r="AU519" s="72"/>
      <c r="AV519" s="73"/>
      <c r="AW519" s="643"/>
      <c r="AX519" s="643"/>
      <c r="AY519" s="643"/>
      <c r="AZ519" s="75"/>
      <c r="BA519" s="75"/>
      <c r="BB519" s="75"/>
    </row>
    <row r="520" spans="2:54" s="560" customFormat="1" ht="16.5" customHeight="1">
      <c r="B520" s="72"/>
      <c r="C520" s="72"/>
      <c r="D520" s="72"/>
      <c r="E520" s="73"/>
      <c r="F520" s="641"/>
      <c r="G520" s="73"/>
      <c r="H520" s="641"/>
      <c r="I520" s="641"/>
      <c r="J520" s="641"/>
      <c r="K520" s="641"/>
      <c r="L520" s="73"/>
      <c r="M520" s="72"/>
      <c r="N520" s="72"/>
      <c r="O520" s="642"/>
      <c r="P520" s="642"/>
      <c r="Q520" s="74"/>
      <c r="R520" s="641"/>
      <c r="S520" s="641"/>
      <c r="T520" s="72"/>
      <c r="U520" s="72"/>
      <c r="V520" s="72"/>
      <c r="W520" s="72"/>
      <c r="X520" s="72"/>
      <c r="Y520" s="72"/>
      <c r="Z520" s="72"/>
      <c r="AA520" s="73"/>
      <c r="AB520" s="72"/>
      <c r="AC520" s="641"/>
      <c r="AD520" s="72"/>
      <c r="AE520" s="641"/>
      <c r="AF520" s="641"/>
      <c r="AG520" s="72"/>
      <c r="AH520" s="72"/>
      <c r="AI520" s="72"/>
      <c r="AJ520" s="72"/>
      <c r="AK520" s="72"/>
      <c r="AL520" s="72"/>
      <c r="AM520" s="72"/>
      <c r="AN520" s="73"/>
      <c r="AO520" s="641"/>
      <c r="AP520" s="641"/>
      <c r="AQ520" s="641"/>
      <c r="AR520" s="641"/>
      <c r="AS520" s="641"/>
      <c r="AT520" s="641"/>
      <c r="AU520" s="72"/>
      <c r="AV520" s="73"/>
      <c r="AW520" s="643"/>
      <c r="AX520" s="643"/>
      <c r="AY520" s="643"/>
      <c r="AZ520" s="75"/>
      <c r="BA520" s="75"/>
      <c r="BB520" s="75"/>
    </row>
    <row r="521" spans="2:54" s="560" customFormat="1" ht="16.5" customHeight="1">
      <c r="B521" s="72"/>
      <c r="C521" s="72"/>
      <c r="D521" s="72"/>
      <c r="E521" s="73"/>
      <c r="F521" s="641"/>
      <c r="G521" s="73"/>
      <c r="H521" s="641"/>
      <c r="I521" s="641"/>
      <c r="J521" s="641"/>
      <c r="K521" s="641"/>
      <c r="L521" s="73"/>
      <c r="M521" s="72"/>
      <c r="N521" s="72"/>
      <c r="O521" s="642"/>
      <c r="P521" s="642"/>
      <c r="Q521" s="74"/>
      <c r="R521" s="641"/>
      <c r="S521" s="641"/>
      <c r="T521" s="72"/>
      <c r="U521" s="72"/>
      <c r="V521" s="72"/>
      <c r="W521" s="72"/>
      <c r="X521" s="72"/>
      <c r="Y521" s="72"/>
      <c r="Z521" s="72"/>
      <c r="AA521" s="73"/>
      <c r="AB521" s="72"/>
      <c r="AC521" s="641"/>
      <c r="AD521" s="72"/>
      <c r="AE521" s="641"/>
      <c r="AF521" s="641"/>
      <c r="AG521" s="72"/>
      <c r="AH521" s="72"/>
      <c r="AI521" s="72"/>
      <c r="AJ521" s="72"/>
      <c r="AK521" s="72"/>
      <c r="AL521" s="72"/>
      <c r="AM521" s="72"/>
      <c r="AN521" s="73"/>
      <c r="AO521" s="641"/>
      <c r="AP521" s="641"/>
      <c r="AQ521" s="641"/>
      <c r="AR521" s="641"/>
      <c r="AS521" s="641"/>
      <c r="AT521" s="641"/>
      <c r="AU521" s="72"/>
      <c r="AV521" s="73"/>
      <c r="AW521" s="643"/>
      <c r="AX521" s="643"/>
      <c r="AY521" s="643"/>
      <c r="AZ521" s="75"/>
      <c r="BA521" s="75"/>
      <c r="BB521" s="75"/>
    </row>
    <row r="522" spans="2:54" s="560" customFormat="1" ht="16.5" customHeight="1">
      <c r="B522" s="72"/>
      <c r="C522" s="72"/>
      <c r="D522" s="72"/>
      <c r="E522" s="73"/>
      <c r="F522" s="641"/>
      <c r="G522" s="73"/>
      <c r="H522" s="641"/>
      <c r="I522" s="641"/>
      <c r="J522" s="641"/>
      <c r="K522" s="641"/>
      <c r="L522" s="73"/>
      <c r="M522" s="72"/>
      <c r="N522" s="72"/>
      <c r="O522" s="642"/>
      <c r="P522" s="642"/>
      <c r="Q522" s="74"/>
      <c r="R522" s="641"/>
      <c r="S522" s="641"/>
      <c r="T522" s="72"/>
      <c r="U522" s="72"/>
      <c r="V522" s="72"/>
      <c r="W522" s="72"/>
      <c r="X522" s="72"/>
      <c r="Y522" s="72"/>
      <c r="Z522" s="72"/>
      <c r="AA522" s="73"/>
      <c r="AB522" s="72"/>
      <c r="AC522" s="641"/>
      <c r="AD522" s="72"/>
      <c r="AE522" s="641"/>
      <c r="AF522" s="641"/>
      <c r="AG522" s="72"/>
      <c r="AH522" s="72"/>
      <c r="AI522" s="72"/>
      <c r="AJ522" s="72"/>
      <c r="AK522" s="72"/>
      <c r="AL522" s="72"/>
      <c r="AM522" s="72"/>
      <c r="AN522" s="73"/>
      <c r="AO522" s="641"/>
      <c r="AP522" s="641"/>
      <c r="AQ522" s="641"/>
      <c r="AR522" s="641"/>
      <c r="AS522" s="641"/>
      <c r="AT522" s="641"/>
      <c r="AU522" s="72"/>
      <c r="AV522" s="73"/>
      <c r="AW522" s="643"/>
      <c r="AX522" s="643"/>
      <c r="AY522" s="643"/>
      <c r="AZ522" s="75"/>
      <c r="BA522" s="75"/>
      <c r="BB522" s="75"/>
    </row>
    <row r="523" spans="2:54" s="560" customFormat="1" ht="16.5" customHeight="1">
      <c r="B523" s="72"/>
      <c r="C523" s="72"/>
      <c r="D523" s="72"/>
      <c r="E523" s="73"/>
      <c r="F523" s="641"/>
      <c r="G523" s="73"/>
      <c r="H523" s="641"/>
      <c r="I523" s="641"/>
      <c r="J523" s="641"/>
      <c r="K523" s="641"/>
      <c r="L523" s="73"/>
      <c r="M523" s="72"/>
      <c r="N523" s="72"/>
      <c r="O523" s="642"/>
      <c r="P523" s="642"/>
      <c r="Q523" s="74"/>
      <c r="R523" s="641"/>
      <c r="S523" s="641"/>
      <c r="T523" s="72"/>
      <c r="U523" s="72"/>
      <c r="V523" s="72"/>
      <c r="W523" s="72"/>
      <c r="X523" s="72"/>
      <c r="Y523" s="72"/>
      <c r="Z523" s="72"/>
      <c r="AA523" s="73"/>
      <c r="AB523" s="72"/>
      <c r="AC523" s="641"/>
      <c r="AD523" s="72"/>
      <c r="AE523" s="641"/>
      <c r="AF523" s="641"/>
      <c r="AG523" s="72"/>
      <c r="AH523" s="72"/>
      <c r="AI523" s="72"/>
      <c r="AJ523" s="72"/>
      <c r="AK523" s="72"/>
      <c r="AL523" s="72"/>
      <c r="AM523" s="72"/>
      <c r="AN523" s="73"/>
      <c r="AO523" s="641"/>
      <c r="AP523" s="641"/>
      <c r="AQ523" s="641"/>
      <c r="AR523" s="641"/>
      <c r="AS523" s="641"/>
      <c r="AT523" s="641"/>
      <c r="AU523" s="72"/>
      <c r="AV523" s="73"/>
      <c r="AW523" s="643"/>
      <c r="AX523" s="643"/>
      <c r="AY523" s="643"/>
      <c r="AZ523" s="75"/>
      <c r="BA523" s="75"/>
      <c r="BB523" s="75"/>
    </row>
    <row r="524" spans="2:54" s="560" customFormat="1" ht="16.5" customHeight="1">
      <c r="B524" s="72"/>
      <c r="C524" s="72"/>
      <c r="D524" s="72"/>
      <c r="E524" s="73"/>
      <c r="F524" s="641"/>
      <c r="G524" s="73"/>
      <c r="H524" s="641"/>
      <c r="I524" s="641"/>
      <c r="J524" s="641"/>
      <c r="K524" s="641"/>
      <c r="L524" s="73"/>
      <c r="M524" s="72"/>
      <c r="N524" s="72"/>
      <c r="O524" s="642"/>
      <c r="P524" s="642"/>
      <c r="Q524" s="74"/>
      <c r="R524" s="641"/>
      <c r="S524" s="641"/>
      <c r="T524" s="72"/>
      <c r="U524" s="72"/>
      <c r="V524" s="72"/>
      <c r="W524" s="72"/>
      <c r="X524" s="72"/>
      <c r="Y524" s="72"/>
      <c r="Z524" s="72"/>
      <c r="AA524" s="73"/>
      <c r="AB524" s="72"/>
      <c r="AC524" s="641"/>
      <c r="AD524" s="72"/>
      <c r="AE524" s="641"/>
      <c r="AF524" s="641"/>
      <c r="AG524" s="72"/>
      <c r="AH524" s="72"/>
      <c r="AI524" s="72"/>
      <c r="AJ524" s="72"/>
      <c r="AK524" s="72"/>
      <c r="AL524" s="72"/>
      <c r="AM524" s="72"/>
      <c r="AN524" s="73"/>
      <c r="AO524" s="641"/>
      <c r="AP524" s="641"/>
      <c r="AQ524" s="641"/>
      <c r="AR524" s="641"/>
      <c r="AS524" s="641"/>
      <c r="AT524" s="641"/>
      <c r="AU524" s="72"/>
      <c r="AV524" s="73"/>
      <c r="AW524" s="643"/>
      <c r="AX524" s="643"/>
      <c r="AY524" s="643"/>
      <c r="AZ524" s="75"/>
      <c r="BA524" s="75"/>
      <c r="BB524" s="75"/>
    </row>
    <row r="525" spans="2:54" s="560" customFormat="1" ht="16.5" customHeight="1">
      <c r="B525" s="72"/>
      <c r="C525" s="72"/>
      <c r="D525" s="72"/>
      <c r="E525" s="73"/>
      <c r="F525" s="641"/>
      <c r="G525" s="73"/>
      <c r="H525" s="641"/>
      <c r="I525" s="641"/>
      <c r="J525" s="641"/>
      <c r="K525" s="641"/>
      <c r="L525" s="73"/>
      <c r="M525" s="72"/>
      <c r="N525" s="72"/>
      <c r="O525" s="642"/>
      <c r="P525" s="642"/>
      <c r="Q525" s="74"/>
      <c r="R525" s="641"/>
      <c r="S525" s="641"/>
      <c r="T525" s="72"/>
      <c r="U525" s="72"/>
      <c r="V525" s="72"/>
      <c r="W525" s="72"/>
      <c r="X525" s="72"/>
      <c r="Y525" s="72"/>
      <c r="Z525" s="72"/>
      <c r="AA525" s="73"/>
      <c r="AB525" s="72"/>
      <c r="AC525" s="641"/>
      <c r="AD525" s="72"/>
      <c r="AE525" s="641"/>
      <c r="AF525" s="641"/>
      <c r="AG525" s="72"/>
      <c r="AH525" s="72"/>
      <c r="AI525" s="72"/>
      <c r="AJ525" s="72"/>
      <c r="AK525" s="72"/>
      <c r="AL525" s="72"/>
      <c r="AM525" s="72"/>
      <c r="AN525" s="73"/>
      <c r="AO525" s="641"/>
      <c r="AP525" s="641"/>
      <c r="AQ525" s="641"/>
      <c r="AR525" s="641"/>
      <c r="AS525" s="641"/>
      <c r="AT525" s="641"/>
      <c r="AU525" s="72"/>
      <c r="AV525" s="73"/>
      <c r="AW525" s="643"/>
      <c r="AX525" s="643"/>
      <c r="AY525" s="643"/>
      <c r="AZ525" s="75"/>
      <c r="BA525" s="75"/>
      <c r="BB525" s="75"/>
    </row>
    <row r="526" spans="2:54" s="560" customFormat="1" ht="16.5" customHeight="1">
      <c r="B526" s="72"/>
      <c r="C526" s="72"/>
      <c r="D526" s="72"/>
      <c r="E526" s="73"/>
      <c r="F526" s="641"/>
      <c r="G526" s="73"/>
      <c r="H526" s="641"/>
      <c r="I526" s="641"/>
      <c r="J526" s="641"/>
      <c r="K526" s="641"/>
      <c r="L526" s="73"/>
      <c r="M526" s="72"/>
      <c r="N526" s="72"/>
      <c r="O526" s="642"/>
      <c r="P526" s="642"/>
      <c r="Q526" s="74"/>
      <c r="R526" s="641"/>
      <c r="S526" s="641"/>
      <c r="T526" s="72"/>
      <c r="U526" s="72"/>
      <c r="V526" s="72"/>
      <c r="W526" s="72"/>
      <c r="X526" s="72"/>
      <c r="Y526" s="72"/>
      <c r="Z526" s="72"/>
      <c r="AA526" s="73"/>
      <c r="AB526" s="72"/>
      <c r="AC526" s="641"/>
      <c r="AD526" s="72"/>
      <c r="AE526" s="641"/>
      <c r="AF526" s="641"/>
      <c r="AG526" s="72"/>
      <c r="AH526" s="72"/>
      <c r="AI526" s="72"/>
      <c r="AJ526" s="72"/>
      <c r="AK526" s="72"/>
      <c r="AL526" s="72"/>
      <c r="AM526" s="72"/>
      <c r="AN526" s="73"/>
      <c r="AO526" s="641"/>
      <c r="AP526" s="641"/>
      <c r="AQ526" s="641"/>
      <c r="AR526" s="641"/>
      <c r="AS526" s="641"/>
      <c r="AT526" s="641"/>
      <c r="AU526" s="72"/>
      <c r="AV526" s="73"/>
      <c r="AW526" s="643"/>
      <c r="AX526" s="643"/>
      <c r="AY526" s="643"/>
      <c r="AZ526" s="75"/>
      <c r="BA526" s="75"/>
      <c r="BB526" s="75"/>
    </row>
    <row r="527" spans="2:54" s="560" customFormat="1" ht="16.5" customHeight="1">
      <c r="B527" s="72"/>
      <c r="C527" s="72"/>
      <c r="D527" s="72"/>
      <c r="E527" s="73"/>
      <c r="F527" s="641"/>
      <c r="G527" s="73"/>
      <c r="H527" s="641"/>
      <c r="I527" s="641"/>
      <c r="J527" s="641"/>
      <c r="K527" s="641"/>
      <c r="L527" s="73"/>
      <c r="M527" s="72"/>
      <c r="N527" s="72"/>
      <c r="O527" s="642"/>
      <c r="P527" s="642"/>
      <c r="Q527" s="74"/>
      <c r="R527" s="641"/>
      <c r="S527" s="641"/>
      <c r="T527" s="72"/>
      <c r="U527" s="72"/>
      <c r="V527" s="72"/>
      <c r="W527" s="72"/>
      <c r="X527" s="72"/>
      <c r="Y527" s="72"/>
      <c r="Z527" s="72"/>
      <c r="AA527" s="73"/>
      <c r="AB527" s="72"/>
      <c r="AC527" s="641"/>
      <c r="AD527" s="72"/>
      <c r="AE527" s="641"/>
      <c r="AF527" s="641"/>
      <c r="AG527" s="72"/>
      <c r="AH527" s="72"/>
      <c r="AI527" s="72"/>
      <c r="AJ527" s="72"/>
      <c r="AK527" s="72"/>
      <c r="AL527" s="72"/>
      <c r="AM527" s="72"/>
      <c r="AN527" s="73"/>
      <c r="AO527" s="641"/>
      <c r="AP527" s="641"/>
      <c r="AQ527" s="641"/>
      <c r="AR527" s="641"/>
      <c r="AS527" s="641"/>
      <c r="AT527" s="641"/>
      <c r="AU527" s="72"/>
      <c r="AV527" s="73"/>
      <c r="AW527" s="643"/>
      <c r="AX527" s="643"/>
      <c r="AY527" s="643"/>
      <c r="AZ527" s="75"/>
      <c r="BA527" s="75"/>
      <c r="BB527" s="75"/>
    </row>
    <row r="528" spans="2:54" s="560" customFormat="1" ht="16.5" customHeight="1">
      <c r="B528" s="72"/>
      <c r="C528" s="72"/>
      <c r="D528" s="72"/>
      <c r="E528" s="73"/>
      <c r="F528" s="641"/>
      <c r="G528" s="73"/>
      <c r="H528" s="641"/>
      <c r="I528" s="641"/>
      <c r="J528" s="641"/>
      <c r="K528" s="641"/>
      <c r="L528" s="73"/>
      <c r="M528" s="72"/>
      <c r="N528" s="72"/>
      <c r="O528" s="642"/>
      <c r="P528" s="642"/>
      <c r="Q528" s="74"/>
      <c r="R528" s="641"/>
      <c r="S528" s="641"/>
      <c r="T528" s="72"/>
      <c r="U528" s="72"/>
      <c r="V528" s="72"/>
      <c r="W528" s="72"/>
      <c r="X528" s="72"/>
      <c r="Y528" s="72"/>
      <c r="Z528" s="72"/>
      <c r="AA528" s="73"/>
      <c r="AB528" s="72"/>
      <c r="AC528" s="641"/>
      <c r="AD528" s="72"/>
      <c r="AE528" s="641"/>
      <c r="AF528" s="641"/>
      <c r="AG528" s="72"/>
      <c r="AH528" s="72"/>
      <c r="AI528" s="72"/>
      <c r="AJ528" s="72"/>
      <c r="AK528" s="72"/>
      <c r="AL528" s="72"/>
      <c r="AM528" s="72"/>
      <c r="AN528" s="73"/>
      <c r="AO528" s="641"/>
      <c r="AP528" s="641"/>
      <c r="AQ528" s="641"/>
      <c r="AR528" s="641"/>
      <c r="AS528" s="641"/>
      <c r="AT528" s="641"/>
      <c r="AU528" s="72"/>
      <c r="AV528" s="73"/>
      <c r="AW528" s="643"/>
      <c r="AX528" s="643"/>
      <c r="AY528" s="643"/>
      <c r="AZ528" s="75"/>
      <c r="BA528" s="75"/>
      <c r="BB528" s="75"/>
    </row>
    <row r="529" spans="2:54" s="560" customFormat="1" ht="16.5" customHeight="1">
      <c r="B529" s="72"/>
      <c r="C529" s="72"/>
      <c r="D529" s="72"/>
      <c r="E529" s="73"/>
      <c r="F529" s="641"/>
      <c r="G529" s="73"/>
      <c r="H529" s="641"/>
      <c r="I529" s="641"/>
      <c r="J529" s="641"/>
      <c r="K529" s="641"/>
      <c r="L529" s="73"/>
      <c r="M529" s="72"/>
      <c r="N529" s="72"/>
      <c r="O529" s="642"/>
      <c r="P529" s="642"/>
      <c r="Q529" s="74"/>
      <c r="R529" s="641"/>
      <c r="S529" s="641"/>
      <c r="T529" s="72"/>
      <c r="U529" s="72"/>
      <c r="V529" s="72"/>
      <c r="W529" s="72"/>
      <c r="X529" s="72"/>
      <c r="Y529" s="72"/>
      <c r="Z529" s="72"/>
      <c r="AA529" s="73"/>
      <c r="AB529" s="72"/>
      <c r="AC529" s="641"/>
      <c r="AD529" s="72"/>
      <c r="AE529" s="641"/>
      <c r="AF529" s="641"/>
      <c r="AG529" s="72"/>
      <c r="AH529" s="72"/>
      <c r="AI529" s="72"/>
      <c r="AJ529" s="72"/>
      <c r="AK529" s="72"/>
      <c r="AL529" s="72"/>
      <c r="AM529" s="72"/>
      <c r="AN529" s="73"/>
      <c r="AO529" s="641"/>
      <c r="AP529" s="641"/>
      <c r="AQ529" s="641"/>
      <c r="AR529" s="641"/>
      <c r="AS529" s="641"/>
      <c r="AT529" s="641"/>
      <c r="AU529" s="72"/>
      <c r="AV529" s="73"/>
      <c r="AW529" s="643"/>
      <c r="AX529" s="643"/>
      <c r="AY529" s="643"/>
      <c r="AZ529" s="75"/>
      <c r="BA529" s="75"/>
      <c r="BB529" s="75"/>
    </row>
    <row r="530" spans="2:54" s="560" customFormat="1" ht="16.5" customHeight="1">
      <c r="B530" s="72"/>
      <c r="C530" s="72"/>
      <c r="D530" s="72"/>
      <c r="E530" s="73"/>
      <c r="F530" s="641"/>
      <c r="G530" s="73"/>
      <c r="H530" s="641"/>
      <c r="I530" s="641"/>
      <c r="J530" s="641"/>
      <c r="K530" s="641"/>
      <c r="L530" s="73"/>
      <c r="M530" s="72"/>
      <c r="N530" s="72"/>
      <c r="O530" s="642"/>
      <c r="P530" s="642"/>
      <c r="Q530" s="74"/>
      <c r="R530" s="641"/>
      <c r="S530" s="641"/>
      <c r="T530" s="72"/>
      <c r="U530" s="72"/>
      <c r="V530" s="72"/>
      <c r="W530" s="72"/>
      <c r="X530" s="72"/>
      <c r="Y530" s="72"/>
      <c r="Z530" s="72"/>
      <c r="AA530" s="73"/>
      <c r="AB530" s="72"/>
      <c r="AC530" s="641"/>
      <c r="AD530" s="72"/>
      <c r="AE530" s="641"/>
      <c r="AF530" s="641"/>
      <c r="AG530" s="72"/>
      <c r="AH530" s="72"/>
      <c r="AI530" s="72"/>
      <c r="AJ530" s="72"/>
      <c r="AK530" s="72"/>
      <c r="AL530" s="72"/>
      <c r="AM530" s="72"/>
      <c r="AN530" s="73"/>
      <c r="AO530" s="641"/>
      <c r="AP530" s="641"/>
      <c r="AQ530" s="641"/>
      <c r="AR530" s="641"/>
      <c r="AS530" s="641"/>
      <c r="AT530" s="641"/>
      <c r="AU530" s="72"/>
      <c r="AV530" s="73"/>
      <c r="AW530" s="643"/>
      <c r="AX530" s="643"/>
      <c r="AY530" s="643"/>
      <c r="AZ530" s="75"/>
      <c r="BA530" s="75"/>
      <c r="BB530" s="75"/>
    </row>
    <row r="531" spans="2:54" s="560" customFormat="1" ht="16.5" customHeight="1">
      <c r="B531" s="72"/>
      <c r="C531" s="72"/>
      <c r="D531" s="72"/>
      <c r="E531" s="73"/>
      <c r="F531" s="641"/>
      <c r="G531" s="73"/>
      <c r="H531" s="641"/>
      <c r="I531" s="641"/>
      <c r="J531" s="641"/>
      <c r="K531" s="641"/>
      <c r="L531" s="73"/>
      <c r="M531" s="72"/>
      <c r="N531" s="72"/>
      <c r="O531" s="642"/>
      <c r="P531" s="642"/>
      <c r="Q531" s="74"/>
      <c r="R531" s="641"/>
      <c r="S531" s="641"/>
      <c r="T531" s="72"/>
      <c r="U531" s="72"/>
      <c r="V531" s="72"/>
      <c r="W531" s="72"/>
      <c r="X531" s="72"/>
      <c r="Y531" s="72"/>
      <c r="Z531" s="72"/>
      <c r="AA531" s="73"/>
      <c r="AB531" s="72"/>
      <c r="AC531" s="641"/>
      <c r="AD531" s="72"/>
      <c r="AE531" s="641"/>
      <c r="AF531" s="641"/>
      <c r="AG531" s="72"/>
      <c r="AH531" s="72"/>
      <c r="AI531" s="72"/>
      <c r="AJ531" s="72"/>
      <c r="AK531" s="72"/>
      <c r="AL531" s="72"/>
      <c r="AM531" s="72"/>
      <c r="AN531" s="73"/>
      <c r="AO531" s="641"/>
      <c r="AP531" s="641"/>
      <c r="AQ531" s="641"/>
      <c r="AR531" s="641"/>
      <c r="AS531" s="641"/>
      <c r="AT531" s="641"/>
      <c r="AU531" s="72"/>
      <c r="AV531" s="73"/>
      <c r="AW531" s="643"/>
      <c r="AX531" s="643"/>
      <c r="AY531" s="643"/>
      <c r="AZ531" s="75"/>
      <c r="BA531" s="75"/>
      <c r="BB531" s="75"/>
    </row>
    <row r="532" spans="2:54" s="560" customFormat="1" ht="16.5" customHeight="1">
      <c r="B532" s="72"/>
      <c r="C532" s="72"/>
      <c r="D532" s="72"/>
      <c r="E532" s="73"/>
      <c r="F532" s="641"/>
      <c r="G532" s="73"/>
      <c r="H532" s="641"/>
      <c r="I532" s="641"/>
      <c r="J532" s="641"/>
      <c r="K532" s="641"/>
      <c r="L532" s="73"/>
      <c r="M532" s="72"/>
      <c r="N532" s="72"/>
      <c r="O532" s="642"/>
      <c r="P532" s="642"/>
      <c r="Q532" s="74"/>
      <c r="R532" s="641"/>
      <c r="S532" s="641"/>
      <c r="T532" s="72"/>
      <c r="U532" s="72"/>
      <c r="V532" s="72"/>
      <c r="W532" s="72"/>
      <c r="X532" s="72"/>
      <c r="Y532" s="72"/>
      <c r="Z532" s="72"/>
      <c r="AA532" s="73"/>
      <c r="AB532" s="72"/>
      <c r="AC532" s="641"/>
      <c r="AD532" s="72"/>
      <c r="AE532" s="641"/>
      <c r="AF532" s="641"/>
      <c r="AG532" s="72"/>
      <c r="AH532" s="72"/>
      <c r="AI532" s="72"/>
      <c r="AJ532" s="72"/>
      <c r="AK532" s="72"/>
      <c r="AL532" s="72"/>
      <c r="AM532" s="72"/>
      <c r="AN532" s="73"/>
      <c r="AO532" s="641"/>
      <c r="AP532" s="641"/>
      <c r="AQ532" s="641"/>
      <c r="AR532" s="641"/>
      <c r="AS532" s="641"/>
      <c r="AT532" s="641"/>
      <c r="AU532" s="72"/>
      <c r="AV532" s="73"/>
      <c r="AW532" s="643"/>
      <c r="AX532" s="643"/>
      <c r="AY532" s="643"/>
      <c r="AZ532" s="75"/>
      <c r="BA532" s="75"/>
      <c r="BB532" s="75"/>
    </row>
    <row r="533" spans="2:54" s="560" customFormat="1" ht="16.5" customHeight="1">
      <c r="B533" s="72"/>
      <c r="C533" s="72"/>
      <c r="D533" s="72"/>
      <c r="E533" s="73"/>
      <c r="F533" s="641"/>
      <c r="G533" s="73"/>
      <c r="H533" s="641"/>
      <c r="I533" s="641"/>
      <c r="J533" s="641"/>
      <c r="K533" s="641"/>
      <c r="L533" s="73"/>
      <c r="M533" s="72"/>
      <c r="N533" s="72"/>
      <c r="O533" s="642"/>
      <c r="P533" s="642"/>
      <c r="Q533" s="74"/>
      <c r="R533" s="641"/>
      <c r="S533" s="641"/>
      <c r="T533" s="72"/>
      <c r="U533" s="72"/>
      <c r="V533" s="72"/>
      <c r="W533" s="72"/>
      <c r="X533" s="72"/>
      <c r="Y533" s="72"/>
      <c r="Z533" s="72"/>
      <c r="AA533" s="73"/>
      <c r="AB533" s="72"/>
      <c r="AC533" s="641"/>
      <c r="AD533" s="72"/>
      <c r="AE533" s="641"/>
      <c r="AF533" s="641"/>
      <c r="AG533" s="72"/>
      <c r="AH533" s="72"/>
      <c r="AI533" s="72"/>
      <c r="AJ533" s="72"/>
      <c r="AK533" s="72"/>
      <c r="AL533" s="72"/>
      <c r="AM533" s="72"/>
      <c r="AN533" s="73"/>
      <c r="AO533" s="641"/>
      <c r="AP533" s="641"/>
      <c r="AQ533" s="641"/>
      <c r="AR533" s="641"/>
      <c r="AS533" s="641"/>
      <c r="AT533" s="641"/>
      <c r="AU533" s="72"/>
      <c r="AV533" s="73"/>
      <c r="AW533" s="643"/>
      <c r="AX533" s="643"/>
      <c r="AY533" s="643"/>
      <c r="AZ533" s="75"/>
      <c r="BA533" s="75"/>
      <c r="BB533" s="75"/>
    </row>
    <row r="534" spans="2:54" s="560" customFormat="1" ht="16.5" customHeight="1">
      <c r="B534" s="72"/>
      <c r="C534" s="72"/>
      <c r="D534" s="72"/>
      <c r="E534" s="73"/>
      <c r="F534" s="641"/>
      <c r="G534" s="73"/>
      <c r="H534" s="641"/>
      <c r="I534" s="641"/>
      <c r="J534" s="641"/>
      <c r="K534" s="641"/>
      <c r="L534" s="73"/>
      <c r="M534" s="72"/>
      <c r="N534" s="72"/>
      <c r="O534" s="642"/>
      <c r="P534" s="642"/>
      <c r="Q534" s="74"/>
      <c r="R534" s="641"/>
      <c r="S534" s="641"/>
      <c r="T534" s="72"/>
      <c r="U534" s="72"/>
      <c r="V534" s="72"/>
      <c r="W534" s="72"/>
      <c r="X534" s="72"/>
      <c r="Y534" s="72"/>
      <c r="Z534" s="72"/>
      <c r="AA534" s="73"/>
      <c r="AB534" s="72"/>
      <c r="AC534" s="641"/>
      <c r="AD534" s="72"/>
      <c r="AE534" s="641"/>
      <c r="AF534" s="641"/>
      <c r="AG534" s="72"/>
      <c r="AH534" s="72"/>
      <c r="AI534" s="72"/>
      <c r="AJ534" s="72"/>
      <c r="AK534" s="72"/>
      <c r="AL534" s="72"/>
      <c r="AM534" s="72"/>
      <c r="AN534" s="73"/>
      <c r="AO534" s="641"/>
      <c r="AP534" s="641"/>
      <c r="AQ534" s="641"/>
      <c r="AR534" s="641"/>
      <c r="AS534" s="641"/>
      <c r="AT534" s="641"/>
      <c r="AU534" s="72"/>
      <c r="AV534" s="73"/>
      <c r="AW534" s="643"/>
      <c r="AX534" s="643"/>
      <c r="AY534" s="643"/>
      <c r="AZ534" s="75"/>
      <c r="BA534" s="75"/>
      <c r="BB534" s="75"/>
    </row>
    <row r="535" spans="2:54" s="560" customFormat="1" ht="16.5" customHeight="1">
      <c r="B535" s="72"/>
      <c r="C535" s="72"/>
      <c r="D535" s="72"/>
      <c r="E535" s="73"/>
      <c r="F535" s="641"/>
      <c r="G535" s="73"/>
      <c r="H535" s="641"/>
      <c r="I535" s="641"/>
      <c r="J535" s="641"/>
      <c r="K535" s="641"/>
      <c r="L535" s="73"/>
      <c r="M535" s="72"/>
      <c r="N535" s="72"/>
      <c r="O535" s="642"/>
      <c r="P535" s="642"/>
      <c r="Q535" s="74"/>
      <c r="R535" s="641"/>
      <c r="S535" s="641"/>
      <c r="T535" s="72"/>
      <c r="U535" s="72"/>
      <c r="V535" s="72"/>
      <c r="W535" s="72"/>
      <c r="X535" s="72"/>
      <c r="Y535" s="72"/>
      <c r="Z535" s="72"/>
      <c r="AA535" s="73"/>
      <c r="AB535" s="72"/>
      <c r="AC535" s="641"/>
      <c r="AD535" s="72"/>
      <c r="AE535" s="641"/>
      <c r="AF535" s="641"/>
      <c r="AG535" s="72"/>
      <c r="AH535" s="72"/>
      <c r="AI535" s="72"/>
      <c r="AJ535" s="72"/>
      <c r="AK535" s="72"/>
      <c r="AL535" s="72"/>
      <c r="AM535" s="72"/>
      <c r="AN535" s="73"/>
      <c r="AO535" s="641"/>
      <c r="AP535" s="641"/>
      <c r="AQ535" s="641"/>
      <c r="AR535" s="641"/>
      <c r="AS535" s="641"/>
      <c r="AT535" s="641"/>
      <c r="AU535" s="72"/>
      <c r="AV535" s="73"/>
      <c r="AW535" s="643"/>
      <c r="AX535" s="643"/>
      <c r="AY535" s="643"/>
      <c r="AZ535" s="75"/>
      <c r="BA535" s="75"/>
      <c r="BB535" s="75"/>
    </row>
    <row r="536" spans="2:54" s="560" customFormat="1" ht="16.5" customHeight="1">
      <c r="B536" s="72"/>
      <c r="C536" s="72"/>
      <c r="D536" s="72"/>
      <c r="E536" s="73"/>
      <c r="F536" s="641"/>
      <c r="G536" s="73"/>
      <c r="H536" s="641"/>
      <c r="I536" s="641"/>
      <c r="J536" s="641"/>
      <c r="K536" s="641"/>
      <c r="L536" s="73"/>
      <c r="M536" s="72"/>
      <c r="N536" s="72"/>
      <c r="O536" s="642"/>
      <c r="P536" s="642"/>
      <c r="Q536" s="74"/>
      <c r="R536" s="641"/>
      <c r="S536" s="641"/>
      <c r="T536" s="72"/>
      <c r="U536" s="72"/>
      <c r="V536" s="72"/>
      <c r="W536" s="72"/>
      <c r="X536" s="72"/>
      <c r="Y536" s="72"/>
      <c r="Z536" s="72"/>
      <c r="AA536" s="73"/>
      <c r="AB536" s="72"/>
      <c r="AC536" s="641"/>
      <c r="AD536" s="72"/>
      <c r="AE536" s="641"/>
      <c r="AF536" s="641"/>
      <c r="AG536" s="72"/>
      <c r="AH536" s="72"/>
      <c r="AI536" s="72"/>
      <c r="AJ536" s="72"/>
      <c r="AK536" s="72"/>
      <c r="AL536" s="72"/>
      <c r="AM536" s="72"/>
      <c r="AN536" s="73"/>
      <c r="AO536" s="641"/>
      <c r="AP536" s="641"/>
      <c r="AQ536" s="641"/>
      <c r="AR536" s="641"/>
      <c r="AS536" s="641"/>
      <c r="AT536" s="641"/>
      <c r="AU536" s="72"/>
      <c r="AV536" s="73"/>
      <c r="AW536" s="643"/>
      <c r="AX536" s="643"/>
      <c r="AY536" s="643"/>
      <c r="AZ536" s="75"/>
      <c r="BA536" s="75"/>
      <c r="BB536" s="75"/>
    </row>
    <row r="537" spans="2:54" s="560" customFormat="1" ht="16.5" customHeight="1">
      <c r="B537" s="72"/>
      <c r="C537" s="72"/>
      <c r="D537" s="72"/>
      <c r="E537" s="73"/>
      <c r="F537" s="641"/>
      <c r="G537" s="73"/>
      <c r="H537" s="641"/>
      <c r="I537" s="641"/>
      <c r="J537" s="641"/>
      <c r="K537" s="641"/>
      <c r="L537" s="73"/>
      <c r="M537" s="72"/>
      <c r="N537" s="72"/>
      <c r="O537" s="642"/>
      <c r="P537" s="642"/>
      <c r="Q537" s="74"/>
      <c r="R537" s="641"/>
      <c r="S537" s="641"/>
      <c r="T537" s="72"/>
      <c r="U537" s="72"/>
      <c r="V537" s="72"/>
      <c r="W537" s="72"/>
      <c r="X537" s="72"/>
      <c r="Y537" s="72"/>
      <c r="Z537" s="72"/>
      <c r="AA537" s="73"/>
      <c r="AB537" s="72"/>
      <c r="AC537" s="641"/>
      <c r="AD537" s="72"/>
      <c r="AE537" s="641"/>
      <c r="AF537" s="641"/>
      <c r="AG537" s="72"/>
      <c r="AH537" s="72"/>
      <c r="AI537" s="72"/>
      <c r="AJ537" s="72"/>
      <c r="AK537" s="72"/>
      <c r="AL537" s="72"/>
      <c r="AM537" s="72"/>
      <c r="AN537" s="73"/>
      <c r="AO537" s="641"/>
      <c r="AP537" s="641"/>
      <c r="AQ537" s="641"/>
      <c r="AR537" s="641"/>
      <c r="AS537" s="641"/>
      <c r="AT537" s="641"/>
      <c r="AU537" s="72"/>
      <c r="AV537" s="73"/>
      <c r="AW537" s="643"/>
      <c r="AX537" s="643"/>
      <c r="AY537" s="643"/>
      <c r="AZ537" s="75"/>
      <c r="BA537" s="75"/>
      <c r="BB537" s="75"/>
    </row>
    <row r="538" spans="2:54" s="560" customFormat="1" ht="16.5" customHeight="1">
      <c r="B538" s="72"/>
      <c r="C538" s="72"/>
      <c r="D538" s="72"/>
      <c r="E538" s="73"/>
      <c r="F538" s="641"/>
      <c r="G538" s="73"/>
      <c r="H538" s="641"/>
      <c r="I538" s="641"/>
      <c r="J538" s="641"/>
      <c r="K538" s="641"/>
      <c r="L538" s="73"/>
      <c r="M538" s="72"/>
      <c r="N538" s="72"/>
      <c r="O538" s="642"/>
      <c r="P538" s="642"/>
      <c r="Q538" s="74"/>
      <c r="R538" s="641"/>
      <c r="S538" s="641"/>
      <c r="T538" s="72"/>
      <c r="U538" s="72"/>
      <c r="V538" s="72"/>
      <c r="W538" s="72"/>
      <c r="X538" s="72"/>
      <c r="Y538" s="72"/>
      <c r="Z538" s="72"/>
      <c r="AA538" s="73"/>
      <c r="AB538" s="72"/>
      <c r="AC538" s="641"/>
      <c r="AD538" s="72"/>
      <c r="AE538" s="641"/>
      <c r="AF538" s="641"/>
      <c r="AG538" s="72"/>
      <c r="AH538" s="72"/>
      <c r="AI538" s="72"/>
      <c r="AJ538" s="72"/>
      <c r="AK538" s="72"/>
      <c r="AL538" s="72"/>
      <c r="AM538" s="72"/>
      <c r="AN538" s="73"/>
      <c r="AO538" s="641"/>
      <c r="AP538" s="641"/>
      <c r="AQ538" s="641"/>
      <c r="AR538" s="641"/>
      <c r="AS538" s="641"/>
      <c r="AT538" s="641"/>
      <c r="AU538" s="72"/>
      <c r="AV538" s="73"/>
      <c r="AW538" s="643"/>
      <c r="AX538" s="643"/>
      <c r="AY538" s="643"/>
      <c r="AZ538" s="75"/>
      <c r="BA538" s="75"/>
      <c r="BB538" s="75"/>
    </row>
    <row r="539" spans="2:54" s="560" customFormat="1" ht="16.5" customHeight="1">
      <c r="B539" s="72"/>
      <c r="C539" s="72"/>
      <c r="D539" s="72"/>
      <c r="E539" s="73"/>
      <c r="F539" s="641"/>
      <c r="G539" s="73"/>
      <c r="H539" s="641"/>
      <c r="I539" s="641"/>
      <c r="J539" s="641"/>
      <c r="K539" s="641"/>
      <c r="L539" s="73"/>
      <c r="M539" s="72"/>
      <c r="N539" s="72"/>
      <c r="O539" s="642"/>
      <c r="P539" s="642"/>
      <c r="Q539" s="74"/>
      <c r="R539" s="641"/>
      <c r="S539" s="641"/>
      <c r="T539" s="72"/>
      <c r="U539" s="72"/>
      <c r="V539" s="72"/>
      <c r="W539" s="72"/>
      <c r="X539" s="72"/>
      <c r="Y539" s="72"/>
      <c r="Z539" s="72"/>
      <c r="AA539" s="73"/>
      <c r="AB539" s="72"/>
      <c r="AC539" s="641"/>
      <c r="AD539" s="72"/>
      <c r="AE539" s="641"/>
      <c r="AF539" s="641"/>
      <c r="AG539" s="72"/>
      <c r="AH539" s="72"/>
      <c r="AI539" s="72"/>
      <c r="AJ539" s="72"/>
      <c r="AK539" s="72"/>
      <c r="AL539" s="72"/>
      <c r="AM539" s="72"/>
      <c r="AN539" s="73"/>
      <c r="AO539" s="641"/>
      <c r="AP539" s="641"/>
      <c r="AQ539" s="641"/>
      <c r="AR539" s="641"/>
      <c r="AS539" s="641"/>
      <c r="AT539" s="641"/>
      <c r="AU539" s="72"/>
      <c r="AV539" s="73"/>
      <c r="AW539" s="643"/>
      <c r="AX539" s="643"/>
      <c r="AY539" s="643"/>
      <c r="AZ539" s="75"/>
      <c r="BA539" s="75"/>
      <c r="BB539" s="75"/>
    </row>
    <row r="540" spans="2:54" s="560" customFormat="1" ht="16.5" customHeight="1">
      <c r="B540" s="72"/>
      <c r="C540" s="72"/>
      <c r="D540" s="72"/>
      <c r="E540" s="73"/>
      <c r="F540" s="641"/>
      <c r="G540" s="73"/>
      <c r="H540" s="641"/>
      <c r="I540" s="641"/>
      <c r="J540" s="641"/>
      <c r="K540" s="641"/>
      <c r="L540" s="73"/>
      <c r="M540" s="72"/>
      <c r="N540" s="72"/>
      <c r="O540" s="642"/>
      <c r="P540" s="642"/>
      <c r="Q540" s="74"/>
      <c r="R540" s="641"/>
      <c r="S540" s="641"/>
      <c r="T540" s="72"/>
      <c r="U540" s="72"/>
      <c r="V540" s="72"/>
      <c r="W540" s="72"/>
      <c r="X540" s="72"/>
      <c r="Y540" s="72"/>
      <c r="Z540" s="72"/>
      <c r="AA540" s="73"/>
      <c r="AB540" s="72"/>
      <c r="AC540" s="641"/>
      <c r="AD540" s="72"/>
      <c r="AE540" s="641"/>
      <c r="AF540" s="641"/>
      <c r="AG540" s="72"/>
      <c r="AH540" s="72"/>
      <c r="AI540" s="72"/>
      <c r="AJ540" s="72"/>
      <c r="AK540" s="72"/>
      <c r="AL540" s="72"/>
      <c r="AM540" s="72"/>
      <c r="AN540" s="73"/>
      <c r="AO540" s="641"/>
      <c r="AP540" s="641"/>
      <c r="AQ540" s="641"/>
      <c r="AR540" s="641"/>
      <c r="AS540" s="641"/>
      <c r="AT540" s="641"/>
      <c r="AU540" s="72"/>
      <c r="AV540" s="73"/>
      <c r="AW540" s="643"/>
      <c r="AX540" s="643"/>
      <c r="AY540" s="643"/>
      <c r="AZ540" s="75"/>
      <c r="BA540" s="75"/>
      <c r="BB540" s="75"/>
    </row>
    <row r="541" spans="2:54" s="560" customFormat="1" ht="16.5" customHeight="1">
      <c r="B541" s="72"/>
      <c r="C541" s="72"/>
      <c r="D541" s="72"/>
      <c r="E541" s="73"/>
      <c r="F541" s="641"/>
      <c r="G541" s="73"/>
      <c r="H541" s="641"/>
      <c r="I541" s="641"/>
      <c r="J541" s="641"/>
      <c r="K541" s="641"/>
      <c r="L541" s="73"/>
      <c r="M541" s="72"/>
      <c r="N541" s="72"/>
      <c r="O541" s="642"/>
      <c r="P541" s="642"/>
      <c r="Q541" s="74"/>
      <c r="R541" s="641"/>
      <c r="S541" s="641"/>
      <c r="T541" s="72"/>
      <c r="U541" s="72"/>
      <c r="V541" s="72"/>
      <c r="W541" s="72"/>
      <c r="X541" s="72"/>
      <c r="Y541" s="72"/>
      <c r="Z541" s="72"/>
      <c r="AA541" s="73"/>
      <c r="AB541" s="72"/>
      <c r="AC541" s="641"/>
      <c r="AD541" s="72"/>
      <c r="AE541" s="641"/>
      <c r="AF541" s="641"/>
      <c r="AG541" s="72"/>
      <c r="AH541" s="72"/>
      <c r="AI541" s="72"/>
      <c r="AJ541" s="72"/>
      <c r="AK541" s="72"/>
      <c r="AL541" s="72"/>
      <c r="AM541" s="72"/>
      <c r="AN541" s="73"/>
      <c r="AO541" s="641"/>
      <c r="AP541" s="641"/>
      <c r="AQ541" s="641"/>
      <c r="AR541" s="641"/>
      <c r="AS541" s="641"/>
      <c r="AT541" s="641"/>
      <c r="AU541" s="72"/>
      <c r="AV541" s="73"/>
      <c r="AW541" s="643"/>
      <c r="AX541" s="643"/>
      <c r="AY541" s="643"/>
      <c r="AZ541" s="75"/>
      <c r="BA541" s="75"/>
      <c r="BB541" s="75"/>
    </row>
    <row r="542" spans="2:54" s="560" customFormat="1" ht="16.5" customHeight="1">
      <c r="B542" s="72"/>
      <c r="C542" s="72"/>
      <c r="D542" s="72"/>
      <c r="E542" s="73"/>
      <c r="F542" s="641"/>
      <c r="G542" s="73"/>
      <c r="H542" s="641"/>
      <c r="I542" s="641"/>
      <c r="J542" s="641"/>
      <c r="K542" s="641"/>
      <c r="L542" s="73"/>
      <c r="M542" s="72"/>
      <c r="N542" s="72"/>
      <c r="O542" s="642"/>
      <c r="P542" s="642"/>
      <c r="Q542" s="74"/>
      <c r="R542" s="641"/>
      <c r="S542" s="641"/>
      <c r="T542" s="72"/>
      <c r="U542" s="72"/>
      <c r="V542" s="72"/>
      <c r="W542" s="72"/>
      <c r="X542" s="72"/>
      <c r="Y542" s="72"/>
      <c r="Z542" s="72"/>
      <c r="AA542" s="73"/>
      <c r="AB542" s="72"/>
      <c r="AC542" s="641"/>
      <c r="AD542" s="72"/>
      <c r="AE542" s="641"/>
      <c r="AF542" s="641"/>
      <c r="AG542" s="72"/>
      <c r="AH542" s="72"/>
      <c r="AI542" s="72"/>
      <c r="AJ542" s="72"/>
      <c r="AK542" s="72"/>
      <c r="AL542" s="72"/>
      <c r="AM542" s="72"/>
      <c r="AN542" s="73"/>
      <c r="AO542" s="641"/>
      <c r="AP542" s="641"/>
      <c r="AQ542" s="641"/>
      <c r="AR542" s="641"/>
      <c r="AS542" s="641"/>
      <c r="AT542" s="641"/>
      <c r="AU542" s="72"/>
      <c r="AV542" s="73"/>
      <c r="AW542" s="643"/>
      <c r="AX542" s="643"/>
      <c r="AY542" s="643"/>
      <c r="AZ542" s="75"/>
      <c r="BA542" s="75"/>
      <c r="BB542" s="75"/>
    </row>
    <row r="543" spans="2:54" s="560" customFormat="1" ht="16.5" customHeight="1">
      <c r="B543" s="72"/>
      <c r="C543" s="72"/>
      <c r="D543" s="72"/>
      <c r="E543" s="73"/>
      <c r="F543" s="641"/>
      <c r="G543" s="73"/>
      <c r="H543" s="641"/>
      <c r="I543" s="641"/>
      <c r="J543" s="641"/>
      <c r="K543" s="641"/>
      <c r="L543" s="73"/>
      <c r="M543" s="72"/>
      <c r="N543" s="72"/>
      <c r="O543" s="642"/>
      <c r="P543" s="642"/>
      <c r="Q543" s="74"/>
      <c r="R543" s="641"/>
      <c r="S543" s="641"/>
      <c r="T543" s="72"/>
      <c r="U543" s="72"/>
      <c r="V543" s="72"/>
      <c r="W543" s="72"/>
      <c r="X543" s="72"/>
      <c r="Y543" s="72"/>
      <c r="Z543" s="72"/>
      <c r="AA543" s="73"/>
      <c r="AB543" s="72"/>
      <c r="AC543" s="641"/>
      <c r="AD543" s="72"/>
      <c r="AE543" s="641"/>
      <c r="AF543" s="641"/>
      <c r="AG543" s="72"/>
      <c r="AH543" s="72"/>
      <c r="AI543" s="72"/>
      <c r="AJ543" s="72"/>
      <c r="AK543" s="72"/>
      <c r="AL543" s="72"/>
      <c r="AM543" s="72"/>
      <c r="AN543" s="73"/>
      <c r="AO543" s="641"/>
      <c r="AP543" s="641"/>
      <c r="AQ543" s="641"/>
      <c r="AR543" s="641"/>
      <c r="AS543" s="641"/>
      <c r="AT543" s="641"/>
      <c r="AU543" s="72"/>
      <c r="AV543" s="73"/>
      <c r="AW543" s="643"/>
      <c r="AX543" s="643"/>
      <c r="AY543" s="643"/>
      <c r="AZ543" s="75"/>
      <c r="BA543" s="75"/>
      <c r="BB543" s="75"/>
    </row>
    <row r="544" spans="2:54" s="560" customFormat="1" ht="16.5" customHeight="1">
      <c r="B544" s="72"/>
      <c r="C544" s="72"/>
      <c r="D544" s="72"/>
      <c r="E544" s="73"/>
      <c r="F544" s="641"/>
      <c r="G544" s="73"/>
      <c r="H544" s="641"/>
      <c r="I544" s="641"/>
      <c r="J544" s="641"/>
      <c r="K544" s="641"/>
      <c r="L544" s="73"/>
      <c r="M544" s="72"/>
      <c r="N544" s="72"/>
      <c r="O544" s="642"/>
      <c r="P544" s="642"/>
      <c r="Q544" s="74"/>
      <c r="R544" s="641"/>
      <c r="S544" s="641"/>
      <c r="T544" s="72"/>
      <c r="U544" s="72"/>
      <c r="V544" s="72"/>
      <c r="W544" s="72"/>
      <c r="X544" s="72"/>
      <c r="Y544" s="72"/>
      <c r="Z544" s="72"/>
      <c r="AA544" s="73"/>
      <c r="AB544" s="72"/>
      <c r="AC544" s="641"/>
      <c r="AD544" s="72"/>
      <c r="AE544" s="641"/>
      <c r="AF544" s="641"/>
      <c r="AG544" s="72"/>
      <c r="AH544" s="72"/>
      <c r="AI544" s="72"/>
      <c r="AJ544" s="72"/>
      <c r="AK544" s="72"/>
      <c r="AL544" s="72"/>
      <c r="AM544" s="72"/>
      <c r="AN544" s="73"/>
      <c r="AO544" s="641"/>
      <c r="AP544" s="641"/>
      <c r="AQ544" s="641"/>
      <c r="AR544" s="641"/>
      <c r="AS544" s="641"/>
      <c r="AT544" s="641"/>
      <c r="AU544" s="72"/>
      <c r="AV544" s="73"/>
      <c r="AW544" s="643"/>
      <c r="AX544" s="643"/>
      <c r="AY544" s="643"/>
      <c r="AZ544" s="75"/>
      <c r="BA544" s="75"/>
      <c r="BB544" s="75"/>
    </row>
    <row r="545" spans="2:54" s="560" customFormat="1" ht="16.5" customHeight="1">
      <c r="B545" s="72"/>
      <c r="C545" s="72"/>
      <c r="D545" s="72"/>
      <c r="E545" s="73"/>
      <c r="F545" s="641"/>
      <c r="G545" s="73"/>
      <c r="H545" s="641"/>
      <c r="I545" s="641"/>
      <c r="J545" s="641"/>
      <c r="K545" s="641"/>
      <c r="L545" s="73"/>
      <c r="M545" s="72"/>
      <c r="N545" s="72"/>
      <c r="O545" s="642"/>
      <c r="P545" s="642"/>
      <c r="Q545" s="74"/>
      <c r="R545" s="641"/>
      <c r="S545" s="641"/>
      <c r="T545" s="72"/>
      <c r="U545" s="72"/>
      <c r="V545" s="72"/>
      <c r="W545" s="72"/>
      <c r="X545" s="72"/>
      <c r="Y545" s="72"/>
      <c r="Z545" s="72"/>
      <c r="AA545" s="73"/>
      <c r="AB545" s="72"/>
      <c r="AC545" s="641"/>
      <c r="AD545" s="72"/>
      <c r="AE545" s="641"/>
      <c r="AF545" s="641"/>
      <c r="AG545" s="72"/>
      <c r="AH545" s="72"/>
      <c r="AI545" s="72"/>
      <c r="AJ545" s="72"/>
      <c r="AK545" s="72"/>
      <c r="AL545" s="72"/>
      <c r="AM545" s="72"/>
      <c r="AN545" s="73"/>
      <c r="AO545" s="641"/>
      <c r="AP545" s="641"/>
      <c r="AQ545" s="641"/>
      <c r="AR545" s="641"/>
      <c r="AS545" s="641"/>
      <c r="AT545" s="641"/>
      <c r="AU545" s="72"/>
      <c r="AV545" s="73"/>
      <c r="AW545" s="643"/>
      <c r="AX545" s="643"/>
      <c r="AY545" s="643"/>
      <c r="AZ545" s="75"/>
      <c r="BA545" s="75"/>
      <c r="BB545" s="75"/>
    </row>
    <row r="546" spans="2:54" s="560" customFormat="1" ht="16.5" customHeight="1">
      <c r="B546" s="72"/>
      <c r="C546" s="72"/>
      <c r="D546" s="72"/>
      <c r="E546" s="73"/>
      <c r="F546" s="641"/>
      <c r="G546" s="73"/>
      <c r="H546" s="641"/>
      <c r="I546" s="641"/>
      <c r="J546" s="641"/>
      <c r="K546" s="641"/>
      <c r="L546" s="73"/>
      <c r="M546" s="72"/>
      <c r="N546" s="72"/>
      <c r="O546" s="642"/>
      <c r="P546" s="642"/>
      <c r="Q546" s="74"/>
      <c r="R546" s="641"/>
      <c r="S546" s="641"/>
      <c r="T546" s="72"/>
      <c r="U546" s="72"/>
      <c r="V546" s="72"/>
      <c r="W546" s="72"/>
      <c r="X546" s="72"/>
      <c r="Y546" s="72"/>
      <c r="Z546" s="72"/>
      <c r="AA546" s="73"/>
      <c r="AB546" s="72"/>
      <c r="AC546" s="641"/>
      <c r="AD546" s="72"/>
      <c r="AE546" s="641"/>
      <c r="AF546" s="641"/>
      <c r="AG546" s="72"/>
      <c r="AH546" s="72"/>
      <c r="AI546" s="72"/>
      <c r="AJ546" s="72"/>
      <c r="AK546" s="72"/>
      <c r="AL546" s="72"/>
      <c r="AM546" s="72"/>
      <c r="AN546" s="73"/>
      <c r="AO546" s="641"/>
      <c r="AP546" s="641"/>
      <c r="AQ546" s="641"/>
      <c r="AR546" s="641"/>
      <c r="AS546" s="641"/>
      <c r="AT546" s="641"/>
      <c r="AU546" s="72"/>
      <c r="AV546" s="73"/>
      <c r="AW546" s="643"/>
      <c r="AX546" s="643"/>
      <c r="AY546" s="643"/>
      <c r="AZ546" s="75"/>
      <c r="BA546" s="75"/>
      <c r="BB546" s="75"/>
    </row>
    <row r="547" spans="2:54" s="560" customFormat="1" ht="16.5" customHeight="1">
      <c r="B547" s="72"/>
      <c r="C547" s="72"/>
      <c r="D547" s="72"/>
      <c r="E547" s="73"/>
      <c r="F547" s="641"/>
      <c r="G547" s="73"/>
      <c r="H547" s="641"/>
      <c r="I547" s="641"/>
      <c r="J547" s="641"/>
      <c r="K547" s="641"/>
      <c r="L547" s="73"/>
      <c r="M547" s="72"/>
      <c r="N547" s="72"/>
      <c r="O547" s="642"/>
      <c r="P547" s="642"/>
      <c r="Q547" s="74"/>
      <c r="R547" s="641"/>
      <c r="S547" s="641"/>
      <c r="T547" s="72"/>
      <c r="U547" s="72"/>
      <c r="V547" s="72"/>
      <c r="W547" s="72"/>
      <c r="X547" s="72"/>
      <c r="Y547" s="72"/>
      <c r="Z547" s="72"/>
      <c r="AA547" s="73"/>
      <c r="AB547" s="72"/>
      <c r="AC547" s="641"/>
      <c r="AD547" s="72"/>
      <c r="AE547" s="641"/>
      <c r="AF547" s="641"/>
      <c r="AG547" s="72"/>
      <c r="AH547" s="72"/>
      <c r="AI547" s="72"/>
      <c r="AJ547" s="72"/>
      <c r="AK547" s="72"/>
      <c r="AL547" s="72"/>
      <c r="AM547" s="72"/>
      <c r="AN547" s="73"/>
      <c r="AO547" s="641"/>
      <c r="AP547" s="641"/>
      <c r="AQ547" s="641"/>
      <c r="AR547" s="641"/>
      <c r="AS547" s="641"/>
      <c r="AT547" s="641"/>
      <c r="AU547" s="72"/>
      <c r="AV547" s="73"/>
      <c r="AW547" s="643"/>
      <c r="AX547" s="643"/>
      <c r="AY547" s="643"/>
      <c r="AZ547" s="75"/>
      <c r="BA547" s="75"/>
      <c r="BB547" s="75"/>
    </row>
    <row r="548" spans="2:54" s="560" customFormat="1" ht="16.5" customHeight="1">
      <c r="B548" s="72"/>
      <c r="C548" s="72"/>
      <c r="D548" s="72"/>
      <c r="E548" s="73"/>
      <c r="F548" s="641"/>
      <c r="G548" s="73"/>
      <c r="H548" s="641"/>
      <c r="I548" s="641"/>
      <c r="J548" s="641"/>
      <c r="K548" s="641"/>
      <c r="L548" s="73"/>
      <c r="M548" s="72"/>
      <c r="N548" s="72"/>
      <c r="O548" s="642"/>
      <c r="P548" s="642"/>
      <c r="Q548" s="74"/>
      <c r="R548" s="641"/>
      <c r="S548" s="641"/>
      <c r="T548" s="72"/>
      <c r="U548" s="72"/>
      <c r="V548" s="72"/>
      <c r="W548" s="72"/>
      <c r="X548" s="72"/>
      <c r="Y548" s="72"/>
      <c r="Z548" s="72"/>
      <c r="AA548" s="73"/>
      <c r="AB548" s="72"/>
      <c r="AC548" s="641"/>
      <c r="AD548" s="72"/>
      <c r="AE548" s="641"/>
      <c r="AF548" s="641"/>
      <c r="AG548" s="72"/>
      <c r="AH548" s="72"/>
      <c r="AI548" s="72"/>
      <c r="AJ548" s="72"/>
      <c r="AK548" s="72"/>
      <c r="AL548" s="72"/>
      <c r="AM548" s="72"/>
      <c r="AN548" s="73"/>
      <c r="AO548" s="641"/>
      <c r="AP548" s="641"/>
      <c r="AQ548" s="641"/>
      <c r="AR548" s="641"/>
      <c r="AS548" s="641"/>
      <c r="AT548" s="641"/>
      <c r="AU548" s="72"/>
      <c r="AV548" s="73"/>
      <c r="AW548" s="643"/>
      <c r="AX548" s="643"/>
      <c r="AY548" s="643"/>
      <c r="AZ548" s="75"/>
      <c r="BA548" s="75"/>
      <c r="BB548" s="75"/>
    </row>
    <row r="549" spans="2:54" s="560" customFormat="1" ht="16.5" customHeight="1">
      <c r="B549" s="72"/>
      <c r="C549" s="72"/>
      <c r="D549" s="72"/>
      <c r="E549" s="73"/>
      <c r="F549" s="641"/>
      <c r="G549" s="73"/>
      <c r="H549" s="641"/>
      <c r="I549" s="641"/>
      <c r="J549" s="641"/>
      <c r="K549" s="641"/>
      <c r="L549" s="73"/>
      <c r="M549" s="72"/>
      <c r="N549" s="72"/>
      <c r="O549" s="642"/>
      <c r="P549" s="642"/>
      <c r="Q549" s="74"/>
      <c r="R549" s="641"/>
      <c r="S549" s="641"/>
      <c r="T549" s="72"/>
      <c r="U549" s="72"/>
      <c r="V549" s="72"/>
      <c r="W549" s="72"/>
      <c r="X549" s="72"/>
      <c r="Y549" s="72"/>
      <c r="Z549" s="72"/>
      <c r="AA549" s="73"/>
      <c r="AB549" s="72"/>
      <c r="AC549" s="641"/>
      <c r="AD549" s="72"/>
      <c r="AE549" s="641"/>
      <c r="AF549" s="641"/>
      <c r="AG549" s="72"/>
      <c r="AH549" s="72"/>
      <c r="AI549" s="72"/>
      <c r="AJ549" s="72"/>
      <c r="AK549" s="72"/>
      <c r="AL549" s="72"/>
      <c r="AM549" s="72"/>
      <c r="AN549" s="73"/>
      <c r="AO549" s="641"/>
      <c r="AP549" s="641"/>
      <c r="AQ549" s="641"/>
      <c r="AR549" s="641"/>
      <c r="AS549" s="641"/>
      <c r="AT549" s="641"/>
      <c r="AU549" s="72"/>
      <c r="AV549" s="73"/>
      <c r="AW549" s="643"/>
      <c r="AX549" s="643"/>
      <c r="AY549" s="643"/>
      <c r="AZ549" s="75"/>
      <c r="BA549" s="75"/>
      <c r="BB549" s="75"/>
    </row>
    <row r="550" spans="2:54" s="560" customFormat="1" ht="16.5" customHeight="1">
      <c r="B550" s="72"/>
      <c r="C550" s="72"/>
      <c r="D550" s="72"/>
      <c r="E550" s="73"/>
      <c r="F550" s="641"/>
      <c r="G550" s="73"/>
      <c r="H550" s="641"/>
      <c r="I550" s="641"/>
      <c r="J550" s="641"/>
      <c r="K550" s="641"/>
      <c r="L550" s="73"/>
      <c r="M550" s="72"/>
      <c r="N550" s="72"/>
      <c r="O550" s="642"/>
      <c r="P550" s="642"/>
      <c r="Q550" s="74"/>
      <c r="R550" s="641"/>
      <c r="S550" s="641"/>
      <c r="T550" s="72"/>
      <c r="U550" s="72"/>
      <c r="V550" s="72"/>
      <c r="W550" s="72"/>
      <c r="X550" s="72"/>
      <c r="Y550" s="72"/>
      <c r="Z550" s="72"/>
      <c r="AA550" s="73"/>
      <c r="AB550" s="72"/>
      <c r="AC550" s="641"/>
      <c r="AD550" s="72"/>
      <c r="AE550" s="641"/>
      <c r="AF550" s="641"/>
      <c r="AG550" s="72"/>
      <c r="AH550" s="72"/>
      <c r="AI550" s="72"/>
      <c r="AJ550" s="72"/>
      <c r="AK550" s="72"/>
      <c r="AL550" s="72"/>
      <c r="AM550" s="72"/>
      <c r="AN550" s="73"/>
      <c r="AO550" s="641"/>
      <c r="AP550" s="641"/>
      <c r="AQ550" s="641"/>
      <c r="AR550" s="641"/>
      <c r="AS550" s="641"/>
      <c r="AT550" s="641"/>
      <c r="AU550" s="72"/>
      <c r="AV550" s="73"/>
      <c r="AW550" s="643"/>
      <c r="AX550" s="643"/>
      <c r="AY550" s="643"/>
      <c r="AZ550" s="75"/>
      <c r="BA550" s="75"/>
      <c r="BB550" s="75"/>
    </row>
    <row r="551" spans="2:54" s="560" customFormat="1" ht="16.5" customHeight="1">
      <c r="B551" s="72"/>
      <c r="C551" s="72"/>
      <c r="D551" s="72"/>
      <c r="E551" s="73"/>
      <c r="F551" s="641"/>
      <c r="G551" s="73"/>
      <c r="H551" s="641"/>
      <c r="I551" s="641"/>
      <c r="J551" s="641"/>
      <c r="K551" s="641"/>
      <c r="L551" s="73"/>
      <c r="M551" s="72"/>
      <c r="N551" s="72"/>
      <c r="O551" s="642"/>
      <c r="P551" s="642"/>
      <c r="Q551" s="74"/>
      <c r="R551" s="641"/>
      <c r="S551" s="641"/>
      <c r="T551" s="72"/>
      <c r="U551" s="72"/>
      <c r="V551" s="72"/>
      <c r="W551" s="72"/>
      <c r="X551" s="72"/>
      <c r="Y551" s="72"/>
      <c r="Z551" s="72"/>
      <c r="AA551" s="73"/>
      <c r="AB551" s="72"/>
      <c r="AC551" s="641"/>
      <c r="AD551" s="72"/>
      <c r="AE551" s="641"/>
      <c r="AF551" s="641"/>
      <c r="AG551" s="72"/>
      <c r="AH551" s="72"/>
      <c r="AI551" s="72"/>
      <c r="AJ551" s="72"/>
      <c r="AK551" s="72"/>
      <c r="AL551" s="72"/>
      <c r="AM551" s="72"/>
      <c r="AN551" s="73"/>
      <c r="AO551" s="641"/>
      <c r="AP551" s="641"/>
      <c r="AQ551" s="641"/>
      <c r="AR551" s="641"/>
      <c r="AS551" s="641"/>
      <c r="AT551" s="641"/>
      <c r="AU551" s="72"/>
      <c r="AV551" s="73"/>
      <c r="AW551" s="643"/>
      <c r="AX551" s="643"/>
      <c r="AY551" s="643"/>
      <c r="AZ551" s="75"/>
      <c r="BA551" s="75"/>
      <c r="BB551" s="75"/>
    </row>
    <row r="552" spans="2:54" s="560" customFormat="1" ht="16.5" customHeight="1">
      <c r="B552" s="72"/>
      <c r="C552" s="72"/>
      <c r="D552" s="72"/>
      <c r="E552" s="73"/>
      <c r="F552" s="641"/>
      <c r="G552" s="73"/>
      <c r="H552" s="641"/>
      <c r="I552" s="641"/>
      <c r="J552" s="641"/>
      <c r="K552" s="641"/>
      <c r="L552" s="73"/>
      <c r="M552" s="72"/>
      <c r="N552" s="72"/>
      <c r="O552" s="642"/>
      <c r="P552" s="642"/>
      <c r="Q552" s="74"/>
      <c r="R552" s="641"/>
      <c r="S552" s="641"/>
      <c r="T552" s="72"/>
      <c r="U552" s="72"/>
      <c r="V552" s="72"/>
      <c r="W552" s="72"/>
      <c r="X552" s="72"/>
      <c r="Y552" s="72"/>
      <c r="Z552" s="72"/>
      <c r="AA552" s="73"/>
      <c r="AB552" s="72"/>
      <c r="AC552" s="641"/>
      <c r="AD552" s="72"/>
      <c r="AE552" s="641"/>
      <c r="AF552" s="641"/>
      <c r="AG552" s="72"/>
      <c r="AH552" s="72"/>
      <c r="AI552" s="72"/>
      <c r="AJ552" s="72"/>
      <c r="AK552" s="72"/>
      <c r="AL552" s="72"/>
      <c r="AM552" s="72"/>
      <c r="AN552" s="73"/>
      <c r="AO552" s="641"/>
      <c r="AP552" s="641"/>
      <c r="AQ552" s="641"/>
      <c r="AR552" s="641"/>
      <c r="AS552" s="641"/>
      <c r="AT552" s="641"/>
      <c r="AU552" s="72"/>
      <c r="AV552" s="73"/>
      <c r="AW552" s="643"/>
      <c r="AX552" s="643"/>
      <c r="AY552" s="643"/>
      <c r="AZ552" s="75"/>
      <c r="BA552" s="75"/>
      <c r="BB552" s="75"/>
    </row>
    <row r="553" spans="2:54" s="560" customFormat="1" ht="16.5" customHeight="1">
      <c r="B553" s="72"/>
      <c r="C553" s="72"/>
      <c r="D553" s="72"/>
      <c r="E553" s="73"/>
      <c r="F553" s="641"/>
      <c r="G553" s="73"/>
      <c r="H553" s="641"/>
      <c r="I553" s="641"/>
      <c r="J553" s="641"/>
      <c r="K553" s="641"/>
      <c r="L553" s="73"/>
      <c r="M553" s="72"/>
      <c r="N553" s="72"/>
      <c r="O553" s="642"/>
      <c r="P553" s="642"/>
      <c r="Q553" s="74"/>
      <c r="R553" s="641"/>
      <c r="S553" s="641"/>
      <c r="T553" s="72"/>
      <c r="U553" s="72"/>
      <c r="V553" s="72"/>
      <c r="W553" s="72"/>
      <c r="X553" s="72"/>
      <c r="Y553" s="72"/>
      <c r="Z553" s="72"/>
      <c r="AA553" s="73"/>
      <c r="AB553" s="72"/>
      <c r="AC553" s="641"/>
      <c r="AD553" s="72"/>
      <c r="AE553" s="641"/>
      <c r="AF553" s="641"/>
      <c r="AG553" s="72"/>
      <c r="AH553" s="72"/>
      <c r="AI553" s="72"/>
      <c r="AJ553" s="72"/>
      <c r="AK553" s="72"/>
      <c r="AL553" s="72"/>
      <c r="AM553" s="72"/>
      <c r="AN553" s="73"/>
      <c r="AO553" s="641"/>
      <c r="AP553" s="641"/>
      <c r="AQ553" s="641"/>
      <c r="AR553" s="641"/>
      <c r="AS553" s="641"/>
      <c r="AT553" s="641"/>
      <c r="AU553" s="72"/>
      <c r="AV553" s="73"/>
      <c r="AW553" s="643"/>
      <c r="AX553" s="643"/>
      <c r="AY553" s="643"/>
      <c r="AZ553" s="75"/>
      <c r="BA553" s="75"/>
      <c r="BB553" s="75"/>
    </row>
    <row r="554" spans="2:54" s="560" customFormat="1" ht="16.5" customHeight="1">
      <c r="B554" s="72"/>
      <c r="C554" s="72"/>
      <c r="D554" s="72"/>
      <c r="E554" s="73"/>
      <c r="F554" s="641"/>
      <c r="G554" s="73"/>
      <c r="H554" s="641"/>
      <c r="I554" s="641"/>
      <c r="J554" s="641"/>
      <c r="K554" s="641"/>
      <c r="L554" s="73"/>
      <c r="M554" s="72"/>
      <c r="N554" s="72"/>
      <c r="O554" s="642"/>
      <c r="P554" s="642"/>
      <c r="Q554" s="74"/>
      <c r="R554" s="641"/>
      <c r="S554" s="641"/>
      <c r="T554" s="72"/>
      <c r="U554" s="72"/>
      <c r="V554" s="72"/>
      <c r="W554" s="72"/>
      <c r="X554" s="72"/>
      <c r="Y554" s="72"/>
      <c r="Z554" s="72"/>
      <c r="AA554" s="73"/>
      <c r="AB554" s="72"/>
      <c r="AC554" s="641"/>
      <c r="AD554" s="72"/>
      <c r="AE554" s="641"/>
      <c r="AF554" s="641"/>
      <c r="AG554" s="72"/>
      <c r="AH554" s="72"/>
      <c r="AI554" s="72"/>
      <c r="AJ554" s="72"/>
      <c r="AK554" s="72"/>
      <c r="AL554" s="72"/>
      <c r="AM554" s="72"/>
      <c r="AN554" s="73"/>
      <c r="AO554" s="641"/>
      <c r="AP554" s="641"/>
      <c r="AQ554" s="641"/>
      <c r="AR554" s="641"/>
      <c r="AS554" s="641"/>
      <c r="AT554" s="641"/>
      <c r="AU554" s="72"/>
      <c r="AV554" s="73"/>
      <c r="AW554" s="643"/>
      <c r="AX554" s="643"/>
      <c r="AY554" s="643"/>
      <c r="AZ554" s="75"/>
      <c r="BA554" s="75"/>
      <c r="BB554" s="75"/>
    </row>
    <row r="555" spans="2:54" s="560" customFormat="1" ht="16.5" customHeight="1">
      <c r="B555" s="72"/>
      <c r="C555" s="72"/>
      <c r="D555" s="72"/>
      <c r="E555" s="73"/>
      <c r="F555" s="641"/>
      <c r="G555" s="73"/>
      <c r="H555" s="641"/>
      <c r="I555" s="641"/>
      <c r="J555" s="641"/>
      <c r="K555" s="641"/>
      <c r="L555" s="73"/>
      <c r="M555" s="72"/>
      <c r="N555" s="72"/>
      <c r="O555" s="642"/>
      <c r="P555" s="642"/>
      <c r="Q555" s="74"/>
      <c r="R555" s="641"/>
      <c r="S555" s="641"/>
      <c r="T555" s="72"/>
      <c r="U555" s="72"/>
      <c r="V555" s="72"/>
      <c r="W555" s="72"/>
      <c r="X555" s="72"/>
      <c r="Y555" s="72"/>
      <c r="Z555" s="72"/>
      <c r="AA555" s="73"/>
      <c r="AB555" s="72"/>
      <c r="AC555" s="641"/>
      <c r="AD555" s="72"/>
      <c r="AE555" s="641"/>
      <c r="AF555" s="641"/>
      <c r="AG555" s="72"/>
      <c r="AH555" s="72"/>
      <c r="AI555" s="72"/>
      <c r="AJ555" s="72"/>
      <c r="AK555" s="72"/>
      <c r="AL555" s="72"/>
      <c r="AM555" s="72"/>
      <c r="AN555" s="73"/>
      <c r="AO555" s="641"/>
      <c r="AP555" s="641"/>
      <c r="AQ555" s="641"/>
      <c r="AR555" s="641"/>
      <c r="AS555" s="641"/>
      <c r="AT555" s="641"/>
      <c r="AU555" s="72"/>
      <c r="AV555" s="73"/>
      <c r="AW555" s="643"/>
      <c r="AX555" s="643"/>
      <c r="AY555" s="643"/>
      <c r="AZ555" s="75"/>
      <c r="BA555" s="75"/>
      <c r="BB555" s="75"/>
    </row>
    <row r="556" spans="2:54" s="560" customFormat="1" ht="16.5" customHeight="1">
      <c r="B556" s="72"/>
      <c r="C556" s="72"/>
      <c r="D556" s="72"/>
      <c r="E556" s="73"/>
      <c r="F556" s="641"/>
      <c r="G556" s="73"/>
      <c r="H556" s="641"/>
      <c r="I556" s="641"/>
      <c r="J556" s="641"/>
      <c r="K556" s="641"/>
      <c r="L556" s="73"/>
      <c r="M556" s="72"/>
      <c r="N556" s="72"/>
      <c r="O556" s="642"/>
      <c r="P556" s="642"/>
      <c r="Q556" s="74"/>
      <c r="R556" s="641"/>
      <c r="S556" s="641"/>
      <c r="T556" s="72"/>
      <c r="U556" s="72"/>
      <c r="V556" s="72"/>
      <c r="W556" s="72"/>
      <c r="X556" s="72"/>
      <c r="Y556" s="72"/>
      <c r="Z556" s="72"/>
      <c r="AA556" s="73"/>
      <c r="AB556" s="72"/>
      <c r="AC556" s="641"/>
      <c r="AD556" s="72"/>
      <c r="AE556" s="641"/>
      <c r="AF556" s="641"/>
      <c r="AG556" s="72"/>
      <c r="AH556" s="72"/>
      <c r="AI556" s="72"/>
      <c r="AJ556" s="72"/>
      <c r="AK556" s="72"/>
      <c r="AL556" s="72"/>
      <c r="AM556" s="72"/>
      <c r="AN556" s="73"/>
      <c r="AO556" s="641"/>
      <c r="AP556" s="641"/>
      <c r="AQ556" s="641"/>
      <c r="AR556" s="641"/>
      <c r="AS556" s="641"/>
      <c r="AT556" s="641"/>
      <c r="AU556" s="72"/>
      <c r="AV556" s="73"/>
      <c r="AW556" s="643"/>
      <c r="AX556" s="643"/>
      <c r="AY556" s="643"/>
      <c r="AZ556" s="75"/>
      <c r="BA556" s="75"/>
      <c r="BB556" s="75"/>
    </row>
    <row r="557" spans="2:54" s="560" customFormat="1" ht="16.5" customHeight="1">
      <c r="B557" s="72"/>
      <c r="C557" s="72"/>
      <c r="D557" s="72"/>
      <c r="E557" s="73"/>
      <c r="F557" s="641"/>
      <c r="G557" s="73"/>
      <c r="H557" s="641"/>
      <c r="I557" s="641"/>
      <c r="J557" s="641"/>
      <c r="K557" s="641"/>
      <c r="L557" s="73"/>
      <c r="M557" s="72"/>
      <c r="N557" s="72"/>
      <c r="O557" s="642"/>
      <c r="P557" s="642"/>
      <c r="Q557" s="74"/>
      <c r="R557" s="641"/>
      <c r="S557" s="641"/>
      <c r="T557" s="72"/>
      <c r="U557" s="72"/>
      <c r="V557" s="72"/>
      <c r="W557" s="72"/>
      <c r="X557" s="72"/>
      <c r="Y557" s="72"/>
      <c r="Z557" s="72"/>
      <c r="AA557" s="73"/>
      <c r="AB557" s="72"/>
      <c r="AC557" s="641"/>
      <c r="AD557" s="72"/>
      <c r="AE557" s="641"/>
      <c r="AF557" s="641"/>
      <c r="AG557" s="72"/>
      <c r="AH557" s="72"/>
      <c r="AI557" s="72"/>
      <c r="AJ557" s="72"/>
      <c r="AK557" s="72"/>
      <c r="AL557" s="72"/>
      <c r="AM557" s="72"/>
      <c r="AN557" s="73"/>
      <c r="AO557" s="641"/>
      <c r="AP557" s="641"/>
      <c r="AQ557" s="641"/>
      <c r="AR557" s="641"/>
      <c r="AS557" s="641"/>
      <c r="AT557" s="641"/>
      <c r="AU557" s="72"/>
      <c r="AV557" s="73"/>
      <c r="AW557" s="643"/>
      <c r="AX557" s="643"/>
      <c r="AY557" s="643"/>
      <c r="AZ557" s="75"/>
      <c r="BA557" s="75"/>
      <c r="BB557" s="75"/>
    </row>
    <row r="558" spans="2:54" s="560" customFormat="1" ht="16.5" customHeight="1">
      <c r="B558" s="72"/>
      <c r="C558" s="72"/>
      <c r="D558" s="72"/>
      <c r="E558" s="73"/>
      <c r="F558" s="641"/>
      <c r="G558" s="73"/>
      <c r="H558" s="641"/>
      <c r="I558" s="641"/>
      <c r="J558" s="641"/>
      <c r="K558" s="641"/>
      <c r="L558" s="73"/>
      <c r="M558" s="72"/>
      <c r="N558" s="72"/>
      <c r="O558" s="642"/>
      <c r="P558" s="642"/>
      <c r="Q558" s="74"/>
      <c r="R558" s="641"/>
      <c r="S558" s="641"/>
      <c r="T558" s="72"/>
      <c r="U558" s="72"/>
      <c r="V558" s="72"/>
      <c r="W558" s="72"/>
      <c r="X558" s="72"/>
      <c r="Y558" s="72"/>
      <c r="Z558" s="72"/>
      <c r="AA558" s="73"/>
      <c r="AB558" s="72"/>
      <c r="AC558" s="641"/>
      <c r="AD558" s="72"/>
      <c r="AE558" s="641"/>
      <c r="AF558" s="641"/>
      <c r="AG558" s="72"/>
      <c r="AH558" s="72"/>
      <c r="AI558" s="72"/>
      <c r="AJ558" s="72"/>
      <c r="AK558" s="72"/>
      <c r="AL558" s="72"/>
      <c r="AM558" s="72"/>
      <c r="AN558" s="73"/>
      <c r="AO558" s="641"/>
      <c r="AP558" s="641"/>
      <c r="AQ558" s="641"/>
      <c r="AR558" s="641"/>
      <c r="AS558" s="641"/>
      <c r="AT558" s="641"/>
      <c r="AU558" s="72"/>
      <c r="AV558" s="73"/>
      <c r="AW558" s="643"/>
      <c r="AX558" s="643"/>
      <c r="AY558" s="643"/>
      <c r="AZ558" s="75"/>
      <c r="BA558" s="75"/>
      <c r="BB558" s="75"/>
    </row>
    <row r="559" spans="2:54" s="560" customFormat="1" ht="16.5" customHeight="1">
      <c r="B559" s="72"/>
      <c r="C559" s="72"/>
      <c r="D559" s="72"/>
      <c r="E559" s="73"/>
      <c r="F559" s="641"/>
      <c r="G559" s="73"/>
      <c r="H559" s="641"/>
      <c r="I559" s="641"/>
      <c r="J559" s="641"/>
      <c r="K559" s="641"/>
      <c r="L559" s="73"/>
      <c r="M559" s="72"/>
      <c r="N559" s="72"/>
      <c r="O559" s="642"/>
      <c r="P559" s="642"/>
      <c r="Q559" s="74"/>
      <c r="R559" s="641"/>
      <c r="S559" s="641"/>
      <c r="T559" s="72"/>
      <c r="U559" s="72"/>
      <c r="V559" s="72"/>
      <c r="W559" s="72"/>
      <c r="X559" s="72"/>
      <c r="Y559" s="72"/>
      <c r="Z559" s="72"/>
      <c r="AA559" s="73"/>
      <c r="AB559" s="72"/>
      <c r="AC559" s="641"/>
      <c r="AD559" s="72"/>
      <c r="AE559" s="641"/>
      <c r="AF559" s="641"/>
      <c r="AG559" s="72"/>
      <c r="AH559" s="72"/>
      <c r="AI559" s="72"/>
      <c r="AJ559" s="72"/>
      <c r="AK559" s="72"/>
      <c r="AL559" s="72"/>
      <c r="AM559" s="72"/>
      <c r="AN559" s="73"/>
      <c r="AO559" s="641"/>
      <c r="AP559" s="641"/>
      <c r="AQ559" s="641"/>
      <c r="AR559" s="641"/>
      <c r="AS559" s="641"/>
      <c r="AT559" s="641"/>
      <c r="AU559" s="72"/>
      <c r="AV559" s="73"/>
      <c r="AW559" s="643"/>
      <c r="AX559" s="643"/>
      <c r="AY559" s="643"/>
      <c r="AZ559" s="75"/>
      <c r="BA559" s="75"/>
      <c r="BB559" s="75"/>
    </row>
    <row r="560" spans="2:54" s="560" customFormat="1" ht="16.5" customHeight="1">
      <c r="B560" s="72"/>
      <c r="C560" s="72"/>
      <c r="D560" s="72"/>
      <c r="E560" s="73"/>
      <c r="F560" s="641"/>
      <c r="G560" s="73"/>
      <c r="H560" s="641"/>
      <c r="I560" s="641"/>
      <c r="J560" s="641"/>
      <c r="K560" s="641"/>
      <c r="L560" s="73"/>
      <c r="M560" s="72"/>
      <c r="N560" s="72"/>
      <c r="O560" s="642"/>
      <c r="P560" s="642"/>
      <c r="Q560" s="74"/>
      <c r="R560" s="641"/>
      <c r="S560" s="641"/>
      <c r="T560" s="72"/>
      <c r="U560" s="72"/>
      <c r="V560" s="72"/>
      <c r="W560" s="72"/>
      <c r="X560" s="72"/>
      <c r="Y560" s="72"/>
      <c r="Z560" s="72"/>
      <c r="AA560" s="73"/>
      <c r="AB560" s="72"/>
      <c r="AC560" s="641"/>
      <c r="AD560" s="72"/>
      <c r="AE560" s="641"/>
      <c r="AF560" s="641"/>
      <c r="AG560" s="72"/>
      <c r="AH560" s="72"/>
      <c r="AI560" s="72"/>
      <c r="AJ560" s="72"/>
      <c r="AK560" s="72"/>
      <c r="AL560" s="72"/>
      <c r="AM560" s="72"/>
      <c r="AN560" s="73"/>
      <c r="AO560" s="641"/>
      <c r="AP560" s="641"/>
      <c r="AQ560" s="641"/>
      <c r="AR560" s="641"/>
      <c r="AS560" s="641"/>
      <c r="AT560" s="641"/>
      <c r="AU560" s="72"/>
      <c r="AV560" s="73"/>
      <c r="AW560" s="643"/>
      <c r="AX560" s="643"/>
      <c r="AY560" s="643"/>
      <c r="AZ560" s="75"/>
      <c r="BA560" s="75"/>
      <c r="BB560" s="75"/>
    </row>
    <row r="561" spans="2:54" s="560" customFormat="1" ht="16.5" customHeight="1">
      <c r="B561" s="72"/>
      <c r="C561" s="72"/>
      <c r="D561" s="72"/>
      <c r="E561" s="73"/>
      <c r="F561" s="641"/>
      <c r="G561" s="73"/>
      <c r="H561" s="641"/>
      <c r="I561" s="641"/>
      <c r="J561" s="641"/>
      <c r="K561" s="641"/>
      <c r="L561" s="73"/>
      <c r="M561" s="72"/>
      <c r="N561" s="72"/>
      <c r="O561" s="642"/>
      <c r="P561" s="642"/>
      <c r="Q561" s="74"/>
      <c r="R561" s="641"/>
      <c r="S561" s="641"/>
      <c r="T561" s="72"/>
      <c r="U561" s="72"/>
      <c r="V561" s="72"/>
      <c r="W561" s="72"/>
      <c r="X561" s="72"/>
      <c r="Y561" s="72"/>
      <c r="Z561" s="72"/>
      <c r="AA561" s="73"/>
      <c r="AB561" s="72"/>
      <c r="AC561" s="641"/>
      <c r="AD561" s="72"/>
      <c r="AE561" s="641"/>
      <c r="AF561" s="641"/>
      <c r="AG561" s="72"/>
      <c r="AH561" s="72"/>
      <c r="AI561" s="72"/>
      <c r="AJ561" s="72"/>
      <c r="AK561" s="72"/>
      <c r="AL561" s="72"/>
      <c r="AM561" s="72"/>
      <c r="AN561" s="73"/>
      <c r="AO561" s="641"/>
      <c r="AP561" s="641"/>
      <c r="AQ561" s="641"/>
      <c r="AR561" s="641"/>
      <c r="AS561" s="641"/>
      <c r="AT561" s="641"/>
      <c r="AU561" s="72"/>
      <c r="AV561" s="73"/>
      <c r="AW561" s="643"/>
      <c r="AX561" s="643"/>
      <c r="AY561" s="643"/>
      <c r="AZ561" s="75"/>
      <c r="BA561" s="75"/>
      <c r="BB561" s="75"/>
    </row>
    <row r="562" spans="2:54" s="560" customFormat="1" ht="16.5" customHeight="1">
      <c r="B562" s="72"/>
      <c r="C562" s="72"/>
      <c r="D562" s="72"/>
      <c r="E562" s="73"/>
      <c r="F562" s="641"/>
      <c r="G562" s="73"/>
      <c r="H562" s="641"/>
      <c r="I562" s="641"/>
      <c r="J562" s="641"/>
      <c r="K562" s="641"/>
      <c r="L562" s="73"/>
      <c r="M562" s="72"/>
      <c r="N562" s="72"/>
      <c r="O562" s="642"/>
      <c r="P562" s="642"/>
      <c r="Q562" s="74"/>
      <c r="R562" s="641"/>
      <c r="S562" s="641"/>
      <c r="T562" s="72"/>
      <c r="U562" s="72"/>
      <c r="V562" s="72"/>
      <c r="W562" s="72"/>
      <c r="X562" s="72"/>
      <c r="Y562" s="72"/>
      <c r="Z562" s="72"/>
      <c r="AA562" s="73"/>
      <c r="AB562" s="72"/>
      <c r="AC562" s="641"/>
      <c r="AD562" s="72"/>
      <c r="AE562" s="641"/>
      <c r="AF562" s="641"/>
      <c r="AG562" s="72"/>
      <c r="AH562" s="72"/>
      <c r="AI562" s="72"/>
      <c r="AJ562" s="72"/>
      <c r="AK562" s="72"/>
      <c r="AL562" s="72"/>
      <c r="AM562" s="72"/>
      <c r="AN562" s="73"/>
      <c r="AO562" s="641"/>
      <c r="AP562" s="641"/>
      <c r="AQ562" s="641"/>
      <c r="AR562" s="641"/>
      <c r="AS562" s="641"/>
      <c r="AT562" s="641"/>
      <c r="AU562" s="72"/>
      <c r="AV562" s="73"/>
      <c r="AW562" s="643"/>
      <c r="AX562" s="643"/>
      <c r="AY562" s="643"/>
      <c r="AZ562" s="75"/>
      <c r="BA562" s="75"/>
      <c r="BB562" s="75"/>
    </row>
    <row r="563" spans="2:54" s="560" customFormat="1" ht="16.5" customHeight="1">
      <c r="B563" s="72"/>
      <c r="C563" s="72"/>
      <c r="D563" s="72"/>
      <c r="E563" s="73"/>
      <c r="F563" s="641"/>
      <c r="G563" s="73"/>
      <c r="H563" s="641"/>
      <c r="I563" s="641"/>
      <c r="J563" s="641"/>
      <c r="K563" s="641"/>
      <c r="L563" s="73"/>
      <c r="M563" s="72"/>
      <c r="N563" s="72"/>
      <c r="O563" s="642"/>
      <c r="P563" s="642"/>
      <c r="Q563" s="74"/>
      <c r="R563" s="641"/>
      <c r="S563" s="641"/>
      <c r="T563" s="72"/>
      <c r="U563" s="72"/>
      <c r="V563" s="72"/>
      <c r="W563" s="72"/>
      <c r="X563" s="72"/>
      <c r="Y563" s="72"/>
      <c r="Z563" s="72"/>
      <c r="AA563" s="73"/>
      <c r="AB563" s="72"/>
      <c r="AC563" s="641"/>
      <c r="AD563" s="72"/>
      <c r="AE563" s="641"/>
      <c r="AF563" s="641"/>
      <c r="AG563" s="72"/>
      <c r="AH563" s="72"/>
      <c r="AI563" s="72"/>
      <c r="AJ563" s="72"/>
      <c r="AK563" s="72"/>
      <c r="AL563" s="72"/>
      <c r="AM563" s="72"/>
      <c r="AN563" s="73"/>
      <c r="AO563" s="641"/>
      <c r="AP563" s="641"/>
      <c r="AQ563" s="641"/>
      <c r="AR563" s="641"/>
      <c r="AS563" s="641"/>
      <c r="AT563" s="641"/>
      <c r="AU563" s="72"/>
      <c r="AV563" s="73"/>
      <c r="AW563" s="643"/>
      <c r="AX563" s="643"/>
      <c r="AY563" s="643"/>
      <c r="AZ563" s="75"/>
      <c r="BA563" s="75"/>
      <c r="BB563" s="75"/>
    </row>
    <row r="564" spans="2:54" s="560" customFormat="1" ht="16.5" customHeight="1">
      <c r="B564" s="72"/>
      <c r="C564" s="72"/>
      <c r="D564" s="72"/>
      <c r="E564" s="73"/>
      <c r="F564" s="641"/>
      <c r="G564" s="73"/>
      <c r="H564" s="641"/>
      <c r="I564" s="641"/>
      <c r="J564" s="641"/>
      <c r="K564" s="641"/>
      <c r="L564" s="73"/>
      <c r="M564" s="72"/>
      <c r="N564" s="72"/>
      <c r="O564" s="642"/>
      <c r="P564" s="642"/>
      <c r="Q564" s="74"/>
      <c r="R564" s="641"/>
      <c r="S564" s="641"/>
      <c r="T564" s="72"/>
      <c r="U564" s="72"/>
      <c r="V564" s="72"/>
      <c r="W564" s="72"/>
      <c r="X564" s="72"/>
      <c r="Y564" s="72"/>
      <c r="Z564" s="72"/>
      <c r="AA564" s="73"/>
      <c r="AB564" s="72"/>
      <c r="AC564" s="641"/>
      <c r="AD564" s="72"/>
      <c r="AE564" s="641"/>
      <c r="AF564" s="641"/>
      <c r="AG564" s="72"/>
      <c r="AH564" s="72"/>
      <c r="AI564" s="72"/>
      <c r="AJ564" s="72"/>
      <c r="AK564" s="72"/>
      <c r="AL564" s="72"/>
      <c r="AM564" s="72"/>
      <c r="AN564" s="73"/>
      <c r="AO564" s="641"/>
      <c r="AP564" s="641"/>
      <c r="AQ564" s="641"/>
      <c r="AR564" s="641"/>
      <c r="AS564" s="641"/>
      <c r="AT564" s="641"/>
      <c r="AU564" s="72"/>
      <c r="AV564" s="73"/>
      <c r="AW564" s="643"/>
      <c r="AX564" s="643"/>
      <c r="AY564" s="643"/>
      <c r="AZ564" s="75"/>
      <c r="BA564" s="75"/>
      <c r="BB564" s="75"/>
    </row>
    <row r="565" spans="2:54" s="560" customFormat="1" ht="16.5" customHeight="1">
      <c r="B565" s="72"/>
      <c r="C565" s="72"/>
      <c r="D565" s="72"/>
      <c r="E565" s="73"/>
      <c r="F565" s="641"/>
      <c r="G565" s="73"/>
      <c r="H565" s="641"/>
      <c r="I565" s="641"/>
      <c r="J565" s="641"/>
      <c r="K565" s="641"/>
      <c r="L565" s="73"/>
      <c r="M565" s="72"/>
      <c r="N565" s="72"/>
      <c r="O565" s="642"/>
      <c r="P565" s="642"/>
      <c r="Q565" s="74"/>
      <c r="R565" s="641"/>
      <c r="S565" s="641"/>
      <c r="T565" s="72"/>
      <c r="U565" s="72"/>
      <c r="V565" s="72"/>
      <c r="W565" s="72"/>
      <c r="X565" s="72"/>
      <c r="Y565" s="72"/>
      <c r="Z565" s="72"/>
      <c r="AA565" s="73"/>
      <c r="AB565" s="72"/>
      <c r="AC565" s="641"/>
      <c r="AD565" s="72"/>
      <c r="AE565" s="641"/>
      <c r="AF565" s="641"/>
      <c r="AG565" s="72"/>
      <c r="AH565" s="72"/>
      <c r="AI565" s="72"/>
      <c r="AJ565" s="72"/>
      <c r="AK565" s="72"/>
      <c r="AL565" s="72"/>
      <c r="AM565" s="72"/>
      <c r="AN565" s="73"/>
      <c r="AO565" s="641"/>
      <c r="AP565" s="641"/>
      <c r="AQ565" s="641"/>
      <c r="AR565" s="641"/>
      <c r="AS565" s="641"/>
      <c r="AT565" s="641"/>
      <c r="AU565" s="72"/>
      <c r="AV565" s="73"/>
      <c r="AW565" s="643"/>
      <c r="AX565" s="643"/>
      <c r="AY565" s="643"/>
      <c r="AZ565" s="75"/>
      <c r="BA565" s="75"/>
      <c r="BB565" s="75"/>
    </row>
    <row r="566" spans="2:54" s="560" customFormat="1" ht="16.5" customHeight="1">
      <c r="B566" s="72"/>
      <c r="C566" s="72"/>
      <c r="D566" s="72"/>
      <c r="E566" s="73"/>
      <c r="F566" s="641"/>
      <c r="G566" s="73"/>
      <c r="H566" s="641"/>
      <c r="I566" s="641"/>
      <c r="J566" s="641"/>
      <c r="K566" s="641"/>
      <c r="L566" s="73"/>
      <c r="M566" s="72"/>
      <c r="N566" s="72"/>
      <c r="O566" s="642"/>
      <c r="P566" s="642"/>
      <c r="Q566" s="74"/>
      <c r="R566" s="641"/>
      <c r="S566" s="641"/>
      <c r="T566" s="72"/>
      <c r="U566" s="72"/>
      <c r="V566" s="72"/>
      <c r="W566" s="72"/>
      <c r="X566" s="72"/>
      <c r="Y566" s="72"/>
      <c r="Z566" s="72"/>
      <c r="AA566" s="73"/>
      <c r="AB566" s="72"/>
      <c r="AC566" s="641"/>
      <c r="AD566" s="72"/>
      <c r="AE566" s="641"/>
      <c r="AF566" s="641"/>
      <c r="AG566" s="72"/>
      <c r="AH566" s="72"/>
      <c r="AI566" s="72"/>
      <c r="AJ566" s="72"/>
      <c r="AK566" s="72"/>
      <c r="AL566" s="72"/>
      <c r="AM566" s="72"/>
      <c r="AN566" s="73"/>
      <c r="AO566" s="641"/>
      <c r="AP566" s="641"/>
      <c r="AQ566" s="641"/>
      <c r="AR566" s="641"/>
      <c r="AS566" s="641"/>
      <c r="AT566" s="641"/>
      <c r="AU566" s="72"/>
      <c r="AV566" s="73"/>
      <c r="AW566" s="643"/>
      <c r="AX566" s="643"/>
      <c r="AY566" s="643"/>
      <c r="AZ566" s="75"/>
      <c r="BA566" s="75"/>
      <c r="BB566" s="75"/>
    </row>
    <row r="567" spans="2:54" s="560" customFormat="1" ht="16.5" customHeight="1">
      <c r="B567" s="72"/>
      <c r="C567" s="72"/>
      <c r="D567" s="72"/>
      <c r="E567" s="73"/>
      <c r="F567" s="641"/>
      <c r="G567" s="73"/>
      <c r="H567" s="641"/>
      <c r="I567" s="641"/>
      <c r="J567" s="641"/>
      <c r="K567" s="641"/>
      <c r="L567" s="73"/>
      <c r="M567" s="72"/>
      <c r="N567" s="72"/>
      <c r="O567" s="642"/>
      <c r="P567" s="642"/>
      <c r="Q567" s="74"/>
      <c r="R567" s="641"/>
      <c r="S567" s="641"/>
      <c r="T567" s="72"/>
      <c r="U567" s="72"/>
      <c r="V567" s="72"/>
      <c r="W567" s="72"/>
      <c r="X567" s="72"/>
      <c r="Y567" s="72"/>
      <c r="Z567" s="72"/>
      <c r="AA567" s="73"/>
      <c r="AB567" s="72"/>
      <c r="AC567" s="641"/>
      <c r="AD567" s="72"/>
      <c r="AE567" s="641"/>
      <c r="AF567" s="641"/>
      <c r="AG567" s="72"/>
      <c r="AH567" s="72"/>
      <c r="AI567" s="72"/>
      <c r="AJ567" s="72"/>
      <c r="AK567" s="72"/>
      <c r="AL567" s="72"/>
      <c r="AM567" s="72"/>
      <c r="AN567" s="73"/>
      <c r="AO567" s="641"/>
      <c r="AP567" s="641"/>
      <c r="AQ567" s="641"/>
      <c r="AR567" s="641"/>
      <c r="AS567" s="641"/>
      <c r="AT567" s="641"/>
      <c r="AU567" s="72"/>
      <c r="AV567" s="73"/>
      <c r="AW567" s="643"/>
      <c r="AX567" s="643"/>
      <c r="AY567" s="643"/>
      <c r="AZ567" s="75"/>
      <c r="BA567" s="75"/>
      <c r="BB567" s="75"/>
    </row>
    <row r="568" spans="2:54" s="560" customFormat="1" ht="16.5" customHeight="1">
      <c r="B568" s="72"/>
      <c r="C568" s="72"/>
      <c r="D568" s="72"/>
      <c r="E568" s="73"/>
      <c r="F568" s="641"/>
      <c r="G568" s="73"/>
      <c r="H568" s="641"/>
      <c r="I568" s="641"/>
      <c r="J568" s="641"/>
      <c r="K568" s="641"/>
      <c r="L568" s="73"/>
      <c r="M568" s="72"/>
      <c r="N568" s="72"/>
      <c r="O568" s="642"/>
      <c r="P568" s="642"/>
      <c r="Q568" s="74"/>
      <c r="R568" s="641"/>
      <c r="S568" s="641"/>
      <c r="T568" s="72"/>
      <c r="U568" s="72"/>
      <c r="V568" s="72"/>
      <c r="W568" s="72"/>
      <c r="X568" s="72"/>
      <c r="Y568" s="72"/>
      <c r="Z568" s="72"/>
      <c r="AA568" s="73"/>
      <c r="AB568" s="72"/>
      <c r="AC568" s="641"/>
      <c r="AD568" s="72"/>
      <c r="AE568" s="641"/>
      <c r="AF568" s="641"/>
      <c r="AG568" s="72"/>
      <c r="AH568" s="72"/>
      <c r="AI568" s="72"/>
      <c r="AJ568" s="72"/>
      <c r="AK568" s="72"/>
      <c r="AL568" s="72"/>
      <c r="AM568" s="72"/>
      <c r="AN568" s="73"/>
      <c r="AO568" s="641"/>
      <c r="AP568" s="641"/>
      <c r="AQ568" s="641"/>
      <c r="AR568" s="641"/>
      <c r="AS568" s="641"/>
      <c r="AT568" s="641"/>
      <c r="AU568" s="72"/>
      <c r="AV568" s="73"/>
      <c r="AW568" s="643"/>
      <c r="AX568" s="643"/>
      <c r="AY568" s="643"/>
      <c r="AZ568" s="75"/>
      <c r="BA568" s="75"/>
      <c r="BB568" s="75"/>
    </row>
    <row r="569" spans="2:54" s="560" customFormat="1" ht="16.5" customHeight="1">
      <c r="B569" s="72"/>
      <c r="C569" s="72"/>
      <c r="D569" s="72"/>
      <c r="E569" s="73"/>
      <c r="F569" s="641"/>
      <c r="G569" s="73"/>
      <c r="H569" s="641"/>
      <c r="I569" s="641"/>
      <c r="J569" s="641"/>
      <c r="K569" s="641"/>
      <c r="L569" s="73"/>
      <c r="M569" s="72"/>
      <c r="N569" s="72"/>
      <c r="O569" s="642"/>
      <c r="P569" s="642"/>
      <c r="Q569" s="74"/>
      <c r="R569" s="641"/>
      <c r="S569" s="641"/>
      <c r="T569" s="72"/>
      <c r="U569" s="72"/>
      <c r="V569" s="72"/>
      <c r="W569" s="72"/>
      <c r="X569" s="72"/>
      <c r="Y569" s="72"/>
      <c r="Z569" s="72"/>
      <c r="AA569" s="73"/>
      <c r="AB569" s="72"/>
      <c r="AC569" s="641"/>
      <c r="AD569" s="72"/>
      <c r="AE569" s="641"/>
      <c r="AF569" s="641"/>
      <c r="AG569" s="72"/>
      <c r="AH569" s="72"/>
      <c r="AI569" s="72"/>
      <c r="AJ569" s="72"/>
      <c r="AK569" s="72"/>
      <c r="AL569" s="72"/>
      <c r="AM569" s="72"/>
      <c r="AN569" s="73"/>
      <c r="AO569" s="641"/>
      <c r="AP569" s="641"/>
      <c r="AQ569" s="641"/>
      <c r="AR569" s="641"/>
      <c r="AS569" s="641"/>
      <c r="AT569" s="641"/>
      <c r="AU569" s="72"/>
      <c r="AV569" s="73"/>
      <c r="AW569" s="643"/>
      <c r="AX569" s="643"/>
      <c r="AY569" s="643"/>
      <c r="AZ569" s="75"/>
      <c r="BA569" s="75"/>
      <c r="BB569" s="75"/>
    </row>
    <row r="570" spans="2:54" s="560" customFormat="1" ht="16.5" customHeight="1">
      <c r="B570" s="72"/>
      <c r="C570" s="72"/>
      <c r="D570" s="72"/>
      <c r="E570" s="73"/>
      <c r="F570" s="641"/>
      <c r="G570" s="73"/>
      <c r="H570" s="641"/>
      <c r="I570" s="641"/>
      <c r="J570" s="641"/>
      <c r="K570" s="641"/>
      <c r="L570" s="73"/>
      <c r="M570" s="72"/>
      <c r="N570" s="72"/>
      <c r="O570" s="642"/>
      <c r="P570" s="642"/>
      <c r="Q570" s="74"/>
      <c r="R570" s="641"/>
      <c r="S570" s="641"/>
      <c r="T570" s="72"/>
      <c r="U570" s="72"/>
      <c r="V570" s="72"/>
      <c r="W570" s="72"/>
      <c r="X570" s="72"/>
      <c r="Y570" s="72"/>
      <c r="Z570" s="72"/>
      <c r="AA570" s="73"/>
      <c r="AB570" s="72"/>
      <c r="AC570" s="641"/>
      <c r="AD570" s="72"/>
      <c r="AE570" s="641"/>
      <c r="AF570" s="641"/>
      <c r="AG570" s="72"/>
      <c r="AH570" s="72"/>
      <c r="AI570" s="72"/>
      <c r="AJ570" s="72"/>
      <c r="AK570" s="72"/>
      <c r="AL570" s="72"/>
      <c r="AM570" s="72"/>
      <c r="AN570" s="73"/>
      <c r="AO570" s="641"/>
      <c r="AP570" s="641"/>
      <c r="AQ570" s="641"/>
      <c r="AR570" s="641"/>
      <c r="AS570" s="641"/>
      <c r="AT570" s="641"/>
      <c r="AU570" s="72"/>
      <c r="AV570" s="73"/>
      <c r="AW570" s="643"/>
      <c r="AX570" s="643"/>
      <c r="AY570" s="643"/>
      <c r="AZ570" s="75"/>
      <c r="BA570" s="75"/>
      <c r="BB570" s="75"/>
    </row>
    <row r="571" spans="2:54" s="560" customFormat="1" ht="16.5" customHeight="1">
      <c r="B571" s="72"/>
      <c r="C571" s="72"/>
      <c r="D571" s="72"/>
      <c r="E571" s="73"/>
      <c r="F571" s="641"/>
      <c r="G571" s="73"/>
      <c r="H571" s="641"/>
      <c r="I571" s="641"/>
      <c r="J571" s="641"/>
      <c r="K571" s="641"/>
      <c r="L571" s="73"/>
      <c r="M571" s="72"/>
      <c r="N571" s="72"/>
      <c r="O571" s="642"/>
      <c r="P571" s="642"/>
      <c r="Q571" s="74"/>
      <c r="R571" s="641"/>
      <c r="S571" s="641"/>
      <c r="T571" s="72"/>
      <c r="U571" s="72"/>
      <c r="V571" s="72"/>
      <c r="W571" s="72"/>
      <c r="X571" s="72"/>
      <c r="Y571" s="72"/>
      <c r="Z571" s="72"/>
      <c r="AA571" s="73"/>
      <c r="AB571" s="72"/>
      <c r="AC571" s="641"/>
      <c r="AD571" s="72"/>
      <c r="AE571" s="641"/>
      <c r="AF571" s="641"/>
      <c r="AG571" s="72"/>
      <c r="AH571" s="72"/>
      <c r="AI571" s="72"/>
      <c r="AJ571" s="72"/>
      <c r="AK571" s="72"/>
      <c r="AL571" s="72"/>
      <c r="AM571" s="72"/>
      <c r="AN571" s="73"/>
      <c r="AO571" s="641"/>
      <c r="AP571" s="641"/>
      <c r="AQ571" s="641"/>
      <c r="AR571" s="641"/>
      <c r="AS571" s="641"/>
      <c r="AT571" s="641"/>
      <c r="AU571" s="72"/>
      <c r="AV571" s="73"/>
      <c r="AW571" s="643"/>
      <c r="AX571" s="643"/>
      <c r="AY571" s="643"/>
      <c r="AZ571" s="75"/>
      <c r="BA571" s="75"/>
      <c r="BB571" s="75"/>
    </row>
    <row r="572" spans="2:54" s="560" customFormat="1" ht="16.5" customHeight="1">
      <c r="B572" s="72"/>
      <c r="C572" s="72"/>
      <c r="D572" s="72"/>
      <c r="E572" s="73"/>
      <c r="F572" s="641"/>
      <c r="G572" s="73"/>
      <c r="H572" s="641"/>
      <c r="I572" s="641"/>
      <c r="J572" s="641"/>
      <c r="K572" s="641"/>
      <c r="L572" s="73"/>
      <c r="M572" s="72"/>
      <c r="N572" s="72"/>
      <c r="O572" s="642"/>
      <c r="P572" s="642"/>
      <c r="Q572" s="74"/>
      <c r="R572" s="641"/>
      <c r="S572" s="641"/>
      <c r="T572" s="72"/>
      <c r="U572" s="72"/>
      <c r="V572" s="72"/>
      <c r="W572" s="72"/>
      <c r="X572" s="72"/>
      <c r="Y572" s="72"/>
      <c r="Z572" s="72"/>
      <c r="AA572" s="73"/>
      <c r="AB572" s="72"/>
      <c r="AC572" s="641"/>
      <c r="AD572" s="72"/>
      <c r="AE572" s="641"/>
      <c r="AF572" s="641"/>
      <c r="AG572" s="72"/>
      <c r="AH572" s="72"/>
      <c r="AI572" s="72"/>
      <c r="AJ572" s="72"/>
      <c r="AK572" s="72"/>
      <c r="AL572" s="72"/>
      <c r="AM572" s="72"/>
      <c r="AN572" s="73"/>
      <c r="AO572" s="641"/>
      <c r="AP572" s="641"/>
      <c r="AQ572" s="641"/>
      <c r="AR572" s="641"/>
      <c r="AS572" s="641"/>
      <c r="AT572" s="641"/>
      <c r="AU572" s="72"/>
      <c r="AV572" s="73"/>
      <c r="AW572" s="643"/>
      <c r="AX572" s="643"/>
      <c r="AY572" s="643"/>
      <c r="AZ572" s="75"/>
      <c r="BA572" s="75"/>
      <c r="BB572" s="75"/>
    </row>
    <row r="573" spans="2:54" s="560" customFormat="1" ht="16.5" customHeight="1">
      <c r="B573" s="72"/>
      <c r="C573" s="72"/>
      <c r="D573" s="72"/>
      <c r="E573" s="73"/>
      <c r="F573" s="641"/>
      <c r="G573" s="73"/>
      <c r="H573" s="641"/>
      <c r="I573" s="641"/>
      <c r="J573" s="641"/>
      <c r="K573" s="641"/>
      <c r="L573" s="73"/>
      <c r="M573" s="72"/>
      <c r="N573" s="72"/>
      <c r="O573" s="642"/>
      <c r="P573" s="642"/>
      <c r="Q573" s="74"/>
      <c r="R573" s="641"/>
      <c r="S573" s="641"/>
      <c r="T573" s="72"/>
      <c r="U573" s="72"/>
      <c r="V573" s="72"/>
      <c r="W573" s="72"/>
      <c r="X573" s="72"/>
      <c r="Y573" s="72"/>
      <c r="Z573" s="72"/>
      <c r="AA573" s="73"/>
      <c r="AB573" s="72"/>
      <c r="AC573" s="641"/>
      <c r="AD573" s="72"/>
      <c r="AE573" s="641"/>
      <c r="AF573" s="641"/>
      <c r="AG573" s="72"/>
      <c r="AH573" s="72"/>
      <c r="AI573" s="72"/>
      <c r="AJ573" s="72"/>
      <c r="AK573" s="72"/>
      <c r="AL573" s="72"/>
      <c r="AM573" s="72"/>
      <c r="AN573" s="73"/>
      <c r="AO573" s="641"/>
      <c r="AP573" s="641"/>
      <c r="AQ573" s="641"/>
      <c r="AR573" s="641"/>
      <c r="AS573" s="641"/>
      <c r="AT573" s="641"/>
      <c r="AU573" s="72"/>
      <c r="AV573" s="73"/>
      <c r="AW573" s="643"/>
      <c r="AX573" s="643"/>
      <c r="AY573" s="643"/>
      <c r="AZ573" s="75"/>
      <c r="BA573" s="75"/>
      <c r="BB573" s="75"/>
    </row>
    <row r="574" spans="2:54" s="560" customFormat="1" ht="16.5" customHeight="1">
      <c r="B574" s="72"/>
      <c r="C574" s="72"/>
      <c r="D574" s="72"/>
      <c r="E574" s="73"/>
      <c r="F574" s="641"/>
      <c r="G574" s="73"/>
      <c r="H574" s="641"/>
      <c r="I574" s="641"/>
      <c r="J574" s="641"/>
      <c r="K574" s="641"/>
      <c r="L574" s="73"/>
      <c r="M574" s="72"/>
      <c r="N574" s="72"/>
      <c r="O574" s="642"/>
      <c r="P574" s="642"/>
      <c r="Q574" s="74"/>
      <c r="R574" s="641"/>
      <c r="S574" s="641"/>
      <c r="T574" s="72"/>
      <c r="U574" s="72"/>
      <c r="V574" s="72"/>
      <c r="W574" s="72"/>
      <c r="X574" s="72"/>
      <c r="Y574" s="72"/>
      <c r="Z574" s="72"/>
      <c r="AA574" s="73"/>
      <c r="AB574" s="72"/>
      <c r="AC574" s="641"/>
      <c r="AD574" s="72"/>
      <c r="AE574" s="641"/>
      <c r="AF574" s="641"/>
      <c r="AG574" s="72"/>
      <c r="AH574" s="72"/>
      <c r="AI574" s="72"/>
      <c r="AJ574" s="72"/>
      <c r="AK574" s="72"/>
      <c r="AL574" s="72"/>
      <c r="AM574" s="72"/>
      <c r="AN574" s="73"/>
      <c r="AO574" s="641"/>
      <c r="AP574" s="641"/>
      <c r="AQ574" s="641"/>
      <c r="AR574" s="641"/>
      <c r="AS574" s="641"/>
      <c r="AT574" s="641"/>
      <c r="AU574" s="72"/>
      <c r="AV574" s="73"/>
      <c r="AW574" s="643"/>
      <c r="AX574" s="643"/>
      <c r="AY574" s="643"/>
      <c r="AZ574" s="75"/>
      <c r="BA574" s="75"/>
      <c r="BB574" s="75"/>
    </row>
    <row r="575" spans="2:54" s="560" customFormat="1" ht="16.5" customHeight="1">
      <c r="B575" s="72"/>
      <c r="C575" s="72"/>
      <c r="D575" s="72"/>
      <c r="E575" s="73"/>
      <c r="F575" s="641"/>
      <c r="G575" s="73"/>
      <c r="H575" s="641"/>
      <c r="I575" s="641"/>
      <c r="J575" s="641"/>
      <c r="K575" s="641"/>
      <c r="L575" s="73"/>
      <c r="M575" s="72"/>
      <c r="N575" s="72"/>
      <c r="O575" s="642"/>
      <c r="P575" s="642"/>
      <c r="Q575" s="74"/>
      <c r="R575" s="641"/>
      <c r="S575" s="641"/>
      <c r="T575" s="72"/>
      <c r="U575" s="72"/>
      <c r="V575" s="72"/>
      <c r="W575" s="72"/>
      <c r="X575" s="72"/>
      <c r="Y575" s="72"/>
      <c r="Z575" s="72"/>
      <c r="AA575" s="73"/>
      <c r="AB575" s="72"/>
      <c r="AC575" s="641"/>
      <c r="AD575" s="72"/>
      <c r="AE575" s="641"/>
      <c r="AF575" s="641"/>
      <c r="AG575" s="72"/>
      <c r="AH575" s="72"/>
      <c r="AI575" s="72"/>
      <c r="AJ575" s="72"/>
      <c r="AK575" s="72"/>
      <c r="AL575" s="72"/>
      <c r="AM575" s="72"/>
      <c r="AN575" s="73"/>
      <c r="AO575" s="641"/>
      <c r="AP575" s="641"/>
      <c r="AQ575" s="641"/>
      <c r="AR575" s="641"/>
      <c r="AS575" s="641"/>
      <c r="AT575" s="641"/>
      <c r="AU575" s="72"/>
      <c r="AV575" s="73"/>
      <c r="AW575" s="643"/>
      <c r="AX575" s="643"/>
      <c r="AY575" s="643"/>
      <c r="AZ575" s="75"/>
      <c r="BA575" s="75"/>
      <c r="BB575" s="75"/>
    </row>
    <row r="576" spans="2:54" s="560" customFormat="1" ht="16.5" customHeight="1">
      <c r="B576" s="72"/>
      <c r="C576" s="72"/>
      <c r="D576" s="72"/>
      <c r="E576" s="73"/>
      <c r="F576" s="641"/>
      <c r="G576" s="73"/>
      <c r="H576" s="641"/>
      <c r="I576" s="641"/>
      <c r="J576" s="641"/>
      <c r="K576" s="641"/>
      <c r="L576" s="73"/>
      <c r="M576" s="72"/>
      <c r="N576" s="72"/>
      <c r="O576" s="642"/>
      <c r="P576" s="642"/>
      <c r="Q576" s="74"/>
      <c r="R576" s="641"/>
      <c r="S576" s="641"/>
      <c r="T576" s="72"/>
      <c r="U576" s="72"/>
      <c r="V576" s="72"/>
      <c r="W576" s="72"/>
      <c r="X576" s="72"/>
      <c r="Y576" s="72"/>
      <c r="Z576" s="72"/>
      <c r="AA576" s="73"/>
      <c r="AB576" s="72"/>
      <c r="AC576" s="641"/>
      <c r="AD576" s="72"/>
      <c r="AE576" s="641"/>
      <c r="AF576" s="641"/>
      <c r="AG576" s="72"/>
      <c r="AH576" s="72"/>
      <c r="AI576" s="72"/>
      <c r="AJ576" s="72"/>
      <c r="AK576" s="72"/>
      <c r="AL576" s="72"/>
      <c r="AM576" s="72"/>
      <c r="AN576" s="73"/>
      <c r="AO576" s="641"/>
      <c r="AP576" s="641"/>
      <c r="AQ576" s="641"/>
      <c r="AR576" s="641"/>
      <c r="AS576" s="641"/>
      <c r="AT576" s="641"/>
      <c r="AU576" s="72"/>
      <c r="AV576" s="73"/>
      <c r="AW576" s="643"/>
      <c r="AX576" s="643"/>
      <c r="AY576" s="643"/>
      <c r="AZ576" s="75"/>
      <c r="BA576" s="75"/>
      <c r="BB576" s="75"/>
    </row>
    <row r="577" spans="2:54" s="560" customFormat="1" ht="16.5" customHeight="1">
      <c r="B577" s="72"/>
      <c r="C577" s="72"/>
      <c r="D577" s="72"/>
      <c r="E577" s="73"/>
      <c r="F577" s="641"/>
      <c r="G577" s="73"/>
      <c r="H577" s="641"/>
      <c r="I577" s="641"/>
      <c r="J577" s="641"/>
      <c r="K577" s="641"/>
      <c r="L577" s="73"/>
      <c r="M577" s="72"/>
      <c r="N577" s="72"/>
      <c r="O577" s="642"/>
      <c r="P577" s="642"/>
      <c r="Q577" s="74"/>
      <c r="R577" s="641"/>
      <c r="S577" s="641"/>
      <c r="T577" s="72"/>
      <c r="U577" s="72"/>
      <c r="V577" s="72"/>
      <c r="W577" s="72"/>
      <c r="X577" s="72"/>
      <c r="Y577" s="72"/>
      <c r="Z577" s="72"/>
      <c r="AA577" s="73"/>
      <c r="AB577" s="72"/>
      <c r="AC577" s="641"/>
      <c r="AD577" s="72"/>
      <c r="AE577" s="641"/>
      <c r="AF577" s="641"/>
      <c r="AG577" s="72"/>
      <c r="AH577" s="72"/>
      <c r="AI577" s="72"/>
      <c r="AJ577" s="72"/>
      <c r="AK577" s="72"/>
      <c r="AL577" s="72"/>
      <c r="AM577" s="72"/>
      <c r="AN577" s="73"/>
      <c r="AO577" s="641"/>
      <c r="AP577" s="641"/>
      <c r="AQ577" s="641"/>
      <c r="AR577" s="641"/>
      <c r="AS577" s="641"/>
      <c r="AT577" s="641"/>
      <c r="AU577" s="72"/>
      <c r="AV577" s="73"/>
      <c r="AW577" s="643"/>
      <c r="AX577" s="643"/>
      <c r="AY577" s="643"/>
      <c r="AZ577" s="75"/>
      <c r="BA577" s="75"/>
      <c r="BB577" s="75"/>
    </row>
    <row r="578" spans="2:54" s="560" customFormat="1" ht="16.5" customHeight="1">
      <c r="B578" s="72"/>
      <c r="C578" s="72"/>
      <c r="D578" s="72"/>
      <c r="E578" s="73"/>
      <c r="F578" s="641"/>
      <c r="G578" s="73"/>
      <c r="H578" s="641"/>
      <c r="I578" s="641"/>
      <c r="J578" s="641"/>
      <c r="K578" s="641"/>
      <c r="L578" s="73"/>
      <c r="M578" s="72"/>
      <c r="N578" s="72"/>
      <c r="O578" s="642"/>
      <c r="P578" s="642"/>
      <c r="Q578" s="74"/>
      <c r="R578" s="641"/>
      <c r="S578" s="641"/>
      <c r="T578" s="72"/>
      <c r="U578" s="72"/>
      <c r="V578" s="72"/>
      <c r="W578" s="72"/>
      <c r="X578" s="72"/>
      <c r="Y578" s="72"/>
      <c r="Z578" s="72"/>
      <c r="AA578" s="73"/>
      <c r="AB578" s="72"/>
      <c r="AC578" s="641"/>
      <c r="AD578" s="72"/>
      <c r="AE578" s="641"/>
      <c r="AF578" s="641"/>
      <c r="AG578" s="72"/>
      <c r="AH578" s="72"/>
      <c r="AI578" s="72"/>
      <c r="AJ578" s="72"/>
      <c r="AK578" s="72"/>
      <c r="AL578" s="72"/>
      <c r="AM578" s="72"/>
      <c r="AN578" s="73"/>
      <c r="AO578" s="641"/>
      <c r="AP578" s="641"/>
      <c r="AQ578" s="641"/>
      <c r="AR578" s="641"/>
      <c r="AS578" s="641"/>
      <c r="AT578" s="641"/>
      <c r="AU578" s="72"/>
      <c r="AV578" s="73"/>
      <c r="AW578" s="643"/>
      <c r="AX578" s="643"/>
      <c r="AY578" s="643"/>
      <c r="AZ578" s="75"/>
      <c r="BA578" s="75"/>
      <c r="BB578" s="75"/>
    </row>
    <row r="579" spans="2:54" s="560" customFormat="1" ht="16.5" customHeight="1">
      <c r="B579" s="72"/>
      <c r="C579" s="72"/>
      <c r="D579" s="72"/>
      <c r="E579" s="73"/>
      <c r="F579" s="641"/>
      <c r="G579" s="73"/>
      <c r="H579" s="641"/>
      <c r="I579" s="641"/>
      <c r="J579" s="641"/>
      <c r="K579" s="641"/>
      <c r="L579" s="73"/>
      <c r="M579" s="72"/>
      <c r="N579" s="72"/>
      <c r="O579" s="642"/>
      <c r="P579" s="642"/>
      <c r="Q579" s="74"/>
      <c r="R579" s="641"/>
      <c r="S579" s="641"/>
      <c r="T579" s="72"/>
      <c r="U579" s="72"/>
      <c r="V579" s="72"/>
      <c r="W579" s="72"/>
      <c r="X579" s="72"/>
      <c r="Y579" s="72"/>
      <c r="Z579" s="72"/>
      <c r="AA579" s="73"/>
      <c r="AB579" s="72"/>
      <c r="AC579" s="641"/>
      <c r="AD579" s="72"/>
      <c r="AE579" s="641"/>
      <c r="AF579" s="641"/>
      <c r="AG579" s="72"/>
      <c r="AH579" s="72"/>
      <c r="AI579" s="72"/>
      <c r="AJ579" s="72"/>
      <c r="AK579" s="72"/>
      <c r="AL579" s="72"/>
      <c r="AM579" s="72"/>
      <c r="AN579" s="73"/>
      <c r="AO579" s="641"/>
      <c r="AP579" s="641"/>
      <c r="AQ579" s="641"/>
      <c r="AR579" s="641"/>
      <c r="AS579" s="641"/>
      <c r="AT579" s="641"/>
      <c r="AU579" s="72"/>
      <c r="AV579" s="73"/>
      <c r="AW579" s="643"/>
      <c r="AX579" s="643"/>
      <c r="AY579" s="643"/>
      <c r="AZ579" s="75"/>
      <c r="BA579" s="75"/>
      <c r="BB579" s="75"/>
    </row>
    <row r="580" spans="2:54" s="560" customFormat="1" ht="16.5" customHeight="1">
      <c r="B580" s="72"/>
      <c r="C580" s="72"/>
      <c r="D580" s="72"/>
      <c r="E580" s="73"/>
      <c r="F580" s="641"/>
      <c r="G580" s="73"/>
      <c r="H580" s="641"/>
      <c r="I580" s="641"/>
      <c r="J580" s="641"/>
      <c r="K580" s="641"/>
      <c r="L580" s="73"/>
      <c r="M580" s="72"/>
      <c r="N580" s="72"/>
      <c r="O580" s="642"/>
      <c r="P580" s="642"/>
      <c r="Q580" s="74"/>
      <c r="R580" s="641"/>
      <c r="S580" s="641"/>
      <c r="T580" s="72"/>
      <c r="U580" s="72"/>
      <c r="V580" s="72"/>
      <c r="W580" s="72"/>
      <c r="X580" s="72"/>
      <c r="Y580" s="72"/>
      <c r="Z580" s="72"/>
      <c r="AA580" s="73"/>
      <c r="AB580" s="72"/>
      <c r="AC580" s="641"/>
      <c r="AD580" s="72"/>
      <c r="AE580" s="641"/>
      <c r="AF580" s="641"/>
      <c r="AG580" s="72"/>
      <c r="AH580" s="72"/>
      <c r="AI580" s="72"/>
      <c r="AJ580" s="72"/>
      <c r="AK580" s="72"/>
      <c r="AL580" s="72"/>
      <c r="AM580" s="72"/>
      <c r="AN580" s="73"/>
      <c r="AO580" s="641"/>
      <c r="AP580" s="641"/>
      <c r="AQ580" s="641"/>
      <c r="AR580" s="641"/>
      <c r="AS580" s="641"/>
      <c r="AT580" s="641"/>
      <c r="AU580" s="72"/>
      <c r="AV580" s="73"/>
      <c r="AW580" s="643"/>
      <c r="AX580" s="643"/>
      <c r="AY580" s="643"/>
      <c r="AZ580" s="75"/>
      <c r="BA580" s="75"/>
      <c r="BB580" s="75"/>
    </row>
    <row r="581" spans="2:54" s="560" customFormat="1" ht="16.5" customHeight="1">
      <c r="B581" s="72"/>
      <c r="C581" s="72"/>
      <c r="D581" s="72"/>
      <c r="E581" s="73"/>
      <c r="F581" s="641"/>
      <c r="G581" s="73"/>
      <c r="H581" s="641"/>
      <c r="I581" s="641"/>
      <c r="J581" s="641"/>
      <c r="K581" s="641"/>
      <c r="L581" s="73"/>
      <c r="M581" s="72"/>
      <c r="N581" s="72"/>
      <c r="O581" s="642"/>
      <c r="P581" s="642"/>
      <c r="Q581" s="74"/>
      <c r="R581" s="641"/>
      <c r="S581" s="641"/>
      <c r="T581" s="72"/>
      <c r="U581" s="72"/>
      <c r="V581" s="72"/>
      <c r="W581" s="72"/>
      <c r="X581" s="72"/>
      <c r="Y581" s="72"/>
      <c r="Z581" s="72"/>
      <c r="AA581" s="73"/>
      <c r="AB581" s="72"/>
      <c r="AC581" s="641"/>
      <c r="AD581" s="72"/>
      <c r="AE581" s="641"/>
      <c r="AF581" s="641"/>
      <c r="AG581" s="72"/>
      <c r="AH581" s="72"/>
      <c r="AI581" s="72"/>
      <c r="AJ581" s="72"/>
      <c r="AK581" s="72"/>
      <c r="AL581" s="72"/>
      <c r="AM581" s="72"/>
      <c r="AN581" s="73"/>
      <c r="AO581" s="641"/>
      <c r="AP581" s="641"/>
      <c r="AQ581" s="641"/>
      <c r="AR581" s="641"/>
      <c r="AS581" s="641"/>
      <c r="AT581" s="641"/>
      <c r="AU581" s="72"/>
      <c r="AV581" s="73"/>
      <c r="AW581" s="643"/>
      <c r="AX581" s="643"/>
      <c r="AY581" s="643"/>
      <c r="AZ581" s="75"/>
      <c r="BA581" s="75"/>
      <c r="BB581" s="75"/>
    </row>
    <row r="582" spans="2:54" s="560" customFormat="1" ht="16.5" customHeight="1">
      <c r="B582" s="72"/>
      <c r="C582" s="72"/>
      <c r="D582" s="72"/>
      <c r="E582" s="73"/>
      <c r="F582" s="641"/>
      <c r="G582" s="73"/>
      <c r="H582" s="641"/>
      <c r="I582" s="641"/>
      <c r="J582" s="641"/>
      <c r="K582" s="641"/>
      <c r="L582" s="73"/>
      <c r="M582" s="72"/>
      <c r="N582" s="72"/>
      <c r="O582" s="642"/>
      <c r="P582" s="642"/>
      <c r="Q582" s="74"/>
      <c r="R582" s="641"/>
      <c r="S582" s="641"/>
      <c r="T582" s="72"/>
      <c r="U582" s="72"/>
      <c r="V582" s="72"/>
      <c r="W582" s="72"/>
      <c r="X582" s="72"/>
      <c r="Y582" s="72"/>
      <c r="Z582" s="72"/>
      <c r="AA582" s="73"/>
      <c r="AB582" s="72"/>
      <c r="AC582" s="641"/>
      <c r="AD582" s="72"/>
      <c r="AE582" s="641"/>
      <c r="AF582" s="641"/>
      <c r="AG582" s="72"/>
      <c r="AH582" s="72"/>
      <c r="AI582" s="72"/>
      <c r="AJ582" s="72"/>
      <c r="AK582" s="72"/>
      <c r="AL582" s="72"/>
      <c r="AM582" s="72"/>
      <c r="AN582" s="73"/>
      <c r="AO582" s="641"/>
      <c r="AP582" s="641"/>
      <c r="AQ582" s="641"/>
      <c r="AR582" s="641"/>
      <c r="AS582" s="641"/>
      <c r="AT582" s="641"/>
      <c r="AU582" s="72"/>
      <c r="AV582" s="73"/>
      <c r="AW582" s="643"/>
      <c r="AX582" s="643"/>
      <c r="AY582" s="643"/>
      <c r="AZ582" s="75"/>
      <c r="BA582" s="75"/>
      <c r="BB582" s="75"/>
    </row>
    <row r="583" spans="2:54" s="560" customFormat="1" ht="16.5" customHeight="1">
      <c r="B583" s="72"/>
      <c r="C583" s="72"/>
      <c r="D583" s="72"/>
      <c r="E583" s="73"/>
      <c r="F583" s="641"/>
      <c r="G583" s="73"/>
      <c r="H583" s="641"/>
      <c r="I583" s="641"/>
      <c r="J583" s="641"/>
      <c r="K583" s="641"/>
      <c r="L583" s="73"/>
      <c r="M583" s="72"/>
      <c r="N583" s="72"/>
      <c r="O583" s="642"/>
      <c r="P583" s="642"/>
      <c r="Q583" s="74"/>
      <c r="R583" s="641"/>
      <c r="S583" s="641"/>
      <c r="T583" s="72"/>
      <c r="U583" s="72"/>
      <c r="V583" s="72"/>
      <c r="W583" s="72"/>
      <c r="X583" s="72"/>
      <c r="Y583" s="72"/>
      <c r="Z583" s="72"/>
      <c r="AA583" s="73"/>
      <c r="AB583" s="72"/>
      <c r="AC583" s="641"/>
      <c r="AD583" s="72"/>
      <c r="AE583" s="641"/>
      <c r="AF583" s="641"/>
      <c r="AG583" s="72"/>
      <c r="AH583" s="72"/>
      <c r="AI583" s="72"/>
      <c r="AJ583" s="72"/>
      <c r="AK583" s="72"/>
      <c r="AL583" s="72"/>
      <c r="AM583" s="72"/>
      <c r="AN583" s="73"/>
      <c r="AO583" s="641"/>
      <c r="AP583" s="641"/>
      <c r="AQ583" s="641"/>
      <c r="AR583" s="641"/>
      <c r="AS583" s="641"/>
      <c r="AT583" s="641"/>
      <c r="AU583" s="72"/>
      <c r="AV583" s="73"/>
      <c r="AW583" s="643"/>
      <c r="AX583" s="643"/>
      <c r="AY583" s="643"/>
      <c r="AZ583" s="75"/>
      <c r="BA583" s="75"/>
      <c r="BB583" s="75"/>
    </row>
    <row r="584" spans="2:54" s="560" customFormat="1" ht="16.5" customHeight="1">
      <c r="B584" s="72"/>
      <c r="C584" s="72"/>
      <c r="D584" s="72"/>
      <c r="E584" s="73"/>
      <c r="F584" s="641"/>
      <c r="G584" s="73"/>
      <c r="H584" s="641"/>
      <c r="I584" s="641"/>
      <c r="J584" s="641"/>
      <c r="K584" s="641"/>
      <c r="L584" s="73"/>
      <c r="M584" s="72"/>
      <c r="N584" s="72"/>
      <c r="O584" s="642"/>
      <c r="P584" s="642"/>
      <c r="Q584" s="74"/>
      <c r="R584" s="641"/>
      <c r="S584" s="641"/>
      <c r="T584" s="72"/>
      <c r="U584" s="72"/>
      <c r="V584" s="72"/>
      <c r="W584" s="72"/>
      <c r="X584" s="72"/>
      <c r="Y584" s="72"/>
      <c r="Z584" s="72"/>
      <c r="AA584" s="73"/>
      <c r="AB584" s="72"/>
      <c r="AC584" s="641"/>
      <c r="AD584" s="72"/>
      <c r="AE584" s="641"/>
      <c r="AF584" s="641"/>
      <c r="AG584" s="72"/>
      <c r="AH584" s="72"/>
      <c r="AI584" s="72"/>
      <c r="AJ584" s="72"/>
      <c r="AK584" s="72"/>
      <c r="AL584" s="72"/>
      <c r="AM584" s="72"/>
      <c r="AN584" s="73"/>
      <c r="AO584" s="641"/>
      <c r="AP584" s="641"/>
      <c r="AQ584" s="641"/>
      <c r="AR584" s="641"/>
      <c r="AS584" s="641"/>
      <c r="AT584" s="641"/>
      <c r="AU584" s="72"/>
      <c r="AV584" s="73"/>
      <c r="AW584" s="643"/>
      <c r="AX584" s="643"/>
      <c r="AY584" s="643"/>
      <c r="AZ584" s="75"/>
      <c r="BA584" s="75"/>
      <c r="BB584" s="75"/>
    </row>
    <row r="585" spans="2:54" s="560" customFormat="1" ht="16.5" customHeight="1">
      <c r="B585" s="72"/>
      <c r="C585" s="72"/>
      <c r="D585" s="72"/>
      <c r="E585" s="73"/>
      <c r="F585" s="641"/>
      <c r="G585" s="73"/>
      <c r="H585" s="641"/>
      <c r="I585" s="641"/>
      <c r="J585" s="641"/>
      <c r="K585" s="641"/>
      <c r="L585" s="73"/>
      <c r="M585" s="72"/>
      <c r="N585" s="72"/>
      <c r="O585" s="642"/>
      <c r="P585" s="642"/>
      <c r="Q585" s="74"/>
      <c r="R585" s="641"/>
      <c r="S585" s="641"/>
      <c r="T585" s="72"/>
      <c r="U585" s="72"/>
      <c r="V585" s="72"/>
      <c r="W585" s="72"/>
      <c r="X585" s="72"/>
      <c r="Y585" s="72"/>
      <c r="Z585" s="72"/>
      <c r="AA585" s="73"/>
      <c r="AB585" s="72"/>
      <c r="AC585" s="641"/>
      <c r="AD585" s="72"/>
      <c r="AE585" s="641"/>
      <c r="AF585" s="641"/>
      <c r="AG585" s="72"/>
      <c r="AH585" s="72"/>
      <c r="AI585" s="72"/>
      <c r="AJ585" s="72"/>
      <c r="AK585" s="72"/>
      <c r="AL585" s="72"/>
      <c r="AM585" s="72"/>
      <c r="AN585" s="73"/>
      <c r="AO585" s="641"/>
      <c r="AP585" s="641"/>
      <c r="AQ585" s="641"/>
      <c r="AR585" s="641"/>
      <c r="AS585" s="641"/>
      <c r="AT585" s="641"/>
      <c r="AU585" s="72"/>
      <c r="AV585" s="73"/>
      <c r="AW585" s="643"/>
      <c r="AX585" s="643"/>
      <c r="AY585" s="643"/>
      <c r="AZ585" s="75"/>
      <c r="BA585" s="75"/>
      <c r="BB585" s="75"/>
    </row>
    <row r="586" spans="2:54" s="560" customFormat="1" ht="16.5" customHeight="1">
      <c r="B586" s="72"/>
      <c r="C586" s="72"/>
      <c r="D586" s="72"/>
      <c r="E586" s="73"/>
      <c r="F586" s="641"/>
      <c r="G586" s="73"/>
      <c r="H586" s="641"/>
      <c r="I586" s="641"/>
      <c r="J586" s="641"/>
      <c r="K586" s="641"/>
      <c r="L586" s="73"/>
      <c r="M586" s="72"/>
      <c r="N586" s="72"/>
      <c r="O586" s="642"/>
      <c r="P586" s="642"/>
      <c r="Q586" s="74"/>
      <c r="R586" s="641"/>
      <c r="S586" s="641"/>
      <c r="T586" s="72"/>
      <c r="U586" s="72"/>
      <c r="V586" s="72"/>
      <c r="W586" s="72"/>
      <c r="X586" s="72"/>
      <c r="Y586" s="72"/>
      <c r="Z586" s="72"/>
      <c r="AA586" s="73"/>
      <c r="AB586" s="72"/>
      <c r="AC586" s="641"/>
      <c r="AD586" s="72"/>
      <c r="AE586" s="641"/>
      <c r="AF586" s="641"/>
      <c r="AG586" s="72"/>
      <c r="AH586" s="72"/>
      <c r="AI586" s="72"/>
      <c r="AJ586" s="72"/>
      <c r="AK586" s="72"/>
      <c r="AL586" s="72"/>
      <c r="AM586" s="72"/>
      <c r="AN586" s="73"/>
      <c r="AO586" s="641"/>
      <c r="AP586" s="641"/>
      <c r="AQ586" s="641"/>
      <c r="AR586" s="641"/>
      <c r="AS586" s="641"/>
      <c r="AT586" s="641"/>
      <c r="AU586" s="72"/>
      <c r="AV586" s="73"/>
      <c r="AW586" s="643"/>
      <c r="AX586" s="643"/>
      <c r="AY586" s="643"/>
      <c r="AZ586" s="75"/>
      <c r="BA586" s="75"/>
      <c r="BB586" s="75"/>
    </row>
    <row r="587" spans="2:54" s="560" customFormat="1" ht="16.5" customHeight="1">
      <c r="B587" s="72"/>
      <c r="C587" s="72"/>
      <c r="D587" s="72"/>
      <c r="E587" s="73"/>
      <c r="F587" s="641"/>
      <c r="G587" s="73"/>
      <c r="H587" s="641"/>
      <c r="I587" s="641"/>
      <c r="J587" s="641"/>
      <c r="K587" s="641"/>
      <c r="L587" s="73"/>
      <c r="M587" s="72"/>
      <c r="N587" s="72"/>
      <c r="O587" s="642"/>
      <c r="P587" s="642"/>
      <c r="Q587" s="74"/>
      <c r="R587" s="641"/>
      <c r="S587" s="641"/>
      <c r="T587" s="72"/>
      <c r="U587" s="72"/>
      <c r="V587" s="72"/>
      <c r="W587" s="72"/>
      <c r="X587" s="72"/>
      <c r="Y587" s="72"/>
      <c r="Z587" s="72"/>
      <c r="AA587" s="73"/>
      <c r="AB587" s="72"/>
      <c r="AC587" s="641"/>
      <c r="AD587" s="72"/>
      <c r="AE587" s="641"/>
      <c r="AF587" s="641"/>
      <c r="AG587" s="72"/>
      <c r="AH587" s="72"/>
      <c r="AI587" s="72"/>
      <c r="AJ587" s="72"/>
      <c r="AK587" s="72"/>
      <c r="AL587" s="72"/>
      <c r="AM587" s="72"/>
      <c r="AN587" s="73"/>
      <c r="AO587" s="641"/>
      <c r="AP587" s="641"/>
      <c r="AQ587" s="641"/>
      <c r="AR587" s="641"/>
      <c r="AS587" s="641"/>
      <c r="AT587" s="641"/>
      <c r="AU587" s="72"/>
      <c r="AV587" s="73"/>
      <c r="AW587" s="643"/>
      <c r="AX587" s="643"/>
      <c r="AY587" s="643"/>
      <c r="AZ587" s="75"/>
      <c r="BA587" s="75"/>
      <c r="BB587" s="75"/>
    </row>
    <row r="588" spans="2:54" s="560" customFormat="1" ht="16.5" customHeight="1">
      <c r="B588" s="72"/>
      <c r="C588" s="72"/>
      <c r="D588" s="72"/>
      <c r="E588" s="73"/>
      <c r="F588" s="641"/>
      <c r="G588" s="73"/>
      <c r="H588" s="641"/>
      <c r="I588" s="641"/>
      <c r="J588" s="641"/>
      <c r="K588" s="641"/>
      <c r="L588" s="73"/>
      <c r="M588" s="72"/>
      <c r="N588" s="72"/>
      <c r="O588" s="642"/>
      <c r="P588" s="642"/>
      <c r="Q588" s="74"/>
      <c r="R588" s="641"/>
      <c r="S588" s="641"/>
      <c r="T588" s="72"/>
      <c r="U588" s="72"/>
      <c r="V588" s="72"/>
      <c r="W588" s="72"/>
      <c r="X588" s="72"/>
      <c r="Y588" s="72"/>
      <c r="Z588" s="72"/>
      <c r="AA588" s="73"/>
      <c r="AB588" s="72"/>
      <c r="AC588" s="641"/>
      <c r="AD588" s="72"/>
      <c r="AE588" s="641"/>
      <c r="AF588" s="641"/>
      <c r="AG588" s="72"/>
      <c r="AH588" s="72"/>
      <c r="AI588" s="72"/>
      <c r="AJ588" s="72"/>
      <c r="AK588" s="72"/>
      <c r="AL588" s="72"/>
      <c r="AM588" s="72"/>
      <c r="AN588" s="73"/>
      <c r="AO588" s="641"/>
      <c r="AP588" s="641"/>
      <c r="AQ588" s="641"/>
      <c r="AR588" s="641"/>
      <c r="AS588" s="641"/>
      <c r="AT588" s="641"/>
      <c r="AU588" s="72"/>
      <c r="AV588" s="73"/>
      <c r="AW588" s="643"/>
      <c r="AX588" s="643"/>
      <c r="AY588" s="643"/>
      <c r="AZ588" s="75"/>
      <c r="BA588" s="75"/>
      <c r="BB588" s="75"/>
    </row>
    <row r="589" spans="2:54" s="560" customFormat="1" ht="16.5" customHeight="1">
      <c r="B589" s="72"/>
      <c r="C589" s="72"/>
      <c r="D589" s="72"/>
      <c r="E589" s="73"/>
      <c r="F589" s="641"/>
      <c r="G589" s="73"/>
      <c r="H589" s="641"/>
      <c r="I589" s="641"/>
      <c r="J589" s="641"/>
      <c r="K589" s="641"/>
      <c r="L589" s="73"/>
      <c r="M589" s="72"/>
      <c r="N589" s="72"/>
      <c r="O589" s="642"/>
      <c r="P589" s="642"/>
      <c r="Q589" s="74"/>
      <c r="R589" s="641"/>
      <c r="S589" s="641"/>
      <c r="T589" s="72"/>
      <c r="U589" s="72"/>
      <c r="V589" s="72"/>
      <c r="W589" s="72"/>
      <c r="X589" s="72"/>
      <c r="Y589" s="72"/>
      <c r="Z589" s="72"/>
      <c r="AA589" s="73"/>
      <c r="AB589" s="72"/>
      <c r="AC589" s="641"/>
      <c r="AD589" s="72"/>
      <c r="AE589" s="641"/>
      <c r="AF589" s="641"/>
      <c r="AG589" s="72"/>
      <c r="AH589" s="72"/>
      <c r="AI589" s="72"/>
      <c r="AJ589" s="72"/>
      <c r="AK589" s="72"/>
      <c r="AL589" s="72"/>
      <c r="AM589" s="72"/>
      <c r="AN589" s="73"/>
      <c r="AO589" s="641"/>
      <c r="AP589" s="641"/>
      <c r="AQ589" s="641"/>
      <c r="AR589" s="641"/>
      <c r="AS589" s="641"/>
      <c r="AT589" s="641"/>
      <c r="AU589" s="72"/>
      <c r="AV589" s="73"/>
      <c r="AW589" s="643"/>
      <c r="AX589" s="643"/>
      <c r="AY589" s="643"/>
      <c r="AZ589" s="75"/>
      <c r="BA589" s="75"/>
      <c r="BB589" s="75"/>
    </row>
    <row r="590" spans="2:54" s="560" customFormat="1" ht="16.5" customHeight="1">
      <c r="B590" s="72"/>
      <c r="C590" s="72"/>
      <c r="D590" s="72"/>
      <c r="E590" s="73"/>
      <c r="F590" s="641"/>
      <c r="G590" s="73"/>
      <c r="H590" s="641"/>
      <c r="I590" s="641"/>
      <c r="J590" s="641"/>
      <c r="K590" s="641"/>
      <c r="L590" s="73"/>
      <c r="M590" s="72"/>
      <c r="N590" s="72"/>
      <c r="O590" s="642"/>
      <c r="P590" s="642"/>
      <c r="Q590" s="74"/>
      <c r="R590" s="641"/>
      <c r="S590" s="641"/>
      <c r="T590" s="72"/>
      <c r="U590" s="72"/>
      <c r="V590" s="72"/>
      <c r="W590" s="72"/>
      <c r="X590" s="72"/>
      <c r="Y590" s="72"/>
      <c r="Z590" s="72"/>
      <c r="AA590" s="73"/>
      <c r="AB590" s="72"/>
      <c r="AC590" s="641"/>
      <c r="AD590" s="72"/>
      <c r="AE590" s="641"/>
      <c r="AF590" s="641"/>
      <c r="AG590" s="72"/>
      <c r="AH590" s="72"/>
      <c r="AI590" s="72"/>
      <c r="AJ590" s="72"/>
      <c r="AK590" s="72"/>
      <c r="AL590" s="72"/>
      <c r="AM590" s="72"/>
      <c r="AN590" s="73"/>
      <c r="AO590" s="641"/>
      <c r="AP590" s="641"/>
      <c r="AQ590" s="641"/>
      <c r="AR590" s="641"/>
      <c r="AS590" s="641"/>
      <c r="AT590" s="641"/>
      <c r="AU590" s="72"/>
      <c r="AV590" s="73"/>
      <c r="AW590" s="643"/>
      <c r="AX590" s="643"/>
      <c r="AY590" s="643"/>
      <c r="AZ590" s="75"/>
      <c r="BA590" s="75"/>
      <c r="BB590" s="75"/>
    </row>
    <row r="591" spans="2:54" s="560" customFormat="1" ht="16.5" customHeight="1">
      <c r="B591" s="72"/>
      <c r="C591" s="72"/>
      <c r="D591" s="72"/>
      <c r="E591" s="73"/>
      <c r="F591" s="641"/>
      <c r="G591" s="73"/>
      <c r="H591" s="641"/>
      <c r="I591" s="641"/>
      <c r="J591" s="641"/>
      <c r="K591" s="641"/>
      <c r="L591" s="73"/>
      <c r="M591" s="72"/>
      <c r="N591" s="72"/>
      <c r="O591" s="642"/>
      <c r="P591" s="642"/>
      <c r="Q591" s="74"/>
      <c r="R591" s="641"/>
      <c r="S591" s="641"/>
      <c r="T591" s="72"/>
      <c r="U591" s="72"/>
      <c r="V591" s="72"/>
      <c r="W591" s="72"/>
      <c r="X591" s="72"/>
      <c r="Y591" s="72"/>
      <c r="Z591" s="72"/>
      <c r="AA591" s="73"/>
      <c r="AB591" s="72"/>
      <c r="AC591" s="641"/>
      <c r="AD591" s="72"/>
      <c r="AE591" s="641"/>
      <c r="AF591" s="641"/>
      <c r="AG591" s="72"/>
      <c r="AH591" s="72"/>
      <c r="AI591" s="72"/>
      <c r="AJ591" s="72"/>
      <c r="AK591" s="72"/>
      <c r="AL591" s="72"/>
      <c r="AM591" s="72"/>
      <c r="AN591" s="73"/>
      <c r="AO591" s="641"/>
      <c r="AP591" s="641"/>
      <c r="AQ591" s="641"/>
      <c r="AR591" s="641"/>
      <c r="AS591" s="641"/>
      <c r="AT591" s="641"/>
      <c r="AU591" s="72"/>
      <c r="AV591" s="73"/>
      <c r="AW591" s="643"/>
      <c r="AX591" s="643"/>
      <c r="AY591" s="643"/>
      <c r="AZ591" s="75"/>
      <c r="BA591" s="75"/>
      <c r="BB591" s="75"/>
    </row>
    <row r="592" spans="2:54" s="560" customFormat="1" ht="16.5" customHeight="1">
      <c r="B592" s="72"/>
      <c r="C592" s="72"/>
      <c r="D592" s="72"/>
      <c r="E592" s="73"/>
      <c r="F592" s="641"/>
      <c r="G592" s="73"/>
      <c r="H592" s="641"/>
      <c r="I592" s="641"/>
      <c r="J592" s="641"/>
      <c r="K592" s="641"/>
      <c r="L592" s="73"/>
      <c r="M592" s="72"/>
      <c r="N592" s="72"/>
      <c r="O592" s="642"/>
      <c r="P592" s="642"/>
      <c r="Q592" s="74"/>
      <c r="R592" s="641"/>
      <c r="S592" s="641"/>
      <c r="T592" s="72"/>
      <c r="U592" s="72"/>
      <c r="V592" s="72"/>
      <c r="W592" s="72"/>
      <c r="X592" s="72"/>
      <c r="Y592" s="72"/>
      <c r="Z592" s="72"/>
      <c r="AA592" s="73"/>
      <c r="AB592" s="72"/>
      <c r="AC592" s="641"/>
      <c r="AD592" s="72"/>
      <c r="AE592" s="641"/>
      <c r="AF592" s="641"/>
      <c r="AG592" s="72"/>
      <c r="AH592" s="72"/>
      <c r="AI592" s="72"/>
      <c r="AJ592" s="72"/>
      <c r="AK592" s="72"/>
      <c r="AL592" s="72"/>
      <c r="AM592" s="72"/>
      <c r="AN592" s="73"/>
      <c r="AO592" s="641"/>
      <c r="AP592" s="641"/>
      <c r="AQ592" s="641"/>
      <c r="AR592" s="641"/>
      <c r="AS592" s="641"/>
      <c r="AT592" s="641"/>
      <c r="AU592" s="72"/>
      <c r="AV592" s="73"/>
      <c r="AW592" s="643"/>
      <c r="AX592" s="643"/>
      <c r="AY592" s="643"/>
      <c r="AZ592" s="75"/>
      <c r="BA592" s="75"/>
      <c r="BB592" s="75"/>
    </row>
    <row r="593" spans="2:54" s="560" customFormat="1" ht="16.5" customHeight="1">
      <c r="B593" s="72"/>
      <c r="C593" s="72"/>
      <c r="D593" s="72"/>
      <c r="E593" s="73"/>
      <c r="F593" s="641"/>
      <c r="G593" s="73"/>
      <c r="H593" s="641"/>
      <c r="I593" s="641"/>
      <c r="J593" s="641"/>
      <c r="K593" s="641"/>
      <c r="L593" s="73"/>
      <c r="M593" s="72"/>
      <c r="N593" s="72"/>
      <c r="O593" s="642"/>
      <c r="P593" s="642"/>
      <c r="Q593" s="74"/>
      <c r="R593" s="641"/>
      <c r="S593" s="641"/>
      <c r="T593" s="72"/>
      <c r="U593" s="72"/>
      <c r="V593" s="72"/>
      <c r="W593" s="72"/>
      <c r="X593" s="72"/>
      <c r="Y593" s="72"/>
      <c r="Z593" s="72"/>
      <c r="AA593" s="73"/>
      <c r="AB593" s="72"/>
      <c r="AC593" s="641"/>
      <c r="AD593" s="72"/>
      <c r="AE593" s="641"/>
      <c r="AF593" s="641"/>
      <c r="AG593" s="72"/>
      <c r="AH593" s="72"/>
      <c r="AI593" s="72"/>
      <c r="AJ593" s="72"/>
      <c r="AK593" s="72"/>
      <c r="AL593" s="72"/>
      <c r="AM593" s="72"/>
      <c r="AN593" s="73"/>
      <c r="AO593" s="641"/>
      <c r="AP593" s="641"/>
      <c r="AQ593" s="641"/>
      <c r="AR593" s="641"/>
      <c r="AS593" s="641"/>
      <c r="AT593" s="641"/>
      <c r="AU593" s="72"/>
      <c r="AV593" s="73"/>
      <c r="AW593" s="643"/>
      <c r="AX593" s="643"/>
      <c r="AY593" s="643"/>
      <c r="AZ593" s="75"/>
      <c r="BA593" s="75"/>
      <c r="BB593" s="75"/>
    </row>
    <row r="594" spans="2:54" s="560" customFormat="1" ht="16.5" customHeight="1">
      <c r="B594" s="72"/>
      <c r="C594" s="72"/>
      <c r="D594" s="72"/>
      <c r="E594" s="73"/>
      <c r="F594" s="641"/>
      <c r="G594" s="73"/>
      <c r="H594" s="641"/>
      <c r="I594" s="641"/>
      <c r="J594" s="641"/>
      <c r="K594" s="641"/>
      <c r="L594" s="73"/>
      <c r="M594" s="72"/>
      <c r="N594" s="72"/>
      <c r="O594" s="642"/>
      <c r="P594" s="642"/>
      <c r="Q594" s="74"/>
      <c r="R594" s="641"/>
      <c r="S594" s="641"/>
      <c r="T594" s="72"/>
      <c r="U594" s="72"/>
      <c r="V594" s="72"/>
      <c r="W594" s="72"/>
      <c r="X594" s="72"/>
      <c r="Y594" s="72"/>
      <c r="Z594" s="72"/>
      <c r="AA594" s="73"/>
      <c r="AB594" s="72"/>
      <c r="AC594" s="641"/>
      <c r="AD594" s="72"/>
      <c r="AE594" s="641"/>
      <c r="AF594" s="641"/>
      <c r="AG594" s="72"/>
      <c r="AH594" s="72"/>
      <c r="AI594" s="72"/>
      <c r="AJ594" s="72"/>
      <c r="AK594" s="72"/>
      <c r="AL594" s="72"/>
      <c r="AM594" s="72"/>
      <c r="AN594" s="73"/>
      <c r="AO594" s="641"/>
      <c r="AP594" s="641"/>
      <c r="AQ594" s="641"/>
      <c r="AR594" s="641"/>
      <c r="AS594" s="641"/>
      <c r="AT594" s="641"/>
      <c r="AU594" s="72"/>
      <c r="AV594" s="73"/>
      <c r="AW594" s="643"/>
      <c r="AX594" s="643"/>
      <c r="AY594" s="643"/>
      <c r="AZ594" s="75"/>
      <c r="BA594" s="75"/>
      <c r="BB594" s="75"/>
    </row>
    <row r="595" spans="2:54" s="560" customFormat="1" ht="16.5" customHeight="1">
      <c r="B595" s="72"/>
      <c r="C595" s="72"/>
      <c r="D595" s="72"/>
      <c r="E595" s="73"/>
      <c r="F595" s="641"/>
      <c r="G595" s="73"/>
      <c r="H595" s="641"/>
      <c r="I595" s="641"/>
      <c r="J595" s="641"/>
      <c r="K595" s="641"/>
      <c r="L595" s="73"/>
      <c r="M595" s="72"/>
      <c r="N595" s="72"/>
      <c r="O595" s="642"/>
      <c r="P595" s="642"/>
      <c r="Q595" s="74"/>
      <c r="R595" s="641"/>
      <c r="S595" s="641"/>
      <c r="T595" s="72"/>
      <c r="U595" s="72"/>
      <c r="V595" s="72"/>
      <c r="W595" s="72"/>
      <c r="X595" s="72"/>
      <c r="Y595" s="72"/>
      <c r="Z595" s="72"/>
      <c r="AA595" s="73"/>
      <c r="AB595" s="72"/>
      <c r="AC595" s="641"/>
      <c r="AD595" s="72"/>
      <c r="AE595" s="641"/>
      <c r="AF595" s="641"/>
      <c r="AG595" s="72"/>
      <c r="AH595" s="72"/>
      <c r="AI595" s="72"/>
      <c r="AJ595" s="72"/>
      <c r="AK595" s="72"/>
      <c r="AL595" s="72"/>
      <c r="AM595" s="72"/>
      <c r="AN595" s="73"/>
      <c r="AO595" s="641"/>
      <c r="AP595" s="641"/>
      <c r="AQ595" s="641"/>
      <c r="AR595" s="641"/>
      <c r="AS595" s="641"/>
      <c r="AT595" s="641"/>
      <c r="AU595" s="72"/>
      <c r="AV595" s="73"/>
      <c r="AW595" s="643"/>
      <c r="AX595" s="643"/>
      <c r="AY595" s="643"/>
      <c r="AZ595" s="75"/>
      <c r="BA595" s="75"/>
      <c r="BB595" s="75"/>
    </row>
    <row r="596" spans="2:54" s="560" customFormat="1" ht="16.5" customHeight="1">
      <c r="B596" s="72"/>
      <c r="C596" s="72"/>
      <c r="D596" s="72"/>
      <c r="E596" s="73"/>
      <c r="F596" s="641"/>
      <c r="G596" s="73"/>
      <c r="H596" s="641"/>
      <c r="I596" s="641"/>
      <c r="J596" s="641"/>
      <c r="K596" s="641"/>
      <c r="L596" s="73"/>
      <c r="M596" s="72"/>
      <c r="N596" s="72"/>
      <c r="O596" s="642"/>
      <c r="P596" s="642"/>
      <c r="Q596" s="74"/>
      <c r="R596" s="641"/>
      <c r="S596" s="641"/>
      <c r="T596" s="72"/>
      <c r="U596" s="72"/>
      <c r="V596" s="72"/>
      <c r="W596" s="72"/>
      <c r="X596" s="72"/>
      <c r="Y596" s="72"/>
      <c r="Z596" s="72"/>
      <c r="AA596" s="73"/>
      <c r="AB596" s="72"/>
      <c r="AC596" s="641"/>
      <c r="AD596" s="72"/>
      <c r="AE596" s="641"/>
      <c r="AF596" s="641"/>
      <c r="AG596" s="72"/>
      <c r="AH596" s="72"/>
      <c r="AI596" s="72"/>
      <c r="AJ596" s="72"/>
      <c r="AK596" s="72"/>
      <c r="AL596" s="72"/>
      <c r="AM596" s="72"/>
      <c r="AN596" s="73"/>
      <c r="AO596" s="641"/>
      <c r="AP596" s="641"/>
      <c r="AQ596" s="641"/>
      <c r="AR596" s="641"/>
      <c r="AS596" s="641"/>
      <c r="AT596" s="641"/>
      <c r="AU596" s="72"/>
      <c r="AV596" s="73"/>
      <c r="AW596" s="643"/>
      <c r="AX596" s="643"/>
      <c r="AY596" s="643"/>
      <c r="AZ596" s="75"/>
      <c r="BA596" s="75"/>
      <c r="BB596" s="75"/>
    </row>
    <row r="597" spans="2:54" s="560" customFormat="1" ht="16.5" customHeight="1">
      <c r="B597" s="72"/>
      <c r="C597" s="72"/>
      <c r="D597" s="72"/>
      <c r="E597" s="73"/>
      <c r="F597" s="641"/>
      <c r="G597" s="73"/>
      <c r="H597" s="641"/>
      <c r="I597" s="641"/>
      <c r="J597" s="641"/>
      <c r="K597" s="641"/>
      <c r="L597" s="73"/>
      <c r="M597" s="72"/>
      <c r="N597" s="72"/>
      <c r="O597" s="642"/>
      <c r="P597" s="642"/>
      <c r="Q597" s="74"/>
      <c r="R597" s="641"/>
      <c r="S597" s="641"/>
      <c r="T597" s="72"/>
      <c r="U597" s="72"/>
      <c r="V597" s="72"/>
      <c r="W597" s="72"/>
      <c r="X597" s="72"/>
      <c r="Y597" s="72"/>
      <c r="Z597" s="72"/>
      <c r="AA597" s="73"/>
      <c r="AB597" s="72"/>
      <c r="AC597" s="641"/>
      <c r="AD597" s="72"/>
      <c r="AE597" s="641"/>
      <c r="AF597" s="641"/>
      <c r="AG597" s="72"/>
      <c r="AH597" s="72"/>
      <c r="AI597" s="72"/>
      <c r="AJ597" s="72"/>
      <c r="AK597" s="72"/>
      <c r="AL597" s="72"/>
      <c r="AM597" s="72"/>
      <c r="AN597" s="73"/>
      <c r="AO597" s="641"/>
      <c r="AP597" s="641"/>
      <c r="AQ597" s="641"/>
      <c r="AR597" s="641"/>
      <c r="AS597" s="641"/>
      <c r="AT597" s="641"/>
      <c r="AU597" s="72"/>
      <c r="AV597" s="73"/>
      <c r="AW597" s="643"/>
      <c r="AX597" s="643"/>
      <c r="AY597" s="643"/>
      <c r="AZ597" s="75"/>
      <c r="BA597" s="75"/>
      <c r="BB597" s="75"/>
    </row>
    <row r="598" spans="2:54" s="560" customFormat="1" ht="16.5" customHeight="1">
      <c r="B598" s="72"/>
      <c r="C598" s="72"/>
      <c r="D598" s="72"/>
      <c r="E598" s="73"/>
      <c r="F598" s="641"/>
      <c r="G598" s="73"/>
      <c r="H598" s="641"/>
      <c r="I598" s="641"/>
      <c r="J598" s="641"/>
      <c r="K598" s="641"/>
      <c r="L598" s="73"/>
      <c r="M598" s="72"/>
      <c r="N598" s="72"/>
      <c r="O598" s="642"/>
      <c r="P598" s="642"/>
      <c r="Q598" s="74"/>
      <c r="R598" s="641"/>
      <c r="S598" s="641"/>
      <c r="T598" s="72"/>
      <c r="U598" s="72"/>
      <c r="V598" s="72"/>
      <c r="W598" s="72"/>
      <c r="X598" s="72"/>
      <c r="Y598" s="72"/>
      <c r="Z598" s="72"/>
      <c r="AA598" s="73"/>
      <c r="AB598" s="72"/>
      <c r="AC598" s="641"/>
      <c r="AD598" s="72"/>
      <c r="AE598" s="641"/>
      <c r="AF598" s="641"/>
      <c r="AG598" s="72"/>
      <c r="AH598" s="72"/>
      <c r="AI598" s="72"/>
      <c r="AJ598" s="72"/>
      <c r="AK598" s="72"/>
      <c r="AL598" s="72"/>
      <c r="AM598" s="72"/>
      <c r="AN598" s="73"/>
      <c r="AO598" s="641"/>
      <c r="AP598" s="641"/>
      <c r="AQ598" s="641"/>
      <c r="AR598" s="641"/>
      <c r="AS598" s="641"/>
      <c r="AT598" s="641"/>
      <c r="AU598" s="72"/>
      <c r="AV598" s="73"/>
      <c r="AW598" s="643"/>
      <c r="AX598" s="643"/>
      <c r="AY598" s="643"/>
      <c r="AZ598" s="75"/>
      <c r="BA598" s="75"/>
      <c r="BB598" s="75"/>
    </row>
    <row r="599" spans="2:54" s="560" customFormat="1" ht="16.5" customHeight="1">
      <c r="B599" s="72"/>
      <c r="C599" s="72"/>
      <c r="D599" s="72"/>
      <c r="E599" s="73"/>
      <c r="F599" s="641"/>
      <c r="G599" s="73"/>
      <c r="H599" s="641"/>
      <c r="I599" s="641"/>
      <c r="J599" s="641"/>
      <c r="K599" s="641"/>
      <c r="L599" s="73"/>
      <c r="M599" s="72"/>
      <c r="N599" s="72"/>
      <c r="O599" s="642"/>
      <c r="P599" s="642"/>
      <c r="Q599" s="74"/>
      <c r="R599" s="641"/>
      <c r="S599" s="641"/>
      <c r="T599" s="72"/>
      <c r="U599" s="72"/>
      <c r="V599" s="72"/>
      <c r="W599" s="72"/>
      <c r="X599" s="72"/>
      <c r="Y599" s="72"/>
      <c r="Z599" s="72"/>
      <c r="AA599" s="73"/>
      <c r="AB599" s="72"/>
      <c r="AC599" s="641"/>
      <c r="AD599" s="72"/>
      <c r="AE599" s="641"/>
      <c r="AF599" s="641"/>
      <c r="AG599" s="72"/>
      <c r="AH599" s="72"/>
      <c r="AI599" s="72"/>
      <c r="AJ599" s="72"/>
      <c r="AK599" s="72"/>
      <c r="AL599" s="72"/>
      <c r="AM599" s="72"/>
      <c r="AN599" s="73"/>
      <c r="AO599" s="641"/>
      <c r="AP599" s="641"/>
      <c r="AQ599" s="641"/>
      <c r="AR599" s="641"/>
      <c r="AS599" s="641"/>
      <c r="AT599" s="641"/>
      <c r="AU599" s="72"/>
      <c r="AV599" s="73"/>
      <c r="AW599" s="643"/>
      <c r="AX599" s="643"/>
      <c r="AY599" s="643"/>
      <c r="AZ599" s="75"/>
      <c r="BA599" s="75"/>
      <c r="BB599" s="75"/>
    </row>
    <row r="600" spans="2:54" s="560" customFormat="1" ht="16.5" customHeight="1">
      <c r="B600" s="72"/>
      <c r="C600" s="72"/>
      <c r="D600" s="72"/>
      <c r="E600" s="73"/>
      <c r="F600" s="641"/>
      <c r="G600" s="73"/>
      <c r="H600" s="641"/>
      <c r="I600" s="641"/>
      <c r="J600" s="641"/>
      <c r="K600" s="641"/>
      <c r="L600" s="73"/>
      <c r="M600" s="72"/>
      <c r="N600" s="72"/>
      <c r="O600" s="642"/>
      <c r="P600" s="642"/>
      <c r="Q600" s="74"/>
      <c r="R600" s="641"/>
      <c r="S600" s="641"/>
      <c r="T600" s="72"/>
      <c r="U600" s="72"/>
      <c r="V600" s="72"/>
      <c r="W600" s="72"/>
      <c r="X600" s="72"/>
      <c r="Y600" s="72"/>
      <c r="Z600" s="72"/>
      <c r="AA600" s="73"/>
      <c r="AB600" s="72"/>
      <c r="AC600" s="641"/>
      <c r="AD600" s="72"/>
      <c r="AE600" s="641"/>
      <c r="AF600" s="641"/>
      <c r="AG600" s="72"/>
      <c r="AH600" s="72"/>
      <c r="AI600" s="72"/>
      <c r="AJ600" s="72"/>
      <c r="AK600" s="72"/>
      <c r="AL600" s="72"/>
      <c r="AM600" s="72"/>
      <c r="AN600" s="73"/>
      <c r="AO600" s="641"/>
      <c r="AP600" s="641"/>
      <c r="AQ600" s="641"/>
      <c r="AR600" s="641"/>
      <c r="AS600" s="641"/>
      <c r="AT600" s="641"/>
      <c r="AU600" s="72"/>
      <c r="AV600" s="73"/>
      <c r="AW600" s="643"/>
      <c r="AX600" s="643"/>
      <c r="AY600" s="643"/>
      <c r="AZ600" s="75"/>
      <c r="BA600" s="75"/>
      <c r="BB600" s="75"/>
    </row>
    <row r="601" spans="2:54" s="560" customFormat="1" ht="16.5" customHeight="1">
      <c r="B601" s="72"/>
      <c r="C601" s="72"/>
      <c r="D601" s="72"/>
      <c r="E601" s="73"/>
      <c r="F601" s="641"/>
      <c r="G601" s="73"/>
      <c r="H601" s="641"/>
      <c r="I601" s="641"/>
      <c r="J601" s="641"/>
      <c r="K601" s="641"/>
      <c r="L601" s="73"/>
      <c r="M601" s="72"/>
      <c r="N601" s="72"/>
      <c r="O601" s="642"/>
      <c r="P601" s="642"/>
      <c r="Q601" s="74"/>
      <c r="R601" s="641"/>
      <c r="S601" s="641"/>
      <c r="T601" s="72"/>
      <c r="U601" s="72"/>
      <c r="V601" s="72"/>
      <c r="W601" s="72"/>
      <c r="X601" s="72"/>
      <c r="Y601" s="72"/>
      <c r="Z601" s="72"/>
      <c r="AA601" s="73"/>
      <c r="AB601" s="72"/>
      <c r="AC601" s="641"/>
      <c r="AD601" s="72"/>
      <c r="AE601" s="641"/>
      <c r="AF601" s="641"/>
      <c r="AG601" s="72"/>
      <c r="AH601" s="72"/>
      <c r="AI601" s="72"/>
      <c r="AJ601" s="72"/>
      <c r="AK601" s="72"/>
      <c r="AL601" s="72"/>
      <c r="AM601" s="72"/>
      <c r="AN601" s="73"/>
      <c r="AO601" s="641"/>
      <c r="AP601" s="641"/>
      <c r="AQ601" s="641"/>
      <c r="AR601" s="641"/>
      <c r="AS601" s="641"/>
      <c r="AT601" s="641"/>
      <c r="AU601" s="72"/>
      <c r="AV601" s="73"/>
      <c r="AW601" s="643"/>
      <c r="AX601" s="643"/>
      <c r="AY601" s="643"/>
      <c r="AZ601" s="75"/>
      <c r="BA601" s="75"/>
      <c r="BB601" s="75"/>
    </row>
    <row r="602" spans="2:54" s="560" customFormat="1" ht="16.5" customHeight="1">
      <c r="B602" s="72"/>
      <c r="C602" s="72"/>
      <c r="D602" s="72"/>
      <c r="E602" s="73"/>
      <c r="F602" s="641"/>
      <c r="G602" s="73"/>
      <c r="H602" s="641"/>
      <c r="I602" s="641"/>
      <c r="J602" s="641"/>
      <c r="K602" s="641"/>
      <c r="L602" s="73"/>
      <c r="M602" s="72"/>
      <c r="N602" s="72"/>
      <c r="O602" s="642"/>
      <c r="P602" s="642"/>
      <c r="Q602" s="74"/>
      <c r="R602" s="641"/>
      <c r="S602" s="641"/>
      <c r="T602" s="72"/>
      <c r="U602" s="72"/>
      <c r="V602" s="72"/>
      <c r="W602" s="72"/>
      <c r="X602" s="72"/>
      <c r="Y602" s="72"/>
      <c r="Z602" s="72"/>
      <c r="AA602" s="73"/>
      <c r="AB602" s="72"/>
      <c r="AC602" s="641"/>
      <c r="AD602" s="72"/>
      <c r="AE602" s="641"/>
      <c r="AF602" s="641"/>
      <c r="AG602" s="72"/>
      <c r="AH602" s="72"/>
      <c r="AI602" s="72"/>
      <c r="AJ602" s="72"/>
      <c r="AK602" s="72"/>
      <c r="AL602" s="72"/>
      <c r="AM602" s="72"/>
      <c r="AN602" s="73"/>
      <c r="AO602" s="641"/>
      <c r="AP602" s="641"/>
      <c r="AQ602" s="641"/>
      <c r="AR602" s="641"/>
      <c r="AS602" s="641"/>
      <c r="AT602" s="641"/>
      <c r="AU602" s="72"/>
      <c r="AV602" s="73"/>
      <c r="AW602" s="643"/>
      <c r="AX602" s="643"/>
      <c r="AY602" s="643"/>
      <c r="AZ602" s="75"/>
      <c r="BA602" s="75"/>
      <c r="BB602" s="75"/>
    </row>
    <row r="603" spans="2:54" s="560" customFormat="1" ht="16.5" customHeight="1">
      <c r="B603" s="72"/>
      <c r="C603" s="72"/>
      <c r="D603" s="72"/>
      <c r="E603" s="73"/>
      <c r="F603" s="641"/>
      <c r="G603" s="73"/>
      <c r="H603" s="641"/>
      <c r="I603" s="641"/>
      <c r="J603" s="641"/>
      <c r="K603" s="641"/>
      <c r="L603" s="73"/>
      <c r="M603" s="72"/>
      <c r="N603" s="72"/>
      <c r="O603" s="642"/>
      <c r="P603" s="642"/>
      <c r="Q603" s="74"/>
      <c r="R603" s="641"/>
      <c r="S603" s="641"/>
      <c r="T603" s="72"/>
      <c r="U603" s="72"/>
      <c r="V603" s="72"/>
      <c r="W603" s="72"/>
      <c r="X603" s="72"/>
      <c r="Y603" s="72"/>
      <c r="Z603" s="72"/>
      <c r="AA603" s="73"/>
      <c r="AB603" s="72"/>
      <c r="AC603" s="641"/>
      <c r="AD603" s="72"/>
      <c r="AE603" s="641"/>
      <c r="AF603" s="641"/>
      <c r="AG603" s="72"/>
      <c r="AH603" s="72"/>
      <c r="AI603" s="72"/>
      <c r="AJ603" s="72"/>
      <c r="AK603" s="72"/>
      <c r="AL603" s="72"/>
      <c r="AM603" s="72"/>
      <c r="AN603" s="73"/>
      <c r="AO603" s="641"/>
      <c r="AP603" s="641"/>
      <c r="AQ603" s="641"/>
      <c r="AR603" s="641"/>
      <c r="AS603" s="641"/>
      <c r="AT603" s="641"/>
      <c r="AU603" s="72"/>
      <c r="AV603" s="73"/>
      <c r="AW603" s="643"/>
      <c r="AX603" s="643"/>
      <c r="AY603" s="643"/>
      <c r="AZ603" s="75"/>
      <c r="BA603" s="75"/>
      <c r="BB603" s="75"/>
    </row>
    <row r="604" spans="2:54" s="560" customFormat="1" ht="16.5" customHeight="1">
      <c r="B604" s="72"/>
      <c r="C604" s="72"/>
      <c r="D604" s="72"/>
      <c r="E604" s="73"/>
      <c r="F604" s="641"/>
      <c r="G604" s="73"/>
      <c r="H604" s="641"/>
      <c r="I604" s="641"/>
      <c r="J604" s="641"/>
      <c r="K604" s="641"/>
      <c r="L604" s="73"/>
      <c r="M604" s="72"/>
      <c r="N604" s="72"/>
      <c r="O604" s="642"/>
      <c r="P604" s="642"/>
      <c r="Q604" s="74"/>
      <c r="R604" s="641"/>
      <c r="S604" s="641"/>
      <c r="T604" s="72"/>
      <c r="U604" s="72"/>
      <c r="V604" s="72"/>
      <c r="W604" s="72"/>
      <c r="X604" s="72"/>
      <c r="Y604" s="72"/>
      <c r="Z604" s="72"/>
      <c r="AA604" s="73"/>
      <c r="AB604" s="72"/>
      <c r="AC604" s="641"/>
      <c r="AD604" s="72"/>
      <c r="AE604" s="641"/>
      <c r="AF604" s="641"/>
      <c r="AG604" s="72"/>
      <c r="AH604" s="72"/>
      <c r="AI604" s="72"/>
      <c r="AJ604" s="72"/>
      <c r="AK604" s="72"/>
      <c r="AL604" s="72"/>
      <c r="AM604" s="72"/>
      <c r="AN604" s="73"/>
      <c r="AO604" s="641"/>
      <c r="AP604" s="641"/>
      <c r="AQ604" s="641"/>
      <c r="AR604" s="641"/>
      <c r="AS604" s="641"/>
      <c r="AT604" s="641"/>
      <c r="AU604" s="72"/>
      <c r="AV604" s="73"/>
      <c r="AW604" s="643"/>
      <c r="AX604" s="643"/>
      <c r="AY604" s="643"/>
      <c r="AZ604" s="75"/>
      <c r="BA604" s="75"/>
      <c r="BB604" s="75"/>
    </row>
    <row r="605" spans="2:54" s="560" customFormat="1" ht="16.5" customHeight="1">
      <c r="B605" s="72"/>
      <c r="C605" s="72"/>
      <c r="D605" s="72"/>
      <c r="E605" s="73"/>
      <c r="F605" s="641"/>
      <c r="G605" s="73"/>
      <c r="H605" s="641"/>
      <c r="I605" s="641"/>
      <c r="J605" s="641"/>
      <c r="K605" s="641"/>
      <c r="L605" s="73"/>
      <c r="M605" s="72"/>
      <c r="N605" s="72"/>
      <c r="O605" s="642"/>
      <c r="P605" s="642"/>
      <c r="Q605" s="74"/>
      <c r="R605" s="641"/>
      <c r="S605" s="641"/>
      <c r="T605" s="72"/>
      <c r="U605" s="72"/>
      <c r="V605" s="72"/>
      <c r="W605" s="72"/>
      <c r="X605" s="72"/>
      <c r="Y605" s="72"/>
      <c r="Z605" s="72"/>
      <c r="AA605" s="73"/>
      <c r="AB605" s="72"/>
      <c r="AC605" s="641"/>
      <c r="AD605" s="72"/>
      <c r="AE605" s="641"/>
      <c r="AF605" s="641"/>
      <c r="AG605" s="72"/>
      <c r="AH605" s="72"/>
      <c r="AI605" s="72"/>
      <c r="AJ605" s="72"/>
      <c r="AK605" s="72"/>
      <c r="AL605" s="72"/>
      <c r="AM605" s="72"/>
      <c r="AN605" s="73"/>
      <c r="AO605" s="641"/>
      <c r="AP605" s="641"/>
      <c r="AQ605" s="641"/>
      <c r="AR605" s="641"/>
      <c r="AS605" s="641"/>
      <c r="AT605" s="641"/>
      <c r="AU605" s="72"/>
      <c r="AV605" s="73"/>
      <c r="AW605" s="643"/>
      <c r="AX605" s="643"/>
      <c r="AY605" s="643"/>
      <c r="AZ605" s="75"/>
      <c r="BA605" s="75"/>
      <c r="BB605" s="75"/>
    </row>
    <row r="606" spans="2:54" s="560" customFormat="1" ht="16.5" customHeight="1">
      <c r="B606" s="72"/>
      <c r="C606" s="72"/>
      <c r="D606" s="72"/>
      <c r="E606" s="73"/>
      <c r="F606" s="641"/>
      <c r="G606" s="73"/>
      <c r="H606" s="641"/>
      <c r="I606" s="641"/>
      <c r="J606" s="641"/>
      <c r="K606" s="641"/>
      <c r="L606" s="73"/>
      <c r="M606" s="72"/>
      <c r="N606" s="72"/>
      <c r="O606" s="642"/>
      <c r="P606" s="642"/>
      <c r="Q606" s="74"/>
      <c r="R606" s="641"/>
      <c r="S606" s="641"/>
      <c r="T606" s="72"/>
      <c r="U606" s="72"/>
      <c r="V606" s="72"/>
      <c r="W606" s="72"/>
      <c r="X606" s="72"/>
      <c r="Y606" s="72"/>
      <c r="Z606" s="72"/>
      <c r="AA606" s="73"/>
      <c r="AB606" s="72"/>
      <c r="AC606" s="641"/>
      <c r="AD606" s="72"/>
      <c r="AE606" s="641"/>
      <c r="AF606" s="641"/>
      <c r="AG606" s="72"/>
      <c r="AH606" s="72"/>
      <c r="AI606" s="72"/>
      <c r="AJ606" s="72"/>
      <c r="AK606" s="72"/>
      <c r="AL606" s="72"/>
      <c r="AM606" s="72"/>
      <c r="AN606" s="73"/>
      <c r="AO606" s="641"/>
      <c r="AP606" s="641"/>
      <c r="AQ606" s="641"/>
      <c r="AR606" s="641"/>
      <c r="AS606" s="641"/>
      <c r="AT606" s="641"/>
      <c r="AU606" s="72"/>
      <c r="AV606" s="73"/>
      <c r="AW606" s="643"/>
      <c r="AX606" s="643"/>
      <c r="AY606" s="643"/>
      <c r="AZ606" s="75"/>
      <c r="BA606" s="75"/>
      <c r="BB606" s="75"/>
    </row>
    <row r="607" spans="2:54" s="560" customFormat="1" ht="16.5" customHeight="1">
      <c r="B607" s="72"/>
      <c r="C607" s="72"/>
      <c r="D607" s="72"/>
      <c r="E607" s="73"/>
      <c r="F607" s="641"/>
      <c r="G607" s="73"/>
      <c r="H607" s="641"/>
      <c r="I607" s="641"/>
      <c r="J607" s="641"/>
      <c r="K607" s="641"/>
      <c r="L607" s="73"/>
      <c r="M607" s="72"/>
      <c r="N607" s="72"/>
      <c r="O607" s="642"/>
      <c r="P607" s="642"/>
      <c r="Q607" s="74"/>
      <c r="R607" s="641"/>
      <c r="S607" s="641"/>
      <c r="T607" s="72"/>
      <c r="U607" s="72"/>
      <c r="V607" s="72"/>
      <c r="W607" s="72"/>
      <c r="X607" s="72"/>
      <c r="Y607" s="72"/>
      <c r="Z607" s="72"/>
      <c r="AA607" s="73"/>
      <c r="AB607" s="72"/>
      <c r="AC607" s="641"/>
      <c r="AD607" s="72"/>
      <c r="AE607" s="641"/>
      <c r="AF607" s="641"/>
      <c r="AG607" s="72"/>
      <c r="AH607" s="72"/>
      <c r="AI607" s="72"/>
      <c r="AJ607" s="72"/>
      <c r="AK607" s="72"/>
      <c r="AL607" s="72"/>
      <c r="AM607" s="72"/>
      <c r="AN607" s="73"/>
      <c r="AO607" s="641"/>
      <c r="AP607" s="641"/>
      <c r="AQ607" s="641"/>
      <c r="AR607" s="641"/>
      <c r="AS607" s="641"/>
      <c r="AT607" s="641"/>
      <c r="AU607" s="72"/>
      <c r="AV607" s="73"/>
      <c r="AW607" s="643"/>
      <c r="AX607" s="643"/>
      <c r="AY607" s="643"/>
      <c r="AZ607" s="75"/>
      <c r="BA607" s="75"/>
      <c r="BB607" s="75"/>
    </row>
    <row r="608" spans="2:54" s="560" customFormat="1" ht="16.5" customHeight="1">
      <c r="B608" s="72"/>
      <c r="C608" s="72"/>
      <c r="D608" s="72"/>
      <c r="E608" s="73"/>
      <c r="F608" s="641"/>
      <c r="G608" s="73"/>
      <c r="H608" s="641"/>
      <c r="I608" s="641"/>
      <c r="J608" s="641"/>
      <c r="K608" s="641"/>
      <c r="L608" s="73"/>
      <c r="M608" s="72"/>
      <c r="N608" s="72"/>
      <c r="O608" s="642"/>
      <c r="P608" s="642"/>
      <c r="Q608" s="74"/>
      <c r="R608" s="641"/>
      <c r="S608" s="641"/>
      <c r="T608" s="72"/>
      <c r="U608" s="72"/>
      <c r="V608" s="72"/>
      <c r="W608" s="72"/>
      <c r="X608" s="72"/>
      <c r="Y608" s="72"/>
      <c r="Z608" s="72"/>
      <c r="AA608" s="73"/>
      <c r="AB608" s="72"/>
      <c r="AC608" s="641"/>
      <c r="AD608" s="72"/>
      <c r="AE608" s="641"/>
      <c r="AF608" s="641"/>
      <c r="AG608" s="72"/>
      <c r="AH608" s="72"/>
      <c r="AI608" s="72"/>
      <c r="AJ608" s="72"/>
      <c r="AK608" s="72"/>
      <c r="AL608" s="72"/>
      <c r="AM608" s="72"/>
      <c r="AN608" s="73"/>
      <c r="AO608" s="641"/>
      <c r="AP608" s="641"/>
      <c r="AQ608" s="641"/>
      <c r="AR608" s="641"/>
      <c r="AS608" s="641"/>
      <c r="AT608" s="641"/>
      <c r="AU608" s="72"/>
      <c r="AV608" s="73"/>
      <c r="AW608" s="643"/>
      <c r="AX608" s="643"/>
      <c r="AY608" s="643"/>
      <c r="AZ608" s="75"/>
      <c r="BA608" s="75"/>
      <c r="BB608" s="75"/>
    </row>
    <row r="609" spans="2:54" s="560" customFormat="1" ht="16.5" customHeight="1">
      <c r="B609" s="72"/>
      <c r="C609" s="72"/>
      <c r="D609" s="72"/>
      <c r="E609" s="73"/>
      <c r="F609" s="641"/>
      <c r="G609" s="73"/>
      <c r="H609" s="641"/>
      <c r="I609" s="641"/>
      <c r="J609" s="641"/>
      <c r="K609" s="641"/>
      <c r="L609" s="73"/>
      <c r="M609" s="72"/>
      <c r="N609" s="72"/>
      <c r="O609" s="642"/>
      <c r="P609" s="642"/>
      <c r="Q609" s="74"/>
      <c r="R609" s="641"/>
      <c r="S609" s="641"/>
      <c r="T609" s="72"/>
      <c r="U609" s="72"/>
      <c r="V609" s="72"/>
      <c r="W609" s="72"/>
      <c r="X609" s="72"/>
      <c r="Y609" s="72"/>
      <c r="Z609" s="72"/>
      <c r="AA609" s="73"/>
      <c r="AB609" s="72"/>
      <c r="AC609" s="641"/>
      <c r="AD609" s="72"/>
      <c r="AE609" s="641"/>
      <c r="AF609" s="641"/>
      <c r="AG609" s="72"/>
      <c r="AH609" s="72"/>
      <c r="AI609" s="72"/>
      <c r="AJ609" s="72"/>
      <c r="AK609" s="72"/>
      <c r="AL609" s="72"/>
      <c r="AM609" s="72"/>
      <c r="AN609" s="73"/>
      <c r="AO609" s="641"/>
      <c r="AP609" s="641"/>
      <c r="AQ609" s="641"/>
      <c r="AR609" s="641"/>
      <c r="AS609" s="641"/>
      <c r="AT609" s="641"/>
      <c r="AU609" s="72"/>
      <c r="AV609" s="73"/>
      <c r="AW609" s="643"/>
      <c r="AX609" s="643"/>
      <c r="AY609" s="643"/>
      <c r="AZ609" s="75"/>
      <c r="BA609" s="75"/>
      <c r="BB609" s="75"/>
    </row>
    <row r="610" spans="2:54" s="560" customFormat="1" ht="16.5" customHeight="1">
      <c r="B610" s="72"/>
      <c r="C610" s="72"/>
      <c r="D610" s="72"/>
      <c r="E610" s="73"/>
      <c r="F610" s="641"/>
      <c r="G610" s="73"/>
      <c r="H610" s="641"/>
      <c r="I610" s="641"/>
      <c r="J610" s="641"/>
      <c r="K610" s="641"/>
      <c r="L610" s="73"/>
      <c r="M610" s="72"/>
      <c r="N610" s="72"/>
      <c r="O610" s="642"/>
      <c r="P610" s="642"/>
      <c r="Q610" s="74"/>
      <c r="R610" s="641"/>
      <c r="S610" s="641"/>
      <c r="T610" s="72"/>
      <c r="U610" s="72"/>
      <c r="V610" s="72"/>
      <c r="W610" s="72"/>
      <c r="X610" s="72"/>
      <c r="Y610" s="72"/>
      <c r="Z610" s="72"/>
      <c r="AA610" s="73"/>
      <c r="AB610" s="72"/>
      <c r="AC610" s="641"/>
      <c r="AD610" s="72"/>
      <c r="AE610" s="641"/>
      <c r="AF610" s="641"/>
      <c r="AG610" s="72"/>
      <c r="AH610" s="72"/>
      <c r="AI610" s="72"/>
      <c r="AJ610" s="72"/>
      <c r="AK610" s="72"/>
      <c r="AL610" s="72"/>
      <c r="AM610" s="72"/>
      <c r="AN610" s="73"/>
      <c r="AO610" s="641"/>
      <c r="AP610" s="641"/>
      <c r="AQ610" s="641"/>
      <c r="AR610" s="641"/>
      <c r="AS610" s="641"/>
      <c r="AT610" s="641"/>
      <c r="AU610" s="72"/>
      <c r="AV610" s="73"/>
      <c r="AW610" s="643"/>
      <c r="AX610" s="643"/>
      <c r="AY610" s="643"/>
      <c r="AZ610" s="75"/>
      <c r="BA610" s="75"/>
      <c r="BB610" s="75"/>
    </row>
    <row r="611" spans="2:54" s="560" customFormat="1" ht="16.5" customHeight="1">
      <c r="B611" s="72"/>
      <c r="C611" s="72"/>
      <c r="D611" s="72"/>
      <c r="E611" s="73"/>
      <c r="F611" s="641"/>
      <c r="G611" s="73"/>
      <c r="H611" s="641"/>
      <c r="I611" s="641"/>
      <c r="J611" s="641"/>
      <c r="K611" s="641"/>
      <c r="L611" s="73"/>
      <c r="M611" s="72"/>
      <c r="N611" s="72"/>
      <c r="O611" s="642"/>
      <c r="P611" s="642"/>
      <c r="Q611" s="74"/>
      <c r="R611" s="641"/>
      <c r="S611" s="641"/>
      <c r="T611" s="72"/>
      <c r="U611" s="72"/>
      <c r="V611" s="72"/>
      <c r="W611" s="72"/>
      <c r="X611" s="72"/>
      <c r="Y611" s="72"/>
      <c r="Z611" s="72"/>
      <c r="AA611" s="73"/>
      <c r="AB611" s="72"/>
      <c r="AC611" s="641"/>
      <c r="AD611" s="72"/>
      <c r="AE611" s="641"/>
      <c r="AF611" s="641"/>
      <c r="AG611" s="72"/>
      <c r="AH611" s="72"/>
      <c r="AI611" s="72"/>
      <c r="AJ611" s="72"/>
      <c r="AK611" s="72"/>
      <c r="AL611" s="72"/>
      <c r="AM611" s="72"/>
      <c r="AN611" s="73"/>
      <c r="AO611" s="641"/>
      <c r="AP611" s="641"/>
      <c r="AQ611" s="641"/>
      <c r="AR611" s="641"/>
      <c r="AS611" s="641"/>
      <c r="AT611" s="641"/>
      <c r="AU611" s="72"/>
      <c r="AV611" s="73"/>
      <c r="AW611" s="643"/>
      <c r="AX611" s="643"/>
      <c r="AY611" s="643"/>
      <c r="AZ611" s="75"/>
      <c r="BA611" s="75"/>
      <c r="BB611" s="75"/>
    </row>
    <row r="612" spans="2:54" s="560" customFormat="1" ht="16.5" customHeight="1">
      <c r="B612" s="72"/>
      <c r="C612" s="72"/>
      <c r="D612" s="72"/>
      <c r="E612" s="73"/>
      <c r="F612" s="641"/>
      <c r="G612" s="73"/>
      <c r="H612" s="641"/>
      <c r="I612" s="641"/>
      <c r="J612" s="641"/>
      <c r="K612" s="641"/>
      <c r="L612" s="73"/>
      <c r="M612" s="72"/>
      <c r="N612" s="72"/>
      <c r="O612" s="642"/>
      <c r="P612" s="642"/>
      <c r="Q612" s="74"/>
      <c r="R612" s="641"/>
      <c r="S612" s="641"/>
      <c r="T612" s="72"/>
      <c r="U612" s="72"/>
      <c r="V612" s="72"/>
      <c r="W612" s="72"/>
      <c r="X612" s="72"/>
      <c r="Y612" s="72"/>
      <c r="Z612" s="72"/>
      <c r="AA612" s="73"/>
      <c r="AB612" s="72"/>
      <c r="AC612" s="641"/>
      <c r="AD612" s="72"/>
      <c r="AE612" s="641"/>
      <c r="AF612" s="641"/>
      <c r="AG612" s="72"/>
      <c r="AH612" s="72"/>
      <c r="AI612" s="72"/>
      <c r="AJ612" s="72"/>
      <c r="AK612" s="72"/>
      <c r="AL612" s="72"/>
      <c r="AM612" s="72"/>
      <c r="AN612" s="73"/>
      <c r="AO612" s="641"/>
      <c r="AP612" s="641"/>
      <c r="AQ612" s="641"/>
      <c r="AR612" s="641"/>
      <c r="AS612" s="641"/>
      <c r="AT612" s="641"/>
      <c r="AU612" s="72"/>
      <c r="AV612" s="73"/>
      <c r="AW612" s="643"/>
      <c r="AX612" s="643"/>
      <c r="AY612" s="643"/>
      <c r="AZ612" s="75"/>
      <c r="BA612" s="75"/>
      <c r="BB612" s="75"/>
    </row>
    <row r="613" spans="2:54" s="560" customFormat="1" ht="16.5" customHeight="1">
      <c r="B613" s="72"/>
      <c r="C613" s="72"/>
      <c r="D613" s="72"/>
      <c r="E613" s="73"/>
      <c r="F613" s="641"/>
      <c r="G613" s="73"/>
      <c r="H613" s="641"/>
      <c r="I613" s="641"/>
      <c r="J613" s="641"/>
      <c r="K613" s="641"/>
      <c r="L613" s="73"/>
      <c r="M613" s="72"/>
      <c r="N613" s="72"/>
      <c r="O613" s="642"/>
      <c r="P613" s="642"/>
      <c r="Q613" s="74"/>
      <c r="R613" s="641"/>
      <c r="S613" s="641"/>
      <c r="T613" s="72"/>
      <c r="U613" s="72"/>
      <c r="V613" s="72"/>
      <c r="W613" s="72"/>
      <c r="X613" s="72"/>
      <c r="Y613" s="72"/>
      <c r="Z613" s="72"/>
      <c r="AA613" s="73"/>
      <c r="AB613" s="72"/>
      <c r="AC613" s="641"/>
      <c r="AD613" s="72"/>
      <c r="AE613" s="641"/>
      <c r="AF613" s="641"/>
      <c r="AG613" s="72"/>
      <c r="AH613" s="72"/>
      <c r="AI613" s="72"/>
      <c r="AJ613" s="72"/>
      <c r="AK613" s="72"/>
      <c r="AL613" s="72"/>
      <c r="AM613" s="72"/>
      <c r="AN613" s="73"/>
      <c r="AO613" s="641"/>
      <c r="AP613" s="641"/>
      <c r="AQ613" s="641"/>
      <c r="AR613" s="641"/>
      <c r="AS613" s="641"/>
      <c r="AT613" s="641"/>
      <c r="AU613" s="72"/>
      <c r="AV613" s="73"/>
      <c r="AW613" s="643"/>
      <c r="AX613" s="643"/>
      <c r="AY613" s="643"/>
      <c r="AZ613" s="75"/>
      <c r="BA613" s="75"/>
      <c r="BB613" s="75"/>
    </row>
    <row r="614" spans="2:54" s="560" customFormat="1" ht="16.5" customHeight="1">
      <c r="B614" s="72"/>
      <c r="C614" s="72"/>
      <c r="D614" s="72"/>
      <c r="E614" s="73"/>
      <c r="F614" s="641"/>
      <c r="G614" s="73"/>
      <c r="H614" s="641"/>
      <c r="I614" s="641"/>
      <c r="J614" s="641"/>
      <c r="K614" s="641"/>
      <c r="L614" s="73"/>
      <c r="M614" s="72"/>
      <c r="N614" s="72"/>
      <c r="O614" s="642"/>
      <c r="P614" s="642"/>
      <c r="Q614" s="74"/>
      <c r="R614" s="641"/>
      <c r="S614" s="641"/>
      <c r="T614" s="72"/>
      <c r="U614" s="72"/>
      <c r="V614" s="72"/>
      <c r="W614" s="72"/>
      <c r="X614" s="72"/>
      <c r="Y614" s="72"/>
      <c r="Z614" s="72"/>
      <c r="AA614" s="73"/>
      <c r="AB614" s="72"/>
      <c r="AC614" s="641"/>
      <c r="AD614" s="72"/>
      <c r="AE614" s="641"/>
      <c r="AF614" s="641"/>
      <c r="AG614" s="72"/>
      <c r="AH614" s="72"/>
      <c r="AI614" s="72"/>
      <c r="AJ614" s="72"/>
      <c r="AK614" s="72"/>
      <c r="AL614" s="72"/>
      <c r="AM614" s="72"/>
      <c r="AN614" s="73"/>
      <c r="AO614" s="641"/>
      <c r="AP614" s="641"/>
      <c r="AQ614" s="641"/>
      <c r="AR614" s="641"/>
      <c r="AS614" s="641"/>
      <c r="AT614" s="641"/>
      <c r="AU614" s="72"/>
      <c r="AV614" s="73"/>
      <c r="AW614" s="643"/>
      <c r="AX614" s="643"/>
      <c r="AY614" s="643"/>
      <c r="AZ614" s="75"/>
      <c r="BA614" s="75"/>
      <c r="BB614" s="75"/>
    </row>
    <row r="615" spans="2:54" s="560" customFormat="1" ht="16.5" customHeight="1">
      <c r="B615" s="72"/>
      <c r="C615" s="72"/>
      <c r="D615" s="72"/>
      <c r="E615" s="73"/>
      <c r="F615" s="641"/>
      <c r="G615" s="73"/>
      <c r="H615" s="641"/>
      <c r="I615" s="641"/>
      <c r="J615" s="641"/>
      <c r="K615" s="641"/>
      <c r="L615" s="73"/>
      <c r="M615" s="72"/>
      <c r="N615" s="72"/>
      <c r="O615" s="642"/>
      <c r="P615" s="642"/>
      <c r="Q615" s="74"/>
      <c r="R615" s="641"/>
      <c r="S615" s="641"/>
      <c r="T615" s="72"/>
      <c r="U615" s="72"/>
      <c r="V615" s="72"/>
      <c r="W615" s="72"/>
      <c r="X615" s="72"/>
      <c r="Y615" s="72"/>
      <c r="Z615" s="72"/>
      <c r="AA615" s="73"/>
      <c r="AB615" s="72"/>
      <c r="AC615" s="641"/>
      <c r="AD615" s="72"/>
      <c r="AE615" s="641"/>
      <c r="AF615" s="641"/>
      <c r="AG615" s="72"/>
      <c r="AH615" s="72"/>
      <c r="AI615" s="72"/>
      <c r="AJ615" s="72"/>
      <c r="AK615" s="72"/>
      <c r="AL615" s="72"/>
      <c r="AM615" s="72"/>
      <c r="AN615" s="73"/>
      <c r="AO615" s="641"/>
      <c r="AP615" s="641"/>
      <c r="AQ615" s="641"/>
      <c r="AR615" s="641"/>
      <c r="AS615" s="641"/>
      <c r="AT615" s="641"/>
      <c r="AU615" s="72"/>
      <c r="AV615" s="73"/>
      <c r="AW615" s="643"/>
      <c r="AX615" s="643"/>
      <c r="AY615" s="643"/>
      <c r="AZ615" s="75"/>
      <c r="BA615" s="75"/>
      <c r="BB615" s="75"/>
    </row>
    <row r="616" spans="2:54" s="560" customFormat="1" ht="16.5" customHeight="1">
      <c r="B616" s="72"/>
      <c r="C616" s="72"/>
      <c r="D616" s="72"/>
      <c r="E616" s="73"/>
      <c r="F616" s="641"/>
      <c r="G616" s="73"/>
      <c r="H616" s="641"/>
      <c r="I616" s="641"/>
      <c r="J616" s="641"/>
      <c r="K616" s="641"/>
      <c r="L616" s="73"/>
      <c r="M616" s="72"/>
      <c r="N616" s="72"/>
      <c r="O616" s="642"/>
      <c r="P616" s="642"/>
      <c r="Q616" s="74"/>
      <c r="R616" s="641"/>
      <c r="S616" s="641"/>
      <c r="T616" s="72"/>
      <c r="U616" s="72"/>
      <c r="V616" s="72"/>
      <c r="W616" s="72"/>
      <c r="X616" s="72"/>
      <c r="Y616" s="72"/>
      <c r="Z616" s="72"/>
      <c r="AA616" s="73"/>
      <c r="AB616" s="72"/>
      <c r="AC616" s="641"/>
      <c r="AD616" s="72"/>
      <c r="AE616" s="641"/>
      <c r="AF616" s="641"/>
      <c r="AG616" s="72"/>
      <c r="AH616" s="72"/>
      <c r="AI616" s="72"/>
      <c r="AJ616" s="72"/>
      <c r="AK616" s="72"/>
      <c r="AL616" s="72"/>
      <c r="AM616" s="72"/>
      <c r="AN616" s="73"/>
      <c r="AO616" s="641"/>
      <c r="AP616" s="641"/>
      <c r="AQ616" s="641"/>
      <c r="AR616" s="641"/>
      <c r="AS616" s="641"/>
      <c r="AT616" s="641"/>
      <c r="AU616" s="72"/>
      <c r="AV616" s="73"/>
      <c r="AW616" s="643"/>
      <c r="AX616" s="643"/>
      <c r="AY616" s="643"/>
      <c r="AZ616" s="75"/>
      <c r="BA616" s="75"/>
      <c r="BB616" s="75"/>
    </row>
    <row r="617" spans="2:54" s="560" customFormat="1" ht="16.5" customHeight="1">
      <c r="B617" s="72"/>
      <c r="C617" s="72"/>
      <c r="D617" s="72"/>
      <c r="E617" s="73"/>
      <c r="F617" s="641"/>
      <c r="G617" s="73"/>
      <c r="H617" s="641"/>
      <c r="I617" s="641"/>
      <c r="J617" s="641"/>
      <c r="K617" s="641"/>
      <c r="L617" s="73"/>
      <c r="M617" s="72"/>
      <c r="N617" s="72"/>
      <c r="O617" s="642"/>
      <c r="P617" s="642"/>
      <c r="Q617" s="74"/>
      <c r="R617" s="641"/>
      <c r="S617" s="641"/>
      <c r="T617" s="72"/>
      <c r="U617" s="72"/>
      <c r="V617" s="72"/>
      <c r="W617" s="72"/>
      <c r="X617" s="72"/>
      <c r="Y617" s="72"/>
      <c r="Z617" s="72"/>
      <c r="AA617" s="73"/>
      <c r="AB617" s="72"/>
      <c r="AC617" s="641"/>
      <c r="AD617" s="72"/>
      <c r="AE617" s="641"/>
      <c r="AF617" s="641"/>
      <c r="AG617" s="72"/>
      <c r="AH617" s="72"/>
      <c r="AI617" s="72"/>
      <c r="AJ617" s="72"/>
      <c r="AK617" s="72"/>
      <c r="AL617" s="72"/>
      <c r="AM617" s="72"/>
      <c r="AN617" s="73"/>
      <c r="AO617" s="641"/>
      <c r="AP617" s="641"/>
      <c r="AQ617" s="641"/>
      <c r="AR617" s="641"/>
      <c r="AS617" s="641"/>
      <c r="AT617" s="641"/>
      <c r="AU617" s="72"/>
      <c r="AV617" s="73"/>
      <c r="AW617" s="643"/>
      <c r="AX617" s="643"/>
      <c r="AY617" s="643"/>
      <c r="AZ617" s="75"/>
      <c r="BA617" s="75"/>
      <c r="BB617" s="75"/>
    </row>
    <row r="618" spans="2:54" s="560" customFormat="1" ht="16.5" customHeight="1">
      <c r="B618" s="72"/>
      <c r="C618" s="72"/>
      <c r="D618" s="72"/>
      <c r="E618" s="73"/>
      <c r="F618" s="641"/>
      <c r="G618" s="73"/>
      <c r="H618" s="641"/>
      <c r="I618" s="641"/>
      <c r="J618" s="641"/>
      <c r="K618" s="641"/>
      <c r="L618" s="73"/>
      <c r="M618" s="72"/>
      <c r="N618" s="72"/>
      <c r="O618" s="642"/>
      <c r="P618" s="642"/>
      <c r="Q618" s="74"/>
      <c r="R618" s="641"/>
      <c r="S618" s="641"/>
      <c r="T618" s="72"/>
      <c r="U618" s="72"/>
      <c r="V618" s="72"/>
      <c r="W618" s="72"/>
      <c r="X618" s="72"/>
      <c r="Y618" s="72"/>
      <c r="Z618" s="72"/>
      <c r="AA618" s="73"/>
      <c r="AB618" s="72"/>
      <c r="AC618" s="641"/>
      <c r="AD618" s="72"/>
      <c r="AE618" s="641"/>
      <c r="AF618" s="641"/>
      <c r="AG618" s="72"/>
      <c r="AH618" s="72"/>
      <c r="AI618" s="72"/>
      <c r="AJ618" s="72"/>
      <c r="AK618" s="72"/>
      <c r="AL618" s="72"/>
      <c r="AM618" s="72"/>
      <c r="AN618" s="73"/>
      <c r="AO618" s="641"/>
      <c r="AP618" s="641"/>
      <c r="AQ618" s="641"/>
      <c r="AR618" s="641"/>
      <c r="AS618" s="641"/>
      <c r="AT618" s="641"/>
      <c r="AU618" s="72"/>
      <c r="AV618" s="73"/>
      <c r="AW618" s="643"/>
      <c r="AX618" s="643"/>
      <c r="AY618" s="643"/>
      <c r="AZ618" s="75"/>
      <c r="BA618" s="75"/>
      <c r="BB618" s="75"/>
    </row>
    <row r="619" spans="2:54" s="560" customFormat="1" ht="16.5" customHeight="1">
      <c r="B619" s="72"/>
      <c r="C619" s="72"/>
      <c r="D619" s="72"/>
      <c r="E619" s="73"/>
      <c r="F619" s="641"/>
      <c r="G619" s="73"/>
      <c r="H619" s="641"/>
      <c r="I619" s="641"/>
      <c r="J619" s="641"/>
      <c r="K619" s="641"/>
      <c r="L619" s="73"/>
      <c r="M619" s="72"/>
      <c r="N619" s="72"/>
      <c r="O619" s="642"/>
      <c r="P619" s="642"/>
      <c r="Q619" s="74"/>
      <c r="R619" s="641"/>
      <c r="S619" s="641"/>
      <c r="T619" s="72"/>
      <c r="U619" s="72"/>
      <c r="V619" s="72"/>
      <c r="W619" s="72"/>
      <c r="X619" s="72"/>
      <c r="Y619" s="72"/>
      <c r="Z619" s="72"/>
      <c r="AA619" s="73"/>
      <c r="AB619" s="72"/>
      <c r="AC619" s="641"/>
      <c r="AD619" s="72"/>
      <c r="AE619" s="641"/>
      <c r="AF619" s="641"/>
      <c r="AG619" s="72"/>
      <c r="AH619" s="72"/>
      <c r="AI619" s="72"/>
      <c r="AJ619" s="72"/>
      <c r="AK619" s="72"/>
      <c r="AL619" s="72"/>
      <c r="AM619" s="72"/>
      <c r="AN619" s="73"/>
      <c r="AO619" s="641"/>
      <c r="AP619" s="641"/>
      <c r="AQ619" s="641"/>
      <c r="AR619" s="641"/>
      <c r="AS619" s="641"/>
      <c r="AT619" s="641"/>
      <c r="AU619" s="72"/>
      <c r="AV619" s="73"/>
      <c r="AW619" s="643"/>
      <c r="AX619" s="643"/>
      <c r="AY619" s="643"/>
      <c r="AZ619" s="75"/>
      <c r="BA619" s="75"/>
      <c r="BB619" s="75"/>
    </row>
    <row r="620" spans="2:54" s="560" customFormat="1" ht="16.5" customHeight="1">
      <c r="B620" s="72"/>
      <c r="C620" s="72"/>
      <c r="D620" s="72"/>
      <c r="E620" s="73"/>
      <c r="F620" s="641"/>
      <c r="G620" s="73"/>
      <c r="H620" s="641"/>
      <c r="I620" s="641"/>
      <c r="J620" s="641"/>
      <c r="K620" s="641"/>
      <c r="L620" s="73"/>
      <c r="M620" s="72"/>
      <c r="N620" s="72"/>
      <c r="O620" s="642"/>
      <c r="P620" s="642"/>
      <c r="Q620" s="74"/>
      <c r="R620" s="641"/>
      <c r="S620" s="641"/>
      <c r="T620" s="72"/>
      <c r="U620" s="72"/>
      <c r="V620" s="72"/>
      <c r="W620" s="72"/>
      <c r="X620" s="72"/>
      <c r="Y620" s="72"/>
      <c r="Z620" s="72"/>
      <c r="AA620" s="73"/>
      <c r="AB620" s="72"/>
      <c r="AC620" s="641"/>
      <c r="AD620" s="72"/>
      <c r="AE620" s="641"/>
      <c r="AF620" s="641"/>
      <c r="AG620" s="72"/>
      <c r="AH620" s="72"/>
      <c r="AI620" s="72"/>
      <c r="AJ620" s="72"/>
      <c r="AK620" s="72"/>
      <c r="AL620" s="72"/>
      <c r="AM620" s="72"/>
      <c r="AN620" s="73"/>
      <c r="AO620" s="641"/>
      <c r="AP620" s="641"/>
      <c r="AQ620" s="641"/>
      <c r="AR620" s="641"/>
      <c r="AS620" s="641"/>
      <c r="AT620" s="641"/>
      <c r="AU620" s="72"/>
      <c r="AV620" s="73"/>
      <c r="AW620" s="643"/>
      <c r="AX620" s="643"/>
      <c r="AY620" s="643"/>
      <c r="AZ620" s="75"/>
      <c r="BA620" s="75"/>
      <c r="BB620" s="75"/>
    </row>
    <row r="621" spans="2:54" s="560" customFormat="1" ht="16.5" customHeight="1">
      <c r="B621" s="72"/>
      <c r="C621" s="72"/>
      <c r="D621" s="72"/>
      <c r="E621" s="73"/>
      <c r="F621" s="641"/>
      <c r="G621" s="73"/>
      <c r="H621" s="641"/>
      <c r="I621" s="641"/>
      <c r="J621" s="641"/>
      <c r="K621" s="641"/>
      <c r="L621" s="73"/>
      <c r="M621" s="72"/>
      <c r="N621" s="72"/>
      <c r="O621" s="642"/>
      <c r="P621" s="642"/>
      <c r="Q621" s="74"/>
      <c r="R621" s="641"/>
      <c r="S621" s="641"/>
      <c r="T621" s="72"/>
      <c r="U621" s="72"/>
      <c r="V621" s="72"/>
      <c r="W621" s="72"/>
      <c r="X621" s="72"/>
      <c r="Y621" s="72"/>
      <c r="Z621" s="72"/>
      <c r="AA621" s="73"/>
      <c r="AB621" s="72"/>
      <c r="AC621" s="641"/>
      <c r="AD621" s="72"/>
      <c r="AE621" s="641"/>
      <c r="AF621" s="641"/>
      <c r="AG621" s="72"/>
      <c r="AH621" s="72"/>
      <c r="AI621" s="72"/>
      <c r="AJ621" s="72"/>
      <c r="AK621" s="72"/>
      <c r="AL621" s="72"/>
      <c r="AM621" s="72"/>
      <c r="AN621" s="73"/>
      <c r="AO621" s="641"/>
      <c r="AP621" s="641"/>
      <c r="AQ621" s="641"/>
      <c r="AR621" s="641"/>
      <c r="AS621" s="641"/>
      <c r="AT621" s="641"/>
      <c r="AU621" s="72"/>
      <c r="AV621" s="73"/>
      <c r="AW621" s="643"/>
      <c r="AX621" s="643"/>
      <c r="AY621" s="643"/>
      <c r="AZ621" s="75"/>
      <c r="BA621" s="75"/>
      <c r="BB621" s="75"/>
    </row>
    <row r="622" spans="2:54" s="560" customFormat="1" ht="16.5" customHeight="1">
      <c r="B622" s="72"/>
      <c r="C622" s="72"/>
      <c r="D622" s="72"/>
      <c r="E622" s="73"/>
      <c r="F622" s="641"/>
      <c r="G622" s="73"/>
      <c r="H622" s="641"/>
      <c r="I622" s="641"/>
      <c r="J622" s="641"/>
      <c r="K622" s="641"/>
      <c r="L622" s="73"/>
      <c r="M622" s="72"/>
      <c r="N622" s="72"/>
      <c r="O622" s="642"/>
      <c r="P622" s="642"/>
      <c r="Q622" s="74"/>
      <c r="R622" s="641"/>
      <c r="S622" s="641"/>
      <c r="T622" s="72"/>
      <c r="U622" s="72"/>
      <c r="V622" s="72"/>
      <c r="W622" s="72"/>
      <c r="X622" s="72"/>
      <c r="Y622" s="72"/>
      <c r="Z622" s="72"/>
      <c r="AA622" s="73"/>
      <c r="AB622" s="72"/>
      <c r="AC622" s="641"/>
      <c r="AD622" s="72"/>
      <c r="AE622" s="641"/>
      <c r="AF622" s="641"/>
      <c r="AG622" s="72"/>
      <c r="AH622" s="72"/>
      <c r="AI622" s="72"/>
      <c r="AJ622" s="72"/>
      <c r="AK622" s="72"/>
      <c r="AL622" s="72"/>
      <c r="AM622" s="72"/>
      <c r="AN622" s="73"/>
      <c r="AO622" s="641"/>
      <c r="AP622" s="641"/>
      <c r="AQ622" s="641"/>
      <c r="AR622" s="641"/>
      <c r="AS622" s="641"/>
      <c r="AT622" s="641"/>
      <c r="AU622" s="72"/>
      <c r="AV622" s="73"/>
      <c r="AW622" s="643"/>
      <c r="AX622" s="643"/>
      <c r="AY622" s="643"/>
      <c r="AZ622" s="75"/>
      <c r="BA622" s="75"/>
      <c r="BB622" s="75"/>
    </row>
    <row r="623" spans="2:54" s="560" customFormat="1" ht="16.5" customHeight="1">
      <c r="B623" s="72"/>
      <c r="C623" s="72"/>
      <c r="D623" s="72"/>
      <c r="E623" s="73"/>
      <c r="F623" s="641"/>
      <c r="G623" s="73"/>
      <c r="H623" s="641"/>
      <c r="I623" s="641"/>
      <c r="J623" s="641"/>
      <c r="K623" s="641"/>
      <c r="L623" s="73"/>
      <c r="M623" s="72"/>
      <c r="N623" s="72"/>
      <c r="O623" s="642"/>
      <c r="P623" s="642"/>
      <c r="Q623" s="74"/>
      <c r="R623" s="641"/>
      <c r="S623" s="641"/>
      <c r="T623" s="72"/>
      <c r="U623" s="72"/>
      <c r="V623" s="72"/>
      <c r="W623" s="72"/>
      <c r="X623" s="72"/>
      <c r="Y623" s="72"/>
      <c r="Z623" s="72"/>
      <c r="AA623" s="73"/>
      <c r="AB623" s="72"/>
      <c r="AC623" s="641"/>
      <c r="AD623" s="72"/>
      <c r="AE623" s="641"/>
      <c r="AF623" s="641"/>
      <c r="AG623" s="72"/>
      <c r="AH623" s="72"/>
      <c r="AI623" s="72"/>
      <c r="AJ623" s="72"/>
      <c r="AK623" s="72"/>
      <c r="AL623" s="72"/>
      <c r="AM623" s="72"/>
      <c r="AN623" s="73"/>
      <c r="AO623" s="641"/>
      <c r="AP623" s="641"/>
      <c r="AQ623" s="641"/>
      <c r="AR623" s="641"/>
      <c r="AS623" s="641"/>
      <c r="AT623" s="641"/>
      <c r="AU623" s="72"/>
      <c r="AV623" s="73"/>
      <c r="AW623" s="643"/>
      <c r="AX623" s="643"/>
      <c r="AY623" s="643"/>
      <c r="AZ623" s="75"/>
      <c r="BA623" s="75"/>
      <c r="BB623" s="75"/>
    </row>
    <row r="624" spans="2:54" s="560" customFormat="1" ht="16.5" customHeight="1">
      <c r="B624" s="72"/>
      <c r="C624" s="72"/>
      <c r="D624" s="72"/>
      <c r="E624" s="73"/>
      <c r="F624" s="641"/>
      <c r="G624" s="73"/>
      <c r="H624" s="641"/>
      <c r="I624" s="641"/>
      <c r="J624" s="641"/>
      <c r="K624" s="641"/>
      <c r="L624" s="73"/>
      <c r="M624" s="72"/>
      <c r="N624" s="72"/>
      <c r="O624" s="642"/>
      <c r="P624" s="642"/>
      <c r="Q624" s="74"/>
      <c r="R624" s="641"/>
      <c r="S624" s="641"/>
      <c r="T624" s="72"/>
      <c r="U624" s="72"/>
      <c r="V624" s="72"/>
      <c r="W624" s="72"/>
      <c r="X624" s="72"/>
      <c r="Y624" s="72"/>
      <c r="Z624" s="72"/>
      <c r="AA624" s="73"/>
      <c r="AB624" s="72"/>
      <c r="AC624" s="641"/>
      <c r="AD624" s="72"/>
      <c r="AE624" s="641"/>
      <c r="AF624" s="641"/>
      <c r="AG624" s="72"/>
      <c r="AH624" s="72"/>
      <c r="AI624" s="72"/>
      <c r="AJ624" s="72"/>
      <c r="AK624" s="72"/>
      <c r="AL624" s="72"/>
      <c r="AM624" s="72"/>
      <c r="AN624" s="73"/>
      <c r="AO624" s="641"/>
      <c r="AP624" s="641"/>
      <c r="AQ624" s="641"/>
      <c r="AR624" s="641"/>
      <c r="AS624" s="641"/>
      <c r="AT624" s="641"/>
      <c r="AU624" s="72"/>
      <c r="AV624" s="73"/>
      <c r="AW624" s="643"/>
      <c r="AX624" s="643"/>
      <c r="AY624" s="643"/>
      <c r="AZ624" s="75"/>
      <c r="BA624" s="75"/>
      <c r="BB624" s="75"/>
    </row>
    <row r="625" spans="2:54" s="560" customFormat="1" ht="16.5" customHeight="1">
      <c r="B625" s="72"/>
      <c r="C625" s="72"/>
      <c r="D625" s="72"/>
      <c r="E625" s="73"/>
      <c r="F625" s="641"/>
      <c r="G625" s="73"/>
      <c r="H625" s="641"/>
      <c r="I625" s="641"/>
      <c r="J625" s="641"/>
      <c r="K625" s="641"/>
      <c r="L625" s="73"/>
      <c r="M625" s="72"/>
      <c r="N625" s="72"/>
      <c r="O625" s="642"/>
      <c r="P625" s="642"/>
      <c r="Q625" s="74"/>
      <c r="R625" s="641"/>
      <c r="S625" s="641"/>
      <c r="T625" s="72"/>
      <c r="U625" s="72"/>
      <c r="V625" s="72"/>
      <c r="W625" s="72"/>
      <c r="X625" s="72"/>
      <c r="Y625" s="72"/>
      <c r="Z625" s="72"/>
      <c r="AA625" s="73"/>
      <c r="AB625" s="72"/>
      <c r="AC625" s="641"/>
      <c r="AD625" s="72"/>
      <c r="AE625" s="641"/>
      <c r="AF625" s="641"/>
      <c r="AG625" s="72"/>
      <c r="AH625" s="72"/>
      <c r="AI625" s="72"/>
      <c r="AJ625" s="72"/>
      <c r="AK625" s="72"/>
      <c r="AL625" s="72"/>
      <c r="AM625" s="72"/>
      <c r="AN625" s="73"/>
      <c r="AO625" s="641"/>
      <c r="AP625" s="641"/>
      <c r="AQ625" s="641"/>
      <c r="AR625" s="641"/>
      <c r="AS625" s="641"/>
      <c r="AT625" s="641"/>
      <c r="AU625" s="72"/>
      <c r="AV625" s="73"/>
      <c r="AW625" s="643"/>
      <c r="AX625" s="643"/>
      <c r="AY625" s="643"/>
      <c r="AZ625" s="75"/>
      <c r="BA625" s="75"/>
      <c r="BB625" s="75"/>
    </row>
    <row r="626" spans="2:54" s="560" customFormat="1" ht="16.5" customHeight="1">
      <c r="B626" s="72"/>
      <c r="C626" s="72"/>
      <c r="D626" s="72"/>
      <c r="E626" s="73"/>
      <c r="F626" s="641"/>
      <c r="G626" s="73"/>
      <c r="H626" s="641"/>
      <c r="I626" s="641"/>
      <c r="J626" s="641"/>
      <c r="K626" s="641"/>
      <c r="L626" s="73"/>
      <c r="M626" s="72"/>
      <c r="N626" s="72"/>
      <c r="O626" s="642"/>
      <c r="P626" s="642"/>
      <c r="Q626" s="74"/>
      <c r="R626" s="641"/>
      <c r="S626" s="641"/>
      <c r="T626" s="72"/>
      <c r="U626" s="72"/>
      <c r="V626" s="72"/>
      <c r="W626" s="72"/>
      <c r="X626" s="72"/>
      <c r="Y626" s="72"/>
      <c r="Z626" s="72"/>
      <c r="AA626" s="73"/>
      <c r="AB626" s="72"/>
      <c r="AC626" s="641"/>
      <c r="AD626" s="72"/>
      <c r="AE626" s="641"/>
      <c r="AF626" s="641"/>
      <c r="AG626" s="72"/>
      <c r="AH626" s="72"/>
      <c r="AI626" s="72"/>
      <c r="AJ626" s="72"/>
      <c r="AK626" s="72"/>
      <c r="AL626" s="72"/>
      <c r="AM626" s="72"/>
      <c r="AN626" s="73"/>
      <c r="AO626" s="641"/>
      <c r="AP626" s="641"/>
      <c r="AQ626" s="641"/>
      <c r="AR626" s="641"/>
      <c r="AS626" s="641"/>
      <c r="AT626" s="641"/>
      <c r="AU626" s="72"/>
      <c r="AV626" s="73"/>
      <c r="AW626" s="643"/>
      <c r="AX626" s="643"/>
      <c r="AY626" s="643"/>
      <c r="AZ626" s="75"/>
      <c r="BA626" s="75"/>
      <c r="BB626" s="75"/>
    </row>
    <row r="627" spans="2:54" s="560" customFormat="1" ht="16.5" customHeight="1">
      <c r="B627" s="72"/>
      <c r="C627" s="72"/>
      <c r="D627" s="72"/>
      <c r="E627" s="73"/>
      <c r="F627" s="641"/>
      <c r="G627" s="73"/>
      <c r="H627" s="641"/>
      <c r="I627" s="641"/>
      <c r="J627" s="641"/>
      <c r="K627" s="641"/>
      <c r="L627" s="73"/>
      <c r="M627" s="72"/>
      <c r="N627" s="72"/>
      <c r="O627" s="642"/>
      <c r="P627" s="642"/>
      <c r="Q627" s="74"/>
      <c r="R627" s="641"/>
      <c r="S627" s="641"/>
      <c r="T627" s="72"/>
      <c r="U627" s="72"/>
      <c r="V627" s="72"/>
      <c r="W627" s="72"/>
      <c r="X627" s="72"/>
      <c r="Y627" s="72"/>
      <c r="Z627" s="72"/>
      <c r="AA627" s="73"/>
      <c r="AB627" s="72"/>
      <c r="AC627" s="641"/>
      <c r="AD627" s="72"/>
      <c r="AE627" s="641"/>
      <c r="AF627" s="641"/>
      <c r="AG627" s="72"/>
      <c r="AH627" s="72"/>
      <c r="AI627" s="72"/>
      <c r="AJ627" s="72"/>
      <c r="AK627" s="72"/>
      <c r="AL627" s="72"/>
      <c r="AM627" s="72"/>
      <c r="AN627" s="73"/>
      <c r="AO627" s="641"/>
      <c r="AP627" s="641"/>
      <c r="AQ627" s="641"/>
      <c r="AR627" s="641"/>
      <c r="AS627" s="641"/>
      <c r="AT627" s="641"/>
      <c r="AU627" s="72"/>
      <c r="AV627" s="73"/>
      <c r="AW627" s="643"/>
      <c r="AX627" s="643"/>
      <c r="AY627" s="643"/>
      <c r="AZ627" s="75"/>
      <c r="BA627" s="75"/>
      <c r="BB627" s="75"/>
    </row>
    <row r="628" spans="2:54" s="560" customFormat="1" ht="16.5" customHeight="1">
      <c r="B628" s="72"/>
      <c r="C628" s="72"/>
      <c r="D628" s="72"/>
      <c r="E628" s="73"/>
      <c r="F628" s="641"/>
      <c r="G628" s="73"/>
      <c r="H628" s="641"/>
      <c r="I628" s="641"/>
      <c r="J628" s="641"/>
      <c r="K628" s="641"/>
      <c r="L628" s="73"/>
      <c r="M628" s="72"/>
      <c r="N628" s="72"/>
      <c r="O628" s="642"/>
      <c r="P628" s="642"/>
      <c r="Q628" s="74"/>
      <c r="R628" s="641"/>
      <c r="S628" s="641"/>
      <c r="T628" s="72"/>
      <c r="U628" s="72"/>
      <c r="V628" s="72"/>
      <c r="W628" s="72"/>
      <c r="X628" s="72"/>
      <c r="Y628" s="72"/>
      <c r="Z628" s="72"/>
      <c r="AA628" s="73"/>
      <c r="AB628" s="72"/>
      <c r="AC628" s="641"/>
      <c r="AD628" s="72"/>
      <c r="AE628" s="641"/>
      <c r="AF628" s="641"/>
      <c r="AG628" s="72"/>
      <c r="AH628" s="72"/>
      <c r="AI628" s="72"/>
      <c r="AJ628" s="72"/>
      <c r="AK628" s="72"/>
      <c r="AL628" s="72"/>
      <c r="AM628" s="72"/>
      <c r="AN628" s="73"/>
      <c r="AO628" s="641"/>
      <c r="AP628" s="641"/>
      <c r="AQ628" s="641"/>
      <c r="AR628" s="641"/>
      <c r="AS628" s="641"/>
      <c r="AT628" s="641"/>
      <c r="AU628" s="72"/>
      <c r="AV628" s="73"/>
      <c r="AW628" s="643"/>
      <c r="AX628" s="643"/>
      <c r="AY628" s="643"/>
      <c r="AZ628" s="75"/>
      <c r="BA628" s="75"/>
      <c r="BB628" s="75"/>
    </row>
    <row r="629" spans="2:54" s="560" customFormat="1" ht="16.5" customHeight="1">
      <c r="B629" s="72"/>
      <c r="C629" s="72"/>
      <c r="D629" s="72"/>
      <c r="E629" s="73"/>
      <c r="F629" s="641"/>
      <c r="G629" s="73"/>
      <c r="H629" s="641"/>
      <c r="I629" s="641"/>
      <c r="J629" s="641"/>
      <c r="K629" s="641"/>
      <c r="L629" s="73"/>
      <c r="M629" s="72"/>
      <c r="N629" s="72"/>
      <c r="O629" s="642"/>
      <c r="P629" s="642"/>
      <c r="Q629" s="74"/>
      <c r="R629" s="641"/>
      <c r="S629" s="641"/>
      <c r="T629" s="72"/>
      <c r="U629" s="72"/>
      <c r="V629" s="72"/>
      <c r="W629" s="72"/>
      <c r="X629" s="72"/>
      <c r="Y629" s="72"/>
      <c r="Z629" s="72"/>
      <c r="AA629" s="73"/>
      <c r="AB629" s="72"/>
      <c r="AC629" s="641"/>
      <c r="AD629" s="72"/>
      <c r="AE629" s="641"/>
      <c r="AF629" s="641"/>
      <c r="AG629" s="72"/>
      <c r="AH629" s="72"/>
      <c r="AI629" s="72"/>
      <c r="AJ629" s="72"/>
      <c r="AK629" s="72"/>
      <c r="AL629" s="72"/>
      <c r="AM629" s="72"/>
      <c r="AN629" s="73"/>
      <c r="AO629" s="641"/>
      <c r="AP629" s="641"/>
      <c r="AQ629" s="641"/>
      <c r="AR629" s="641"/>
      <c r="AS629" s="641"/>
      <c r="AT629" s="641"/>
      <c r="AU629" s="72"/>
      <c r="AV629" s="73"/>
      <c r="AW629" s="643"/>
      <c r="AX629" s="643"/>
      <c r="AY629" s="643"/>
      <c r="AZ629" s="75"/>
      <c r="BA629" s="75"/>
      <c r="BB629" s="75"/>
    </row>
    <row r="630" spans="2:54" s="560" customFormat="1" ht="16.5" customHeight="1">
      <c r="B630" s="72"/>
      <c r="C630" s="72"/>
      <c r="D630" s="72"/>
      <c r="E630" s="73"/>
      <c r="F630" s="641"/>
      <c r="G630" s="73"/>
      <c r="H630" s="641"/>
      <c r="I630" s="641"/>
      <c r="J630" s="641"/>
      <c r="K630" s="641"/>
      <c r="L630" s="73"/>
      <c r="M630" s="72"/>
      <c r="N630" s="72"/>
      <c r="O630" s="642"/>
      <c r="P630" s="642"/>
      <c r="Q630" s="74"/>
      <c r="R630" s="641"/>
      <c r="S630" s="641"/>
      <c r="T630" s="72"/>
      <c r="U630" s="72"/>
      <c r="V630" s="72"/>
      <c r="W630" s="72"/>
      <c r="X630" s="72"/>
      <c r="Y630" s="72"/>
      <c r="Z630" s="72"/>
      <c r="AA630" s="73"/>
      <c r="AB630" s="72"/>
      <c r="AC630" s="641"/>
      <c r="AD630" s="72"/>
      <c r="AE630" s="641"/>
      <c r="AF630" s="641"/>
      <c r="AG630" s="72"/>
      <c r="AH630" s="72"/>
      <c r="AI630" s="72"/>
      <c r="AJ630" s="72"/>
      <c r="AK630" s="72"/>
      <c r="AL630" s="72"/>
      <c r="AM630" s="72"/>
      <c r="AN630" s="73"/>
      <c r="AO630" s="641"/>
      <c r="AP630" s="641"/>
      <c r="AQ630" s="641"/>
      <c r="AR630" s="641"/>
      <c r="AS630" s="641"/>
      <c r="AT630" s="641"/>
      <c r="AU630" s="72"/>
      <c r="AV630" s="73"/>
      <c r="AW630" s="643"/>
      <c r="AX630" s="643"/>
      <c r="AY630" s="643"/>
      <c r="AZ630" s="75"/>
      <c r="BA630" s="75"/>
      <c r="BB630" s="75"/>
    </row>
    <row r="631" spans="2:54" s="560" customFormat="1" ht="16.5" customHeight="1">
      <c r="B631" s="72"/>
      <c r="C631" s="72"/>
      <c r="D631" s="72"/>
      <c r="E631" s="73"/>
      <c r="F631" s="641"/>
      <c r="G631" s="73"/>
      <c r="H631" s="641"/>
      <c r="I631" s="641"/>
      <c r="J631" s="641"/>
      <c r="K631" s="641"/>
      <c r="L631" s="73"/>
      <c r="M631" s="72"/>
      <c r="N631" s="72"/>
      <c r="O631" s="642"/>
      <c r="P631" s="642"/>
      <c r="Q631" s="74"/>
      <c r="R631" s="641"/>
      <c r="S631" s="641"/>
      <c r="T631" s="72"/>
      <c r="U631" s="72"/>
      <c r="V631" s="72"/>
      <c r="W631" s="72"/>
      <c r="X631" s="72"/>
      <c r="Y631" s="72"/>
      <c r="Z631" s="72"/>
      <c r="AA631" s="73"/>
      <c r="AB631" s="72"/>
      <c r="AC631" s="641"/>
      <c r="AD631" s="72"/>
      <c r="AE631" s="641"/>
      <c r="AF631" s="641"/>
      <c r="AG631" s="72"/>
      <c r="AH631" s="72"/>
      <c r="AI631" s="72"/>
      <c r="AJ631" s="72"/>
      <c r="AK631" s="72"/>
      <c r="AL631" s="72"/>
      <c r="AM631" s="72"/>
      <c r="AN631" s="73"/>
      <c r="AO631" s="641"/>
      <c r="AP631" s="641"/>
      <c r="AQ631" s="641"/>
      <c r="AR631" s="641"/>
      <c r="AS631" s="641"/>
      <c r="AT631" s="641"/>
      <c r="AU631" s="72"/>
      <c r="AV631" s="73"/>
      <c r="AW631" s="643"/>
      <c r="AX631" s="643"/>
      <c r="AY631" s="643"/>
      <c r="AZ631" s="75"/>
      <c r="BA631" s="75"/>
      <c r="BB631" s="75"/>
    </row>
    <row r="632" spans="2:54" s="560" customFormat="1" ht="16.5" customHeight="1">
      <c r="B632" s="72"/>
      <c r="C632" s="72"/>
      <c r="D632" s="72"/>
      <c r="E632" s="73"/>
      <c r="F632" s="641"/>
      <c r="G632" s="73"/>
      <c r="H632" s="641"/>
      <c r="I632" s="641"/>
      <c r="J632" s="641"/>
      <c r="K632" s="641"/>
      <c r="L632" s="73"/>
      <c r="M632" s="72"/>
      <c r="N632" s="72"/>
      <c r="O632" s="642"/>
      <c r="P632" s="642"/>
      <c r="Q632" s="74"/>
      <c r="R632" s="641"/>
      <c r="S632" s="641"/>
      <c r="T632" s="72"/>
      <c r="U632" s="72"/>
      <c r="V632" s="72"/>
      <c r="W632" s="72"/>
      <c r="X632" s="72"/>
      <c r="Y632" s="72"/>
      <c r="Z632" s="72"/>
      <c r="AA632" s="73"/>
      <c r="AB632" s="72"/>
      <c r="AC632" s="641"/>
      <c r="AD632" s="72"/>
      <c r="AE632" s="641"/>
      <c r="AF632" s="641"/>
      <c r="AG632" s="72"/>
      <c r="AH632" s="72"/>
      <c r="AI632" s="72"/>
      <c r="AJ632" s="72"/>
      <c r="AK632" s="72"/>
      <c r="AL632" s="72"/>
      <c r="AM632" s="72"/>
      <c r="AN632" s="73"/>
      <c r="AO632" s="641"/>
      <c r="AP632" s="641"/>
      <c r="AQ632" s="641"/>
      <c r="AR632" s="641"/>
      <c r="AS632" s="641"/>
      <c r="AT632" s="641"/>
      <c r="AU632" s="72"/>
      <c r="AV632" s="73"/>
      <c r="AW632" s="643"/>
      <c r="AX632" s="643"/>
      <c r="AY632" s="643"/>
      <c r="AZ632" s="75"/>
      <c r="BA632" s="75"/>
      <c r="BB632" s="75"/>
    </row>
    <row r="633" spans="2:54" s="560" customFormat="1" ht="16.5" customHeight="1">
      <c r="B633" s="72"/>
      <c r="C633" s="72"/>
      <c r="D633" s="72"/>
      <c r="E633" s="73"/>
      <c r="F633" s="641"/>
      <c r="G633" s="73"/>
      <c r="H633" s="641"/>
      <c r="I633" s="641"/>
      <c r="J633" s="641"/>
      <c r="K633" s="641"/>
      <c r="L633" s="73"/>
      <c r="M633" s="72"/>
      <c r="N633" s="72"/>
      <c r="O633" s="642"/>
      <c r="P633" s="642"/>
      <c r="Q633" s="74"/>
      <c r="R633" s="641"/>
      <c r="S633" s="641"/>
      <c r="T633" s="72"/>
      <c r="U633" s="72"/>
      <c r="V633" s="72"/>
      <c r="W633" s="72"/>
      <c r="X633" s="72"/>
      <c r="Y633" s="72"/>
      <c r="Z633" s="72"/>
      <c r="AA633" s="73"/>
      <c r="AB633" s="72"/>
      <c r="AC633" s="641"/>
      <c r="AD633" s="72"/>
      <c r="AE633" s="641"/>
      <c r="AF633" s="641"/>
      <c r="AG633" s="72"/>
      <c r="AH633" s="72"/>
      <c r="AI633" s="72"/>
      <c r="AJ633" s="72"/>
      <c r="AK633" s="72"/>
      <c r="AL633" s="72"/>
      <c r="AM633" s="72"/>
      <c r="AN633" s="73"/>
      <c r="AO633" s="641"/>
      <c r="AP633" s="641"/>
      <c r="AQ633" s="641"/>
      <c r="AR633" s="641"/>
      <c r="AS633" s="641"/>
      <c r="AT633" s="641"/>
      <c r="AU633" s="72"/>
      <c r="AV633" s="73"/>
      <c r="AW633" s="643"/>
      <c r="AX633" s="643"/>
      <c r="AY633" s="643"/>
      <c r="AZ633" s="75"/>
      <c r="BA633" s="75"/>
      <c r="BB633" s="75"/>
    </row>
    <row r="634" spans="2:54" s="560" customFormat="1" ht="16.5" customHeight="1">
      <c r="B634" s="72"/>
      <c r="C634" s="72"/>
      <c r="D634" s="72"/>
      <c r="E634" s="73"/>
      <c r="F634" s="641"/>
      <c r="G634" s="73"/>
      <c r="H634" s="641"/>
      <c r="I634" s="641"/>
      <c r="J634" s="641"/>
      <c r="K634" s="641"/>
      <c r="L634" s="73"/>
      <c r="M634" s="72"/>
      <c r="N634" s="72"/>
      <c r="O634" s="642"/>
      <c r="P634" s="642"/>
      <c r="Q634" s="74"/>
      <c r="R634" s="641"/>
      <c r="S634" s="641"/>
      <c r="T634" s="72"/>
      <c r="U634" s="72"/>
      <c r="V634" s="72"/>
      <c r="W634" s="72"/>
      <c r="X634" s="72"/>
      <c r="Y634" s="72"/>
      <c r="Z634" s="72"/>
      <c r="AA634" s="73"/>
      <c r="AB634" s="72"/>
      <c r="AC634" s="641"/>
      <c r="AD634" s="72"/>
      <c r="AE634" s="641"/>
      <c r="AF634" s="641"/>
      <c r="AG634" s="72"/>
      <c r="AH634" s="72"/>
      <c r="AI634" s="72"/>
      <c r="AJ634" s="72"/>
      <c r="AK634" s="72"/>
      <c r="AL634" s="72"/>
      <c r="AM634" s="72"/>
      <c r="AN634" s="73"/>
      <c r="AO634" s="641"/>
      <c r="AP634" s="641"/>
      <c r="AQ634" s="641"/>
      <c r="AR634" s="641"/>
      <c r="AS634" s="641"/>
      <c r="AT634" s="641"/>
      <c r="AU634" s="72"/>
      <c r="AV634" s="73"/>
      <c r="AW634" s="643"/>
      <c r="AX634" s="643"/>
      <c r="AY634" s="643"/>
      <c r="AZ634" s="75"/>
      <c r="BA634" s="75"/>
      <c r="BB634" s="75"/>
    </row>
    <row r="635" spans="2:54" s="560" customFormat="1" ht="16.5" customHeight="1">
      <c r="B635" s="72"/>
      <c r="C635" s="72"/>
      <c r="D635" s="72"/>
      <c r="E635" s="73"/>
      <c r="F635" s="641"/>
      <c r="G635" s="73"/>
      <c r="H635" s="641"/>
      <c r="I635" s="641"/>
      <c r="J635" s="641"/>
      <c r="K635" s="641"/>
      <c r="L635" s="73"/>
      <c r="M635" s="72"/>
      <c r="N635" s="72"/>
      <c r="O635" s="642"/>
      <c r="P635" s="642"/>
      <c r="Q635" s="74"/>
      <c r="R635" s="641"/>
      <c r="S635" s="641"/>
      <c r="T635" s="72"/>
      <c r="U635" s="72"/>
      <c r="V635" s="72"/>
      <c r="W635" s="72"/>
      <c r="X635" s="72"/>
      <c r="Y635" s="72"/>
      <c r="Z635" s="72"/>
      <c r="AA635" s="73"/>
      <c r="AB635" s="72"/>
      <c r="AC635" s="641"/>
      <c r="AD635" s="72"/>
      <c r="AE635" s="641"/>
      <c r="AF635" s="641"/>
      <c r="AG635" s="72"/>
      <c r="AH635" s="72"/>
      <c r="AI635" s="72"/>
      <c r="AJ635" s="72"/>
      <c r="AK635" s="72"/>
      <c r="AL635" s="72"/>
      <c r="AM635" s="72"/>
      <c r="AN635" s="73"/>
      <c r="AO635" s="641"/>
      <c r="AP635" s="641"/>
      <c r="AQ635" s="641"/>
      <c r="AR635" s="641"/>
      <c r="AS635" s="641"/>
      <c r="AT635" s="641"/>
      <c r="AU635" s="72"/>
      <c r="AV635" s="73"/>
      <c r="AW635" s="643"/>
      <c r="AX635" s="643"/>
      <c r="AY635" s="643"/>
      <c r="AZ635" s="75"/>
      <c r="BA635" s="75"/>
      <c r="BB635" s="75"/>
    </row>
    <row r="636" spans="2:54" s="560" customFormat="1" ht="16.5" customHeight="1">
      <c r="B636" s="72"/>
      <c r="C636" s="72"/>
      <c r="D636" s="72"/>
      <c r="E636" s="73"/>
      <c r="F636" s="641"/>
      <c r="G636" s="73"/>
      <c r="H636" s="641"/>
      <c r="I636" s="641"/>
      <c r="J636" s="641"/>
      <c r="K636" s="641"/>
      <c r="L636" s="73"/>
      <c r="M636" s="72"/>
      <c r="N636" s="72"/>
      <c r="O636" s="642"/>
      <c r="P636" s="642"/>
      <c r="Q636" s="74"/>
      <c r="R636" s="641"/>
      <c r="S636" s="641"/>
      <c r="T636" s="72"/>
      <c r="U636" s="72"/>
      <c r="V636" s="72"/>
      <c r="W636" s="72"/>
      <c r="X636" s="72"/>
      <c r="Y636" s="72"/>
      <c r="Z636" s="72"/>
      <c r="AA636" s="73"/>
      <c r="AB636" s="72"/>
      <c r="AC636" s="641"/>
      <c r="AD636" s="72"/>
      <c r="AE636" s="641"/>
      <c r="AF636" s="641"/>
      <c r="AG636" s="72"/>
      <c r="AH636" s="72"/>
      <c r="AI636" s="72"/>
      <c r="AJ636" s="72"/>
      <c r="AK636" s="72"/>
      <c r="AL636" s="72"/>
      <c r="AM636" s="72"/>
      <c r="AN636" s="73"/>
      <c r="AO636" s="641"/>
      <c r="AP636" s="641"/>
      <c r="AQ636" s="641"/>
      <c r="AR636" s="641"/>
      <c r="AS636" s="641"/>
      <c r="AT636" s="641"/>
      <c r="AU636" s="72"/>
      <c r="AV636" s="73"/>
      <c r="AW636" s="643"/>
      <c r="AX636" s="643"/>
      <c r="AY636" s="643"/>
      <c r="AZ636" s="75"/>
      <c r="BA636" s="75"/>
      <c r="BB636" s="75"/>
    </row>
    <row r="637" spans="2:54" s="560" customFormat="1" ht="16.5" customHeight="1">
      <c r="B637" s="72"/>
      <c r="C637" s="72"/>
      <c r="D637" s="72"/>
      <c r="E637" s="73"/>
      <c r="F637" s="641"/>
      <c r="G637" s="73"/>
      <c r="H637" s="641"/>
      <c r="I637" s="641"/>
      <c r="J637" s="641"/>
      <c r="K637" s="641"/>
      <c r="L637" s="73"/>
      <c r="M637" s="72"/>
      <c r="N637" s="72"/>
      <c r="O637" s="642"/>
      <c r="P637" s="642"/>
      <c r="Q637" s="74"/>
      <c r="R637" s="641"/>
      <c r="S637" s="641"/>
      <c r="T637" s="72"/>
      <c r="U637" s="72"/>
      <c r="V637" s="72"/>
      <c r="W637" s="72"/>
      <c r="X637" s="72"/>
      <c r="Y637" s="72"/>
      <c r="Z637" s="72"/>
      <c r="AA637" s="73"/>
      <c r="AB637" s="72"/>
      <c r="AC637" s="641"/>
      <c r="AD637" s="72"/>
      <c r="AE637" s="641"/>
      <c r="AF637" s="641"/>
      <c r="AG637" s="72"/>
      <c r="AH637" s="72"/>
      <c r="AI637" s="72"/>
      <c r="AJ637" s="72"/>
      <c r="AK637" s="72"/>
      <c r="AL637" s="72"/>
      <c r="AM637" s="72"/>
      <c r="AN637" s="73"/>
      <c r="AO637" s="641"/>
      <c r="AP637" s="641"/>
      <c r="AQ637" s="641"/>
      <c r="AR637" s="641"/>
      <c r="AS637" s="641"/>
      <c r="AT637" s="641"/>
      <c r="AU637" s="72"/>
      <c r="AV637" s="73"/>
      <c r="AW637" s="643"/>
      <c r="AX637" s="643"/>
      <c r="AY637" s="643"/>
      <c r="AZ637" s="75"/>
      <c r="BA637" s="75"/>
      <c r="BB637" s="75"/>
    </row>
    <row r="638" spans="2:54" s="560" customFormat="1" ht="16.5" customHeight="1">
      <c r="B638" s="72"/>
      <c r="C638" s="72"/>
      <c r="D638" s="72"/>
      <c r="E638" s="73"/>
      <c r="F638" s="641"/>
      <c r="G638" s="73"/>
      <c r="H638" s="641"/>
      <c r="I638" s="641"/>
      <c r="J638" s="641"/>
      <c r="K638" s="641"/>
      <c r="L638" s="73"/>
      <c r="M638" s="72"/>
      <c r="N638" s="72"/>
      <c r="O638" s="642"/>
      <c r="P638" s="642"/>
      <c r="Q638" s="74"/>
      <c r="R638" s="641"/>
      <c r="S638" s="641"/>
      <c r="T638" s="72"/>
      <c r="U638" s="72"/>
      <c r="V638" s="72"/>
      <c r="W638" s="72"/>
      <c r="X638" s="72"/>
      <c r="Y638" s="72"/>
      <c r="Z638" s="72"/>
      <c r="AA638" s="73"/>
      <c r="AB638" s="72"/>
      <c r="AC638" s="641"/>
      <c r="AD638" s="72"/>
      <c r="AE638" s="641"/>
      <c r="AF638" s="641"/>
      <c r="AG638" s="72"/>
      <c r="AH638" s="72"/>
      <c r="AI638" s="72"/>
      <c r="AJ638" s="72"/>
      <c r="AK638" s="72"/>
      <c r="AL638" s="72"/>
      <c r="AM638" s="72"/>
      <c r="AN638" s="73"/>
      <c r="AO638" s="641"/>
      <c r="AP638" s="641"/>
      <c r="AQ638" s="641"/>
      <c r="AR638" s="641"/>
      <c r="AS638" s="641"/>
      <c r="AT638" s="641"/>
      <c r="AU638" s="72"/>
      <c r="AV638" s="73"/>
      <c r="AW638" s="643"/>
      <c r="AX638" s="643"/>
      <c r="AY638" s="643"/>
      <c r="AZ638" s="75"/>
      <c r="BA638" s="75"/>
      <c r="BB638" s="75"/>
    </row>
    <row r="639" spans="2:54" s="560" customFormat="1" ht="16.5" customHeight="1">
      <c r="B639" s="72"/>
      <c r="C639" s="72"/>
      <c r="D639" s="72"/>
      <c r="E639" s="73"/>
      <c r="F639" s="641"/>
      <c r="G639" s="73"/>
      <c r="H639" s="641"/>
      <c r="I639" s="641"/>
      <c r="J639" s="641"/>
      <c r="K639" s="641"/>
      <c r="L639" s="73"/>
      <c r="M639" s="72"/>
      <c r="N639" s="72"/>
      <c r="O639" s="642"/>
      <c r="P639" s="642"/>
      <c r="Q639" s="74"/>
      <c r="R639" s="641"/>
      <c r="S639" s="641"/>
      <c r="T639" s="72"/>
      <c r="U639" s="72"/>
      <c r="V639" s="72"/>
      <c r="W639" s="72"/>
      <c r="X639" s="72"/>
      <c r="Y639" s="72"/>
      <c r="Z639" s="72"/>
      <c r="AA639" s="73"/>
      <c r="AB639" s="72"/>
      <c r="AC639" s="641"/>
      <c r="AD639" s="72"/>
      <c r="AE639" s="641"/>
      <c r="AF639" s="641"/>
      <c r="AG639" s="72"/>
      <c r="AH639" s="72"/>
      <c r="AI639" s="72"/>
      <c r="AJ639" s="72"/>
      <c r="AK639" s="72"/>
      <c r="AL639" s="72"/>
      <c r="AM639" s="72"/>
      <c r="AN639" s="73"/>
      <c r="AO639" s="641"/>
      <c r="AP639" s="641"/>
      <c r="AQ639" s="641"/>
      <c r="AR639" s="641"/>
      <c r="AS639" s="641"/>
      <c r="AT639" s="641"/>
      <c r="AU639" s="72"/>
      <c r="AV639" s="73"/>
      <c r="AW639" s="643"/>
      <c r="AX639" s="643"/>
      <c r="AY639" s="643"/>
      <c r="AZ639" s="75"/>
      <c r="BA639" s="75"/>
      <c r="BB639" s="75"/>
    </row>
    <row r="640" spans="2:54" s="560" customFormat="1" ht="16.5" customHeight="1">
      <c r="B640" s="72"/>
      <c r="C640" s="72"/>
      <c r="D640" s="72"/>
      <c r="E640" s="73"/>
      <c r="F640" s="641"/>
      <c r="G640" s="73"/>
      <c r="H640" s="641"/>
      <c r="I640" s="641"/>
      <c r="J640" s="641"/>
      <c r="K640" s="641"/>
      <c r="L640" s="73"/>
      <c r="M640" s="72"/>
      <c r="N640" s="72"/>
      <c r="O640" s="642"/>
      <c r="P640" s="642"/>
      <c r="Q640" s="74"/>
      <c r="R640" s="641"/>
      <c r="S640" s="641"/>
      <c r="T640" s="72"/>
      <c r="U640" s="72"/>
      <c r="V640" s="72"/>
      <c r="W640" s="72"/>
      <c r="X640" s="72"/>
      <c r="Y640" s="72"/>
      <c r="Z640" s="72"/>
      <c r="AA640" s="73"/>
      <c r="AB640" s="72"/>
      <c r="AC640" s="641"/>
      <c r="AD640" s="72"/>
      <c r="AE640" s="641"/>
      <c r="AF640" s="641"/>
      <c r="AG640" s="72"/>
      <c r="AH640" s="72"/>
      <c r="AI640" s="72"/>
      <c r="AJ640" s="72"/>
      <c r="AK640" s="72"/>
      <c r="AL640" s="72"/>
      <c r="AM640" s="72"/>
      <c r="AN640" s="73"/>
      <c r="AO640" s="641"/>
      <c r="AP640" s="641"/>
      <c r="AQ640" s="641"/>
      <c r="AR640" s="641"/>
      <c r="AS640" s="641"/>
      <c r="AT640" s="641"/>
      <c r="AU640" s="72"/>
      <c r="AV640" s="73"/>
      <c r="AW640" s="643"/>
      <c r="AX640" s="643"/>
      <c r="AY640" s="643"/>
      <c r="AZ640" s="75"/>
      <c r="BA640" s="75"/>
      <c r="BB640" s="75"/>
    </row>
    <row r="641" spans="2:54" s="560" customFormat="1" ht="16.5" customHeight="1">
      <c r="B641" s="72"/>
      <c r="C641" s="72"/>
      <c r="D641" s="72"/>
      <c r="E641" s="73"/>
      <c r="F641" s="641"/>
      <c r="G641" s="73"/>
      <c r="H641" s="641"/>
      <c r="I641" s="641"/>
      <c r="J641" s="641"/>
      <c r="K641" s="641"/>
      <c r="L641" s="73"/>
      <c r="M641" s="72"/>
      <c r="N641" s="72"/>
      <c r="O641" s="642"/>
      <c r="P641" s="642"/>
      <c r="Q641" s="74"/>
      <c r="R641" s="641"/>
      <c r="S641" s="641"/>
      <c r="T641" s="72"/>
      <c r="U641" s="72"/>
      <c r="V641" s="72"/>
      <c r="W641" s="72"/>
      <c r="X641" s="72"/>
      <c r="Y641" s="72"/>
      <c r="Z641" s="72"/>
      <c r="AA641" s="73"/>
      <c r="AB641" s="72"/>
      <c r="AC641" s="641"/>
      <c r="AD641" s="72"/>
      <c r="AE641" s="641"/>
      <c r="AF641" s="641"/>
      <c r="AG641" s="72"/>
      <c r="AH641" s="72"/>
      <c r="AI641" s="72"/>
      <c r="AJ641" s="72"/>
      <c r="AK641" s="72"/>
      <c r="AL641" s="72"/>
      <c r="AM641" s="72"/>
      <c r="AN641" s="73"/>
      <c r="AO641" s="641"/>
      <c r="AP641" s="641"/>
      <c r="AQ641" s="641"/>
      <c r="AR641" s="641"/>
      <c r="AS641" s="641"/>
      <c r="AT641" s="641"/>
      <c r="AU641" s="72"/>
      <c r="AV641" s="73"/>
      <c r="AW641" s="643"/>
      <c r="AX641" s="643"/>
      <c r="AY641" s="643"/>
      <c r="AZ641" s="75"/>
      <c r="BA641" s="75"/>
      <c r="BB641" s="75"/>
    </row>
    <row r="642" spans="2:54" s="560" customFormat="1" ht="16.5" customHeight="1">
      <c r="B642" s="72"/>
      <c r="C642" s="72"/>
      <c r="D642" s="72"/>
      <c r="E642" s="73"/>
      <c r="F642" s="641"/>
      <c r="G642" s="73"/>
      <c r="H642" s="641"/>
      <c r="I642" s="641"/>
      <c r="J642" s="641"/>
      <c r="K642" s="641"/>
      <c r="L642" s="73"/>
      <c r="M642" s="72"/>
      <c r="N642" s="72"/>
      <c r="O642" s="642"/>
      <c r="P642" s="642"/>
      <c r="Q642" s="74"/>
      <c r="R642" s="641"/>
      <c r="S642" s="641"/>
      <c r="T642" s="72"/>
      <c r="U642" s="72"/>
      <c r="V642" s="72"/>
      <c r="W642" s="72"/>
      <c r="X642" s="72"/>
      <c r="Y642" s="72"/>
      <c r="Z642" s="72"/>
      <c r="AA642" s="73"/>
      <c r="AB642" s="72"/>
      <c r="AC642" s="641"/>
      <c r="AD642" s="72"/>
      <c r="AE642" s="641"/>
      <c r="AF642" s="641"/>
      <c r="AG642" s="72"/>
      <c r="AH642" s="72"/>
      <c r="AI642" s="72"/>
      <c r="AJ642" s="72"/>
      <c r="AK642" s="72"/>
      <c r="AL642" s="72"/>
      <c r="AM642" s="72"/>
      <c r="AN642" s="73"/>
      <c r="AO642" s="641"/>
      <c r="AP642" s="641"/>
      <c r="AQ642" s="641"/>
      <c r="AR642" s="641"/>
      <c r="AS642" s="641"/>
      <c r="AT642" s="641"/>
      <c r="AU642" s="72"/>
      <c r="AV642" s="73"/>
      <c r="AW642" s="643"/>
      <c r="AX642" s="643"/>
      <c r="AY642" s="643"/>
      <c r="AZ642" s="75"/>
      <c r="BA642" s="75"/>
      <c r="BB642" s="75"/>
    </row>
    <row r="643" spans="2:54" s="560" customFormat="1" ht="16.5" customHeight="1">
      <c r="B643" s="72"/>
      <c r="C643" s="72"/>
      <c r="D643" s="72"/>
      <c r="E643" s="73"/>
      <c r="F643" s="641"/>
      <c r="G643" s="73"/>
      <c r="H643" s="641"/>
      <c r="I643" s="641"/>
      <c r="J643" s="641"/>
      <c r="K643" s="641"/>
      <c r="L643" s="73"/>
      <c r="M643" s="72"/>
      <c r="N643" s="72"/>
      <c r="O643" s="642"/>
      <c r="P643" s="642"/>
      <c r="Q643" s="74"/>
      <c r="R643" s="641"/>
      <c r="S643" s="641"/>
      <c r="T643" s="72"/>
      <c r="U643" s="72"/>
      <c r="V643" s="72"/>
      <c r="W643" s="72"/>
      <c r="X643" s="72"/>
      <c r="Y643" s="72"/>
      <c r="Z643" s="72"/>
      <c r="AA643" s="73"/>
      <c r="AB643" s="72"/>
      <c r="AC643" s="641"/>
      <c r="AD643" s="72"/>
      <c r="AE643" s="641"/>
      <c r="AF643" s="641"/>
      <c r="AG643" s="72"/>
      <c r="AH643" s="72"/>
      <c r="AI643" s="72"/>
      <c r="AJ643" s="72"/>
      <c r="AK643" s="72"/>
      <c r="AL643" s="72"/>
      <c r="AM643" s="72"/>
      <c r="AN643" s="73"/>
      <c r="AO643" s="641"/>
      <c r="AP643" s="641"/>
      <c r="AQ643" s="641"/>
      <c r="AR643" s="641"/>
      <c r="AS643" s="641"/>
      <c r="AT643" s="641"/>
      <c r="AU643" s="72"/>
      <c r="AV643" s="73"/>
      <c r="AW643" s="643"/>
      <c r="AX643" s="643"/>
      <c r="AY643" s="643"/>
      <c r="AZ643" s="75"/>
      <c r="BA643" s="75"/>
      <c r="BB643" s="75"/>
    </row>
    <row r="644" spans="2:54" s="560" customFormat="1" ht="16.5" customHeight="1">
      <c r="B644" s="72"/>
      <c r="C644" s="72"/>
      <c r="D644" s="72"/>
      <c r="E644" s="73"/>
      <c r="F644" s="641"/>
      <c r="G644" s="73"/>
      <c r="H644" s="641"/>
      <c r="I644" s="641"/>
      <c r="J644" s="641"/>
      <c r="K644" s="641"/>
      <c r="L644" s="73"/>
      <c r="M644" s="72"/>
      <c r="N644" s="72"/>
      <c r="O644" s="642"/>
      <c r="P644" s="642"/>
      <c r="Q644" s="74"/>
      <c r="R644" s="641"/>
      <c r="S644" s="641"/>
      <c r="T644" s="72"/>
      <c r="U644" s="72"/>
      <c r="V644" s="72"/>
      <c r="W644" s="72"/>
      <c r="X644" s="72"/>
      <c r="Y644" s="72"/>
      <c r="Z644" s="72"/>
      <c r="AA644" s="73"/>
      <c r="AB644" s="72"/>
      <c r="AC644" s="641"/>
      <c r="AD644" s="72"/>
      <c r="AE644" s="641"/>
      <c r="AF644" s="641"/>
      <c r="AG644" s="72"/>
      <c r="AH644" s="72"/>
      <c r="AI644" s="72"/>
      <c r="AJ644" s="72"/>
      <c r="AK644" s="72"/>
      <c r="AL644" s="72"/>
      <c r="AM644" s="72"/>
      <c r="AN644" s="73"/>
      <c r="AO644" s="641"/>
      <c r="AP644" s="641"/>
      <c r="AQ644" s="641"/>
      <c r="AR644" s="641"/>
      <c r="AS644" s="641"/>
      <c r="AT644" s="641"/>
      <c r="AU644" s="72"/>
      <c r="AV644" s="73"/>
      <c r="AW644" s="643"/>
      <c r="AX644" s="643"/>
      <c r="AY644" s="643"/>
      <c r="AZ644" s="75"/>
      <c r="BA644" s="75"/>
      <c r="BB644" s="75"/>
    </row>
    <row r="645" spans="2:54" s="560" customFormat="1" ht="16.5" customHeight="1">
      <c r="B645" s="72"/>
      <c r="C645" s="72"/>
      <c r="D645" s="72"/>
      <c r="E645" s="73"/>
      <c r="F645" s="641"/>
      <c r="G645" s="73"/>
      <c r="H645" s="641"/>
      <c r="I645" s="641"/>
      <c r="J645" s="641"/>
      <c r="K645" s="641"/>
      <c r="L645" s="73"/>
      <c r="M645" s="72"/>
      <c r="N645" s="72"/>
      <c r="O645" s="642"/>
      <c r="P645" s="642"/>
      <c r="Q645" s="74"/>
      <c r="R645" s="641"/>
      <c r="S645" s="641"/>
      <c r="T645" s="72"/>
      <c r="U645" s="72"/>
      <c r="V645" s="72"/>
      <c r="W645" s="72"/>
      <c r="X645" s="72"/>
      <c r="Y645" s="72"/>
      <c r="Z645" s="72"/>
      <c r="AA645" s="73"/>
      <c r="AB645" s="72"/>
      <c r="AC645" s="641"/>
      <c r="AD645" s="72"/>
      <c r="AE645" s="641"/>
      <c r="AF645" s="641"/>
      <c r="AG645" s="72"/>
      <c r="AH645" s="72"/>
      <c r="AI645" s="72"/>
      <c r="AJ645" s="72"/>
      <c r="AK645" s="72"/>
      <c r="AL645" s="72"/>
      <c r="AM645" s="72"/>
      <c r="AN645" s="73"/>
      <c r="AO645" s="641"/>
      <c r="AP645" s="641"/>
      <c r="AQ645" s="641"/>
      <c r="AR645" s="641"/>
      <c r="AS645" s="641"/>
      <c r="AT645" s="641"/>
      <c r="AU645" s="72"/>
      <c r="AV645" s="73"/>
      <c r="AW645" s="643"/>
      <c r="AX645" s="643"/>
      <c r="AY645" s="643"/>
      <c r="AZ645" s="75"/>
      <c r="BA645" s="75"/>
      <c r="BB645" s="75"/>
    </row>
    <row r="646" spans="2:54" s="560" customFormat="1" ht="16.5" customHeight="1">
      <c r="B646" s="72"/>
      <c r="C646" s="72"/>
      <c r="D646" s="72"/>
      <c r="E646" s="73"/>
      <c r="F646" s="641"/>
      <c r="G646" s="73"/>
      <c r="H646" s="641"/>
      <c r="I646" s="641"/>
      <c r="J646" s="641"/>
      <c r="K646" s="641"/>
      <c r="L646" s="73"/>
      <c r="M646" s="72"/>
      <c r="N646" s="72"/>
      <c r="O646" s="642"/>
      <c r="P646" s="642"/>
      <c r="Q646" s="74"/>
      <c r="R646" s="641"/>
      <c r="S646" s="641"/>
      <c r="T646" s="72"/>
      <c r="U646" s="72"/>
      <c r="V646" s="72"/>
      <c r="W646" s="72"/>
      <c r="X646" s="72"/>
      <c r="Y646" s="72"/>
      <c r="Z646" s="72"/>
      <c r="AA646" s="73"/>
      <c r="AB646" s="72"/>
      <c r="AC646" s="641"/>
      <c r="AD646" s="72"/>
      <c r="AE646" s="641"/>
      <c r="AF646" s="641"/>
      <c r="AG646" s="72"/>
      <c r="AH646" s="72"/>
      <c r="AI646" s="72"/>
      <c r="AJ646" s="72"/>
      <c r="AK646" s="72"/>
      <c r="AL646" s="72"/>
      <c r="AM646" s="72"/>
      <c r="AN646" s="73"/>
      <c r="AO646" s="641"/>
      <c r="AP646" s="641"/>
      <c r="AQ646" s="641"/>
      <c r="AR646" s="641"/>
      <c r="AS646" s="641"/>
      <c r="AT646" s="641"/>
      <c r="AU646" s="72"/>
      <c r="AV646" s="73"/>
      <c r="AW646" s="643"/>
      <c r="AX646" s="643"/>
      <c r="AY646" s="643"/>
      <c r="AZ646" s="75"/>
      <c r="BA646" s="75"/>
      <c r="BB646" s="75"/>
    </row>
    <row r="647" spans="2:54" s="560" customFormat="1" ht="16.5" customHeight="1">
      <c r="B647" s="72"/>
      <c r="C647" s="72"/>
      <c r="D647" s="72"/>
      <c r="E647" s="73"/>
      <c r="F647" s="641"/>
      <c r="G647" s="73"/>
      <c r="H647" s="641"/>
      <c r="I647" s="641"/>
      <c r="J647" s="641"/>
      <c r="K647" s="641"/>
      <c r="L647" s="73"/>
      <c r="M647" s="72"/>
      <c r="N647" s="72"/>
      <c r="O647" s="642"/>
      <c r="P647" s="642"/>
      <c r="Q647" s="74"/>
      <c r="R647" s="641"/>
      <c r="S647" s="641"/>
      <c r="T647" s="72"/>
      <c r="U647" s="72"/>
      <c r="V647" s="72"/>
      <c r="W647" s="72"/>
      <c r="X647" s="72"/>
      <c r="Y647" s="72"/>
      <c r="Z647" s="72"/>
      <c r="AA647" s="73"/>
      <c r="AB647" s="72"/>
      <c r="AC647" s="641"/>
      <c r="AD647" s="72"/>
      <c r="AE647" s="641"/>
      <c r="AF647" s="641"/>
      <c r="AG647" s="72"/>
      <c r="AH647" s="72"/>
      <c r="AI647" s="72"/>
      <c r="AJ647" s="72"/>
      <c r="AK647" s="72"/>
      <c r="AL647" s="72"/>
      <c r="AM647" s="72"/>
      <c r="AN647" s="73"/>
      <c r="AO647" s="641"/>
      <c r="AP647" s="641"/>
      <c r="AQ647" s="641"/>
      <c r="AR647" s="641"/>
      <c r="AS647" s="641"/>
      <c r="AT647" s="641"/>
      <c r="AU647" s="72"/>
      <c r="AV647" s="73"/>
      <c r="AW647" s="643"/>
      <c r="AX647" s="643"/>
      <c r="AY647" s="643"/>
      <c r="AZ647" s="75"/>
      <c r="BA647" s="75"/>
      <c r="BB647" s="75"/>
    </row>
    <row r="648" spans="2:54" s="560" customFormat="1" ht="16.5" customHeight="1">
      <c r="B648" s="72"/>
      <c r="C648" s="72"/>
      <c r="D648" s="72"/>
      <c r="E648" s="73"/>
      <c r="F648" s="641"/>
      <c r="G648" s="73"/>
      <c r="H648" s="641"/>
      <c r="I648" s="641"/>
      <c r="J648" s="641"/>
      <c r="K648" s="641"/>
      <c r="L648" s="73"/>
      <c r="M648" s="72"/>
      <c r="N648" s="72"/>
      <c r="O648" s="642"/>
      <c r="P648" s="642"/>
      <c r="Q648" s="74"/>
      <c r="R648" s="641"/>
      <c r="S648" s="641"/>
      <c r="T648" s="72"/>
      <c r="U648" s="72"/>
      <c r="V648" s="72"/>
      <c r="W648" s="72"/>
      <c r="X648" s="72"/>
      <c r="Y648" s="72"/>
      <c r="Z648" s="72"/>
      <c r="AA648" s="73"/>
      <c r="AB648" s="72"/>
      <c r="AC648" s="641"/>
      <c r="AD648" s="72"/>
      <c r="AE648" s="641"/>
      <c r="AF648" s="641"/>
      <c r="AG648" s="72"/>
      <c r="AH648" s="72"/>
      <c r="AI648" s="72"/>
      <c r="AJ648" s="72"/>
      <c r="AK648" s="72"/>
      <c r="AL648" s="72"/>
      <c r="AM648" s="72"/>
      <c r="AN648" s="73"/>
      <c r="AO648" s="641"/>
      <c r="AP648" s="641"/>
      <c r="AQ648" s="641"/>
      <c r="AR648" s="641"/>
      <c r="AS648" s="641"/>
      <c r="AT648" s="641"/>
      <c r="AU648" s="72"/>
      <c r="AV648" s="73"/>
      <c r="AW648" s="643"/>
      <c r="AX648" s="643"/>
      <c r="AY648" s="643"/>
      <c r="AZ648" s="75"/>
      <c r="BA648" s="75"/>
      <c r="BB648" s="75"/>
    </row>
    <row r="649" spans="2:54" s="560" customFormat="1" ht="16.5" customHeight="1">
      <c r="B649" s="72"/>
      <c r="C649" s="72"/>
      <c r="D649" s="72"/>
      <c r="E649" s="73"/>
      <c r="F649" s="641"/>
      <c r="G649" s="73"/>
      <c r="H649" s="641"/>
      <c r="I649" s="641"/>
      <c r="J649" s="641"/>
      <c r="K649" s="641"/>
      <c r="L649" s="73"/>
      <c r="M649" s="72"/>
      <c r="N649" s="72"/>
      <c r="O649" s="642"/>
      <c r="P649" s="642"/>
      <c r="Q649" s="74"/>
      <c r="R649" s="641"/>
      <c r="S649" s="641"/>
      <c r="T649" s="72"/>
      <c r="U649" s="72"/>
      <c r="V649" s="72"/>
      <c r="W649" s="72"/>
      <c r="X649" s="72"/>
      <c r="Y649" s="72"/>
      <c r="Z649" s="72"/>
      <c r="AA649" s="73"/>
      <c r="AB649" s="72"/>
      <c r="AC649" s="641"/>
      <c r="AD649" s="72"/>
      <c r="AE649" s="641"/>
      <c r="AF649" s="641"/>
      <c r="AG649" s="72"/>
      <c r="AH649" s="72"/>
      <c r="AI649" s="72"/>
      <c r="AJ649" s="72"/>
      <c r="AK649" s="72"/>
      <c r="AL649" s="72"/>
      <c r="AM649" s="72"/>
      <c r="AN649" s="73"/>
      <c r="AO649" s="641"/>
      <c r="AP649" s="641"/>
      <c r="AQ649" s="641"/>
      <c r="AR649" s="641"/>
      <c r="AS649" s="641"/>
      <c r="AT649" s="641"/>
      <c r="AU649" s="72"/>
      <c r="AV649" s="73"/>
      <c r="AW649" s="643"/>
      <c r="AX649" s="643"/>
      <c r="AY649" s="643"/>
      <c r="AZ649" s="75"/>
      <c r="BA649" s="75"/>
      <c r="BB649" s="75"/>
    </row>
    <row r="650" spans="2:54" s="560" customFormat="1" ht="16.5" customHeight="1">
      <c r="B650" s="72"/>
      <c r="C650" s="72"/>
      <c r="D650" s="72"/>
      <c r="E650" s="73"/>
      <c r="F650" s="641"/>
      <c r="G650" s="73"/>
      <c r="H650" s="641"/>
      <c r="I650" s="641"/>
      <c r="J650" s="641"/>
      <c r="K650" s="641"/>
      <c r="L650" s="73"/>
      <c r="M650" s="72"/>
      <c r="N650" s="72"/>
      <c r="O650" s="642"/>
      <c r="P650" s="642"/>
      <c r="Q650" s="74"/>
      <c r="R650" s="641"/>
      <c r="S650" s="641"/>
      <c r="T650" s="72"/>
      <c r="U650" s="72"/>
      <c r="V650" s="72"/>
      <c r="W650" s="72"/>
      <c r="X650" s="72"/>
      <c r="Y650" s="72"/>
      <c r="Z650" s="72"/>
      <c r="AA650" s="73"/>
      <c r="AB650" s="72"/>
      <c r="AC650" s="641"/>
      <c r="AD650" s="72"/>
      <c r="AE650" s="641"/>
      <c r="AF650" s="641"/>
      <c r="AG650" s="72"/>
      <c r="AH650" s="72"/>
      <c r="AI650" s="72"/>
      <c r="AJ650" s="72"/>
      <c r="AK650" s="72"/>
      <c r="AL650" s="72"/>
      <c r="AM650" s="72"/>
      <c r="AN650" s="73"/>
      <c r="AO650" s="641"/>
      <c r="AP650" s="641"/>
      <c r="AQ650" s="641"/>
      <c r="AR650" s="641"/>
      <c r="AS650" s="641"/>
      <c r="AT650" s="641"/>
      <c r="AU650" s="72"/>
      <c r="AV650" s="73"/>
      <c r="AW650" s="643"/>
      <c r="AX650" s="643"/>
      <c r="AY650" s="643"/>
      <c r="AZ650" s="75"/>
      <c r="BA650" s="75"/>
      <c r="BB650" s="75"/>
    </row>
    <row r="651" spans="2:54" s="560" customFormat="1" ht="16.5" customHeight="1">
      <c r="B651" s="72"/>
      <c r="C651" s="72"/>
      <c r="D651" s="72"/>
      <c r="E651" s="73"/>
      <c r="F651" s="641"/>
      <c r="G651" s="73"/>
      <c r="H651" s="641"/>
      <c r="I651" s="641"/>
      <c r="J651" s="641"/>
      <c r="K651" s="641"/>
      <c r="L651" s="73"/>
      <c r="M651" s="72"/>
      <c r="N651" s="72"/>
      <c r="O651" s="642"/>
      <c r="P651" s="642"/>
      <c r="Q651" s="74"/>
      <c r="R651" s="641"/>
      <c r="S651" s="641"/>
      <c r="T651" s="72"/>
      <c r="U651" s="72"/>
      <c r="V651" s="72"/>
      <c r="W651" s="72"/>
      <c r="X651" s="72"/>
      <c r="Y651" s="72"/>
      <c r="Z651" s="72"/>
      <c r="AA651" s="73"/>
      <c r="AB651" s="72"/>
      <c r="AC651" s="641"/>
      <c r="AD651" s="72"/>
      <c r="AE651" s="641"/>
      <c r="AF651" s="641"/>
      <c r="AG651" s="72"/>
      <c r="AH651" s="72"/>
      <c r="AI651" s="72"/>
      <c r="AJ651" s="72"/>
      <c r="AK651" s="72"/>
      <c r="AL651" s="72"/>
      <c r="AM651" s="72"/>
      <c r="AN651" s="73"/>
      <c r="AO651" s="641"/>
      <c r="AP651" s="641"/>
      <c r="AQ651" s="641"/>
      <c r="AR651" s="641"/>
      <c r="AS651" s="641"/>
      <c r="AT651" s="641"/>
      <c r="AU651" s="72"/>
      <c r="AV651" s="73"/>
      <c r="AW651" s="643"/>
      <c r="AX651" s="643"/>
      <c r="AY651" s="643"/>
      <c r="AZ651" s="75"/>
      <c r="BA651" s="75"/>
      <c r="BB651" s="75"/>
    </row>
    <row r="652" spans="2:54" s="560" customFormat="1" ht="16.5" customHeight="1">
      <c r="B652" s="72"/>
      <c r="C652" s="72"/>
      <c r="D652" s="72"/>
      <c r="E652" s="73"/>
      <c r="F652" s="641"/>
      <c r="G652" s="73"/>
      <c r="H652" s="641"/>
      <c r="I652" s="641"/>
      <c r="J652" s="641"/>
      <c r="K652" s="641"/>
      <c r="L652" s="73"/>
      <c r="M652" s="72"/>
      <c r="N652" s="72"/>
      <c r="O652" s="642"/>
      <c r="P652" s="642"/>
      <c r="Q652" s="74"/>
      <c r="R652" s="641"/>
      <c r="S652" s="641"/>
      <c r="T652" s="72"/>
      <c r="U652" s="72"/>
      <c r="V652" s="72"/>
      <c r="W652" s="72"/>
      <c r="X652" s="72"/>
      <c r="Y652" s="72"/>
      <c r="Z652" s="72"/>
      <c r="AA652" s="73"/>
      <c r="AB652" s="72"/>
      <c r="AC652" s="641"/>
      <c r="AD652" s="72"/>
      <c r="AE652" s="641"/>
      <c r="AF652" s="641"/>
      <c r="AG652" s="72"/>
      <c r="AH652" s="72"/>
      <c r="AI652" s="72"/>
      <c r="AJ652" s="72"/>
      <c r="AK652" s="72"/>
      <c r="AL652" s="72"/>
      <c r="AM652" s="72"/>
      <c r="AN652" s="73"/>
      <c r="AO652" s="641"/>
      <c r="AP652" s="641"/>
      <c r="AQ652" s="641"/>
      <c r="AR652" s="641"/>
      <c r="AS652" s="641"/>
      <c r="AT652" s="641"/>
      <c r="AU652" s="72"/>
      <c r="AV652" s="73"/>
      <c r="AW652" s="643"/>
      <c r="AX652" s="643"/>
      <c r="AY652" s="643"/>
      <c r="AZ652" s="75"/>
      <c r="BA652" s="75"/>
      <c r="BB652" s="75"/>
    </row>
    <row r="653" spans="2:54" s="560" customFormat="1" ht="16.5" customHeight="1">
      <c r="B653" s="72"/>
      <c r="C653" s="72"/>
      <c r="D653" s="72"/>
      <c r="E653" s="73"/>
      <c r="F653" s="641"/>
      <c r="G653" s="73"/>
      <c r="H653" s="641"/>
      <c r="I653" s="641"/>
      <c r="J653" s="641"/>
      <c r="K653" s="641"/>
      <c r="L653" s="73"/>
      <c r="M653" s="72"/>
      <c r="N653" s="72"/>
      <c r="O653" s="642"/>
      <c r="P653" s="642"/>
      <c r="Q653" s="74"/>
      <c r="R653" s="641"/>
      <c r="S653" s="641"/>
      <c r="T653" s="72"/>
      <c r="U653" s="72"/>
      <c r="V653" s="72"/>
      <c r="W653" s="72"/>
      <c r="X653" s="72"/>
      <c r="Y653" s="72"/>
      <c r="Z653" s="72"/>
      <c r="AA653" s="73"/>
      <c r="AB653" s="72"/>
      <c r="AC653" s="641"/>
      <c r="AD653" s="72"/>
      <c r="AE653" s="641"/>
      <c r="AF653" s="641"/>
      <c r="AG653" s="72"/>
      <c r="AH653" s="72"/>
      <c r="AI653" s="72"/>
      <c r="AJ653" s="72"/>
      <c r="AK653" s="72"/>
      <c r="AL653" s="72"/>
      <c r="AM653" s="72"/>
      <c r="AN653" s="73"/>
      <c r="AO653" s="641"/>
      <c r="AP653" s="641"/>
      <c r="AQ653" s="641"/>
      <c r="AR653" s="641"/>
      <c r="AS653" s="641"/>
      <c r="AT653" s="641"/>
      <c r="AU653" s="72"/>
      <c r="AV653" s="73"/>
      <c r="AW653" s="643"/>
      <c r="AX653" s="643"/>
      <c r="AY653" s="643"/>
      <c r="AZ653" s="75"/>
      <c r="BA653" s="75"/>
      <c r="BB653" s="75"/>
    </row>
    <row r="654" spans="2:54" s="560" customFormat="1" ht="16.5" customHeight="1">
      <c r="B654" s="72"/>
      <c r="C654" s="72"/>
      <c r="D654" s="72"/>
      <c r="E654" s="73"/>
      <c r="F654" s="641"/>
      <c r="G654" s="73"/>
      <c r="H654" s="641"/>
      <c r="I654" s="641"/>
      <c r="J654" s="641"/>
      <c r="K654" s="641"/>
      <c r="L654" s="73"/>
      <c r="M654" s="72"/>
      <c r="N654" s="72"/>
      <c r="O654" s="642"/>
      <c r="P654" s="642"/>
      <c r="Q654" s="74"/>
      <c r="R654" s="641"/>
      <c r="S654" s="641"/>
      <c r="T654" s="72"/>
      <c r="U654" s="72"/>
      <c r="V654" s="72"/>
      <c r="W654" s="72"/>
      <c r="X654" s="72"/>
      <c r="Y654" s="72"/>
      <c r="Z654" s="72"/>
      <c r="AA654" s="73"/>
      <c r="AB654" s="72"/>
      <c r="AC654" s="641"/>
      <c r="AD654" s="72"/>
      <c r="AE654" s="641"/>
      <c r="AF654" s="641"/>
      <c r="AG654" s="72"/>
      <c r="AH654" s="72"/>
      <c r="AI654" s="72"/>
      <c r="AJ654" s="72"/>
      <c r="AK654" s="72"/>
      <c r="AL654" s="72"/>
      <c r="AM654" s="72"/>
      <c r="AN654" s="73"/>
      <c r="AO654" s="641"/>
      <c r="AP654" s="641"/>
      <c r="AQ654" s="641"/>
      <c r="AR654" s="641"/>
      <c r="AS654" s="641"/>
      <c r="AT654" s="641"/>
      <c r="AU654" s="72"/>
      <c r="AV654" s="73"/>
      <c r="AW654" s="643"/>
      <c r="AX654" s="643"/>
      <c r="AY654" s="643"/>
      <c r="AZ654" s="75"/>
      <c r="BA654" s="75"/>
      <c r="BB654" s="75"/>
    </row>
    <row r="655" spans="2:54" s="560" customFormat="1" ht="16.5" customHeight="1">
      <c r="B655" s="72"/>
      <c r="C655" s="72"/>
      <c r="D655" s="72"/>
      <c r="E655" s="73"/>
      <c r="F655" s="641"/>
      <c r="G655" s="73"/>
      <c r="H655" s="641"/>
      <c r="I655" s="641"/>
      <c r="J655" s="641"/>
      <c r="K655" s="641"/>
      <c r="L655" s="73"/>
      <c r="M655" s="72"/>
      <c r="N655" s="72"/>
      <c r="O655" s="642"/>
      <c r="P655" s="642"/>
      <c r="Q655" s="74"/>
      <c r="R655" s="641"/>
      <c r="S655" s="641"/>
      <c r="T655" s="72"/>
      <c r="U655" s="72"/>
      <c r="V655" s="72"/>
      <c r="W655" s="72"/>
      <c r="X655" s="72"/>
      <c r="Y655" s="72"/>
      <c r="Z655" s="72"/>
      <c r="AA655" s="73"/>
      <c r="AB655" s="72"/>
      <c r="AC655" s="641"/>
      <c r="AD655" s="72"/>
      <c r="AE655" s="641"/>
      <c r="AF655" s="641"/>
      <c r="AG655" s="72"/>
      <c r="AH655" s="72"/>
      <c r="AI655" s="72"/>
      <c r="AJ655" s="72"/>
      <c r="AK655" s="72"/>
      <c r="AL655" s="72"/>
      <c r="AM655" s="72"/>
      <c r="AN655" s="73"/>
      <c r="AO655" s="641"/>
      <c r="AP655" s="641"/>
      <c r="AQ655" s="641"/>
      <c r="AR655" s="641"/>
      <c r="AS655" s="641"/>
      <c r="AT655" s="641"/>
      <c r="AU655" s="72"/>
      <c r="AV655" s="73"/>
      <c r="AW655" s="643"/>
      <c r="AX655" s="643"/>
      <c r="AY655" s="643"/>
      <c r="AZ655" s="75"/>
      <c r="BA655" s="75"/>
      <c r="BB655" s="75"/>
    </row>
    <row r="656" spans="2:54" s="560" customFormat="1" ht="16.5" customHeight="1">
      <c r="B656" s="72"/>
      <c r="C656" s="72"/>
      <c r="D656" s="72"/>
      <c r="E656" s="73"/>
      <c r="F656" s="641"/>
      <c r="G656" s="73"/>
      <c r="H656" s="641"/>
      <c r="I656" s="641"/>
      <c r="J656" s="641"/>
      <c r="K656" s="641"/>
      <c r="L656" s="73"/>
      <c r="M656" s="72"/>
      <c r="N656" s="72"/>
      <c r="O656" s="642"/>
      <c r="P656" s="642"/>
      <c r="Q656" s="74"/>
      <c r="R656" s="641"/>
      <c r="S656" s="641"/>
      <c r="T656" s="72"/>
      <c r="U656" s="72"/>
      <c r="V656" s="72"/>
      <c r="W656" s="72"/>
      <c r="X656" s="72"/>
      <c r="Y656" s="72"/>
      <c r="Z656" s="72"/>
      <c r="AA656" s="73"/>
      <c r="AB656" s="72"/>
      <c r="AC656" s="641"/>
      <c r="AD656" s="72"/>
      <c r="AE656" s="641"/>
      <c r="AF656" s="641"/>
      <c r="AG656" s="72"/>
      <c r="AH656" s="72"/>
      <c r="AI656" s="72"/>
      <c r="AJ656" s="72"/>
      <c r="AK656" s="72"/>
      <c r="AL656" s="72"/>
      <c r="AM656" s="72"/>
      <c r="AN656" s="73"/>
      <c r="AO656" s="641"/>
      <c r="AP656" s="641"/>
      <c r="AQ656" s="641"/>
      <c r="AR656" s="641"/>
      <c r="AS656" s="641"/>
      <c r="AT656" s="641"/>
      <c r="AU656" s="72"/>
      <c r="AV656" s="73"/>
      <c r="AW656" s="643"/>
      <c r="AX656" s="643"/>
      <c r="AY656" s="643"/>
      <c r="AZ656" s="75"/>
      <c r="BA656" s="75"/>
      <c r="BB656" s="75"/>
    </row>
    <row r="657" spans="2:54" s="560" customFormat="1" ht="16.5" customHeight="1">
      <c r="B657" s="72"/>
      <c r="C657" s="72"/>
      <c r="D657" s="72"/>
      <c r="E657" s="73"/>
      <c r="F657" s="641"/>
      <c r="G657" s="73"/>
      <c r="H657" s="641"/>
      <c r="I657" s="641"/>
      <c r="J657" s="641"/>
      <c r="K657" s="641"/>
      <c r="L657" s="73"/>
      <c r="M657" s="72"/>
      <c r="N657" s="72"/>
      <c r="O657" s="642"/>
      <c r="P657" s="642"/>
      <c r="Q657" s="74"/>
      <c r="R657" s="641"/>
      <c r="S657" s="641"/>
      <c r="T657" s="72"/>
      <c r="U657" s="72"/>
      <c r="V657" s="72"/>
      <c r="W657" s="72"/>
      <c r="X657" s="72"/>
      <c r="Y657" s="72"/>
      <c r="Z657" s="72"/>
      <c r="AA657" s="73"/>
      <c r="AB657" s="72"/>
      <c r="AC657" s="641"/>
      <c r="AD657" s="72"/>
      <c r="AE657" s="641"/>
      <c r="AF657" s="641"/>
      <c r="AG657" s="72"/>
      <c r="AH657" s="72"/>
      <c r="AI657" s="72"/>
      <c r="AJ657" s="72"/>
      <c r="AK657" s="72"/>
      <c r="AL657" s="72"/>
      <c r="AM657" s="72"/>
      <c r="AN657" s="73"/>
      <c r="AO657" s="641"/>
      <c r="AP657" s="641"/>
      <c r="AQ657" s="641"/>
      <c r="AR657" s="641"/>
      <c r="AS657" s="641"/>
      <c r="AT657" s="641"/>
      <c r="AU657" s="72"/>
      <c r="AV657" s="73"/>
      <c r="AW657" s="643"/>
      <c r="AX657" s="643"/>
      <c r="AY657" s="643"/>
      <c r="AZ657" s="75"/>
      <c r="BA657" s="75"/>
      <c r="BB657" s="75"/>
    </row>
    <row r="658" spans="2:54" s="560" customFormat="1" ht="16.5" customHeight="1">
      <c r="B658" s="72"/>
      <c r="C658" s="72"/>
      <c r="D658" s="72"/>
      <c r="E658" s="73"/>
      <c r="F658" s="641"/>
      <c r="G658" s="73"/>
      <c r="H658" s="641"/>
      <c r="I658" s="641"/>
      <c r="J658" s="641"/>
      <c r="K658" s="641"/>
      <c r="L658" s="73"/>
      <c r="M658" s="72"/>
      <c r="N658" s="72"/>
      <c r="O658" s="642"/>
      <c r="P658" s="642"/>
      <c r="Q658" s="74"/>
      <c r="R658" s="641"/>
      <c r="S658" s="641"/>
      <c r="T658" s="72"/>
      <c r="U658" s="72"/>
      <c r="V658" s="72"/>
      <c r="W658" s="72"/>
      <c r="X658" s="72"/>
      <c r="Y658" s="72"/>
      <c r="Z658" s="72"/>
      <c r="AA658" s="73"/>
      <c r="AB658" s="72"/>
      <c r="AC658" s="641"/>
      <c r="AD658" s="72"/>
      <c r="AE658" s="641"/>
      <c r="AF658" s="641"/>
      <c r="AG658" s="72"/>
      <c r="AH658" s="72"/>
      <c r="AI658" s="72"/>
      <c r="AJ658" s="72"/>
      <c r="AK658" s="72"/>
      <c r="AL658" s="72"/>
      <c r="AM658" s="72"/>
      <c r="AN658" s="73"/>
      <c r="AO658" s="641"/>
      <c r="AP658" s="641"/>
      <c r="AQ658" s="641"/>
      <c r="AR658" s="641"/>
      <c r="AS658" s="641"/>
      <c r="AT658" s="641"/>
      <c r="AU658" s="72"/>
      <c r="AV658" s="73"/>
      <c r="AW658" s="643"/>
      <c r="AX658" s="643"/>
      <c r="AY658" s="643"/>
      <c r="AZ658" s="75"/>
      <c r="BA658" s="75"/>
      <c r="BB658" s="75"/>
    </row>
    <row r="659" spans="2:54" s="560" customFormat="1" ht="16.5" customHeight="1">
      <c r="B659" s="72"/>
      <c r="C659" s="72"/>
      <c r="D659" s="72"/>
      <c r="E659" s="73"/>
      <c r="F659" s="641"/>
      <c r="G659" s="73"/>
      <c r="H659" s="641"/>
      <c r="I659" s="641"/>
      <c r="J659" s="641"/>
      <c r="K659" s="641"/>
      <c r="L659" s="73"/>
      <c r="M659" s="72"/>
      <c r="N659" s="72"/>
      <c r="O659" s="642"/>
      <c r="P659" s="642"/>
      <c r="Q659" s="74"/>
      <c r="R659" s="641"/>
      <c r="S659" s="641"/>
      <c r="T659" s="72"/>
      <c r="U659" s="72"/>
      <c r="V659" s="72"/>
      <c r="W659" s="72"/>
      <c r="X659" s="72"/>
      <c r="Y659" s="72"/>
      <c r="Z659" s="72"/>
      <c r="AA659" s="73"/>
      <c r="AB659" s="72"/>
      <c r="AC659" s="641"/>
      <c r="AD659" s="72"/>
      <c r="AE659" s="641"/>
      <c r="AF659" s="641"/>
      <c r="AG659" s="72"/>
      <c r="AH659" s="72"/>
      <c r="AI659" s="72"/>
      <c r="AJ659" s="72"/>
      <c r="AK659" s="72"/>
      <c r="AL659" s="72"/>
      <c r="AM659" s="72"/>
      <c r="AN659" s="73"/>
      <c r="AO659" s="641"/>
      <c r="AP659" s="641"/>
      <c r="AQ659" s="641"/>
      <c r="AR659" s="641"/>
      <c r="AS659" s="641"/>
      <c r="AT659" s="641"/>
      <c r="AU659" s="72"/>
      <c r="AV659" s="73"/>
      <c r="AW659" s="643"/>
      <c r="AX659" s="643"/>
      <c r="AY659" s="643"/>
      <c r="AZ659" s="75"/>
      <c r="BA659" s="75"/>
      <c r="BB659" s="75"/>
    </row>
    <row r="660" spans="2:54" s="560" customFormat="1" ht="16.5" customHeight="1">
      <c r="B660" s="72"/>
      <c r="C660" s="72"/>
      <c r="D660" s="72"/>
      <c r="E660" s="73"/>
      <c r="F660" s="641"/>
      <c r="G660" s="73"/>
      <c r="H660" s="641"/>
      <c r="I660" s="641"/>
      <c r="J660" s="641"/>
      <c r="K660" s="641"/>
      <c r="L660" s="73"/>
      <c r="M660" s="72"/>
      <c r="N660" s="72"/>
      <c r="O660" s="642"/>
      <c r="P660" s="642"/>
      <c r="Q660" s="74"/>
      <c r="R660" s="641"/>
      <c r="S660" s="641"/>
      <c r="T660" s="72"/>
      <c r="U660" s="72"/>
      <c r="V660" s="72"/>
      <c r="W660" s="72"/>
      <c r="X660" s="72"/>
      <c r="Y660" s="72"/>
      <c r="Z660" s="72"/>
      <c r="AA660" s="73"/>
      <c r="AB660" s="72"/>
      <c r="AC660" s="641"/>
      <c r="AD660" s="72"/>
      <c r="AE660" s="641"/>
      <c r="AF660" s="641"/>
      <c r="AG660" s="72"/>
      <c r="AH660" s="72"/>
      <c r="AI660" s="72"/>
      <c r="AJ660" s="72"/>
      <c r="AK660" s="72"/>
      <c r="AL660" s="72"/>
      <c r="AM660" s="72"/>
      <c r="AN660" s="73"/>
      <c r="AO660" s="641"/>
      <c r="AP660" s="641"/>
      <c r="AQ660" s="641"/>
      <c r="AR660" s="641"/>
      <c r="AS660" s="641"/>
      <c r="AT660" s="641"/>
      <c r="AU660" s="72"/>
      <c r="AV660" s="73"/>
      <c r="AW660" s="643"/>
      <c r="AX660" s="643"/>
      <c r="AY660" s="643"/>
      <c r="AZ660" s="75"/>
      <c r="BA660" s="75"/>
      <c r="BB660" s="75"/>
    </row>
    <row r="661" spans="2:54" s="560" customFormat="1" ht="16.5" customHeight="1">
      <c r="B661" s="72"/>
      <c r="C661" s="72"/>
      <c r="D661" s="72"/>
      <c r="E661" s="73"/>
      <c r="F661" s="641"/>
      <c r="G661" s="73"/>
      <c r="H661" s="641"/>
      <c r="I661" s="641"/>
      <c r="J661" s="641"/>
      <c r="K661" s="641"/>
      <c r="L661" s="73"/>
      <c r="M661" s="72"/>
      <c r="N661" s="72"/>
      <c r="O661" s="642"/>
      <c r="P661" s="642"/>
      <c r="Q661" s="74"/>
      <c r="R661" s="641"/>
      <c r="S661" s="641"/>
      <c r="T661" s="72"/>
      <c r="U661" s="72"/>
      <c r="V661" s="72"/>
      <c r="W661" s="72"/>
      <c r="X661" s="72"/>
      <c r="Y661" s="72"/>
      <c r="Z661" s="72"/>
      <c r="AA661" s="73"/>
      <c r="AB661" s="72"/>
      <c r="AC661" s="641"/>
      <c r="AD661" s="72"/>
      <c r="AE661" s="641"/>
      <c r="AF661" s="641"/>
      <c r="AG661" s="72"/>
      <c r="AH661" s="72"/>
      <c r="AI661" s="72"/>
      <c r="AJ661" s="72"/>
      <c r="AK661" s="72"/>
      <c r="AL661" s="72"/>
      <c r="AM661" s="72"/>
      <c r="AN661" s="73"/>
      <c r="AO661" s="641"/>
      <c r="AP661" s="641"/>
      <c r="AQ661" s="641"/>
      <c r="AR661" s="641"/>
      <c r="AS661" s="641"/>
      <c r="AT661" s="641"/>
      <c r="AU661" s="72"/>
      <c r="AV661" s="73"/>
      <c r="AW661" s="643"/>
      <c r="AX661" s="643"/>
      <c r="AY661" s="643"/>
      <c r="AZ661" s="75"/>
      <c r="BA661" s="75"/>
      <c r="BB661" s="75"/>
    </row>
    <row r="662" spans="2:54" s="560" customFormat="1" ht="16.5" customHeight="1">
      <c r="B662" s="72"/>
      <c r="C662" s="72"/>
      <c r="D662" s="72"/>
      <c r="E662" s="73"/>
      <c r="F662" s="641"/>
      <c r="G662" s="73"/>
      <c r="H662" s="641"/>
      <c r="I662" s="641"/>
      <c r="J662" s="641"/>
      <c r="K662" s="641"/>
      <c r="L662" s="73"/>
      <c r="M662" s="72"/>
      <c r="N662" s="72"/>
      <c r="O662" s="642"/>
      <c r="P662" s="642"/>
      <c r="Q662" s="74"/>
      <c r="R662" s="641"/>
      <c r="S662" s="641"/>
      <c r="T662" s="72"/>
      <c r="U662" s="72"/>
      <c r="V662" s="72"/>
      <c r="W662" s="72"/>
      <c r="X662" s="72"/>
      <c r="Y662" s="72"/>
      <c r="Z662" s="72"/>
      <c r="AA662" s="73"/>
      <c r="AB662" s="72"/>
      <c r="AC662" s="641"/>
      <c r="AD662" s="72"/>
      <c r="AE662" s="641"/>
      <c r="AF662" s="641"/>
      <c r="AG662" s="72"/>
      <c r="AH662" s="72"/>
      <c r="AI662" s="72"/>
      <c r="AJ662" s="72"/>
      <c r="AK662" s="72"/>
      <c r="AL662" s="72"/>
      <c r="AM662" s="72"/>
      <c r="AN662" s="73"/>
      <c r="AO662" s="641"/>
      <c r="AP662" s="641"/>
      <c r="AQ662" s="641"/>
      <c r="AR662" s="641"/>
      <c r="AS662" s="641"/>
      <c r="AT662" s="641"/>
      <c r="AU662" s="72"/>
      <c r="AV662" s="73"/>
      <c r="AW662" s="643"/>
      <c r="AX662" s="643"/>
      <c r="AY662" s="643"/>
      <c r="AZ662" s="75"/>
      <c r="BA662" s="75"/>
      <c r="BB662" s="75"/>
    </row>
    <row r="663" spans="2:54" s="560" customFormat="1" ht="16.5" customHeight="1">
      <c r="B663" s="72"/>
      <c r="C663" s="72"/>
      <c r="D663" s="72"/>
      <c r="E663" s="73"/>
      <c r="F663" s="641"/>
      <c r="G663" s="73"/>
      <c r="H663" s="641"/>
      <c r="I663" s="641"/>
      <c r="J663" s="641"/>
      <c r="K663" s="641"/>
      <c r="L663" s="73"/>
      <c r="M663" s="72"/>
      <c r="N663" s="72"/>
      <c r="O663" s="642"/>
      <c r="P663" s="642"/>
      <c r="Q663" s="74"/>
      <c r="R663" s="641"/>
      <c r="S663" s="641"/>
      <c r="T663" s="72"/>
      <c r="U663" s="72"/>
      <c r="V663" s="72"/>
      <c r="W663" s="72"/>
      <c r="X663" s="72"/>
      <c r="Y663" s="72"/>
      <c r="Z663" s="72"/>
      <c r="AA663" s="73"/>
      <c r="AB663" s="72"/>
      <c r="AC663" s="641"/>
      <c r="AD663" s="72"/>
      <c r="AE663" s="641"/>
      <c r="AF663" s="641"/>
      <c r="AG663" s="72"/>
      <c r="AH663" s="72"/>
      <c r="AI663" s="72"/>
      <c r="AJ663" s="72"/>
      <c r="AK663" s="72"/>
      <c r="AL663" s="72"/>
      <c r="AM663" s="72"/>
      <c r="AN663" s="73"/>
      <c r="AO663" s="641"/>
      <c r="AP663" s="641"/>
      <c r="AQ663" s="641"/>
      <c r="AR663" s="641"/>
      <c r="AS663" s="641"/>
      <c r="AT663" s="641"/>
      <c r="AU663" s="72"/>
      <c r="AV663" s="73"/>
      <c r="AW663" s="643"/>
      <c r="AX663" s="643"/>
      <c r="AY663" s="643"/>
      <c r="AZ663" s="75"/>
      <c r="BA663" s="75"/>
      <c r="BB663" s="75"/>
    </row>
    <row r="664" spans="2:54" s="560" customFormat="1" ht="16.5" customHeight="1">
      <c r="B664" s="72"/>
      <c r="C664" s="72"/>
      <c r="D664" s="72"/>
      <c r="E664" s="73"/>
      <c r="F664" s="641"/>
      <c r="G664" s="73"/>
      <c r="H664" s="641"/>
      <c r="I664" s="641"/>
      <c r="J664" s="641"/>
      <c r="K664" s="641"/>
      <c r="L664" s="73"/>
      <c r="M664" s="72"/>
      <c r="N664" s="72"/>
      <c r="O664" s="642"/>
      <c r="P664" s="642"/>
      <c r="Q664" s="74"/>
      <c r="R664" s="641"/>
      <c r="S664" s="641"/>
      <c r="T664" s="72"/>
      <c r="U664" s="72"/>
      <c r="V664" s="72"/>
      <c r="W664" s="72"/>
      <c r="X664" s="72"/>
      <c r="Y664" s="72"/>
      <c r="Z664" s="72"/>
      <c r="AA664" s="73"/>
      <c r="AB664" s="72"/>
      <c r="AC664" s="641"/>
      <c r="AD664" s="72"/>
      <c r="AE664" s="641"/>
      <c r="AF664" s="641"/>
      <c r="AG664" s="72"/>
      <c r="AH664" s="72"/>
      <c r="AI664" s="72"/>
      <c r="AJ664" s="72"/>
      <c r="AK664" s="72"/>
      <c r="AL664" s="72"/>
      <c r="AM664" s="72"/>
      <c r="AN664" s="73"/>
      <c r="AO664" s="641"/>
      <c r="AP664" s="641"/>
      <c r="AQ664" s="641"/>
      <c r="AR664" s="641"/>
      <c r="AS664" s="641"/>
      <c r="AT664" s="641"/>
      <c r="AU664" s="72"/>
      <c r="AV664" s="73"/>
      <c r="AW664" s="643"/>
      <c r="AX664" s="643"/>
      <c r="AY664" s="643"/>
      <c r="AZ664" s="75"/>
      <c r="BA664" s="75"/>
      <c r="BB664" s="75"/>
    </row>
    <row r="665" spans="2:54" s="560" customFormat="1" ht="16.5" customHeight="1">
      <c r="B665" s="72"/>
      <c r="C665" s="72"/>
      <c r="D665" s="72"/>
      <c r="E665" s="73"/>
      <c r="F665" s="641"/>
      <c r="G665" s="73"/>
      <c r="H665" s="641"/>
      <c r="I665" s="641"/>
      <c r="J665" s="641"/>
      <c r="K665" s="641"/>
      <c r="L665" s="73"/>
      <c r="M665" s="72"/>
      <c r="N665" s="72"/>
      <c r="O665" s="642"/>
      <c r="P665" s="642"/>
      <c r="Q665" s="74"/>
      <c r="R665" s="641"/>
      <c r="S665" s="641"/>
      <c r="T665" s="72"/>
      <c r="U665" s="72"/>
      <c r="V665" s="72"/>
      <c r="W665" s="72"/>
      <c r="X665" s="72"/>
      <c r="Y665" s="72"/>
      <c r="Z665" s="72"/>
      <c r="AA665" s="73"/>
      <c r="AB665" s="72"/>
      <c r="AC665" s="641"/>
      <c r="AD665" s="72"/>
      <c r="AE665" s="641"/>
      <c r="AF665" s="641"/>
      <c r="AG665" s="72"/>
      <c r="AH665" s="72"/>
      <c r="AI665" s="72"/>
      <c r="AJ665" s="72"/>
      <c r="AK665" s="72"/>
      <c r="AL665" s="72"/>
      <c r="AM665" s="72"/>
      <c r="AN665" s="73"/>
      <c r="AO665" s="641"/>
      <c r="AP665" s="641"/>
      <c r="AQ665" s="641"/>
      <c r="AR665" s="641"/>
      <c r="AS665" s="641"/>
      <c r="AT665" s="641"/>
      <c r="AU665" s="72"/>
      <c r="AV665" s="73"/>
      <c r="AW665" s="643"/>
      <c r="AX665" s="643"/>
      <c r="AY665" s="643"/>
      <c r="AZ665" s="75"/>
      <c r="BA665" s="75"/>
      <c r="BB665" s="75"/>
    </row>
    <row r="666" spans="2:54" s="560" customFormat="1" ht="16.5" customHeight="1">
      <c r="B666" s="72"/>
      <c r="C666" s="72"/>
      <c r="D666" s="72"/>
      <c r="E666" s="73"/>
      <c r="F666" s="641"/>
      <c r="G666" s="73"/>
      <c r="H666" s="641"/>
      <c r="I666" s="641"/>
      <c r="J666" s="641"/>
      <c r="K666" s="641"/>
      <c r="L666" s="73"/>
      <c r="M666" s="72"/>
      <c r="N666" s="72"/>
      <c r="O666" s="642"/>
      <c r="P666" s="642"/>
      <c r="Q666" s="74"/>
      <c r="R666" s="641"/>
      <c r="S666" s="641"/>
      <c r="T666" s="72"/>
      <c r="U666" s="72"/>
      <c r="V666" s="72"/>
      <c r="W666" s="72"/>
      <c r="X666" s="72"/>
      <c r="Y666" s="72"/>
      <c r="Z666" s="72"/>
      <c r="AA666" s="73"/>
      <c r="AB666" s="72"/>
      <c r="AC666" s="641"/>
      <c r="AD666" s="72"/>
      <c r="AE666" s="641"/>
      <c r="AF666" s="641"/>
      <c r="AG666" s="72"/>
      <c r="AH666" s="72"/>
      <c r="AI666" s="72"/>
      <c r="AJ666" s="72"/>
      <c r="AK666" s="72"/>
      <c r="AL666" s="72"/>
      <c r="AM666" s="72"/>
      <c r="AN666" s="73"/>
      <c r="AO666" s="641"/>
      <c r="AP666" s="641"/>
      <c r="AQ666" s="641"/>
      <c r="AR666" s="641"/>
      <c r="AS666" s="641"/>
      <c r="AT666" s="641"/>
      <c r="AU666" s="72"/>
      <c r="AV666" s="73"/>
      <c r="AW666" s="643"/>
      <c r="AX666" s="643"/>
      <c r="AY666" s="643"/>
      <c r="AZ666" s="75"/>
      <c r="BA666" s="75"/>
      <c r="BB666" s="75"/>
    </row>
    <row r="667" spans="2:54" s="560" customFormat="1" ht="16.5" customHeight="1">
      <c r="B667" s="72"/>
      <c r="C667" s="72"/>
      <c r="D667" s="72"/>
      <c r="E667" s="73"/>
      <c r="F667" s="641"/>
      <c r="G667" s="73"/>
      <c r="H667" s="641"/>
      <c r="I667" s="641"/>
      <c r="J667" s="641"/>
      <c r="K667" s="641"/>
      <c r="L667" s="73"/>
      <c r="M667" s="72"/>
      <c r="N667" s="72"/>
      <c r="O667" s="642"/>
      <c r="P667" s="642"/>
      <c r="Q667" s="74"/>
      <c r="R667" s="641"/>
      <c r="S667" s="641"/>
      <c r="T667" s="72"/>
      <c r="U667" s="72"/>
      <c r="V667" s="72"/>
      <c r="W667" s="72"/>
      <c r="X667" s="72"/>
      <c r="Y667" s="72"/>
      <c r="Z667" s="72"/>
      <c r="AA667" s="73"/>
      <c r="AB667" s="72"/>
      <c r="AC667" s="641"/>
      <c r="AD667" s="72"/>
      <c r="AE667" s="641"/>
      <c r="AF667" s="641"/>
      <c r="AG667" s="72"/>
      <c r="AH667" s="72"/>
      <c r="AI667" s="72"/>
      <c r="AJ667" s="72"/>
      <c r="AK667" s="72"/>
      <c r="AL667" s="72"/>
      <c r="AM667" s="72"/>
      <c r="AN667" s="73"/>
      <c r="AO667" s="641"/>
      <c r="AP667" s="641"/>
      <c r="AQ667" s="641"/>
      <c r="AR667" s="641"/>
      <c r="AS667" s="641"/>
      <c r="AT667" s="641"/>
      <c r="AU667" s="72"/>
      <c r="AV667" s="73"/>
      <c r="AW667" s="643"/>
      <c r="AX667" s="643"/>
      <c r="AY667" s="643"/>
      <c r="AZ667" s="75"/>
      <c r="BA667" s="75"/>
      <c r="BB667" s="75"/>
    </row>
    <row r="668" spans="2:54" s="560" customFormat="1" ht="16.5" customHeight="1">
      <c r="B668" s="72"/>
      <c r="C668" s="72"/>
      <c r="D668" s="72"/>
      <c r="E668" s="73"/>
      <c r="F668" s="641"/>
      <c r="G668" s="73"/>
      <c r="H668" s="641"/>
      <c r="I668" s="641"/>
      <c r="J668" s="641"/>
      <c r="K668" s="641"/>
      <c r="L668" s="73"/>
      <c r="M668" s="72"/>
      <c r="N668" s="72"/>
      <c r="O668" s="642"/>
      <c r="P668" s="642"/>
      <c r="Q668" s="74"/>
      <c r="R668" s="641"/>
      <c r="S668" s="641"/>
      <c r="T668" s="72"/>
      <c r="U668" s="72"/>
      <c r="V668" s="72"/>
      <c r="W668" s="72"/>
      <c r="X668" s="72"/>
      <c r="Y668" s="72"/>
      <c r="Z668" s="72"/>
      <c r="AA668" s="73"/>
      <c r="AB668" s="72"/>
      <c r="AC668" s="641"/>
      <c r="AD668" s="72"/>
      <c r="AE668" s="641"/>
      <c r="AF668" s="641"/>
      <c r="AG668" s="72"/>
      <c r="AH668" s="72"/>
      <c r="AI668" s="72"/>
      <c r="AJ668" s="72"/>
      <c r="AK668" s="72"/>
      <c r="AL668" s="72"/>
      <c r="AM668" s="72"/>
      <c r="AN668" s="73"/>
      <c r="AO668" s="641"/>
      <c r="AP668" s="641"/>
      <c r="AQ668" s="641"/>
      <c r="AR668" s="641"/>
      <c r="AS668" s="641"/>
      <c r="AT668" s="641"/>
      <c r="AU668" s="72"/>
      <c r="AV668" s="73"/>
      <c r="AW668" s="643"/>
      <c r="AX668" s="643"/>
      <c r="AY668" s="643"/>
      <c r="AZ668" s="75"/>
      <c r="BA668" s="75"/>
      <c r="BB668" s="75"/>
    </row>
    <row r="669" spans="2:54" s="560" customFormat="1" ht="16.5" customHeight="1">
      <c r="B669" s="72"/>
      <c r="C669" s="72"/>
      <c r="D669" s="72"/>
      <c r="E669" s="73"/>
      <c r="F669" s="641"/>
      <c r="G669" s="73"/>
      <c r="H669" s="641"/>
      <c r="I669" s="641"/>
      <c r="J669" s="641"/>
      <c r="K669" s="641"/>
      <c r="L669" s="73"/>
      <c r="M669" s="72"/>
      <c r="N669" s="72"/>
      <c r="O669" s="642"/>
      <c r="P669" s="642"/>
      <c r="Q669" s="74"/>
      <c r="R669" s="641"/>
      <c r="S669" s="641"/>
      <c r="T669" s="72"/>
      <c r="U669" s="72"/>
      <c r="V669" s="72"/>
      <c r="W669" s="72"/>
      <c r="X669" s="72"/>
      <c r="Y669" s="72"/>
      <c r="Z669" s="72"/>
      <c r="AA669" s="73"/>
      <c r="AB669" s="72"/>
      <c r="AC669" s="641"/>
      <c r="AD669" s="72"/>
      <c r="AE669" s="641"/>
      <c r="AF669" s="641"/>
      <c r="AG669" s="72"/>
      <c r="AH669" s="72"/>
      <c r="AI669" s="72"/>
      <c r="AJ669" s="72"/>
      <c r="AK669" s="72"/>
      <c r="AL669" s="72"/>
      <c r="AM669" s="72"/>
      <c r="AN669" s="73"/>
      <c r="AO669" s="641"/>
      <c r="AP669" s="641"/>
      <c r="AQ669" s="641"/>
      <c r="AR669" s="641"/>
      <c r="AS669" s="641"/>
      <c r="AT669" s="641"/>
      <c r="AU669" s="72"/>
      <c r="AV669" s="73"/>
      <c r="AW669" s="643"/>
      <c r="AX669" s="643"/>
      <c r="AY669" s="643"/>
      <c r="AZ669" s="75"/>
      <c r="BA669" s="75"/>
      <c r="BB669" s="75"/>
    </row>
    <row r="670" spans="2:54" s="560" customFormat="1" ht="16.5" customHeight="1">
      <c r="B670" s="72"/>
      <c r="C670" s="72"/>
      <c r="D670" s="72"/>
      <c r="E670" s="73"/>
      <c r="F670" s="641"/>
      <c r="G670" s="73"/>
      <c r="H670" s="641"/>
      <c r="I670" s="641"/>
      <c r="J670" s="641"/>
      <c r="K670" s="641"/>
      <c r="L670" s="73"/>
      <c r="M670" s="72"/>
      <c r="N670" s="72"/>
      <c r="O670" s="642"/>
      <c r="P670" s="642"/>
      <c r="Q670" s="74"/>
      <c r="R670" s="641"/>
      <c r="S670" s="641"/>
      <c r="T670" s="72"/>
      <c r="U670" s="72"/>
      <c r="V670" s="72"/>
      <c r="W670" s="72"/>
      <c r="X670" s="72"/>
      <c r="Y670" s="72"/>
      <c r="Z670" s="72"/>
      <c r="AA670" s="73"/>
      <c r="AB670" s="72"/>
      <c r="AC670" s="641"/>
      <c r="AD670" s="72"/>
      <c r="AE670" s="641"/>
      <c r="AF670" s="641"/>
      <c r="AG670" s="72"/>
      <c r="AH670" s="72"/>
      <c r="AI670" s="72"/>
      <c r="AJ670" s="72"/>
      <c r="AK670" s="72"/>
      <c r="AL670" s="72"/>
      <c r="AM670" s="72"/>
      <c r="AN670" s="73"/>
      <c r="AO670" s="641"/>
      <c r="AP670" s="641"/>
      <c r="AQ670" s="641"/>
      <c r="AR670" s="641"/>
      <c r="AS670" s="641"/>
      <c r="AT670" s="641"/>
      <c r="AU670" s="72"/>
      <c r="AV670" s="73"/>
      <c r="AW670" s="643"/>
      <c r="AX670" s="643"/>
      <c r="AY670" s="643"/>
      <c r="AZ670" s="75"/>
      <c r="BA670" s="75"/>
      <c r="BB670" s="75"/>
    </row>
    <row r="671" spans="2:54" s="560" customFormat="1" ht="16.5" customHeight="1">
      <c r="B671" s="72"/>
      <c r="C671" s="72"/>
      <c r="D671" s="72"/>
      <c r="E671" s="73"/>
      <c r="F671" s="641"/>
      <c r="G671" s="73"/>
      <c r="H671" s="641"/>
      <c r="I671" s="641"/>
      <c r="J671" s="641"/>
      <c r="K671" s="641"/>
      <c r="L671" s="73"/>
      <c r="M671" s="72"/>
      <c r="N671" s="72"/>
      <c r="O671" s="642"/>
      <c r="P671" s="642"/>
      <c r="Q671" s="74"/>
      <c r="R671" s="641"/>
      <c r="S671" s="641"/>
      <c r="T671" s="72"/>
      <c r="U671" s="72"/>
      <c r="V671" s="72"/>
      <c r="W671" s="72"/>
      <c r="X671" s="72"/>
      <c r="Y671" s="72"/>
      <c r="Z671" s="72"/>
      <c r="AA671" s="73"/>
      <c r="AB671" s="72"/>
      <c r="AC671" s="641"/>
      <c r="AD671" s="72"/>
      <c r="AE671" s="641"/>
      <c r="AF671" s="641"/>
      <c r="AG671" s="72"/>
      <c r="AH671" s="72"/>
      <c r="AI671" s="72"/>
      <c r="AJ671" s="72"/>
      <c r="AK671" s="72"/>
      <c r="AL671" s="72"/>
      <c r="AM671" s="72"/>
      <c r="AN671" s="73"/>
      <c r="AO671" s="641"/>
      <c r="AP671" s="641"/>
      <c r="AQ671" s="641"/>
      <c r="AR671" s="641"/>
      <c r="AS671" s="641"/>
      <c r="AT671" s="641"/>
      <c r="AU671" s="72"/>
      <c r="AV671" s="73"/>
      <c r="AW671" s="643"/>
      <c r="AX671" s="643"/>
      <c r="AY671" s="643"/>
      <c r="AZ671" s="75"/>
      <c r="BA671" s="75"/>
      <c r="BB671" s="75"/>
    </row>
    <row r="672" spans="2:54" s="560" customFormat="1" ht="16.5" customHeight="1">
      <c r="B672" s="72"/>
      <c r="C672" s="72"/>
      <c r="D672" s="72"/>
      <c r="E672" s="73"/>
      <c r="F672" s="641"/>
      <c r="G672" s="73"/>
      <c r="H672" s="641"/>
      <c r="I672" s="641"/>
      <c r="J672" s="641"/>
      <c r="K672" s="641"/>
      <c r="L672" s="73"/>
      <c r="M672" s="72"/>
      <c r="N672" s="72"/>
      <c r="O672" s="642"/>
      <c r="P672" s="642"/>
      <c r="Q672" s="74"/>
      <c r="R672" s="641"/>
      <c r="S672" s="641"/>
      <c r="T672" s="72"/>
      <c r="U672" s="72"/>
      <c r="V672" s="72"/>
      <c r="W672" s="72"/>
      <c r="X672" s="72"/>
      <c r="Y672" s="72"/>
      <c r="Z672" s="72"/>
      <c r="AA672" s="73"/>
      <c r="AB672" s="72"/>
      <c r="AC672" s="641"/>
      <c r="AD672" s="72"/>
      <c r="AE672" s="641"/>
      <c r="AF672" s="641"/>
      <c r="AG672" s="72"/>
      <c r="AH672" s="72"/>
      <c r="AI672" s="72"/>
      <c r="AJ672" s="72"/>
      <c r="AK672" s="72"/>
      <c r="AL672" s="72"/>
      <c r="AM672" s="72"/>
      <c r="AN672" s="73"/>
      <c r="AO672" s="641"/>
      <c r="AP672" s="641"/>
      <c r="AQ672" s="641"/>
      <c r="AR672" s="641"/>
      <c r="AS672" s="641"/>
      <c r="AT672" s="641"/>
      <c r="AU672" s="72"/>
      <c r="AV672" s="73"/>
      <c r="AW672" s="643"/>
      <c r="AX672" s="643"/>
      <c r="AY672" s="643"/>
      <c r="AZ672" s="75"/>
      <c r="BA672" s="75"/>
      <c r="BB672" s="75"/>
    </row>
    <row r="673" spans="2:54" s="560" customFormat="1" ht="16.5" customHeight="1">
      <c r="B673" s="72"/>
      <c r="C673" s="72"/>
      <c r="D673" s="72"/>
      <c r="E673" s="73"/>
      <c r="F673" s="641"/>
      <c r="G673" s="73"/>
      <c r="H673" s="641"/>
      <c r="I673" s="641"/>
      <c r="J673" s="641"/>
      <c r="K673" s="641"/>
      <c r="L673" s="73"/>
      <c r="M673" s="72"/>
      <c r="N673" s="72"/>
      <c r="O673" s="642"/>
      <c r="P673" s="642"/>
      <c r="Q673" s="74"/>
      <c r="R673" s="641"/>
      <c r="S673" s="641"/>
      <c r="T673" s="72"/>
      <c r="U673" s="72"/>
      <c r="V673" s="72"/>
      <c r="W673" s="72"/>
      <c r="X673" s="72"/>
      <c r="Y673" s="72"/>
      <c r="Z673" s="72"/>
      <c r="AA673" s="73"/>
      <c r="AB673" s="72"/>
      <c r="AC673" s="641"/>
      <c r="AD673" s="72"/>
      <c r="AE673" s="641"/>
      <c r="AF673" s="641"/>
      <c r="AG673" s="72"/>
      <c r="AH673" s="72"/>
      <c r="AI673" s="72"/>
      <c r="AJ673" s="72"/>
      <c r="AK673" s="72"/>
      <c r="AL673" s="72"/>
      <c r="AM673" s="72"/>
      <c r="AN673" s="73"/>
      <c r="AO673" s="641"/>
      <c r="AP673" s="641"/>
      <c r="AQ673" s="641"/>
      <c r="AR673" s="641"/>
      <c r="AS673" s="641"/>
      <c r="AT673" s="641"/>
      <c r="AU673" s="72"/>
      <c r="AV673" s="73"/>
      <c r="AW673" s="643"/>
      <c r="AX673" s="643"/>
      <c r="AY673" s="643"/>
      <c r="AZ673" s="75"/>
      <c r="BA673" s="75"/>
      <c r="BB673" s="75"/>
    </row>
    <row r="674" spans="2:54" s="560" customFormat="1" ht="16.5" customHeight="1">
      <c r="B674" s="72"/>
      <c r="C674" s="72"/>
      <c r="D674" s="72"/>
      <c r="E674" s="73"/>
      <c r="F674" s="641"/>
      <c r="G674" s="73"/>
      <c r="H674" s="641"/>
      <c r="I674" s="641"/>
      <c r="J674" s="641"/>
      <c r="K674" s="641"/>
      <c r="L674" s="73"/>
      <c r="M674" s="72"/>
      <c r="N674" s="72"/>
      <c r="O674" s="642"/>
      <c r="P674" s="642"/>
      <c r="Q674" s="74"/>
      <c r="R674" s="641"/>
      <c r="S674" s="641"/>
      <c r="T674" s="72"/>
      <c r="U674" s="72"/>
      <c r="V674" s="72"/>
      <c r="W674" s="72"/>
      <c r="X674" s="72"/>
      <c r="Y674" s="72"/>
      <c r="Z674" s="72"/>
      <c r="AA674" s="73"/>
      <c r="AB674" s="72"/>
      <c r="AC674" s="641"/>
      <c r="AD674" s="72"/>
      <c r="AE674" s="641"/>
      <c r="AF674" s="641"/>
      <c r="AG674" s="72"/>
      <c r="AH674" s="72"/>
      <c r="AI674" s="72"/>
      <c r="AJ674" s="72"/>
      <c r="AK674" s="72"/>
      <c r="AL674" s="72"/>
      <c r="AM674" s="72"/>
      <c r="AN674" s="73"/>
      <c r="AO674" s="641"/>
      <c r="AP674" s="641"/>
      <c r="AQ674" s="641"/>
      <c r="AR674" s="641"/>
      <c r="AS674" s="641"/>
      <c r="AT674" s="641"/>
      <c r="AU674" s="72"/>
      <c r="AV674" s="73"/>
      <c r="AW674" s="643"/>
      <c r="AX674" s="643"/>
      <c r="AY674" s="643"/>
      <c r="AZ674" s="75"/>
      <c r="BA674" s="75"/>
      <c r="BB674" s="75"/>
    </row>
    <row r="675" spans="2:54" s="560" customFormat="1" ht="16.5" customHeight="1">
      <c r="B675" s="72"/>
      <c r="C675" s="72"/>
      <c r="D675" s="72"/>
      <c r="E675" s="73"/>
      <c r="F675" s="641"/>
      <c r="G675" s="73"/>
      <c r="H675" s="641"/>
      <c r="I675" s="641"/>
      <c r="J675" s="641"/>
      <c r="K675" s="641"/>
      <c r="L675" s="73"/>
      <c r="M675" s="72"/>
      <c r="N675" s="72"/>
      <c r="O675" s="642"/>
      <c r="P675" s="642"/>
      <c r="Q675" s="74"/>
      <c r="R675" s="641"/>
      <c r="S675" s="641"/>
      <c r="T675" s="72"/>
      <c r="U675" s="72"/>
      <c r="V675" s="72"/>
      <c r="W675" s="72"/>
      <c r="X675" s="72"/>
      <c r="Y675" s="72"/>
      <c r="Z675" s="72"/>
      <c r="AA675" s="73"/>
      <c r="AB675" s="72"/>
      <c r="AC675" s="641"/>
      <c r="AD675" s="72"/>
      <c r="AE675" s="641"/>
      <c r="AF675" s="641"/>
      <c r="AG675" s="72"/>
      <c r="AH675" s="72"/>
      <c r="AI675" s="72"/>
      <c r="AJ675" s="72"/>
      <c r="AK675" s="72"/>
      <c r="AL675" s="72"/>
      <c r="AM675" s="72"/>
      <c r="AN675" s="73"/>
      <c r="AO675" s="641"/>
      <c r="AP675" s="641"/>
      <c r="AQ675" s="641"/>
      <c r="AR675" s="641"/>
      <c r="AS675" s="641"/>
      <c r="AT675" s="641"/>
      <c r="AU675" s="72"/>
      <c r="AV675" s="73"/>
      <c r="AW675" s="643"/>
      <c r="AX675" s="643"/>
      <c r="AY675" s="643"/>
      <c r="AZ675" s="75"/>
      <c r="BA675" s="75"/>
      <c r="BB675" s="75"/>
    </row>
    <row r="676" spans="2:54" s="560" customFormat="1" ht="16.5" customHeight="1">
      <c r="B676" s="72"/>
      <c r="C676" s="72"/>
      <c r="D676" s="72"/>
      <c r="E676" s="73"/>
      <c r="F676" s="641"/>
      <c r="G676" s="73"/>
      <c r="H676" s="641"/>
      <c r="I676" s="641"/>
      <c r="J676" s="641"/>
      <c r="K676" s="641"/>
      <c r="L676" s="73"/>
      <c r="M676" s="72"/>
      <c r="N676" s="72"/>
      <c r="O676" s="642"/>
      <c r="P676" s="642"/>
      <c r="Q676" s="74"/>
      <c r="R676" s="641"/>
      <c r="S676" s="641"/>
      <c r="T676" s="72"/>
      <c r="U676" s="72"/>
      <c r="V676" s="72"/>
      <c r="W676" s="72"/>
      <c r="X676" s="72"/>
      <c r="Y676" s="72"/>
      <c r="Z676" s="72"/>
      <c r="AA676" s="73"/>
      <c r="AB676" s="72"/>
      <c r="AC676" s="641"/>
      <c r="AD676" s="72"/>
      <c r="AE676" s="641"/>
      <c r="AF676" s="641"/>
      <c r="AG676" s="72"/>
      <c r="AH676" s="72"/>
      <c r="AI676" s="72"/>
      <c r="AJ676" s="72"/>
      <c r="AK676" s="72"/>
      <c r="AL676" s="72"/>
      <c r="AM676" s="72"/>
      <c r="AN676" s="73"/>
      <c r="AO676" s="641"/>
      <c r="AP676" s="641"/>
      <c r="AQ676" s="641"/>
      <c r="AR676" s="641"/>
      <c r="AS676" s="641"/>
      <c r="AT676" s="641"/>
      <c r="AU676" s="72"/>
      <c r="AV676" s="73"/>
      <c r="AW676" s="643"/>
      <c r="AX676" s="643"/>
      <c r="AY676" s="643"/>
      <c r="AZ676" s="75"/>
      <c r="BA676" s="75"/>
      <c r="BB676" s="75"/>
    </row>
    <row r="677" spans="2:54" s="560" customFormat="1" ht="16.5" customHeight="1">
      <c r="B677" s="72"/>
      <c r="C677" s="72"/>
      <c r="D677" s="72"/>
      <c r="E677" s="73"/>
      <c r="F677" s="641"/>
      <c r="G677" s="73"/>
      <c r="H677" s="641"/>
      <c r="I677" s="641"/>
      <c r="J677" s="641"/>
      <c r="K677" s="641"/>
      <c r="L677" s="73"/>
      <c r="M677" s="72"/>
      <c r="N677" s="72"/>
      <c r="O677" s="642"/>
      <c r="P677" s="642"/>
      <c r="Q677" s="74"/>
      <c r="R677" s="641"/>
      <c r="S677" s="641"/>
      <c r="T677" s="72"/>
      <c r="U677" s="72"/>
      <c r="V677" s="72"/>
      <c r="W677" s="72"/>
      <c r="X677" s="72"/>
      <c r="Y677" s="72"/>
      <c r="Z677" s="72"/>
      <c r="AA677" s="73"/>
      <c r="AB677" s="72"/>
      <c r="AC677" s="641"/>
      <c r="AD677" s="72"/>
      <c r="AE677" s="641"/>
      <c r="AF677" s="641"/>
      <c r="AG677" s="72"/>
      <c r="AH677" s="72"/>
      <c r="AI677" s="72"/>
      <c r="AJ677" s="72"/>
      <c r="AK677" s="72"/>
      <c r="AL677" s="72"/>
      <c r="AM677" s="72"/>
      <c r="AN677" s="73"/>
      <c r="AO677" s="641"/>
      <c r="AP677" s="641"/>
      <c r="AQ677" s="641"/>
      <c r="AR677" s="641"/>
      <c r="AS677" s="641"/>
      <c r="AT677" s="641"/>
      <c r="AU677" s="72"/>
      <c r="AV677" s="73"/>
      <c r="AW677" s="643"/>
      <c r="AX677" s="643"/>
      <c r="AY677" s="643"/>
      <c r="AZ677" s="75"/>
      <c r="BA677" s="75"/>
      <c r="BB677" s="75"/>
    </row>
    <row r="678" spans="2:54" s="560" customFormat="1" ht="16.5" customHeight="1">
      <c r="B678" s="72"/>
      <c r="C678" s="72"/>
      <c r="D678" s="72"/>
      <c r="E678" s="73"/>
      <c r="F678" s="641"/>
      <c r="G678" s="73"/>
      <c r="H678" s="641"/>
      <c r="I678" s="641"/>
      <c r="J678" s="641"/>
      <c r="K678" s="641"/>
      <c r="L678" s="73"/>
      <c r="M678" s="72"/>
      <c r="N678" s="72"/>
      <c r="O678" s="642"/>
      <c r="P678" s="642"/>
      <c r="Q678" s="74"/>
      <c r="R678" s="641"/>
      <c r="S678" s="641"/>
      <c r="T678" s="72"/>
      <c r="U678" s="72"/>
      <c r="V678" s="72"/>
      <c r="W678" s="72"/>
      <c r="X678" s="72"/>
      <c r="Y678" s="72"/>
      <c r="Z678" s="72"/>
      <c r="AA678" s="73"/>
      <c r="AB678" s="72"/>
      <c r="AC678" s="641"/>
      <c r="AD678" s="72"/>
      <c r="AE678" s="641"/>
      <c r="AF678" s="641"/>
      <c r="AG678" s="72"/>
      <c r="AH678" s="72"/>
      <c r="AI678" s="72"/>
      <c r="AJ678" s="72"/>
      <c r="AK678" s="72"/>
      <c r="AL678" s="72"/>
      <c r="AM678" s="72"/>
      <c r="AN678" s="73"/>
      <c r="AO678" s="641"/>
      <c r="AP678" s="641"/>
      <c r="AQ678" s="641"/>
      <c r="AR678" s="641"/>
      <c r="AS678" s="641"/>
      <c r="AT678" s="641"/>
      <c r="AU678" s="72"/>
      <c r="AV678" s="73"/>
      <c r="AW678" s="643"/>
      <c r="AX678" s="643"/>
      <c r="AY678" s="643"/>
      <c r="AZ678" s="75"/>
      <c r="BA678" s="75"/>
      <c r="BB678" s="75"/>
    </row>
    <row r="679" spans="2:54" s="560" customFormat="1" ht="16.5" customHeight="1">
      <c r="B679" s="72"/>
      <c r="C679" s="72"/>
      <c r="D679" s="72"/>
      <c r="E679" s="73"/>
      <c r="F679" s="641"/>
      <c r="G679" s="73"/>
      <c r="H679" s="641"/>
      <c r="I679" s="641"/>
      <c r="J679" s="641"/>
      <c r="K679" s="641"/>
      <c r="L679" s="73"/>
      <c r="M679" s="72"/>
      <c r="N679" s="72"/>
      <c r="O679" s="642"/>
      <c r="P679" s="642"/>
      <c r="Q679" s="74"/>
      <c r="R679" s="641"/>
      <c r="S679" s="641"/>
      <c r="T679" s="72"/>
      <c r="U679" s="72"/>
      <c r="V679" s="72"/>
      <c r="W679" s="72"/>
      <c r="X679" s="72"/>
      <c r="Y679" s="72"/>
      <c r="Z679" s="72"/>
      <c r="AA679" s="73"/>
      <c r="AB679" s="72"/>
      <c r="AC679" s="641"/>
      <c r="AD679" s="72"/>
      <c r="AE679" s="641"/>
      <c r="AF679" s="641"/>
      <c r="AG679" s="72"/>
      <c r="AH679" s="72"/>
      <c r="AI679" s="72"/>
      <c r="AJ679" s="72"/>
      <c r="AK679" s="72"/>
      <c r="AL679" s="72"/>
      <c r="AM679" s="72"/>
      <c r="AN679" s="73"/>
      <c r="AO679" s="641"/>
      <c r="AP679" s="641"/>
      <c r="AQ679" s="641"/>
      <c r="AR679" s="641"/>
      <c r="AS679" s="641"/>
      <c r="AT679" s="641"/>
      <c r="AU679" s="72"/>
      <c r="AV679" s="73"/>
      <c r="AW679" s="643"/>
      <c r="AX679" s="643"/>
      <c r="AY679" s="643"/>
      <c r="AZ679" s="75"/>
      <c r="BA679" s="75"/>
      <c r="BB679" s="75"/>
    </row>
    <row r="680" spans="2:54" s="560" customFormat="1" ht="16.5" customHeight="1">
      <c r="B680" s="72"/>
      <c r="C680" s="72"/>
      <c r="D680" s="72"/>
      <c r="E680" s="73"/>
      <c r="F680" s="641"/>
      <c r="G680" s="73"/>
      <c r="H680" s="641"/>
      <c r="I680" s="641"/>
      <c r="J680" s="641"/>
      <c r="K680" s="641"/>
      <c r="L680" s="73"/>
      <c r="M680" s="72"/>
      <c r="N680" s="72"/>
      <c r="O680" s="642"/>
      <c r="P680" s="642"/>
      <c r="Q680" s="74"/>
      <c r="R680" s="641"/>
      <c r="S680" s="641"/>
      <c r="T680" s="72"/>
      <c r="U680" s="72"/>
      <c r="V680" s="72"/>
      <c r="W680" s="72"/>
      <c r="X680" s="72"/>
      <c r="Y680" s="72"/>
      <c r="Z680" s="72"/>
      <c r="AA680" s="73"/>
      <c r="AB680" s="72"/>
      <c r="AC680" s="641"/>
      <c r="AD680" s="72"/>
      <c r="AE680" s="641"/>
      <c r="AF680" s="641"/>
      <c r="AG680" s="72"/>
      <c r="AH680" s="72"/>
      <c r="AI680" s="72"/>
      <c r="AJ680" s="72"/>
      <c r="AK680" s="72"/>
      <c r="AL680" s="72"/>
      <c r="AM680" s="72"/>
      <c r="AN680" s="73"/>
      <c r="AO680" s="641"/>
      <c r="AP680" s="641"/>
      <c r="AQ680" s="641"/>
      <c r="AR680" s="641"/>
      <c r="AS680" s="641"/>
      <c r="AT680" s="641"/>
      <c r="AU680" s="72"/>
      <c r="AV680" s="73"/>
      <c r="AW680" s="643"/>
      <c r="AX680" s="643"/>
      <c r="AY680" s="643"/>
      <c r="AZ680" s="75"/>
      <c r="BA680" s="75"/>
      <c r="BB680" s="75"/>
    </row>
    <row r="681" spans="2:54" s="560" customFormat="1" ht="16.5" customHeight="1">
      <c r="B681" s="72"/>
      <c r="C681" s="72"/>
      <c r="D681" s="72"/>
      <c r="E681" s="73"/>
      <c r="F681" s="641"/>
      <c r="G681" s="73"/>
      <c r="H681" s="641"/>
      <c r="I681" s="641"/>
      <c r="J681" s="641"/>
      <c r="K681" s="641"/>
      <c r="L681" s="73"/>
      <c r="M681" s="72"/>
      <c r="N681" s="72"/>
      <c r="O681" s="642"/>
      <c r="P681" s="642"/>
      <c r="Q681" s="74"/>
      <c r="R681" s="641"/>
      <c r="S681" s="641"/>
      <c r="T681" s="72"/>
      <c r="U681" s="72"/>
      <c r="V681" s="72"/>
      <c r="W681" s="72"/>
      <c r="X681" s="72"/>
      <c r="Y681" s="72"/>
      <c r="Z681" s="72"/>
      <c r="AA681" s="73"/>
      <c r="AB681" s="72"/>
      <c r="AC681" s="641"/>
      <c r="AD681" s="72"/>
      <c r="AE681" s="641"/>
      <c r="AF681" s="641"/>
      <c r="AG681" s="72"/>
      <c r="AH681" s="72"/>
      <c r="AI681" s="72"/>
      <c r="AJ681" s="72"/>
      <c r="AK681" s="72"/>
      <c r="AL681" s="72"/>
      <c r="AM681" s="72"/>
      <c r="AN681" s="73"/>
      <c r="AO681" s="641"/>
      <c r="AP681" s="641"/>
      <c r="AQ681" s="641"/>
      <c r="AR681" s="641"/>
      <c r="AS681" s="641"/>
      <c r="AT681" s="641"/>
      <c r="AU681" s="72"/>
      <c r="AV681" s="73"/>
      <c r="AW681" s="643"/>
      <c r="AX681" s="643"/>
      <c r="AY681" s="643"/>
      <c r="AZ681" s="75"/>
      <c r="BA681" s="75"/>
      <c r="BB681" s="75"/>
    </row>
    <row r="682" spans="2:54" s="560" customFormat="1" ht="16.5" customHeight="1">
      <c r="B682" s="72"/>
      <c r="C682" s="72"/>
      <c r="D682" s="72"/>
      <c r="E682" s="73"/>
      <c r="F682" s="641"/>
      <c r="G682" s="73"/>
      <c r="H682" s="641"/>
      <c r="I682" s="641"/>
      <c r="J682" s="641"/>
      <c r="K682" s="641"/>
      <c r="L682" s="73"/>
      <c r="M682" s="72"/>
      <c r="N682" s="72"/>
      <c r="O682" s="642"/>
      <c r="P682" s="642"/>
      <c r="Q682" s="74"/>
      <c r="R682" s="641"/>
      <c r="S682" s="641"/>
      <c r="T682" s="72"/>
      <c r="U682" s="72"/>
      <c r="V682" s="72"/>
      <c r="W682" s="72"/>
      <c r="X682" s="72"/>
      <c r="Y682" s="72"/>
      <c r="Z682" s="72"/>
      <c r="AA682" s="73"/>
      <c r="AB682" s="72"/>
      <c r="AC682" s="641"/>
      <c r="AD682" s="72"/>
      <c r="AE682" s="641"/>
      <c r="AF682" s="641"/>
      <c r="AG682" s="72"/>
      <c r="AH682" s="72"/>
      <c r="AI682" s="72"/>
      <c r="AJ682" s="72"/>
      <c r="AK682" s="72"/>
      <c r="AL682" s="72"/>
      <c r="AM682" s="72"/>
      <c r="AN682" s="73"/>
      <c r="AO682" s="641"/>
      <c r="AP682" s="641"/>
      <c r="AQ682" s="641"/>
      <c r="AR682" s="641"/>
      <c r="AS682" s="641"/>
      <c r="AT682" s="641"/>
      <c r="AU682" s="72"/>
      <c r="AV682" s="73"/>
      <c r="AW682" s="643"/>
      <c r="AX682" s="643"/>
      <c r="AY682" s="643"/>
      <c r="AZ682" s="75"/>
      <c r="BA682" s="75"/>
      <c r="BB682" s="75"/>
    </row>
    <row r="683" spans="2:54" s="560" customFormat="1" ht="16.5" customHeight="1">
      <c r="B683" s="72"/>
      <c r="C683" s="72"/>
      <c r="D683" s="72"/>
      <c r="E683" s="73"/>
      <c r="F683" s="641"/>
      <c r="G683" s="73"/>
      <c r="H683" s="641"/>
      <c r="I683" s="641"/>
      <c r="J683" s="641"/>
      <c r="K683" s="641"/>
      <c r="L683" s="73"/>
      <c r="M683" s="72"/>
      <c r="N683" s="72"/>
      <c r="O683" s="642"/>
      <c r="P683" s="642"/>
      <c r="Q683" s="74"/>
      <c r="R683" s="641"/>
      <c r="S683" s="641"/>
      <c r="T683" s="72"/>
      <c r="U683" s="72"/>
      <c r="V683" s="72"/>
      <c r="W683" s="72"/>
      <c r="X683" s="72"/>
      <c r="Y683" s="72"/>
      <c r="Z683" s="72"/>
      <c r="AA683" s="73"/>
      <c r="AB683" s="72"/>
      <c r="AC683" s="641"/>
      <c r="AD683" s="72"/>
      <c r="AE683" s="641"/>
      <c r="AF683" s="641"/>
      <c r="AG683" s="72"/>
      <c r="AH683" s="72"/>
      <c r="AI683" s="72"/>
      <c r="AJ683" s="72"/>
      <c r="AK683" s="72"/>
      <c r="AL683" s="72"/>
      <c r="AM683" s="72"/>
      <c r="AN683" s="73"/>
      <c r="AO683" s="641"/>
      <c r="AP683" s="641"/>
      <c r="AQ683" s="641"/>
      <c r="AR683" s="641"/>
      <c r="AS683" s="641"/>
      <c r="AT683" s="641"/>
      <c r="AU683" s="72"/>
      <c r="AV683" s="73"/>
      <c r="AW683" s="643"/>
      <c r="AX683" s="643"/>
      <c r="AY683" s="643"/>
      <c r="AZ683" s="75"/>
      <c r="BA683" s="75"/>
      <c r="BB683" s="75"/>
    </row>
    <row r="684" spans="2:54" s="560" customFormat="1" ht="16.5" customHeight="1">
      <c r="B684" s="72"/>
      <c r="C684" s="72"/>
      <c r="D684" s="72"/>
      <c r="E684" s="73"/>
      <c r="F684" s="641"/>
      <c r="G684" s="73"/>
      <c r="H684" s="641"/>
      <c r="I684" s="641"/>
      <c r="J684" s="641"/>
      <c r="K684" s="641"/>
      <c r="L684" s="73"/>
      <c r="M684" s="72"/>
      <c r="N684" s="72"/>
      <c r="O684" s="642"/>
      <c r="P684" s="642"/>
      <c r="Q684" s="74"/>
      <c r="R684" s="641"/>
      <c r="S684" s="641"/>
      <c r="T684" s="72"/>
      <c r="U684" s="72"/>
      <c r="V684" s="72"/>
      <c r="W684" s="72"/>
      <c r="X684" s="72"/>
      <c r="Y684" s="72"/>
      <c r="Z684" s="72"/>
      <c r="AA684" s="73"/>
      <c r="AB684" s="72"/>
      <c r="AC684" s="641"/>
      <c r="AD684" s="72"/>
      <c r="AE684" s="641"/>
      <c r="AF684" s="641"/>
      <c r="AG684" s="72"/>
      <c r="AH684" s="72"/>
      <c r="AI684" s="72"/>
      <c r="AJ684" s="72"/>
      <c r="AK684" s="72"/>
      <c r="AL684" s="72"/>
      <c r="AM684" s="72"/>
      <c r="AN684" s="73"/>
      <c r="AO684" s="641"/>
      <c r="AP684" s="641"/>
      <c r="AQ684" s="641"/>
      <c r="AR684" s="641"/>
      <c r="AS684" s="641"/>
      <c r="AT684" s="641"/>
      <c r="AU684" s="72"/>
      <c r="AV684" s="73"/>
      <c r="AW684" s="643"/>
      <c r="AX684" s="643"/>
      <c r="AY684" s="643"/>
      <c r="AZ684" s="75"/>
      <c r="BA684" s="75"/>
      <c r="BB684" s="75"/>
    </row>
    <row r="685" spans="2:54" s="560" customFormat="1" ht="16.5" customHeight="1">
      <c r="B685" s="72"/>
      <c r="C685" s="72"/>
      <c r="D685" s="72"/>
      <c r="E685" s="73"/>
      <c r="F685" s="641"/>
      <c r="G685" s="73"/>
      <c r="H685" s="641"/>
      <c r="I685" s="641"/>
      <c r="J685" s="641"/>
      <c r="K685" s="641"/>
      <c r="L685" s="73"/>
      <c r="M685" s="72"/>
      <c r="N685" s="72"/>
      <c r="O685" s="642"/>
      <c r="P685" s="642"/>
      <c r="Q685" s="74"/>
      <c r="R685" s="641"/>
      <c r="S685" s="641"/>
      <c r="T685" s="72"/>
      <c r="U685" s="72"/>
      <c r="V685" s="72"/>
      <c r="W685" s="72"/>
      <c r="X685" s="72"/>
      <c r="Y685" s="72"/>
      <c r="Z685" s="72"/>
      <c r="AA685" s="73"/>
      <c r="AB685" s="72"/>
      <c r="AC685" s="641"/>
      <c r="AD685" s="72"/>
      <c r="AE685" s="641"/>
      <c r="AF685" s="641"/>
      <c r="AG685" s="72"/>
      <c r="AH685" s="72"/>
      <c r="AI685" s="72"/>
      <c r="AJ685" s="72"/>
      <c r="AK685" s="72"/>
      <c r="AL685" s="72"/>
      <c r="AM685" s="72"/>
      <c r="AN685" s="73"/>
      <c r="AO685" s="641"/>
      <c r="AP685" s="641"/>
      <c r="AQ685" s="641"/>
      <c r="AR685" s="641"/>
      <c r="AS685" s="641"/>
      <c r="AT685" s="641"/>
      <c r="AU685" s="72"/>
      <c r="AV685" s="73"/>
      <c r="AW685" s="643"/>
      <c r="AX685" s="643"/>
      <c r="AY685" s="643"/>
      <c r="AZ685" s="75"/>
      <c r="BA685" s="75"/>
      <c r="BB685" s="75"/>
    </row>
    <row r="686" spans="2:54" s="560" customFormat="1" ht="16.5" customHeight="1">
      <c r="B686" s="72"/>
      <c r="C686" s="72"/>
      <c r="D686" s="72"/>
      <c r="E686" s="73"/>
      <c r="F686" s="641"/>
      <c r="G686" s="73"/>
      <c r="H686" s="641"/>
      <c r="I686" s="641"/>
      <c r="J686" s="641"/>
      <c r="K686" s="641"/>
      <c r="L686" s="73"/>
      <c r="M686" s="72"/>
      <c r="N686" s="72"/>
      <c r="O686" s="642"/>
      <c r="P686" s="642"/>
      <c r="Q686" s="74"/>
      <c r="R686" s="641"/>
      <c r="S686" s="641"/>
      <c r="T686" s="72"/>
      <c r="U686" s="72"/>
      <c r="V686" s="72"/>
      <c r="W686" s="72"/>
      <c r="X686" s="72"/>
      <c r="Y686" s="72"/>
      <c r="Z686" s="72"/>
      <c r="AA686" s="73"/>
      <c r="AB686" s="72"/>
      <c r="AC686" s="641"/>
      <c r="AD686" s="72"/>
      <c r="AE686" s="641"/>
      <c r="AF686" s="641"/>
      <c r="AG686" s="72"/>
      <c r="AH686" s="72"/>
      <c r="AI686" s="72"/>
      <c r="AJ686" s="72"/>
      <c r="AK686" s="72"/>
      <c r="AL686" s="72"/>
      <c r="AM686" s="72"/>
      <c r="AN686" s="73"/>
      <c r="AO686" s="641"/>
      <c r="AP686" s="641"/>
      <c r="AQ686" s="641"/>
      <c r="AR686" s="641"/>
      <c r="AS686" s="641"/>
      <c r="AT686" s="641"/>
      <c r="AU686" s="72"/>
      <c r="AV686" s="73"/>
      <c r="AW686" s="643"/>
      <c r="AX686" s="643"/>
      <c r="AY686" s="643"/>
      <c r="AZ686" s="75"/>
      <c r="BA686" s="75"/>
      <c r="BB686" s="75"/>
    </row>
    <row r="687" spans="2:54" s="560" customFormat="1" ht="16.5" customHeight="1">
      <c r="B687" s="72"/>
      <c r="C687" s="72"/>
      <c r="D687" s="72"/>
      <c r="E687" s="73"/>
      <c r="F687" s="641"/>
      <c r="G687" s="73"/>
      <c r="H687" s="641"/>
      <c r="I687" s="641"/>
      <c r="J687" s="641"/>
      <c r="K687" s="641"/>
      <c r="L687" s="73"/>
      <c r="M687" s="72"/>
      <c r="N687" s="72"/>
      <c r="O687" s="642"/>
      <c r="P687" s="642"/>
      <c r="Q687" s="74"/>
      <c r="R687" s="641"/>
      <c r="S687" s="641"/>
      <c r="T687" s="72"/>
      <c r="U687" s="72"/>
      <c r="V687" s="72"/>
      <c r="W687" s="72"/>
      <c r="X687" s="72"/>
      <c r="Y687" s="72"/>
      <c r="Z687" s="72"/>
      <c r="AA687" s="73"/>
      <c r="AB687" s="72"/>
      <c r="AC687" s="641"/>
      <c r="AD687" s="72"/>
      <c r="AE687" s="641"/>
      <c r="AF687" s="641"/>
      <c r="AG687" s="72"/>
      <c r="AH687" s="72"/>
      <c r="AI687" s="72"/>
      <c r="AJ687" s="72"/>
      <c r="AK687" s="72"/>
      <c r="AL687" s="72"/>
      <c r="AM687" s="72"/>
      <c r="AN687" s="73"/>
      <c r="AO687" s="641"/>
      <c r="AP687" s="641"/>
      <c r="AQ687" s="641"/>
      <c r="AR687" s="641"/>
      <c r="AS687" s="641"/>
      <c r="AT687" s="641"/>
      <c r="AU687" s="72"/>
      <c r="AV687" s="73"/>
      <c r="AW687" s="643"/>
      <c r="AX687" s="643"/>
      <c r="AY687" s="643"/>
      <c r="AZ687" s="75"/>
      <c r="BA687" s="75"/>
      <c r="BB687" s="75"/>
    </row>
    <row r="688" spans="2:54" s="560" customFormat="1" ht="16.5" customHeight="1">
      <c r="B688" s="72"/>
      <c r="C688" s="72"/>
      <c r="D688" s="72"/>
      <c r="E688" s="73"/>
      <c r="F688" s="641"/>
      <c r="G688" s="73"/>
      <c r="H688" s="641"/>
      <c r="I688" s="641"/>
      <c r="J688" s="641"/>
      <c r="K688" s="641"/>
      <c r="L688" s="73"/>
      <c r="M688" s="72"/>
      <c r="N688" s="72"/>
      <c r="O688" s="642"/>
      <c r="P688" s="642"/>
      <c r="Q688" s="74"/>
      <c r="R688" s="641"/>
      <c r="S688" s="641"/>
      <c r="T688" s="72"/>
      <c r="U688" s="72"/>
      <c r="V688" s="72"/>
      <c r="W688" s="72"/>
      <c r="X688" s="72"/>
      <c r="Y688" s="72"/>
      <c r="Z688" s="72"/>
      <c r="AA688" s="73"/>
      <c r="AB688" s="72"/>
      <c r="AC688" s="641"/>
      <c r="AD688" s="72"/>
      <c r="AE688" s="641"/>
      <c r="AF688" s="641"/>
      <c r="AG688" s="72"/>
      <c r="AH688" s="72"/>
      <c r="AI688" s="72"/>
      <c r="AJ688" s="72"/>
      <c r="AK688" s="72"/>
      <c r="AL688" s="72"/>
      <c r="AM688" s="72"/>
      <c r="AN688" s="73"/>
      <c r="AO688" s="641"/>
      <c r="AP688" s="641"/>
      <c r="AQ688" s="641"/>
      <c r="AR688" s="641"/>
      <c r="AS688" s="641"/>
      <c r="AT688" s="641"/>
      <c r="AU688" s="72"/>
      <c r="AV688" s="73"/>
      <c r="AW688" s="643"/>
      <c r="AX688" s="643"/>
      <c r="AY688" s="643"/>
      <c r="AZ688" s="75"/>
      <c r="BA688" s="75"/>
      <c r="BB688" s="75"/>
    </row>
    <row r="689" spans="2:54" s="560" customFormat="1" ht="16.5" customHeight="1">
      <c r="B689" s="72"/>
      <c r="C689" s="72"/>
      <c r="D689" s="72"/>
      <c r="E689" s="73"/>
      <c r="F689" s="641"/>
      <c r="G689" s="73"/>
      <c r="H689" s="641"/>
      <c r="I689" s="641"/>
      <c r="J689" s="641"/>
      <c r="K689" s="641"/>
      <c r="L689" s="73"/>
      <c r="M689" s="72"/>
      <c r="N689" s="72"/>
      <c r="O689" s="642"/>
      <c r="P689" s="642"/>
      <c r="Q689" s="74"/>
      <c r="R689" s="641"/>
      <c r="S689" s="641"/>
      <c r="T689" s="72"/>
      <c r="U689" s="72"/>
      <c r="V689" s="72"/>
      <c r="W689" s="72"/>
      <c r="X689" s="72"/>
      <c r="Y689" s="72"/>
      <c r="Z689" s="72"/>
      <c r="AA689" s="73"/>
      <c r="AB689" s="72"/>
      <c r="AC689" s="641"/>
      <c r="AD689" s="72"/>
      <c r="AE689" s="641"/>
      <c r="AF689" s="641"/>
      <c r="AG689" s="72"/>
      <c r="AH689" s="72"/>
      <c r="AI689" s="72"/>
      <c r="AJ689" s="72"/>
      <c r="AK689" s="72"/>
      <c r="AL689" s="72"/>
      <c r="AM689" s="72"/>
      <c r="AN689" s="73"/>
      <c r="AO689" s="641"/>
      <c r="AP689" s="641"/>
      <c r="AQ689" s="641"/>
      <c r="AR689" s="641"/>
      <c r="AS689" s="641"/>
      <c r="AT689" s="641"/>
      <c r="AU689" s="72"/>
      <c r="AV689" s="73"/>
      <c r="AW689" s="643"/>
      <c r="AX689" s="643"/>
      <c r="AY689" s="643"/>
      <c r="AZ689" s="75"/>
      <c r="BA689" s="75"/>
      <c r="BB689" s="75"/>
    </row>
    <row r="690" spans="2:54" s="560" customFormat="1" ht="16.5" customHeight="1">
      <c r="B690" s="72"/>
      <c r="C690" s="72"/>
      <c r="D690" s="72"/>
      <c r="E690" s="73"/>
      <c r="F690" s="641"/>
      <c r="G690" s="73"/>
      <c r="H690" s="641"/>
      <c r="I690" s="641"/>
      <c r="J690" s="641"/>
      <c r="K690" s="641"/>
      <c r="L690" s="73"/>
      <c r="M690" s="72"/>
      <c r="N690" s="72"/>
      <c r="O690" s="642"/>
      <c r="P690" s="642"/>
      <c r="Q690" s="74"/>
      <c r="R690" s="641"/>
      <c r="S690" s="641"/>
      <c r="T690" s="72"/>
      <c r="U690" s="72"/>
      <c r="V690" s="72"/>
      <c r="W690" s="72"/>
      <c r="X690" s="72"/>
      <c r="Y690" s="72"/>
      <c r="Z690" s="72"/>
      <c r="AA690" s="73"/>
      <c r="AB690" s="72"/>
      <c r="AC690" s="641"/>
      <c r="AD690" s="72"/>
      <c r="AE690" s="641"/>
      <c r="AF690" s="641"/>
      <c r="AG690" s="72"/>
      <c r="AH690" s="72"/>
      <c r="AI690" s="72"/>
      <c r="AJ690" s="72"/>
      <c r="AK690" s="72"/>
      <c r="AL690" s="72"/>
      <c r="AM690" s="72"/>
      <c r="AN690" s="73"/>
      <c r="AO690" s="641"/>
      <c r="AP690" s="641"/>
      <c r="AQ690" s="641"/>
      <c r="AR690" s="641"/>
      <c r="AS690" s="641"/>
      <c r="AT690" s="641"/>
      <c r="AU690" s="72"/>
      <c r="AV690" s="73"/>
      <c r="AW690" s="643"/>
      <c r="AX690" s="643"/>
      <c r="AY690" s="643"/>
      <c r="AZ690" s="75"/>
      <c r="BA690" s="75"/>
      <c r="BB690" s="75"/>
    </row>
    <row r="691" spans="2:54" s="560" customFormat="1" ht="16.5" customHeight="1">
      <c r="B691" s="72"/>
      <c r="C691" s="72"/>
      <c r="D691" s="72"/>
      <c r="E691" s="73"/>
      <c r="F691" s="641"/>
      <c r="G691" s="73"/>
      <c r="H691" s="641"/>
      <c r="I691" s="641"/>
      <c r="J691" s="641"/>
      <c r="K691" s="641"/>
      <c r="L691" s="73"/>
      <c r="M691" s="72"/>
      <c r="N691" s="72"/>
      <c r="O691" s="642"/>
      <c r="P691" s="642"/>
      <c r="Q691" s="74"/>
      <c r="R691" s="641"/>
      <c r="S691" s="641"/>
      <c r="T691" s="72"/>
      <c r="U691" s="72"/>
      <c r="V691" s="72"/>
      <c r="W691" s="72"/>
      <c r="X691" s="72"/>
      <c r="Y691" s="72"/>
      <c r="Z691" s="72"/>
      <c r="AA691" s="73"/>
      <c r="AB691" s="72"/>
      <c r="AC691" s="641"/>
      <c r="AD691" s="72"/>
      <c r="AE691" s="641"/>
      <c r="AF691" s="641"/>
      <c r="AG691" s="72"/>
      <c r="AH691" s="72"/>
      <c r="AI691" s="72"/>
      <c r="AJ691" s="72"/>
      <c r="AK691" s="72"/>
      <c r="AL691" s="72"/>
      <c r="AM691" s="72"/>
      <c r="AN691" s="73"/>
      <c r="AO691" s="641"/>
      <c r="AP691" s="641"/>
      <c r="AQ691" s="641"/>
      <c r="AR691" s="641"/>
      <c r="AS691" s="641"/>
      <c r="AT691" s="641"/>
      <c r="AU691" s="72"/>
      <c r="AV691" s="73"/>
      <c r="AW691" s="643"/>
      <c r="AX691" s="643"/>
      <c r="AY691" s="643"/>
      <c r="AZ691" s="75"/>
      <c r="BA691" s="75"/>
      <c r="BB691" s="75"/>
    </row>
    <row r="692" spans="2:54" s="560" customFormat="1" ht="16.5" customHeight="1">
      <c r="B692" s="72"/>
      <c r="C692" s="72"/>
      <c r="D692" s="72"/>
      <c r="E692" s="73"/>
      <c r="F692" s="641"/>
      <c r="G692" s="73"/>
      <c r="H692" s="641"/>
      <c r="I692" s="641"/>
      <c r="J692" s="641"/>
      <c r="K692" s="641"/>
      <c r="L692" s="73"/>
      <c r="M692" s="72"/>
      <c r="N692" s="72"/>
      <c r="O692" s="642"/>
      <c r="P692" s="642"/>
      <c r="Q692" s="74"/>
      <c r="R692" s="641"/>
      <c r="S692" s="641"/>
      <c r="T692" s="72"/>
      <c r="U692" s="72"/>
      <c r="V692" s="72"/>
      <c r="W692" s="72"/>
      <c r="X692" s="72"/>
      <c r="Y692" s="72"/>
      <c r="Z692" s="72"/>
      <c r="AA692" s="73"/>
      <c r="AB692" s="72"/>
      <c r="AC692" s="641"/>
      <c r="AD692" s="72"/>
      <c r="AE692" s="641"/>
      <c r="AF692" s="641"/>
      <c r="AG692" s="72"/>
      <c r="AH692" s="72"/>
      <c r="AI692" s="72"/>
      <c r="AJ692" s="72"/>
      <c r="AK692" s="72"/>
      <c r="AL692" s="72"/>
      <c r="AM692" s="72"/>
      <c r="AN692" s="73"/>
      <c r="AO692" s="641"/>
      <c r="AP692" s="641"/>
      <c r="AQ692" s="641"/>
      <c r="AR692" s="641"/>
      <c r="AS692" s="641"/>
      <c r="AT692" s="641"/>
      <c r="AU692" s="72"/>
      <c r="AV692" s="73"/>
      <c r="AW692" s="643"/>
      <c r="AX692" s="643"/>
      <c r="AY692" s="643"/>
      <c r="AZ692" s="75"/>
      <c r="BA692" s="75"/>
      <c r="BB692" s="75"/>
    </row>
    <row r="693" spans="2:54" s="560" customFormat="1" ht="16.5" customHeight="1">
      <c r="B693" s="72"/>
      <c r="C693" s="72"/>
      <c r="D693" s="72"/>
      <c r="E693" s="73"/>
      <c r="F693" s="641"/>
      <c r="G693" s="73"/>
      <c r="H693" s="641"/>
      <c r="I693" s="641"/>
      <c r="J693" s="641"/>
      <c r="K693" s="641"/>
      <c r="L693" s="73"/>
      <c r="M693" s="72"/>
      <c r="N693" s="72"/>
      <c r="O693" s="642"/>
      <c r="P693" s="642"/>
      <c r="Q693" s="74"/>
      <c r="R693" s="641"/>
      <c r="S693" s="641"/>
      <c r="T693" s="72"/>
      <c r="U693" s="72"/>
      <c r="V693" s="72"/>
      <c r="W693" s="72"/>
      <c r="X693" s="72"/>
      <c r="Y693" s="72"/>
      <c r="Z693" s="72"/>
      <c r="AA693" s="73"/>
      <c r="AB693" s="72"/>
      <c r="AC693" s="641"/>
      <c r="AD693" s="72"/>
      <c r="AE693" s="641"/>
      <c r="AF693" s="641"/>
      <c r="AG693" s="72"/>
      <c r="AH693" s="72"/>
      <c r="AI693" s="72"/>
      <c r="AJ693" s="72"/>
      <c r="AK693" s="72"/>
      <c r="AL693" s="72"/>
      <c r="AM693" s="72"/>
      <c r="AN693" s="73"/>
      <c r="AO693" s="641"/>
      <c r="AP693" s="641"/>
      <c r="AQ693" s="641"/>
      <c r="AR693" s="641"/>
      <c r="AS693" s="641"/>
      <c r="AT693" s="641"/>
      <c r="AU693" s="72"/>
      <c r="AV693" s="73"/>
      <c r="AW693" s="643"/>
      <c r="AX693" s="643"/>
      <c r="AY693" s="643"/>
      <c r="AZ693" s="75"/>
      <c r="BA693" s="75"/>
      <c r="BB693" s="75"/>
    </row>
    <row r="694" spans="2:54" s="560" customFormat="1" ht="16.5" customHeight="1">
      <c r="B694" s="72"/>
      <c r="C694" s="72"/>
      <c r="D694" s="72"/>
      <c r="E694" s="73"/>
      <c r="F694" s="641"/>
      <c r="G694" s="73"/>
      <c r="H694" s="641"/>
      <c r="I694" s="641"/>
      <c r="J694" s="641"/>
      <c r="K694" s="641"/>
      <c r="L694" s="73"/>
      <c r="M694" s="72"/>
      <c r="N694" s="72"/>
      <c r="O694" s="642"/>
      <c r="P694" s="642"/>
      <c r="Q694" s="74"/>
      <c r="R694" s="641"/>
      <c r="S694" s="641"/>
      <c r="T694" s="72"/>
      <c r="U694" s="72"/>
      <c r="V694" s="72"/>
      <c r="W694" s="72"/>
      <c r="X694" s="72"/>
      <c r="Y694" s="72"/>
      <c r="Z694" s="72"/>
      <c r="AA694" s="73"/>
      <c r="AB694" s="72"/>
      <c r="AC694" s="641"/>
      <c r="AD694" s="72"/>
      <c r="AE694" s="641"/>
      <c r="AF694" s="641"/>
      <c r="AG694" s="72"/>
      <c r="AH694" s="72"/>
      <c r="AI694" s="72"/>
      <c r="AJ694" s="72"/>
      <c r="AK694" s="72"/>
      <c r="AL694" s="72"/>
      <c r="AM694" s="72"/>
      <c r="AN694" s="73"/>
      <c r="AO694" s="641"/>
      <c r="AP694" s="641"/>
      <c r="AQ694" s="641"/>
      <c r="AR694" s="641"/>
      <c r="AS694" s="641"/>
      <c r="AT694" s="641"/>
      <c r="AU694" s="72"/>
      <c r="AV694" s="73"/>
      <c r="AW694" s="643"/>
      <c r="AX694" s="643"/>
      <c r="AY694" s="643"/>
      <c r="AZ694" s="75"/>
      <c r="BA694" s="75"/>
      <c r="BB694" s="75"/>
    </row>
    <row r="695" spans="2:54" s="560" customFormat="1" ht="16.5" customHeight="1">
      <c r="B695" s="72"/>
      <c r="C695" s="72"/>
      <c r="D695" s="72"/>
      <c r="E695" s="73"/>
      <c r="F695" s="641"/>
      <c r="G695" s="73"/>
      <c r="H695" s="641"/>
      <c r="I695" s="641"/>
      <c r="J695" s="641"/>
      <c r="K695" s="641"/>
      <c r="L695" s="73"/>
      <c r="M695" s="72"/>
      <c r="N695" s="72"/>
      <c r="O695" s="642"/>
      <c r="P695" s="642"/>
      <c r="Q695" s="74"/>
      <c r="R695" s="641"/>
      <c r="S695" s="641"/>
      <c r="T695" s="72"/>
      <c r="U695" s="72"/>
      <c r="V695" s="72"/>
      <c r="W695" s="72"/>
      <c r="X695" s="72"/>
      <c r="Y695" s="72"/>
      <c r="Z695" s="72"/>
      <c r="AA695" s="73"/>
      <c r="AB695" s="72"/>
      <c r="AC695" s="641"/>
      <c r="AD695" s="72"/>
      <c r="AE695" s="641"/>
      <c r="AF695" s="641"/>
      <c r="AG695" s="72"/>
      <c r="AH695" s="72"/>
      <c r="AI695" s="72"/>
      <c r="AJ695" s="72"/>
      <c r="AK695" s="72"/>
      <c r="AL695" s="72"/>
      <c r="AM695" s="72"/>
      <c r="AN695" s="73"/>
      <c r="AO695" s="641"/>
      <c r="AP695" s="641"/>
      <c r="AQ695" s="641"/>
      <c r="AR695" s="641"/>
      <c r="AS695" s="641"/>
      <c r="AT695" s="641"/>
      <c r="AU695" s="72"/>
      <c r="AV695" s="73"/>
      <c r="AW695" s="643"/>
      <c r="AX695" s="643"/>
      <c r="AY695" s="643"/>
      <c r="AZ695" s="75"/>
      <c r="BA695" s="75"/>
      <c r="BB695" s="75"/>
    </row>
    <row r="696" spans="2:54" s="560" customFormat="1" ht="16.5" customHeight="1">
      <c r="B696" s="72"/>
      <c r="C696" s="72"/>
      <c r="D696" s="72"/>
      <c r="E696" s="73"/>
      <c r="F696" s="641"/>
      <c r="G696" s="73"/>
      <c r="H696" s="641"/>
      <c r="I696" s="641"/>
      <c r="J696" s="641"/>
      <c r="K696" s="641"/>
      <c r="L696" s="73"/>
      <c r="M696" s="72"/>
      <c r="N696" s="72"/>
      <c r="O696" s="642"/>
      <c r="P696" s="642"/>
      <c r="Q696" s="74"/>
      <c r="R696" s="641"/>
      <c r="S696" s="641"/>
      <c r="T696" s="72"/>
      <c r="U696" s="72"/>
      <c r="V696" s="72"/>
      <c r="W696" s="72"/>
      <c r="X696" s="72"/>
      <c r="Y696" s="72"/>
      <c r="Z696" s="72"/>
      <c r="AA696" s="73"/>
      <c r="AB696" s="72"/>
      <c r="AC696" s="641"/>
      <c r="AD696" s="72"/>
      <c r="AE696" s="641"/>
      <c r="AF696" s="641"/>
      <c r="AG696" s="72"/>
      <c r="AH696" s="72"/>
      <c r="AI696" s="72"/>
      <c r="AJ696" s="72"/>
      <c r="AK696" s="72"/>
      <c r="AL696" s="72"/>
      <c r="AM696" s="72"/>
      <c r="AN696" s="73"/>
      <c r="AO696" s="641"/>
      <c r="AP696" s="641"/>
      <c r="AQ696" s="641"/>
      <c r="AR696" s="641"/>
      <c r="AS696" s="641"/>
      <c r="AT696" s="641"/>
      <c r="AU696" s="72"/>
      <c r="AV696" s="73"/>
      <c r="AW696" s="643"/>
      <c r="AX696" s="643"/>
      <c r="AY696" s="643"/>
      <c r="AZ696" s="75"/>
      <c r="BA696" s="75"/>
      <c r="BB696" s="75"/>
    </row>
    <row r="697" spans="2:54" s="560" customFormat="1" ht="16.5" customHeight="1">
      <c r="B697" s="72"/>
      <c r="C697" s="72"/>
      <c r="D697" s="72"/>
      <c r="E697" s="73"/>
      <c r="F697" s="641"/>
      <c r="G697" s="73"/>
      <c r="H697" s="641"/>
      <c r="I697" s="641"/>
      <c r="J697" s="641"/>
      <c r="K697" s="641"/>
      <c r="L697" s="73"/>
      <c r="M697" s="72"/>
      <c r="N697" s="72"/>
      <c r="O697" s="642"/>
      <c r="P697" s="642"/>
      <c r="Q697" s="74"/>
      <c r="R697" s="641"/>
      <c r="S697" s="641"/>
      <c r="T697" s="72"/>
      <c r="U697" s="72"/>
      <c r="V697" s="72"/>
      <c r="W697" s="72"/>
      <c r="X697" s="72"/>
      <c r="Y697" s="72"/>
      <c r="Z697" s="72"/>
      <c r="AA697" s="73"/>
      <c r="AB697" s="72"/>
      <c r="AC697" s="641"/>
      <c r="AD697" s="72"/>
      <c r="AE697" s="641"/>
      <c r="AF697" s="641"/>
      <c r="AG697" s="72"/>
      <c r="AH697" s="72"/>
      <c r="AI697" s="72"/>
      <c r="AJ697" s="72"/>
      <c r="AK697" s="72"/>
      <c r="AL697" s="72"/>
      <c r="AM697" s="72"/>
      <c r="AN697" s="73"/>
      <c r="AO697" s="641"/>
      <c r="AP697" s="641"/>
      <c r="AQ697" s="641"/>
      <c r="AR697" s="641"/>
      <c r="AS697" s="641"/>
      <c r="AT697" s="641"/>
      <c r="AU697" s="72"/>
      <c r="AV697" s="73"/>
      <c r="AW697" s="643"/>
      <c r="AX697" s="643"/>
      <c r="AY697" s="643"/>
      <c r="AZ697" s="75"/>
      <c r="BA697" s="75"/>
      <c r="BB697" s="75"/>
    </row>
    <row r="698" spans="2:54" s="560" customFormat="1" ht="16.5" customHeight="1">
      <c r="B698" s="72"/>
      <c r="C698" s="72"/>
      <c r="D698" s="72"/>
      <c r="E698" s="73"/>
      <c r="F698" s="641"/>
      <c r="G698" s="73"/>
      <c r="H698" s="641"/>
      <c r="I698" s="641"/>
      <c r="J698" s="641"/>
      <c r="K698" s="641"/>
      <c r="L698" s="73"/>
      <c r="M698" s="72"/>
      <c r="N698" s="72"/>
      <c r="O698" s="642"/>
      <c r="P698" s="642"/>
      <c r="Q698" s="74"/>
      <c r="R698" s="641"/>
      <c r="S698" s="641"/>
      <c r="T698" s="72"/>
      <c r="U698" s="72"/>
      <c r="V698" s="72"/>
      <c r="W698" s="72"/>
      <c r="X698" s="72"/>
      <c r="Y698" s="72"/>
      <c r="Z698" s="72"/>
      <c r="AA698" s="73"/>
      <c r="AB698" s="72"/>
      <c r="AC698" s="641"/>
      <c r="AD698" s="72"/>
      <c r="AE698" s="641"/>
      <c r="AF698" s="641"/>
      <c r="AG698" s="72"/>
      <c r="AH698" s="72"/>
      <c r="AI698" s="72"/>
      <c r="AJ698" s="72"/>
      <c r="AK698" s="72"/>
      <c r="AL698" s="72"/>
      <c r="AM698" s="72"/>
      <c r="AN698" s="73"/>
      <c r="AO698" s="641"/>
      <c r="AP698" s="641"/>
      <c r="AQ698" s="641"/>
      <c r="AR698" s="641"/>
      <c r="AS698" s="641"/>
      <c r="AT698" s="641"/>
      <c r="AU698" s="72"/>
      <c r="AV698" s="73"/>
      <c r="AW698" s="643"/>
      <c r="AX698" s="643"/>
      <c r="AY698" s="643"/>
      <c r="AZ698" s="75"/>
      <c r="BA698" s="75"/>
      <c r="BB698" s="75"/>
    </row>
    <row r="699" spans="2:54" s="560" customFormat="1" ht="16.5" customHeight="1">
      <c r="B699" s="72"/>
      <c r="C699" s="72"/>
      <c r="D699" s="72"/>
      <c r="E699" s="73"/>
      <c r="F699" s="641"/>
      <c r="G699" s="73"/>
      <c r="H699" s="641"/>
      <c r="I699" s="641"/>
      <c r="J699" s="641"/>
      <c r="K699" s="641"/>
      <c r="L699" s="73"/>
      <c r="M699" s="72"/>
      <c r="N699" s="72"/>
      <c r="O699" s="642"/>
      <c r="P699" s="642"/>
      <c r="Q699" s="74"/>
      <c r="R699" s="641"/>
      <c r="S699" s="641"/>
      <c r="T699" s="72"/>
      <c r="U699" s="72"/>
      <c r="V699" s="72"/>
      <c r="W699" s="72"/>
      <c r="X699" s="72"/>
      <c r="Y699" s="72"/>
      <c r="Z699" s="72"/>
      <c r="AA699" s="73"/>
      <c r="AB699" s="72"/>
      <c r="AC699" s="641"/>
      <c r="AD699" s="72"/>
      <c r="AE699" s="641"/>
      <c r="AF699" s="641"/>
      <c r="AG699" s="72"/>
      <c r="AH699" s="72"/>
      <c r="AI699" s="72"/>
      <c r="AJ699" s="72"/>
      <c r="AK699" s="72"/>
      <c r="AL699" s="72"/>
      <c r="AM699" s="72"/>
      <c r="AN699" s="73"/>
      <c r="AO699" s="641"/>
      <c r="AP699" s="641"/>
      <c r="AQ699" s="641"/>
      <c r="AR699" s="641"/>
      <c r="AS699" s="641"/>
      <c r="AT699" s="641"/>
      <c r="AU699" s="72"/>
      <c r="AV699" s="73"/>
      <c r="AW699" s="643"/>
      <c r="AX699" s="643"/>
      <c r="AY699" s="643"/>
      <c r="AZ699" s="75"/>
      <c r="BA699" s="75"/>
      <c r="BB699" s="75"/>
    </row>
    <row r="700" spans="2:54" s="560" customFormat="1" ht="16.5" customHeight="1">
      <c r="B700" s="72"/>
      <c r="C700" s="72"/>
      <c r="D700" s="72"/>
      <c r="E700" s="73"/>
      <c r="F700" s="641"/>
      <c r="G700" s="73"/>
      <c r="H700" s="641"/>
      <c r="I700" s="641"/>
      <c r="J700" s="641"/>
      <c r="K700" s="641"/>
      <c r="L700" s="73"/>
      <c r="M700" s="72"/>
      <c r="N700" s="72"/>
      <c r="O700" s="642"/>
      <c r="P700" s="642"/>
      <c r="Q700" s="74"/>
      <c r="R700" s="641"/>
      <c r="S700" s="641"/>
      <c r="T700" s="72"/>
      <c r="U700" s="72"/>
      <c r="V700" s="72"/>
      <c r="W700" s="72"/>
      <c r="X700" s="72"/>
      <c r="Y700" s="72"/>
      <c r="Z700" s="72"/>
      <c r="AA700" s="73"/>
      <c r="AB700" s="72"/>
      <c r="AC700" s="641"/>
      <c r="AD700" s="72"/>
      <c r="AE700" s="641"/>
      <c r="AF700" s="641"/>
      <c r="AG700" s="72"/>
      <c r="AH700" s="72"/>
      <c r="AI700" s="72"/>
      <c r="AJ700" s="72"/>
      <c r="AK700" s="72"/>
      <c r="AL700" s="72"/>
      <c r="AM700" s="72"/>
      <c r="AN700" s="73"/>
      <c r="AO700" s="641"/>
      <c r="AP700" s="641"/>
      <c r="AQ700" s="641"/>
      <c r="AR700" s="641"/>
      <c r="AS700" s="641"/>
      <c r="AT700" s="641"/>
      <c r="AU700" s="72"/>
      <c r="AV700" s="73"/>
      <c r="AW700" s="643"/>
      <c r="AX700" s="643"/>
      <c r="AY700" s="643"/>
      <c r="AZ700" s="75"/>
      <c r="BA700" s="75"/>
      <c r="BB700" s="75"/>
    </row>
    <row r="701" spans="2:54" s="560" customFormat="1" ht="16.5" customHeight="1">
      <c r="B701" s="72"/>
      <c r="C701" s="72"/>
      <c r="D701" s="72"/>
      <c r="E701" s="73"/>
      <c r="F701" s="641"/>
      <c r="G701" s="73"/>
      <c r="H701" s="641"/>
      <c r="I701" s="641"/>
      <c r="J701" s="641"/>
      <c r="K701" s="641"/>
      <c r="L701" s="73"/>
      <c r="M701" s="72"/>
      <c r="N701" s="72"/>
      <c r="O701" s="642"/>
      <c r="P701" s="642"/>
      <c r="Q701" s="74"/>
      <c r="R701" s="641"/>
      <c r="S701" s="641"/>
      <c r="T701" s="72"/>
      <c r="U701" s="72"/>
      <c r="V701" s="72"/>
      <c r="W701" s="72"/>
      <c r="X701" s="72"/>
      <c r="Y701" s="72"/>
      <c r="Z701" s="72"/>
      <c r="AA701" s="73"/>
      <c r="AB701" s="72"/>
      <c r="AC701" s="641"/>
      <c r="AD701" s="72"/>
      <c r="AE701" s="641"/>
      <c r="AF701" s="641"/>
      <c r="AG701" s="72"/>
      <c r="AH701" s="72"/>
      <c r="AI701" s="72"/>
      <c r="AJ701" s="72"/>
      <c r="AK701" s="72"/>
      <c r="AL701" s="72"/>
      <c r="AM701" s="72"/>
      <c r="AN701" s="73"/>
      <c r="AO701" s="641"/>
      <c r="AP701" s="641"/>
      <c r="AQ701" s="641"/>
      <c r="AR701" s="641"/>
      <c r="AS701" s="641"/>
      <c r="AT701" s="641"/>
      <c r="AU701" s="72"/>
      <c r="AV701" s="73"/>
      <c r="AW701" s="643"/>
      <c r="AX701" s="643"/>
      <c r="AY701" s="643"/>
      <c r="AZ701" s="75"/>
      <c r="BA701" s="75"/>
      <c r="BB701" s="75"/>
    </row>
    <row r="702" spans="2:54" s="560" customFormat="1" ht="16.5" customHeight="1">
      <c r="B702" s="72"/>
      <c r="C702" s="72"/>
      <c r="D702" s="72"/>
      <c r="E702" s="73"/>
      <c r="F702" s="641"/>
      <c r="G702" s="73"/>
      <c r="H702" s="641"/>
      <c r="I702" s="641"/>
      <c r="J702" s="641"/>
      <c r="K702" s="641"/>
      <c r="L702" s="73"/>
      <c r="M702" s="72"/>
      <c r="N702" s="72"/>
      <c r="O702" s="642"/>
      <c r="P702" s="642"/>
      <c r="Q702" s="74"/>
      <c r="R702" s="641"/>
      <c r="S702" s="641"/>
      <c r="T702" s="72"/>
      <c r="U702" s="72"/>
      <c r="V702" s="72"/>
      <c r="W702" s="72"/>
      <c r="X702" s="72"/>
      <c r="Y702" s="72"/>
      <c r="Z702" s="72"/>
      <c r="AA702" s="73"/>
      <c r="AB702" s="72"/>
      <c r="AC702" s="641"/>
      <c r="AD702" s="72"/>
      <c r="AE702" s="641"/>
      <c r="AF702" s="641"/>
      <c r="AG702" s="72"/>
      <c r="AH702" s="72"/>
      <c r="AI702" s="72"/>
      <c r="AJ702" s="72"/>
      <c r="AK702" s="72"/>
      <c r="AL702" s="72"/>
      <c r="AM702" s="72"/>
      <c r="AN702" s="73"/>
      <c r="AO702" s="641"/>
      <c r="AP702" s="641"/>
      <c r="AQ702" s="641"/>
      <c r="AR702" s="641"/>
      <c r="AS702" s="641"/>
      <c r="AT702" s="641"/>
      <c r="AU702" s="72"/>
      <c r="AV702" s="73"/>
      <c r="AW702" s="643"/>
      <c r="AX702" s="643"/>
      <c r="AY702" s="643"/>
      <c r="AZ702" s="75"/>
      <c r="BA702" s="75"/>
      <c r="BB702" s="75"/>
    </row>
    <row r="703" spans="2:54" s="560" customFormat="1" ht="16.5" customHeight="1">
      <c r="B703" s="72"/>
      <c r="C703" s="72"/>
      <c r="D703" s="72"/>
      <c r="E703" s="73"/>
      <c r="F703" s="641"/>
      <c r="G703" s="73"/>
      <c r="H703" s="641"/>
      <c r="I703" s="641"/>
      <c r="J703" s="641"/>
      <c r="K703" s="641"/>
      <c r="L703" s="73"/>
      <c r="M703" s="72"/>
      <c r="N703" s="72"/>
      <c r="O703" s="642"/>
      <c r="P703" s="642"/>
      <c r="Q703" s="74"/>
      <c r="R703" s="641"/>
      <c r="S703" s="641"/>
      <c r="T703" s="72"/>
      <c r="U703" s="72"/>
      <c r="V703" s="72"/>
      <c r="W703" s="72"/>
      <c r="X703" s="72"/>
      <c r="Y703" s="72"/>
      <c r="Z703" s="72"/>
      <c r="AA703" s="73"/>
      <c r="AB703" s="72"/>
      <c r="AC703" s="641"/>
      <c r="AD703" s="72"/>
      <c r="AE703" s="641"/>
      <c r="AF703" s="641"/>
      <c r="AG703" s="72"/>
      <c r="AH703" s="72"/>
      <c r="AI703" s="72"/>
      <c r="AJ703" s="72"/>
      <c r="AK703" s="72"/>
      <c r="AL703" s="72"/>
      <c r="AM703" s="72"/>
      <c r="AN703" s="73"/>
      <c r="AO703" s="641"/>
      <c r="AP703" s="641"/>
      <c r="AQ703" s="641"/>
      <c r="AR703" s="641"/>
      <c r="AS703" s="641"/>
      <c r="AT703" s="641"/>
      <c r="AU703" s="72"/>
      <c r="AV703" s="73"/>
      <c r="AW703" s="643"/>
      <c r="AX703" s="643"/>
      <c r="AY703" s="643"/>
      <c r="AZ703" s="75"/>
      <c r="BA703" s="75"/>
      <c r="BB703" s="75"/>
    </row>
    <row r="704" spans="2:54" s="560" customFormat="1" ht="16.5" customHeight="1">
      <c r="B704" s="72"/>
      <c r="C704" s="72"/>
      <c r="D704" s="72"/>
      <c r="E704" s="73"/>
      <c r="F704" s="641"/>
      <c r="G704" s="73"/>
      <c r="H704" s="641"/>
      <c r="I704" s="641"/>
      <c r="J704" s="641"/>
      <c r="K704" s="641"/>
      <c r="L704" s="73"/>
      <c r="M704" s="72"/>
      <c r="N704" s="72"/>
      <c r="O704" s="642"/>
      <c r="P704" s="642"/>
      <c r="Q704" s="74"/>
      <c r="R704" s="641"/>
      <c r="S704" s="641"/>
      <c r="T704" s="72"/>
      <c r="U704" s="72"/>
      <c r="V704" s="72"/>
      <c r="W704" s="72"/>
      <c r="X704" s="72"/>
      <c r="Y704" s="72"/>
      <c r="Z704" s="72"/>
      <c r="AA704" s="73"/>
      <c r="AB704" s="72"/>
      <c r="AC704" s="641"/>
      <c r="AD704" s="72"/>
      <c r="AE704" s="641"/>
      <c r="AF704" s="641"/>
      <c r="AG704" s="72"/>
      <c r="AH704" s="72"/>
      <c r="AI704" s="72"/>
      <c r="AJ704" s="72"/>
      <c r="AK704" s="72"/>
      <c r="AL704" s="72"/>
      <c r="AM704" s="72"/>
      <c r="AN704" s="73"/>
      <c r="AO704" s="641"/>
      <c r="AP704" s="641"/>
      <c r="AQ704" s="641"/>
      <c r="AR704" s="641"/>
      <c r="AS704" s="641"/>
      <c r="AT704" s="641"/>
      <c r="AU704" s="72"/>
      <c r="AV704" s="73"/>
      <c r="AW704" s="643"/>
      <c r="AX704" s="643"/>
      <c r="AY704" s="643"/>
      <c r="AZ704" s="75"/>
      <c r="BA704" s="75"/>
      <c r="BB704" s="75"/>
    </row>
    <row r="705" spans="2:54" s="560" customFormat="1" ht="16.5" customHeight="1">
      <c r="B705" s="72"/>
      <c r="C705" s="72"/>
      <c r="D705" s="72"/>
      <c r="E705" s="73"/>
      <c r="F705" s="641"/>
      <c r="G705" s="73"/>
      <c r="H705" s="641"/>
      <c r="I705" s="641"/>
      <c r="J705" s="641"/>
      <c r="K705" s="641"/>
      <c r="L705" s="73"/>
      <c r="M705" s="72"/>
      <c r="N705" s="72"/>
      <c r="O705" s="642"/>
      <c r="P705" s="642"/>
      <c r="Q705" s="74"/>
      <c r="R705" s="641"/>
      <c r="S705" s="641"/>
      <c r="T705" s="72"/>
      <c r="U705" s="72"/>
      <c r="V705" s="72"/>
      <c r="W705" s="72"/>
      <c r="X705" s="72"/>
      <c r="Y705" s="72"/>
      <c r="Z705" s="72"/>
      <c r="AA705" s="73"/>
      <c r="AB705" s="72"/>
      <c r="AC705" s="641"/>
      <c r="AD705" s="72"/>
      <c r="AE705" s="641"/>
      <c r="AF705" s="641"/>
      <c r="AG705" s="72"/>
      <c r="AH705" s="72"/>
      <c r="AI705" s="72"/>
      <c r="AJ705" s="72"/>
      <c r="AK705" s="72"/>
      <c r="AL705" s="72"/>
      <c r="AM705" s="72"/>
      <c r="AN705" s="73"/>
      <c r="AO705" s="641"/>
      <c r="AP705" s="641"/>
      <c r="AQ705" s="641"/>
      <c r="AR705" s="641"/>
      <c r="AS705" s="641"/>
      <c r="AT705" s="641"/>
      <c r="AU705" s="72"/>
      <c r="AV705" s="73"/>
      <c r="AW705" s="643"/>
      <c r="AX705" s="643"/>
      <c r="AY705" s="643"/>
      <c r="AZ705" s="75"/>
      <c r="BA705" s="75"/>
      <c r="BB705" s="75"/>
    </row>
    <row r="706" spans="2:54" s="560" customFormat="1" ht="16.5" customHeight="1">
      <c r="B706" s="72"/>
      <c r="C706" s="72"/>
      <c r="D706" s="72"/>
      <c r="E706" s="73"/>
      <c r="F706" s="641"/>
      <c r="G706" s="73"/>
      <c r="H706" s="641"/>
      <c r="I706" s="641"/>
      <c r="J706" s="641"/>
      <c r="K706" s="641"/>
      <c r="L706" s="73"/>
      <c r="M706" s="72"/>
      <c r="N706" s="72"/>
      <c r="O706" s="642"/>
      <c r="P706" s="642"/>
      <c r="Q706" s="74"/>
      <c r="R706" s="641"/>
      <c r="S706" s="641"/>
      <c r="T706" s="72"/>
      <c r="U706" s="72"/>
      <c r="V706" s="72"/>
      <c r="W706" s="72"/>
      <c r="X706" s="72"/>
      <c r="Y706" s="72"/>
      <c r="Z706" s="72"/>
      <c r="AA706" s="73"/>
      <c r="AB706" s="72"/>
      <c r="AC706" s="641"/>
      <c r="AD706" s="72"/>
      <c r="AE706" s="641"/>
      <c r="AF706" s="641"/>
      <c r="AG706" s="72"/>
      <c r="AH706" s="72"/>
      <c r="AI706" s="72"/>
      <c r="AJ706" s="72"/>
      <c r="AK706" s="72"/>
      <c r="AL706" s="72"/>
      <c r="AM706" s="72"/>
      <c r="AN706" s="73"/>
      <c r="AO706" s="641"/>
      <c r="AP706" s="641"/>
      <c r="AQ706" s="641"/>
      <c r="AR706" s="641"/>
      <c r="AS706" s="641"/>
      <c r="AT706" s="641"/>
      <c r="AU706" s="72"/>
      <c r="AV706" s="73"/>
      <c r="AW706" s="643"/>
      <c r="AX706" s="643"/>
      <c r="AY706" s="643"/>
      <c r="AZ706" s="75"/>
      <c r="BA706" s="75"/>
      <c r="BB706" s="75"/>
    </row>
    <row r="707" spans="2:54" s="560" customFormat="1" ht="16.5" customHeight="1">
      <c r="B707" s="72"/>
      <c r="C707" s="72"/>
      <c r="D707" s="72"/>
      <c r="E707" s="73"/>
      <c r="F707" s="641"/>
      <c r="G707" s="73"/>
      <c r="H707" s="641"/>
      <c r="I707" s="641"/>
      <c r="J707" s="641"/>
      <c r="K707" s="641"/>
      <c r="L707" s="73"/>
      <c r="M707" s="72"/>
      <c r="N707" s="72"/>
      <c r="O707" s="642"/>
      <c r="P707" s="642"/>
      <c r="Q707" s="74"/>
      <c r="R707" s="641"/>
      <c r="S707" s="641"/>
      <c r="T707" s="72"/>
      <c r="U707" s="72"/>
      <c r="V707" s="72"/>
      <c r="W707" s="72"/>
      <c r="X707" s="72"/>
      <c r="Y707" s="72"/>
      <c r="Z707" s="72"/>
      <c r="AA707" s="73"/>
      <c r="AB707" s="72"/>
      <c r="AC707" s="641"/>
      <c r="AD707" s="72"/>
      <c r="AE707" s="641"/>
      <c r="AF707" s="641"/>
      <c r="AG707" s="72"/>
      <c r="AH707" s="72"/>
      <c r="AI707" s="72"/>
      <c r="AJ707" s="72"/>
      <c r="AK707" s="72"/>
      <c r="AL707" s="72"/>
      <c r="AM707" s="72"/>
      <c r="AN707" s="73"/>
      <c r="AO707" s="641"/>
      <c r="AP707" s="641"/>
      <c r="AQ707" s="641"/>
      <c r="AR707" s="641"/>
      <c r="AS707" s="641"/>
      <c r="AT707" s="641"/>
      <c r="AU707" s="72"/>
      <c r="AV707" s="73"/>
      <c r="AW707" s="643"/>
      <c r="AX707" s="643"/>
      <c r="AY707" s="643"/>
      <c r="AZ707" s="75"/>
      <c r="BA707" s="75"/>
      <c r="BB707" s="75"/>
    </row>
    <row r="708" spans="2:54" s="560" customFormat="1" ht="16.5" customHeight="1">
      <c r="B708" s="72"/>
      <c r="C708" s="72"/>
      <c r="D708" s="72"/>
      <c r="E708" s="73"/>
      <c r="F708" s="641"/>
      <c r="G708" s="73"/>
      <c r="H708" s="641"/>
      <c r="I708" s="641"/>
      <c r="J708" s="641"/>
      <c r="K708" s="641"/>
      <c r="L708" s="73"/>
      <c r="M708" s="72"/>
      <c r="N708" s="72"/>
      <c r="O708" s="642"/>
      <c r="P708" s="642"/>
      <c r="Q708" s="74"/>
      <c r="R708" s="641"/>
      <c r="S708" s="641"/>
      <c r="T708" s="72"/>
      <c r="U708" s="72"/>
      <c r="V708" s="72"/>
      <c r="W708" s="72"/>
      <c r="X708" s="72"/>
      <c r="Y708" s="72"/>
      <c r="Z708" s="72"/>
      <c r="AA708" s="73"/>
      <c r="AB708" s="72"/>
      <c r="AC708" s="641"/>
      <c r="AD708" s="72"/>
      <c r="AE708" s="641"/>
      <c r="AF708" s="641"/>
      <c r="AG708" s="72"/>
      <c r="AH708" s="72"/>
      <c r="AI708" s="72"/>
      <c r="AJ708" s="72"/>
      <c r="AK708" s="72"/>
      <c r="AL708" s="72"/>
      <c r="AM708" s="72"/>
      <c r="AN708" s="73"/>
      <c r="AO708" s="641"/>
      <c r="AP708" s="641"/>
      <c r="AQ708" s="641"/>
      <c r="AR708" s="641"/>
      <c r="AS708" s="641"/>
      <c r="AT708" s="641"/>
      <c r="AU708" s="72"/>
      <c r="AV708" s="73"/>
      <c r="AW708" s="643"/>
      <c r="AX708" s="643"/>
      <c r="AY708" s="643"/>
      <c r="AZ708" s="75"/>
      <c r="BA708" s="75"/>
      <c r="BB708" s="75"/>
    </row>
    <row r="709" spans="2:54" s="560" customFormat="1" ht="16.5" customHeight="1">
      <c r="B709" s="72"/>
      <c r="C709" s="72"/>
      <c r="D709" s="72"/>
      <c r="E709" s="73"/>
      <c r="F709" s="641"/>
      <c r="G709" s="73"/>
      <c r="H709" s="641"/>
      <c r="I709" s="641"/>
      <c r="J709" s="641"/>
      <c r="K709" s="641"/>
      <c r="L709" s="73"/>
      <c r="M709" s="72"/>
      <c r="N709" s="72"/>
      <c r="O709" s="642"/>
      <c r="P709" s="642"/>
      <c r="Q709" s="74"/>
      <c r="R709" s="641"/>
      <c r="S709" s="641"/>
      <c r="T709" s="72"/>
      <c r="U709" s="72"/>
      <c r="V709" s="72"/>
      <c r="W709" s="72"/>
      <c r="X709" s="72"/>
      <c r="Y709" s="72"/>
      <c r="Z709" s="72"/>
      <c r="AA709" s="73"/>
      <c r="AB709" s="72"/>
      <c r="AC709" s="641"/>
      <c r="AD709" s="72"/>
      <c r="AE709" s="641"/>
      <c r="AF709" s="641"/>
      <c r="AG709" s="72"/>
      <c r="AH709" s="72"/>
      <c r="AI709" s="72"/>
      <c r="AJ709" s="72"/>
      <c r="AK709" s="72"/>
      <c r="AL709" s="72"/>
      <c r="AM709" s="72"/>
      <c r="AN709" s="73"/>
      <c r="AO709" s="641"/>
      <c r="AP709" s="641"/>
      <c r="AQ709" s="641"/>
      <c r="AR709" s="641"/>
      <c r="AS709" s="641"/>
      <c r="AT709" s="641"/>
      <c r="AU709" s="72"/>
      <c r="AV709" s="73"/>
      <c r="AW709" s="643"/>
      <c r="AX709" s="643"/>
      <c r="AY709" s="643"/>
      <c r="AZ709" s="75"/>
      <c r="BA709" s="75"/>
      <c r="BB709" s="75"/>
    </row>
    <row r="710" spans="2:54" s="560" customFormat="1" ht="16.5" customHeight="1">
      <c r="B710" s="72"/>
      <c r="C710" s="72"/>
      <c r="D710" s="72"/>
      <c r="E710" s="73"/>
      <c r="F710" s="641"/>
      <c r="G710" s="73"/>
      <c r="H710" s="641"/>
      <c r="I710" s="641"/>
      <c r="J710" s="641"/>
      <c r="K710" s="641"/>
      <c r="L710" s="73"/>
      <c r="M710" s="72"/>
      <c r="N710" s="72"/>
      <c r="O710" s="642"/>
      <c r="P710" s="642"/>
      <c r="Q710" s="74"/>
      <c r="R710" s="641"/>
      <c r="S710" s="641"/>
      <c r="T710" s="72"/>
      <c r="U710" s="72"/>
      <c r="V710" s="72"/>
      <c r="W710" s="72"/>
      <c r="X710" s="72"/>
      <c r="Y710" s="72"/>
      <c r="Z710" s="72"/>
      <c r="AA710" s="73"/>
      <c r="AB710" s="72"/>
      <c r="AC710" s="641"/>
      <c r="AD710" s="72"/>
      <c r="AE710" s="641"/>
      <c r="AF710" s="641"/>
      <c r="AG710" s="72"/>
      <c r="AH710" s="72"/>
      <c r="AI710" s="72"/>
      <c r="AJ710" s="72"/>
      <c r="AK710" s="72"/>
      <c r="AL710" s="72"/>
      <c r="AM710" s="72"/>
      <c r="AN710" s="73"/>
      <c r="AO710" s="641"/>
      <c r="AP710" s="641"/>
      <c r="AQ710" s="641"/>
      <c r="AR710" s="641"/>
      <c r="AS710" s="641"/>
      <c r="AT710" s="641"/>
      <c r="AU710" s="72"/>
      <c r="AV710" s="73"/>
      <c r="AW710" s="643"/>
      <c r="AX710" s="643"/>
      <c r="AY710" s="643"/>
      <c r="AZ710" s="75"/>
      <c r="BA710" s="75"/>
      <c r="BB710" s="75"/>
    </row>
    <row r="711" spans="2:54" s="560" customFormat="1" ht="16.5" customHeight="1">
      <c r="B711" s="72"/>
      <c r="C711" s="72"/>
      <c r="D711" s="72"/>
      <c r="E711" s="73"/>
      <c r="F711" s="641"/>
      <c r="G711" s="73"/>
      <c r="H711" s="641"/>
      <c r="I711" s="641"/>
      <c r="J711" s="641"/>
      <c r="K711" s="641"/>
      <c r="L711" s="73"/>
      <c r="M711" s="72"/>
      <c r="N711" s="72"/>
      <c r="O711" s="642"/>
      <c r="P711" s="642"/>
      <c r="Q711" s="74"/>
      <c r="R711" s="641"/>
      <c r="S711" s="641"/>
      <c r="T711" s="72"/>
      <c r="U711" s="72"/>
      <c r="V711" s="72"/>
      <c r="W711" s="72"/>
      <c r="X711" s="72"/>
      <c r="Y711" s="72"/>
      <c r="Z711" s="72"/>
      <c r="AA711" s="73"/>
      <c r="AB711" s="72"/>
      <c r="AC711" s="641"/>
      <c r="AD711" s="72"/>
      <c r="AE711" s="641"/>
      <c r="AF711" s="641"/>
      <c r="AG711" s="72"/>
      <c r="AH711" s="72"/>
      <c r="AI711" s="72"/>
      <c r="AJ711" s="72"/>
      <c r="AK711" s="72"/>
      <c r="AL711" s="72"/>
      <c r="AM711" s="72"/>
      <c r="AN711" s="73"/>
      <c r="AO711" s="641"/>
      <c r="AP711" s="641"/>
      <c r="AQ711" s="641"/>
      <c r="AR711" s="641"/>
      <c r="AS711" s="641"/>
      <c r="AT711" s="641"/>
      <c r="AU711" s="72"/>
      <c r="AV711" s="73"/>
      <c r="AW711" s="643"/>
      <c r="AX711" s="643"/>
      <c r="AY711" s="643"/>
      <c r="AZ711" s="75"/>
      <c r="BA711" s="75"/>
      <c r="BB711" s="75"/>
    </row>
    <row r="712" spans="2:54" s="560" customFormat="1" ht="16.5" customHeight="1">
      <c r="B712" s="72"/>
      <c r="C712" s="72"/>
      <c r="D712" s="72"/>
      <c r="E712" s="73"/>
      <c r="F712" s="641"/>
      <c r="G712" s="73"/>
      <c r="H712" s="641"/>
      <c r="I712" s="641"/>
      <c r="J712" s="641"/>
      <c r="K712" s="641"/>
      <c r="L712" s="73"/>
      <c r="M712" s="72"/>
      <c r="N712" s="72"/>
      <c r="O712" s="642"/>
      <c r="P712" s="642"/>
      <c r="Q712" s="74"/>
      <c r="R712" s="641"/>
      <c r="S712" s="641"/>
      <c r="T712" s="72"/>
      <c r="U712" s="72"/>
      <c r="V712" s="72"/>
      <c r="W712" s="72"/>
      <c r="X712" s="72"/>
      <c r="Y712" s="72"/>
      <c r="Z712" s="72"/>
      <c r="AA712" s="73"/>
      <c r="AB712" s="72"/>
      <c r="AC712" s="641"/>
      <c r="AD712" s="72"/>
      <c r="AE712" s="641"/>
      <c r="AF712" s="641"/>
      <c r="AG712" s="72"/>
      <c r="AH712" s="72"/>
      <c r="AI712" s="72"/>
      <c r="AJ712" s="72"/>
      <c r="AK712" s="72"/>
      <c r="AL712" s="72"/>
      <c r="AM712" s="72"/>
      <c r="AN712" s="73"/>
      <c r="AO712" s="641"/>
      <c r="AP712" s="641"/>
      <c r="AQ712" s="641"/>
      <c r="AR712" s="641"/>
      <c r="AS712" s="641"/>
      <c r="AT712" s="641"/>
      <c r="AU712" s="72"/>
      <c r="AV712" s="73"/>
      <c r="AW712" s="643"/>
      <c r="AX712" s="643"/>
      <c r="AY712" s="643"/>
      <c r="AZ712" s="75"/>
      <c r="BA712" s="75"/>
      <c r="BB712" s="75"/>
    </row>
    <row r="713" spans="2:54" s="560" customFormat="1" ht="16.5" customHeight="1">
      <c r="B713" s="72"/>
      <c r="C713" s="72"/>
      <c r="D713" s="72"/>
      <c r="E713" s="73"/>
      <c r="F713" s="641"/>
      <c r="G713" s="73"/>
      <c r="H713" s="641"/>
      <c r="I713" s="641"/>
      <c r="J713" s="641"/>
      <c r="K713" s="641"/>
      <c r="L713" s="73"/>
      <c r="M713" s="72"/>
      <c r="N713" s="72"/>
      <c r="O713" s="642"/>
      <c r="P713" s="642"/>
      <c r="Q713" s="74"/>
      <c r="R713" s="641"/>
      <c r="S713" s="641"/>
      <c r="T713" s="72"/>
      <c r="U713" s="72"/>
      <c r="V713" s="72"/>
      <c r="W713" s="72"/>
      <c r="X713" s="72"/>
      <c r="Y713" s="72"/>
      <c r="Z713" s="72"/>
      <c r="AA713" s="73"/>
      <c r="AB713" s="72"/>
      <c r="AC713" s="641"/>
      <c r="AD713" s="72"/>
      <c r="AE713" s="641"/>
      <c r="AF713" s="641"/>
      <c r="AG713" s="72"/>
      <c r="AH713" s="72"/>
      <c r="AI713" s="72"/>
      <c r="AJ713" s="72"/>
      <c r="AK713" s="72"/>
      <c r="AL713" s="72"/>
      <c r="AM713" s="72"/>
      <c r="AN713" s="73"/>
      <c r="AO713" s="641"/>
      <c r="AP713" s="641"/>
      <c r="AQ713" s="641"/>
      <c r="AR713" s="641"/>
      <c r="AS713" s="641"/>
      <c r="AT713" s="641"/>
      <c r="AU713" s="72"/>
      <c r="AV713" s="73"/>
      <c r="AW713" s="643"/>
      <c r="AX713" s="643"/>
      <c r="AY713" s="643"/>
      <c r="AZ713" s="75"/>
      <c r="BA713" s="75"/>
      <c r="BB713" s="75"/>
    </row>
    <row r="714" spans="2:54" s="560" customFormat="1" ht="16.5" customHeight="1">
      <c r="B714" s="72"/>
      <c r="C714" s="72"/>
      <c r="D714" s="72"/>
      <c r="E714" s="73"/>
      <c r="F714" s="641"/>
      <c r="G714" s="73"/>
      <c r="H714" s="641"/>
      <c r="I714" s="641"/>
      <c r="J714" s="641"/>
      <c r="K714" s="641"/>
      <c r="L714" s="73"/>
      <c r="M714" s="72"/>
      <c r="N714" s="72"/>
      <c r="O714" s="642"/>
      <c r="P714" s="642"/>
      <c r="Q714" s="74"/>
      <c r="R714" s="641"/>
      <c r="S714" s="641"/>
      <c r="T714" s="72"/>
      <c r="U714" s="72"/>
      <c r="V714" s="72"/>
      <c r="W714" s="72"/>
      <c r="X714" s="72"/>
      <c r="Y714" s="72"/>
      <c r="Z714" s="72"/>
      <c r="AA714" s="73"/>
      <c r="AB714" s="72"/>
      <c r="AC714" s="641"/>
      <c r="AD714" s="72"/>
      <c r="AE714" s="641"/>
      <c r="AF714" s="641"/>
      <c r="AG714" s="72"/>
      <c r="AH714" s="72"/>
      <c r="AI714" s="72"/>
      <c r="AJ714" s="72"/>
      <c r="AK714" s="72"/>
      <c r="AL714" s="72"/>
      <c r="AM714" s="72"/>
      <c r="AN714" s="73"/>
      <c r="AO714" s="641"/>
      <c r="AP714" s="641"/>
      <c r="AQ714" s="641"/>
      <c r="AR714" s="641"/>
      <c r="AS714" s="641"/>
      <c r="AT714" s="641"/>
      <c r="AU714" s="72"/>
      <c r="AV714" s="73"/>
      <c r="AW714" s="643"/>
      <c r="AX714" s="643"/>
      <c r="AY714" s="643"/>
      <c r="AZ714" s="75"/>
      <c r="BA714" s="75"/>
      <c r="BB714" s="75"/>
    </row>
    <row r="715" spans="2:54" s="560" customFormat="1" ht="16.5" customHeight="1">
      <c r="B715" s="72"/>
      <c r="C715" s="72"/>
      <c r="D715" s="72"/>
      <c r="E715" s="73"/>
      <c r="F715" s="641"/>
      <c r="G715" s="73"/>
      <c r="H715" s="641"/>
      <c r="I715" s="641"/>
      <c r="J715" s="641"/>
      <c r="K715" s="641"/>
      <c r="L715" s="73"/>
      <c r="M715" s="72"/>
      <c r="N715" s="72"/>
      <c r="O715" s="642"/>
      <c r="P715" s="642"/>
      <c r="Q715" s="74"/>
      <c r="R715" s="641"/>
      <c r="S715" s="641"/>
      <c r="T715" s="72"/>
      <c r="U715" s="72"/>
      <c r="V715" s="72"/>
      <c r="W715" s="72"/>
      <c r="X715" s="72"/>
      <c r="Y715" s="72"/>
      <c r="Z715" s="72"/>
      <c r="AA715" s="73"/>
      <c r="AB715" s="72"/>
      <c r="AC715" s="641"/>
      <c r="AD715" s="72"/>
      <c r="AE715" s="641"/>
      <c r="AF715" s="641"/>
      <c r="AG715" s="72"/>
      <c r="AH715" s="72"/>
      <c r="AI715" s="72"/>
      <c r="AJ715" s="72"/>
      <c r="AK715" s="72"/>
      <c r="AL715" s="72"/>
      <c r="AM715" s="72"/>
      <c r="AN715" s="73"/>
      <c r="AO715" s="641"/>
      <c r="AP715" s="641"/>
      <c r="AQ715" s="641"/>
      <c r="AR715" s="641"/>
      <c r="AS715" s="641"/>
      <c r="AT715" s="641"/>
      <c r="AU715" s="72"/>
      <c r="AV715" s="73"/>
      <c r="AW715" s="643"/>
      <c r="AX715" s="643"/>
      <c r="AY715" s="643"/>
      <c r="AZ715" s="75"/>
      <c r="BA715" s="75"/>
      <c r="BB715" s="75"/>
    </row>
    <row r="716" spans="2:54" s="560" customFormat="1" ht="16.5" customHeight="1">
      <c r="B716" s="72"/>
      <c r="C716" s="72"/>
      <c r="D716" s="72"/>
      <c r="E716" s="73"/>
      <c r="F716" s="641"/>
      <c r="G716" s="73"/>
      <c r="H716" s="641"/>
      <c r="I716" s="641"/>
      <c r="J716" s="641"/>
      <c r="K716" s="641"/>
      <c r="L716" s="73"/>
      <c r="M716" s="72"/>
      <c r="N716" s="72"/>
      <c r="O716" s="642"/>
      <c r="P716" s="642"/>
      <c r="Q716" s="74"/>
      <c r="R716" s="641"/>
      <c r="S716" s="641"/>
      <c r="T716" s="72"/>
      <c r="U716" s="72"/>
      <c r="V716" s="72"/>
      <c r="W716" s="72"/>
      <c r="X716" s="72"/>
      <c r="Y716" s="72"/>
      <c r="Z716" s="72"/>
      <c r="AA716" s="73"/>
      <c r="AB716" s="72"/>
      <c r="AC716" s="641"/>
      <c r="AD716" s="72"/>
      <c r="AE716" s="641"/>
      <c r="AF716" s="641"/>
      <c r="AG716" s="72"/>
      <c r="AH716" s="72"/>
      <c r="AI716" s="72"/>
      <c r="AJ716" s="72"/>
      <c r="AK716" s="72"/>
      <c r="AL716" s="72"/>
      <c r="AM716" s="72"/>
      <c r="AN716" s="73"/>
      <c r="AO716" s="641"/>
      <c r="AP716" s="641"/>
      <c r="AQ716" s="641"/>
      <c r="AR716" s="641"/>
      <c r="AS716" s="641"/>
      <c r="AT716" s="641"/>
      <c r="AU716" s="72"/>
      <c r="AV716" s="73"/>
      <c r="AW716" s="643"/>
      <c r="AX716" s="643"/>
      <c r="AY716" s="643"/>
      <c r="AZ716" s="75"/>
      <c r="BA716" s="75"/>
      <c r="BB716" s="75"/>
    </row>
    <row r="717" spans="2:54" s="560" customFormat="1" ht="16.5" customHeight="1">
      <c r="B717" s="72"/>
      <c r="C717" s="72"/>
      <c r="D717" s="72"/>
      <c r="E717" s="73"/>
      <c r="F717" s="641"/>
      <c r="G717" s="73"/>
      <c r="H717" s="641"/>
      <c r="I717" s="641"/>
      <c r="J717" s="641"/>
      <c r="K717" s="641"/>
      <c r="L717" s="73"/>
      <c r="M717" s="72"/>
      <c r="N717" s="72"/>
      <c r="O717" s="642"/>
      <c r="P717" s="642"/>
      <c r="Q717" s="74"/>
      <c r="R717" s="641"/>
      <c r="S717" s="641"/>
      <c r="T717" s="72"/>
      <c r="U717" s="72"/>
      <c r="V717" s="72"/>
      <c r="W717" s="72"/>
      <c r="X717" s="72"/>
      <c r="Y717" s="72"/>
      <c r="Z717" s="72"/>
      <c r="AA717" s="73"/>
      <c r="AB717" s="72"/>
      <c r="AC717" s="641"/>
      <c r="AD717" s="72"/>
      <c r="AE717" s="641"/>
      <c r="AF717" s="641"/>
      <c r="AG717" s="72"/>
      <c r="AH717" s="72"/>
      <c r="AI717" s="72"/>
      <c r="AJ717" s="72"/>
      <c r="AK717" s="72"/>
      <c r="AL717" s="72"/>
      <c r="AM717" s="72"/>
      <c r="AN717" s="73"/>
      <c r="AO717" s="641"/>
      <c r="AP717" s="641"/>
      <c r="AQ717" s="641"/>
      <c r="AR717" s="641"/>
      <c r="AS717" s="641"/>
      <c r="AT717" s="641"/>
      <c r="AU717" s="72"/>
      <c r="AV717" s="73"/>
      <c r="AW717" s="643"/>
      <c r="AX717" s="643"/>
      <c r="AY717" s="643"/>
      <c r="AZ717" s="75"/>
      <c r="BA717" s="75"/>
      <c r="BB717" s="75"/>
    </row>
    <row r="718" spans="2:54" s="560" customFormat="1" ht="16.5" customHeight="1">
      <c r="B718" s="72"/>
      <c r="C718" s="72"/>
      <c r="D718" s="72"/>
      <c r="E718" s="73"/>
      <c r="F718" s="641"/>
      <c r="G718" s="73"/>
      <c r="H718" s="641"/>
      <c r="I718" s="641"/>
      <c r="J718" s="641"/>
      <c r="K718" s="641"/>
      <c r="L718" s="73"/>
      <c r="M718" s="72"/>
      <c r="N718" s="72"/>
      <c r="O718" s="642"/>
      <c r="P718" s="642"/>
      <c r="Q718" s="74"/>
      <c r="R718" s="641"/>
      <c r="S718" s="641"/>
      <c r="T718" s="72"/>
      <c r="U718" s="72"/>
      <c r="V718" s="72"/>
      <c r="W718" s="72"/>
      <c r="X718" s="72"/>
      <c r="Y718" s="72"/>
      <c r="Z718" s="72"/>
      <c r="AA718" s="73"/>
      <c r="AB718" s="72"/>
      <c r="AC718" s="641"/>
      <c r="AD718" s="72"/>
      <c r="AE718" s="641"/>
      <c r="AF718" s="641"/>
      <c r="AG718" s="72"/>
      <c r="AH718" s="72"/>
      <c r="AI718" s="72"/>
      <c r="AJ718" s="72"/>
      <c r="AK718" s="72"/>
      <c r="AL718" s="72"/>
      <c r="AM718" s="72"/>
      <c r="AN718" s="73"/>
      <c r="AO718" s="641"/>
      <c r="AP718" s="641"/>
      <c r="AQ718" s="641"/>
      <c r="AR718" s="641"/>
      <c r="AS718" s="641"/>
      <c r="AT718" s="641"/>
      <c r="AU718" s="72"/>
      <c r="AV718" s="73"/>
      <c r="AW718" s="643"/>
      <c r="AX718" s="643"/>
      <c r="AY718" s="643"/>
      <c r="AZ718" s="75"/>
      <c r="BA718" s="75"/>
      <c r="BB718" s="75"/>
    </row>
    <row r="719" spans="2:54" s="560" customFormat="1" ht="16.5" customHeight="1">
      <c r="B719" s="72"/>
      <c r="C719" s="72"/>
      <c r="D719" s="72"/>
      <c r="E719" s="73"/>
      <c r="F719" s="641"/>
      <c r="G719" s="73"/>
      <c r="H719" s="641"/>
      <c r="I719" s="641"/>
      <c r="J719" s="641"/>
      <c r="K719" s="641"/>
      <c r="L719" s="73"/>
      <c r="M719" s="72"/>
      <c r="N719" s="72"/>
      <c r="O719" s="642"/>
      <c r="P719" s="642"/>
      <c r="Q719" s="74"/>
      <c r="R719" s="641"/>
      <c r="S719" s="641"/>
      <c r="T719" s="72"/>
      <c r="U719" s="72"/>
      <c r="V719" s="72"/>
      <c r="W719" s="72"/>
      <c r="X719" s="72"/>
      <c r="Y719" s="72"/>
      <c r="Z719" s="72"/>
      <c r="AA719" s="73"/>
      <c r="AB719" s="72"/>
      <c r="AC719" s="641"/>
      <c r="AD719" s="72"/>
      <c r="AE719" s="641"/>
      <c r="AF719" s="641"/>
      <c r="AG719" s="72"/>
      <c r="AH719" s="72"/>
      <c r="AI719" s="72"/>
      <c r="AJ719" s="72"/>
      <c r="AK719" s="72"/>
      <c r="AL719" s="72"/>
      <c r="AM719" s="72"/>
      <c r="AN719" s="73"/>
      <c r="AO719" s="641"/>
      <c r="AP719" s="641"/>
      <c r="AQ719" s="641"/>
      <c r="AR719" s="641"/>
      <c r="AS719" s="641"/>
      <c r="AT719" s="641"/>
      <c r="AU719" s="72"/>
      <c r="AV719" s="73"/>
      <c r="AW719" s="643"/>
      <c r="AX719" s="643"/>
      <c r="AY719" s="643"/>
      <c r="AZ719" s="75"/>
      <c r="BA719" s="75"/>
      <c r="BB719" s="75"/>
    </row>
    <row r="720" spans="2:54" s="560" customFormat="1" ht="16.5" customHeight="1">
      <c r="B720" s="72"/>
      <c r="C720" s="72"/>
      <c r="D720" s="72"/>
      <c r="E720" s="73"/>
      <c r="F720" s="641"/>
      <c r="G720" s="73"/>
      <c r="H720" s="641"/>
      <c r="I720" s="641"/>
      <c r="J720" s="641"/>
      <c r="K720" s="641"/>
      <c r="L720" s="73"/>
      <c r="M720" s="72"/>
      <c r="N720" s="72"/>
      <c r="O720" s="642"/>
      <c r="P720" s="642"/>
      <c r="Q720" s="74"/>
      <c r="R720" s="641"/>
      <c r="S720" s="641"/>
      <c r="T720" s="72"/>
      <c r="U720" s="72"/>
      <c r="V720" s="72"/>
      <c r="W720" s="72"/>
      <c r="X720" s="72"/>
      <c r="Y720" s="72"/>
      <c r="Z720" s="72"/>
      <c r="AA720" s="73"/>
      <c r="AB720" s="72"/>
      <c r="AC720" s="641"/>
      <c r="AD720" s="72"/>
      <c r="AE720" s="641"/>
      <c r="AF720" s="641"/>
      <c r="AG720" s="72"/>
      <c r="AH720" s="72"/>
      <c r="AI720" s="72"/>
      <c r="AJ720" s="72"/>
      <c r="AK720" s="72"/>
      <c r="AL720" s="72"/>
      <c r="AM720" s="72"/>
      <c r="AN720" s="73"/>
      <c r="AO720" s="641"/>
      <c r="AP720" s="641"/>
      <c r="AQ720" s="641"/>
      <c r="AR720" s="641"/>
      <c r="AS720" s="641"/>
      <c r="AT720" s="641"/>
      <c r="AU720" s="72"/>
      <c r="AV720" s="73"/>
      <c r="AW720" s="643"/>
      <c r="AX720" s="643"/>
      <c r="AY720" s="643"/>
      <c r="AZ720" s="75"/>
      <c r="BA720" s="75"/>
      <c r="BB720" s="75"/>
    </row>
    <row r="721" spans="2:54" s="560" customFormat="1" ht="16.5" customHeight="1">
      <c r="B721" s="72"/>
      <c r="C721" s="72"/>
      <c r="D721" s="72"/>
      <c r="E721" s="73"/>
      <c r="F721" s="641"/>
      <c r="G721" s="73"/>
      <c r="H721" s="641"/>
      <c r="I721" s="641"/>
      <c r="J721" s="641"/>
      <c r="K721" s="641"/>
      <c r="L721" s="73"/>
      <c r="M721" s="72"/>
      <c r="N721" s="72"/>
      <c r="O721" s="642"/>
      <c r="P721" s="642"/>
      <c r="Q721" s="74"/>
      <c r="R721" s="641"/>
      <c r="S721" s="641"/>
      <c r="T721" s="72"/>
      <c r="U721" s="72"/>
      <c r="V721" s="72"/>
      <c r="W721" s="72"/>
      <c r="X721" s="72"/>
      <c r="Y721" s="72"/>
      <c r="Z721" s="72"/>
      <c r="AA721" s="73"/>
      <c r="AB721" s="72"/>
      <c r="AC721" s="641"/>
      <c r="AD721" s="72"/>
      <c r="AE721" s="641"/>
      <c r="AF721" s="641"/>
      <c r="AG721" s="72"/>
      <c r="AH721" s="72"/>
      <c r="AI721" s="72"/>
      <c r="AJ721" s="72"/>
      <c r="AK721" s="72"/>
      <c r="AL721" s="72"/>
      <c r="AM721" s="72"/>
      <c r="AN721" s="73"/>
      <c r="AO721" s="641"/>
      <c r="AP721" s="641"/>
      <c r="AQ721" s="641"/>
      <c r="AR721" s="641"/>
      <c r="AS721" s="641"/>
      <c r="AT721" s="641"/>
      <c r="AU721" s="72"/>
      <c r="AV721" s="73"/>
      <c r="AW721" s="643"/>
      <c r="AX721" s="643"/>
      <c r="AY721" s="643"/>
      <c r="AZ721" s="75"/>
      <c r="BA721" s="75"/>
      <c r="BB721" s="75"/>
    </row>
    <row r="722" spans="2:54" s="560" customFormat="1" ht="16.5" customHeight="1">
      <c r="B722" s="72"/>
      <c r="C722" s="72"/>
      <c r="D722" s="72"/>
      <c r="E722" s="73"/>
      <c r="F722" s="641"/>
      <c r="G722" s="73"/>
      <c r="H722" s="641"/>
      <c r="I722" s="641"/>
      <c r="J722" s="641"/>
      <c r="K722" s="641"/>
      <c r="L722" s="73"/>
      <c r="M722" s="72"/>
      <c r="N722" s="72"/>
      <c r="O722" s="642"/>
      <c r="P722" s="642"/>
      <c r="Q722" s="74"/>
      <c r="R722" s="641"/>
      <c r="S722" s="641"/>
      <c r="T722" s="72"/>
      <c r="U722" s="72"/>
      <c r="V722" s="72"/>
      <c r="W722" s="72"/>
      <c r="X722" s="72"/>
      <c r="Y722" s="72"/>
      <c r="Z722" s="72"/>
      <c r="AA722" s="73"/>
      <c r="AB722" s="72"/>
      <c r="AC722" s="641"/>
      <c r="AD722" s="72"/>
      <c r="AE722" s="641"/>
      <c r="AF722" s="641"/>
      <c r="AG722" s="72"/>
      <c r="AH722" s="72"/>
      <c r="AI722" s="72"/>
      <c r="AJ722" s="72"/>
      <c r="AK722" s="72"/>
      <c r="AL722" s="72"/>
      <c r="AM722" s="72"/>
      <c r="AN722" s="73"/>
      <c r="AO722" s="641"/>
      <c r="AP722" s="641"/>
      <c r="AQ722" s="641"/>
      <c r="AR722" s="641"/>
      <c r="AS722" s="641"/>
      <c r="AT722" s="641"/>
      <c r="AU722" s="72"/>
      <c r="AV722" s="73"/>
      <c r="AW722" s="643"/>
      <c r="AX722" s="643"/>
      <c r="AY722" s="643"/>
      <c r="AZ722" s="75"/>
      <c r="BA722" s="75"/>
      <c r="BB722" s="75"/>
    </row>
    <row r="723" spans="2:54" s="560" customFormat="1" ht="16.5" customHeight="1">
      <c r="B723" s="72"/>
      <c r="C723" s="72"/>
      <c r="D723" s="72"/>
      <c r="E723" s="73"/>
      <c r="F723" s="641"/>
      <c r="G723" s="73"/>
      <c r="H723" s="641"/>
      <c r="I723" s="641"/>
      <c r="J723" s="641"/>
      <c r="K723" s="641"/>
      <c r="L723" s="73"/>
      <c r="M723" s="72"/>
      <c r="N723" s="72"/>
      <c r="O723" s="642"/>
      <c r="P723" s="642"/>
      <c r="Q723" s="74"/>
      <c r="R723" s="641"/>
      <c r="S723" s="641"/>
      <c r="T723" s="72"/>
      <c r="U723" s="72"/>
      <c r="V723" s="72"/>
      <c r="W723" s="72"/>
      <c r="X723" s="72"/>
      <c r="Y723" s="72"/>
      <c r="Z723" s="72"/>
      <c r="AA723" s="73"/>
      <c r="AB723" s="72"/>
      <c r="AC723" s="641"/>
      <c r="AD723" s="72"/>
      <c r="AE723" s="641"/>
      <c r="AF723" s="641"/>
      <c r="AG723" s="72"/>
      <c r="AH723" s="72"/>
      <c r="AI723" s="72"/>
      <c r="AJ723" s="72"/>
      <c r="AK723" s="72"/>
      <c r="AL723" s="72"/>
      <c r="AM723" s="72"/>
      <c r="AN723" s="73"/>
      <c r="AO723" s="641"/>
      <c r="AP723" s="641"/>
      <c r="AQ723" s="641"/>
      <c r="AR723" s="641"/>
      <c r="AS723" s="641"/>
      <c r="AT723" s="641"/>
      <c r="AU723" s="72"/>
      <c r="AV723" s="73"/>
      <c r="AW723" s="643"/>
      <c r="AX723" s="643"/>
      <c r="AY723" s="643"/>
      <c r="AZ723" s="75"/>
      <c r="BA723" s="75"/>
      <c r="BB723" s="75"/>
    </row>
    <row r="724" spans="2:54" s="560" customFormat="1" ht="16.5" customHeight="1">
      <c r="B724" s="72"/>
      <c r="C724" s="72"/>
      <c r="D724" s="72"/>
      <c r="E724" s="73"/>
      <c r="F724" s="641"/>
      <c r="G724" s="73"/>
      <c r="H724" s="641"/>
      <c r="I724" s="641"/>
      <c r="J724" s="641"/>
      <c r="K724" s="641"/>
      <c r="L724" s="73"/>
      <c r="M724" s="72"/>
      <c r="N724" s="72"/>
      <c r="O724" s="642"/>
      <c r="P724" s="642"/>
      <c r="Q724" s="74"/>
      <c r="R724" s="641"/>
      <c r="S724" s="641"/>
      <c r="T724" s="72"/>
      <c r="U724" s="72"/>
      <c r="V724" s="72"/>
      <c r="W724" s="72"/>
      <c r="X724" s="72"/>
      <c r="Y724" s="72"/>
      <c r="Z724" s="72"/>
      <c r="AA724" s="73"/>
      <c r="AB724" s="72"/>
      <c r="AC724" s="641"/>
      <c r="AD724" s="72"/>
      <c r="AE724" s="641"/>
      <c r="AF724" s="641"/>
      <c r="AG724" s="72"/>
      <c r="AH724" s="72"/>
      <c r="AI724" s="72"/>
      <c r="AJ724" s="72"/>
      <c r="AK724" s="72"/>
      <c r="AL724" s="72"/>
      <c r="AM724" s="72"/>
      <c r="AN724" s="73"/>
      <c r="AO724" s="641"/>
      <c r="AP724" s="641"/>
      <c r="AQ724" s="641"/>
      <c r="AR724" s="641"/>
      <c r="AS724" s="641"/>
      <c r="AT724" s="641"/>
      <c r="AU724" s="72"/>
      <c r="AV724" s="73"/>
      <c r="AW724" s="643"/>
      <c r="AX724" s="643"/>
      <c r="AY724" s="643"/>
      <c r="AZ724" s="75"/>
      <c r="BA724" s="75"/>
      <c r="BB724" s="75"/>
    </row>
    <row r="725" spans="2:54" s="560" customFormat="1" ht="16.5" customHeight="1">
      <c r="B725" s="72"/>
      <c r="C725" s="72"/>
      <c r="D725" s="72"/>
      <c r="E725" s="73"/>
      <c r="F725" s="641"/>
      <c r="G725" s="73"/>
      <c r="H725" s="641"/>
      <c r="I725" s="641"/>
      <c r="J725" s="641"/>
      <c r="K725" s="641"/>
      <c r="L725" s="73"/>
      <c r="M725" s="72"/>
      <c r="N725" s="72"/>
      <c r="O725" s="642"/>
      <c r="P725" s="642"/>
      <c r="Q725" s="74"/>
      <c r="R725" s="641"/>
      <c r="S725" s="641"/>
      <c r="T725" s="72"/>
      <c r="U725" s="72"/>
      <c r="V725" s="72"/>
      <c r="W725" s="72"/>
      <c r="X725" s="72"/>
      <c r="Y725" s="72"/>
      <c r="Z725" s="72"/>
      <c r="AA725" s="73"/>
      <c r="AB725" s="72"/>
      <c r="AC725" s="641"/>
      <c r="AD725" s="72"/>
      <c r="AE725" s="641"/>
      <c r="AF725" s="641"/>
      <c r="AG725" s="72"/>
      <c r="AH725" s="72"/>
      <c r="AI725" s="72"/>
      <c r="AJ725" s="72"/>
      <c r="AK725" s="72"/>
      <c r="AL725" s="72"/>
      <c r="AM725" s="72"/>
      <c r="AN725" s="73"/>
      <c r="AO725" s="641"/>
      <c r="AP725" s="641"/>
      <c r="AQ725" s="641"/>
      <c r="AR725" s="641"/>
      <c r="AS725" s="641"/>
      <c r="AT725" s="641"/>
      <c r="AU725" s="72"/>
      <c r="AV725" s="73"/>
      <c r="AW725" s="643"/>
      <c r="AX725" s="643"/>
      <c r="AY725" s="643"/>
      <c r="AZ725" s="75"/>
      <c r="BA725" s="75"/>
      <c r="BB725" s="75"/>
    </row>
    <row r="726" spans="2:54" s="560" customFormat="1" ht="16.5" customHeight="1">
      <c r="B726" s="72"/>
      <c r="C726" s="72"/>
      <c r="D726" s="72"/>
      <c r="E726" s="73"/>
      <c r="F726" s="641"/>
      <c r="G726" s="73"/>
      <c r="H726" s="641"/>
      <c r="I726" s="641"/>
      <c r="J726" s="641"/>
      <c r="K726" s="641"/>
      <c r="L726" s="73"/>
      <c r="M726" s="72"/>
      <c r="N726" s="72"/>
      <c r="O726" s="642"/>
      <c r="P726" s="642"/>
      <c r="Q726" s="74"/>
      <c r="R726" s="641"/>
      <c r="S726" s="641"/>
      <c r="T726" s="72"/>
      <c r="U726" s="72"/>
      <c r="V726" s="72"/>
      <c r="W726" s="72"/>
      <c r="X726" s="72"/>
      <c r="Y726" s="72"/>
      <c r="Z726" s="72"/>
      <c r="AA726" s="73"/>
      <c r="AB726" s="72"/>
      <c r="AC726" s="641"/>
      <c r="AD726" s="72"/>
      <c r="AE726" s="641"/>
      <c r="AF726" s="641"/>
      <c r="AG726" s="72"/>
      <c r="AH726" s="72"/>
      <c r="AI726" s="72"/>
      <c r="AJ726" s="72"/>
      <c r="AK726" s="72"/>
      <c r="AL726" s="72"/>
      <c r="AM726" s="72"/>
      <c r="AN726" s="73"/>
      <c r="AO726" s="641"/>
      <c r="AP726" s="641"/>
      <c r="AQ726" s="641"/>
      <c r="AR726" s="641"/>
      <c r="AS726" s="641"/>
      <c r="AT726" s="641"/>
      <c r="AU726" s="72"/>
      <c r="AV726" s="73"/>
      <c r="AW726" s="643"/>
      <c r="AX726" s="643"/>
      <c r="AY726" s="643"/>
      <c r="AZ726" s="75"/>
      <c r="BA726" s="75"/>
      <c r="BB726" s="75"/>
    </row>
    <row r="727" spans="2:54" s="560" customFormat="1" ht="16.5" customHeight="1">
      <c r="B727" s="72"/>
      <c r="C727" s="72"/>
      <c r="D727" s="72"/>
      <c r="E727" s="73"/>
      <c r="F727" s="641"/>
      <c r="G727" s="73"/>
      <c r="H727" s="641"/>
      <c r="I727" s="641"/>
      <c r="J727" s="641"/>
      <c r="K727" s="641"/>
      <c r="L727" s="73"/>
      <c r="M727" s="72"/>
      <c r="N727" s="72"/>
      <c r="O727" s="642"/>
      <c r="P727" s="642"/>
      <c r="Q727" s="74"/>
      <c r="R727" s="641"/>
      <c r="S727" s="641"/>
      <c r="T727" s="72"/>
      <c r="U727" s="72"/>
      <c r="V727" s="72"/>
      <c r="W727" s="72"/>
      <c r="X727" s="72"/>
      <c r="Y727" s="72"/>
      <c r="Z727" s="72"/>
      <c r="AA727" s="73"/>
      <c r="AB727" s="72"/>
      <c r="AC727" s="641"/>
      <c r="AD727" s="72"/>
      <c r="AE727" s="641"/>
      <c r="AF727" s="641"/>
      <c r="AG727" s="72"/>
      <c r="AH727" s="72"/>
      <c r="AI727" s="72"/>
      <c r="AJ727" s="72"/>
      <c r="AK727" s="72"/>
      <c r="AL727" s="72"/>
      <c r="AM727" s="72"/>
      <c r="AN727" s="73"/>
      <c r="AO727" s="641"/>
      <c r="AP727" s="641"/>
      <c r="AQ727" s="641"/>
      <c r="AR727" s="641"/>
      <c r="AS727" s="641"/>
      <c r="AT727" s="641"/>
      <c r="AU727" s="72"/>
      <c r="AV727" s="73"/>
      <c r="AW727" s="643"/>
      <c r="AX727" s="643"/>
      <c r="AY727" s="643"/>
      <c r="AZ727" s="75"/>
      <c r="BA727" s="75"/>
      <c r="BB727" s="75"/>
    </row>
    <row r="728" spans="2:54" s="560" customFormat="1" ht="16.5" customHeight="1">
      <c r="B728" s="72"/>
      <c r="C728" s="72"/>
      <c r="D728" s="72"/>
      <c r="E728" s="73"/>
      <c r="F728" s="641"/>
      <c r="G728" s="73"/>
      <c r="H728" s="641"/>
      <c r="I728" s="641"/>
      <c r="J728" s="641"/>
      <c r="K728" s="641"/>
      <c r="L728" s="73"/>
      <c r="M728" s="72"/>
      <c r="N728" s="72"/>
      <c r="O728" s="642"/>
      <c r="P728" s="642"/>
      <c r="Q728" s="74"/>
      <c r="R728" s="641"/>
      <c r="S728" s="641"/>
      <c r="T728" s="72"/>
      <c r="U728" s="72"/>
      <c r="V728" s="72"/>
      <c r="W728" s="72"/>
      <c r="X728" s="72"/>
      <c r="Y728" s="72"/>
      <c r="Z728" s="72"/>
      <c r="AA728" s="73"/>
      <c r="AB728" s="72"/>
      <c r="AC728" s="641"/>
      <c r="AD728" s="72"/>
      <c r="AE728" s="641"/>
      <c r="AF728" s="641"/>
      <c r="AG728" s="72"/>
      <c r="AH728" s="72"/>
      <c r="AI728" s="72"/>
      <c r="AJ728" s="72"/>
      <c r="AK728" s="72"/>
      <c r="AL728" s="72"/>
      <c r="AM728" s="72"/>
      <c r="AN728" s="73"/>
      <c r="AO728" s="641"/>
      <c r="AP728" s="641"/>
      <c r="AQ728" s="641"/>
      <c r="AR728" s="641"/>
      <c r="AS728" s="641"/>
      <c r="AT728" s="641"/>
      <c r="AU728" s="72"/>
      <c r="AV728" s="73"/>
      <c r="AW728" s="643"/>
      <c r="AX728" s="643"/>
      <c r="AY728" s="643"/>
      <c r="AZ728" s="75"/>
      <c r="BA728" s="75"/>
      <c r="BB728" s="75"/>
    </row>
    <row r="729" spans="2:54" s="560" customFormat="1" ht="16.5" customHeight="1">
      <c r="B729" s="72"/>
      <c r="C729" s="72"/>
      <c r="D729" s="72"/>
      <c r="E729" s="73"/>
      <c r="F729" s="641"/>
      <c r="G729" s="73"/>
      <c r="H729" s="641"/>
      <c r="I729" s="641"/>
      <c r="J729" s="641"/>
      <c r="K729" s="641"/>
      <c r="L729" s="73"/>
      <c r="M729" s="72"/>
      <c r="N729" s="72"/>
      <c r="O729" s="642"/>
      <c r="P729" s="642"/>
      <c r="Q729" s="74"/>
      <c r="R729" s="641"/>
      <c r="S729" s="641"/>
      <c r="T729" s="72"/>
      <c r="U729" s="72"/>
      <c r="V729" s="72"/>
      <c r="W729" s="72"/>
      <c r="X729" s="72"/>
      <c r="Y729" s="72"/>
      <c r="Z729" s="72"/>
      <c r="AA729" s="73"/>
      <c r="AB729" s="72"/>
      <c r="AC729" s="641"/>
      <c r="AD729" s="72"/>
      <c r="AE729" s="641"/>
      <c r="AF729" s="641"/>
      <c r="AG729" s="72"/>
      <c r="AH729" s="72"/>
      <c r="AI729" s="72"/>
      <c r="AJ729" s="72"/>
      <c r="AK729" s="72"/>
      <c r="AL729" s="72"/>
      <c r="AM729" s="72"/>
      <c r="AN729" s="73"/>
      <c r="AO729" s="641"/>
      <c r="AP729" s="641"/>
      <c r="AQ729" s="641"/>
      <c r="AR729" s="641"/>
      <c r="AS729" s="641"/>
      <c r="AT729" s="641"/>
      <c r="AU729" s="72"/>
      <c r="AV729" s="73"/>
      <c r="AW729" s="643"/>
      <c r="AX729" s="643"/>
      <c r="AY729" s="643"/>
      <c r="AZ729" s="75"/>
      <c r="BA729" s="75"/>
      <c r="BB729" s="75"/>
    </row>
    <row r="730" spans="2:54" s="560" customFormat="1" ht="16.5" customHeight="1">
      <c r="B730" s="72"/>
      <c r="C730" s="72"/>
      <c r="D730" s="72"/>
      <c r="E730" s="73"/>
      <c r="F730" s="641"/>
      <c r="G730" s="73"/>
      <c r="H730" s="641"/>
      <c r="I730" s="641"/>
      <c r="J730" s="641"/>
      <c r="K730" s="641"/>
      <c r="L730" s="73"/>
      <c r="M730" s="72"/>
      <c r="N730" s="72"/>
      <c r="O730" s="642"/>
      <c r="P730" s="642"/>
      <c r="Q730" s="74"/>
      <c r="R730" s="641"/>
      <c r="S730" s="641"/>
      <c r="T730" s="72"/>
      <c r="U730" s="72"/>
      <c r="V730" s="72"/>
      <c r="W730" s="72"/>
      <c r="X730" s="72"/>
      <c r="Y730" s="72"/>
      <c r="Z730" s="72"/>
      <c r="AA730" s="73"/>
      <c r="AB730" s="72"/>
      <c r="AC730" s="641"/>
      <c r="AD730" s="72"/>
      <c r="AE730" s="641"/>
      <c r="AF730" s="641"/>
      <c r="AG730" s="72"/>
      <c r="AH730" s="72"/>
      <c r="AI730" s="72"/>
      <c r="AJ730" s="72"/>
      <c r="AK730" s="72"/>
      <c r="AL730" s="72"/>
      <c r="AM730" s="72"/>
      <c r="AN730" s="73"/>
      <c r="AO730" s="641"/>
      <c r="AP730" s="641"/>
      <c r="AQ730" s="641"/>
      <c r="AR730" s="641"/>
      <c r="AS730" s="641"/>
      <c r="AT730" s="641"/>
      <c r="AU730" s="72"/>
      <c r="AV730" s="73"/>
      <c r="AW730" s="643"/>
      <c r="AX730" s="643"/>
      <c r="AY730" s="643"/>
      <c r="AZ730" s="75"/>
      <c r="BA730" s="75"/>
      <c r="BB730" s="75"/>
    </row>
    <row r="731" spans="2:54" s="560" customFormat="1" ht="16.5" customHeight="1">
      <c r="B731" s="72"/>
      <c r="C731" s="72"/>
      <c r="D731" s="72"/>
      <c r="E731" s="73"/>
      <c r="F731" s="641"/>
      <c r="G731" s="73"/>
      <c r="H731" s="641"/>
      <c r="I731" s="641"/>
      <c r="J731" s="641"/>
      <c r="K731" s="641"/>
      <c r="L731" s="73"/>
      <c r="M731" s="72"/>
      <c r="N731" s="72"/>
      <c r="O731" s="642"/>
      <c r="P731" s="642"/>
      <c r="Q731" s="74"/>
      <c r="R731" s="641"/>
      <c r="S731" s="641"/>
      <c r="T731" s="72"/>
      <c r="U731" s="72"/>
      <c r="V731" s="72"/>
      <c r="W731" s="72"/>
      <c r="X731" s="72"/>
      <c r="Y731" s="72"/>
      <c r="Z731" s="72"/>
      <c r="AA731" s="73"/>
      <c r="AB731" s="72"/>
      <c r="AC731" s="641"/>
      <c r="AD731" s="72"/>
      <c r="AE731" s="641"/>
      <c r="AF731" s="641"/>
      <c r="AG731" s="72"/>
      <c r="AH731" s="72"/>
      <c r="AI731" s="72"/>
      <c r="AJ731" s="72"/>
      <c r="AK731" s="72"/>
      <c r="AL731" s="72"/>
      <c r="AM731" s="72"/>
      <c r="AN731" s="73"/>
      <c r="AO731" s="641"/>
      <c r="AP731" s="641"/>
      <c r="AQ731" s="641"/>
      <c r="AR731" s="641"/>
      <c r="AS731" s="641"/>
      <c r="AT731" s="641"/>
      <c r="AU731" s="72"/>
      <c r="AV731" s="73"/>
      <c r="AW731" s="643"/>
      <c r="AX731" s="643"/>
      <c r="AY731" s="643"/>
      <c r="AZ731" s="75"/>
      <c r="BA731" s="75"/>
      <c r="BB731" s="75"/>
    </row>
    <row r="732" spans="2:54" s="560" customFormat="1" ht="16.5" customHeight="1">
      <c r="B732" s="72"/>
      <c r="C732" s="72"/>
      <c r="D732" s="72"/>
      <c r="E732" s="73"/>
      <c r="F732" s="641"/>
      <c r="G732" s="73"/>
      <c r="H732" s="641"/>
      <c r="I732" s="641"/>
      <c r="J732" s="641"/>
      <c r="K732" s="641"/>
      <c r="L732" s="73"/>
      <c r="M732" s="72"/>
      <c r="N732" s="72"/>
      <c r="O732" s="642"/>
      <c r="P732" s="642"/>
      <c r="Q732" s="74"/>
      <c r="R732" s="641"/>
      <c r="S732" s="641"/>
      <c r="T732" s="72"/>
      <c r="U732" s="72"/>
      <c r="V732" s="72"/>
      <c r="W732" s="72"/>
      <c r="X732" s="72"/>
      <c r="Y732" s="72"/>
      <c r="Z732" s="72"/>
      <c r="AA732" s="73"/>
      <c r="AB732" s="72"/>
      <c r="AC732" s="641"/>
      <c r="AD732" s="72"/>
      <c r="AE732" s="641"/>
      <c r="AF732" s="641"/>
      <c r="AG732" s="72"/>
      <c r="AH732" s="72"/>
      <c r="AI732" s="72"/>
      <c r="AJ732" s="72"/>
      <c r="AK732" s="72"/>
      <c r="AL732" s="72"/>
      <c r="AM732" s="72"/>
      <c r="AN732" s="73"/>
      <c r="AO732" s="641"/>
      <c r="AP732" s="641"/>
      <c r="AQ732" s="641"/>
      <c r="AR732" s="641"/>
      <c r="AS732" s="641"/>
      <c r="AT732" s="641"/>
      <c r="AU732" s="72"/>
      <c r="AV732" s="73"/>
      <c r="AW732" s="643"/>
      <c r="AX732" s="643"/>
      <c r="AY732" s="643"/>
      <c r="AZ732" s="75"/>
      <c r="BA732" s="75"/>
      <c r="BB732" s="75"/>
    </row>
    <row r="733" spans="2:54" s="560" customFormat="1" ht="16.5" customHeight="1">
      <c r="B733" s="72"/>
      <c r="C733" s="72"/>
      <c r="D733" s="72"/>
      <c r="E733" s="73"/>
      <c r="F733" s="641"/>
      <c r="G733" s="73"/>
      <c r="H733" s="641"/>
      <c r="I733" s="641"/>
      <c r="J733" s="641"/>
      <c r="K733" s="641"/>
      <c r="L733" s="73"/>
      <c r="M733" s="72"/>
      <c r="N733" s="72"/>
      <c r="O733" s="642"/>
      <c r="P733" s="642"/>
      <c r="Q733" s="74"/>
      <c r="R733" s="641"/>
      <c r="S733" s="641"/>
      <c r="T733" s="72"/>
      <c r="U733" s="72"/>
      <c r="V733" s="72"/>
      <c r="W733" s="72"/>
      <c r="X733" s="72"/>
      <c r="Y733" s="72"/>
      <c r="Z733" s="72"/>
      <c r="AA733" s="73"/>
      <c r="AB733" s="72"/>
      <c r="AC733" s="641"/>
      <c r="AD733" s="72"/>
      <c r="AE733" s="641"/>
      <c r="AF733" s="641"/>
      <c r="AG733" s="72"/>
      <c r="AH733" s="72"/>
      <c r="AI733" s="72"/>
      <c r="AJ733" s="72"/>
      <c r="AK733" s="72"/>
      <c r="AL733" s="72"/>
      <c r="AM733" s="72"/>
      <c r="AN733" s="73"/>
      <c r="AO733" s="641"/>
      <c r="AP733" s="641"/>
      <c r="AQ733" s="641"/>
      <c r="AR733" s="641"/>
      <c r="AS733" s="641"/>
      <c r="AT733" s="641"/>
      <c r="AU733" s="72"/>
      <c r="AV733" s="73"/>
      <c r="AW733" s="643"/>
      <c r="AX733" s="643"/>
      <c r="AY733" s="643"/>
      <c r="AZ733" s="75"/>
      <c r="BA733" s="75"/>
      <c r="BB733" s="75"/>
    </row>
    <row r="734" spans="2:54" s="560" customFormat="1" ht="16.5" customHeight="1">
      <c r="B734" s="72"/>
      <c r="C734" s="72"/>
      <c r="D734" s="72"/>
      <c r="E734" s="73"/>
      <c r="F734" s="641"/>
      <c r="G734" s="73"/>
      <c r="H734" s="641"/>
      <c r="I734" s="641"/>
      <c r="J734" s="641"/>
      <c r="K734" s="641"/>
      <c r="L734" s="73"/>
      <c r="M734" s="72"/>
      <c r="N734" s="72"/>
      <c r="O734" s="642"/>
      <c r="P734" s="642"/>
      <c r="Q734" s="74"/>
      <c r="R734" s="641"/>
      <c r="S734" s="641"/>
      <c r="T734" s="72"/>
      <c r="U734" s="72"/>
      <c r="V734" s="72"/>
      <c r="W734" s="72"/>
      <c r="X734" s="72"/>
      <c r="Y734" s="72"/>
      <c r="Z734" s="72"/>
      <c r="AA734" s="73"/>
      <c r="AB734" s="72"/>
      <c r="AC734" s="641"/>
      <c r="AD734" s="72"/>
      <c r="AE734" s="641"/>
      <c r="AF734" s="641"/>
      <c r="AG734" s="72"/>
      <c r="AH734" s="72"/>
      <c r="AI734" s="72"/>
      <c r="AJ734" s="72"/>
      <c r="AK734" s="72"/>
      <c r="AL734" s="72"/>
      <c r="AM734" s="72"/>
      <c r="AN734" s="73"/>
      <c r="AO734" s="641"/>
      <c r="AP734" s="641"/>
      <c r="AQ734" s="641"/>
      <c r="AR734" s="641"/>
      <c r="AS734" s="641"/>
      <c r="AT734" s="641"/>
      <c r="AU734" s="72"/>
      <c r="AV734" s="73"/>
      <c r="AW734" s="643"/>
      <c r="AX734" s="643"/>
      <c r="AY734" s="643"/>
      <c r="AZ734" s="75"/>
      <c r="BA734" s="75"/>
      <c r="BB734" s="75"/>
    </row>
    <row r="735" spans="2:54" s="560" customFormat="1" ht="16.5" customHeight="1">
      <c r="B735" s="72"/>
      <c r="C735" s="72"/>
      <c r="D735" s="72"/>
      <c r="E735" s="73"/>
      <c r="F735" s="641"/>
      <c r="G735" s="73"/>
      <c r="H735" s="641"/>
      <c r="I735" s="641"/>
      <c r="J735" s="641"/>
      <c r="K735" s="641"/>
      <c r="L735" s="73"/>
      <c r="M735" s="72"/>
      <c r="N735" s="72"/>
      <c r="O735" s="642"/>
      <c r="P735" s="642"/>
      <c r="Q735" s="74"/>
      <c r="R735" s="641"/>
      <c r="S735" s="641"/>
      <c r="T735" s="72"/>
      <c r="U735" s="72"/>
      <c r="V735" s="72"/>
      <c r="W735" s="72"/>
      <c r="X735" s="72"/>
      <c r="Y735" s="72"/>
      <c r="Z735" s="72"/>
      <c r="AA735" s="73"/>
      <c r="AB735" s="72"/>
      <c r="AC735" s="641"/>
      <c r="AD735" s="72"/>
      <c r="AE735" s="641"/>
      <c r="AF735" s="641"/>
      <c r="AG735" s="72"/>
      <c r="AH735" s="72"/>
      <c r="AI735" s="72"/>
      <c r="AJ735" s="72"/>
      <c r="AK735" s="72"/>
      <c r="AL735" s="72"/>
      <c r="AM735" s="72"/>
      <c r="AN735" s="73"/>
      <c r="AO735" s="641"/>
      <c r="AP735" s="641"/>
      <c r="AQ735" s="641"/>
      <c r="AR735" s="641"/>
      <c r="AS735" s="641"/>
      <c r="AT735" s="641"/>
      <c r="AU735" s="72"/>
      <c r="AV735" s="73"/>
      <c r="AW735" s="643"/>
      <c r="AX735" s="643"/>
      <c r="AY735" s="643"/>
      <c r="AZ735" s="75"/>
      <c r="BA735" s="75"/>
      <c r="BB735" s="75"/>
    </row>
    <row r="736" spans="2:54" s="560" customFormat="1" ht="16.5" customHeight="1">
      <c r="B736" s="72"/>
      <c r="C736" s="72"/>
      <c r="D736" s="72"/>
      <c r="E736" s="73"/>
      <c r="F736" s="641"/>
      <c r="G736" s="73"/>
      <c r="H736" s="641"/>
      <c r="I736" s="641"/>
      <c r="J736" s="641"/>
      <c r="K736" s="641"/>
      <c r="L736" s="73"/>
      <c r="M736" s="72"/>
      <c r="N736" s="72"/>
      <c r="O736" s="642"/>
      <c r="P736" s="642"/>
      <c r="Q736" s="74"/>
      <c r="R736" s="641"/>
      <c r="S736" s="641"/>
      <c r="T736" s="72"/>
      <c r="U736" s="72"/>
      <c r="V736" s="72"/>
      <c r="W736" s="72"/>
      <c r="X736" s="72"/>
      <c r="Y736" s="72"/>
      <c r="Z736" s="72"/>
      <c r="AA736" s="73"/>
      <c r="AB736" s="72"/>
      <c r="AC736" s="641"/>
      <c r="AD736" s="72"/>
      <c r="AE736" s="641"/>
      <c r="AF736" s="641"/>
      <c r="AG736" s="72"/>
      <c r="AH736" s="72"/>
      <c r="AI736" s="72"/>
      <c r="AJ736" s="72"/>
      <c r="AK736" s="72"/>
      <c r="AL736" s="72"/>
      <c r="AM736" s="72"/>
      <c r="AN736" s="73"/>
      <c r="AO736" s="641"/>
      <c r="AP736" s="641"/>
      <c r="AQ736" s="641"/>
      <c r="AR736" s="641"/>
      <c r="AS736" s="641"/>
      <c r="AT736" s="641"/>
      <c r="AU736" s="72"/>
      <c r="AV736" s="73"/>
      <c r="AW736" s="643"/>
      <c r="AX736" s="643"/>
      <c r="AY736" s="643"/>
      <c r="AZ736" s="75"/>
      <c r="BA736" s="75"/>
      <c r="BB736" s="75"/>
    </row>
    <row r="737" spans="2:54" s="560" customFormat="1" ht="16.5" customHeight="1">
      <c r="B737" s="72"/>
      <c r="C737" s="72"/>
      <c r="D737" s="72"/>
      <c r="E737" s="73"/>
      <c r="F737" s="641"/>
      <c r="G737" s="73"/>
      <c r="H737" s="641"/>
      <c r="I737" s="641"/>
      <c r="J737" s="641"/>
      <c r="K737" s="641"/>
      <c r="L737" s="73"/>
      <c r="M737" s="72"/>
      <c r="N737" s="72"/>
      <c r="O737" s="642"/>
      <c r="P737" s="642"/>
      <c r="Q737" s="74"/>
      <c r="R737" s="641"/>
      <c r="S737" s="641"/>
      <c r="T737" s="72"/>
      <c r="U737" s="72"/>
      <c r="V737" s="72"/>
      <c r="W737" s="72"/>
      <c r="X737" s="72"/>
      <c r="Y737" s="72"/>
      <c r="Z737" s="72"/>
      <c r="AA737" s="73"/>
      <c r="AB737" s="72"/>
      <c r="AC737" s="641"/>
      <c r="AD737" s="72"/>
      <c r="AE737" s="641"/>
      <c r="AF737" s="641"/>
      <c r="AG737" s="72"/>
      <c r="AH737" s="72"/>
      <c r="AI737" s="72"/>
      <c r="AJ737" s="72"/>
      <c r="AK737" s="72"/>
      <c r="AL737" s="72"/>
      <c r="AM737" s="72"/>
      <c r="AN737" s="73"/>
      <c r="AO737" s="641"/>
      <c r="AP737" s="641"/>
      <c r="AQ737" s="641"/>
      <c r="AR737" s="641"/>
      <c r="AS737" s="641"/>
      <c r="AT737" s="641"/>
      <c r="AU737" s="72"/>
      <c r="AV737" s="73"/>
      <c r="AW737" s="643"/>
      <c r="AX737" s="643"/>
      <c r="AY737" s="643"/>
      <c r="AZ737" s="75"/>
      <c r="BA737" s="75"/>
      <c r="BB737" s="75"/>
    </row>
    <row r="738" spans="2:54" s="560" customFormat="1" ht="16.5" customHeight="1">
      <c r="B738" s="72"/>
      <c r="C738" s="72"/>
      <c r="D738" s="72"/>
      <c r="E738" s="73"/>
      <c r="F738" s="641"/>
      <c r="G738" s="73"/>
      <c r="H738" s="641"/>
      <c r="I738" s="641"/>
      <c r="J738" s="641"/>
      <c r="K738" s="641"/>
      <c r="L738" s="73"/>
      <c r="M738" s="72"/>
      <c r="N738" s="72"/>
      <c r="O738" s="642"/>
      <c r="P738" s="642"/>
      <c r="Q738" s="74"/>
      <c r="R738" s="641"/>
      <c r="S738" s="641"/>
      <c r="T738" s="72"/>
      <c r="U738" s="72"/>
      <c r="V738" s="72"/>
      <c r="W738" s="72"/>
      <c r="X738" s="72"/>
      <c r="Y738" s="72"/>
      <c r="Z738" s="72"/>
      <c r="AA738" s="73"/>
      <c r="AB738" s="72"/>
      <c r="AC738" s="641"/>
      <c r="AD738" s="72"/>
      <c r="AE738" s="641"/>
      <c r="AF738" s="641"/>
      <c r="AG738" s="72"/>
      <c r="AH738" s="72"/>
      <c r="AI738" s="72"/>
      <c r="AJ738" s="72"/>
      <c r="AK738" s="72"/>
      <c r="AL738" s="72"/>
      <c r="AM738" s="72"/>
      <c r="AN738" s="73"/>
      <c r="AO738" s="641"/>
      <c r="AP738" s="641"/>
      <c r="AQ738" s="641"/>
      <c r="AR738" s="641"/>
      <c r="AS738" s="641"/>
      <c r="AT738" s="641"/>
      <c r="AU738" s="72"/>
      <c r="AV738" s="73"/>
      <c r="AW738" s="643"/>
      <c r="AX738" s="643"/>
      <c r="AY738" s="643"/>
      <c r="AZ738" s="75"/>
      <c r="BA738" s="75"/>
      <c r="BB738" s="75"/>
    </row>
    <row r="739" spans="2:54" s="560" customFormat="1" ht="16.5" customHeight="1">
      <c r="B739" s="72"/>
      <c r="C739" s="72"/>
      <c r="D739" s="72"/>
      <c r="E739" s="73"/>
      <c r="F739" s="641"/>
      <c r="G739" s="73"/>
      <c r="H739" s="641"/>
      <c r="I739" s="641"/>
      <c r="J739" s="641"/>
      <c r="K739" s="641"/>
      <c r="L739" s="73"/>
      <c r="M739" s="72"/>
      <c r="N739" s="72"/>
      <c r="O739" s="642"/>
      <c r="P739" s="642"/>
      <c r="Q739" s="74"/>
      <c r="R739" s="641"/>
      <c r="S739" s="641"/>
      <c r="T739" s="72"/>
      <c r="U739" s="72"/>
      <c r="V739" s="72"/>
      <c r="W739" s="72"/>
      <c r="X739" s="72"/>
      <c r="Y739" s="72"/>
      <c r="Z739" s="72"/>
      <c r="AA739" s="73"/>
      <c r="AB739" s="72"/>
      <c r="AC739" s="641"/>
      <c r="AD739" s="72"/>
      <c r="AE739" s="641"/>
      <c r="AF739" s="641"/>
      <c r="AG739" s="72"/>
      <c r="AH739" s="72"/>
      <c r="AI739" s="72"/>
      <c r="AJ739" s="72"/>
      <c r="AK739" s="72"/>
      <c r="AL739" s="72"/>
      <c r="AM739" s="72"/>
      <c r="AN739" s="73"/>
      <c r="AO739" s="641"/>
      <c r="AP739" s="641"/>
      <c r="AQ739" s="641"/>
      <c r="AR739" s="641"/>
      <c r="AS739" s="641"/>
      <c r="AT739" s="641"/>
      <c r="AU739" s="72"/>
      <c r="AV739" s="73"/>
      <c r="AW739" s="643"/>
      <c r="AX739" s="643"/>
      <c r="AY739" s="643"/>
      <c r="AZ739" s="75"/>
      <c r="BA739" s="75"/>
      <c r="BB739" s="75"/>
    </row>
    <row r="740" spans="2:54" s="560" customFormat="1" ht="16.5" customHeight="1">
      <c r="B740" s="72"/>
      <c r="C740" s="72"/>
      <c r="D740" s="72"/>
      <c r="E740" s="73"/>
      <c r="F740" s="641"/>
      <c r="G740" s="73"/>
      <c r="H740" s="641"/>
      <c r="I740" s="641"/>
      <c r="J740" s="641"/>
      <c r="K740" s="641"/>
      <c r="L740" s="73"/>
      <c r="M740" s="72"/>
      <c r="N740" s="72"/>
      <c r="O740" s="642"/>
      <c r="P740" s="642"/>
      <c r="Q740" s="74"/>
      <c r="R740" s="641"/>
      <c r="S740" s="641"/>
      <c r="T740" s="72"/>
      <c r="U740" s="72"/>
      <c r="V740" s="72"/>
      <c r="W740" s="72"/>
      <c r="X740" s="72"/>
      <c r="Y740" s="72"/>
      <c r="Z740" s="72"/>
      <c r="AA740" s="73"/>
      <c r="AB740" s="72"/>
      <c r="AC740" s="641"/>
      <c r="AD740" s="72"/>
      <c r="AE740" s="641"/>
      <c r="AF740" s="641"/>
      <c r="AG740" s="72"/>
      <c r="AH740" s="72"/>
      <c r="AI740" s="72"/>
      <c r="AJ740" s="72"/>
      <c r="AK740" s="72"/>
      <c r="AL740" s="72"/>
      <c r="AM740" s="72"/>
      <c r="AN740" s="73"/>
      <c r="AO740" s="641"/>
      <c r="AP740" s="641"/>
      <c r="AQ740" s="641"/>
      <c r="AR740" s="641"/>
      <c r="AS740" s="641"/>
      <c r="AT740" s="641"/>
      <c r="AU740" s="72"/>
      <c r="AV740" s="73"/>
      <c r="AW740" s="643"/>
      <c r="AX740" s="643"/>
      <c r="AY740" s="643"/>
      <c r="AZ740" s="75"/>
      <c r="BA740" s="75"/>
      <c r="BB740" s="75"/>
    </row>
    <row r="741" spans="2:54" s="560" customFormat="1" ht="16.5" customHeight="1">
      <c r="B741" s="72"/>
      <c r="C741" s="72"/>
      <c r="D741" s="72"/>
      <c r="E741" s="73"/>
      <c r="F741" s="641"/>
      <c r="G741" s="73"/>
      <c r="H741" s="641"/>
      <c r="I741" s="641"/>
      <c r="J741" s="641"/>
      <c r="K741" s="641"/>
      <c r="L741" s="73"/>
      <c r="M741" s="72"/>
      <c r="N741" s="72"/>
      <c r="O741" s="642"/>
      <c r="P741" s="642"/>
      <c r="Q741" s="74"/>
      <c r="R741" s="641"/>
      <c r="S741" s="641"/>
      <c r="T741" s="72"/>
      <c r="U741" s="72"/>
      <c r="V741" s="72"/>
      <c r="W741" s="72"/>
      <c r="X741" s="72"/>
      <c r="Y741" s="72"/>
      <c r="Z741" s="72"/>
      <c r="AA741" s="73"/>
      <c r="AB741" s="72"/>
      <c r="AC741" s="641"/>
      <c r="AD741" s="72"/>
      <c r="AE741" s="641"/>
      <c r="AF741" s="641"/>
      <c r="AG741" s="72"/>
      <c r="AH741" s="72"/>
      <c r="AI741" s="72"/>
      <c r="AJ741" s="72"/>
      <c r="AK741" s="72"/>
      <c r="AL741" s="72"/>
      <c r="AM741" s="72"/>
      <c r="AN741" s="73"/>
      <c r="AO741" s="641"/>
      <c r="AP741" s="641"/>
      <c r="AQ741" s="641"/>
      <c r="AR741" s="641"/>
      <c r="AS741" s="641"/>
      <c r="AT741" s="641"/>
      <c r="AU741" s="72"/>
      <c r="AV741" s="73"/>
      <c r="AW741" s="643"/>
      <c r="AX741" s="643"/>
      <c r="AY741" s="643"/>
      <c r="AZ741" s="75"/>
      <c r="BA741" s="75"/>
      <c r="BB741" s="75"/>
    </row>
    <row r="742" spans="2:54" s="560" customFormat="1" ht="16.5" customHeight="1">
      <c r="B742" s="72"/>
      <c r="C742" s="72"/>
      <c r="D742" s="72"/>
      <c r="E742" s="73"/>
      <c r="F742" s="641"/>
      <c r="G742" s="73"/>
      <c r="H742" s="641"/>
      <c r="I742" s="641"/>
      <c r="J742" s="641"/>
      <c r="K742" s="641"/>
      <c r="L742" s="73"/>
      <c r="M742" s="72"/>
      <c r="N742" s="72"/>
      <c r="O742" s="642"/>
      <c r="P742" s="642"/>
      <c r="Q742" s="74"/>
      <c r="R742" s="641"/>
      <c r="S742" s="641"/>
      <c r="T742" s="72"/>
      <c r="U742" s="72"/>
      <c r="V742" s="72"/>
      <c r="W742" s="72"/>
      <c r="X742" s="72"/>
      <c r="Y742" s="72"/>
      <c r="Z742" s="72"/>
      <c r="AA742" s="73"/>
      <c r="AB742" s="72"/>
      <c r="AC742" s="641"/>
      <c r="AD742" s="72"/>
      <c r="AE742" s="641"/>
      <c r="AF742" s="641"/>
      <c r="AG742" s="72"/>
      <c r="AH742" s="72"/>
      <c r="AI742" s="72"/>
      <c r="AJ742" s="72"/>
      <c r="AK742" s="72"/>
      <c r="AL742" s="72"/>
      <c r="AM742" s="72"/>
      <c r="AN742" s="73"/>
      <c r="AO742" s="641"/>
      <c r="AP742" s="641"/>
      <c r="AQ742" s="641"/>
      <c r="AR742" s="641"/>
      <c r="AS742" s="641"/>
      <c r="AT742" s="641"/>
      <c r="AU742" s="72"/>
      <c r="AV742" s="73"/>
      <c r="AW742" s="643"/>
      <c r="AX742" s="643"/>
      <c r="AY742" s="643"/>
      <c r="AZ742" s="75"/>
      <c r="BA742" s="75"/>
      <c r="BB742" s="75"/>
    </row>
    <row r="743" spans="2:54" s="560" customFormat="1" ht="16.5" customHeight="1">
      <c r="B743" s="72"/>
      <c r="C743" s="72"/>
      <c r="D743" s="72"/>
      <c r="E743" s="73"/>
      <c r="F743" s="641"/>
      <c r="G743" s="73"/>
      <c r="H743" s="641"/>
      <c r="I743" s="641"/>
      <c r="J743" s="641"/>
      <c r="K743" s="641"/>
      <c r="L743" s="73"/>
      <c r="M743" s="72"/>
      <c r="N743" s="72"/>
      <c r="O743" s="642"/>
      <c r="P743" s="642"/>
      <c r="Q743" s="74"/>
      <c r="R743" s="641"/>
      <c r="S743" s="641"/>
      <c r="T743" s="72"/>
      <c r="U743" s="72"/>
      <c r="V743" s="72"/>
      <c r="W743" s="72"/>
      <c r="X743" s="72"/>
      <c r="Y743" s="72"/>
      <c r="Z743" s="72"/>
      <c r="AA743" s="73"/>
      <c r="AB743" s="72"/>
      <c r="AC743" s="641"/>
      <c r="AD743" s="72"/>
      <c r="AE743" s="641"/>
      <c r="AF743" s="641"/>
      <c r="AG743" s="72"/>
      <c r="AH743" s="72"/>
      <c r="AI743" s="72"/>
      <c r="AJ743" s="72"/>
      <c r="AK743" s="72"/>
      <c r="AL743" s="72"/>
      <c r="AM743" s="72"/>
      <c r="AN743" s="73"/>
      <c r="AO743" s="641"/>
      <c r="AP743" s="641"/>
      <c r="AQ743" s="641"/>
      <c r="AR743" s="641"/>
      <c r="AS743" s="641"/>
      <c r="AT743" s="641"/>
      <c r="AU743" s="72"/>
      <c r="AV743" s="73"/>
      <c r="AW743" s="643"/>
      <c r="AX743" s="643"/>
      <c r="AY743" s="643"/>
      <c r="AZ743" s="75"/>
      <c r="BA743" s="75"/>
      <c r="BB743" s="75"/>
    </row>
    <row r="744" spans="2:54" s="560" customFormat="1" ht="16.5" customHeight="1">
      <c r="B744" s="72"/>
      <c r="C744" s="72"/>
      <c r="D744" s="72"/>
      <c r="E744" s="73"/>
      <c r="F744" s="641"/>
      <c r="G744" s="73"/>
      <c r="H744" s="641"/>
      <c r="I744" s="641"/>
      <c r="J744" s="641"/>
      <c r="K744" s="641"/>
      <c r="L744" s="73"/>
      <c r="M744" s="72"/>
      <c r="N744" s="72"/>
      <c r="O744" s="642"/>
      <c r="P744" s="642"/>
      <c r="Q744" s="74"/>
      <c r="R744" s="641"/>
      <c r="S744" s="641"/>
      <c r="T744" s="72"/>
      <c r="U744" s="72"/>
      <c r="V744" s="72"/>
      <c r="W744" s="72"/>
      <c r="X744" s="72"/>
      <c r="Y744" s="72"/>
      <c r="Z744" s="72"/>
      <c r="AA744" s="73"/>
      <c r="AB744" s="72"/>
      <c r="AC744" s="641"/>
      <c r="AD744" s="72"/>
      <c r="AE744" s="641"/>
      <c r="AF744" s="641"/>
      <c r="AG744" s="72"/>
      <c r="AH744" s="72"/>
      <c r="AI744" s="72"/>
      <c r="AJ744" s="72"/>
      <c r="AK744" s="72"/>
      <c r="AL744" s="72"/>
      <c r="AM744" s="72"/>
      <c r="AN744" s="73"/>
      <c r="AO744" s="641"/>
      <c r="AP744" s="641"/>
      <c r="AQ744" s="641"/>
      <c r="AR744" s="641"/>
      <c r="AS744" s="641"/>
      <c r="AT744" s="641"/>
      <c r="AU744" s="72"/>
      <c r="AV744" s="73"/>
      <c r="AW744" s="643"/>
      <c r="AX744" s="643"/>
      <c r="AY744" s="643"/>
      <c r="AZ744" s="75"/>
      <c r="BA744" s="75"/>
      <c r="BB744" s="75"/>
    </row>
    <row r="745" spans="2:54" s="560" customFormat="1" ht="16.5" customHeight="1">
      <c r="B745" s="72"/>
      <c r="C745" s="72"/>
      <c r="D745" s="72"/>
      <c r="E745" s="73"/>
      <c r="F745" s="641"/>
      <c r="G745" s="73"/>
      <c r="H745" s="641"/>
      <c r="I745" s="641"/>
      <c r="J745" s="641"/>
      <c r="K745" s="641"/>
      <c r="L745" s="73"/>
      <c r="M745" s="72"/>
      <c r="N745" s="72"/>
      <c r="O745" s="642"/>
      <c r="P745" s="642"/>
      <c r="Q745" s="74"/>
      <c r="R745" s="641"/>
      <c r="S745" s="641"/>
      <c r="T745" s="72"/>
      <c r="U745" s="72"/>
      <c r="V745" s="72"/>
      <c r="W745" s="72"/>
      <c r="X745" s="72"/>
      <c r="Y745" s="72"/>
      <c r="Z745" s="72"/>
      <c r="AA745" s="73"/>
      <c r="AB745" s="72"/>
      <c r="AC745" s="641"/>
      <c r="AD745" s="72"/>
      <c r="AE745" s="641"/>
      <c r="AF745" s="641"/>
      <c r="AG745" s="72"/>
      <c r="AH745" s="72"/>
      <c r="AI745" s="72"/>
      <c r="AJ745" s="72"/>
      <c r="AK745" s="72"/>
      <c r="AL745" s="72"/>
      <c r="AM745" s="72"/>
      <c r="AN745" s="73"/>
      <c r="AO745" s="641"/>
      <c r="AP745" s="641"/>
      <c r="AQ745" s="641"/>
      <c r="AR745" s="641"/>
      <c r="AS745" s="641"/>
      <c r="AT745" s="641"/>
      <c r="AU745" s="72"/>
      <c r="AV745" s="73"/>
      <c r="AW745" s="643"/>
      <c r="AX745" s="643"/>
      <c r="AY745" s="643"/>
      <c r="AZ745" s="75"/>
      <c r="BA745" s="75"/>
      <c r="BB745" s="75"/>
    </row>
    <row r="746" spans="2:54" s="560" customFormat="1" ht="16.5" customHeight="1">
      <c r="B746" s="72"/>
      <c r="C746" s="72"/>
      <c r="D746" s="72"/>
      <c r="E746" s="73"/>
      <c r="F746" s="641"/>
      <c r="G746" s="73"/>
      <c r="H746" s="641"/>
      <c r="I746" s="641"/>
      <c r="J746" s="641"/>
      <c r="K746" s="641"/>
      <c r="L746" s="73"/>
      <c r="M746" s="72"/>
      <c r="N746" s="72"/>
      <c r="O746" s="642"/>
      <c r="P746" s="642"/>
      <c r="Q746" s="74"/>
      <c r="R746" s="641"/>
      <c r="S746" s="641"/>
      <c r="T746" s="72"/>
      <c r="U746" s="72"/>
      <c r="V746" s="72"/>
      <c r="W746" s="72"/>
      <c r="X746" s="72"/>
      <c r="Y746" s="72"/>
      <c r="Z746" s="72"/>
      <c r="AA746" s="73"/>
      <c r="AB746" s="72"/>
      <c r="AC746" s="641"/>
      <c r="AD746" s="72"/>
      <c r="AE746" s="641"/>
      <c r="AF746" s="641"/>
      <c r="AG746" s="72"/>
      <c r="AH746" s="72"/>
      <c r="AI746" s="72"/>
      <c r="AJ746" s="72"/>
      <c r="AK746" s="72"/>
      <c r="AL746" s="72"/>
      <c r="AM746" s="72"/>
      <c r="AN746" s="73"/>
      <c r="AO746" s="641"/>
      <c r="AP746" s="641"/>
      <c r="AQ746" s="641"/>
      <c r="AR746" s="641"/>
      <c r="AS746" s="641"/>
      <c r="AT746" s="641"/>
      <c r="AU746" s="72"/>
      <c r="AV746" s="73"/>
      <c r="AW746" s="643"/>
      <c r="AX746" s="643"/>
      <c r="AY746" s="643"/>
      <c r="AZ746" s="75"/>
      <c r="BA746" s="75"/>
      <c r="BB746" s="75"/>
    </row>
    <row r="747" spans="2:54" s="560" customFormat="1" ht="16.5" customHeight="1">
      <c r="B747" s="72"/>
      <c r="C747" s="72"/>
      <c r="D747" s="72"/>
      <c r="E747" s="73"/>
      <c r="F747" s="641"/>
      <c r="G747" s="73"/>
      <c r="H747" s="641"/>
      <c r="I747" s="641"/>
      <c r="J747" s="641"/>
      <c r="K747" s="641"/>
      <c r="L747" s="73"/>
      <c r="M747" s="72"/>
      <c r="N747" s="72"/>
      <c r="O747" s="642"/>
      <c r="P747" s="642"/>
      <c r="Q747" s="74"/>
      <c r="R747" s="641"/>
      <c r="S747" s="641"/>
      <c r="T747" s="72"/>
      <c r="U747" s="72"/>
      <c r="V747" s="72"/>
      <c r="W747" s="72"/>
      <c r="X747" s="72"/>
      <c r="Y747" s="72"/>
      <c r="Z747" s="72"/>
      <c r="AA747" s="73"/>
      <c r="AB747" s="72"/>
      <c r="AC747" s="641"/>
      <c r="AD747" s="72"/>
      <c r="AE747" s="641"/>
      <c r="AF747" s="641"/>
      <c r="AG747" s="72"/>
      <c r="AH747" s="72"/>
      <c r="AI747" s="72"/>
      <c r="AJ747" s="72"/>
      <c r="AK747" s="72"/>
      <c r="AL747" s="72"/>
      <c r="AM747" s="72"/>
      <c r="AN747" s="73"/>
      <c r="AO747" s="641"/>
      <c r="AP747" s="641"/>
      <c r="AQ747" s="641"/>
      <c r="AR747" s="641"/>
      <c r="AS747" s="641"/>
      <c r="AT747" s="641"/>
      <c r="AU747" s="72"/>
      <c r="AV747" s="73"/>
      <c r="AW747" s="643"/>
      <c r="AX747" s="643"/>
      <c r="AY747" s="643"/>
      <c r="AZ747" s="75"/>
      <c r="BA747" s="75"/>
      <c r="BB747" s="75"/>
    </row>
    <row r="748" spans="2:54" s="560" customFormat="1" ht="16.5" customHeight="1">
      <c r="B748" s="72"/>
      <c r="C748" s="72"/>
      <c r="D748" s="72"/>
      <c r="E748" s="73"/>
      <c r="F748" s="641"/>
      <c r="G748" s="73"/>
      <c r="H748" s="641"/>
      <c r="I748" s="641"/>
      <c r="J748" s="641"/>
      <c r="K748" s="641"/>
      <c r="L748" s="73"/>
      <c r="M748" s="72"/>
      <c r="N748" s="72"/>
      <c r="O748" s="642"/>
      <c r="P748" s="642"/>
      <c r="Q748" s="74"/>
      <c r="R748" s="641"/>
      <c r="S748" s="641"/>
      <c r="T748" s="72"/>
      <c r="U748" s="72"/>
      <c r="V748" s="72"/>
      <c r="W748" s="72"/>
      <c r="X748" s="72"/>
      <c r="Y748" s="72"/>
      <c r="Z748" s="72"/>
      <c r="AA748" s="73"/>
      <c r="AB748" s="72"/>
      <c r="AC748" s="641"/>
      <c r="AD748" s="72"/>
      <c r="AE748" s="641"/>
      <c r="AF748" s="641"/>
      <c r="AG748" s="72"/>
      <c r="AH748" s="72"/>
      <c r="AI748" s="72"/>
      <c r="AJ748" s="72"/>
      <c r="AK748" s="72"/>
      <c r="AL748" s="72"/>
      <c r="AM748" s="72"/>
      <c r="AN748" s="73"/>
      <c r="AO748" s="641"/>
      <c r="AP748" s="641"/>
      <c r="AQ748" s="641"/>
      <c r="AR748" s="641"/>
      <c r="AS748" s="641"/>
      <c r="AT748" s="641"/>
      <c r="AU748" s="72"/>
      <c r="AV748" s="73"/>
      <c r="AW748" s="643"/>
      <c r="AX748" s="643"/>
      <c r="AY748" s="643"/>
      <c r="AZ748" s="75"/>
      <c r="BA748" s="75"/>
      <c r="BB748" s="75"/>
    </row>
    <row r="749" spans="2:54" s="560" customFormat="1" ht="16.5" customHeight="1">
      <c r="B749" s="72"/>
      <c r="C749" s="72"/>
      <c r="D749" s="72"/>
      <c r="E749" s="73"/>
      <c r="F749" s="641"/>
      <c r="G749" s="73"/>
      <c r="H749" s="641"/>
      <c r="I749" s="641"/>
      <c r="J749" s="641"/>
      <c r="K749" s="641"/>
      <c r="L749" s="73"/>
      <c r="M749" s="72"/>
      <c r="N749" s="72"/>
      <c r="O749" s="642"/>
      <c r="P749" s="642"/>
      <c r="Q749" s="74"/>
      <c r="R749" s="641"/>
      <c r="S749" s="641"/>
      <c r="T749" s="72"/>
      <c r="U749" s="72"/>
      <c r="V749" s="72"/>
      <c r="W749" s="72"/>
      <c r="X749" s="72"/>
      <c r="Y749" s="72"/>
      <c r="Z749" s="72"/>
      <c r="AA749" s="73"/>
      <c r="AB749" s="72"/>
      <c r="AC749" s="641"/>
      <c r="AD749" s="72"/>
      <c r="AE749" s="641"/>
      <c r="AF749" s="641"/>
      <c r="AG749" s="72"/>
      <c r="AH749" s="72"/>
      <c r="AI749" s="72"/>
      <c r="AJ749" s="72"/>
      <c r="AK749" s="72"/>
      <c r="AL749" s="72"/>
      <c r="AM749" s="72"/>
      <c r="AN749" s="73"/>
      <c r="AO749" s="641"/>
      <c r="AP749" s="641"/>
      <c r="AQ749" s="641"/>
      <c r="AR749" s="641"/>
      <c r="AS749" s="641"/>
      <c r="AT749" s="641"/>
      <c r="AU749" s="72"/>
      <c r="AV749" s="73"/>
      <c r="AW749" s="643"/>
      <c r="AX749" s="643"/>
      <c r="AY749" s="643"/>
      <c r="AZ749" s="75"/>
      <c r="BA749" s="75"/>
      <c r="BB749" s="75"/>
    </row>
    <row r="750" spans="2:54" s="560" customFormat="1" ht="16.5" customHeight="1">
      <c r="B750" s="72"/>
      <c r="C750" s="72"/>
      <c r="D750" s="72"/>
      <c r="E750" s="73"/>
      <c r="F750" s="641"/>
      <c r="G750" s="73"/>
      <c r="H750" s="641"/>
      <c r="I750" s="641"/>
      <c r="J750" s="641"/>
      <c r="K750" s="641"/>
      <c r="L750" s="73"/>
      <c r="M750" s="72"/>
      <c r="N750" s="72"/>
      <c r="O750" s="642"/>
      <c r="P750" s="642"/>
      <c r="Q750" s="74"/>
      <c r="R750" s="641"/>
      <c r="S750" s="641"/>
      <c r="T750" s="72"/>
      <c r="U750" s="72"/>
      <c r="V750" s="72"/>
      <c r="W750" s="72"/>
      <c r="X750" s="72"/>
      <c r="Y750" s="72"/>
      <c r="Z750" s="72"/>
      <c r="AA750" s="73"/>
      <c r="AB750" s="72"/>
      <c r="AC750" s="641"/>
      <c r="AD750" s="72"/>
      <c r="AE750" s="641"/>
      <c r="AF750" s="641"/>
      <c r="AG750" s="72"/>
      <c r="AH750" s="72"/>
      <c r="AI750" s="72"/>
      <c r="AJ750" s="72"/>
      <c r="AK750" s="72"/>
      <c r="AL750" s="72"/>
      <c r="AM750" s="72"/>
      <c r="AN750" s="73"/>
      <c r="AO750" s="641"/>
      <c r="AP750" s="641"/>
      <c r="AQ750" s="641"/>
      <c r="AR750" s="641"/>
      <c r="AS750" s="641"/>
      <c r="AT750" s="641"/>
      <c r="AU750" s="72"/>
      <c r="AV750" s="73"/>
      <c r="AW750" s="643"/>
      <c r="AX750" s="643"/>
      <c r="AY750" s="643"/>
      <c r="AZ750" s="75"/>
      <c r="BA750" s="75"/>
      <c r="BB750" s="75"/>
    </row>
    <row r="751" spans="2:54" s="560" customFormat="1" ht="16.5" customHeight="1">
      <c r="B751" s="72"/>
      <c r="C751" s="72"/>
      <c r="D751" s="72"/>
      <c r="E751" s="73"/>
      <c r="F751" s="641"/>
      <c r="G751" s="73"/>
      <c r="H751" s="641"/>
      <c r="I751" s="641"/>
      <c r="J751" s="641"/>
      <c r="K751" s="641"/>
      <c r="L751" s="73"/>
      <c r="M751" s="72"/>
      <c r="N751" s="72"/>
      <c r="O751" s="642"/>
      <c r="P751" s="642"/>
      <c r="Q751" s="74"/>
      <c r="R751" s="641"/>
      <c r="S751" s="641"/>
      <c r="T751" s="72"/>
      <c r="U751" s="72"/>
      <c r="V751" s="72"/>
      <c r="W751" s="72"/>
      <c r="X751" s="72"/>
      <c r="Y751" s="72"/>
      <c r="Z751" s="72"/>
      <c r="AA751" s="73"/>
      <c r="AB751" s="72"/>
      <c r="AC751" s="641"/>
      <c r="AD751" s="72"/>
      <c r="AE751" s="641"/>
      <c r="AF751" s="641"/>
      <c r="AG751" s="72"/>
      <c r="AH751" s="72"/>
      <c r="AI751" s="72"/>
      <c r="AJ751" s="72"/>
      <c r="AK751" s="72"/>
      <c r="AL751" s="72"/>
      <c r="AM751" s="72"/>
      <c r="AN751" s="73"/>
      <c r="AO751" s="641"/>
      <c r="AP751" s="641"/>
      <c r="AQ751" s="641"/>
      <c r="AR751" s="641"/>
      <c r="AS751" s="641"/>
      <c r="AT751" s="641"/>
      <c r="AU751" s="72"/>
      <c r="AV751" s="73"/>
      <c r="AW751" s="643"/>
      <c r="AX751" s="643"/>
      <c r="AY751" s="643"/>
      <c r="AZ751" s="75"/>
      <c r="BA751" s="75"/>
      <c r="BB751" s="75"/>
    </row>
    <row r="752" spans="2:54" s="560" customFormat="1" ht="16.5" customHeight="1">
      <c r="B752" s="72"/>
      <c r="C752" s="72"/>
      <c r="D752" s="72"/>
      <c r="E752" s="73"/>
      <c r="F752" s="641"/>
      <c r="G752" s="73"/>
      <c r="H752" s="641"/>
      <c r="I752" s="641"/>
      <c r="J752" s="641"/>
      <c r="K752" s="641"/>
      <c r="L752" s="73"/>
      <c r="M752" s="72"/>
      <c r="N752" s="72"/>
      <c r="O752" s="642"/>
      <c r="P752" s="642"/>
      <c r="Q752" s="74"/>
      <c r="R752" s="641"/>
      <c r="S752" s="641"/>
      <c r="T752" s="72"/>
      <c r="U752" s="72"/>
      <c r="V752" s="72"/>
      <c r="W752" s="72"/>
      <c r="X752" s="72"/>
      <c r="Y752" s="72"/>
      <c r="Z752" s="72"/>
      <c r="AA752" s="73"/>
      <c r="AB752" s="72"/>
      <c r="AC752" s="641"/>
      <c r="AD752" s="72"/>
      <c r="AE752" s="641"/>
      <c r="AF752" s="641"/>
      <c r="AG752" s="72"/>
      <c r="AH752" s="72"/>
      <c r="AI752" s="72"/>
      <c r="AJ752" s="72"/>
      <c r="AK752" s="72"/>
      <c r="AL752" s="72"/>
      <c r="AM752" s="72"/>
      <c r="AN752" s="73"/>
      <c r="AO752" s="641"/>
      <c r="AP752" s="641"/>
      <c r="AQ752" s="641"/>
      <c r="AR752" s="641"/>
      <c r="AS752" s="641"/>
      <c r="AT752" s="641"/>
      <c r="AU752" s="72"/>
      <c r="AV752" s="73"/>
      <c r="AW752" s="643"/>
      <c r="AX752" s="643"/>
      <c r="AY752" s="643"/>
      <c r="AZ752" s="75"/>
      <c r="BA752" s="75"/>
      <c r="BB752" s="75"/>
    </row>
    <row r="753" spans="2:54" s="560" customFormat="1" ht="16.5" customHeight="1">
      <c r="B753" s="72"/>
      <c r="C753" s="72"/>
      <c r="D753" s="72"/>
      <c r="E753" s="73"/>
      <c r="F753" s="641"/>
      <c r="G753" s="73"/>
      <c r="H753" s="641"/>
      <c r="I753" s="641"/>
      <c r="J753" s="641"/>
      <c r="K753" s="641"/>
      <c r="L753" s="73"/>
      <c r="M753" s="72"/>
      <c r="N753" s="72"/>
      <c r="O753" s="642"/>
      <c r="P753" s="642"/>
      <c r="Q753" s="74"/>
      <c r="R753" s="641"/>
      <c r="S753" s="641"/>
      <c r="T753" s="72"/>
      <c r="U753" s="72"/>
      <c r="V753" s="72"/>
      <c r="W753" s="72"/>
      <c r="X753" s="72"/>
      <c r="Y753" s="72"/>
      <c r="Z753" s="72"/>
      <c r="AA753" s="73"/>
      <c r="AB753" s="72"/>
      <c r="AC753" s="641"/>
      <c r="AD753" s="72"/>
      <c r="AE753" s="641"/>
      <c r="AF753" s="641"/>
      <c r="AG753" s="72"/>
      <c r="AH753" s="72"/>
      <c r="AI753" s="72"/>
      <c r="AJ753" s="72"/>
      <c r="AK753" s="72"/>
      <c r="AL753" s="72"/>
      <c r="AM753" s="72"/>
      <c r="AN753" s="73"/>
      <c r="AO753" s="641"/>
      <c r="AP753" s="641"/>
      <c r="AQ753" s="641"/>
      <c r="AR753" s="641"/>
      <c r="AS753" s="641"/>
      <c r="AT753" s="641"/>
      <c r="AU753" s="72"/>
      <c r="AV753" s="73"/>
      <c r="AW753" s="643"/>
      <c r="AX753" s="643"/>
      <c r="AY753" s="643"/>
      <c r="AZ753" s="75"/>
      <c r="BA753" s="75"/>
      <c r="BB753" s="75"/>
    </row>
    <row r="754" spans="2:54" s="560" customFormat="1" ht="16.5" customHeight="1">
      <c r="B754" s="72"/>
      <c r="C754" s="72"/>
      <c r="D754" s="72"/>
      <c r="E754" s="73"/>
      <c r="F754" s="641"/>
      <c r="G754" s="73"/>
      <c r="H754" s="641"/>
      <c r="I754" s="641"/>
      <c r="J754" s="641"/>
      <c r="K754" s="641"/>
      <c r="L754" s="73"/>
      <c r="M754" s="72"/>
      <c r="N754" s="72"/>
      <c r="O754" s="642"/>
      <c r="P754" s="642"/>
      <c r="Q754" s="74"/>
      <c r="R754" s="641"/>
      <c r="S754" s="641"/>
      <c r="T754" s="72"/>
      <c r="U754" s="72"/>
      <c r="V754" s="72"/>
      <c r="W754" s="72"/>
      <c r="X754" s="72"/>
      <c r="Y754" s="72"/>
      <c r="Z754" s="72"/>
      <c r="AA754" s="73"/>
      <c r="AB754" s="72"/>
      <c r="AC754" s="641"/>
      <c r="AD754" s="72"/>
      <c r="AE754" s="641"/>
      <c r="AF754" s="641"/>
      <c r="AG754" s="72"/>
      <c r="AH754" s="72"/>
      <c r="AI754" s="72"/>
      <c r="AJ754" s="72"/>
      <c r="AK754" s="72"/>
      <c r="AL754" s="72"/>
      <c r="AM754" s="72"/>
      <c r="AN754" s="73"/>
      <c r="AO754" s="641"/>
      <c r="AP754" s="641"/>
      <c r="AQ754" s="641"/>
      <c r="AR754" s="641"/>
      <c r="AS754" s="641"/>
      <c r="AT754" s="641"/>
      <c r="AU754" s="72"/>
      <c r="AV754" s="73"/>
      <c r="AW754" s="643"/>
      <c r="AX754" s="643"/>
      <c r="AY754" s="643"/>
      <c r="AZ754" s="75"/>
      <c r="BA754" s="75"/>
      <c r="BB754" s="75"/>
    </row>
    <row r="755" spans="2:54" s="560" customFormat="1" ht="16.5" customHeight="1">
      <c r="B755" s="72"/>
      <c r="C755" s="72"/>
      <c r="D755" s="72"/>
      <c r="E755" s="73"/>
      <c r="F755" s="641"/>
      <c r="G755" s="73"/>
      <c r="H755" s="641"/>
      <c r="I755" s="641"/>
      <c r="J755" s="641"/>
      <c r="K755" s="641"/>
      <c r="L755" s="73"/>
      <c r="M755" s="72"/>
      <c r="N755" s="72"/>
      <c r="O755" s="642"/>
      <c r="P755" s="642"/>
      <c r="Q755" s="74"/>
      <c r="R755" s="641"/>
      <c r="S755" s="641"/>
      <c r="T755" s="72"/>
      <c r="U755" s="72"/>
      <c r="V755" s="72"/>
      <c r="W755" s="72"/>
      <c r="X755" s="72"/>
      <c r="Y755" s="72"/>
      <c r="Z755" s="72"/>
      <c r="AA755" s="73"/>
      <c r="AB755" s="72"/>
      <c r="AC755" s="641"/>
      <c r="AD755" s="72"/>
      <c r="AE755" s="641"/>
      <c r="AF755" s="641"/>
      <c r="AG755" s="72"/>
      <c r="AH755" s="72"/>
      <c r="AI755" s="72"/>
      <c r="AJ755" s="72"/>
      <c r="AK755" s="72"/>
      <c r="AL755" s="72"/>
      <c r="AM755" s="72"/>
      <c r="AN755" s="73"/>
      <c r="AO755" s="641"/>
      <c r="AP755" s="641"/>
      <c r="AQ755" s="641"/>
      <c r="AR755" s="641"/>
      <c r="AS755" s="641"/>
      <c r="AT755" s="641"/>
      <c r="AU755" s="72"/>
      <c r="AV755" s="73"/>
      <c r="AW755" s="643"/>
      <c r="AX755" s="643"/>
      <c r="AY755" s="643"/>
      <c r="AZ755" s="75"/>
      <c r="BA755" s="75"/>
      <c r="BB755" s="75"/>
    </row>
    <row r="756" spans="2:54" s="560" customFormat="1" ht="16.5" customHeight="1">
      <c r="B756" s="72"/>
      <c r="C756" s="72"/>
      <c r="D756" s="72"/>
      <c r="E756" s="73"/>
      <c r="F756" s="641"/>
      <c r="G756" s="73"/>
      <c r="H756" s="641"/>
      <c r="I756" s="641"/>
      <c r="J756" s="641"/>
      <c r="K756" s="641"/>
      <c r="L756" s="73"/>
      <c r="M756" s="72"/>
      <c r="N756" s="72"/>
      <c r="O756" s="642"/>
      <c r="P756" s="642"/>
      <c r="Q756" s="74"/>
      <c r="R756" s="641"/>
      <c r="S756" s="641"/>
      <c r="T756" s="72"/>
      <c r="U756" s="72"/>
      <c r="V756" s="72"/>
      <c r="W756" s="72"/>
      <c r="X756" s="72"/>
      <c r="Y756" s="72"/>
      <c r="Z756" s="72"/>
      <c r="AA756" s="73"/>
      <c r="AB756" s="72"/>
      <c r="AC756" s="641"/>
      <c r="AD756" s="72"/>
      <c r="AE756" s="641"/>
      <c r="AF756" s="641"/>
      <c r="AG756" s="72"/>
      <c r="AH756" s="72"/>
      <c r="AI756" s="72"/>
      <c r="AJ756" s="72"/>
      <c r="AK756" s="72"/>
      <c r="AL756" s="72"/>
      <c r="AM756" s="72"/>
      <c r="AN756" s="73"/>
      <c r="AO756" s="641"/>
      <c r="AP756" s="641"/>
      <c r="AQ756" s="641"/>
      <c r="AR756" s="641"/>
      <c r="AS756" s="641"/>
      <c r="AT756" s="641"/>
      <c r="AU756" s="72"/>
      <c r="AV756" s="73"/>
      <c r="AW756" s="643"/>
      <c r="AX756" s="643"/>
      <c r="AY756" s="643"/>
      <c r="AZ756" s="75"/>
      <c r="BA756" s="75"/>
      <c r="BB756" s="75"/>
    </row>
    <row r="757" spans="2:54" s="560" customFormat="1" ht="16.5" customHeight="1">
      <c r="B757" s="72"/>
      <c r="C757" s="72"/>
      <c r="D757" s="72"/>
      <c r="E757" s="73"/>
      <c r="F757" s="641"/>
      <c r="G757" s="73"/>
      <c r="H757" s="641"/>
      <c r="I757" s="641"/>
      <c r="J757" s="641"/>
      <c r="K757" s="641"/>
      <c r="L757" s="73"/>
      <c r="M757" s="72"/>
      <c r="N757" s="72"/>
      <c r="O757" s="642"/>
      <c r="P757" s="642"/>
      <c r="Q757" s="74"/>
      <c r="R757" s="641"/>
      <c r="S757" s="641"/>
      <c r="T757" s="72"/>
      <c r="U757" s="72"/>
      <c r="V757" s="72"/>
      <c r="W757" s="72"/>
      <c r="X757" s="72"/>
      <c r="Y757" s="72"/>
      <c r="Z757" s="72"/>
      <c r="AA757" s="73"/>
      <c r="AB757" s="72"/>
      <c r="AC757" s="641"/>
      <c r="AD757" s="72"/>
      <c r="AE757" s="641"/>
      <c r="AF757" s="641"/>
      <c r="AG757" s="72"/>
      <c r="AH757" s="72"/>
      <c r="AI757" s="72"/>
      <c r="AJ757" s="72"/>
      <c r="AK757" s="72"/>
      <c r="AL757" s="72"/>
      <c r="AM757" s="72"/>
      <c r="AN757" s="73"/>
      <c r="AO757" s="641"/>
      <c r="AP757" s="641"/>
      <c r="AQ757" s="641"/>
      <c r="AR757" s="641"/>
      <c r="AS757" s="641"/>
      <c r="AT757" s="641"/>
      <c r="AU757" s="72"/>
      <c r="AV757" s="73"/>
      <c r="AW757" s="643"/>
      <c r="AX757" s="643"/>
      <c r="AY757" s="643"/>
      <c r="AZ757" s="75"/>
      <c r="BA757" s="75"/>
      <c r="BB757" s="75"/>
    </row>
    <row r="758" spans="2:54" s="560" customFormat="1" ht="16.5" customHeight="1">
      <c r="B758" s="72"/>
      <c r="C758" s="72"/>
      <c r="D758" s="72"/>
      <c r="E758" s="73"/>
      <c r="F758" s="641"/>
      <c r="G758" s="73"/>
      <c r="H758" s="641"/>
      <c r="I758" s="641"/>
      <c r="J758" s="641"/>
      <c r="K758" s="641"/>
      <c r="L758" s="73"/>
      <c r="M758" s="72"/>
      <c r="N758" s="72"/>
      <c r="O758" s="642"/>
      <c r="P758" s="642"/>
      <c r="Q758" s="74"/>
      <c r="R758" s="641"/>
      <c r="S758" s="641"/>
      <c r="T758" s="72"/>
      <c r="U758" s="72"/>
      <c r="V758" s="72"/>
      <c r="W758" s="72"/>
      <c r="X758" s="72"/>
      <c r="Y758" s="72"/>
      <c r="Z758" s="72"/>
      <c r="AA758" s="73"/>
      <c r="AB758" s="72"/>
      <c r="AC758" s="641"/>
      <c r="AD758" s="72"/>
      <c r="AE758" s="641"/>
      <c r="AF758" s="641"/>
      <c r="AG758" s="72"/>
      <c r="AH758" s="72"/>
      <c r="AI758" s="72"/>
      <c r="AJ758" s="72"/>
      <c r="AK758" s="72"/>
      <c r="AL758" s="72"/>
      <c r="AM758" s="72"/>
      <c r="AN758" s="73"/>
      <c r="AO758" s="641"/>
      <c r="AP758" s="641"/>
      <c r="AQ758" s="641"/>
      <c r="AR758" s="641"/>
      <c r="AS758" s="641"/>
      <c r="AT758" s="641"/>
      <c r="AU758" s="72"/>
      <c r="AV758" s="73"/>
      <c r="AW758" s="643"/>
      <c r="AX758" s="643"/>
      <c r="AY758" s="643"/>
      <c r="AZ758" s="75"/>
      <c r="BA758" s="75"/>
      <c r="BB758" s="75"/>
    </row>
    <row r="759" spans="2:54" s="560" customFormat="1" ht="16.5" customHeight="1">
      <c r="B759" s="72"/>
      <c r="C759" s="72"/>
      <c r="D759" s="72"/>
      <c r="E759" s="73"/>
      <c r="F759" s="641"/>
      <c r="G759" s="73"/>
      <c r="H759" s="641"/>
      <c r="I759" s="641"/>
      <c r="J759" s="641"/>
      <c r="K759" s="641"/>
      <c r="L759" s="73"/>
      <c r="M759" s="72"/>
      <c r="N759" s="72"/>
      <c r="O759" s="642"/>
      <c r="P759" s="642"/>
      <c r="Q759" s="74"/>
      <c r="R759" s="641"/>
      <c r="S759" s="641"/>
      <c r="T759" s="72"/>
      <c r="U759" s="72"/>
      <c r="V759" s="72"/>
      <c r="W759" s="72"/>
      <c r="X759" s="72"/>
      <c r="Y759" s="72"/>
      <c r="Z759" s="72"/>
      <c r="AA759" s="73"/>
      <c r="AB759" s="72"/>
      <c r="AC759" s="641"/>
      <c r="AD759" s="72"/>
      <c r="AE759" s="641"/>
      <c r="AF759" s="641"/>
      <c r="AG759" s="72"/>
      <c r="AH759" s="72"/>
      <c r="AI759" s="72"/>
      <c r="AJ759" s="72"/>
      <c r="AK759" s="72"/>
      <c r="AL759" s="72"/>
      <c r="AM759" s="72"/>
      <c r="AN759" s="73"/>
      <c r="AO759" s="641"/>
      <c r="AP759" s="641"/>
      <c r="AQ759" s="641"/>
      <c r="AR759" s="641"/>
      <c r="AS759" s="641"/>
      <c r="AT759" s="641"/>
      <c r="AU759" s="72"/>
      <c r="AV759" s="73"/>
      <c r="AW759" s="643"/>
      <c r="AX759" s="643"/>
      <c r="AY759" s="643"/>
      <c r="AZ759" s="75"/>
      <c r="BA759" s="75"/>
      <c r="BB759" s="75"/>
    </row>
    <row r="760" spans="2:54" s="560" customFormat="1" ht="16.5" customHeight="1">
      <c r="B760" s="72"/>
      <c r="C760" s="72"/>
      <c r="D760" s="72"/>
      <c r="E760" s="73"/>
      <c r="F760" s="641"/>
      <c r="G760" s="73"/>
      <c r="H760" s="641"/>
      <c r="I760" s="641"/>
      <c r="J760" s="641"/>
      <c r="K760" s="641"/>
      <c r="L760" s="73"/>
      <c r="M760" s="72"/>
      <c r="N760" s="72"/>
      <c r="O760" s="642"/>
      <c r="P760" s="642"/>
      <c r="Q760" s="74"/>
      <c r="R760" s="641"/>
      <c r="S760" s="641"/>
      <c r="T760" s="72"/>
      <c r="U760" s="72"/>
      <c r="V760" s="72"/>
      <c r="W760" s="72"/>
      <c r="X760" s="72"/>
      <c r="Y760" s="72"/>
      <c r="Z760" s="72"/>
      <c r="AA760" s="73"/>
      <c r="AB760" s="72"/>
      <c r="AC760" s="641"/>
      <c r="AD760" s="72"/>
      <c r="AE760" s="641"/>
      <c r="AF760" s="641"/>
      <c r="AG760" s="72"/>
      <c r="AH760" s="72"/>
      <c r="AI760" s="72"/>
      <c r="AJ760" s="72"/>
      <c r="AK760" s="72"/>
      <c r="AL760" s="72"/>
      <c r="AM760" s="72"/>
      <c r="AN760" s="73"/>
      <c r="AO760" s="641"/>
      <c r="AP760" s="641"/>
      <c r="AQ760" s="641"/>
      <c r="AR760" s="641"/>
      <c r="AS760" s="641"/>
      <c r="AT760" s="641"/>
      <c r="AU760" s="72"/>
      <c r="AV760" s="73"/>
      <c r="AW760" s="643"/>
      <c r="AX760" s="643"/>
      <c r="AY760" s="643"/>
      <c r="AZ760" s="75"/>
      <c r="BA760" s="75"/>
      <c r="BB760" s="75"/>
    </row>
    <row r="761" spans="2:54" s="560" customFormat="1" ht="16.5" customHeight="1">
      <c r="B761" s="72"/>
      <c r="C761" s="72"/>
      <c r="D761" s="72"/>
      <c r="E761" s="73"/>
      <c r="F761" s="641"/>
      <c r="G761" s="73"/>
      <c r="H761" s="641"/>
      <c r="I761" s="641"/>
      <c r="J761" s="641"/>
      <c r="K761" s="641"/>
      <c r="L761" s="73"/>
      <c r="M761" s="72"/>
      <c r="N761" s="72"/>
      <c r="O761" s="642"/>
      <c r="P761" s="642"/>
      <c r="Q761" s="74"/>
      <c r="R761" s="641"/>
      <c r="S761" s="641"/>
      <c r="T761" s="72"/>
      <c r="U761" s="72"/>
      <c r="V761" s="72"/>
      <c r="W761" s="72"/>
      <c r="X761" s="72"/>
      <c r="Y761" s="72"/>
      <c r="Z761" s="72"/>
      <c r="AA761" s="73"/>
      <c r="AB761" s="72"/>
      <c r="AC761" s="641"/>
      <c r="AD761" s="72"/>
      <c r="AE761" s="641"/>
      <c r="AF761" s="641"/>
      <c r="AG761" s="72"/>
      <c r="AH761" s="72"/>
      <c r="AI761" s="72"/>
      <c r="AJ761" s="72"/>
      <c r="AK761" s="72"/>
      <c r="AL761" s="72"/>
      <c r="AM761" s="72"/>
      <c r="AN761" s="73"/>
      <c r="AO761" s="641"/>
      <c r="AP761" s="641"/>
      <c r="AQ761" s="641"/>
      <c r="AR761" s="641"/>
      <c r="AS761" s="641"/>
      <c r="AT761" s="641"/>
      <c r="AU761" s="72"/>
      <c r="AV761" s="73"/>
      <c r="AW761" s="643"/>
      <c r="AX761" s="643"/>
      <c r="AY761" s="643"/>
      <c r="AZ761" s="75"/>
      <c r="BA761" s="75"/>
      <c r="BB761" s="75"/>
    </row>
    <row r="762" spans="2:54" s="560" customFormat="1" ht="16.5" customHeight="1">
      <c r="B762" s="72"/>
      <c r="C762" s="72"/>
      <c r="D762" s="72"/>
      <c r="E762" s="73"/>
      <c r="F762" s="641"/>
      <c r="G762" s="73"/>
      <c r="H762" s="641"/>
      <c r="I762" s="641"/>
      <c r="J762" s="641"/>
      <c r="K762" s="641"/>
      <c r="L762" s="73"/>
      <c r="M762" s="72"/>
      <c r="N762" s="72"/>
      <c r="O762" s="642"/>
      <c r="P762" s="642"/>
      <c r="Q762" s="74"/>
      <c r="R762" s="641"/>
      <c r="S762" s="641"/>
      <c r="T762" s="72"/>
      <c r="U762" s="72"/>
      <c r="V762" s="72"/>
      <c r="W762" s="72"/>
      <c r="X762" s="72"/>
      <c r="Y762" s="72"/>
      <c r="Z762" s="72"/>
      <c r="AA762" s="73"/>
      <c r="AB762" s="72"/>
      <c r="AC762" s="641"/>
      <c r="AD762" s="72"/>
      <c r="AE762" s="641"/>
      <c r="AF762" s="641"/>
      <c r="AG762" s="72"/>
      <c r="AH762" s="72"/>
      <c r="AI762" s="72"/>
      <c r="AJ762" s="72"/>
      <c r="AK762" s="72"/>
      <c r="AL762" s="72"/>
      <c r="AM762" s="72"/>
      <c r="AN762" s="73"/>
      <c r="AO762" s="641"/>
      <c r="AP762" s="641"/>
      <c r="AQ762" s="641"/>
      <c r="AR762" s="641"/>
      <c r="AS762" s="641"/>
      <c r="AT762" s="641"/>
      <c r="AU762" s="72"/>
      <c r="AV762" s="73"/>
      <c r="AW762" s="643"/>
      <c r="AX762" s="643"/>
      <c r="AY762" s="643"/>
      <c r="AZ762" s="75"/>
      <c r="BA762" s="75"/>
      <c r="BB762" s="75"/>
    </row>
    <row r="763" spans="2:54" s="560" customFormat="1" ht="16.5" customHeight="1">
      <c r="B763" s="72"/>
      <c r="C763" s="72"/>
      <c r="D763" s="72"/>
      <c r="E763" s="73"/>
      <c r="F763" s="641"/>
      <c r="G763" s="73"/>
      <c r="H763" s="641"/>
      <c r="I763" s="641"/>
      <c r="J763" s="641"/>
      <c r="K763" s="641"/>
      <c r="L763" s="73"/>
      <c r="M763" s="72"/>
      <c r="N763" s="72"/>
      <c r="O763" s="642"/>
      <c r="P763" s="642"/>
      <c r="Q763" s="74"/>
      <c r="R763" s="641"/>
      <c r="S763" s="641"/>
      <c r="T763" s="72"/>
      <c r="U763" s="72"/>
      <c r="V763" s="72"/>
      <c r="W763" s="72"/>
      <c r="X763" s="72"/>
      <c r="Y763" s="72"/>
      <c r="Z763" s="72"/>
      <c r="AA763" s="73"/>
      <c r="AB763" s="72"/>
      <c r="AC763" s="641"/>
      <c r="AD763" s="72"/>
      <c r="AE763" s="641"/>
      <c r="AF763" s="641"/>
      <c r="AG763" s="72"/>
      <c r="AH763" s="72"/>
      <c r="AI763" s="72"/>
      <c r="AJ763" s="72"/>
      <c r="AK763" s="72"/>
      <c r="AL763" s="72"/>
      <c r="AM763" s="72"/>
      <c r="AN763" s="73"/>
      <c r="AO763" s="641"/>
      <c r="AP763" s="641"/>
      <c r="AQ763" s="641"/>
      <c r="AR763" s="641"/>
      <c r="AS763" s="641"/>
      <c r="AT763" s="641"/>
      <c r="AU763" s="72"/>
      <c r="AV763" s="73"/>
      <c r="AW763" s="643"/>
      <c r="AX763" s="643"/>
      <c r="AY763" s="643"/>
      <c r="AZ763" s="75"/>
      <c r="BA763" s="75"/>
      <c r="BB763" s="75"/>
    </row>
    <row r="764" spans="2:54" s="560" customFormat="1" ht="16.5" customHeight="1">
      <c r="B764" s="72"/>
      <c r="C764" s="72"/>
      <c r="D764" s="72"/>
      <c r="E764" s="73"/>
      <c r="F764" s="641"/>
      <c r="G764" s="73"/>
      <c r="H764" s="641"/>
      <c r="I764" s="641"/>
      <c r="J764" s="641"/>
      <c r="K764" s="641"/>
      <c r="L764" s="73"/>
      <c r="M764" s="72"/>
      <c r="N764" s="72"/>
      <c r="O764" s="642"/>
      <c r="P764" s="642"/>
      <c r="Q764" s="74"/>
      <c r="R764" s="641"/>
      <c r="S764" s="641"/>
      <c r="T764" s="72"/>
      <c r="U764" s="72"/>
      <c r="V764" s="72"/>
      <c r="W764" s="72"/>
      <c r="X764" s="72"/>
      <c r="Y764" s="72"/>
      <c r="Z764" s="72"/>
      <c r="AA764" s="73"/>
      <c r="AB764" s="72"/>
      <c r="AC764" s="641"/>
      <c r="AD764" s="72"/>
      <c r="AE764" s="641"/>
      <c r="AF764" s="641"/>
      <c r="AG764" s="72"/>
      <c r="AH764" s="72"/>
      <c r="AI764" s="72"/>
      <c r="AJ764" s="72"/>
      <c r="AK764" s="72"/>
      <c r="AL764" s="72"/>
      <c r="AM764" s="72"/>
      <c r="AN764" s="73"/>
      <c r="AO764" s="641"/>
      <c r="AP764" s="641"/>
      <c r="AQ764" s="641"/>
      <c r="AR764" s="641"/>
      <c r="AS764" s="641"/>
      <c r="AT764" s="641"/>
      <c r="AU764" s="72"/>
      <c r="AV764" s="73"/>
      <c r="AW764" s="643"/>
      <c r="AX764" s="643"/>
      <c r="AY764" s="643"/>
      <c r="AZ764" s="75"/>
      <c r="BA764" s="75"/>
      <c r="BB764" s="75"/>
    </row>
    <row r="765" spans="2:54" s="560" customFormat="1" ht="16.5" customHeight="1">
      <c r="B765" s="72"/>
      <c r="C765" s="72"/>
      <c r="D765" s="72"/>
      <c r="E765" s="73"/>
      <c r="F765" s="641"/>
      <c r="G765" s="73"/>
      <c r="H765" s="641"/>
      <c r="I765" s="641"/>
      <c r="J765" s="641"/>
      <c r="K765" s="641"/>
      <c r="L765" s="73"/>
      <c r="M765" s="72"/>
      <c r="N765" s="72"/>
      <c r="O765" s="642"/>
      <c r="P765" s="642"/>
      <c r="Q765" s="74"/>
      <c r="R765" s="641"/>
      <c r="S765" s="641"/>
      <c r="T765" s="72"/>
      <c r="U765" s="72"/>
      <c r="V765" s="72"/>
      <c r="W765" s="72"/>
      <c r="X765" s="72"/>
      <c r="Y765" s="72"/>
      <c r="Z765" s="72"/>
      <c r="AA765" s="73"/>
      <c r="AB765" s="72"/>
      <c r="AC765" s="641"/>
      <c r="AD765" s="72"/>
      <c r="AE765" s="641"/>
      <c r="AF765" s="641"/>
      <c r="AG765" s="72"/>
      <c r="AH765" s="72"/>
      <c r="AI765" s="72"/>
      <c r="AJ765" s="72"/>
      <c r="AK765" s="72"/>
      <c r="AL765" s="72"/>
      <c r="AM765" s="72"/>
      <c r="AN765" s="73"/>
      <c r="AO765" s="641"/>
      <c r="AP765" s="641"/>
      <c r="AQ765" s="641"/>
      <c r="AR765" s="641"/>
      <c r="AS765" s="641"/>
      <c r="AT765" s="641"/>
      <c r="AU765" s="72"/>
      <c r="AV765" s="73"/>
      <c r="AW765" s="643"/>
      <c r="AX765" s="643"/>
      <c r="AY765" s="643"/>
      <c r="AZ765" s="75"/>
      <c r="BA765" s="75"/>
      <c r="BB765" s="75"/>
    </row>
    <row r="766" spans="2:54" s="560" customFormat="1" ht="16.5" customHeight="1">
      <c r="B766" s="72"/>
      <c r="C766" s="72"/>
      <c r="D766" s="72"/>
      <c r="E766" s="73"/>
      <c r="F766" s="641"/>
      <c r="G766" s="73"/>
      <c r="H766" s="641"/>
      <c r="I766" s="641"/>
      <c r="J766" s="641"/>
      <c r="K766" s="641"/>
      <c r="L766" s="73"/>
      <c r="M766" s="72"/>
      <c r="N766" s="72"/>
      <c r="O766" s="642"/>
      <c r="P766" s="642"/>
      <c r="Q766" s="74"/>
      <c r="R766" s="641"/>
      <c r="S766" s="641"/>
      <c r="T766" s="72"/>
      <c r="U766" s="72"/>
      <c r="V766" s="72"/>
      <c r="W766" s="72"/>
      <c r="X766" s="72"/>
      <c r="Y766" s="72"/>
      <c r="Z766" s="72"/>
      <c r="AA766" s="73"/>
      <c r="AB766" s="72"/>
      <c r="AC766" s="641"/>
      <c r="AD766" s="72"/>
      <c r="AE766" s="641"/>
      <c r="AF766" s="641"/>
      <c r="AG766" s="72"/>
      <c r="AH766" s="72"/>
      <c r="AI766" s="72"/>
      <c r="AJ766" s="72"/>
      <c r="AK766" s="72"/>
      <c r="AL766" s="72"/>
      <c r="AM766" s="72"/>
      <c r="AN766" s="73"/>
      <c r="AO766" s="641"/>
      <c r="AP766" s="641"/>
      <c r="AQ766" s="641"/>
      <c r="AR766" s="641"/>
      <c r="AS766" s="641"/>
      <c r="AT766" s="641"/>
      <c r="AU766" s="72"/>
      <c r="AV766" s="73"/>
      <c r="AW766" s="643"/>
      <c r="AX766" s="643"/>
      <c r="AY766" s="643"/>
      <c r="AZ766" s="75"/>
      <c r="BA766" s="75"/>
      <c r="BB766" s="75"/>
    </row>
    <row r="767" spans="2:54" s="560" customFormat="1" ht="16.5" customHeight="1">
      <c r="B767" s="72"/>
      <c r="C767" s="72"/>
      <c r="D767" s="72"/>
      <c r="E767" s="73"/>
      <c r="F767" s="641"/>
      <c r="G767" s="73"/>
      <c r="H767" s="641"/>
      <c r="I767" s="641"/>
      <c r="J767" s="641"/>
      <c r="K767" s="641"/>
      <c r="L767" s="73"/>
      <c r="M767" s="72"/>
      <c r="N767" s="72"/>
      <c r="O767" s="642"/>
      <c r="P767" s="642"/>
      <c r="Q767" s="74"/>
      <c r="R767" s="641"/>
      <c r="S767" s="641"/>
      <c r="T767" s="72"/>
      <c r="U767" s="72"/>
      <c r="V767" s="72"/>
      <c r="W767" s="72"/>
      <c r="X767" s="72"/>
      <c r="Y767" s="72"/>
      <c r="Z767" s="72"/>
      <c r="AA767" s="73"/>
      <c r="AB767" s="72"/>
      <c r="AC767" s="641"/>
      <c r="AD767" s="72"/>
      <c r="AE767" s="641"/>
      <c r="AF767" s="641"/>
      <c r="AG767" s="72"/>
      <c r="AH767" s="72"/>
      <c r="AI767" s="72"/>
      <c r="AJ767" s="72"/>
      <c r="AK767" s="72"/>
      <c r="AL767" s="72"/>
      <c r="AM767" s="72"/>
      <c r="AN767" s="73"/>
      <c r="AO767" s="641"/>
      <c r="AP767" s="641"/>
      <c r="AQ767" s="641"/>
      <c r="AR767" s="641"/>
      <c r="AS767" s="641"/>
      <c r="AT767" s="641"/>
      <c r="AU767" s="72"/>
      <c r="AV767" s="73"/>
      <c r="AW767" s="643"/>
      <c r="AX767" s="643"/>
      <c r="AY767" s="643"/>
      <c r="AZ767" s="75"/>
      <c r="BA767" s="75"/>
      <c r="BB767" s="75"/>
    </row>
    <row r="768" spans="2:54" s="560" customFormat="1" ht="16.5" customHeight="1">
      <c r="B768" s="72"/>
      <c r="C768" s="72"/>
      <c r="D768" s="72"/>
      <c r="E768" s="73"/>
      <c r="F768" s="641"/>
      <c r="G768" s="73"/>
      <c r="H768" s="641"/>
      <c r="I768" s="641"/>
      <c r="J768" s="641"/>
      <c r="K768" s="641"/>
      <c r="L768" s="73"/>
      <c r="M768" s="72"/>
      <c r="N768" s="72"/>
      <c r="O768" s="642"/>
      <c r="P768" s="642"/>
      <c r="Q768" s="74"/>
      <c r="R768" s="641"/>
      <c r="S768" s="641"/>
      <c r="T768" s="72"/>
      <c r="U768" s="72"/>
      <c r="V768" s="72"/>
      <c r="W768" s="72"/>
      <c r="X768" s="72"/>
      <c r="Y768" s="72"/>
      <c r="Z768" s="72"/>
      <c r="AA768" s="73"/>
      <c r="AB768" s="72"/>
      <c r="AC768" s="641"/>
      <c r="AD768" s="72"/>
      <c r="AE768" s="641"/>
      <c r="AF768" s="641"/>
      <c r="AG768" s="72"/>
      <c r="AH768" s="72"/>
      <c r="AI768" s="72"/>
      <c r="AJ768" s="72"/>
      <c r="AK768" s="72"/>
      <c r="AL768" s="72"/>
      <c r="AM768" s="72"/>
      <c r="AN768" s="73"/>
      <c r="AO768" s="641"/>
      <c r="AP768" s="641"/>
      <c r="AQ768" s="641"/>
      <c r="AR768" s="641"/>
      <c r="AS768" s="641"/>
      <c r="AT768" s="641"/>
      <c r="AU768" s="72"/>
      <c r="AV768" s="73"/>
      <c r="AW768" s="643"/>
      <c r="AX768" s="643"/>
      <c r="AY768" s="643"/>
      <c r="AZ768" s="75"/>
      <c r="BA768" s="75"/>
      <c r="BB768" s="75"/>
    </row>
    <row r="769" spans="2:54" s="560" customFormat="1" ht="16.5" customHeight="1">
      <c r="B769" s="72"/>
      <c r="C769" s="72"/>
      <c r="D769" s="72"/>
      <c r="E769" s="73"/>
      <c r="F769" s="641"/>
      <c r="G769" s="73"/>
      <c r="H769" s="641"/>
      <c r="I769" s="641"/>
      <c r="J769" s="641"/>
      <c r="K769" s="641"/>
      <c r="L769" s="73"/>
      <c r="M769" s="72"/>
      <c r="N769" s="72"/>
      <c r="O769" s="642"/>
      <c r="P769" s="642"/>
      <c r="Q769" s="74"/>
      <c r="R769" s="641"/>
      <c r="S769" s="641"/>
      <c r="T769" s="72"/>
      <c r="U769" s="72"/>
      <c r="V769" s="72"/>
      <c r="W769" s="72"/>
      <c r="X769" s="72"/>
      <c r="Y769" s="72"/>
      <c r="Z769" s="72"/>
      <c r="AA769" s="73"/>
      <c r="AB769" s="72"/>
      <c r="AC769" s="641"/>
      <c r="AD769" s="72"/>
      <c r="AE769" s="641"/>
      <c r="AF769" s="641"/>
      <c r="AG769" s="72"/>
      <c r="AH769" s="72"/>
      <c r="AI769" s="72"/>
      <c r="AJ769" s="72"/>
      <c r="AK769" s="72"/>
      <c r="AL769" s="72"/>
      <c r="AM769" s="72"/>
      <c r="AN769" s="73"/>
      <c r="AO769" s="641"/>
      <c r="AP769" s="641"/>
      <c r="AQ769" s="641"/>
      <c r="AR769" s="641"/>
      <c r="AS769" s="641"/>
      <c r="AT769" s="641"/>
      <c r="AU769" s="72"/>
      <c r="AV769" s="73"/>
      <c r="AW769" s="643"/>
      <c r="AX769" s="643"/>
      <c r="AY769" s="643"/>
      <c r="AZ769" s="75"/>
      <c r="BA769" s="75"/>
      <c r="BB769" s="75"/>
    </row>
    <row r="770" spans="2:54" s="560" customFormat="1" ht="16.5" customHeight="1">
      <c r="B770" s="72"/>
      <c r="C770" s="72"/>
      <c r="D770" s="72"/>
      <c r="E770" s="73"/>
      <c r="F770" s="641"/>
      <c r="G770" s="73"/>
      <c r="H770" s="641"/>
      <c r="I770" s="641"/>
      <c r="J770" s="641"/>
      <c r="K770" s="641"/>
      <c r="L770" s="73"/>
      <c r="M770" s="72"/>
      <c r="N770" s="72"/>
      <c r="O770" s="642"/>
      <c r="P770" s="642"/>
      <c r="Q770" s="74"/>
      <c r="R770" s="641"/>
      <c r="S770" s="641"/>
      <c r="T770" s="72"/>
      <c r="U770" s="72"/>
      <c r="V770" s="72"/>
      <c r="W770" s="72"/>
      <c r="X770" s="72"/>
      <c r="Y770" s="72"/>
      <c r="Z770" s="72"/>
      <c r="AA770" s="73"/>
      <c r="AB770" s="72"/>
      <c r="AC770" s="641"/>
      <c r="AD770" s="72"/>
      <c r="AE770" s="641"/>
      <c r="AF770" s="641"/>
      <c r="AG770" s="72"/>
      <c r="AH770" s="72"/>
      <c r="AI770" s="72"/>
      <c r="AJ770" s="72"/>
      <c r="AK770" s="72"/>
      <c r="AL770" s="72"/>
      <c r="AM770" s="72"/>
      <c r="AN770" s="73"/>
      <c r="AO770" s="641"/>
      <c r="AP770" s="641"/>
      <c r="AQ770" s="641"/>
      <c r="AR770" s="641"/>
      <c r="AS770" s="641"/>
      <c r="AT770" s="641"/>
      <c r="AU770" s="72"/>
      <c r="AV770" s="73"/>
      <c r="AW770" s="643"/>
      <c r="AX770" s="643"/>
      <c r="AY770" s="643"/>
      <c r="AZ770" s="75"/>
      <c r="BA770" s="75"/>
      <c r="BB770" s="75"/>
    </row>
    <row r="771" spans="2:54" s="560" customFormat="1" ht="16.5" customHeight="1">
      <c r="B771" s="72"/>
      <c r="C771" s="72"/>
      <c r="D771" s="72"/>
      <c r="E771" s="73"/>
      <c r="F771" s="641"/>
      <c r="G771" s="73"/>
      <c r="H771" s="641"/>
      <c r="I771" s="641"/>
      <c r="J771" s="641"/>
      <c r="K771" s="641"/>
      <c r="L771" s="73"/>
      <c r="M771" s="72"/>
      <c r="N771" s="72"/>
      <c r="O771" s="642"/>
      <c r="P771" s="642"/>
      <c r="Q771" s="74"/>
      <c r="R771" s="641"/>
      <c r="S771" s="641"/>
      <c r="T771" s="72"/>
      <c r="U771" s="72"/>
      <c r="V771" s="72"/>
      <c r="W771" s="72"/>
      <c r="X771" s="72"/>
      <c r="Y771" s="72"/>
      <c r="Z771" s="72"/>
      <c r="AA771" s="73"/>
      <c r="AB771" s="72"/>
      <c r="AC771" s="641"/>
      <c r="AD771" s="72"/>
      <c r="AE771" s="641"/>
      <c r="AF771" s="641"/>
      <c r="AG771" s="72"/>
      <c r="AH771" s="72"/>
      <c r="AI771" s="72"/>
      <c r="AJ771" s="72"/>
      <c r="AK771" s="72"/>
      <c r="AL771" s="72"/>
      <c r="AM771" s="72"/>
      <c r="AN771" s="73"/>
      <c r="AO771" s="641"/>
      <c r="AP771" s="641"/>
      <c r="AQ771" s="641"/>
      <c r="AR771" s="641"/>
      <c r="AS771" s="641"/>
      <c r="AT771" s="641"/>
      <c r="AU771" s="72"/>
      <c r="AV771" s="73"/>
      <c r="AW771" s="643"/>
      <c r="AX771" s="643"/>
      <c r="AY771" s="643"/>
      <c r="AZ771" s="75"/>
      <c r="BA771" s="75"/>
      <c r="BB771" s="75"/>
    </row>
    <row r="772" spans="2:54" s="560" customFormat="1" ht="16.5" customHeight="1">
      <c r="B772" s="72"/>
      <c r="C772" s="72"/>
      <c r="D772" s="72"/>
      <c r="E772" s="73"/>
      <c r="F772" s="641"/>
      <c r="G772" s="73"/>
      <c r="H772" s="641"/>
      <c r="I772" s="641"/>
      <c r="J772" s="641"/>
      <c r="K772" s="641"/>
      <c r="L772" s="73"/>
      <c r="M772" s="72"/>
      <c r="N772" s="72"/>
      <c r="O772" s="642"/>
      <c r="P772" s="642"/>
      <c r="Q772" s="74"/>
      <c r="R772" s="641"/>
      <c r="S772" s="641"/>
      <c r="T772" s="72"/>
      <c r="U772" s="72"/>
      <c r="V772" s="72"/>
      <c r="W772" s="72"/>
      <c r="X772" s="72"/>
      <c r="Y772" s="72"/>
      <c r="Z772" s="72"/>
      <c r="AA772" s="73"/>
      <c r="AB772" s="72"/>
      <c r="AC772" s="641"/>
      <c r="AD772" s="72"/>
      <c r="AE772" s="641"/>
      <c r="AF772" s="641"/>
      <c r="AG772" s="72"/>
      <c r="AH772" s="72"/>
      <c r="AI772" s="72"/>
      <c r="AJ772" s="72"/>
      <c r="AK772" s="72"/>
      <c r="AL772" s="72"/>
      <c r="AM772" s="72"/>
      <c r="AN772" s="73"/>
      <c r="AO772" s="641"/>
      <c r="AP772" s="641"/>
      <c r="AQ772" s="641"/>
      <c r="AR772" s="641"/>
      <c r="AS772" s="641"/>
      <c r="AT772" s="641"/>
      <c r="AU772" s="72"/>
      <c r="AV772" s="73"/>
      <c r="AW772" s="643"/>
      <c r="AX772" s="643"/>
      <c r="AY772" s="643"/>
      <c r="AZ772" s="75"/>
      <c r="BA772" s="75"/>
      <c r="BB772" s="75"/>
    </row>
    <row r="773" spans="2:54" s="560" customFormat="1" ht="16.5" customHeight="1">
      <c r="B773" s="72"/>
      <c r="C773" s="72"/>
      <c r="D773" s="72"/>
      <c r="E773" s="73"/>
      <c r="F773" s="641"/>
      <c r="G773" s="73"/>
      <c r="H773" s="641"/>
      <c r="I773" s="641"/>
      <c r="J773" s="641"/>
      <c r="K773" s="641"/>
      <c r="L773" s="73"/>
      <c r="M773" s="72"/>
      <c r="N773" s="72"/>
      <c r="O773" s="642"/>
      <c r="P773" s="642"/>
      <c r="Q773" s="74"/>
      <c r="R773" s="641"/>
      <c r="S773" s="641"/>
      <c r="T773" s="72"/>
      <c r="U773" s="72"/>
      <c r="V773" s="72"/>
      <c r="W773" s="72"/>
      <c r="X773" s="72"/>
      <c r="Y773" s="72"/>
      <c r="Z773" s="72"/>
      <c r="AA773" s="73"/>
      <c r="AB773" s="72"/>
      <c r="AC773" s="641"/>
      <c r="AD773" s="72"/>
      <c r="AE773" s="641"/>
      <c r="AF773" s="641"/>
      <c r="AG773" s="72"/>
      <c r="AH773" s="72"/>
      <c r="AI773" s="72"/>
      <c r="AJ773" s="72"/>
      <c r="AK773" s="72"/>
      <c r="AL773" s="72"/>
      <c r="AM773" s="72"/>
      <c r="AN773" s="73"/>
      <c r="AO773" s="641"/>
      <c r="AP773" s="641"/>
      <c r="AQ773" s="641"/>
      <c r="AR773" s="641"/>
      <c r="AS773" s="641"/>
      <c r="AT773" s="641"/>
      <c r="AU773" s="72"/>
      <c r="AV773" s="73"/>
      <c r="AW773" s="643"/>
      <c r="AX773" s="643"/>
      <c r="AY773" s="643"/>
      <c r="AZ773" s="75"/>
      <c r="BA773" s="75"/>
      <c r="BB773" s="75"/>
    </row>
    <row r="774" spans="2:54" s="560" customFormat="1" ht="16.5" customHeight="1">
      <c r="B774" s="72"/>
      <c r="C774" s="72"/>
      <c r="D774" s="72"/>
      <c r="E774" s="73"/>
      <c r="F774" s="641"/>
      <c r="G774" s="73"/>
      <c r="H774" s="641"/>
      <c r="I774" s="641"/>
      <c r="J774" s="641"/>
      <c r="K774" s="641"/>
      <c r="L774" s="73"/>
      <c r="M774" s="72"/>
      <c r="N774" s="72"/>
      <c r="O774" s="642"/>
      <c r="P774" s="642"/>
      <c r="Q774" s="74"/>
      <c r="R774" s="641"/>
      <c r="S774" s="641"/>
      <c r="T774" s="72"/>
      <c r="U774" s="72"/>
      <c r="V774" s="72"/>
      <c r="W774" s="72"/>
      <c r="X774" s="72"/>
      <c r="Y774" s="72"/>
      <c r="Z774" s="72"/>
      <c r="AA774" s="73"/>
      <c r="AB774" s="72"/>
      <c r="AC774" s="641"/>
      <c r="AD774" s="72"/>
      <c r="AE774" s="641"/>
      <c r="AF774" s="641"/>
      <c r="AG774" s="72"/>
      <c r="AH774" s="72"/>
      <c r="AI774" s="72"/>
      <c r="AJ774" s="72"/>
      <c r="AK774" s="72"/>
      <c r="AL774" s="72"/>
      <c r="AM774" s="72"/>
      <c r="AN774" s="73"/>
      <c r="AO774" s="641"/>
      <c r="AP774" s="641"/>
      <c r="AQ774" s="641"/>
      <c r="AR774" s="641"/>
      <c r="AS774" s="641"/>
      <c r="AT774" s="641"/>
      <c r="AU774" s="72"/>
      <c r="AV774" s="73"/>
      <c r="AW774" s="643"/>
      <c r="AX774" s="643"/>
      <c r="AY774" s="643"/>
      <c r="AZ774" s="75"/>
      <c r="BA774" s="75"/>
      <c r="BB774" s="75"/>
    </row>
    <row r="775" spans="2:54" s="560" customFormat="1" ht="16.5" customHeight="1">
      <c r="B775" s="72"/>
      <c r="C775" s="72"/>
      <c r="D775" s="72"/>
      <c r="E775" s="73"/>
      <c r="F775" s="641"/>
      <c r="G775" s="73"/>
      <c r="H775" s="641"/>
      <c r="I775" s="641"/>
      <c r="J775" s="641"/>
      <c r="K775" s="641"/>
      <c r="L775" s="73"/>
      <c r="M775" s="72"/>
      <c r="N775" s="72"/>
      <c r="O775" s="642"/>
      <c r="P775" s="642"/>
      <c r="Q775" s="74"/>
      <c r="R775" s="641"/>
      <c r="S775" s="641"/>
      <c r="T775" s="72"/>
      <c r="U775" s="72"/>
      <c r="V775" s="72"/>
      <c r="W775" s="72"/>
      <c r="X775" s="72"/>
      <c r="Y775" s="72"/>
      <c r="Z775" s="72"/>
      <c r="AA775" s="73"/>
      <c r="AB775" s="72"/>
      <c r="AC775" s="641"/>
      <c r="AD775" s="72"/>
      <c r="AE775" s="641"/>
      <c r="AF775" s="641"/>
      <c r="AG775" s="72"/>
      <c r="AH775" s="72"/>
      <c r="AI775" s="72"/>
      <c r="AJ775" s="72"/>
      <c r="AK775" s="72"/>
      <c r="AL775" s="72"/>
      <c r="AM775" s="72"/>
      <c r="AN775" s="73"/>
      <c r="AO775" s="641"/>
      <c r="AP775" s="641"/>
      <c r="AQ775" s="641"/>
      <c r="AR775" s="641"/>
      <c r="AS775" s="641"/>
      <c r="AT775" s="641"/>
      <c r="AU775" s="72"/>
      <c r="AV775" s="73"/>
      <c r="AW775" s="643"/>
      <c r="AX775" s="643"/>
      <c r="AY775" s="643"/>
      <c r="AZ775" s="75"/>
      <c r="BA775" s="75"/>
      <c r="BB775" s="75"/>
    </row>
    <row r="776" spans="2:54" s="560" customFormat="1" ht="16.5" customHeight="1">
      <c r="B776" s="72"/>
      <c r="C776" s="72"/>
      <c r="D776" s="72"/>
      <c r="E776" s="73"/>
      <c r="F776" s="641"/>
      <c r="G776" s="73"/>
      <c r="H776" s="641"/>
      <c r="I776" s="641"/>
      <c r="J776" s="641"/>
      <c r="K776" s="641"/>
      <c r="L776" s="73"/>
      <c r="M776" s="72"/>
      <c r="N776" s="72"/>
      <c r="O776" s="642"/>
      <c r="P776" s="642"/>
      <c r="Q776" s="74"/>
      <c r="R776" s="641"/>
      <c r="S776" s="641"/>
      <c r="T776" s="72"/>
      <c r="U776" s="72"/>
      <c r="V776" s="72"/>
      <c r="W776" s="72"/>
      <c r="X776" s="72"/>
      <c r="Y776" s="72"/>
      <c r="Z776" s="72"/>
      <c r="AA776" s="73"/>
      <c r="AB776" s="72"/>
      <c r="AC776" s="641"/>
      <c r="AD776" s="72"/>
      <c r="AE776" s="641"/>
      <c r="AF776" s="641"/>
      <c r="AG776" s="72"/>
      <c r="AH776" s="72"/>
      <c r="AI776" s="72"/>
      <c r="AJ776" s="72"/>
      <c r="AK776" s="72"/>
      <c r="AL776" s="72"/>
      <c r="AM776" s="72"/>
      <c r="AN776" s="73"/>
      <c r="AO776" s="641"/>
      <c r="AP776" s="641"/>
      <c r="AQ776" s="641"/>
      <c r="AR776" s="641"/>
      <c r="AS776" s="641"/>
      <c r="AT776" s="641"/>
      <c r="AU776" s="72"/>
      <c r="AV776" s="73"/>
      <c r="AW776" s="643"/>
      <c r="AX776" s="643"/>
      <c r="AY776" s="643"/>
      <c r="AZ776" s="75"/>
      <c r="BA776" s="75"/>
      <c r="BB776" s="75"/>
    </row>
    <row r="777" spans="2:54" s="560" customFormat="1" ht="16.5" customHeight="1">
      <c r="B777" s="72"/>
      <c r="C777" s="72"/>
      <c r="D777" s="72"/>
      <c r="E777" s="73"/>
      <c r="F777" s="641"/>
      <c r="G777" s="73"/>
      <c r="H777" s="641"/>
      <c r="I777" s="641"/>
      <c r="J777" s="641"/>
      <c r="K777" s="641"/>
      <c r="L777" s="73"/>
      <c r="M777" s="72"/>
      <c r="N777" s="72"/>
      <c r="O777" s="642"/>
      <c r="P777" s="642"/>
      <c r="Q777" s="74"/>
      <c r="R777" s="641"/>
      <c r="S777" s="641"/>
      <c r="T777" s="72"/>
      <c r="U777" s="72"/>
      <c r="V777" s="72"/>
      <c r="W777" s="72"/>
      <c r="X777" s="72"/>
      <c r="Y777" s="72"/>
      <c r="Z777" s="72"/>
      <c r="AA777" s="73"/>
      <c r="AB777" s="72"/>
      <c r="AC777" s="641"/>
      <c r="AD777" s="72"/>
      <c r="AE777" s="641"/>
      <c r="AF777" s="641"/>
      <c r="AG777" s="72"/>
      <c r="AH777" s="72"/>
      <c r="AI777" s="72"/>
      <c r="AJ777" s="72"/>
      <c r="AK777" s="72"/>
      <c r="AL777" s="72"/>
      <c r="AM777" s="72"/>
      <c r="AN777" s="73"/>
      <c r="AO777" s="641"/>
      <c r="AP777" s="641"/>
      <c r="AQ777" s="641"/>
      <c r="AR777" s="641"/>
      <c r="AS777" s="641"/>
      <c r="AT777" s="641"/>
      <c r="AU777" s="72"/>
      <c r="AV777" s="73"/>
      <c r="AW777" s="643"/>
      <c r="AX777" s="643"/>
      <c r="AY777" s="643"/>
      <c r="AZ777" s="75"/>
      <c r="BA777" s="75"/>
      <c r="BB777" s="75"/>
    </row>
    <row r="778" spans="2:54" s="560" customFormat="1" ht="16.5" customHeight="1">
      <c r="B778" s="72"/>
      <c r="C778" s="72"/>
      <c r="D778" s="72"/>
      <c r="E778" s="73"/>
      <c r="F778" s="641"/>
      <c r="G778" s="73"/>
      <c r="H778" s="641"/>
      <c r="I778" s="641"/>
      <c r="J778" s="641"/>
      <c r="K778" s="641"/>
      <c r="L778" s="73"/>
      <c r="M778" s="72"/>
      <c r="N778" s="72"/>
      <c r="O778" s="642"/>
      <c r="P778" s="642"/>
      <c r="Q778" s="74"/>
      <c r="R778" s="641"/>
      <c r="S778" s="641"/>
      <c r="T778" s="72"/>
      <c r="U778" s="72"/>
      <c r="V778" s="72"/>
      <c r="W778" s="72"/>
      <c r="X778" s="72"/>
      <c r="Y778" s="72"/>
      <c r="Z778" s="72"/>
      <c r="AA778" s="73"/>
      <c r="AB778" s="72"/>
      <c r="AC778" s="641"/>
      <c r="AD778" s="72"/>
      <c r="AE778" s="641"/>
      <c r="AF778" s="641"/>
      <c r="AG778" s="72"/>
      <c r="AH778" s="72"/>
      <c r="AI778" s="72"/>
      <c r="AJ778" s="72"/>
      <c r="AK778" s="72"/>
      <c r="AL778" s="72"/>
      <c r="AM778" s="72"/>
      <c r="AN778" s="73"/>
      <c r="AO778" s="641"/>
      <c r="AP778" s="641"/>
      <c r="AQ778" s="641"/>
      <c r="AR778" s="641"/>
      <c r="AS778" s="641"/>
      <c r="AT778" s="641"/>
      <c r="AU778" s="72"/>
      <c r="AV778" s="73"/>
      <c r="AW778" s="643"/>
      <c r="AX778" s="643"/>
      <c r="AY778" s="643"/>
      <c r="AZ778" s="75"/>
      <c r="BA778" s="75"/>
      <c r="BB778" s="75"/>
    </row>
    <row r="779" spans="2:54" s="560" customFormat="1" ht="16.5" customHeight="1">
      <c r="B779" s="72"/>
      <c r="C779" s="72"/>
      <c r="D779" s="72"/>
      <c r="E779" s="73"/>
      <c r="F779" s="641"/>
      <c r="G779" s="73"/>
      <c r="H779" s="641"/>
      <c r="I779" s="641"/>
      <c r="J779" s="641"/>
      <c r="K779" s="641"/>
      <c r="L779" s="73"/>
      <c r="M779" s="72"/>
      <c r="N779" s="72"/>
      <c r="O779" s="642"/>
      <c r="P779" s="642"/>
      <c r="Q779" s="74"/>
      <c r="R779" s="641"/>
      <c r="S779" s="641"/>
      <c r="T779" s="72"/>
      <c r="U779" s="72"/>
      <c r="V779" s="72"/>
      <c r="W779" s="72"/>
      <c r="X779" s="72"/>
      <c r="Y779" s="72"/>
      <c r="Z779" s="72"/>
      <c r="AA779" s="73"/>
      <c r="AB779" s="72"/>
      <c r="AC779" s="641"/>
      <c r="AD779" s="72"/>
      <c r="AE779" s="641"/>
      <c r="AF779" s="641"/>
      <c r="AG779" s="72"/>
      <c r="AH779" s="72"/>
      <c r="AI779" s="72"/>
      <c r="AJ779" s="72"/>
      <c r="AK779" s="72"/>
      <c r="AL779" s="72"/>
      <c r="AM779" s="72"/>
      <c r="AN779" s="73"/>
      <c r="AO779" s="641"/>
      <c r="AP779" s="641"/>
      <c r="AQ779" s="641"/>
      <c r="AR779" s="641"/>
      <c r="AS779" s="641"/>
      <c r="AT779" s="641"/>
      <c r="AU779" s="72"/>
      <c r="AV779" s="73"/>
      <c r="AW779" s="643"/>
      <c r="AX779" s="643"/>
      <c r="AY779" s="643"/>
      <c r="AZ779" s="75"/>
      <c r="BA779" s="75"/>
      <c r="BB779" s="75"/>
    </row>
    <row r="780" spans="2:54" s="560" customFormat="1" ht="16.5" customHeight="1">
      <c r="B780" s="72"/>
      <c r="C780" s="72"/>
      <c r="D780" s="72"/>
      <c r="E780" s="73"/>
      <c r="F780" s="641"/>
      <c r="G780" s="73"/>
      <c r="H780" s="641"/>
      <c r="I780" s="641"/>
      <c r="J780" s="641"/>
      <c r="K780" s="641"/>
      <c r="L780" s="73"/>
      <c r="M780" s="72"/>
      <c r="N780" s="72"/>
      <c r="O780" s="642"/>
      <c r="P780" s="642"/>
      <c r="Q780" s="74"/>
      <c r="R780" s="641"/>
      <c r="S780" s="641"/>
      <c r="T780" s="72"/>
      <c r="U780" s="72"/>
      <c r="V780" s="72"/>
      <c r="W780" s="72"/>
      <c r="X780" s="72"/>
      <c r="Y780" s="72"/>
      <c r="Z780" s="72"/>
      <c r="AA780" s="73"/>
      <c r="AB780" s="72"/>
      <c r="AC780" s="641"/>
      <c r="AD780" s="72"/>
      <c r="AE780" s="641"/>
      <c r="AF780" s="641"/>
      <c r="AG780" s="72"/>
      <c r="AH780" s="72"/>
      <c r="AI780" s="72"/>
      <c r="AJ780" s="72"/>
      <c r="AK780" s="72"/>
      <c r="AL780" s="72"/>
      <c r="AM780" s="72"/>
      <c r="AN780" s="73"/>
      <c r="AO780" s="641"/>
      <c r="AP780" s="641"/>
      <c r="AQ780" s="641"/>
      <c r="AR780" s="641"/>
      <c r="AS780" s="641"/>
      <c r="AT780" s="641"/>
      <c r="AU780" s="72"/>
      <c r="AV780" s="73"/>
      <c r="AW780" s="643"/>
      <c r="AX780" s="643"/>
      <c r="AY780" s="643"/>
      <c r="AZ780" s="75"/>
      <c r="BA780" s="75"/>
      <c r="BB780" s="75"/>
    </row>
    <row r="781" spans="2:54" s="560" customFormat="1" ht="16.5" customHeight="1">
      <c r="B781" s="72"/>
      <c r="C781" s="72"/>
      <c r="D781" s="72"/>
      <c r="E781" s="73"/>
      <c r="F781" s="641"/>
      <c r="G781" s="73"/>
      <c r="H781" s="641"/>
      <c r="I781" s="641"/>
      <c r="J781" s="641"/>
      <c r="K781" s="641"/>
      <c r="L781" s="73"/>
      <c r="M781" s="72"/>
      <c r="N781" s="72"/>
      <c r="O781" s="642"/>
      <c r="P781" s="642"/>
      <c r="Q781" s="74"/>
      <c r="R781" s="641"/>
      <c r="S781" s="641"/>
      <c r="T781" s="72"/>
      <c r="U781" s="72"/>
      <c r="V781" s="72"/>
      <c r="W781" s="72"/>
      <c r="X781" s="72"/>
      <c r="Y781" s="72"/>
      <c r="Z781" s="72"/>
      <c r="AA781" s="73"/>
      <c r="AB781" s="72"/>
      <c r="AC781" s="641"/>
      <c r="AD781" s="72"/>
      <c r="AE781" s="641"/>
      <c r="AF781" s="641"/>
      <c r="AG781" s="72"/>
      <c r="AH781" s="72"/>
      <c r="AI781" s="72"/>
      <c r="AJ781" s="72"/>
      <c r="AK781" s="72"/>
      <c r="AL781" s="72"/>
      <c r="AM781" s="72"/>
      <c r="AN781" s="73"/>
      <c r="AO781" s="641"/>
      <c r="AP781" s="641"/>
      <c r="AQ781" s="641"/>
      <c r="AR781" s="641"/>
      <c r="AS781" s="641"/>
      <c r="AT781" s="641"/>
      <c r="AU781" s="72"/>
      <c r="AV781" s="73"/>
      <c r="AW781" s="643"/>
      <c r="AX781" s="643"/>
      <c r="AY781" s="643"/>
      <c r="AZ781" s="75"/>
      <c r="BA781" s="75"/>
      <c r="BB781" s="75"/>
    </row>
    <row r="782" spans="2:54" s="560" customFormat="1" ht="16.5" customHeight="1">
      <c r="B782" s="72"/>
      <c r="C782" s="72"/>
      <c r="D782" s="72"/>
      <c r="E782" s="73"/>
      <c r="F782" s="641"/>
      <c r="G782" s="73"/>
      <c r="H782" s="641"/>
      <c r="I782" s="641"/>
      <c r="J782" s="641"/>
      <c r="K782" s="641"/>
      <c r="L782" s="73"/>
      <c r="M782" s="72"/>
      <c r="N782" s="72"/>
      <c r="O782" s="642"/>
      <c r="P782" s="642"/>
      <c r="Q782" s="74"/>
      <c r="R782" s="641"/>
      <c r="S782" s="641"/>
      <c r="T782" s="72"/>
      <c r="U782" s="72"/>
      <c r="V782" s="72"/>
      <c r="W782" s="72"/>
      <c r="X782" s="72"/>
      <c r="Y782" s="72"/>
      <c r="Z782" s="72"/>
      <c r="AA782" s="73"/>
      <c r="AB782" s="72"/>
      <c r="AC782" s="641"/>
      <c r="AD782" s="72"/>
      <c r="AE782" s="641"/>
      <c r="AF782" s="641"/>
      <c r="AG782" s="72"/>
      <c r="AH782" s="72"/>
      <c r="AI782" s="72"/>
      <c r="AJ782" s="72"/>
      <c r="AK782" s="72"/>
      <c r="AL782" s="72"/>
      <c r="AM782" s="72"/>
      <c r="AN782" s="73"/>
      <c r="AO782" s="641"/>
      <c r="AP782" s="641"/>
      <c r="AQ782" s="641"/>
      <c r="AR782" s="641"/>
      <c r="AS782" s="641"/>
      <c r="AT782" s="641"/>
      <c r="AU782" s="72"/>
      <c r="AV782" s="73"/>
      <c r="AW782" s="643"/>
      <c r="AX782" s="643"/>
      <c r="AY782" s="643"/>
      <c r="AZ782" s="75"/>
      <c r="BA782" s="75"/>
      <c r="BB782" s="75"/>
    </row>
    <row r="783" spans="2:54" s="560" customFormat="1" ht="16.5" customHeight="1">
      <c r="B783" s="72"/>
      <c r="C783" s="72"/>
      <c r="D783" s="72"/>
      <c r="E783" s="73"/>
      <c r="F783" s="641"/>
      <c r="G783" s="73"/>
      <c r="H783" s="641"/>
      <c r="I783" s="641"/>
      <c r="J783" s="641"/>
      <c r="K783" s="641"/>
      <c r="L783" s="73"/>
      <c r="M783" s="72"/>
      <c r="N783" s="72"/>
      <c r="O783" s="642"/>
      <c r="P783" s="642"/>
      <c r="Q783" s="74"/>
      <c r="R783" s="641"/>
      <c r="S783" s="641"/>
      <c r="T783" s="72"/>
      <c r="U783" s="72"/>
      <c r="V783" s="72"/>
      <c r="W783" s="72"/>
      <c r="X783" s="72"/>
      <c r="Y783" s="72"/>
      <c r="Z783" s="72"/>
      <c r="AA783" s="73"/>
      <c r="AB783" s="72"/>
      <c r="AC783" s="641"/>
      <c r="AD783" s="72"/>
      <c r="AE783" s="641"/>
      <c r="AF783" s="641"/>
      <c r="AG783" s="72"/>
      <c r="AH783" s="72"/>
      <c r="AI783" s="72"/>
      <c r="AJ783" s="72"/>
      <c r="AK783" s="72"/>
      <c r="AL783" s="72"/>
      <c r="AM783" s="72"/>
      <c r="AN783" s="73"/>
      <c r="AO783" s="641"/>
      <c r="AP783" s="641"/>
      <c r="AQ783" s="641"/>
      <c r="AR783" s="641"/>
      <c r="AS783" s="641"/>
      <c r="AT783" s="641"/>
      <c r="AU783" s="72"/>
      <c r="AV783" s="73"/>
      <c r="AW783" s="643"/>
      <c r="AX783" s="643"/>
      <c r="AY783" s="643"/>
      <c r="AZ783" s="75"/>
      <c r="BA783" s="75"/>
      <c r="BB783" s="75"/>
    </row>
    <row r="784" spans="2:54" s="560" customFormat="1" ht="16.5" customHeight="1">
      <c r="B784" s="72"/>
      <c r="C784" s="72"/>
      <c r="D784" s="72"/>
      <c r="E784" s="73"/>
      <c r="F784" s="641"/>
      <c r="G784" s="73"/>
      <c r="H784" s="641"/>
      <c r="I784" s="641"/>
      <c r="J784" s="641"/>
      <c r="K784" s="641"/>
      <c r="L784" s="73"/>
      <c r="M784" s="72"/>
      <c r="N784" s="72"/>
      <c r="O784" s="642"/>
      <c r="P784" s="642"/>
      <c r="Q784" s="74"/>
      <c r="R784" s="641"/>
      <c r="S784" s="641"/>
      <c r="T784" s="72"/>
      <c r="U784" s="72"/>
      <c r="V784" s="72"/>
      <c r="W784" s="72"/>
      <c r="X784" s="72"/>
      <c r="Y784" s="72"/>
      <c r="Z784" s="72"/>
      <c r="AA784" s="73"/>
      <c r="AB784" s="72"/>
      <c r="AC784" s="641"/>
      <c r="AD784" s="72"/>
      <c r="AE784" s="641"/>
      <c r="AF784" s="641"/>
      <c r="AG784" s="72"/>
      <c r="AH784" s="72"/>
      <c r="AI784" s="72"/>
      <c r="AJ784" s="72"/>
      <c r="AK784" s="72"/>
      <c r="AL784" s="72"/>
      <c r="AM784" s="72"/>
      <c r="AN784" s="73"/>
      <c r="AO784" s="641"/>
      <c r="AP784" s="641"/>
      <c r="AQ784" s="641"/>
      <c r="AR784" s="641"/>
      <c r="AS784" s="641"/>
      <c r="AT784" s="641"/>
      <c r="AU784" s="72"/>
      <c r="AV784" s="73"/>
      <c r="AW784" s="643"/>
      <c r="AX784" s="643"/>
      <c r="AY784" s="643"/>
      <c r="AZ784" s="75"/>
      <c r="BA784" s="75"/>
      <c r="BB784" s="75"/>
    </row>
    <row r="785" spans="2:54" s="560" customFormat="1" ht="16.5" customHeight="1">
      <c r="B785" s="72"/>
      <c r="C785" s="72"/>
      <c r="D785" s="72"/>
      <c r="E785" s="73"/>
      <c r="F785" s="641"/>
      <c r="G785" s="73"/>
      <c r="H785" s="641"/>
      <c r="I785" s="641"/>
      <c r="J785" s="641"/>
      <c r="K785" s="641"/>
      <c r="L785" s="73"/>
      <c r="M785" s="72"/>
      <c r="N785" s="72"/>
      <c r="O785" s="642"/>
      <c r="P785" s="642"/>
      <c r="Q785" s="74"/>
      <c r="R785" s="641"/>
      <c r="S785" s="641"/>
      <c r="T785" s="72"/>
      <c r="U785" s="72"/>
      <c r="V785" s="72"/>
      <c r="W785" s="72"/>
      <c r="X785" s="72"/>
      <c r="Y785" s="72"/>
      <c r="Z785" s="72"/>
      <c r="AA785" s="73"/>
      <c r="AB785" s="72"/>
      <c r="AC785" s="641"/>
      <c r="AD785" s="72"/>
      <c r="AE785" s="641"/>
      <c r="AF785" s="641"/>
      <c r="AG785" s="72"/>
      <c r="AH785" s="72"/>
      <c r="AI785" s="72"/>
      <c r="AJ785" s="72"/>
      <c r="AK785" s="72"/>
      <c r="AL785" s="72"/>
      <c r="AM785" s="72"/>
      <c r="AN785" s="73"/>
      <c r="AO785" s="641"/>
      <c r="AP785" s="641"/>
      <c r="AQ785" s="641"/>
      <c r="AR785" s="641"/>
      <c r="AS785" s="641"/>
      <c r="AT785" s="641"/>
      <c r="AU785" s="72"/>
      <c r="AV785" s="73"/>
      <c r="AW785" s="643"/>
      <c r="AX785" s="643"/>
      <c r="AY785" s="643"/>
      <c r="AZ785" s="75"/>
      <c r="BA785" s="75"/>
      <c r="BB785" s="75"/>
    </row>
    <row r="786" spans="2:54" s="560" customFormat="1" ht="16.5" customHeight="1">
      <c r="B786" s="72"/>
      <c r="C786" s="72"/>
      <c r="D786" s="72"/>
      <c r="E786" s="73"/>
      <c r="F786" s="641"/>
      <c r="G786" s="73"/>
      <c r="H786" s="641"/>
      <c r="I786" s="641"/>
      <c r="J786" s="641"/>
      <c r="K786" s="641"/>
      <c r="L786" s="73"/>
      <c r="M786" s="72"/>
      <c r="N786" s="72"/>
      <c r="O786" s="642"/>
      <c r="P786" s="642"/>
      <c r="Q786" s="74"/>
      <c r="R786" s="641"/>
      <c r="S786" s="641"/>
      <c r="T786" s="72"/>
      <c r="U786" s="72"/>
      <c r="V786" s="72"/>
      <c r="W786" s="72"/>
      <c r="X786" s="72"/>
      <c r="Y786" s="72"/>
      <c r="Z786" s="72"/>
      <c r="AA786" s="73"/>
      <c r="AB786" s="72"/>
      <c r="AC786" s="641"/>
      <c r="AD786" s="72"/>
      <c r="AE786" s="641"/>
      <c r="AF786" s="641"/>
      <c r="AG786" s="72"/>
      <c r="AH786" s="72"/>
      <c r="AI786" s="72"/>
      <c r="AJ786" s="72"/>
      <c r="AK786" s="72"/>
      <c r="AL786" s="72"/>
      <c r="AM786" s="72"/>
      <c r="AN786" s="73"/>
      <c r="AO786" s="641"/>
      <c r="AP786" s="641"/>
      <c r="AQ786" s="641"/>
      <c r="AR786" s="641"/>
      <c r="AS786" s="641"/>
      <c r="AT786" s="641"/>
      <c r="AU786" s="72"/>
      <c r="AV786" s="73"/>
      <c r="AW786" s="643"/>
      <c r="AX786" s="643"/>
      <c r="AY786" s="643"/>
      <c r="AZ786" s="75"/>
      <c r="BA786" s="75"/>
      <c r="BB786" s="75"/>
    </row>
    <row r="787" spans="2:54" s="560" customFormat="1" ht="16.5" customHeight="1">
      <c r="B787" s="72"/>
      <c r="C787" s="72"/>
      <c r="D787" s="72"/>
      <c r="E787" s="73"/>
      <c r="F787" s="641"/>
      <c r="G787" s="73"/>
      <c r="H787" s="641"/>
      <c r="I787" s="641"/>
      <c r="J787" s="641"/>
      <c r="K787" s="641"/>
      <c r="L787" s="73"/>
      <c r="M787" s="72"/>
      <c r="N787" s="72"/>
      <c r="O787" s="642"/>
      <c r="P787" s="642"/>
      <c r="Q787" s="74"/>
      <c r="R787" s="641"/>
      <c r="S787" s="641"/>
      <c r="T787" s="72"/>
      <c r="U787" s="72"/>
      <c r="V787" s="72"/>
      <c r="W787" s="72"/>
      <c r="X787" s="72"/>
      <c r="Y787" s="72"/>
      <c r="Z787" s="72"/>
      <c r="AA787" s="73"/>
      <c r="AB787" s="72"/>
      <c r="AC787" s="641"/>
      <c r="AD787" s="72"/>
      <c r="AE787" s="641"/>
      <c r="AF787" s="641"/>
      <c r="AG787" s="72"/>
      <c r="AH787" s="72"/>
      <c r="AI787" s="72"/>
      <c r="AJ787" s="72"/>
      <c r="AK787" s="72"/>
      <c r="AL787" s="72"/>
      <c r="AM787" s="72"/>
      <c r="AN787" s="73"/>
      <c r="AO787" s="641"/>
      <c r="AP787" s="641"/>
      <c r="AQ787" s="641"/>
      <c r="AR787" s="641"/>
      <c r="AS787" s="641"/>
      <c r="AT787" s="641"/>
      <c r="AU787" s="72"/>
      <c r="AV787" s="73"/>
      <c r="AW787" s="643"/>
      <c r="AX787" s="643"/>
      <c r="AY787" s="643"/>
      <c r="AZ787" s="75"/>
      <c r="BA787" s="75"/>
      <c r="BB787" s="75"/>
    </row>
    <row r="788" spans="2:54" s="560" customFormat="1" ht="16.5" customHeight="1">
      <c r="B788" s="72"/>
      <c r="C788" s="72"/>
      <c r="D788" s="72"/>
      <c r="E788" s="73"/>
      <c r="F788" s="641"/>
      <c r="G788" s="73"/>
      <c r="H788" s="641"/>
      <c r="I788" s="641"/>
      <c r="J788" s="641"/>
      <c r="K788" s="641"/>
      <c r="L788" s="73"/>
      <c r="M788" s="72"/>
      <c r="N788" s="72"/>
      <c r="O788" s="642"/>
      <c r="P788" s="642"/>
      <c r="Q788" s="74"/>
      <c r="R788" s="641"/>
      <c r="S788" s="641"/>
      <c r="T788" s="72"/>
      <c r="U788" s="72"/>
      <c r="V788" s="72"/>
      <c r="W788" s="72"/>
      <c r="X788" s="72"/>
      <c r="Y788" s="72"/>
      <c r="Z788" s="72"/>
      <c r="AA788" s="73"/>
      <c r="AB788" s="72"/>
      <c r="AC788" s="641"/>
      <c r="AD788" s="72"/>
      <c r="AE788" s="641"/>
      <c r="AF788" s="641"/>
      <c r="AG788" s="72"/>
      <c r="AH788" s="72"/>
      <c r="AI788" s="72"/>
      <c r="AJ788" s="72"/>
      <c r="AK788" s="72"/>
      <c r="AL788" s="72"/>
      <c r="AM788" s="72"/>
      <c r="AN788" s="73"/>
      <c r="AO788" s="641"/>
      <c r="AP788" s="641"/>
      <c r="AQ788" s="641"/>
      <c r="AR788" s="641"/>
      <c r="AS788" s="641"/>
      <c r="AT788" s="641"/>
      <c r="AU788" s="72"/>
      <c r="AV788" s="73"/>
      <c r="AW788" s="643"/>
      <c r="AX788" s="643"/>
      <c r="AY788" s="643"/>
      <c r="AZ788" s="75"/>
      <c r="BA788" s="75"/>
      <c r="BB788" s="75"/>
    </row>
    <row r="789" spans="2:54" s="560" customFormat="1" ht="16.5" customHeight="1">
      <c r="B789" s="72"/>
      <c r="C789" s="72"/>
      <c r="D789" s="72"/>
      <c r="E789" s="73"/>
      <c r="F789" s="641"/>
      <c r="G789" s="73"/>
      <c r="H789" s="641"/>
      <c r="I789" s="641"/>
      <c r="J789" s="641"/>
      <c r="K789" s="641"/>
      <c r="L789" s="73"/>
      <c r="M789" s="72"/>
      <c r="N789" s="72"/>
      <c r="O789" s="642"/>
      <c r="P789" s="642"/>
      <c r="Q789" s="74"/>
      <c r="R789" s="641"/>
      <c r="S789" s="641"/>
      <c r="T789" s="72"/>
      <c r="U789" s="72"/>
      <c r="V789" s="72"/>
      <c r="W789" s="72"/>
      <c r="X789" s="72"/>
      <c r="Y789" s="72"/>
      <c r="Z789" s="72"/>
      <c r="AA789" s="73"/>
      <c r="AB789" s="72"/>
      <c r="AC789" s="641"/>
      <c r="AD789" s="72"/>
      <c r="AE789" s="641"/>
      <c r="AF789" s="641"/>
      <c r="AG789" s="72"/>
      <c r="AH789" s="72"/>
      <c r="AI789" s="72"/>
      <c r="AJ789" s="72"/>
      <c r="AK789" s="72"/>
      <c r="AL789" s="72"/>
      <c r="AM789" s="72"/>
      <c r="AN789" s="73"/>
      <c r="AO789" s="641"/>
      <c r="AP789" s="641"/>
      <c r="AQ789" s="641"/>
      <c r="AR789" s="641"/>
      <c r="AS789" s="641"/>
      <c r="AT789" s="641"/>
      <c r="AU789" s="72"/>
      <c r="AV789" s="73"/>
      <c r="AW789" s="643"/>
      <c r="AX789" s="643"/>
      <c r="AY789" s="643"/>
      <c r="AZ789" s="75"/>
      <c r="BA789" s="75"/>
      <c r="BB789" s="75"/>
    </row>
    <row r="790" spans="2:54" s="560" customFormat="1" ht="16.5" customHeight="1">
      <c r="B790" s="72"/>
      <c r="C790" s="72"/>
      <c r="D790" s="72"/>
      <c r="E790" s="73"/>
      <c r="F790" s="641"/>
      <c r="G790" s="73"/>
      <c r="H790" s="641"/>
      <c r="I790" s="641"/>
      <c r="J790" s="641"/>
      <c r="K790" s="641"/>
      <c r="L790" s="73"/>
      <c r="M790" s="72"/>
      <c r="N790" s="72"/>
      <c r="O790" s="642"/>
      <c r="P790" s="642"/>
      <c r="Q790" s="74"/>
      <c r="R790" s="641"/>
      <c r="S790" s="641"/>
      <c r="T790" s="72"/>
      <c r="U790" s="72"/>
      <c r="V790" s="72"/>
      <c r="W790" s="72"/>
      <c r="X790" s="72"/>
      <c r="Y790" s="72"/>
      <c r="Z790" s="72"/>
      <c r="AA790" s="73"/>
      <c r="AB790" s="72"/>
      <c r="AC790" s="641"/>
      <c r="AD790" s="72"/>
      <c r="AE790" s="641"/>
      <c r="AF790" s="641"/>
      <c r="AG790" s="72"/>
      <c r="AH790" s="72"/>
      <c r="AI790" s="72"/>
      <c r="AJ790" s="72"/>
      <c r="AK790" s="72"/>
      <c r="AL790" s="72"/>
      <c r="AM790" s="72"/>
      <c r="AN790" s="73"/>
      <c r="AO790" s="641"/>
      <c r="AP790" s="641"/>
      <c r="AQ790" s="641"/>
      <c r="AR790" s="641"/>
      <c r="AS790" s="641"/>
      <c r="AT790" s="641"/>
      <c r="AU790" s="72"/>
      <c r="AV790" s="73"/>
      <c r="AW790" s="643"/>
      <c r="AX790" s="643"/>
      <c r="AY790" s="643"/>
      <c r="AZ790" s="75"/>
      <c r="BA790" s="75"/>
      <c r="BB790" s="75"/>
    </row>
    <row r="791" spans="2:54" s="560" customFormat="1" ht="16.5" customHeight="1">
      <c r="B791" s="72"/>
      <c r="C791" s="72"/>
      <c r="D791" s="72"/>
      <c r="E791" s="73"/>
      <c r="F791" s="641"/>
      <c r="G791" s="73"/>
      <c r="H791" s="641"/>
      <c r="I791" s="641"/>
      <c r="J791" s="641"/>
      <c r="K791" s="641"/>
      <c r="L791" s="73"/>
      <c r="M791" s="72"/>
      <c r="N791" s="72"/>
      <c r="O791" s="642"/>
      <c r="P791" s="642"/>
      <c r="Q791" s="74"/>
      <c r="R791" s="641"/>
      <c r="S791" s="641"/>
      <c r="T791" s="72"/>
      <c r="U791" s="72"/>
      <c r="V791" s="72"/>
      <c r="W791" s="72"/>
      <c r="X791" s="72"/>
      <c r="Y791" s="72"/>
      <c r="Z791" s="72"/>
      <c r="AA791" s="73"/>
      <c r="AB791" s="72"/>
      <c r="AC791" s="641"/>
      <c r="AD791" s="72"/>
      <c r="AE791" s="641"/>
      <c r="AF791" s="641"/>
      <c r="AG791" s="72"/>
      <c r="AH791" s="72"/>
      <c r="AI791" s="72"/>
      <c r="AJ791" s="72"/>
      <c r="AK791" s="72"/>
      <c r="AL791" s="72"/>
      <c r="AM791" s="72"/>
      <c r="AN791" s="73"/>
      <c r="AO791" s="641"/>
      <c r="AP791" s="641"/>
      <c r="AQ791" s="641"/>
      <c r="AR791" s="641"/>
      <c r="AS791" s="641"/>
      <c r="AT791" s="641"/>
      <c r="AU791" s="72"/>
      <c r="AV791" s="73"/>
      <c r="AW791" s="643"/>
      <c r="AX791" s="643"/>
      <c r="AY791" s="643"/>
      <c r="AZ791" s="75"/>
      <c r="BA791" s="75"/>
      <c r="BB791" s="75"/>
    </row>
    <row r="792" spans="2:54" s="560" customFormat="1" ht="16.5" customHeight="1">
      <c r="B792" s="72"/>
      <c r="C792" s="72"/>
      <c r="D792" s="72"/>
      <c r="E792" s="73"/>
      <c r="F792" s="641"/>
      <c r="G792" s="73"/>
      <c r="H792" s="641"/>
      <c r="I792" s="641"/>
      <c r="J792" s="641"/>
      <c r="K792" s="641"/>
      <c r="L792" s="73"/>
      <c r="M792" s="72"/>
      <c r="N792" s="72"/>
      <c r="O792" s="642"/>
      <c r="P792" s="642"/>
      <c r="Q792" s="74"/>
      <c r="R792" s="641"/>
      <c r="S792" s="641"/>
      <c r="T792" s="72"/>
      <c r="U792" s="72"/>
      <c r="V792" s="72"/>
      <c r="W792" s="72"/>
      <c r="X792" s="72"/>
      <c r="Y792" s="72"/>
      <c r="Z792" s="72"/>
      <c r="AA792" s="73"/>
      <c r="AB792" s="72"/>
      <c r="AC792" s="641"/>
      <c r="AD792" s="72"/>
      <c r="AE792" s="641"/>
      <c r="AF792" s="641"/>
      <c r="AG792" s="72"/>
      <c r="AH792" s="72"/>
      <c r="AI792" s="72"/>
      <c r="AJ792" s="72"/>
      <c r="AK792" s="72"/>
      <c r="AL792" s="72"/>
      <c r="AM792" s="72"/>
      <c r="AN792" s="73"/>
      <c r="AO792" s="641"/>
      <c r="AP792" s="641"/>
      <c r="AQ792" s="641"/>
      <c r="AR792" s="641"/>
      <c r="AS792" s="641"/>
      <c r="AT792" s="641"/>
      <c r="AU792" s="72"/>
      <c r="AV792" s="73"/>
      <c r="AW792" s="643"/>
      <c r="AX792" s="643"/>
      <c r="AY792" s="643"/>
      <c r="AZ792" s="75"/>
      <c r="BA792" s="75"/>
      <c r="BB792" s="75"/>
    </row>
    <row r="793" spans="2:54" s="560" customFormat="1" ht="16.5" customHeight="1">
      <c r="B793" s="72"/>
      <c r="C793" s="72"/>
      <c r="D793" s="72"/>
      <c r="E793" s="73"/>
      <c r="F793" s="641"/>
      <c r="G793" s="73"/>
      <c r="H793" s="641"/>
      <c r="I793" s="641"/>
      <c r="J793" s="641"/>
      <c r="K793" s="641"/>
      <c r="L793" s="73"/>
      <c r="M793" s="72"/>
      <c r="N793" s="72"/>
      <c r="O793" s="642"/>
      <c r="P793" s="642"/>
      <c r="Q793" s="74"/>
      <c r="R793" s="641"/>
      <c r="S793" s="641"/>
      <c r="T793" s="72"/>
      <c r="U793" s="72"/>
      <c r="V793" s="72"/>
      <c r="W793" s="72"/>
      <c r="X793" s="72"/>
      <c r="Y793" s="72"/>
      <c r="Z793" s="72"/>
      <c r="AA793" s="73"/>
      <c r="AB793" s="72"/>
      <c r="AC793" s="641"/>
      <c r="AD793" s="72"/>
      <c r="AE793" s="641"/>
      <c r="AF793" s="641"/>
      <c r="AG793" s="72"/>
      <c r="AH793" s="72"/>
      <c r="AI793" s="72"/>
      <c r="AJ793" s="72"/>
      <c r="AK793" s="72"/>
      <c r="AL793" s="72"/>
      <c r="AM793" s="72"/>
      <c r="AN793" s="73"/>
      <c r="AO793" s="641"/>
      <c r="AP793" s="641"/>
      <c r="AQ793" s="641"/>
      <c r="AR793" s="641"/>
      <c r="AS793" s="641"/>
      <c r="AT793" s="641"/>
      <c r="AU793" s="72"/>
      <c r="AV793" s="73"/>
      <c r="AW793" s="643"/>
      <c r="AX793" s="643"/>
      <c r="AY793" s="643"/>
      <c r="AZ793" s="75"/>
      <c r="BA793" s="75"/>
      <c r="BB793" s="75"/>
    </row>
    <row r="794" spans="2:54" s="560" customFormat="1" ht="16.5" customHeight="1">
      <c r="B794" s="72"/>
      <c r="C794" s="72"/>
      <c r="D794" s="72"/>
      <c r="E794" s="73"/>
      <c r="F794" s="641"/>
      <c r="G794" s="73"/>
      <c r="H794" s="641"/>
      <c r="I794" s="641"/>
      <c r="J794" s="641"/>
      <c r="K794" s="641"/>
      <c r="L794" s="73"/>
      <c r="M794" s="72"/>
      <c r="N794" s="72"/>
      <c r="O794" s="642"/>
      <c r="P794" s="642"/>
      <c r="Q794" s="74"/>
      <c r="R794" s="641"/>
      <c r="S794" s="641"/>
      <c r="T794" s="72"/>
      <c r="U794" s="72"/>
      <c r="V794" s="72"/>
      <c r="W794" s="72"/>
      <c r="X794" s="72"/>
      <c r="Y794" s="72"/>
      <c r="Z794" s="72"/>
      <c r="AA794" s="73"/>
      <c r="AB794" s="72"/>
      <c r="AC794" s="641"/>
      <c r="AD794" s="72"/>
      <c r="AE794" s="641"/>
      <c r="AF794" s="641"/>
      <c r="AG794" s="72"/>
      <c r="AH794" s="72"/>
      <c r="AI794" s="72"/>
      <c r="AJ794" s="72"/>
      <c r="AK794" s="72"/>
      <c r="AL794" s="72"/>
      <c r="AM794" s="72"/>
      <c r="AN794" s="73"/>
      <c r="AO794" s="641"/>
      <c r="AP794" s="641"/>
      <c r="AQ794" s="641"/>
      <c r="AR794" s="641"/>
      <c r="AS794" s="641"/>
      <c r="AT794" s="641"/>
      <c r="AU794" s="72"/>
      <c r="AV794" s="73"/>
      <c r="AW794" s="643"/>
      <c r="AX794" s="643"/>
      <c r="AY794" s="643"/>
      <c r="AZ794" s="75"/>
      <c r="BA794" s="75"/>
      <c r="BB794" s="75"/>
    </row>
    <row r="795" spans="2:54" s="560" customFormat="1" ht="16.5" customHeight="1">
      <c r="B795" s="72"/>
      <c r="C795" s="72"/>
      <c r="D795" s="72"/>
      <c r="E795" s="73"/>
      <c r="F795" s="641"/>
      <c r="G795" s="73"/>
      <c r="H795" s="641"/>
      <c r="I795" s="641"/>
      <c r="J795" s="641"/>
      <c r="K795" s="641"/>
      <c r="L795" s="73"/>
      <c r="M795" s="72"/>
      <c r="N795" s="72"/>
      <c r="O795" s="642"/>
      <c r="P795" s="642"/>
      <c r="Q795" s="74"/>
      <c r="R795" s="641"/>
      <c r="S795" s="641"/>
      <c r="T795" s="72"/>
      <c r="U795" s="72"/>
      <c r="V795" s="72"/>
      <c r="W795" s="72"/>
      <c r="X795" s="72"/>
      <c r="Y795" s="72"/>
      <c r="Z795" s="72"/>
      <c r="AA795" s="73"/>
      <c r="AB795" s="72"/>
      <c r="AC795" s="641"/>
      <c r="AD795" s="72"/>
      <c r="AE795" s="641"/>
      <c r="AF795" s="641"/>
      <c r="AG795" s="72"/>
      <c r="AH795" s="72"/>
      <c r="AI795" s="72"/>
      <c r="AJ795" s="72"/>
      <c r="AK795" s="72"/>
      <c r="AL795" s="72"/>
      <c r="AM795" s="72"/>
      <c r="AN795" s="73"/>
      <c r="AO795" s="641"/>
      <c r="AP795" s="641"/>
      <c r="AQ795" s="641"/>
      <c r="AR795" s="641"/>
      <c r="AS795" s="641"/>
      <c r="AT795" s="641"/>
      <c r="AU795" s="72"/>
      <c r="AV795" s="73"/>
      <c r="AW795" s="643"/>
      <c r="AX795" s="643"/>
      <c r="AY795" s="643"/>
      <c r="AZ795" s="75"/>
      <c r="BA795" s="75"/>
      <c r="BB795" s="75"/>
    </row>
    <row r="796" spans="2:54" s="560" customFormat="1" ht="16.5" customHeight="1">
      <c r="B796" s="72"/>
      <c r="C796" s="72"/>
      <c r="D796" s="72"/>
      <c r="E796" s="73"/>
      <c r="F796" s="641"/>
      <c r="G796" s="73"/>
      <c r="H796" s="641"/>
      <c r="I796" s="641"/>
      <c r="J796" s="641"/>
      <c r="K796" s="641"/>
      <c r="L796" s="73"/>
      <c r="M796" s="72"/>
      <c r="N796" s="72"/>
      <c r="O796" s="642"/>
      <c r="P796" s="642"/>
      <c r="Q796" s="74"/>
      <c r="R796" s="641"/>
      <c r="S796" s="641"/>
      <c r="T796" s="72"/>
      <c r="U796" s="72"/>
      <c r="V796" s="72"/>
      <c r="W796" s="72"/>
      <c r="X796" s="72"/>
      <c r="Y796" s="72"/>
      <c r="Z796" s="72"/>
      <c r="AA796" s="73"/>
      <c r="AB796" s="72"/>
      <c r="AC796" s="641"/>
      <c r="AD796" s="72"/>
      <c r="AE796" s="641"/>
      <c r="AF796" s="641"/>
      <c r="AG796" s="72"/>
      <c r="AH796" s="72"/>
      <c r="AI796" s="72"/>
      <c r="AJ796" s="72"/>
      <c r="AK796" s="72"/>
      <c r="AL796" s="72"/>
      <c r="AM796" s="72"/>
      <c r="AN796" s="73"/>
      <c r="AO796" s="641"/>
      <c r="AP796" s="641"/>
      <c r="AQ796" s="641"/>
      <c r="AR796" s="641"/>
      <c r="AS796" s="641"/>
      <c r="AT796" s="641"/>
      <c r="AU796" s="72"/>
      <c r="AV796" s="73"/>
      <c r="AW796" s="643"/>
      <c r="AX796" s="643"/>
      <c r="AY796" s="643"/>
      <c r="AZ796" s="75"/>
      <c r="BA796" s="75"/>
      <c r="BB796" s="75"/>
    </row>
    <row r="797" spans="2:54" s="560" customFormat="1" ht="16.5" customHeight="1">
      <c r="B797" s="72"/>
      <c r="C797" s="72"/>
      <c r="D797" s="72"/>
      <c r="E797" s="73"/>
      <c r="F797" s="641"/>
      <c r="G797" s="73"/>
      <c r="H797" s="641"/>
      <c r="I797" s="641"/>
      <c r="J797" s="641"/>
      <c r="K797" s="641"/>
      <c r="L797" s="73"/>
      <c r="M797" s="72"/>
      <c r="N797" s="72"/>
      <c r="O797" s="642"/>
      <c r="P797" s="642"/>
      <c r="Q797" s="74"/>
      <c r="R797" s="641"/>
      <c r="S797" s="641"/>
      <c r="T797" s="72"/>
      <c r="U797" s="72"/>
      <c r="V797" s="72"/>
      <c r="W797" s="72"/>
      <c r="X797" s="72"/>
      <c r="Y797" s="72"/>
      <c r="Z797" s="72"/>
      <c r="AA797" s="73"/>
      <c r="AB797" s="72"/>
      <c r="AC797" s="641"/>
      <c r="AD797" s="72"/>
      <c r="AE797" s="641"/>
      <c r="AF797" s="641"/>
      <c r="AG797" s="72"/>
      <c r="AH797" s="72"/>
      <c r="AI797" s="72"/>
      <c r="AJ797" s="72"/>
      <c r="AK797" s="72"/>
      <c r="AL797" s="72"/>
      <c r="AM797" s="72"/>
      <c r="AN797" s="73"/>
      <c r="AO797" s="641"/>
      <c r="AP797" s="641"/>
      <c r="AQ797" s="641"/>
      <c r="AR797" s="641"/>
      <c r="AS797" s="641"/>
      <c r="AT797" s="641"/>
      <c r="AU797" s="72"/>
      <c r="AV797" s="73"/>
      <c r="AW797" s="643"/>
      <c r="AX797" s="643"/>
      <c r="AY797" s="643"/>
      <c r="AZ797" s="75"/>
      <c r="BA797" s="75"/>
      <c r="BB797" s="75"/>
    </row>
    <row r="798" spans="2:54" s="560" customFormat="1" ht="16.5" customHeight="1">
      <c r="B798" s="72"/>
      <c r="C798" s="72"/>
      <c r="D798" s="72"/>
      <c r="E798" s="73"/>
      <c r="F798" s="641"/>
      <c r="G798" s="73"/>
      <c r="H798" s="641"/>
      <c r="I798" s="641"/>
      <c r="J798" s="641"/>
      <c r="K798" s="641"/>
      <c r="L798" s="73"/>
      <c r="M798" s="72"/>
      <c r="N798" s="72"/>
      <c r="O798" s="642"/>
      <c r="P798" s="642"/>
      <c r="Q798" s="74"/>
      <c r="R798" s="641"/>
      <c r="S798" s="641"/>
      <c r="T798" s="72"/>
      <c r="U798" s="72"/>
      <c r="V798" s="72"/>
      <c r="W798" s="72"/>
      <c r="X798" s="72"/>
      <c r="Y798" s="72"/>
      <c r="Z798" s="72"/>
      <c r="AA798" s="73"/>
      <c r="AB798" s="72"/>
      <c r="AC798" s="641"/>
      <c r="AD798" s="72"/>
      <c r="AE798" s="641"/>
      <c r="AF798" s="641"/>
      <c r="AG798" s="72"/>
      <c r="AH798" s="72"/>
      <c r="AI798" s="72"/>
      <c r="AJ798" s="72"/>
      <c r="AK798" s="72"/>
      <c r="AL798" s="72"/>
      <c r="AM798" s="72"/>
      <c r="AN798" s="73"/>
      <c r="AO798" s="641"/>
      <c r="AP798" s="641"/>
      <c r="AQ798" s="641"/>
      <c r="AR798" s="641"/>
      <c r="AS798" s="641"/>
      <c r="AT798" s="641"/>
      <c r="AU798" s="72"/>
      <c r="AV798" s="73"/>
      <c r="AW798" s="643"/>
      <c r="AX798" s="643"/>
      <c r="AY798" s="643"/>
      <c r="AZ798" s="75"/>
      <c r="BA798" s="75"/>
      <c r="BB798" s="75"/>
    </row>
    <row r="799" spans="2:54" s="560" customFormat="1" ht="16.5" customHeight="1">
      <c r="B799" s="72"/>
      <c r="C799" s="72"/>
      <c r="D799" s="72"/>
      <c r="E799" s="73"/>
      <c r="F799" s="641"/>
      <c r="G799" s="73"/>
      <c r="H799" s="641"/>
      <c r="I799" s="641"/>
      <c r="J799" s="641"/>
      <c r="K799" s="641"/>
      <c r="L799" s="73"/>
      <c r="M799" s="72"/>
      <c r="N799" s="72"/>
      <c r="O799" s="642"/>
      <c r="P799" s="642"/>
      <c r="Q799" s="74"/>
      <c r="R799" s="641"/>
      <c r="S799" s="641"/>
      <c r="T799" s="72"/>
      <c r="U799" s="72"/>
      <c r="V799" s="72"/>
      <c r="W799" s="72"/>
      <c r="X799" s="72"/>
      <c r="Y799" s="72"/>
      <c r="Z799" s="72"/>
      <c r="AA799" s="73"/>
      <c r="AB799" s="72"/>
      <c r="AC799" s="641"/>
      <c r="AD799" s="72"/>
      <c r="AE799" s="641"/>
      <c r="AF799" s="641"/>
      <c r="AG799" s="72"/>
      <c r="AH799" s="72"/>
      <c r="AI799" s="72"/>
      <c r="AJ799" s="72"/>
      <c r="AK799" s="72"/>
      <c r="AL799" s="72"/>
      <c r="AM799" s="72"/>
      <c r="AN799" s="73"/>
      <c r="AO799" s="641"/>
      <c r="AP799" s="641"/>
      <c r="AQ799" s="641"/>
      <c r="AR799" s="641"/>
      <c r="AS799" s="641"/>
      <c r="AT799" s="641"/>
      <c r="AU799" s="72"/>
      <c r="AV799" s="73"/>
      <c r="AW799" s="643"/>
      <c r="AX799" s="643"/>
      <c r="AY799" s="643"/>
      <c r="AZ799" s="75"/>
      <c r="BA799" s="75"/>
      <c r="BB799" s="75"/>
    </row>
    <row r="800" spans="2:54" s="560" customFormat="1" ht="16.5" customHeight="1">
      <c r="B800" s="72"/>
      <c r="C800" s="72"/>
      <c r="D800" s="72"/>
      <c r="E800" s="73"/>
      <c r="F800" s="641"/>
      <c r="G800" s="73"/>
      <c r="H800" s="641"/>
      <c r="I800" s="641"/>
      <c r="J800" s="641"/>
      <c r="K800" s="641"/>
      <c r="L800" s="73"/>
      <c r="M800" s="72"/>
      <c r="N800" s="72"/>
      <c r="O800" s="642"/>
      <c r="P800" s="642"/>
      <c r="Q800" s="74"/>
      <c r="R800" s="641"/>
      <c r="S800" s="641"/>
      <c r="T800" s="72"/>
      <c r="U800" s="72"/>
      <c r="V800" s="72"/>
      <c r="W800" s="72"/>
      <c r="X800" s="72"/>
      <c r="Y800" s="72"/>
      <c r="Z800" s="72"/>
      <c r="AA800" s="73"/>
      <c r="AB800" s="72"/>
      <c r="AC800" s="641"/>
      <c r="AD800" s="72"/>
      <c r="AE800" s="641"/>
      <c r="AF800" s="641"/>
      <c r="AG800" s="72"/>
      <c r="AH800" s="72"/>
      <c r="AI800" s="72"/>
      <c r="AJ800" s="72"/>
      <c r="AK800" s="72"/>
      <c r="AL800" s="72"/>
      <c r="AM800" s="72"/>
      <c r="AN800" s="73"/>
      <c r="AO800" s="641"/>
      <c r="AP800" s="641"/>
      <c r="AQ800" s="641"/>
      <c r="AR800" s="641"/>
      <c r="AS800" s="641"/>
      <c r="AT800" s="641"/>
      <c r="AU800" s="72"/>
      <c r="AV800" s="73"/>
      <c r="AW800" s="643"/>
      <c r="AX800" s="643"/>
      <c r="AY800" s="643"/>
      <c r="AZ800" s="75"/>
      <c r="BA800" s="75"/>
      <c r="BB800" s="75"/>
    </row>
    <row r="801" spans="2:54" s="560" customFormat="1" ht="16.5" customHeight="1">
      <c r="B801" s="72"/>
      <c r="C801" s="72"/>
      <c r="D801" s="72"/>
      <c r="E801" s="73"/>
      <c r="F801" s="641"/>
      <c r="G801" s="73"/>
      <c r="H801" s="641"/>
      <c r="I801" s="641"/>
      <c r="J801" s="641"/>
      <c r="K801" s="641"/>
      <c r="L801" s="73"/>
      <c r="M801" s="72"/>
      <c r="N801" s="72"/>
      <c r="O801" s="642"/>
      <c r="P801" s="642"/>
      <c r="Q801" s="74"/>
      <c r="R801" s="641"/>
      <c r="S801" s="641"/>
      <c r="T801" s="72"/>
      <c r="U801" s="72"/>
      <c r="V801" s="72"/>
      <c r="W801" s="72"/>
      <c r="X801" s="72"/>
      <c r="Y801" s="72"/>
      <c r="Z801" s="72"/>
      <c r="AA801" s="73"/>
      <c r="AB801" s="72"/>
      <c r="AC801" s="641"/>
      <c r="AD801" s="72"/>
      <c r="AE801" s="641"/>
      <c r="AF801" s="641"/>
      <c r="AG801" s="72"/>
      <c r="AH801" s="72"/>
      <c r="AI801" s="72"/>
      <c r="AJ801" s="72"/>
      <c r="AK801" s="72"/>
      <c r="AL801" s="72"/>
      <c r="AM801" s="72"/>
      <c r="AN801" s="73"/>
      <c r="AO801" s="641"/>
      <c r="AP801" s="641"/>
      <c r="AQ801" s="641"/>
      <c r="AR801" s="641"/>
      <c r="AS801" s="641"/>
      <c r="AT801" s="641"/>
      <c r="AU801" s="72"/>
      <c r="AV801" s="73"/>
      <c r="AW801" s="643"/>
      <c r="AX801" s="643"/>
      <c r="AY801" s="643"/>
      <c r="AZ801" s="75"/>
      <c r="BA801" s="75"/>
      <c r="BB801" s="75"/>
    </row>
    <row r="802" spans="2:54" s="560" customFormat="1" ht="16.5" customHeight="1">
      <c r="B802" s="72"/>
      <c r="C802" s="72"/>
      <c r="D802" s="72"/>
      <c r="E802" s="73"/>
      <c r="F802" s="641"/>
      <c r="G802" s="73"/>
      <c r="H802" s="641"/>
      <c r="I802" s="641"/>
      <c r="J802" s="641"/>
      <c r="K802" s="641"/>
      <c r="L802" s="73"/>
      <c r="M802" s="72"/>
      <c r="N802" s="72"/>
      <c r="O802" s="642"/>
      <c r="P802" s="642"/>
      <c r="Q802" s="74"/>
      <c r="R802" s="641"/>
      <c r="S802" s="641"/>
      <c r="T802" s="72"/>
      <c r="U802" s="72"/>
      <c r="V802" s="72"/>
      <c r="W802" s="72"/>
      <c r="X802" s="72"/>
      <c r="Y802" s="72"/>
      <c r="Z802" s="72"/>
      <c r="AA802" s="73"/>
      <c r="AB802" s="72"/>
      <c r="AC802" s="641"/>
      <c r="AD802" s="72"/>
      <c r="AE802" s="641"/>
      <c r="AF802" s="641"/>
      <c r="AG802" s="72"/>
      <c r="AH802" s="72"/>
      <c r="AI802" s="72"/>
      <c r="AJ802" s="72"/>
      <c r="AK802" s="72"/>
      <c r="AL802" s="72"/>
      <c r="AM802" s="72"/>
      <c r="AN802" s="73"/>
      <c r="AO802" s="641"/>
      <c r="AP802" s="641"/>
      <c r="AQ802" s="641"/>
      <c r="AR802" s="641"/>
      <c r="AS802" s="641"/>
      <c r="AT802" s="641"/>
      <c r="AU802" s="72"/>
      <c r="AV802" s="73"/>
      <c r="AW802" s="643"/>
      <c r="AX802" s="643"/>
      <c r="AY802" s="643"/>
      <c r="AZ802" s="75"/>
      <c r="BA802" s="75"/>
      <c r="BB802" s="75"/>
    </row>
    <row r="803" spans="2:54" s="560" customFormat="1" ht="16.5" customHeight="1">
      <c r="B803" s="72"/>
      <c r="C803" s="72"/>
      <c r="D803" s="72"/>
      <c r="E803" s="73"/>
      <c r="F803" s="641"/>
      <c r="G803" s="73"/>
      <c r="H803" s="641"/>
      <c r="I803" s="641"/>
      <c r="J803" s="641"/>
      <c r="K803" s="641"/>
      <c r="L803" s="73"/>
      <c r="M803" s="72"/>
      <c r="N803" s="72"/>
      <c r="O803" s="642"/>
      <c r="P803" s="642"/>
      <c r="Q803" s="74"/>
      <c r="R803" s="641"/>
      <c r="S803" s="641"/>
      <c r="T803" s="72"/>
      <c r="U803" s="72"/>
      <c r="V803" s="72"/>
      <c r="W803" s="72"/>
      <c r="X803" s="72"/>
      <c r="Y803" s="72"/>
      <c r="Z803" s="72"/>
      <c r="AA803" s="73"/>
      <c r="AB803" s="72"/>
      <c r="AC803" s="641"/>
      <c r="AD803" s="72"/>
      <c r="AE803" s="641"/>
      <c r="AF803" s="641"/>
      <c r="AG803" s="72"/>
      <c r="AH803" s="72"/>
      <c r="AI803" s="72"/>
      <c r="AJ803" s="72"/>
      <c r="AK803" s="72"/>
      <c r="AL803" s="72"/>
      <c r="AM803" s="72"/>
      <c r="AN803" s="73"/>
      <c r="AO803" s="641"/>
      <c r="AP803" s="641"/>
      <c r="AQ803" s="641"/>
      <c r="AR803" s="641"/>
      <c r="AS803" s="641"/>
      <c r="AT803" s="641"/>
      <c r="AU803" s="72"/>
      <c r="AV803" s="73"/>
      <c r="AW803" s="643"/>
      <c r="AX803" s="643"/>
      <c r="AY803" s="643"/>
      <c r="AZ803" s="75"/>
      <c r="BA803" s="75"/>
      <c r="BB803" s="75"/>
    </row>
    <row r="804" spans="2:54" s="560" customFormat="1" ht="16.5" customHeight="1">
      <c r="B804" s="72"/>
      <c r="C804" s="72"/>
      <c r="D804" s="72"/>
      <c r="E804" s="73"/>
      <c r="F804" s="641"/>
      <c r="G804" s="73"/>
      <c r="H804" s="641"/>
      <c r="I804" s="641"/>
      <c r="J804" s="641"/>
      <c r="K804" s="641"/>
      <c r="L804" s="73"/>
      <c r="M804" s="72"/>
      <c r="N804" s="72"/>
      <c r="O804" s="642"/>
      <c r="P804" s="642"/>
      <c r="Q804" s="74"/>
      <c r="R804" s="641"/>
      <c r="S804" s="641"/>
      <c r="T804" s="72"/>
      <c r="U804" s="72"/>
      <c r="V804" s="72"/>
      <c r="W804" s="72"/>
      <c r="X804" s="72"/>
      <c r="Y804" s="72"/>
      <c r="Z804" s="72"/>
      <c r="AA804" s="73"/>
      <c r="AB804" s="72"/>
      <c r="AC804" s="641"/>
      <c r="AD804" s="72"/>
      <c r="AE804" s="641"/>
      <c r="AF804" s="641"/>
      <c r="AG804" s="72"/>
      <c r="AH804" s="72"/>
      <c r="AI804" s="72"/>
      <c r="AJ804" s="72"/>
      <c r="AK804" s="72"/>
      <c r="AL804" s="72"/>
      <c r="AM804" s="72"/>
      <c r="AN804" s="73"/>
      <c r="AO804" s="641"/>
      <c r="AP804" s="641"/>
      <c r="AQ804" s="641"/>
      <c r="AR804" s="641"/>
      <c r="AS804" s="641"/>
      <c r="AT804" s="641"/>
      <c r="AU804" s="72"/>
      <c r="AV804" s="73"/>
      <c r="AW804" s="643"/>
      <c r="AX804" s="643"/>
      <c r="AY804" s="643"/>
      <c r="AZ804" s="75"/>
      <c r="BA804" s="75"/>
      <c r="BB804" s="75"/>
    </row>
    <row r="805" spans="2:54" s="560" customFormat="1" ht="16.5" customHeight="1">
      <c r="B805" s="72"/>
      <c r="C805" s="72"/>
      <c r="D805" s="72"/>
      <c r="E805" s="73"/>
      <c r="F805" s="641"/>
      <c r="G805" s="73"/>
      <c r="H805" s="641"/>
      <c r="I805" s="641"/>
      <c r="J805" s="641"/>
      <c r="K805" s="641"/>
      <c r="L805" s="73"/>
      <c r="M805" s="72"/>
      <c r="N805" s="72"/>
      <c r="O805" s="642"/>
      <c r="P805" s="642"/>
      <c r="Q805" s="74"/>
      <c r="R805" s="641"/>
      <c r="S805" s="641"/>
      <c r="T805" s="72"/>
      <c r="U805" s="72"/>
      <c r="V805" s="72"/>
      <c r="W805" s="72"/>
      <c r="X805" s="72"/>
      <c r="Y805" s="72"/>
      <c r="Z805" s="72"/>
      <c r="AA805" s="73"/>
      <c r="AB805" s="72"/>
      <c r="AC805" s="641"/>
      <c r="AD805" s="72"/>
      <c r="AE805" s="641"/>
      <c r="AF805" s="641"/>
      <c r="AG805" s="72"/>
      <c r="AH805" s="72"/>
      <c r="AI805" s="72"/>
      <c r="AJ805" s="72"/>
      <c r="AK805" s="72"/>
      <c r="AL805" s="72"/>
      <c r="AM805" s="72"/>
      <c r="AN805" s="73"/>
      <c r="AO805" s="641"/>
      <c r="AP805" s="641"/>
      <c r="AQ805" s="641"/>
      <c r="AR805" s="641"/>
      <c r="AS805" s="641"/>
      <c r="AT805" s="641"/>
      <c r="AU805" s="72"/>
      <c r="AV805" s="73"/>
      <c r="AW805" s="643"/>
      <c r="AX805" s="643"/>
      <c r="AY805" s="643"/>
      <c r="AZ805" s="75"/>
      <c r="BA805" s="75"/>
      <c r="BB805" s="75"/>
    </row>
    <row r="806" spans="2:54" s="560" customFormat="1" ht="16.5" customHeight="1">
      <c r="B806" s="72"/>
      <c r="C806" s="72"/>
      <c r="D806" s="72"/>
      <c r="E806" s="73"/>
      <c r="F806" s="641"/>
      <c r="G806" s="73"/>
      <c r="H806" s="641"/>
      <c r="I806" s="641"/>
      <c r="J806" s="641"/>
      <c r="K806" s="641"/>
      <c r="L806" s="73"/>
      <c r="M806" s="72"/>
      <c r="N806" s="72"/>
      <c r="O806" s="642"/>
      <c r="P806" s="642"/>
      <c r="Q806" s="74"/>
      <c r="R806" s="641"/>
      <c r="S806" s="641"/>
      <c r="T806" s="72"/>
      <c r="U806" s="72"/>
      <c r="V806" s="72"/>
      <c r="W806" s="72"/>
      <c r="X806" s="72"/>
      <c r="Y806" s="72"/>
      <c r="Z806" s="72"/>
      <c r="AA806" s="73"/>
      <c r="AB806" s="72"/>
      <c r="AC806" s="641"/>
      <c r="AD806" s="72"/>
      <c r="AE806" s="641"/>
      <c r="AF806" s="641"/>
      <c r="AG806" s="72"/>
      <c r="AH806" s="72"/>
      <c r="AI806" s="72"/>
      <c r="AJ806" s="72"/>
      <c r="AK806" s="72"/>
      <c r="AL806" s="72"/>
      <c r="AM806" s="72"/>
      <c r="AN806" s="73"/>
      <c r="AO806" s="641"/>
      <c r="AP806" s="641"/>
      <c r="AQ806" s="641"/>
      <c r="AR806" s="641"/>
      <c r="AS806" s="641"/>
      <c r="AT806" s="641"/>
      <c r="AU806" s="72"/>
      <c r="AV806" s="73"/>
      <c r="AW806" s="643"/>
      <c r="AX806" s="643"/>
      <c r="AY806" s="643"/>
      <c r="AZ806" s="75"/>
      <c r="BA806" s="75"/>
      <c r="BB806" s="75"/>
    </row>
    <row r="807" spans="2:54" s="560" customFormat="1" ht="16.5" customHeight="1">
      <c r="B807" s="72"/>
      <c r="C807" s="72"/>
      <c r="D807" s="72"/>
      <c r="E807" s="73"/>
      <c r="F807" s="641"/>
      <c r="G807" s="73"/>
      <c r="H807" s="641"/>
      <c r="I807" s="641"/>
      <c r="J807" s="641"/>
      <c r="K807" s="641"/>
      <c r="L807" s="73"/>
      <c r="M807" s="72"/>
      <c r="N807" s="72"/>
      <c r="O807" s="642"/>
      <c r="P807" s="642"/>
      <c r="Q807" s="74"/>
      <c r="R807" s="641"/>
      <c r="S807" s="641"/>
      <c r="T807" s="72"/>
      <c r="U807" s="72"/>
      <c r="V807" s="72"/>
      <c r="W807" s="72"/>
      <c r="X807" s="72"/>
      <c r="Y807" s="72"/>
      <c r="Z807" s="72"/>
      <c r="AA807" s="73"/>
      <c r="AB807" s="72"/>
      <c r="AC807" s="641"/>
      <c r="AD807" s="72"/>
      <c r="AE807" s="641"/>
      <c r="AF807" s="641"/>
      <c r="AG807" s="72"/>
      <c r="AH807" s="72"/>
      <c r="AI807" s="72"/>
      <c r="AJ807" s="72"/>
      <c r="AK807" s="72"/>
      <c r="AL807" s="72"/>
      <c r="AM807" s="72"/>
      <c r="AN807" s="73"/>
      <c r="AO807" s="641"/>
      <c r="AP807" s="641"/>
      <c r="AQ807" s="641"/>
      <c r="AR807" s="641"/>
      <c r="AS807" s="641"/>
      <c r="AT807" s="641"/>
      <c r="AU807" s="72"/>
      <c r="AV807" s="73"/>
      <c r="AW807" s="643"/>
      <c r="AX807" s="643"/>
      <c r="AY807" s="643"/>
      <c r="AZ807" s="75"/>
      <c r="BA807" s="75"/>
      <c r="BB807" s="75"/>
    </row>
    <row r="808" spans="2:54" s="560" customFormat="1" ht="16.5" customHeight="1">
      <c r="B808" s="72"/>
      <c r="C808" s="72"/>
      <c r="D808" s="72"/>
      <c r="E808" s="73"/>
      <c r="F808" s="641"/>
      <c r="G808" s="73"/>
      <c r="H808" s="641"/>
      <c r="I808" s="641"/>
      <c r="J808" s="641"/>
      <c r="K808" s="641"/>
      <c r="L808" s="73"/>
      <c r="M808" s="72"/>
      <c r="N808" s="72"/>
      <c r="O808" s="642"/>
      <c r="P808" s="642"/>
      <c r="Q808" s="74"/>
      <c r="R808" s="641"/>
      <c r="S808" s="641"/>
      <c r="T808" s="72"/>
      <c r="U808" s="72"/>
      <c r="V808" s="72"/>
      <c r="W808" s="72"/>
      <c r="X808" s="72"/>
      <c r="Y808" s="72"/>
      <c r="Z808" s="72"/>
      <c r="AA808" s="73"/>
      <c r="AB808" s="72"/>
      <c r="AC808" s="641"/>
      <c r="AD808" s="72"/>
      <c r="AE808" s="641"/>
      <c r="AF808" s="641"/>
      <c r="AG808" s="72"/>
      <c r="AH808" s="72"/>
      <c r="AI808" s="72"/>
      <c r="AJ808" s="72"/>
      <c r="AK808" s="72"/>
      <c r="AL808" s="72"/>
      <c r="AM808" s="72"/>
      <c r="AN808" s="73"/>
      <c r="AO808" s="641"/>
      <c r="AP808" s="641"/>
      <c r="AQ808" s="641"/>
      <c r="AR808" s="641"/>
      <c r="AS808" s="641"/>
      <c r="AT808" s="641"/>
      <c r="AU808" s="72"/>
      <c r="AV808" s="73"/>
      <c r="AW808" s="643"/>
      <c r="AX808" s="643"/>
      <c r="AY808" s="643"/>
      <c r="AZ808" s="75"/>
      <c r="BA808" s="75"/>
      <c r="BB808" s="75"/>
    </row>
    <row r="809" spans="2:54" s="560" customFormat="1" ht="16.5" customHeight="1">
      <c r="B809" s="72"/>
      <c r="C809" s="72"/>
      <c r="D809" s="72"/>
      <c r="E809" s="73"/>
      <c r="F809" s="641"/>
      <c r="G809" s="73"/>
      <c r="H809" s="641"/>
      <c r="I809" s="641"/>
      <c r="J809" s="641"/>
      <c r="K809" s="641"/>
      <c r="L809" s="73"/>
      <c r="M809" s="72"/>
      <c r="N809" s="72"/>
      <c r="O809" s="642"/>
      <c r="P809" s="642"/>
      <c r="Q809" s="74"/>
      <c r="R809" s="641"/>
      <c r="S809" s="641"/>
      <c r="T809" s="72"/>
      <c r="U809" s="72"/>
      <c r="V809" s="72"/>
      <c r="W809" s="72"/>
      <c r="X809" s="72"/>
      <c r="Y809" s="72"/>
      <c r="Z809" s="72"/>
      <c r="AA809" s="73"/>
      <c r="AB809" s="72"/>
      <c r="AC809" s="641"/>
      <c r="AD809" s="72"/>
      <c r="AE809" s="641"/>
      <c r="AF809" s="641"/>
      <c r="AG809" s="72"/>
      <c r="AH809" s="72"/>
      <c r="AI809" s="72"/>
      <c r="AJ809" s="72"/>
      <c r="AK809" s="72"/>
      <c r="AL809" s="72"/>
      <c r="AM809" s="72"/>
      <c r="AN809" s="73"/>
      <c r="AO809" s="641"/>
      <c r="AP809" s="641"/>
      <c r="AQ809" s="641"/>
      <c r="AR809" s="641"/>
      <c r="AS809" s="641"/>
      <c r="AT809" s="641"/>
      <c r="AU809" s="72"/>
      <c r="AV809" s="73"/>
      <c r="AW809" s="643"/>
      <c r="AX809" s="643"/>
      <c r="AY809" s="643"/>
      <c r="AZ809" s="75"/>
      <c r="BA809" s="75"/>
      <c r="BB809" s="75"/>
    </row>
    <row r="810" spans="2:54" s="560" customFormat="1" ht="16.5" customHeight="1">
      <c r="B810" s="72"/>
      <c r="C810" s="72"/>
      <c r="D810" s="72"/>
      <c r="E810" s="73"/>
      <c r="F810" s="641"/>
      <c r="G810" s="73"/>
      <c r="H810" s="641"/>
      <c r="I810" s="641"/>
      <c r="J810" s="641"/>
      <c r="K810" s="641"/>
      <c r="L810" s="73"/>
      <c r="M810" s="72"/>
      <c r="N810" s="72"/>
      <c r="O810" s="642"/>
      <c r="P810" s="642"/>
      <c r="Q810" s="74"/>
      <c r="R810" s="641"/>
      <c r="S810" s="641"/>
      <c r="T810" s="72"/>
      <c r="U810" s="72"/>
      <c r="V810" s="72"/>
      <c r="W810" s="72"/>
      <c r="X810" s="72"/>
      <c r="Y810" s="72"/>
      <c r="Z810" s="72"/>
      <c r="AA810" s="73"/>
      <c r="AB810" s="72"/>
      <c r="AC810" s="641"/>
      <c r="AD810" s="72"/>
      <c r="AE810" s="641"/>
      <c r="AF810" s="641"/>
      <c r="AG810" s="72"/>
      <c r="AH810" s="72"/>
      <c r="AI810" s="72"/>
      <c r="AJ810" s="72"/>
      <c r="AK810" s="72"/>
      <c r="AL810" s="72"/>
      <c r="AM810" s="72"/>
      <c r="AN810" s="73"/>
      <c r="AO810" s="641"/>
      <c r="AP810" s="641"/>
      <c r="AQ810" s="641"/>
      <c r="AR810" s="641"/>
      <c r="AS810" s="641"/>
      <c r="AT810" s="641"/>
      <c r="AU810" s="72"/>
      <c r="AV810" s="73"/>
      <c r="AW810" s="643"/>
      <c r="AX810" s="643"/>
      <c r="AY810" s="643"/>
      <c r="AZ810" s="75"/>
      <c r="BA810" s="75"/>
      <c r="BB810" s="75"/>
    </row>
    <row r="811" spans="2:54" s="560" customFormat="1" ht="16.5" customHeight="1">
      <c r="B811" s="72"/>
      <c r="C811" s="72"/>
      <c r="D811" s="72"/>
      <c r="E811" s="73"/>
      <c r="F811" s="641"/>
      <c r="G811" s="73"/>
      <c r="H811" s="641"/>
      <c r="I811" s="641"/>
      <c r="J811" s="641"/>
      <c r="K811" s="641"/>
      <c r="L811" s="73"/>
      <c r="M811" s="72"/>
      <c r="N811" s="72"/>
      <c r="O811" s="642"/>
      <c r="P811" s="642"/>
      <c r="Q811" s="74"/>
      <c r="R811" s="641"/>
      <c r="S811" s="641"/>
      <c r="T811" s="72"/>
      <c r="U811" s="72"/>
      <c r="V811" s="72"/>
      <c r="W811" s="72"/>
      <c r="X811" s="72"/>
      <c r="Y811" s="72"/>
      <c r="Z811" s="72"/>
      <c r="AA811" s="73"/>
      <c r="AB811" s="72"/>
      <c r="AC811" s="641"/>
      <c r="AD811" s="72"/>
      <c r="AE811" s="641"/>
      <c r="AF811" s="641"/>
      <c r="AG811" s="72"/>
      <c r="AH811" s="72"/>
      <c r="AI811" s="72"/>
      <c r="AJ811" s="72"/>
      <c r="AK811" s="72"/>
      <c r="AL811" s="72"/>
      <c r="AM811" s="72"/>
      <c r="AN811" s="73"/>
      <c r="AO811" s="641"/>
      <c r="AP811" s="641"/>
      <c r="AQ811" s="641"/>
      <c r="AR811" s="641"/>
      <c r="AS811" s="641"/>
      <c r="AT811" s="641"/>
      <c r="AU811" s="72"/>
      <c r="AV811" s="73"/>
      <c r="AW811" s="643"/>
      <c r="AX811" s="643"/>
      <c r="AY811" s="643"/>
      <c r="AZ811" s="75"/>
      <c r="BA811" s="75"/>
      <c r="BB811" s="75"/>
    </row>
    <row r="812" spans="2:54" s="560" customFormat="1" ht="16.5" customHeight="1">
      <c r="B812" s="72"/>
      <c r="C812" s="72"/>
      <c r="D812" s="72"/>
      <c r="E812" s="73"/>
      <c r="F812" s="641"/>
      <c r="G812" s="73"/>
      <c r="H812" s="641"/>
      <c r="I812" s="641"/>
      <c r="J812" s="641"/>
      <c r="K812" s="641"/>
      <c r="L812" s="73"/>
      <c r="M812" s="72"/>
      <c r="N812" s="72"/>
      <c r="O812" s="642"/>
      <c r="P812" s="642"/>
      <c r="Q812" s="74"/>
      <c r="R812" s="641"/>
      <c r="S812" s="641"/>
      <c r="T812" s="72"/>
      <c r="U812" s="72"/>
      <c r="V812" s="72"/>
      <c r="W812" s="72"/>
      <c r="X812" s="72"/>
      <c r="Y812" s="72"/>
      <c r="Z812" s="72"/>
      <c r="AA812" s="73"/>
      <c r="AB812" s="72"/>
      <c r="AC812" s="641"/>
      <c r="AD812" s="72"/>
      <c r="AE812" s="641"/>
      <c r="AF812" s="641"/>
      <c r="AG812" s="72"/>
      <c r="AH812" s="72"/>
      <c r="AI812" s="72"/>
      <c r="AJ812" s="72"/>
      <c r="AK812" s="72"/>
      <c r="AL812" s="72"/>
      <c r="AM812" s="72"/>
      <c r="AN812" s="73"/>
      <c r="AO812" s="641"/>
      <c r="AP812" s="641"/>
      <c r="AQ812" s="641"/>
      <c r="AR812" s="641"/>
      <c r="AS812" s="641"/>
      <c r="AT812" s="641"/>
      <c r="AU812" s="72"/>
      <c r="AV812" s="73"/>
      <c r="AW812" s="643"/>
      <c r="AX812" s="643"/>
      <c r="AY812" s="643"/>
      <c r="AZ812" s="75"/>
      <c r="BA812" s="75"/>
      <c r="BB812" s="75"/>
    </row>
    <row r="813" spans="2:54" s="560" customFormat="1" ht="16.5" customHeight="1">
      <c r="B813" s="72"/>
      <c r="C813" s="72"/>
      <c r="D813" s="72"/>
      <c r="E813" s="73"/>
      <c r="F813" s="641"/>
      <c r="G813" s="73"/>
      <c r="H813" s="641"/>
      <c r="I813" s="641"/>
      <c r="J813" s="641"/>
      <c r="K813" s="641"/>
      <c r="L813" s="73"/>
      <c r="M813" s="72"/>
      <c r="N813" s="72"/>
      <c r="O813" s="642"/>
      <c r="P813" s="642"/>
      <c r="Q813" s="74"/>
      <c r="R813" s="641"/>
      <c r="S813" s="641"/>
      <c r="T813" s="72"/>
      <c r="U813" s="72"/>
      <c r="V813" s="72"/>
      <c r="W813" s="72"/>
      <c r="X813" s="72"/>
      <c r="Y813" s="72"/>
      <c r="Z813" s="72"/>
      <c r="AA813" s="73"/>
      <c r="AB813" s="72"/>
      <c r="AC813" s="641"/>
      <c r="AD813" s="72"/>
      <c r="AE813" s="641"/>
      <c r="AF813" s="641"/>
      <c r="AG813" s="72"/>
      <c r="AH813" s="72"/>
      <c r="AI813" s="72"/>
      <c r="AJ813" s="72"/>
      <c r="AK813" s="72"/>
      <c r="AL813" s="72"/>
      <c r="AM813" s="72"/>
      <c r="AN813" s="73"/>
      <c r="AO813" s="641"/>
      <c r="AP813" s="641"/>
      <c r="AQ813" s="641"/>
      <c r="AR813" s="641"/>
      <c r="AS813" s="641"/>
      <c r="AT813" s="641"/>
      <c r="AU813" s="72"/>
      <c r="AV813" s="73"/>
      <c r="AW813" s="643"/>
      <c r="AX813" s="643"/>
      <c r="AY813" s="643"/>
      <c r="AZ813" s="75"/>
      <c r="BA813" s="75"/>
      <c r="BB813" s="75"/>
    </row>
    <row r="814" spans="2:54" s="560" customFormat="1" ht="16.5" customHeight="1">
      <c r="B814" s="72"/>
      <c r="C814" s="72"/>
      <c r="D814" s="72"/>
      <c r="E814" s="73"/>
      <c r="F814" s="641"/>
      <c r="G814" s="73"/>
      <c r="H814" s="641"/>
      <c r="I814" s="641"/>
      <c r="J814" s="641"/>
      <c r="K814" s="641"/>
      <c r="L814" s="73"/>
      <c r="M814" s="72"/>
      <c r="N814" s="72"/>
      <c r="O814" s="642"/>
      <c r="P814" s="642"/>
      <c r="Q814" s="74"/>
      <c r="R814" s="641"/>
      <c r="S814" s="641"/>
      <c r="T814" s="72"/>
      <c r="U814" s="72"/>
      <c r="V814" s="72"/>
      <c r="W814" s="72"/>
      <c r="X814" s="72"/>
      <c r="Y814" s="72"/>
      <c r="Z814" s="72"/>
      <c r="AA814" s="73"/>
      <c r="AB814" s="72"/>
      <c r="AC814" s="641"/>
      <c r="AD814" s="72"/>
      <c r="AE814" s="641"/>
      <c r="AF814" s="641"/>
      <c r="AG814" s="72"/>
      <c r="AH814" s="72"/>
      <c r="AI814" s="72"/>
      <c r="AJ814" s="72"/>
      <c r="AK814" s="72"/>
      <c r="AL814" s="72"/>
      <c r="AM814" s="72"/>
      <c r="AN814" s="73"/>
      <c r="AO814" s="641"/>
      <c r="AP814" s="641"/>
      <c r="AQ814" s="641"/>
      <c r="AR814" s="641"/>
      <c r="AS814" s="641"/>
      <c r="AT814" s="641"/>
      <c r="AU814" s="72"/>
      <c r="AV814" s="73"/>
      <c r="AW814" s="643"/>
      <c r="AX814" s="643"/>
      <c r="AY814" s="643"/>
      <c r="AZ814" s="75"/>
      <c r="BA814" s="75"/>
      <c r="BB814" s="75"/>
    </row>
    <row r="815" spans="2:54" s="560" customFormat="1" ht="16.5" customHeight="1">
      <c r="B815" s="72"/>
      <c r="C815" s="72"/>
      <c r="D815" s="72"/>
      <c r="E815" s="73"/>
      <c r="F815" s="641"/>
      <c r="G815" s="73"/>
      <c r="H815" s="641"/>
      <c r="I815" s="641"/>
      <c r="J815" s="641"/>
      <c r="K815" s="641"/>
      <c r="L815" s="73"/>
      <c r="M815" s="72"/>
      <c r="N815" s="72"/>
      <c r="O815" s="642"/>
      <c r="P815" s="642"/>
      <c r="Q815" s="74"/>
      <c r="R815" s="641"/>
      <c r="S815" s="641"/>
      <c r="T815" s="72"/>
      <c r="U815" s="72"/>
      <c r="V815" s="72"/>
      <c r="W815" s="72"/>
      <c r="X815" s="72"/>
      <c r="Y815" s="72"/>
      <c r="Z815" s="72"/>
      <c r="AA815" s="73"/>
      <c r="AB815" s="72"/>
      <c r="AC815" s="641"/>
      <c r="AD815" s="72"/>
      <c r="AE815" s="641"/>
      <c r="AF815" s="641"/>
      <c r="AG815" s="72"/>
      <c r="AH815" s="72"/>
      <c r="AI815" s="72"/>
      <c r="AJ815" s="72"/>
      <c r="AK815" s="72"/>
      <c r="AL815" s="72"/>
      <c r="AM815" s="72"/>
      <c r="AN815" s="73"/>
      <c r="AO815" s="641"/>
      <c r="AP815" s="641"/>
      <c r="AQ815" s="641"/>
      <c r="AR815" s="641"/>
      <c r="AS815" s="641"/>
      <c r="AT815" s="641"/>
      <c r="AU815" s="72"/>
      <c r="AV815" s="73"/>
      <c r="AW815" s="643"/>
      <c r="AX815" s="643"/>
      <c r="AY815" s="643"/>
      <c r="AZ815" s="75"/>
      <c r="BA815" s="75"/>
      <c r="BB815" s="75"/>
    </row>
    <row r="816" spans="2:54" s="560" customFormat="1" ht="16.5" customHeight="1">
      <c r="B816" s="72"/>
      <c r="C816" s="72"/>
      <c r="D816" s="72"/>
      <c r="E816" s="73"/>
      <c r="F816" s="641"/>
      <c r="G816" s="73"/>
      <c r="H816" s="641"/>
      <c r="I816" s="641"/>
      <c r="J816" s="641"/>
      <c r="K816" s="641"/>
      <c r="L816" s="73"/>
      <c r="M816" s="72"/>
      <c r="N816" s="72"/>
      <c r="O816" s="642"/>
      <c r="P816" s="642"/>
      <c r="Q816" s="74"/>
      <c r="R816" s="641"/>
      <c r="S816" s="641"/>
      <c r="T816" s="72"/>
      <c r="U816" s="72"/>
      <c r="V816" s="72"/>
      <c r="W816" s="72"/>
      <c r="X816" s="72"/>
      <c r="Y816" s="72"/>
      <c r="Z816" s="72"/>
      <c r="AA816" s="73"/>
      <c r="AB816" s="72"/>
      <c r="AC816" s="641"/>
      <c r="AD816" s="72"/>
      <c r="AE816" s="641"/>
      <c r="AF816" s="641"/>
      <c r="AG816" s="72"/>
      <c r="AH816" s="72"/>
      <c r="AI816" s="72"/>
      <c r="AJ816" s="72"/>
      <c r="AK816" s="72"/>
      <c r="AL816" s="72"/>
      <c r="AM816" s="72"/>
      <c r="AN816" s="73"/>
      <c r="AO816" s="641"/>
      <c r="AP816" s="641"/>
      <c r="AQ816" s="641"/>
      <c r="AR816" s="641"/>
      <c r="AS816" s="641"/>
      <c r="AT816" s="641"/>
      <c r="AU816" s="72"/>
      <c r="AV816" s="73"/>
      <c r="AW816" s="643"/>
      <c r="AX816" s="643"/>
      <c r="AY816" s="643"/>
      <c r="AZ816" s="75"/>
      <c r="BA816" s="75"/>
      <c r="BB816" s="75"/>
    </row>
    <row r="817" spans="2:54" s="560" customFormat="1" ht="16.5" customHeight="1">
      <c r="B817" s="72"/>
      <c r="C817" s="72"/>
      <c r="D817" s="72"/>
      <c r="E817" s="73"/>
      <c r="F817" s="641"/>
      <c r="G817" s="73"/>
      <c r="H817" s="641"/>
      <c r="I817" s="641"/>
      <c r="J817" s="641"/>
      <c r="K817" s="641"/>
      <c r="L817" s="73"/>
      <c r="M817" s="72"/>
      <c r="N817" s="72"/>
      <c r="O817" s="642"/>
      <c r="P817" s="642"/>
      <c r="Q817" s="74"/>
      <c r="R817" s="641"/>
      <c r="S817" s="641"/>
      <c r="T817" s="72"/>
      <c r="U817" s="72"/>
      <c r="V817" s="72"/>
      <c r="W817" s="72"/>
      <c r="X817" s="72"/>
      <c r="Y817" s="72"/>
      <c r="Z817" s="72"/>
      <c r="AA817" s="73"/>
      <c r="AB817" s="72"/>
      <c r="AC817" s="641"/>
      <c r="AD817" s="72"/>
      <c r="AE817" s="641"/>
      <c r="AF817" s="641"/>
      <c r="AG817" s="72"/>
      <c r="AH817" s="72"/>
      <c r="AI817" s="72"/>
      <c r="AJ817" s="72"/>
      <c r="AK817" s="72"/>
      <c r="AL817" s="72"/>
      <c r="AM817" s="72"/>
      <c r="AN817" s="73"/>
      <c r="AO817" s="641"/>
      <c r="AP817" s="641"/>
      <c r="AQ817" s="641"/>
      <c r="AR817" s="641"/>
      <c r="AS817" s="641"/>
      <c r="AT817" s="641"/>
      <c r="AU817" s="72"/>
      <c r="AV817" s="73"/>
      <c r="AW817" s="643"/>
      <c r="AX817" s="643"/>
      <c r="AY817" s="643"/>
      <c r="AZ817" s="75"/>
      <c r="BA817" s="75"/>
      <c r="BB817" s="75"/>
    </row>
    <row r="818" spans="2:54" s="560" customFormat="1" ht="16.5" customHeight="1">
      <c r="B818" s="72"/>
      <c r="C818" s="72"/>
      <c r="D818" s="72"/>
      <c r="E818" s="73"/>
      <c r="F818" s="641"/>
      <c r="G818" s="73"/>
      <c r="H818" s="641"/>
      <c r="I818" s="641"/>
      <c r="J818" s="641"/>
      <c r="K818" s="641"/>
      <c r="L818" s="73"/>
      <c r="M818" s="72"/>
      <c r="N818" s="72"/>
      <c r="O818" s="642"/>
      <c r="P818" s="642"/>
      <c r="Q818" s="74"/>
      <c r="R818" s="641"/>
      <c r="S818" s="641"/>
      <c r="T818" s="72"/>
      <c r="U818" s="72"/>
      <c r="V818" s="72"/>
      <c r="W818" s="72"/>
      <c r="X818" s="72"/>
      <c r="Y818" s="72"/>
      <c r="Z818" s="72"/>
      <c r="AA818" s="73"/>
      <c r="AB818" s="72"/>
      <c r="AC818" s="641"/>
      <c r="AD818" s="72"/>
      <c r="AE818" s="641"/>
      <c r="AF818" s="641"/>
      <c r="AG818" s="72"/>
      <c r="AH818" s="72"/>
      <c r="AI818" s="72"/>
      <c r="AJ818" s="72"/>
      <c r="AK818" s="72"/>
      <c r="AL818" s="72"/>
      <c r="AM818" s="72"/>
      <c r="AN818" s="73"/>
      <c r="AO818" s="641"/>
      <c r="AP818" s="641"/>
      <c r="AQ818" s="641"/>
      <c r="AR818" s="641"/>
      <c r="AS818" s="641"/>
      <c r="AT818" s="641"/>
      <c r="AU818" s="72"/>
      <c r="AV818" s="73"/>
      <c r="AW818" s="643"/>
      <c r="AX818" s="643"/>
      <c r="AY818" s="643"/>
      <c r="AZ818" s="75"/>
      <c r="BA818" s="75"/>
      <c r="BB818" s="75"/>
    </row>
    <row r="819" spans="2:54" s="560" customFormat="1" ht="16.5" customHeight="1">
      <c r="B819" s="72"/>
      <c r="C819" s="72"/>
      <c r="D819" s="72"/>
      <c r="E819" s="73"/>
      <c r="F819" s="641"/>
      <c r="G819" s="73"/>
      <c r="H819" s="641"/>
      <c r="I819" s="641"/>
      <c r="J819" s="641"/>
      <c r="K819" s="641"/>
      <c r="L819" s="73"/>
      <c r="M819" s="72"/>
      <c r="N819" s="72"/>
      <c r="O819" s="642"/>
      <c r="P819" s="642"/>
      <c r="Q819" s="74"/>
      <c r="R819" s="641"/>
      <c r="S819" s="641"/>
      <c r="T819" s="72"/>
      <c r="U819" s="72"/>
      <c r="V819" s="72"/>
      <c r="W819" s="72"/>
      <c r="X819" s="72"/>
      <c r="Y819" s="72"/>
      <c r="Z819" s="72"/>
      <c r="AA819" s="73"/>
      <c r="AB819" s="72"/>
      <c r="AC819" s="641"/>
      <c r="AD819" s="72"/>
      <c r="AE819" s="641"/>
      <c r="AF819" s="641"/>
      <c r="AG819" s="72"/>
      <c r="AH819" s="72"/>
      <c r="AI819" s="72"/>
      <c r="AJ819" s="72"/>
      <c r="AK819" s="72"/>
      <c r="AL819" s="72"/>
      <c r="AM819" s="72"/>
      <c r="AN819" s="73"/>
      <c r="AO819" s="641"/>
      <c r="AP819" s="641"/>
      <c r="AQ819" s="641"/>
      <c r="AR819" s="641"/>
      <c r="AS819" s="641"/>
      <c r="AT819" s="641"/>
      <c r="AU819" s="72"/>
      <c r="AV819" s="73"/>
      <c r="AW819" s="643"/>
      <c r="AX819" s="643"/>
      <c r="AY819" s="643"/>
      <c r="AZ819" s="75"/>
      <c r="BA819" s="75"/>
      <c r="BB819" s="75"/>
    </row>
    <row r="820" spans="2:54" s="560" customFormat="1" ht="16.5" customHeight="1">
      <c r="B820" s="72"/>
      <c r="C820" s="72"/>
      <c r="D820" s="72"/>
      <c r="E820" s="73"/>
      <c r="F820" s="641"/>
      <c r="G820" s="73"/>
      <c r="H820" s="641"/>
      <c r="I820" s="641"/>
      <c r="J820" s="641"/>
      <c r="K820" s="641"/>
      <c r="L820" s="73"/>
      <c r="M820" s="72"/>
      <c r="N820" s="72"/>
      <c r="O820" s="642"/>
      <c r="P820" s="642"/>
      <c r="Q820" s="74"/>
      <c r="R820" s="641"/>
      <c r="S820" s="641"/>
      <c r="T820" s="72"/>
      <c r="U820" s="72"/>
      <c r="V820" s="72"/>
      <c r="W820" s="72"/>
      <c r="X820" s="72"/>
      <c r="Y820" s="72"/>
      <c r="Z820" s="72"/>
      <c r="AA820" s="73"/>
      <c r="AB820" s="72"/>
      <c r="AC820" s="641"/>
      <c r="AD820" s="72"/>
      <c r="AE820" s="641"/>
      <c r="AF820" s="641"/>
      <c r="AG820" s="72"/>
      <c r="AH820" s="72"/>
      <c r="AI820" s="72"/>
      <c r="AJ820" s="72"/>
      <c r="AK820" s="72"/>
      <c r="AL820" s="72"/>
      <c r="AM820" s="72"/>
      <c r="AN820" s="73"/>
      <c r="AO820" s="641"/>
      <c r="AP820" s="641"/>
      <c r="AQ820" s="641"/>
      <c r="AR820" s="641"/>
      <c r="AS820" s="641"/>
      <c r="AT820" s="641"/>
      <c r="AU820" s="72"/>
      <c r="AV820" s="73"/>
      <c r="AW820" s="643"/>
      <c r="AX820" s="643"/>
      <c r="AY820" s="643"/>
      <c r="AZ820" s="75"/>
      <c r="BA820" s="75"/>
      <c r="BB820" s="75"/>
    </row>
    <row r="821" spans="2:54" s="560" customFormat="1" ht="16.5" customHeight="1">
      <c r="B821" s="72"/>
      <c r="C821" s="72"/>
      <c r="D821" s="72"/>
      <c r="E821" s="73"/>
      <c r="F821" s="641"/>
      <c r="G821" s="73"/>
      <c r="H821" s="641"/>
      <c r="I821" s="641"/>
      <c r="J821" s="641"/>
      <c r="K821" s="641"/>
      <c r="L821" s="73"/>
      <c r="M821" s="72"/>
      <c r="N821" s="72"/>
      <c r="O821" s="642"/>
      <c r="P821" s="642"/>
      <c r="Q821" s="74"/>
      <c r="R821" s="641"/>
      <c r="S821" s="641"/>
      <c r="T821" s="72"/>
      <c r="U821" s="72"/>
      <c r="V821" s="72"/>
      <c r="W821" s="72"/>
      <c r="X821" s="72"/>
      <c r="Y821" s="72"/>
      <c r="Z821" s="72"/>
      <c r="AA821" s="73"/>
      <c r="AB821" s="72"/>
      <c r="AC821" s="641"/>
      <c r="AD821" s="72"/>
      <c r="AE821" s="641"/>
      <c r="AF821" s="641"/>
      <c r="AG821" s="72"/>
      <c r="AH821" s="72"/>
      <c r="AI821" s="72"/>
      <c r="AJ821" s="72"/>
      <c r="AK821" s="72"/>
      <c r="AL821" s="72"/>
      <c r="AM821" s="72"/>
      <c r="AN821" s="73"/>
      <c r="AO821" s="641"/>
      <c r="AP821" s="641"/>
      <c r="AQ821" s="641"/>
      <c r="AR821" s="641"/>
      <c r="AS821" s="641"/>
      <c r="AT821" s="641"/>
      <c r="AU821" s="72"/>
      <c r="AV821" s="73"/>
      <c r="AW821" s="643"/>
      <c r="AX821" s="643"/>
      <c r="AY821" s="643"/>
      <c r="AZ821" s="75"/>
      <c r="BA821" s="75"/>
      <c r="BB821" s="75"/>
    </row>
    <row r="822" spans="2:54" s="560" customFormat="1" ht="16.5" customHeight="1">
      <c r="B822" s="72"/>
      <c r="C822" s="72"/>
      <c r="D822" s="72"/>
      <c r="E822" s="73"/>
      <c r="F822" s="641"/>
      <c r="G822" s="73"/>
      <c r="H822" s="641"/>
      <c r="I822" s="641"/>
      <c r="J822" s="641"/>
      <c r="K822" s="641"/>
      <c r="L822" s="73"/>
      <c r="M822" s="72"/>
      <c r="N822" s="72"/>
      <c r="O822" s="642"/>
      <c r="P822" s="642"/>
      <c r="Q822" s="74"/>
      <c r="R822" s="641"/>
      <c r="S822" s="641"/>
      <c r="T822" s="72"/>
      <c r="U822" s="72"/>
      <c r="V822" s="72"/>
      <c r="W822" s="72"/>
      <c r="X822" s="72"/>
      <c r="Y822" s="72"/>
      <c r="Z822" s="72"/>
      <c r="AA822" s="73"/>
      <c r="AB822" s="72"/>
      <c r="AC822" s="641"/>
      <c r="AD822" s="72"/>
      <c r="AE822" s="641"/>
      <c r="AF822" s="641"/>
      <c r="AG822" s="72"/>
      <c r="AH822" s="72"/>
      <c r="AI822" s="72"/>
      <c r="AJ822" s="72"/>
      <c r="AK822" s="72"/>
      <c r="AL822" s="72"/>
      <c r="AM822" s="72"/>
      <c r="AN822" s="73"/>
      <c r="AO822" s="641"/>
      <c r="AP822" s="641"/>
      <c r="AQ822" s="641"/>
      <c r="AR822" s="641"/>
      <c r="AS822" s="641"/>
      <c r="AT822" s="641"/>
      <c r="AU822" s="72"/>
      <c r="AV822" s="73"/>
      <c r="AW822" s="643"/>
      <c r="AX822" s="643"/>
      <c r="AY822" s="643"/>
      <c r="AZ822" s="75"/>
      <c r="BA822" s="75"/>
      <c r="BB822" s="75"/>
    </row>
    <row r="823" spans="2:54" s="560" customFormat="1" ht="16.5" customHeight="1">
      <c r="B823" s="72"/>
      <c r="C823" s="72"/>
      <c r="D823" s="72"/>
      <c r="E823" s="73"/>
      <c r="F823" s="641"/>
      <c r="G823" s="73"/>
      <c r="H823" s="641"/>
      <c r="I823" s="641"/>
      <c r="J823" s="641"/>
      <c r="K823" s="641"/>
      <c r="L823" s="73"/>
      <c r="M823" s="72"/>
      <c r="N823" s="72"/>
      <c r="O823" s="642"/>
      <c r="P823" s="642"/>
      <c r="Q823" s="74"/>
      <c r="R823" s="641"/>
      <c r="S823" s="641"/>
      <c r="T823" s="72"/>
      <c r="U823" s="72"/>
      <c r="V823" s="72"/>
      <c r="W823" s="72"/>
      <c r="X823" s="72"/>
      <c r="Y823" s="72"/>
      <c r="Z823" s="72"/>
      <c r="AA823" s="73"/>
      <c r="AB823" s="72"/>
      <c r="AC823" s="641"/>
      <c r="AD823" s="72"/>
      <c r="AE823" s="641"/>
      <c r="AF823" s="641"/>
      <c r="AG823" s="72"/>
      <c r="AH823" s="72"/>
      <c r="AI823" s="72"/>
      <c r="AJ823" s="72"/>
      <c r="AK823" s="72"/>
      <c r="AL823" s="72"/>
      <c r="AM823" s="72"/>
      <c r="AN823" s="73"/>
      <c r="AO823" s="641"/>
      <c r="AP823" s="641"/>
      <c r="AQ823" s="641"/>
      <c r="AR823" s="641"/>
      <c r="AS823" s="641"/>
      <c r="AT823" s="641"/>
      <c r="AU823" s="72"/>
      <c r="AV823" s="73"/>
      <c r="AW823" s="643"/>
      <c r="AX823" s="643"/>
      <c r="AY823" s="643"/>
      <c r="AZ823" s="75"/>
      <c r="BA823" s="75"/>
      <c r="BB823" s="75"/>
    </row>
    <row r="824" spans="2:54" s="560" customFormat="1" ht="16.5" customHeight="1">
      <c r="B824" s="72"/>
      <c r="C824" s="72"/>
      <c r="D824" s="72"/>
      <c r="E824" s="73"/>
      <c r="F824" s="641"/>
      <c r="G824" s="73"/>
      <c r="H824" s="641"/>
      <c r="I824" s="641"/>
      <c r="J824" s="641"/>
      <c r="K824" s="641"/>
      <c r="L824" s="73"/>
      <c r="M824" s="72"/>
      <c r="N824" s="72"/>
      <c r="O824" s="642"/>
      <c r="P824" s="642"/>
      <c r="Q824" s="74"/>
      <c r="R824" s="641"/>
      <c r="S824" s="641"/>
      <c r="T824" s="72"/>
      <c r="U824" s="72"/>
      <c r="V824" s="72"/>
      <c r="W824" s="72"/>
      <c r="X824" s="72"/>
      <c r="Y824" s="72"/>
      <c r="Z824" s="72"/>
      <c r="AA824" s="73"/>
      <c r="AB824" s="72"/>
      <c r="AC824" s="641"/>
      <c r="AD824" s="72"/>
      <c r="AE824" s="641"/>
      <c r="AF824" s="641"/>
      <c r="AG824" s="72"/>
      <c r="AH824" s="72"/>
      <c r="AI824" s="72"/>
      <c r="AJ824" s="72"/>
      <c r="AK824" s="72"/>
      <c r="AL824" s="72"/>
      <c r="AM824" s="72"/>
      <c r="AN824" s="73"/>
      <c r="AO824" s="641"/>
      <c r="AP824" s="641"/>
      <c r="AQ824" s="641"/>
      <c r="AR824" s="641"/>
      <c r="AS824" s="641"/>
      <c r="AT824" s="641"/>
      <c r="AU824" s="72"/>
      <c r="AV824" s="73"/>
      <c r="AW824" s="643"/>
      <c r="AX824" s="643"/>
      <c r="AY824" s="643"/>
      <c r="AZ824" s="75"/>
      <c r="BA824" s="75"/>
      <c r="BB824" s="75"/>
    </row>
    <row r="825" spans="2:54" s="560" customFormat="1" ht="16.5" customHeight="1">
      <c r="B825" s="72"/>
      <c r="C825" s="72"/>
      <c r="D825" s="72"/>
      <c r="E825" s="73"/>
      <c r="F825" s="641"/>
      <c r="G825" s="73"/>
      <c r="H825" s="641"/>
      <c r="I825" s="641"/>
      <c r="J825" s="641"/>
      <c r="K825" s="641"/>
      <c r="L825" s="73"/>
      <c r="M825" s="72"/>
      <c r="N825" s="72"/>
      <c r="O825" s="642"/>
      <c r="P825" s="642"/>
      <c r="Q825" s="74"/>
      <c r="R825" s="641"/>
      <c r="S825" s="641"/>
      <c r="T825" s="72"/>
      <c r="U825" s="72"/>
      <c r="V825" s="72"/>
      <c r="W825" s="72"/>
      <c r="X825" s="72"/>
      <c r="Y825" s="72"/>
      <c r="Z825" s="72"/>
      <c r="AA825" s="73"/>
      <c r="AB825" s="72"/>
      <c r="AC825" s="641"/>
      <c r="AD825" s="72"/>
      <c r="AE825" s="641"/>
      <c r="AF825" s="641"/>
      <c r="AG825" s="72"/>
      <c r="AH825" s="72"/>
      <c r="AI825" s="72"/>
      <c r="AJ825" s="72"/>
      <c r="AK825" s="72"/>
      <c r="AL825" s="72"/>
      <c r="AM825" s="72"/>
      <c r="AN825" s="73"/>
      <c r="AO825" s="641"/>
      <c r="AP825" s="641"/>
      <c r="AQ825" s="641"/>
      <c r="AR825" s="641"/>
      <c r="AS825" s="641"/>
      <c r="AT825" s="641"/>
      <c r="AU825" s="72"/>
      <c r="AV825" s="73"/>
      <c r="AW825" s="643"/>
      <c r="AX825" s="643"/>
      <c r="AY825" s="643"/>
      <c r="AZ825" s="75"/>
      <c r="BA825" s="75"/>
      <c r="BB825" s="75"/>
    </row>
    <row r="826" spans="2:54" s="560" customFormat="1" ht="16.5" customHeight="1">
      <c r="B826" s="72"/>
      <c r="C826" s="72"/>
      <c r="D826" s="72"/>
      <c r="E826" s="73"/>
      <c r="F826" s="641"/>
      <c r="G826" s="73"/>
      <c r="H826" s="641"/>
      <c r="I826" s="641"/>
      <c r="J826" s="641"/>
      <c r="K826" s="641"/>
      <c r="L826" s="73"/>
      <c r="M826" s="72"/>
      <c r="N826" s="72"/>
      <c r="O826" s="642"/>
      <c r="P826" s="642"/>
      <c r="Q826" s="74"/>
      <c r="R826" s="641"/>
      <c r="S826" s="641"/>
      <c r="T826" s="72"/>
      <c r="U826" s="72"/>
      <c r="V826" s="72"/>
      <c r="W826" s="72"/>
      <c r="X826" s="72"/>
      <c r="Y826" s="72"/>
      <c r="Z826" s="72"/>
      <c r="AA826" s="73"/>
      <c r="AB826" s="72"/>
      <c r="AC826" s="641"/>
      <c r="AD826" s="72"/>
      <c r="AE826" s="641"/>
      <c r="AF826" s="641"/>
      <c r="AG826" s="72"/>
      <c r="AH826" s="72"/>
      <c r="AI826" s="72"/>
      <c r="AJ826" s="72"/>
      <c r="AK826" s="72"/>
      <c r="AL826" s="72"/>
      <c r="AM826" s="72"/>
      <c r="AN826" s="73"/>
      <c r="AO826" s="641"/>
      <c r="AP826" s="641"/>
      <c r="AQ826" s="641"/>
      <c r="AR826" s="641"/>
      <c r="AS826" s="641"/>
      <c r="AT826" s="641"/>
      <c r="AU826" s="72"/>
      <c r="AV826" s="73"/>
      <c r="AW826" s="643"/>
      <c r="AX826" s="643"/>
      <c r="AY826" s="643"/>
      <c r="AZ826" s="75"/>
      <c r="BA826" s="75"/>
      <c r="BB826" s="75"/>
    </row>
    <row r="827" spans="2:54" s="560" customFormat="1" ht="16.5" customHeight="1">
      <c r="B827" s="72"/>
      <c r="C827" s="72"/>
      <c r="D827" s="72"/>
      <c r="E827" s="73"/>
      <c r="F827" s="641"/>
      <c r="G827" s="73"/>
      <c r="H827" s="641"/>
      <c r="I827" s="641"/>
      <c r="J827" s="641"/>
      <c r="K827" s="641"/>
      <c r="L827" s="73"/>
      <c r="M827" s="72"/>
      <c r="N827" s="72"/>
      <c r="O827" s="642"/>
      <c r="P827" s="642"/>
      <c r="Q827" s="74"/>
      <c r="R827" s="641"/>
      <c r="S827" s="641"/>
      <c r="T827" s="72"/>
      <c r="U827" s="72"/>
      <c r="V827" s="72"/>
      <c r="W827" s="72"/>
      <c r="X827" s="72"/>
      <c r="Y827" s="72"/>
      <c r="Z827" s="72"/>
      <c r="AA827" s="73"/>
      <c r="AB827" s="72"/>
      <c r="AC827" s="641"/>
      <c r="AD827" s="72"/>
      <c r="AE827" s="641"/>
      <c r="AF827" s="641"/>
      <c r="AG827" s="72"/>
      <c r="AH827" s="72"/>
      <c r="AI827" s="72"/>
      <c r="AJ827" s="72"/>
      <c r="AK827" s="72"/>
      <c r="AL827" s="72"/>
      <c r="AM827" s="72"/>
      <c r="AN827" s="73"/>
      <c r="AO827" s="641"/>
      <c r="AP827" s="641"/>
      <c r="AQ827" s="641"/>
      <c r="AR827" s="641"/>
      <c r="AS827" s="641"/>
      <c r="AT827" s="641"/>
      <c r="AU827" s="72"/>
      <c r="AV827" s="73"/>
      <c r="AW827" s="643"/>
      <c r="AX827" s="643"/>
      <c r="AY827" s="643"/>
      <c r="AZ827" s="75"/>
      <c r="BA827" s="75"/>
      <c r="BB827" s="75"/>
    </row>
    <row r="828" spans="2:54" s="560" customFormat="1" ht="16.5" customHeight="1">
      <c r="B828" s="72"/>
      <c r="C828" s="72"/>
      <c r="D828" s="72"/>
      <c r="E828" s="73"/>
      <c r="F828" s="641"/>
      <c r="G828" s="73"/>
      <c r="H828" s="641"/>
      <c r="I828" s="641"/>
      <c r="J828" s="641"/>
      <c r="K828" s="641"/>
      <c r="L828" s="73"/>
      <c r="M828" s="72"/>
      <c r="N828" s="72"/>
      <c r="O828" s="642"/>
      <c r="P828" s="642"/>
      <c r="Q828" s="74"/>
      <c r="R828" s="641"/>
      <c r="S828" s="641"/>
      <c r="T828" s="72"/>
      <c r="U828" s="72"/>
      <c r="V828" s="72"/>
      <c r="W828" s="72"/>
      <c r="X828" s="72"/>
      <c r="Y828" s="72"/>
      <c r="Z828" s="72"/>
      <c r="AA828" s="73"/>
      <c r="AB828" s="72"/>
      <c r="AC828" s="641"/>
      <c r="AD828" s="72"/>
      <c r="AE828" s="641"/>
      <c r="AF828" s="641"/>
      <c r="AG828" s="72"/>
      <c r="AH828" s="72"/>
      <c r="AI828" s="72"/>
      <c r="AJ828" s="72"/>
      <c r="AK828" s="72"/>
      <c r="AL828" s="72"/>
      <c r="AM828" s="72"/>
      <c r="AN828" s="73"/>
      <c r="AO828" s="641"/>
      <c r="AP828" s="641"/>
      <c r="AQ828" s="641"/>
      <c r="AR828" s="641"/>
      <c r="AS828" s="641"/>
      <c r="AT828" s="641"/>
      <c r="AU828" s="72"/>
      <c r="AV828" s="73"/>
      <c r="AW828" s="643"/>
      <c r="AX828" s="643"/>
      <c r="AY828" s="643"/>
      <c r="AZ828" s="75"/>
      <c r="BA828" s="75"/>
      <c r="BB828" s="75"/>
    </row>
    <row r="829" spans="2:54" s="560" customFormat="1" ht="16.5" customHeight="1">
      <c r="B829" s="72"/>
      <c r="C829" s="72"/>
      <c r="D829" s="72"/>
      <c r="E829" s="73"/>
      <c r="F829" s="641"/>
      <c r="G829" s="73"/>
      <c r="H829" s="641"/>
      <c r="I829" s="641"/>
      <c r="J829" s="641"/>
      <c r="K829" s="641"/>
      <c r="L829" s="73"/>
      <c r="M829" s="72"/>
      <c r="N829" s="72"/>
      <c r="O829" s="642"/>
      <c r="P829" s="642"/>
      <c r="Q829" s="74"/>
      <c r="R829" s="641"/>
      <c r="S829" s="641"/>
      <c r="T829" s="72"/>
      <c r="U829" s="72"/>
      <c r="V829" s="72"/>
      <c r="W829" s="72"/>
      <c r="X829" s="72"/>
      <c r="Y829" s="72"/>
      <c r="Z829" s="72"/>
      <c r="AA829" s="73"/>
      <c r="AB829" s="72"/>
      <c r="AC829" s="641"/>
      <c r="AD829" s="72"/>
      <c r="AE829" s="641"/>
      <c r="AF829" s="641"/>
      <c r="AG829" s="72"/>
      <c r="AH829" s="72"/>
      <c r="AI829" s="72"/>
      <c r="AJ829" s="72"/>
      <c r="AK829" s="72"/>
      <c r="AL829" s="72"/>
      <c r="AM829" s="72"/>
      <c r="AN829" s="73"/>
      <c r="AO829" s="641"/>
      <c r="AP829" s="641"/>
      <c r="AQ829" s="641"/>
      <c r="AR829" s="641"/>
      <c r="AS829" s="641"/>
      <c r="AT829" s="641"/>
      <c r="AU829" s="72"/>
      <c r="AV829" s="73"/>
      <c r="AW829" s="643"/>
      <c r="AX829" s="643"/>
      <c r="AY829" s="643"/>
      <c r="AZ829" s="75"/>
      <c r="BA829" s="75"/>
      <c r="BB829" s="75"/>
    </row>
    <row r="830" spans="2:54" s="560" customFormat="1" ht="16.5" customHeight="1">
      <c r="B830" s="72"/>
      <c r="C830" s="72"/>
      <c r="D830" s="72"/>
      <c r="E830" s="73"/>
      <c r="F830" s="641"/>
      <c r="G830" s="73"/>
      <c r="H830" s="641"/>
      <c r="I830" s="641"/>
      <c r="J830" s="641"/>
      <c r="K830" s="641"/>
      <c r="L830" s="73"/>
      <c r="M830" s="72"/>
      <c r="N830" s="72"/>
      <c r="O830" s="642"/>
      <c r="P830" s="642"/>
      <c r="Q830" s="74"/>
      <c r="R830" s="641"/>
      <c r="S830" s="641"/>
      <c r="T830" s="72"/>
      <c r="U830" s="72"/>
      <c r="V830" s="72"/>
      <c r="W830" s="72"/>
      <c r="X830" s="72"/>
      <c r="Y830" s="72"/>
      <c r="Z830" s="72"/>
      <c r="AA830" s="73"/>
      <c r="AB830" s="72"/>
      <c r="AC830" s="641"/>
      <c r="AD830" s="72"/>
      <c r="AE830" s="641"/>
      <c r="AF830" s="641"/>
      <c r="AG830" s="72"/>
      <c r="AH830" s="72"/>
      <c r="AI830" s="72"/>
      <c r="AJ830" s="72"/>
      <c r="AK830" s="72"/>
      <c r="AL830" s="72"/>
      <c r="AM830" s="72"/>
      <c r="AN830" s="73"/>
      <c r="AO830" s="641"/>
      <c r="AP830" s="641"/>
      <c r="AQ830" s="641"/>
      <c r="AR830" s="641"/>
      <c r="AS830" s="641"/>
      <c r="AT830" s="641"/>
      <c r="AU830" s="72"/>
      <c r="AV830" s="73"/>
      <c r="AW830" s="643"/>
      <c r="AX830" s="643"/>
      <c r="AY830" s="643"/>
      <c r="AZ830" s="75"/>
      <c r="BA830" s="75"/>
      <c r="BB830" s="75"/>
    </row>
    <row r="831" spans="2:54" s="560" customFormat="1" ht="16.5" customHeight="1">
      <c r="B831" s="72"/>
      <c r="C831" s="72"/>
      <c r="D831" s="72"/>
      <c r="E831" s="73"/>
      <c r="F831" s="641"/>
      <c r="G831" s="73"/>
      <c r="H831" s="641"/>
      <c r="I831" s="641"/>
      <c r="J831" s="641"/>
      <c r="K831" s="641"/>
      <c r="L831" s="73"/>
      <c r="M831" s="72"/>
      <c r="N831" s="72"/>
      <c r="O831" s="642"/>
      <c r="P831" s="642"/>
      <c r="Q831" s="74"/>
      <c r="R831" s="641"/>
      <c r="S831" s="641"/>
      <c r="T831" s="72"/>
      <c r="U831" s="72"/>
      <c r="V831" s="72"/>
      <c r="W831" s="72"/>
      <c r="X831" s="72"/>
      <c r="Y831" s="72"/>
      <c r="Z831" s="72"/>
      <c r="AA831" s="73"/>
      <c r="AB831" s="72"/>
      <c r="AC831" s="641"/>
      <c r="AD831" s="72"/>
      <c r="AE831" s="641"/>
      <c r="AF831" s="641"/>
      <c r="AG831" s="72"/>
      <c r="AH831" s="72"/>
      <c r="AI831" s="72"/>
      <c r="AJ831" s="72"/>
      <c r="AK831" s="72"/>
      <c r="AL831" s="72"/>
      <c r="AM831" s="72"/>
      <c r="AN831" s="73"/>
      <c r="AO831" s="641"/>
      <c r="AP831" s="641"/>
      <c r="AQ831" s="641"/>
      <c r="AR831" s="641"/>
      <c r="AS831" s="641"/>
      <c r="AT831" s="641"/>
      <c r="AU831" s="72"/>
      <c r="AV831" s="73"/>
      <c r="AW831" s="643"/>
      <c r="AX831" s="643"/>
      <c r="AY831" s="643"/>
      <c r="AZ831" s="75"/>
      <c r="BA831" s="75"/>
      <c r="BB831" s="75"/>
    </row>
    <row r="832" spans="2:54" s="560" customFormat="1" ht="16.5" customHeight="1">
      <c r="B832" s="72"/>
      <c r="C832" s="72"/>
      <c r="D832" s="72"/>
      <c r="E832" s="73"/>
      <c r="F832" s="641"/>
      <c r="G832" s="73"/>
      <c r="H832" s="641"/>
      <c r="I832" s="641"/>
      <c r="J832" s="641"/>
      <c r="K832" s="641"/>
      <c r="L832" s="73"/>
      <c r="M832" s="72"/>
      <c r="N832" s="72"/>
      <c r="O832" s="642"/>
      <c r="P832" s="642"/>
      <c r="Q832" s="74"/>
      <c r="R832" s="641"/>
      <c r="S832" s="641"/>
      <c r="T832" s="72"/>
      <c r="U832" s="72"/>
      <c r="V832" s="72"/>
      <c r="W832" s="72"/>
      <c r="X832" s="72"/>
      <c r="Y832" s="72"/>
      <c r="Z832" s="72"/>
      <c r="AA832" s="73"/>
      <c r="AB832" s="72"/>
      <c r="AC832" s="641"/>
      <c r="AD832" s="72"/>
      <c r="AE832" s="641"/>
      <c r="AF832" s="641"/>
      <c r="AG832" s="72"/>
      <c r="AH832" s="72"/>
      <c r="AI832" s="72"/>
      <c r="AJ832" s="72"/>
      <c r="AK832" s="72"/>
      <c r="AL832" s="72"/>
      <c r="AM832" s="72"/>
      <c r="AN832" s="73"/>
      <c r="AO832" s="641"/>
      <c r="AP832" s="641"/>
      <c r="AQ832" s="641"/>
      <c r="AR832" s="641"/>
      <c r="AS832" s="641"/>
      <c r="AT832" s="641"/>
      <c r="AU832" s="72"/>
      <c r="AV832" s="73"/>
      <c r="AW832" s="643"/>
      <c r="AX832" s="643"/>
      <c r="AY832" s="643"/>
      <c r="AZ832" s="75"/>
      <c r="BA832" s="75"/>
      <c r="BB832" s="75"/>
    </row>
    <row r="833" spans="2:54" s="560" customFormat="1" ht="16.5" customHeight="1">
      <c r="B833" s="72"/>
      <c r="C833" s="72"/>
      <c r="D833" s="72"/>
      <c r="E833" s="73"/>
      <c r="F833" s="641"/>
      <c r="G833" s="73"/>
      <c r="H833" s="641"/>
      <c r="I833" s="641"/>
      <c r="J833" s="641"/>
      <c r="K833" s="641"/>
      <c r="L833" s="73"/>
      <c r="M833" s="72"/>
      <c r="N833" s="72"/>
      <c r="O833" s="642"/>
      <c r="P833" s="642"/>
      <c r="Q833" s="74"/>
      <c r="R833" s="641"/>
      <c r="S833" s="641"/>
      <c r="T833" s="72"/>
      <c r="U833" s="72"/>
      <c r="V833" s="72"/>
      <c r="W833" s="72"/>
      <c r="X833" s="72"/>
      <c r="Y833" s="72"/>
      <c r="Z833" s="72"/>
      <c r="AA833" s="73"/>
      <c r="AB833" s="72"/>
      <c r="AC833" s="641"/>
      <c r="AD833" s="72"/>
      <c r="AE833" s="641"/>
      <c r="AF833" s="641"/>
      <c r="AG833" s="72"/>
      <c r="AH833" s="72"/>
      <c r="AI833" s="72"/>
      <c r="AJ833" s="72"/>
      <c r="AK833" s="72"/>
      <c r="AL833" s="72"/>
      <c r="AM833" s="72"/>
      <c r="AN833" s="73"/>
      <c r="AO833" s="641"/>
      <c r="AP833" s="641"/>
      <c r="AQ833" s="641"/>
      <c r="AR833" s="641"/>
      <c r="AS833" s="641"/>
      <c r="AT833" s="641"/>
      <c r="AU833" s="72"/>
      <c r="AV833" s="73"/>
      <c r="AW833" s="643"/>
      <c r="AX833" s="643"/>
      <c r="AY833" s="643"/>
      <c r="AZ833" s="75"/>
      <c r="BA833" s="75"/>
      <c r="BB833" s="75"/>
    </row>
    <row r="834" spans="2:54" s="560" customFormat="1" ht="16.5" customHeight="1">
      <c r="B834" s="72"/>
      <c r="C834" s="72"/>
      <c r="D834" s="72"/>
      <c r="E834" s="73"/>
      <c r="F834" s="641"/>
      <c r="G834" s="73"/>
      <c r="H834" s="641"/>
      <c r="I834" s="641"/>
      <c r="J834" s="641"/>
      <c r="K834" s="641"/>
      <c r="L834" s="73"/>
      <c r="M834" s="72"/>
      <c r="N834" s="72"/>
      <c r="O834" s="642"/>
      <c r="P834" s="642"/>
      <c r="Q834" s="74"/>
      <c r="R834" s="641"/>
      <c r="S834" s="641"/>
      <c r="T834" s="72"/>
      <c r="U834" s="72"/>
      <c r="V834" s="72"/>
      <c r="W834" s="72"/>
      <c r="X834" s="72"/>
      <c r="Y834" s="72"/>
      <c r="Z834" s="72"/>
      <c r="AA834" s="73"/>
      <c r="AB834" s="72"/>
      <c r="AC834" s="641"/>
      <c r="AD834" s="72"/>
      <c r="AE834" s="641"/>
      <c r="AF834" s="641"/>
      <c r="AG834" s="72"/>
      <c r="AH834" s="72"/>
      <c r="AI834" s="72"/>
      <c r="AJ834" s="72"/>
      <c r="AK834" s="72"/>
      <c r="AL834" s="72"/>
      <c r="AM834" s="72"/>
      <c r="AN834" s="73"/>
      <c r="AO834" s="641"/>
      <c r="AP834" s="641"/>
      <c r="AQ834" s="641"/>
      <c r="AR834" s="641"/>
      <c r="AS834" s="641"/>
      <c r="AT834" s="641"/>
      <c r="AU834" s="72"/>
      <c r="AV834" s="73"/>
      <c r="AW834" s="643"/>
      <c r="AX834" s="643"/>
      <c r="AY834" s="643"/>
      <c r="AZ834" s="75"/>
      <c r="BA834" s="75"/>
      <c r="BB834" s="75"/>
    </row>
    <row r="835" spans="2:54" s="560" customFormat="1" ht="16.5" customHeight="1">
      <c r="B835" s="72"/>
      <c r="C835" s="72"/>
      <c r="D835" s="72"/>
      <c r="E835" s="73"/>
      <c r="F835" s="641"/>
      <c r="G835" s="73"/>
      <c r="H835" s="641"/>
      <c r="I835" s="641"/>
      <c r="J835" s="641"/>
      <c r="K835" s="641"/>
      <c r="L835" s="73"/>
      <c r="M835" s="72"/>
      <c r="N835" s="72"/>
      <c r="O835" s="642"/>
      <c r="P835" s="642"/>
      <c r="Q835" s="74"/>
      <c r="R835" s="641"/>
      <c r="S835" s="641"/>
      <c r="T835" s="72"/>
      <c r="U835" s="72"/>
      <c r="V835" s="72"/>
      <c r="W835" s="72"/>
      <c r="X835" s="72"/>
      <c r="Y835" s="72"/>
      <c r="Z835" s="72"/>
      <c r="AA835" s="73"/>
      <c r="AB835" s="72"/>
      <c r="AC835" s="641"/>
      <c r="AD835" s="72"/>
      <c r="AE835" s="641"/>
      <c r="AF835" s="641"/>
      <c r="AG835" s="72"/>
      <c r="AH835" s="72"/>
      <c r="AI835" s="72"/>
      <c r="AJ835" s="72"/>
      <c r="AK835" s="72"/>
      <c r="AL835" s="72"/>
      <c r="AM835" s="72"/>
      <c r="AN835" s="73"/>
      <c r="AO835" s="641"/>
      <c r="AP835" s="641"/>
      <c r="AQ835" s="641"/>
      <c r="AR835" s="641"/>
      <c r="AS835" s="641"/>
      <c r="AT835" s="641"/>
      <c r="AU835" s="72"/>
      <c r="AV835" s="73"/>
      <c r="AW835" s="643"/>
      <c r="AX835" s="643"/>
      <c r="AY835" s="643"/>
      <c r="AZ835" s="75"/>
      <c r="BA835" s="75"/>
      <c r="BB835" s="75"/>
    </row>
    <row r="836" spans="2:54" s="560" customFormat="1" ht="16.5" customHeight="1">
      <c r="B836" s="72"/>
      <c r="C836" s="72"/>
      <c r="D836" s="72"/>
      <c r="E836" s="73"/>
      <c r="F836" s="641"/>
      <c r="G836" s="73"/>
      <c r="H836" s="641"/>
      <c r="I836" s="641"/>
      <c r="J836" s="641"/>
      <c r="K836" s="641"/>
      <c r="L836" s="73"/>
      <c r="M836" s="72"/>
      <c r="N836" s="72"/>
      <c r="O836" s="642"/>
      <c r="P836" s="642"/>
      <c r="Q836" s="74"/>
      <c r="R836" s="641"/>
      <c r="S836" s="641"/>
      <c r="T836" s="72"/>
      <c r="U836" s="72"/>
      <c r="V836" s="72"/>
      <c r="W836" s="72"/>
      <c r="X836" s="72"/>
      <c r="Y836" s="72"/>
      <c r="Z836" s="72"/>
      <c r="AA836" s="73"/>
      <c r="AB836" s="72"/>
      <c r="AC836" s="641"/>
      <c r="AD836" s="72"/>
      <c r="AE836" s="641"/>
      <c r="AF836" s="641"/>
      <c r="AG836" s="72"/>
      <c r="AH836" s="72"/>
      <c r="AI836" s="72"/>
      <c r="AJ836" s="72"/>
      <c r="AK836" s="72"/>
      <c r="AL836" s="72"/>
      <c r="AM836" s="72"/>
      <c r="AN836" s="73"/>
      <c r="AO836" s="641"/>
      <c r="AP836" s="641"/>
      <c r="AQ836" s="641"/>
      <c r="AR836" s="641"/>
      <c r="AS836" s="641"/>
      <c r="AT836" s="641"/>
      <c r="AU836" s="72"/>
      <c r="AV836" s="73"/>
      <c r="AW836" s="643"/>
      <c r="AX836" s="643"/>
      <c r="AY836" s="643"/>
      <c r="AZ836" s="75"/>
      <c r="BA836" s="75"/>
      <c r="BB836" s="75"/>
    </row>
    <row r="837" spans="2:54" s="560" customFormat="1" ht="16.5" customHeight="1">
      <c r="B837" s="72"/>
      <c r="C837" s="72"/>
      <c r="D837" s="72"/>
      <c r="E837" s="73"/>
      <c r="F837" s="641"/>
      <c r="G837" s="73"/>
      <c r="H837" s="641"/>
      <c r="I837" s="641"/>
      <c r="J837" s="641"/>
      <c r="K837" s="641"/>
      <c r="L837" s="73"/>
      <c r="M837" s="72"/>
      <c r="N837" s="72"/>
      <c r="O837" s="642"/>
      <c r="P837" s="642"/>
      <c r="Q837" s="74"/>
      <c r="R837" s="641"/>
      <c r="S837" s="641"/>
      <c r="T837" s="72"/>
      <c r="U837" s="72"/>
      <c r="V837" s="72"/>
      <c r="W837" s="72"/>
      <c r="X837" s="72"/>
      <c r="Y837" s="72"/>
      <c r="Z837" s="72"/>
      <c r="AA837" s="73"/>
      <c r="AB837" s="72"/>
      <c r="AC837" s="641"/>
      <c r="AD837" s="72"/>
      <c r="AE837" s="641"/>
      <c r="AF837" s="641"/>
      <c r="AG837" s="72"/>
      <c r="AH837" s="72"/>
      <c r="AI837" s="72"/>
      <c r="AJ837" s="72"/>
      <c r="AK837" s="72"/>
      <c r="AL837" s="72"/>
      <c r="AM837" s="72"/>
      <c r="AN837" s="73"/>
      <c r="AO837" s="641"/>
      <c r="AP837" s="641"/>
      <c r="AQ837" s="641"/>
      <c r="AR837" s="641"/>
      <c r="AS837" s="641"/>
      <c r="AT837" s="641"/>
      <c r="AU837" s="72"/>
      <c r="AV837" s="73"/>
      <c r="AW837" s="643"/>
      <c r="AX837" s="643"/>
      <c r="AY837" s="643"/>
      <c r="AZ837" s="75"/>
      <c r="BA837" s="75"/>
      <c r="BB837" s="75"/>
    </row>
    <row r="838" spans="2:54" s="560" customFormat="1" ht="16.5" customHeight="1">
      <c r="B838" s="72"/>
      <c r="C838" s="72"/>
      <c r="D838" s="72"/>
      <c r="E838" s="73"/>
      <c r="F838" s="641"/>
      <c r="G838" s="73"/>
      <c r="H838" s="641"/>
      <c r="I838" s="641"/>
      <c r="J838" s="641"/>
      <c r="K838" s="641"/>
      <c r="L838" s="73"/>
      <c r="M838" s="72"/>
      <c r="N838" s="72"/>
      <c r="O838" s="642"/>
      <c r="P838" s="642"/>
      <c r="Q838" s="74"/>
      <c r="R838" s="641"/>
      <c r="S838" s="641"/>
      <c r="T838" s="72"/>
      <c r="U838" s="72"/>
      <c r="V838" s="72"/>
      <c r="W838" s="72"/>
      <c r="X838" s="72"/>
      <c r="Y838" s="72"/>
      <c r="Z838" s="72"/>
      <c r="AA838" s="73"/>
      <c r="AB838" s="72"/>
      <c r="AC838" s="641"/>
      <c r="AD838" s="72"/>
      <c r="AE838" s="641"/>
      <c r="AF838" s="641"/>
      <c r="AG838" s="72"/>
      <c r="AH838" s="72"/>
      <c r="AI838" s="72"/>
      <c r="AJ838" s="72"/>
      <c r="AK838" s="72"/>
      <c r="AL838" s="72"/>
      <c r="AM838" s="72"/>
      <c r="AN838" s="73"/>
      <c r="AO838" s="641"/>
      <c r="AP838" s="641"/>
      <c r="AQ838" s="641"/>
      <c r="AR838" s="641"/>
      <c r="AS838" s="641"/>
      <c r="AT838" s="641"/>
      <c r="AU838" s="72"/>
      <c r="AV838" s="73"/>
      <c r="AW838" s="643"/>
      <c r="AX838" s="643"/>
      <c r="AY838" s="643"/>
      <c r="AZ838" s="75"/>
      <c r="BA838" s="75"/>
      <c r="BB838" s="75"/>
    </row>
    <row r="839" spans="2:54" s="560" customFormat="1" ht="16.5" customHeight="1">
      <c r="B839" s="72"/>
      <c r="C839" s="72"/>
      <c r="D839" s="72"/>
      <c r="E839" s="73"/>
      <c r="F839" s="641"/>
      <c r="G839" s="73"/>
      <c r="H839" s="641"/>
      <c r="I839" s="641"/>
      <c r="J839" s="641"/>
      <c r="K839" s="641"/>
      <c r="L839" s="73"/>
      <c r="M839" s="72"/>
      <c r="N839" s="72"/>
      <c r="O839" s="642"/>
      <c r="P839" s="642"/>
      <c r="Q839" s="74"/>
      <c r="R839" s="641"/>
      <c r="S839" s="641"/>
      <c r="T839" s="72"/>
      <c r="U839" s="72"/>
      <c r="V839" s="72"/>
      <c r="W839" s="72"/>
      <c r="X839" s="72"/>
      <c r="Y839" s="72"/>
      <c r="Z839" s="72"/>
      <c r="AA839" s="73"/>
      <c r="AB839" s="72"/>
      <c r="AC839" s="641"/>
      <c r="AD839" s="72"/>
      <c r="AE839" s="641"/>
      <c r="AF839" s="641"/>
      <c r="AG839" s="72"/>
      <c r="AH839" s="72"/>
      <c r="AI839" s="72"/>
      <c r="AJ839" s="72"/>
      <c r="AK839" s="72"/>
      <c r="AL839" s="72"/>
      <c r="AM839" s="72"/>
      <c r="AN839" s="73"/>
      <c r="AO839" s="641"/>
      <c r="AP839" s="641"/>
      <c r="AQ839" s="641"/>
      <c r="AR839" s="641"/>
      <c r="AS839" s="641"/>
      <c r="AT839" s="641"/>
      <c r="AU839" s="72"/>
      <c r="AV839" s="73"/>
      <c r="AW839" s="643"/>
      <c r="AX839" s="643"/>
      <c r="AY839" s="643"/>
      <c r="AZ839" s="75"/>
      <c r="BA839" s="75"/>
      <c r="BB839" s="75"/>
    </row>
    <row r="840" spans="2:54" s="560" customFormat="1" ht="16.5" customHeight="1">
      <c r="B840" s="72"/>
      <c r="C840" s="72"/>
      <c r="D840" s="72"/>
      <c r="E840" s="73"/>
      <c r="F840" s="641"/>
      <c r="G840" s="73"/>
      <c r="H840" s="641"/>
      <c r="I840" s="641"/>
      <c r="J840" s="641"/>
      <c r="K840" s="641"/>
      <c r="L840" s="73"/>
      <c r="M840" s="72"/>
      <c r="N840" s="72"/>
      <c r="O840" s="642"/>
      <c r="P840" s="642"/>
      <c r="Q840" s="74"/>
      <c r="R840" s="641"/>
      <c r="S840" s="641"/>
      <c r="T840" s="72"/>
      <c r="U840" s="72"/>
      <c r="V840" s="72"/>
      <c r="W840" s="72"/>
      <c r="X840" s="72"/>
      <c r="Y840" s="72"/>
      <c r="Z840" s="72"/>
      <c r="AA840" s="73"/>
      <c r="AB840" s="72"/>
      <c r="AC840" s="641"/>
      <c r="AD840" s="72"/>
      <c r="AE840" s="641"/>
      <c r="AF840" s="641"/>
      <c r="AG840" s="72"/>
      <c r="AH840" s="72"/>
      <c r="AI840" s="72"/>
      <c r="AJ840" s="72"/>
      <c r="AK840" s="72"/>
      <c r="AL840" s="72"/>
      <c r="AM840" s="72"/>
      <c r="AN840" s="73"/>
      <c r="AO840" s="641"/>
      <c r="AP840" s="641"/>
      <c r="AQ840" s="641"/>
      <c r="AR840" s="641"/>
      <c r="AS840" s="641"/>
      <c r="AT840" s="641"/>
      <c r="AU840" s="72"/>
      <c r="AV840" s="73"/>
      <c r="AW840" s="643"/>
      <c r="AX840" s="643"/>
      <c r="AY840" s="643"/>
      <c r="AZ840" s="75"/>
      <c r="BA840" s="75"/>
      <c r="BB840" s="75"/>
    </row>
    <row r="841" spans="2:54" s="560" customFormat="1" ht="16.5" customHeight="1">
      <c r="B841" s="72"/>
      <c r="C841" s="72"/>
      <c r="D841" s="72"/>
      <c r="E841" s="73"/>
      <c r="F841" s="641"/>
      <c r="G841" s="73"/>
      <c r="H841" s="641"/>
      <c r="I841" s="641"/>
      <c r="J841" s="641"/>
      <c r="K841" s="641"/>
      <c r="L841" s="73"/>
      <c r="M841" s="72"/>
      <c r="N841" s="72"/>
      <c r="O841" s="642"/>
      <c r="P841" s="642"/>
      <c r="Q841" s="74"/>
      <c r="R841" s="641"/>
      <c r="S841" s="641"/>
      <c r="T841" s="72"/>
      <c r="U841" s="72"/>
      <c r="V841" s="72"/>
      <c r="W841" s="72"/>
      <c r="X841" s="72"/>
      <c r="Y841" s="72"/>
      <c r="Z841" s="72"/>
      <c r="AA841" s="73"/>
      <c r="AB841" s="72"/>
      <c r="AC841" s="641"/>
      <c r="AD841" s="72"/>
      <c r="AE841" s="641"/>
      <c r="AF841" s="641"/>
      <c r="AG841" s="72"/>
      <c r="AH841" s="72"/>
      <c r="AI841" s="72"/>
      <c r="AJ841" s="72"/>
      <c r="AK841" s="72"/>
      <c r="AL841" s="72"/>
      <c r="AM841" s="72"/>
      <c r="AN841" s="73"/>
      <c r="AO841" s="641"/>
      <c r="AP841" s="641"/>
      <c r="AQ841" s="641"/>
      <c r="AR841" s="641"/>
      <c r="AS841" s="641"/>
      <c r="AT841" s="641"/>
      <c r="AU841" s="72"/>
      <c r="AV841" s="73"/>
      <c r="AW841" s="643"/>
      <c r="AX841" s="643"/>
      <c r="AY841" s="643"/>
      <c r="AZ841" s="75"/>
      <c r="BA841" s="75"/>
      <c r="BB841" s="75"/>
    </row>
    <row r="842" spans="2:54" s="560" customFormat="1" ht="16.5" customHeight="1">
      <c r="B842" s="72"/>
      <c r="C842" s="72"/>
      <c r="D842" s="72"/>
      <c r="E842" s="73"/>
      <c r="F842" s="641"/>
      <c r="G842" s="73"/>
      <c r="H842" s="641"/>
      <c r="I842" s="641"/>
      <c r="J842" s="641"/>
      <c r="K842" s="641"/>
      <c r="L842" s="73"/>
      <c r="M842" s="72"/>
      <c r="N842" s="72"/>
      <c r="O842" s="642"/>
      <c r="P842" s="642"/>
      <c r="Q842" s="74"/>
      <c r="R842" s="641"/>
      <c r="S842" s="641"/>
      <c r="T842" s="72"/>
      <c r="U842" s="72"/>
      <c r="V842" s="72"/>
      <c r="W842" s="72"/>
      <c r="X842" s="72"/>
      <c r="Y842" s="72"/>
      <c r="Z842" s="72"/>
      <c r="AA842" s="73"/>
      <c r="AB842" s="72"/>
      <c r="AC842" s="641"/>
      <c r="AD842" s="72"/>
      <c r="AE842" s="641"/>
      <c r="AF842" s="641"/>
      <c r="AG842" s="72"/>
      <c r="AH842" s="72"/>
      <c r="AI842" s="72"/>
      <c r="AJ842" s="72"/>
      <c r="AK842" s="72"/>
      <c r="AL842" s="72"/>
      <c r="AM842" s="72"/>
      <c r="AN842" s="73"/>
      <c r="AO842" s="641"/>
      <c r="AP842" s="641"/>
      <c r="AQ842" s="641"/>
      <c r="AR842" s="641"/>
      <c r="AS842" s="641"/>
      <c r="AT842" s="641"/>
      <c r="AU842" s="72"/>
      <c r="AV842" s="73"/>
      <c r="AW842" s="643"/>
      <c r="AX842" s="643"/>
      <c r="AY842" s="643"/>
      <c r="AZ842" s="75"/>
      <c r="BA842" s="75"/>
      <c r="BB842" s="75"/>
    </row>
    <row r="843" spans="2:54" s="560" customFormat="1" ht="16.5" customHeight="1">
      <c r="B843" s="72"/>
      <c r="C843" s="72"/>
      <c r="D843" s="72"/>
      <c r="E843" s="73"/>
      <c r="F843" s="641"/>
      <c r="G843" s="73"/>
      <c r="H843" s="641"/>
      <c r="I843" s="641"/>
      <c r="J843" s="641"/>
      <c r="K843" s="641"/>
      <c r="L843" s="73"/>
      <c r="M843" s="72"/>
      <c r="N843" s="72"/>
      <c r="O843" s="642"/>
      <c r="P843" s="642"/>
      <c r="Q843" s="74"/>
      <c r="R843" s="641"/>
      <c r="S843" s="641"/>
      <c r="T843" s="72"/>
      <c r="U843" s="72"/>
      <c r="V843" s="72"/>
      <c r="W843" s="72"/>
      <c r="X843" s="72"/>
      <c r="Y843" s="72"/>
      <c r="Z843" s="72"/>
      <c r="AA843" s="73"/>
      <c r="AB843" s="72"/>
      <c r="AC843" s="641"/>
      <c r="AD843" s="72"/>
      <c r="AE843" s="641"/>
      <c r="AF843" s="641"/>
      <c r="AG843" s="72"/>
      <c r="AH843" s="72"/>
      <c r="AI843" s="72"/>
      <c r="AJ843" s="72"/>
      <c r="AK843" s="72"/>
      <c r="AL843" s="72"/>
      <c r="AM843" s="72"/>
      <c r="AN843" s="73"/>
      <c r="AO843" s="641"/>
      <c r="AP843" s="641"/>
      <c r="AQ843" s="641"/>
      <c r="AR843" s="641"/>
      <c r="AS843" s="641"/>
      <c r="AT843" s="641"/>
      <c r="AU843" s="72"/>
      <c r="AV843" s="73"/>
      <c r="AW843" s="643"/>
      <c r="AX843" s="643"/>
      <c r="AY843" s="643"/>
      <c r="AZ843" s="75"/>
      <c r="BA843" s="75"/>
      <c r="BB843" s="75"/>
    </row>
    <row r="844" spans="2:54" s="560" customFormat="1" ht="16.5" customHeight="1">
      <c r="B844" s="72"/>
      <c r="C844" s="72"/>
      <c r="D844" s="72"/>
      <c r="E844" s="73"/>
      <c r="F844" s="641"/>
      <c r="G844" s="73"/>
      <c r="H844" s="641"/>
      <c r="I844" s="641"/>
      <c r="J844" s="641"/>
      <c r="K844" s="641"/>
      <c r="L844" s="73"/>
      <c r="M844" s="72"/>
      <c r="N844" s="72"/>
      <c r="O844" s="642"/>
      <c r="P844" s="642"/>
      <c r="Q844" s="74"/>
      <c r="R844" s="641"/>
      <c r="S844" s="641"/>
      <c r="T844" s="72"/>
      <c r="U844" s="72"/>
      <c r="V844" s="72"/>
      <c r="W844" s="72"/>
      <c r="X844" s="72"/>
      <c r="Y844" s="72"/>
      <c r="Z844" s="72"/>
      <c r="AA844" s="73"/>
      <c r="AB844" s="72"/>
      <c r="AC844" s="641"/>
      <c r="AD844" s="72"/>
      <c r="AE844" s="641"/>
      <c r="AF844" s="641"/>
      <c r="AG844" s="72"/>
      <c r="AH844" s="72"/>
      <c r="AI844" s="72"/>
      <c r="AJ844" s="72"/>
      <c r="AK844" s="72"/>
      <c r="AL844" s="72"/>
      <c r="AM844" s="72"/>
      <c r="AN844" s="73"/>
      <c r="AO844" s="641"/>
      <c r="AP844" s="641"/>
      <c r="AQ844" s="641"/>
      <c r="AR844" s="641"/>
      <c r="AS844" s="641"/>
      <c r="AT844" s="641"/>
      <c r="AU844" s="72"/>
      <c r="AV844" s="73"/>
      <c r="AW844" s="643"/>
      <c r="AX844" s="643"/>
      <c r="AY844" s="643"/>
      <c r="AZ844" s="75"/>
      <c r="BA844" s="75"/>
      <c r="BB844" s="75"/>
    </row>
    <row r="845" spans="2:54" s="560" customFormat="1" ht="16.5" customHeight="1">
      <c r="B845" s="72"/>
      <c r="C845" s="72"/>
      <c r="D845" s="72"/>
      <c r="E845" s="73"/>
      <c r="F845" s="641"/>
      <c r="G845" s="73"/>
      <c r="H845" s="641"/>
      <c r="I845" s="641"/>
      <c r="J845" s="641"/>
      <c r="K845" s="641"/>
      <c r="L845" s="73"/>
      <c r="M845" s="72"/>
      <c r="N845" s="72"/>
      <c r="O845" s="642"/>
      <c r="P845" s="642"/>
      <c r="Q845" s="74"/>
      <c r="R845" s="641"/>
      <c r="S845" s="641"/>
      <c r="T845" s="72"/>
      <c r="U845" s="72"/>
      <c r="V845" s="72"/>
      <c r="W845" s="72"/>
      <c r="X845" s="72"/>
      <c r="Y845" s="72"/>
      <c r="Z845" s="72"/>
      <c r="AA845" s="73"/>
      <c r="AB845" s="72"/>
      <c r="AC845" s="641"/>
      <c r="AD845" s="72"/>
      <c r="AE845" s="641"/>
      <c r="AF845" s="641"/>
      <c r="AG845" s="72"/>
      <c r="AH845" s="72"/>
      <c r="AI845" s="72"/>
      <c r="AJ845" s="72"/>
      <c r="AK845" s="72"/>
      <c r="AL845" s="72"/>
      <c r="AM845" s="72"/>
      <c r="AN845" s="73"/>
      <c r="AO845" s="641"/>
      <c r="AP845" s="641"/>
      <c r="AQ845" s="641"/>
      <c r="AR845" s="641"/>
      <c r="AS845" s="641"/>
      <c r="AT845" s="641"/>
      <c r="AU845" s="72"/>
      <c r="AV845" s="73"/>
      <c r="AW845" s="643"/>
      <c r="AX845" s="643"/>
      <c r="AY845" s="643"/>
      <c r="AZ845" s="75"/>
      <c r="BA845" s="75"/>
      <c r="BB845" s="75"/>
    </row>
    <row r="846" spans="2:54" s="560" customFormat="1" ht="16.5" customHeight="1">
      <c r="B846" s="72"/>
      <c r="C846" s="72"/>
      <c r="D846" s="72"/>
      <c r="E846" s="73"/>
      <c r="F846" s="641"/>
      <c r="G846" s="73"/>
      <c r="H846" s="641"/>
      <c r="I846" s="641"/>
      <c r="J846" s="641"/>
      <c r="K846" s="641"/>
      <c r="L846" s="73"/>
      <c r="M846" s="72"/>
      <c r="N846" s="72"/>
      <c r="O846" s="642"/>
      <c r="P846" s="642"/>
      <c r="Q846" s="74"/>
      <c r="R846" s="641"/>
      <c r="S846" s="641"/>
      <c r="T846" s="72"/>
      <c r="U846" s="72"/>
      <c r="V846" s="72"/>
      <c r="W846" s="72"/>
      <c r="X846" s="72"/>
      <c r="Y846" s="72"/>
      <c r="Z846" s="72"/>
      <c r="AA846" s="73"/>
      <c r="AB846" s="72"/>
      <c r="AC846" s="641"/>
      <c r="AD846" s="72"/>
      <c r="AE846" s="641"/>
      <c r="AF846" s="641"/>
      <c r="AG846" s="72"/>
      <c r="AH846" s="72"/>
      <c r="AI846" s="72"/>
      <c r="AJ846" s="72"/>
      <c r="AK846" s="72"/>
      <c r="AL846" s="72"/>
      <c r="AM846" s="72"/>
      <c r="AN846" s="73"/>
      <c r="AO846" s="641"/>
      <c r="AP846" s="641"/>
      <c r="AQ846" s="641"/>
      <c r="AR846" s="641"/>
      <c r="AS846" s="641"/>
      <c r="AT846" s="641"/>
      <c r="AU846" s="72"/>
      <c r="AV846" s="73"/>
      <c r="AW846" s="643"/>
      <c r="AX846" s="643"/>
      <c r="AY846" s="643"/>
      <c r="AZ846" s="75"/>
      <c r="BA846" s="75"/>
      <c r="BB846" s="75"/>
    </row>
    <row r="847" spans="2:54" s="560" customFormat="1" ht="16.5" customHeight="1">
      <c r="B847" s="72"/>
      <c r="C847" s="72"/>
      <c r="D847" s="72"/>
      <c r="E847" s="73"/>
      <c r="F847" s="641"/>
      <c r="G847" s="73"/>
      <c r="H847" s="641"/>
      <c r="I847" s="641"/>
      <c r="J847" s="641"/>
      <c r="K847" s="641"/>
      <c r="L847" s="73"/>
      <c r="M847" s="72"/>
      <c r="N847" s="72"/>
      <c r="O847" s="642"/>
      <c r="P847" s="642"/>
      <c r="Q847" s="74"/>
      <c r="R847" s="641"/>
      <c r="S847" s="641"/>
      <c r="T847" s="72"/>
      <c r="U847" s="72"/>
      <c r="V847" s="72"/>
      <c r="W847" s="72"/>
      <c r="X847" s="72"/>
      <c r="Y847" s="72"/>
      <c r="Z847" s="72"/>
      <c r="AA847" s="73"/>
      <c r="AB847" s="72"/>
      <c r="AC847" s="641"/>
      <c r="AD847" s="72"/>
      <c r="AE847" s="641"/>
      <c r="AF847" s="641"/>
      <c r="AG847" s="72"/>
      <c r="AH847" s="72"/>
      <c r="AI847" s="72"/>
      <c r="AJ847" s="72"/>
      <c r="AK847" s="72"/>
      <c r="AL847" s="72"/>
      <c r="AM847" s="72"/>
      <c r="AN847" s="73"/>
      <c r="AO847" s="641"/>
      <c r="AP847" s="641"/>
      <c r="AQ847" s="641"/>
      <c r="AR847" s="641"/>
      <c r="AS847" s="641"/>
      <c r="AT847" s="641"/>
      <c r="AU847" s="72"/>
      <c r="AV847" s="73"/>
      <c r="AW847" s="643"/>
      <c r="AX847" s="643"/>
      <c r="AY847" s="643"/>
      <c r="AZ847" s="75"/>
      <c r="BA847" s="75"/>
      <c r="BB847" s="75"/>
    </row>
    <row r="848" spans="2:54" s="560" customFormat="1" ht="16.5" customHeight="1">
      <c r="B848" s="72"/>
      <c r="C848" s="72"/>
      <c r="D848" s="72"/>
      <c r="E848" s="73"/>
      <c r="F848" s="641"/>
      <c r="G848" s="73"/>
      <c r="H848" s="641"/>
      <c r="I848" s="641"/>
      <c r="J848" s="641"/>
      <c r="K848" s="641"/>
      <c r="L848" s="73"/>
      <c r="M848" s="72"/>
      <c r="N848" s="72"/>
      <c r="O848" s="642"/>
      <c r="P848" s="642"/>
      <c r="Q848" s="74"/>
      <c r="R848" s="641"/>
      <c r="S848" s="641"/>
      <c r="T848" s="72"/>
      <c r="U848" s="72"/>
      <c r="V848" s="72"/>
      <c r="W848" s="72"/>
      <c r="X848" s="72"/>
      <c r="Y848" s="72"/>
      <c r="Z848" s="72"/>
      <c r="AA848" s="73"/>
      <c r="AB848" s="72"/>
      <c r="AC848" s="641"/>
      <c r="AD848" s="72"/>
      <c r="AE848" s="641"/>
      <c r="AF848" s="641"/>
      <c r="AG848" s="72"/>
      <c r="AH848" s="72"/>
      <c r="AI848" s="72"/>
      <c r="AJ848" s="72"/>
      <c r="AK848" s="72"/>
      <c r="AL848" s="72"/>
      <c r="AM848" s="72"/>
      <c r="AN848" s="73"/>
      <c r="AO848" s="641"/>
      <c r="AP848" s="641"/>
      <c r="AQ848" s="641"/>
      <c r="AR848" s="641"/>
      <c r="AS848" s="641"/>
      <c r="AT848" s="641"/>
      <c r="AU848" s="72"/>
      <c r="AV848" s="73"/>
      <c r="AW848" s="643"/>
      <c r="AX848" s="643"/>
      <c r="AY848" s="643"/>
      <c r="AZ848" s="75"/>
      <c r="BA848" s="75"/>
      <c r="BB848" s="75"/>
    </row>
    <row r="849" spans="2:54" s="560" customFormat="1" ht="16.5" customHeight="1">
      <c r="B849" s="72"/>
      <c r="C849" s="72"/>
      <c r="D849" s="72"/>
      <c r="E849" s="73"/>
      <c r="F849" s="641"/>
      <c r="G849" s="73"/>
      <c r="H849" s="641"/>
      <c r="I849" s="641"/>
      <c r="J849" s="641"/>
      <c r="K849" s="641"/>
      <c r="L849" s="73"/>
      <c r="M849" s="72"/>
      <c r="N849" s="72"/>
      <c r="O849" s="642"/>
      <c r="P849" s="642"/>
      <c r="Q849" s="74"/>
      <c r="R849" s="641"/>
      <c r="S849" s="641"/>
      <c r="T849" s="72"/>
      <c r="U849" s="72"/>
      <c r="V849" s="72"/>
      <c r="W849" s="72"/>
      <c r="X849" s="72"/>
      <c r="Y849" s="72"/>
      <c r="Z849" s="72"/>
      <c r="AA849" s="73"/>
      <c r="AB849" s="72"/>
      <c r="AC849" s="641"/>
      <c r="AD849" s="72"/>
      <c r="AE849" s="641"/>
      <c r="AF849" s="641"/>
      <c r="AG849" s="72"/>
      <c r="AH849" s="72"/>
      <c r="AI849" s="72"/>
      <c r="AJ849" s="72"/>
      <c r="AK849" s="72"/>
      <c r="AL849" s="72"/>
      <c r="AM849" s="72"/>
      <c r="AN849" s="73"/>
      <c r="AO849" s="641"/>
      <c r="AP849" s="641"/>
      <c r="AQ849" s="641"/>
      <c r="AR849" s="641"/>
      <c r="AS849" s="641"/>
      <c r="AT849" s="641"/>
      <c r="AU849" s="72"/>
      <c r="AV849" s="73"/>
      <c r="AW849" s="643"/>
      <c r="AX849" s="643"/>
      <c r="AY849" s="643"/>
      <c r="AZ849" s="75"/>
      <c r="BA849" s="75"/>
      <c r="BB849" s="75"/>
    </row>
    <row r="850" spans="2:54" s="560" customFormat="1" ht="16.5" customHeight="1">
      <c r="B850" s="72"/>
      <c r="C850" s="72"/>
      <c r="D850" s="72"/>
      <c r="E850" s="73"/>
      <c r="F850" s="641"/>
      <c r="G850" s="73"/>
      <c r="H850" s="641"/>
      <c r="I850" s="641"/>
      <c r="J850" s="641"/>
      <c r="K850" s="641"/>
      <c r="L850" s="73"/>
      <c r="M850" s="72"/>
      <c r="N850" s="72"/>
      <c r="O850" s="642"/>
      <c r="P850" s="642"/>
      <c r="Q850" s="74"/>
      <c r="R850" s="641"/>
      <c r="S850" s="641"/>
      <c r="T850" s="72"/>
      <c r="U850" s="72"/>
      <c r="V850" s="72"/>
      <c r="W850" s="72"/>
      <c r="X850" s="72"/>
      <c r="Y850" s="72"/>
      <c r="Z850" s="72"/>
      <c r="AA850" s="73"/>
      <c r="AB850" s="72"/>
      <c r="AC850" s="641"/>
      <c r="AD850" s="72"/>
      <c r="AE850" s="641"/>
      <c r="AF850" s="641"/>
      <c r="AG850" s="72"/>
      <c r="AH850" s="72"/>
      <c r="AI850" s="72"/>
      <c r="AJ850" s="72"/>
      <c r="AK850" s="72"/>
      <c r="AL850" s="72"/>
      <c r="AM850" s="72"/>
      <c r="AN850" s="73"/>
      <c r="AO850" s="641"/>
      <c r="AP850" s="641"/>
      <c r="AQ850" s="641"/>
      <c r="AR850" s="641"/>
      <c r="AS850" s="641"/>
      <c r="AT850" s="641"/>
      <c r="AU850" s="72"/>
      <c r="AV850" s="73"/>
      <c r="AW850" s="643"/>
      <c r="AX850" s="643"/>
      <c r="AY850" s="643"/>
      <c r="AZ850" s="75"/>
      <c r="BA850" s="75"/>
      <c r="BB850" s="75"/>
    </row>
    <row r="851" spans="2:54" s="560" customFormat="1" ht="16.5" customHeight="1">
      <c r="B851" s="72"/>
      <c r="C851" s="72"/>
      <c r="D851" s="72"/>
      <c r="E851" s="73"/>
      <c r="F851" s="641"/>
      <c r="G851" s="73"/>
      <c r="H851" s="641"/>
      <c r="I851" s="641"/>
      <c r="J851" s="641"/>
      <c r="K851" s="641"/>
      <c r="L851" s="73"/>
      <c r="M851" s="72"/>
      <c r="N851" s="72"/>
      <c r="O851" s="642"/>
      <c r="P851" s="642"/>
      <c r="Q851" s="74"/>
      <c r="R851" s="641"/>
      <c r="S851" s="641"/>
      <c r="T851" s="72"/>
      <c r="U851" s="72"/>
      <c r="V851" s="72"/>
      <c r="W851" s="72"/>
      <c r="X851" s="72"/>
      <c r="Y851" s="72"/>
      <c r="Z851" s="72"/>
      <c r="AA851" s="73"/>
      <c r="AB851" s="72"/>
      <c r="AC851" s="641"/>
      <c r="AD851" s="72"/>
      <c r="AE851" s="641"/>
      <c r="AF851" s="641"/>
      <c r="AG851" s="72"/>
      <c r="AH851" s="72"/>
      <c r="AI851" s="72"/>
      <c r="AJ851" s="72"/>
      <c r="AK851" s="72"/>
      <c r="AL851" s="72"/>
      <c r="AM851" s="72"/>
      <c r="AN851" s="73"/>
      <c r="AO851" s="641"/>
      <c r="AP851" s="641"/>
      <c r="AQ851" s="641"/>
      <c r="AR851" s="641"/>
      <c r="AS851" s="641"/>
      <c r="AT851" s="641"/>
      <c r="AU851" s="72"/>
      <c r="AV851" s="73"/>
      <c r="AW851" s="643"/>
      <c r="AX851" s="643"/>
      <c r="AY851" s="643"/>
      <c r="AZ851" s="75"/>
      <c r="BA851" s="75"/>
      <c r="BB851" s="75"/>
    </row>
    <row r="852" spans="2:54" s="560" customFormat="1" ht="16.5" customHeight="1">
      <c r="B852" s="72"/>
      <c r="C852" s="72"/>
      <c r="D852" s="72"/>
      <c r="E852" s="73"/>
      <c r="F852" s="641"/>
      <c r="G852" s="73"/>
      <c r="H852" s="641"/>
      <c r="I852" s="641"/>
      <c r="J852" s="641"/>
      <c r="K852" s="641"/>
      <c r="L852" s="73"/>
      <c r="M852" s="72"/>
      <c r="N852" s="72"/>
      <c r="O852" s="642"/>
      <c r="P852" s="642"/>
      <c r="Q852" s="74"/>
      <c r="R852" s="641"/>
      <c r="S852" s="641"/>
      <c r="T852" s="72"/>
      <c r="U852" s="72"/>
      <c r="V852" s="72"/>
      <c r="W852" s="72"/>
      <c r="X852" s="72"/>
      <c r="Y852" s="72"/>
      <c r="Z852" s="72"/>
      <c r="AA852" s="73"/>
      <c r="AB852" s="72"/>
      <c r="AC852" s="641"/>
      <c r="AD852" s="72"/>
      <c r="AE852" s="641"/>
      <c r="AF852" s="641"/>
      <c r="AG852" s="72"/>
      <c r="AH852" s="72"/>
      <c r="AI852" s="72"/>
      <c r="AJ852" s="72"/>
      <c r="AK852" s="72"/>
      <c r="AL852" s="72"/>
      <c r="AM852" s="72"/>
      <c r="AN852" s="73"/>
      <c r="AO852" s="641"/>
      <c r="AP852" s="641"/>
      <c r="AQ852" s="641"/>
      <c r="AR852" s="641"/>
      <c r="AS852" s="641"/>
      <c r="AT852" s="641"/>
      <c r="AU852" s="72"/>
      <c r="AV852" s="73"/>
      <c r="AW852" s="643"/>
      <c r="AX852" s="643"/>
      <c r="AY852" s="643"/>
      <c r="AZ852" s="75"/>
      <c r="BA852" s="75"/>
      <c r="BB852" s="75"/>
    </row>
    <row r="853" spans="2:54" s="560" customFormat="1" ht="16.5" customHeight="1">
      <c r="B853" s="72"/>
      <c r="C853" s="72"/>
      <c r="D853" s="72"/>
      <c r="E853" s="73"/>
      <c r="F853" s="641"/>
      <c r="G853" s="73"/>
      <c r="H853" s="641"/>
      <c r="I853" s="641"/>
      <c r="J853" s="641"/>
      <c r="K853" s="641"/>
      <c r="L853" s="73"/>
      <c r="M853" s="72"/>
      <c r="N853" s="72"/>
      <c r="O853" s="642"/>
      <c r="P853" s="642"/>
      <c r="Q853" s="74"/>
      <c r="R853" s="641"/>
      <c r="S853" s="641"/>
      <c r="T853" s="72"/>
      <c r="U853" s="72"/>
      <c r="V853" s="72"/>
      <c r="W853" s="72"/>
      <c r="X853" s="72"/>
      <c r="Y853" s="72"/>
      <c r="Z853" s="72"/>
      <c r="AA853" s="73"/>
      <c r="AB853" s="72"/>
      <c r="AC853" s="641"/>
      <c r="AD853" s="72"/>
      <c r="AE853" s="641"/>
      <c r="AF853" s="641"/>
      <c r="AG853" s="72"/>
      <c r="AH853" s="72"/>
      <c r="AI853" s="72"/>
      <c r="AJ853" s="72"/>
      <c r="AK853" s="72"/>
      <c r="AL853" s="72"/>
      <c r="AM853" s="72"/>
      <c r="AN853" s="73"/>
      <c r="AO853" s="641"/>
      <c r="AP853" s="641"/>
      <c r="AQ853" s="641"/>
      <c r="AR853" s="641"/>
      <c r="AS853" s="641"/>
      <c r="AT853" s="641"/>
      <c r="AU853" s="72"/>
      <c r="AV853" s="73"/>
      <c r="AW853" s="643"/>
      <c r="AX853" s="643"/>
      <c r="AY853" s="643"/>
      <c r="AZ853" s="75"/>
      <c r="BA853" s="75"/>
      <c r="BB853" s="75"/>
    </row>
    <row r="854" spans="2:54" s="560" customFormat="1" ht="16.5" customHeight="1">
      <c r="B854" s="72"/>
      <c r="C854" s="72"/>
      <c r="D854" s="72"/>
      <c r="E854" s="73"/>
      <c r="F854" s="641"/>
      <c r="G854" s="73"/>
      <c r="H854" s="641"/>
      <c r="I854" s="641"/>
      <c r="J854" s="641"/>
      <c r="K854" s="641"/>
      <c r="L854" s="73"/>
      <c r="M854" s="72"/>
      <c r="N854" s="72"/>
      <c r="O854" s="642"/>
      <c r="P854" s="642"/>
      <c r="Q854" s="74"/>
      <c r="R854" s="641"/>
      <c r="S854" s="641"/>
      <c r="T854" s="72"/>
      <c r="U854" s="72"/>
      <c r="V854" s="72"/>
      <c r="W854" s="72"/>
      <c r="X854" s="72"/>
      <c r="Y854" s="72"/>
      <c r="Z854" s="72"/>
      <c r="AA854" s="73"/>
      <c r="AB854" s="72"/>
      <c r="AC854" s="641"/>
      <c r="AD854" s="72"/>
      <c r="AE854" s="641"/>
      <c r="AF854" s="641"/>
      <c r="AG854" s="72"/>
      <c r="AH854" s="72"/>
      <c r="AI854" s="72"/>
      <c r="AJ854" s="72"/>
      <c r="AK854" s="72"/>
      <c r="AL854" s="72"/>
      <c r="AM854" s="72"/>
      <c r="AN854" s="73"/>
      <c r="AO854" s="641"/>
      <c r="AP854" s="641"/>
      <c r="AQ854" s="641"/>
      <c r="AR854" s="641"/>
      <c r="AS854" s="641"/>
      <c r="AT854" s="641"/>
      <c r="AU854" s="72"/>
      <c r="AV854" s="73"/>
      <c r="AW854" s="643"/>
      <c r="AX854" s="643"/>
      <c r="AY854" s="643"/>
      <c r="AZ854" s="75"/>
      <c r="BA854" s="75"/>
      <c r="BB854" s="75"/>
    </row>
    <row r="855" spans="2:54" s="560" customFormat="1" ht="16.5" customHeight="1">
      <c r="B855" s="72"/>
      <c r="C855" s="72"/>
      <c r="D855" s="72"/>
      <c r="E855" s="73"/>
      <c r="F855" s="641"/>
      <c r="G855" s="73"/>
      <c r="H855" s="641"/>
      <c r="I855" s="641"/>
      <c r="J855" s="641"/>
      <c r="K855" s="641"/>
      <c r="L855" s="73"/>
      <c r="M855" s="72"/>
      <c r="N855" s="72"/>
      <c r="O855" s="642"/>
      <c r="P855" s="642"/>
      <c r="Q855" s="74"/>
      <c r="R855" s="641"/>
      <c r="S855" s="641"/>
      <c r="T855" s="72"/>
      <c r="U855" s="72"/>
      <c r="V855" s="72"/>
      <c r="W855" s="72"/>
      <c r="X855" s="72"/>
      <c r="Y855" s="72"/>
      <c r="Z855" s="72"/>
      <c r="AA855" s="73"/>
      <c r="AB855" s="72"/>
      <c r="AC855" s="641"/>
      <c r="AD855" s="72"/>
      <c r="AE855" s="641"/>
      <c r="AF855" s="641"/>
      <c r="AG855" s="72"/>
      <c r="AH855" s="72"/>
      <c r="AI855" s="72"/>
      <c r="AJ855" s="72"/>
      <c r="AK855" s="72"/>
      <c r="AL855" s="72"/>
      <c r="AM855" s="72"/>
      <c r="AN855" s="73"/>
      <c r="AO855" s="641"/>
      <c r="AP855" s="641"/>
      <c r="AQ855" s="641"/>
      <c r="AR855" s="641"/>
      <c r="AS855" s="641"/>
      <c r="AT855" s="641"/>
      <c r="AU855" s="72"/>
      <c r="AV855" s="73"/>
      <c r="AW855" s="643"/>
      <c r="AX855" s="643"/>
      <c r="AY855" s="643"/>
      <c r="AZ855" s="75"/>
      <c r="BA855" s="75"/>
      <c r="BB855" s="75"/>
    </row>
    <row r="856" spans="2:54" s="560" customFormat="1" ht="16.5" customHeight="1">
      <c r="B856" s="72"/>
      <c r="C856" s="72"/>
      <c r="D856" s="72"/>
      <c r="E856" s="73"/>
      <c r="F856" s="641"/>
      <c r="G856" s="73"/>
      <c r="H856" s="641"/>
      <c r="I856" s="641"/>
      <c r="J856" s="641"/>
      <c r="K856" s="641"/>
      <c r="L856" s="73"/>
      <c r="M856" s="72"/>
      <c r="N856" s="72"/>
      <c r="O856" s="642"/>
      <c r="P856" s="642"/>
      <c r="Q856" s="74"/>
      <c r="R856" s="641"/>
      <c r="S856" s="641"/>
      <c r="T856" s="72"/>
      <c r="U856" s="72"/>
      <c r="V856" s="72"/>
      <c r="W856" s="72"/>
      <c r="X856" s="72"/>
      <c r="Y856" s="72"/>
      <c r="Z856" s="72"/>
      <c r="AA856" s="73"/>
      <c r="AB856" s="72"/>
      <c r="AC856" s="641"/>
      <c r="AD856" s="72"/>
      <c r="AE856" s="641"/>
      <c r="AF856" s="641"/>
      <c r="AG856" s="72"/>
      <c r="AH856" s="72"/>
      <c r="AI856" s="72"/>
      <c r="AJ856" s="72"/>
      <c r="AK856" s="72"/>
      <c r="AL856" s="72"/>
      <c r="AM856" s="72"/>
      <c r="AN856" s="73"/>
      <c r="AO856" s="641"/>
      <c r="AP856" s="641"/>
      <c r="AQ856" s="641"/>
      <c r="AR856" s="641"/>
      <c r="AS856" s="641"/>
      <c r="AT856" s="641"/>
      <c r="AU856" s="72"/>
      <c r="AV856" s="73"/>
      <c r="AW856" s="643"/>
      <c r="AX856" s="643"/>
      <c r="AY856" s="643"/>
      <c r="AZ856" s="75"/>
      <c r="BA856" s="75"/>
      <c r="BB856" s="75"/>
    </row>
    <row r="857" spans="2:54" s="560" customFormat="1" ht="16.5" customHeight="1">
      <c r="B857" s="72"/>
      <c r="C857" s="72"/>
      <c r="D857" s="72"/>
      <c r="E857" s="73"/>
      <c r="F857" s="641"/>
      <c r="G857" s="73"/>
      <c r="H857" s="641"/>
      <c r="I857" s="641"/>
      <c r="J857" s="641"/>
      <c r="K857" s="641"/>
      <c r="L857" s="73"/>
      <c r="M857" s="72"/>
      <c r="N857" s="72"/>
      <c r="O857" s="642"/>
      <c r="P857" s="642"/>
      <c r="Q857" s="74"/>
      <c r="R857" s="641"/>
      <c r="S857" s="641"/>
      <c r="T857" s="72"/>
      <c r="U857" s="72"/>
      <c r="V857" s="72"/>
      <c r="W857" s="72"/>
      <c r="X857" s="72"/>
      <c r="Y857" s="72"/>
      <c r="Z857" s="72"/>
      <c r="AA857" s="73"/>
      <c r="AB857" s="72"/>
      <c r="AC857" s="641"/>
      <c r="AD857" s="72"/>
      <c r="AE857" s="641"/>
      <c r="AF857" s="641"/>
      <c r="AG857" s="72"/>
      <c r="AH857" s="72"/>
      <c r="AI857" s="72"/>
      <c r="AJ857" s="72"/>
      <c r="AK857" s="72"/>
      <c r="AL857" s="72"/>
      <c r="AM857" s="72"/>
      <c r="AN857" s="73"/>
      <c r="AO857" s="641"/>
      <c r="AP857" s="641"/>
      <c r="AQ857" s="641"/>
      <c r="AR857" s="641"/>
      <c r="AS857" s="641"/>
      <c r="AT857" s="641"/>
      <c r="AU857" s="72"/>
      <c r="AV857" s="73"/>
      <c r="AW857" s="643"/>
      <c r="AX857" s="643"/>
      <c r="AY857" s="643"/>
      <c r="AZ857" s="75"/>
      <c r="BA857" s="75"/>
      <c r="BB857" s="75"/>
    </row>
    <row r="858" spans="2:54" s="560" customFormat="1" ht="16.5" customHeight="1">
      <c r="B858" s="72"/>
      <c r="C858" s="72"/>
      <c r="D858" s="72"/>
      <c r="E858" s="73"/>
      <c r="F858" s="641"/>
      <c r="G858" s="73"/>
      <c r="H858" s="641"/>
      <c r="I858" s="641"/>
      <c r="J858" s="641"/>
      <c r="K858" s="641"/>
      <c r="L858" s="73"/>
      <c r="M858" s="72"/>
      <c r="N858" s="72"/>
      <c r="O858" s="642"/>
      <c r="P858" s="642"/>
      <c r="Q858" s="74"/>
      <c r="R858" s="641"/>
      <c r="S858" s="641"/>
      <c r="T858" s="72"/>
      <c r="U858" s="72"/>
      <c r="V858" s="72"/>
      <c r="W858" s="72"/>
      <c r="X858" s="72"/>
      <c r="Y858" s="72"/>
      <c r="Z858" s="72"/>
      <c r="AA858" s="73"/>
      <c r="AB858" s="72"/>
      <c r="AC858" s="641"/>
      <c r="AD858" s="72"/>
      <c r="AE858" s="641"/>
      <c r="AF858" s="641"/>
      <c r="AG858" s="72"/>
      <c r="AH858" s="72"/>
      <c r="AI858" s="72"/>
      <c r="AJ858" s="72"/>
      <c r="AK858" s="72"/>
      <c r="AL858" s="72"/>
      <c r="AM858" s="72"/>
      <c r="AN858" s="73"/>
      <c r="AO858" s="641"/>
      <c r="AP858" s="641"/>
      <c r="AQ858" s="641"/>
      <c r="AR858" s="641"/>
      <c r="AS858" s="641"/>
      <c r="AT858" s="641"/>
      <c r="AU858" s="72"/>
      <c r="AV858" s="73"/>
      <c r="AW858" s="643"/>
      <c r="AX858" s="643"/>
      <c r="AY858" s="643"/>
      <c r="AZ858" s="75"/>
      <c r="BA858" s="75"/>
      <c r="BB858" s="75"/>
    </row>
    <row r="859" spans="2:54" s="560" customFormat="1" ht="16.5" customHeight="1">
      <c r="B859" s="72"/>
      <c r="C859" s="72"/>
      <c r="D859" s="72"/>
      <c r="E859" s="73"/>
      <c r="F859" s="641"/>
      <c r="G859" s="73"/>
      <c r="H859" s="641"/>
      <c r="I859" s="641"/>
      <c r="J859" s="641"/>
      <c r="K859" s="641"/>
      <c r="L859" s="73"/>
      <c r="M859" s="72"/>
      <c r="N859" s="72"/>
      <c r="O859" s="642"/>
      <c r="P859" s="642"/>
      <c r="Q859" s="74"/>
      <c r="R859" s="641"/>
      <c r="S859" s="641"/>
      <c r="T859" s="72"/>
      <c r="U859" s="72"/>
      <c r="V859" s="72"/>
      <c r="W859" s="72"/>
      <c r="X859" s="72"/>
      <c r="Y859" s="72"/>
      <c r="Z859" s="72"/>
      <c r="AA859" s="73"/>
      <c r="AB859" s="72"/>
      <c r="AC859" s="641"/>
      <c r="AD859" s="72"/>
      <c r="AE859" s="641"/>
      <c r="AF859" s="641"/>
      <c r="AG859" s="72"/>
      <c r="AH859" s="72"/>
      <c r="AI859" s="72"/>
      <c r="AJ859" s="72"/>
      <c r="AK859" s="72"/>
      <c r="AL859" s="72"/>
      <c r="AM859" s="72"/>
      <c r="AN859" s="73"/>
      <c r="AO859" s="641"/>
      <c r="AP859" s="641"/>
      <c r="AQ859" s="641"/>
      <c r="AR859" s="641"/>
      <c r="AS859" s="641"/>
      <c r="AT859" s="641"/>
      <c r="AU859" s="72"/>
      <c r="AV859" s="73"/>
      <c r="AW859" s="643"/>
      <c r="AX859" s="643"/>
      <c r="AY859" s="643"/>
      <c r="AZ859" s="75"/>
      <c r="BA859" s="75"/>
      <c r="BB859" s="75"/>
    </row>
    <row r="860" spans="2:54" s="560" customFormat="1" ht="16.5" customHeight="1">
      <c r="B860" s="72"/>
      <c r="C860" s="72"/>
      <c r="D860" s="72"/>
      <c r="E860" s="73"/>
      <c r="F860" s="641"/>
      <c r="G860" s="73"/>
      <c r="H860" s="641"/>
      <c r="I860" s="641"/>
      <c r="J860" s="641"/>
      <c r="K860" s="641"/>
      <c r="L860" s="73"/>
      <c r="M860" s="72"/>
      <c r="N860" s="72"/>
      <c r="O860" s="642"/>
      <c r="P860" s="642"/>
      <c r="Q860" s="74"/>
      <c r="R860" s="641"/>
      <c r="S860" s="641"/>
      <c r="T860" s="72"/>
      <c r="U860" s="72"/>
      <c r="V860" s="72"/>
      <c r="W860" s="72"/>
      <c r="X860" s="72"/>
      <c r="Y860" s="72"/>
      <c r="Z860" s="72"/>
      <c r="AA860" s="73"/>
      <c r="AB860" s="72"/>
      <c r="AC860" s="641"/>
      <c r="AD860" s="72"/>
      <c r="AE860" s="641"/>
      <c r="AF860" s="641"/>
      <c r="AG860" s="72"/>
      <c r="AH860" s="72"/>
      <c r="AI860" s="72"/>
      <c r="AJ860" s="72"/>
      <c r="AK860" s="72"/>
      <c r="AL860" s="72"/>
      <c r="AM860" s="72"/>
      <c r="AN860" s="73"/>
      <c r="AO860" s="641"/>
      <c r="AP860" s="641"/>
      <c r="AQ860" s="641"/>
      <c r="AR860" s="641"/>
      <c r="AS860" s="641"/>
      <c r="AT860" s="641"/>
      <c r="AU860" s="72"/>
      <c r="AV860" s="73"/>
      <c r="AW860" s="643"/>
      <c r="AX860" s="643"/>
      <c r="AY860" s="643"/>
      <c r="AZ860" s="75"/>
      <c r="BA860" s="75"/>
      <c r="BB860" s="75"/>
    </row>
    <row r="861" spans="2:54" s="560" customFormat="1" ht="16.5" customHeight="1">
      <c r="B861" s="72"/>
      <c r="C861" s="72"/>
      <c r="D861" s="72"/>
      <c r="E861" s="73"/>
      <c r="F861" s="641"/>
      <c r="G861" s="73"/>
      <c r="H861" s="641"/>
      <c r="I861" s="641"/>
      <c r="J861" s="641"/>
      <c r="K861" s="641"/>
      <c r="L861" s="73"/>
      <c r="M861" s="72"/>
      <c r="N861" s="72"/>
      <c r="O861" s="642"/>
      <c r="P861" s="642"/>
      <c r="Q861" s="74"/>
      <c r="R861" s="641"/>
      <c r="S861" s="641"/>
      <c r="T861" s="72"/>
      <c r="U861" s="72"/>
      <c r="V861" s="72"/>
      <c r="W861" s="72"/>
      <c r="X861" s="72"/>
      <c r="Y861" s="72"/>
      <c r="Z861" s="72"/>
      <c r="AA861" s="73"/>
      <c r="AB861" s="72"/>
      <c r="AC861" s="641"/>
      <c r="AD861" s="72"/>
      <c r="AE861" s="641"/>
      <c r="AF861" s="641"/>
      <c r="AG861" s="72"/>
      <c r="AH861" s="72"/>
      <c r="AI861" s="72"/>
      <c r="AJ861" s="72"/>
      <c r="AK861" s="72"/>
      <c r="AL861" s="72"/>
      <c r="AM861" s="72"/>
      <c r="AN861" s="73"/>
      <c r="AO861" s="641"/>
      <c r="AP861" s="641"/>
      <c r="AQ861" s="641"/>
      <c r="AR861" s="641"/>
      <c r="AS861" s="641"/>
      <c r="AT861" s="641"/>
      <c r="AU861" s="72"/>
      <c r="AV861" s="73"/>
      <c r="AW861" s="643"/>
      <c r="AX861" s="643"/>
      <c r="AY861" s="643"/>
      <c r="AZ861" s="75"/>
      <c r="BA861" s="75"/>
      <c r="BB861" s="75"/>
    </row>
    <row r="862" spans="2:54" s="560" customFormat="1" ht="16.5" customHeight="1">
      <c r="B862" s="72"/>
      <c r="C862" s="72"/>
      <c r="D862" s="72"/>
      <c r="E862" s="73"/>
      <c r="F862" s="641"/>
      <c r="G862" s="73"/>
      <c r="H862" s="641"/>
      <c r="I862" s="641"/>
      <c r="J862" s="641"/>
      <c r="K862" s="641"/>
      <c r="L862" s="73"/>
      <c r="M862" s="72"/>
      <c r="N862" s="72"/>
      <c r="O862" s="642"/>
      <c r="P862" s="642"/>
      <c r="Q862" s="74"/>
      <c r="R862" s="641"/>
      <c r="S862" s="641"/>
      <c r="T862" s="72"/>
      <c r="U862" s="72"/>
      <c r="V862" s="72"/>
      <c r="W862" s="72"/>
      <c r="X862" s="72"/>
      <c r="Y862" s="72"/>
      <c r="Z862" s="72"/>
      <c r="AA862" s="73"/>
      <c r="AB862" s="72"/>
      <c r="AC862" s="641"/>
      <c r="AD862" s="72"/>
      <c r="AE862" s="641"/>
      <c r="AF862" s="641"/>
      <c r="AG862" s="72"/>
      <c r="AH862" s="72"/>
      <c r="AI862" s="72"/>
      <c r="AJ862" s="72"/>
      <c r="AK862" s="72"/>
      <c r="AL862" s="72"/>
      <c r="AM862" s="72"/>
      <c r="AN862" s="73"/>
      <c r="AO862" s="641"/>
      <c r="AP862" s="641"/>
      <c r="AQ862" s="641"/>
      <c r="AR862" s="641"/>
      <c r="AS862" s="641"/>
      <c r="AT862" s="641"/>
      <c r="AU862" s="72"/>
      <c r="AV862" s="73"/>
      <c r="AW862" s="643"/>
      <c r="AX862" s="643"/>
      <c r="AY862" s="643"/>
      <c r="AZ862" s="75"/>
      <c r="BA862" s="75"/>
      <c r="BB862" s="75"/>
    </row>
    <row r="863" spans="2:54" s="560" customFormat="1" ht="16.5" customHeight="1">
      <c r="B863" s="72"/>
      <c r="C863" s="72"/>
      <c r="D863" s="72"/>
      <c r="E863" s="73"/>
      <c r="F863" s="641"/>
      <c r="G863" s="73"/>
      <c r="H863" s="641"/>
      <c r="I863" s="641"/>
      <c r="J863" s="641"/>
      <c r="K863" s="641"/>
      <c r="L863" s="73"/>
      <c r="M863" s="72"/>
      <c r="N863" s="72"/>
      <c r="O863" s="642"/>
      <c r="P863" s="642"/>
      <c r="Q863" s="74"/>
      <c r="R863" s="641"/>
      <c r="S863" s="641"/>
      <c r="T863" s="72"/>
      <c r="U863" s="72"/>
      <c r="V863" s="72"/>
      <c r="W863" s="72"/>
      <c r="X863" s="72"/>
      <c r="Y863" s="72"/>
      <c r="Z863" s="72"/>
      <c r="AA863" s="73"/>
      <c r="AB863" s="72"/>
      <c r="AC863" s="641"/>
      <c r="AD863" s="72"/>
      <c r="AE863" s="641"/>
      <c r="AF863" s="641"/>
      <c r="AG863" s="72"/>
      <c r="AH863" s="72"/>
      <c r="AI863" s="72"/>
      <c r="AJ863" s="72"/>
      <c r="AK863" s="72"/>
      <c r="AL863" s="72"/>
      <c r="AM863" s="72"/>
      <c r="AN863" s="73"/>
      <c r="AO863" s="641"/>
      <c r="AP863" s="641"/>
      <c r="AQ863" s="641"/>
      <c r="AR863" s="641"/>
      <c r="AS863" s="641"/>
      <c r="AT863" s="641"/>
      <c r="AU863" s="72"/>
      <c r="AV863" s="73"/>
      <c r="AW863" s="643"/>
      <c r="AX863" s="643"/>
      <c r="AY863" s="643"/>
      <c r="AZ863" s="75"/>
      <c r="BA863" s="75"/>
      <c r="BB863" s="75"/>
    </row>
  </sheetData>
  <phoneticPr fontId="5"/>
  <conditionalFormatting sqref="B2">
    <cfRule type="duplicateValues" dxfId="282" priority="25"/>
  </conditionalFormatting>
  <conditionalFormatting sqref="B3:B7">
    <cfRule type="duplicateValues" dxfId="281" priority="8"/>
  </conditionalFormatting>
  <conditionalFormatting sqref="B8">
    <cfRule type="duplicateValues" dxfId="280" priority="40"/>
  </conditionalFormatting>
  <conditionalFormatting sqref="B9:B10">
    <cfRule type="duplicateValues" dxfId="279" priority="47"/>
  </conditionalFormatting>
  <conditionalFormatting sqref="B11">
    <cfRule type="duplicateValues" dxfId="278" priority="55"/>
  </conditionalFormatting>
  <conditionalFormatting sqref="B12">
    <cfRule type="duplicateValues" dxfId="277" priority="33"/>
  </conditionalFormatting>
  <conditionalFormatting sqref="B13">
    <cfRule type="duplicateValues" dxfId="276" priority="41"/>
  </conditionalFormatting>
  <conditionalFormatting sqref="B14">
    <cfRule type="duplicateValues" dxfId="275" priority="5"/>
  </conditionalFormatting>
  <conditionalFormatting sqref="B15">
    <cfRule type="duplicateValues" dxfId="274" priority="45"/>
  </conditionalFormatting>
  <conditionalFormatting sqref="B17">
    <cfRule type="duplicateValues" dxfId="273" priority="44"/>
  </conditionalFormatting>
  <conditionalFormatting sqref="B18">
    <cfRule type="duplicateValues" dxfId="272" priority="34"/>
  </conditionalFormatting>
  <conditionalFormatting sqref="B19:B30">
    <cfRule type="duplicateValues" dxfId="271" priority="7"/>
  </conditionalFormatting>
  <conditionalFormatting sqref="B31:B33">
    <cfRule type="duplicateValues" dxfId="270" priority="57"/>
  </conditionalFormatting>
  <conditionalFormatting sqref="B34">
    <cfRule type="duplicateValues" dxfId="269" priority="37"/>
  </conditionalFormatting>
  <conditionalFormatting sqref="B35:B82">
    <cfRule type="duplicateValues" dxfId="268" priority="52"/>
  </conditionalFormatting>
  <conditionalFormatting sqref="B83">
    <cfRule type="duplicateValues" dxfId="267" priority="4"/>
  </conditionalFormatting>
  <conditionalFormatting sqref="B84:B96">
    <cfRule type="duplicateValues" dxfId="266" priority="54"/>
  </conditionalFormatting>
  <conditionalFormatting sqref="B97">
    <cfRule type="duplicateValues" dxfId="265" priority="38"/>
  </conditionalFormatting>
  <conditionalFormatting sqref="B98:B99">
    <cfRule type="duplicateValues" dxfId="264" priority="39"/>
  </conditionalFormatting>
  <conditionalFormatting sqref="B100">
    <cfRule type="duplicateValues" dxfId="263" priority="23"/>
  </conditionalFormatting>
  <conditionalFormatting sqref="B101">
    <cfRule type="duplicateValues" dxfId="262" priority="24"/>
  </conditionalFormatting>
  <conditionalFormatting sqref="B102:B104">
    <cfRule type="duplicateValues" dxfId="261" priority="42"/>
  </conditionalFormatting>
  <conditionalFormatting sqref="B105">
    <cfRule type="duplicateValues" dxfId="260" priority="51"/>
  </conditionalFormatting>
  <conditionalFormatting sqref="B106">
    <cfRule type="duplicateValues" dxfId="259" priority="32"/>
  </conditionalFormatting>
  <conditionalFormatting sqref="B107">
    <cfRule type="duplicateValues" dxfId="258" priority="22"/>
  </conditionalFormatting>
  <conditionalFormatting sqref="B108">
    <cfRule type="duplicateValues" dxfId="257" priority="31"/>
  </conditionalFormatting>
  <conditionalFormatting sqref="B109">
    <cfRule type="duplicateValues" dxfId="256" priority="30"/>
  </conditionalFormatting>
  <conditionalFormatting sqref="B110">
    <cfRule type="duplicateValues" dxfId="255" priority="27"/>
  </conditionalFormatting>
  <conditionalFormatting sqref="B112:B116">
    <cfRule type="duplicateValues" dxfId="254" priority="6"/>
  </conditionalFormatting>
  <conditionalFormatting sqref="B117:B133">
    <cfRule type="duplicateValues" dxfId="253" priority="48"/>
  </conditionalFormatting>
  <conditionalFormatting sqref="B134:B143">
    <cfRule type="duplicateValues" dxfId="252" priority="21"/>
  </conditionalFormatting>
  <conditionalFormatting sqref="B144:B150">
    <cfRule type="duplicateValues" dxfId="251" priority="20"/>
  </conditionalFormatting>
  <conditionalFormatting sqref="B151:B158 B160">
    <cfRule type="duplicateValues" dxfId="250" priority="19"/>
  </conditionalFormatting>
  <conditionalFormatting sqref="B159">
    <cfRule type="duplicateValues" dxfId="249" priority="11"/>
  </conditionalFormatting>
  <conditionalFormatting sqref="B161">
    <cfRule type="duplicateValues" dxfId="248" priority="10"/>
  </conditionalFormatting>
  <conditionalFormatting sqref="B162">
    <cfRule type="duplicateValues" dxfId="247" priority="9"/>
  </conditionalFormatting>
  <conditionalFormatting sqref="B163:B167">
    <cfRule type="duplicateValues" dxfId="246" priority="50"/>
  </conditionalFormatting>
  <conditionalFormatting sqref="B168:B177">
    <cfRule type="duplicateValues" dxfId="245" priority="49"/>
  </conditionalFormatting>
  <conditionalFormatting sqref="B178:B181">
    <cfRule type="duplicateValues" dxfId="244" priority="43"/>
  </conditionalFormatting>
  <conditionalFormatting sqref="B182">
    <cfRule type="duplicateValues" dxfId="243" priority="3"/>
  </conditionalFormatting>
  <conditionalFormatting sqref="B183:B184">
    <cfRule type="duplicateValues" dxfId="242" priority="46"/>
  </conditionalFormatting>
  <conditionalFormatting sqref="B186:B208">
    <cfRule type="duplicateValues" dxfId="241" priority="58"/>
  </conditionalFormatting>
  <conditionalFormatting sqref="B209">
    <cfRule type="duplicateValues" dxfId="240" priority="2"/>
  </conditionalFormatting>
  <conditionalFormatting sqref="B210:B216">
    <cfRule type="duplicateValues" dxfId="239" priority="56"/>
  </conditionalFormatting>
  <conditionalFormatting sqref="B217">
    <cfRule type="duplicateValues" dxfId="238" priority="12"/>
  </conditionalFormatting>
  <conditionalFormatting sqref="B222:B234">
    <cfRule type="duplicateValues" dxfId="237" priority="36"/>
  </conditionalFormatting>
  <conditionalFormatting sqref="B235">
    <cfRule type="duplicateValues" dxfId="236" priority="16"/>
  </conditionalFormatting>
  <conditionalFormatting sqref="B236">
    <cfRule type="duplicateValues" dxfId="235" priority="35"/>
  </conditionalFormatting>
  <conditionalFormatting sqref="B237">
    <cfRule type="duplicateValues" dxfId="234" priority="15"/>
  </conditionalFormatting>
  <conditionalFormatting sqref="B238">
    <cfRule type="duplicateValues" dxfId="233" priority="1"/>
  </conditionalFormatting>
  <conditionalFormatting sqref="B239">
    <cfRule type="duplicateValues" dxfId="232" priority="18"/>
  </conditionalFormatting>
  <conditionalFormatting sqref="B241">
    <cfRule type="duplicateValues" dxfId="231" priority="17"/>
  </conditionalFormatting>
  <conditionalFormatting sqref="B242">
    <cfRule type="duplicateValues" dxfId="230" priority="28"/>
  </conditionalFormatting>
  <conditionalFormatting sqref="B243">
    <cfRule type="duplicateValues" dxfId="229" priority="13"/>
  </conditionalFormatting>
  <conditionalFormatting sqref="B244:B247">
    <cfRule type="duplicateValues" dxfId="228" priority="29"/>
  </conditionalFormatting>
  <conditionalFormatting sqref="B248:B254">
    <cfRule type="duplicateValues" dxfId="227" priority="14"/>
  </conditionalFormatting>
  <conditionalFormatting sqref="B255">
    <cfRule type="duplicateValues" dxfId="226" priority="26"/>
  </conditionalFormatting>
  <conditionalFormatting sqref="B256:B1048576 B1 B218:B221 B240 B16 B185 B111">
    <cfRule type="duplicateValues" dxfId="225" priority="53"/>
  </conditionalFormatting>
  <pageMargins left="0.23622047244094491" right="0.23622047244094491" top="0.74803149606299213" bottom="0.74803149606299213" header="0.31496062992125984" footer="0.31496062992125984"/>
  <pageSetup paperSize="8" scale="50" fitToWidth="0" orientation="landscape" errors="blank" r:id="rId1"/>
  <headerFooter>
    <oddHeader>&amp;L①基本情報&amp;R&amp;F</oddHeader>
    <oddFooter>&amp;R&amp;P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E42"/>
  <sheetViews>
    <sheetView workbookViewId="0"/>
    <sheetView workbookViewId="1"/>
  </sheetViews>
  <sheetFormatPr defaultRowHeight="13.5"/>
  <cols>
    <col min="1" max="1" width="8.75" customWidth="1"/>
    <col min="2" max="2" width="47.25" customWidth="1"/>
    <col min="3" max="3" width="8.75" customWidth="1"/>
    <col min="4" max="4" width="7.25" customWidth="1"/>
    <col min="5" max="5" width="6.5" customWidth="1"/>
  </cols>
  <sheetData>
    <row r="1" spans="1:5">
      <c r="A1" s="35" t="s">
        <v>1986</v>
      </c>
      <c r="C1" s="21" t="s">
        <v>1955</v>
      </c>
    </row>
    <row r="2" spans="1:5" s="28" customFormat="1">
      <c r="A2" s="34" t="s">
        <v>1968</v>
      </c>
      <c r="B2" s="34" t="s">
        <v>1985</v>
      </c>
      <c r="C2" s="28" t="s">
        <v>63</v>
      </c>
      <c r="D2" s="28" t="s">
        <v>1957</v>
      </c>
      <c r="E2" s="28" t="s">
        <v>1958</v>
      </c>
    </row>
    <row r="3" spans="1:5">
      <c r="A3" t="s">
        <v>185</v>
      </c>
      <c r="B3" t="s">
        <v>1364</v>
      </c>
      <c r="C3" s="16">
        <v>1</v>
      </c>
      <c r="D3" s="16"/>
      <c r="E3" s="16">
        <v>1</v>
      </c>
    </row>
    <row r="4" spans="1:5">
      <c r="A4" t="s">
        <v>56</v>
      </c>
      <c r="B4" t="s">
        <v>55</v>
      </c>
      <c r="C4" s="16">
        <v>1</v>
      </c>
      <c r="D4" s="16"/>
      <c r="E4" s="16">
        <v>1</v>
      </c>
    </row>
    <row r="5" spans="1:5">
      <c r="A5" t="s">
        <v>181</v>
      </c>
      <c r="B5" t="s">
        <v>180</v>
      </c>
      <c r="C5" s="16">
        <v>74</v>
      </c>
      <c r="D5" s="16"/>
      <c r="E5" s="16">
        <v>74</v>
      </c>
    </row>
    <row r="6" spans="1:5">
      <c r="A6" t="s">
        <v>126</v>
      </c>
      <c r="B6" t="s">
        <v>125</v>
      </c>
      <c r="C6" s="16">
        <v>1</v>
      </c>
      <c r="D6" s="16"/>
      <c r="E6" s="16">
        <v>1</v>
      </c>
    </row>
    <row r="7" spans="1:5">
      <c r="A7" t="s">
        <v>80</v>
      </c>
      <c r="B7" t="s">
        <v>79</v>
      </c>
      <c r="C7" s="16">
        <v>5</v>
      </c>
      <c r="D7" s="16"/>
      <c r="E7" s="16">
        <v>5</v>
      </c>
    </row>
    <row r="8" spans="1:5">
      <c r="A8" t="s">
        <v>148</v>
      </c>
      <c r="B8" t="s">
        <v>147</v>
      </c>
      <c r="C8" s="16">
        <v>1</v>
      </c>
      <c r="D8" s="16"/>
      <c r="E8" s="16">
        <v>1</v>
      </c>
    </row>
    <row r="9" spans="1:5">
      <c r="A9" t="s">
        <v>157</v>
      </c>
      <c r="B9" t="s">
        <v>156</v>
      </c>
      <c r="C9" s="16">
        <v>3</v>
      </c>
      <c r="D9" s="16"/>
      <c r="E9" s="16">
        <v>3</v>
      </c>
    </row>
    <row r="10" spans="1:5">
      <c r="A10" t="s">
        <v>1307</v>
      </c>
      <c r="B10" t="s">
        <v>1470</v>
      </c>
      <c r="C10" s="16">
        <v>1</v>
      </c>
      <c r="D10" s="16"/>
      <c r="E10" s="16">
        <v>1</v>
      </c>
    </row>
    <row r="11" spans="1:5">
      <c r="A11" t="s">
        <v>305</v>
      </c>
      <c r="B11" t="s">
        <v>304</v>
      </c>
      <c r="C11" s="16">
        <v>8</v>
      </c>
      <c r="D11" s="16"/>
      <c r="E11" s="16">
        <v>8</v>
      </c>
    </row>
    <row r="12" spans="1:5">
      <c r="A12" t="s">
        <v>756</v>
      </c>
      <c r="B12" t="s">
        <v>755</v>
      </c>
      <c r="C12" s="16">
        <v>2</v>
      </c>
      <c r="D12" s="16"/>
      <c r="E12" s="16">
        <v>2</v>
      </c>
    </row>
    <row r="13" spans="1:5">
      <c r="A13" t="s">
        <v>1429</v>
      </c>
      <c r="B13" t="s">
        <v>1462</v>
      </c>
      <c r="C13" s="16">
        <v>1</v>
      </c>
      <c r="D13" s="16"/>
      <c r="E13" s="16">
        <v>1</v>
      </c>
    </row>
    <row r="14" spans="1:5">
      <c r="A14" t="s">
        <v>1136</v>
      </c>
      <c r="B14" t="s">
        <v>1135</v>
      </c>
      <c r="C14" s="16">
        <v>5</v>
      </c>
      <c r="D14" s="16"/>
      <c r="E14" s="16">
        <v>5</v>
      </c>
    </row>
    <row r="15" spans="1:5">
      <c r="A15" t="s">
        <v>202</v>
      </c>
      <c r="B15" t="s">
        <v>1180</v>
      </c>
      <c r="C15" s="16">
        <v>2</v>
      </c>
      <c r="D15" s="16"/>
      <c r="E15" s="16">
        <v>2</v>
      </c>
    </row>
    <row r="16" spans="1:5">
      <c r="A16" t="s">
        <v>141</v>
      </c>
      <c r="B16" t="s">
        <v>140</v>
      </c>
      <c r="C16" s="16">
        <v>1</v>
      </c>
      <c r="D16" s="16"/>
      <c r="E16" s="16">
        <v>1</v>
      </c>
    </row>
    <row r="17" spans="1:5">
      <c r="A17" t="s">
        <v>1486</v>
      </c>
      <c r="B17" t="s">
        <v>1485</v>
      </c>
      <c r="C17" s="16">
        <v>1</v>
      </c>
      <c r="D17" s="16"/>
      <c r="E17" s="16">
        <v>1</v>
      </c>
    </row>
    <row r="18" spans="1:5">
      <c r="A18" t="s">
        <v>772</v>
      </c>
      <c r="B18" t="s">
        <v>771</v>
      </c>
      <c r="C18" s="16">
        <v>2</v>
      </c>
      <c r="D18" s="16"/>
      <c r="E18" s="16">
        <v>2</v>
      </c>
    </row>
    <row r="19" spans="1:5">
      <c r="A19" t="s">
        <v>1058</v>
      </c>
      <c r="B19" t="s">
        <v>1057</v>
      </c>
      <c r="C19" s="16">
        <v>8</v>
      </c>
      <c r="D19" s="16"/>
      <c r="E19" s="16">
        <v>8</v>
      </c>
    </row>
    <row r="20" spans="1:5">
      <c r="A20" t="s">
        <v>944</v>
      </c>
      <c r="B20" t="s">
        <v>943</v>
      </c>
      <c r="C20" s="16">
        <v>17</v>
      </c>
      <c r="D20" s="16"/>
      <c r="E20" s="16">
        <v>17</v>
      </c>
    </row>
    <row r="21" spans="1:5">
      <c r="A21" t="s">
        <v>1847</v>
      </c>
      <c r="B21" t="s">
        <v>1984</v>
      </c>
      <c r="C21" s="16">
        <v>4</v>
      </c>
      <c r="D21" s="16"/>
      <c r="E21" s="16">
        <v>4</v>
      </c>
    </row>
    <row r="22" spans="1:5">
      <c r="A22" t="s">
        <v>781</v>
      </c>
      <c r="B22" t="s">
        <v>780</v>
      </c>
      <c r="C22" s="16">
        <v>2</v>
      </c>
      <c r="D22" s="16"/>
      <c r="E22" s="16">
        <v>2</v>
      </c>
    </row>
    <row r="23" spans="1:5">
      <c r="A23" t="s">
        <v>722</v>
      </c>
      <c r="B23" t="s">
        <v>721</v>
      </c>
      <c r="C23" s="16">
        <v>7</v>
      </c>
      <c r="D23" s="16"/>
      <c r="E23" s="16">
        <v>7</v>
      </c>
    </row>
    <row r="24" spans="1:5">
      <c r="A24" t="s">
        <v>1208</v>
      </c>
      <c r="B24" t="s">
        <v>1207</v>
      </c>
      <c r="C24" s="16">
        <v>28</v>
      </c>
      <c r="D24" s="16"/>
      <c r="E24" s="16">
        <v>28</v>
      </c>
    </row>
    <row r="25" spans="1:5">
      <c r="A25" t="s">
        <v>710</v>
      </c>
      <c r="B25" t="s">
        <v>709</v>
      </c>
      <c r="C25" s="16">
        <v>2</v>
      </c>
      <c r="D25" s="16"/>
      <c r="E25" s="16">
        <v>2</v>
      </c>
    </row>
    <row r="26" spans="1:5">
      <c r="A26" t="s">
        <v>1477</v>
      </c>
      <c r="B26" t="s">
        <v>1476</v>
      </c>
      <c r="C26" s="16">
        <v>1</v>
      </c>
      <c r="D26" s="16"/>
      <c r="E26" s="16">
        <v>1</v>
      </c>
    </row>
    <row r="27" spans="1:5">
      <c r="A27" t="s">
        <v>1406</v>
      </c>
      <c r="B27" t="s">
        <v>1405</v>
      </c>
      <c r="C27" s="16">
        <v>14</v>
      </c>
      <c r="D27" s="16"/>
      <c r="E27" s="16">
        <v>14</v>
      </c>
    </row>
    <row r="28" spans="1:5">
      <c r="A28" t="s">
        <v>837</v>
      </c>
      <c r="B28" t="s">
        <v>836</v>
      </c>
      <c r="C28" s="16">
        <v>43</v>
      </c>
      <c r="D28" s="16"/>
      <c r="E28" s="16">
        <v>43</v>
      </c>
    </row>
    <row r="29" spans="1:5">
      <c r="A29" t="s">
        <v>172</v>
      </c>
      <c r="B29" t="s">
        <v>171</v>
      </c>
      <c r="C29" s="16">
        <v>1</v>
      </c>
      <c r="D29" s="16"/>
      <c r="E29" s="16">
        <v>1</v>
      </c>
    </row>
    <row r="30" spans="1:5">
      <c r="A30" t="s">
        <v>1047</v>
      </c>
      <c r="B30" t="s">
        <v>1046</v>
      </c>
      <c r="C30" s="16">
        <v>1</v>
      </c>
      <c r="D30" s="16"/>
      <c r="E30" s="16">
        <v>1</v>
      </c>
    </row>
    <row r="31" spans="1:5">
      <c r="A31" t="s">
        <v>693</v>
      </c>
      <c r="B31" t="s">
        <v>692</v>
      </c>
      <c r="C31" s="16">
        <v>2</v>
      </c>
      <c r="D31" s="16"/>
      <c r="E31" s="16">
        <v>2</v>
      </c>
    </row>
    <row r="32" spans="1:5">
      <c r="A32" t="s">
        <v>1374</v>
      </c>
      <c r="B32" t="s">
        <v>1373</v>
      </c>
      <c r="C32" s="16">
        <v>4</v>
      </c>
      <c r="D32" s="16"/>
      <c r="E32" s="16">
        <v>4</v>
      </c>
    </row>
    <row r="33" spans="1:5">
      <c r="A33" t="s">
        <v>684</v>
      </c>
      <c r="B33" t="s">
        <v>683</v>
      </c>
      <c r="C33" s="16">
        <v>1</v>
      </c>
      <c r="D33" s="16"/>
      <c r="E33" s="16">
        <v>1</v>
      </c>
    </row>
    <row r="34" spans="1:5">
      <c r="A34" t="s">
        <v>803</v>
      </c>
      <c r="B34" t="s">
        <v>802</v>
      </c>
      <c r="C34" s="16">
        <v>5</v>
      </c>
      <c r="D34" s="16"/>
      <c r="E34" s="16">
        <v>5</v>
      </c>
    </row>
    <row r="35" spans="1:5">
      <c r="A35" t="s">
        <v>746</v>
      </c>
      <c r="B35" t="s">
        <v>745</v>
      </c>
      <c r="C35" s="16">
        <v>2</v>
      </c>
      <c r="D35" s="16"/>
      <c r="E35" s="16">
        <v>2</v>
      </c>
    </row>
    <row r="36" spans="1:5">
      <c r="A36" t="s">
        <v>189</v>
      </c>
      <c r="B36" t="s">
        <v>188</v>
      </c>
      <c r="C36" s="16">
        <v>12</v>
      </c>
      <c r="D36" s="16"/>
      <c r="E36" s="16">
        <v>12</v>
      </c>
    </row>
    <row r="37" spans="1:5">
      <c r="A37" t="s">
        <v>1543</v>
      </c>
      <c r="B37" t="s">
        <v>1542</v>
      </c>
      <c r="C37" s="16"/>
      <c r="D37" s="16"/>
      <c r="E37" s="16"/>
    </row>
    <row r="38" spans="1:5">
      <c r="A38" t="s">
        <v>1504</v>
      </c>
      <c r="B38" t="s">
        <v>1503</v>
      </c>
      <c r="C38" s="16"/>
      <c r="D38" s="16"/>
      <c r="E38" s="16"/>
    </row>
    <row r="39" spans="1:5">
      <c r="A39" t="s">
        <v>1519</v>
      </c>
      <c r="B39" t="s">
        <v>1518</v>
      </c>
      <c r="C39" s="16"/>
      <c r="D39" s="16"/>
      <c r="E39" s="16"/>
    </row>
    <row r="40" spans="1:5">
      <c r="A40" t="s">
        <v>1509</v>
      </c>
      <c r="B40" t="s">
        <v>1508</v>
      </c>
      <c r="C40" s="16"/>
      <c r="D40" s="16"/>
      <c r="E40" s="16"/>
    </row>
    <row r="41" spans="1:5">
      <c r="A41" t="s">
        <v>1494</v>
      </c>
      <c r="B41" t="s">
        <v>1493</v>
      </c>
      <c r="C41" s="16"/>
      <c r="D41" s="16"/>
      <c r="E41" s="16"/>
    </row>
    <row r="42" spans="1:5">
      <c r="A42" t="s">
        <v>1958</v>
      </c>
      <c r="C42" s="16">
        <v>263</v>
      </c>
      <c r="D42" s="16"/>
      <c r="E42" s="16">
        <v>263</v>
      </c>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2:AP179"/>
  <sheetViews>
    <sheetView workbookViewId="0"/>
    <sheetView workbookViewId="1"/>
  </sheetViews>
  <sheetFormatPr defaultRowHeight="13.5"/>
  <cols>
    <col min="1" max="1" width="22.625" customWidth="1"/>
    <col min="2" max="2" width="11.25" customWidth="1"/>
    <col min="3" max="3" width="12" customWidth="1"/>
    <col min="4" max="5" width="9.625" customWidth="1"/>
    <col min="6" max="10" width="12" customWidth="1"/>
    <col min="11" max="11" width="5.75" customWidth="1"/>
    <col min="12" max="12" width="16.125" customWidth="1"/>
    <col min="13" max="16" width="12" customWidth="1"/>
    <col min="17" max="17" width="14" customWidth="1"/>
    <col min="18" max="18" width="15.125" customWidth="1"/>
    <col min="19" max="20" width="12" customWidth="1"/>
    <col min="21" max="25" width="10" customWidth="1"/>
    <col min="26" max="30" width="12" customWidth="1"/>
    <col min="31" max="32" width="9" customWidth="1"/>
    <col min="33" max="48" width="7.875" customWidth="1"/>
  </cols>
  <sheetData>
    <row r="2" spans="1:9" ht="17.25">
      <c r="A2" s="25" t="s">
        <v>2027</v>
      </c>
      <c r="C2" s="23" t="s">
        <v>2028</v>
      </c>
    </row>
    <row r="3" spans="1:9">
      <c r="A3" s="21" t="s">
        <v>1964</v>
      </c>
      <c r="B3" s="17" t="s">
        <v>1955</v>
      </c>
      <c r="D3" s="18"/>
      <c r="E3" s="18"/>
      <c r="F3" s="18"/>
      <c r="G3" s="18"/>
      <c r="H3" s="18"/>
      <c r="I3" s="18"/>
    </row>
    <row r="4" spans="1:9" s="31" customFormat="1" ht="27">
      <c r="A4"/>
      <c r="B4" s="18" t="s">
        <v>1959</v>
      </c>
      <c r="C4" s="18"/>
      <c r="D4" s="18" t="s">
        <v>1960</v>
      </c>
      <c r="E4" s="18" t="s">
        <v>1961</v>
      </c>
      <c r="F4" s="18" t="s">
        <v>1962</v>
      </c>
      <c r="G4" s="18" t="s">
        <v>1963</v>
      </c>
      <c r="H4" s="18" t="s">
        <v>1999</v>
      </c>
      <c r="I4" s="18" t="s">
        <v>1958</v>
      </c>
    </row>
    <row r="5" spans="1:9">
      <c r="A5" s="21" t="s">
        <v>1968</v>
      </c>
      <c r="B5" t="s">
        <v>63</v>
      </c>
      <c r="C5" t="s">
        <v>1957</v>
      </c>
      <c r="H5" t="s">
        <v>1957</v>
      </c>
      <c r="I5" s="18"/>
    </row>
    <row r="6" spans="1:9">
      <c r="A6" t="s">
        <v>59</v>
      </c>
      <c r="B6" s="16"/>
      <c r="C6" s="16">
        <v>36000.950000000019</v>
      </c>
      <c r="D6" s="16">
        <v>2333.6199999999994</v>
      </c>
      <c r="E6" s="16">
        <v>118.4</v>
      </c>
      <c r="F6" s="16"/>
      <c r="G6" s="16"/>
      <c r="H6" s="16">
        <v>133.26999999999998</v>
      </c>
      <c r="I6" s="16">
        <v>38586.24000000002</v>
      </c>
    </row>
    <row r="7" spans="1:9">
      <c r="A7" t="s">
        <v>263</v>
      </c>
      <c r="B7" s="16"/>
      <c r="C7" s="16">
        <v>18476.640000000007</v>
      </c>
      <c r="D7" s="16"/>
      <c r="E7" s="16">
        <v>9.8699999999999992</v>
      </c>
      <c r="F7" s="16"/>
      <c r="G7" s="16">
        <v>60</v>
      </c>
      <c r="H7" s="16"/>
      <c r="I7" s="16">
        <v>18546.510000000006</v>
      </c>
    </row>
    <row r="8" spans="1:9">
      <c r="A8" t="s">
        <v>685</v>
      </c>
      <c r="B8" s="16">
        <v>341.28</v>
      </c>
      <c r="C8" s="16">
        <v>60068.840000000011</v>
      </c>
      <c r="D8" s="16"/>
      <c r="E8" s="16"/>
      <c r="F8" s="16"/>
      <c r="G8" s="16"/>
      <c r="H8" s="16">
        <v>180</v>
      </c>
      <c r="I8" s="16">
        <v>60590.12000000001</v>
      </c>
    </row>
    <row r="9" spans="1:9">
      <c r="A9" t="s">
        <v>839</v>
      </c>
      <c r="B9" s="16">
        <v>783</v>
      </c>
      <c r="C9" s="16">
        <v>242803.79</v>
      </c>
      <c r="D9" s="16">
        <v>52.06</v>
      </c>
      <c r="E9" s="16">
        <v>130.05000000000001</v>
      </c>
      <c r="F9" s="16"/>
      <c r="G9" s="16"/>
      <c r="H9" s="16"/>
      <c r="I9" s="16">
        <v>243768.9</v>
      </c>
    </row>
    <row r="10" spans="1:9">
      <c r="A10" t="s">
        <v>1060</v>
      </c>
      <c r="B10" s="16"/>
      <c r="C10" s="16">
        <v>21064.7</v>
      </c>
      <c r="D10" s="16"/>
      <c r="E10" s="16"/>
      <c r="F10" s="16"/>
      <c r="G10" s="16"/>
      <c r="H10" s="16"/>
      <c r="I10" s="16">
        <v>21064.7</v>
      </c>
    </row>
    <row r="11" spans="1:9">
      <c r="A11" t="s">
        <v>1138</v>
      </c>
      <c r="B11" s="16">
        <v>1467.05</v>
      </c>
      <c r="C11" s="16">
        <v>15258.480000000001</v>
      </c>
      <c r="D11" s="16"/>
      <c r="E11" s="16"/>
      <c r="F11" s="16"/>
      <c r="G11" s="16"/>
      <c r="H11" s="16"/>
      <c r="I11" s="16">
        <v>16725.530000000002</v>
      </c>
    </row>
    <row r="12" spans="1:9">
      <c r="A12" t="s">
        <v>1210</v>
      </c>
      <c r="B12" s="16"/>
      <c r="C12" s="16">
        <v>113867.08999999998</v>
      </c>
      <c r="D12" s="16">
        <v>1764.5300000000002</v>
      </c>
      <c r="E12" s="16">
        <v>721.86000000000013</v>
      </c>
      <c r="F12" s="16">
        <v>328.91</v>
      </c>
      <c r="G12" s="16"/>
      <c r="H12" s="16"/>
      <c r="I12" s="16">
        <v>116682.38999999998</v>
      </c>
    </row>
    <row r="13" spans="1:9">
      <c r="A13" t="s">
        <v>1315</v>
      </c>
      <c r="B13" s="16"/>
      <c r="C13" s="16">
        <v>5047.0300000000016</v>
      </c>
      <c r="D13" s="16">
        <v>87.52</v>
      </c>
      <c r="E13" s="16">
        <v>544.3599999999999</v>
      </c>
      <c r="F13" s="16">
        <v>439.88</v>
      </c>
      <c r="G13" s="16"/>
      <c r="H13" s="16"/>
      <c r="I13" s="16">
        <v>6118.7900000000018</v>
      </c>
    </row>
    <row r="14" spans="1:9">
      <c r="A14" t="s">
        <v>1376</v>
      </c>
      <c r="B14" s="16">
        <v>2042.78</v>
      </c>
      <c r="C14" s="16">
        <v>13522.699999999999</v>
      </c>
      <c r="D14" s="16">
        <v>419.51</v>
      </c>
      <c r="E14" s="16">
        <v>196.82999999999998</v>
      </c>
      <c r="F14" s="16">
        <v>54</v>
      </c>
      <c r="G14" s="16"/>
      <c r="H14" s="16"/>
      <c r="I14" s="16">
        <v>16235.82</v>
      </c>
    </row>
    <row r="15" spans="1:9">
      <c r="A15" t="s">
        <v>1407</v>
      </c>
      <c r="B15" s="16"/>
      <c r="C15" s="16">
        <v>40027.910000000003</v>
      </c>
      <c r="D15" s="16">
        <v>21</v>
      </c>
      <c r="E15" s="16">
        <v>452.5200000000001</v>
      </c>
      <c r="F15" s="16">
        <v>912.25</v>
      </c>
      <c r="G15" s="16">
        <v>6.95</v>
      </c>
      <c r="H15" s="16"/>
      <c r="I15" s="16">
        <v>41420.629999999997</v>
      </c>
    </row>
    <row r="16" spans="1:9">
      <c r="A16" t="s">
        <v>1496</v>
      </c>
      <c r="B16" s="16">
        <v>152.66</v>
      </c>
      <c r="C16" s="16">
        <v>45870.87999999999</v>
      </c>
      <c r="D16" s="16">
        <v>263.58</v>
      </c>
      <c r="E16" s="16"/>
      <c r="F16" s="16"/>
      <c r="G16" s="16"/>
      <c r="H16" s="16"/>
      <c r="I16" s="16">
        <v>46287.119999999995</v>
      </c>
    </row>
    <row r="17" spans="1:10">
      <c r="A17" t="s">
        <v>1958</v>
      </c>
      <c r="B17" s="16">
        <v>4786.7699999999995</v>
      </c>
      <c r="C17" s="16">
        <v>612009.01</v>
      </c>
      <c r="D17" s="16">
        <v>4941.82</v>
      </c>
      <c r="E17" s="16">
        <v>2173.89</v>
      </c>
      <c r="F17" s="16">
        <v>1735.04</v>
      </c>
      <c r="G17" s="16">
        <v>66.95</v>
      </c>
      <c r="H17" s="16">
        <v>313.27</v>
      </c>
      <c r="I17" s="16">
        <v>626026.75</v>
      </c>
    </row>
    <row r="18" spans="1:10">
      <c r="B18" s="16"/>
      <c r="C18" s="16"/>
      <c r="D18" s="16"/>
      <c r="E18" s="16"/>
      <c r="F18" s="16"/>
      <c r="G18" s="16"/>
      <c r="H18" s="16"/>
      <c r="I18" s="16"/>
    </row>
    <row r="19" spans="1:10" ht="17.25">
      <c r="A19" s="25" t="s">
        <v>2026</v>
      </c>
      <c r="D19" s="23" t="s">
        <v>2028</v>
      </c>
    </row>
    <row r="20" spans="1:10">
      <c r="A20" s="21" t="s">
        <v>1964</v>
      </c>
      <c r="C20" s="17" t="s">
        <v>1955</v>
      </c>
      <c r="E20" s="18"/>
      <c r="F20" s="18"/>
      <c r="G20" s="18"/>
      <c r="H20" s="18"/>
      <c r="I20" s="18"/>
      <c r="J20" s="18"/>
    </row>
    <row r="21" spans="1:10" s="31" customFormat="1" ht="27">
      <c r="A21"/>
      <c r="B21"/>
      <c r="C21" s="18" t="s">
        <v>1959</v>
      </c>
      <c r="D21" s="18"/>
      <c r="E21" s="18" t="s">
        <v>1960</v>
      </c>
      <c r="F21" s="18" t="s">
        <v>1961</v>
      </c>
      <c r="G21" s="18" t="s">
        <v>1962</v>
      </c>
      <c r="H21" s="18" t="s">
        <v>1963</v>
      </c>
      <c r="I21" s="18" t="s">
        <v>1999</v>
      </c>
      <c r="J21" s="18" t="s">
        <v>1958</v>
      </c>
    </row>
    <row r="22" spans="1:10">
      <c r="A22" s="21" t="s">
        <v>1968</v>
      </c>
      <c r="B22" s="21" t="s">
        <v>1974</v>
      </c>
      <c r="C22" t="s">
        <v>63</v>
      </c>
      <c r="D22" t="s">
        <v>1957</v>
      </c>
      <c r="I22" t="s">
        <v>1957</v>
      </c>
      <c r="J22" s="18"/>
    </row>
    <row r="23" spans="1:10">
      <c r="A23" s="22" t="s">
        <v>59</v>
      </c>
      <c r="B23" s="30" t="s">
        <v>60</v>
      </c>
      <c r="C23" s="16"/>
      <c r="D23" s="16">
        <v>23488.57</v>
      </c>
      <c r="E23" s="16">
        <v>2206.12</v>
      </c>
      <c r="F23" s="16"/>
      <c r="G23" s="16"/>
      <c r="H23" s="16"/>
      <c r="I23" s="16">
        <v>48.5</v>
      </c>
      <c r="J23" s="16">
        <v>25743.19</v>
      </c>
    </row>
    <row r="24" spans="1:10">
      <c r="B24" s="30" t="s">
        <v>142</v>
      </c>
      <c r="C24" s="16"/>
      <c r="D24" s="16">
        <v>7883.01</v>
      </c>
      <c r="E24" s="16">
        <v>37.5</v>
      </c>
      <c r="F24" s="16">
        <v>80.290000000000006</v>
      </c>
      <c r="G24" s="16"/>
      <c r="H24" s="16"/>
      <c r="I24" s="16">
        <v>84.77</v>
      </c>
      <c r="J24" s="16">
        <v>8085.5700000000006</v>
      </c>
    </row>
    <row r="25" spans="1:10">
      <c r="B25" s="30" t="s">
        <v>191</v>
      </c>
      <c r="C25" s="16"/>
      <c r="D25" s="16">
        <v>4629.37</v>
      </c>
      <c r="E25" s="16">
        <v>90</v>
      </c>
      <c r="F25" s="16">
        <v>38.11</v>
      </c>
      <c r="G25" s="16"/>
      <c r="H25" s="16"/>
      <c r="I25" s="16"/>
      <c r="J25" s="16">
        <v>4757.4799999999996</v>
      </c>
    </row>
    <row r="26" spans="1:10">
      <c r="A26" s="22" t="s">
        <v>263</v>
      </c>
      <c r="B26" s="30" t="s">
        <v>264</v>
      </c>
      <c r="C26" s="16"/>
      <c r="D26" s="16">
        <v>18476.640000000007</v>
      </c>
      <c r="E26" s="16"/>
      <c r="F26" s="16">
        <v>9.8699999999999992</v>
      </c>
      <c r="G26" s="16"/>
      <c r="H26" s="16">
        <v>60</v>
      </c>
      <c r="I26" s="16"/>
      <c r="J26" s="16">
        <v>18546.510000000006</v>
      </c>
    </row>
    <row r="27" spans="1:10">
      <c r="A27" s="22" t="s">
        <v>685</v>
      </c>
      <c r="B27" s="30" t="s">
        <v>686</v>
      </c>
      <c r="C27" s="16"/>
      <c r="D27" s="16">
        <v>38823.64</v>
      </c>
      <c r="E27" s="16"/>
      <c r="F27" s="16"/>
      <c r="G27" s="16"/>
      <c r="H27" s="16"/>
      <c r="I27" s="16"/>
      <c r="J27" s="16">
        <v>38823.64</v>
      </c>
    </row>
    <row r="28" spans="1:10">
      <c r="B28" s="30" t="s">
        <v>747</v>
      </c>
      <c r="C28" s="16">
        <v>341.28</v>
      </c>
      <c r="D28" s="16">
        <v>13756.6</v>
      </c>
      <c r="E28" s="16"/>
      <c r="F28" s="16"/>
      <c r="G28" s="16"/>
      <c r="H28" s="16"/>
      <c r="I28" s="16"/>
      <c r="J28" s="16">
        <v>14097.880000000001</v>
      </c>
    </row>
    <row r="29" spans="1:10">
      <c r="B29" s="30" t="s">
        <v>805</v>
      </c>
      <c r="C29" s="16"/>
      <c r="D29" s="16">
        <v>7488.5999999999995</v>
      </c>
      <c r="E29" s="16"/>
      <c r="F29" s="16"/>
      <c r="G29" s="16"/>
      <c r="H29" s="16"/>
      <c r="I29" s="16">
        <v>180</v>
      </c>
      <c r="J29" s="16">
        <v>7668.5999999999995</v>
      </c>
    </row>
    <row r="30" spans="1:10">
      <c r="A30" s="22" t="s">
        <v>839</v>
      </c>
      <c r="B30" s="30" t="s">
        <v>840</v>
      </c>
      <c r="C30" s="16">
        <v>705</v>
      </c>
      <c r="D30" s="16">
        <v>145259</v>
      </c>
      <c r="E30" s="16"/>
      <c r="F30" s="16"/>
      <c r="G30" s="16"/>
      <c r="H30" s="16"/>
      <c r="I30" s="16"/>
      <c r="J30" s="16">
        <v>145964</v>
      </c>
    </row>
    <row r="31" spans="1:10">
      <c r="B31" s="30" t="s">
        <v>992</v>
      </c>
      <c r="C31" s="16">
        <v>78</v>
      </c>
      <c r="D31" s="16">
        <v>76599</v>
      </c>
      <c r="E31" s="16"/>
      <c r="F31" s="16"/>
      <c r="G31" s="16"/>
      <c r="H31" s="16"/>
      <c r="I31" s="16"/>
      <c r="J31" s="16">
        <v>76677</v>
      </c>
    </row>
    <row r="32" spans="1:10">
      <c r="B32" s="30" t="s">
        <v>1976</v>
      </c>
      <c r="C32" s="16"/>
      <c r="D32" s="16">
        <v>1263.8799999999999</v>
      </c>
      <c r="E32" s="16"/>
      <c r="F32" s="16"/>
      <c r="G32" s="16"/>
      <c r="H32" s="16"/>
      <c r="I32" s="16"/>
      <c r="J32" s="16">
        <v>1263.8799999999999</v>
      </c>
    </row>
    <row r="33" spans="1:10">
      <c r="B33" s="30" t="s">
        <v>1978</v>
      </c>
      <c r="C33" s="16"/>
      <c r="D33" s="16">
        <v>19681.91</v>
      </c>
      <c r="E33" s="16">
        <v>52.06</v>
      </c>
      <c r="F33" s="16">
        <v>130.05000000000001</v>
      </c>
      <c r="G33" s="16"/>
      <c r="H33" s="16"/>
      <c r="I33" s="16"/>
      <c r="J33" s="16">
        <v>19864.02</v>
      </c>
    </row>
    <row r="34" spans="1:10">
      <c r="A34" s="22" t="s">
        <v>1060</v>
      </c>
      <c r="B34" s="30" t="s">
        <v>1061</v>
      </c>
      <c r="C34" s="16"/>
      <c r="D34" s="16">
        <v>8497.7000000000007</v>
      </c>
      <c r="E34" s="16"/>
      <c r="F34" s="16"/>
      <c r="G34" s="16"/>
      <c r="H34" s="16"/>
      <c r="I34" s="16"/>
      <c r="J34" s="16">
        <v>8497.7000000000007</v>
      </c>
    </row>
    <row r="35" spans="1:10">
      <c r="B35" s="30" t="s">
        <v>1094</v>
      </c>
      <c r="C35" s="16"/>
      <c r="D35" s="16">
        <v>12567</v>
      </c>
      <c r="E35" s="16"/>
      <c r="F35" s="16"/>
      <c r="G35" s="16"/>
      <c r="H35" s="16"/>
      <c r="I35" s="16"/>
      <c r="J35" s="16">
        <v>12567</v>
      </c>
    </row>
    <row r="36" spans="1:10">
      <c r="A36" s="22" t="s">
        <v>1138</v>
      </c>
      <c r="B36" s="30" t="s">
        <v>1139</v>
      </c>
      <c r="C36" s="16"/>
      <c r="D36" s="16">
        <v>8019.39</v>
      </c>
      <c r="E36" s="16"/>
      <c r="F36" s="16"/>
      <c r="G36" s="16"/>
      <c r="H36" s="16"/>
      <c r="I36" s="16"/>
      <c r="J36" s="16">
        <v>8019.39</v>
      </c>
    </row>
    <row r="37" spans="1:10">
      <c r="B37" s="30" t="s">
        <v>1182</v>
      </c>
      <c r="C37" s="16">
        <v>1467.05</v>
      </c>
      <c r="D37" s="16">
        <v>7239.09</v>
      </c>
      <c r="E37" s="16"/>
      <c r="F37" s="16"/>
      <c r="G37" s="16"/>
      <c r="H37" s="16"/>
      <c r="I37" s="16"/>
      <c r="J37" s="16">
        <v>8706.14</v>
      </c>
    </row>
    <row r="38" spans="1:10">
      <c r="A38" s="22" t="s">
        <v>1210</v>
      </c>
      <c r="B38" s="30" t="s">
        <v>1211</v>
      </c>
      <c r="C38" s="16"/>
      <c r="D38" s="16">
        <v>113867.08999999998</v>
      </c>
      <c r="E38" s="16">
        <v>1764.5300000000002</v>
      </c>
      <c r="F38" s="16">
        <v>721.86000000000013</v>
      </c>
      <c r="G38" s="16">
        <v>328.91</v>
      </c>
      <c r="H38" s="16"/>
      <c r="I38" s="16"/>
      <c r="J38" s="16">
        <v>116682.38999999998</v>
      </c>
    </row>
    <row r="39" spans="1:10">
      <c r="A39" s="22" t="s">
        <v>1315</v>
      </c>
      <c r="B39" s="30" t="s">
        <v>1316</v>
      </c>
      <c r="C39" s="16"/>
      <c r="D39" s="16">
        <v>5047.0300000000016</v>
      </c>
      <c r="E39" s="16">
        <v>87.52</v>
      </c>
      <c r="F39" s="16">
        <v>544.3599999999999</v>
      </c>
      <c r="G39" s="16">
        <v>439.88</v>
      </c>
      <c r="H39" s="16"/>
      <c r="I39" s="16"/>
      <c r="J39" s="16">
        <v>6118.7900000000018</v>
      </c>
    </row>
    <row r="40" spans="1:10">
      <c r="A40" s="22" t="s">
        <v>1376</v>
      </c>
      <c r="B40" s="30" t="s">
        <v>1377</v>
      </c>
      <c r="C40" s="16">
        <v>2042.78</v>
      </c>
      <c r="D40" s="16">
        <v>13522.699999999999</v>
      </c>
      <c r="E40" s="16">
        <v>419.51</v>
      </c>
      <c r="F40" s="16">
        <v>196.82999999999998</v>
      </c>
      <c r="G40" s="16">
        <v>54</v>
      </c>
      <c r="H40" s="16"/>
      <c r="I40" s="16"/>
      <c r="J40" s="16">
        <v>16235.82</v>
      </c>
    </row>
    <row r="41" spans="1:10">
      <c r="A41" s="22" t="s">
        <v>1407</v>
      </c>
      <c r="B41" s="30" t="s">
        <v>1408</v>
      </c>
      <c r="C41" s="16"/>
      <c r="D41" s="16">
        <v>30388.95</v>
      </c>
      <c r="E41" s="16">
        <v>9</v>
      </c>
      <c r="F41" s="16">
        <v>32.4</v>
      </c>
      <c r="G41" s="16"/>
      <c r="H41" s="16">
        <v>6.95</v>
      </c>
      <c r="I41" s="16"/>
      <c r="J41" s="16">
        <v>30437.300000000003</v>
      </c>
    </row>
    <row r="42" spans="1:10">
      <c r="B42" s="30" t="s">
        <v>1464</v>
      </c>
      <c r="C42" s="16"/>
      <c r="D42" s="16">
        <v>9638.9599999999991</v>
      </c>
      <c r="E42" s="16">
        <v>12</v>
      </c>
      <c r="F42" s="16">
        <v>420.12000000000006</v>
      </c>
      <c r="G42" s="16">
        <v>912.25</v>
      </c>
      <c r="H42" s="16"/>
      <c r="I42" s="16"/>
      <c r="J42" s="16">
        <v>10983.33</v>
      </c>
    </row>
    <row r="43" spans="1:10">
      <c r="A43" s="22" t="s">
        <v>1496</v>
      </c>
      <c r="B43" s="30" t="s">
        <v>1497</v>
      </c>
      <c r="C43" s="16"/>
      <c r="D43" s="16">
        <v>31396.76</v>
      </c>
      <c r="E43" s="16">
        <v>263.58</v>
      </c>
      <c r="F43" s="16"/>
      <c r="G43" s="16"/>
      <c r="H43" s="16"/>
      <c r="I43" s="16"/>
      <c r="J43" s="16">
        <v>31660.34</v>
      </c>
    </row>
    <row r="44" spans="1:10">
      <c r="B44" s="30" t="s">
        <v>1505</v>
      </c>
      <c r="C44" s="16">
        <v>152.66</v>
      </c>
      <c r="D44" s="16">
        <v>13329.12</v>
      </c>
      <c r="E44" s="16"/>
      <c r="F44" s="16"/>
      <c r="G44" s="16"/>
      <c r="H44" s="16"/>
      <c r="I44" s="16"/>
      <c r="J44" s="16">
        <v>13481.78</v>
      </c>
    </row>
    <row r="45" spans="1:10">
      <c r="B45" s="30" t="s">
        <v>1544</v>
      </c>
      <c r="C45" s="16"/>
      <c r="D45" s="16">
        <v>1145</v>
      </c>
      <c r="E45" s="16"/>
      <c r="F45" s="16"/>
      <c r="G45" s="16"/>
      <c r="H45" s="16"/>
      <c r="I45" s="16"/>
      <c r="J45" s="16">
        <v>1145</v>
      </c>
    </row>
    <row r="46" spans="1:10">
      <c r="A46" s="22" t="s">
        <v>1958</v>
      </c>
      <c r="C46" s="16">
        <v>4786.7699999999995</v>
      </c>
      <c r="D46" s="16">
        <v>612009.01</v>
      </c>
      <c r="E46" s="16">
        <v>4941.8200000000006</v>
      </c>
      <c r="F46" s="16">
        <v>2173.89</v>
      </c>
      <c r="G46" s="16">
        <v>1735.04</v>
      </c>
      <c r="H46" s="16">
        <v>66.95</v>
      </c>
      <c r="I46" s="16">
        <v>313.27</v>
      </c>
      <c r="J46" s="16">
        <v>626026.75</v>
      </c>
    </row>
    <row r="48" spans="1:10">
      <c r="B48" s="16"/>
      <c r="C48" s="16"/>
      <c r="D48" s="16"/>
      <c r="E48" s="16"/>
      <c r="F48" s="16"/>
      <c r="G48" s="16"/>
      <c r="H48" s="16"/>
      <c r="I48" s="16"/>
    </row>
    <row r="49" spans="1:42" ht="17.25">
      <c r="A49" s="25" t="s">
        <v>2032</v>
      </c>
      <c r="C49" s="23" t="s">
        <v>2028</v>
      </c>
      <c r="D49" s="23" t="s">
        <v>2028</v>
      </c>
      <c r="E49" s="23" t="s">
        <v>2028</v>
      </c>
      <c r="F49" s="20"/>
    </row>
    <row r="50" spans="1:42" s="18" customFormat="1">
      <c r="A50" s="21" t="s">
        <v>1964</v>
      </c>
      <c r="B50" s="17" t="s">
        <v>1955</v>
      </c>
      <c r="C50"/>
      <c r="L50"/>
      <c r="M50"/>
      <c r="N50"/>
      <c r="O50"/>
      <c r="P50"/>
      <c r="Q50"/>
      <c r="R50"/>
      <c r="S50"/>
      <c r="T50"/>
      <c r="U50"/>
      <c r="V50"/>
      <c r="W50"/>
      <c r="X50"/>
      <c r="Y50"/>
      <c r="Z50"/>
      <c r="AA50"/>
      <c r="AB50"/>
      <c r="AC50"/>
      <c r="AD50"/>
      <c r="AE50"/>
      <c r="AF50"/>
      <c r="AG50"/>
      <c r="AH50"/>
      <c r="AI50"/>
      <c r="AJ50"/>
      <c r="AK50"/>
      <c r="AL50"/>
      <c r="AM50"/>
      <c r="AN50"/>
      <c r="AO50"/>
      <c r="AP50"/>
    </row>
    <row r="51" spans="1:42" s="32" customFormat="1">
      <c r="A51"/>
      <c r="B51" s="18" t="s">
        <v>1959</v>
      </c>
      <c r="C51" s="18"/>
      <c r="D51" s="18"/>
      <c r="E51" s="18"/>
      <c r="F51" s="18" t="s">
        <v>1960</v>
      </c>
      <c r="G51" s="18" t="s">
        <v>1961</v>
      </c>
      <c r="H51" s="18" t="s">
        <v>1962</v>
      </c>
      <c r="I51" s="18" t="s">
        <v>1963</v>
      </c>
      <c r="J51" s="18" t="s">
        <v>1999</v>
      </c>
      <c r="K51" s="18" t="s">
        <v>1958</v>
      </c>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row>
    <row r="52" spans="1:42" s="18" customFormat="1">
      <c r="A52"/>
      <c r="B52" t="s">
        <v>63</v>
      </c>
      <c r="C52" t="s">
        <v>1957</v>
      </c>
      <c r="D52"/>
      <c r="E52"/>
      <c r="F52"/>
      <c r="G52"/>
      <c r="H52"/>
      <c r="I52"/>
      <c r="J52" t="s">
        <v>1957</v>
      </c>
      <c r="L52"/>
      <c r="M52"/>
      <c r="N52"/>
      <c r="O52"/>
      <c r="P52"/>
      <c r="Q52"/>
      <c r="R52"/>
      <c r="S52"/>
      <c r="T52"/>
      <c r="U52"/>
      <c r="V52"/>
      <c r="W52"/>
      <c r="X52"/>
      <c r="Y52"/>
      <c r="Z52"/>
      <c r="AA52"/>
      <c r="AB52"/>
      <c r="AC52"/>
      <c r="AD52"/>
      <c r="AE52"/>
      <c r="AF52"/>
      <c r="AG52"/>
      <c r="AH52"/>
      <c r="AI52"/>
      <c r="AJ52"/>
      <c r="AK52"/>
      <c r="AL52"/>
      <c r="AM52"/>
      <c r="AN52"/>
      <c r="AO52"/>
      <c r="AP52"/>
    </row>
    <row r="53" spans="1:42" s="18" customFormat="1">
      <c r="A53" s="21" t="s">
        <v>1968</v>
      </c>
      <c r="B53"/>
      <c r="C53" s="24" t="s">
        <v>1584</v>
      </c>
      <c r="D53" s="24" t="s">
        <v>1956</v>
      </c>
      <c r="E53" s="24" t="s">
        <v>63</v>
      </c>
      <c r="F53"/>
      <c r="G53"/>
      <c r="H53"/>
      <c r="I53"/>
      <c r="J53" t="s">
        <v>63</v>
      </c>
      <c r="L53"/>
      <c r="M53"/>
      <c r="N53"/>
      <c r="O53"/>
      <c r="P53"/>
      <c r="Q53"/>
      <c r="R53"/>
      <c r="S53"/>
      <c r="T53"/>
      <c r="U53"/>
      <c r="V53"/>
      <c r="W53"/>
      <c r="X53"/>
      <c r="Y53"/>
      <c r="Z53"/>
      <c r="AA53"/>
      <c r="AB53"/>
      <c r="AC53"/>
      <c r="AD53"/>
      <c r="AE53"/>
      <c r="AF53"/>
      <c r="AG53"/>
      <c r="AH53"/>
      <c r="AI53"/>
      <c r="AJ53"/>
      <c r="AK53"/>
      <c r="AL53"/>
      <c r="AM53"/>
      <c r="AN53"/>
      <c r="AO53"/>
      <c r="AP53"/>
    </row>
    <row r="54" spans="1:42">
      <c r="A54" s="22" t="s">
        <v>59</v>
      </c>
      <c r="B54" s="16"/>
      <c r="C54" s="16">
        <v>2610.54</v>
      </c>
      <c r="D54" s="16">
        <v>20982.13</v>
      </c>
      <c r="E54" s="16">
        <v>12408.279999999997</v>
      </c>
      <c r="F54" s="16">
        <v>2333.6199999999994</v>
      </c>
      <c r="G54" s="16">
        <v>118.4</v>
      </c>
      <c r="H54" s="16"/>
      <c r="I54" s="16"/>
      <c r="J54" s="16">
        <v>133.26999999999998</v>
      </c>
      <c r="K54" s="16">
        <v>38586.239999999998</v>
      </c>
    </row>
    <row r="55" spans="1:42">
      <c r="A55" s="22" t="s">
        <v>263</v>
      </c>
      <c r="B55" s="16"/>
      <c r="C55" s="16">
        <v>9744.2499999999982</v>
      </c>
      <c r="D55" s="16"/>
      <c r="E55" s="16">
        <v>8732.39</v>
      </c>
      <c r="F55" s="16"/>
      <c r="G55" s="16">
        <v>9.8699999999999992</v>
      </c>
      <c r="H55" s="16"/>
      <c r="I55" s="16">
        <v>60</v>
      </c>
      <c r="J55" s="16"/>
      <c r="K55" s="16">
        <v>18546.509999999998</v>
      </c>
    </row>
    <row r="56" spans="1:42">
      <c r="A56" s="22" t="s">
        <v>685</v>
      </c>
      <c r="B56" s="16">
        <v>341.28</v>
      </c>
      <c r="C56" s="16"/>
      <c r="D56" s="16">
        <v>3494.27</v>
      </c>
      <c r="E56" s="16">
        <v>56574.570000000007</v>
      </c>
      <c r="F56" s="16"/>
      <c r="G56" s="16"/>
      <c r="H56" s="16"/>
      <c r="I56" s="16"/>
      <c r="J56" s="16">
        <v>180</v>
      </c>
      <c r="K56" s="16">
        <v>60590.12000000001</v>
      </c>
    </row>
    <row r="57" spans="1:42">
      <c r="A57" s="22" t="s">
        <v>839</v>
      </c>
      <c r="B57" s="16">
        <v>783</v>
      </c>
      <c r="C57" s="16">
        <v>3408.8900000000003</v>
      </c>
      <c r="D57" s="16"/>
      <c r="E57" s="16">
        <v>239394.9</v>
      </c>
      <c r="F57" s="16">
        <v>52.06</v>
      </c>
      <c r="G57" s="16">
        <v>130.05000000000001</v>
      </c>
      <c r="H57" s="16"/>
      <c r="I57" s="16"/>
      <c r="J57" s="16"/>
      <c r="K57" s="16">
        <v>243768.9</v>
      </c>
    </row>
    <row r="58" spans="1:42">
      <c r="A58" s="22" t="s">
        <v>1060</v>
      </c>
      <c r="B58" s="16"/>
      <c r="C58" s="16">
        <v>30</v>
      </c>
      <c r="D58" s="16"/>
      <c r="E58" s="16">
        <v>21034.7</v>
      </c>
      <c r="F58" s="16"/>
      <c r="G58" s="16"/>
      <c r="H58" s="16"/>
      <c r="I58" s="16"/>
      <c r="J58" s="16"/>
      <c r="K58" s="16">
        <v>21064.7</v>
      </c>
    </row>
    <row r="59" spans="1:42">
      <c r="A59" s="22" t="s">
        <v>1138</v>
      </c>
      <c r="B59" s="16">
        <v>1467.05</v>
      </c>
      <c r="C59" s="16">
        <v>291.45</v>
      </c>
      <c r="D59" s="16"/>
      <c r="E59" s="16">
        <v>14967.030000000002</v>
      </c>
      <c r="F59" s="16"/>
      <c r="G59" s="16"/>
      <c r="H59" s="16"/>
      <c r="I59" s="16"/>
      <c r="J59" s="16"/>
      <c r="K59" s="16">
        <v>16725.530000000002</v>
      </c>
    </row>
    <row r="60" spans="1:42">
      <c r="A60" s="22" t="s">
        <v>1210</v>
      </c>
      <c r="B60" s="16"/>
      <c r="C60" s="16">
        <v>55943.9</v>
      </c>
      <c r="D60" s="16"/>
      <c r="E60" s="16">
        <v>57923.19</v>
      </c>
      <c r="F60" s="16">
        <v>1764.5300000000002</v>
      </c>
      <c r="G60" s="16">
        <v>721.86000000000013</v>
      </c>
      <c r="H60" s="16">
        <v>328.91</v>
      </c>
      <c r="I60" s="16"/>
      <c r="J60" s="16"/>
      <c r="K60" s="16">
        <v>116682.39</v>
      </c>
    </row>
    <row r="61" spans="1:42">
      <c r="A61" s="22" t="s">
        <v>1315</v>
      </c>
      <c r="B61" s="16"/>
      <c r="C61" s="16">
        <v>58.32</v>
      </c>
      <c r="D61" s="16"/>
      <c r="E61" s="16">
        <v>4988.7100000000009</v>
      </c>
      <c r="F61" s="16">
        <v>87.52</v>
      </c>
      <c r="G61" s="16">
        <v>544.3599999999999</v>
      </c>
      <c r="H61" s="16">
        <v>439.88</v>
      </c>
      <c r="I61" s="16"/>
      <c r="J61" s="16"/>
      <c r="K61" s="16">
        <v>6118.7900000000009</v>
      </c>
    </row>
    <row r="62" spans="1:42">
      <c r="A62" s="22" t="s">
        <v>1376</v>
      </c>
      <c r="B62" s="16">
        <v>2042.78</v>
      </c>
      <c r="C62" s="16">
        <v>4727</v>
      </c>
      <c r="D62" s="16"/>
      <c r="E62" s="16">
        <v>8795.6999999999989</v>
      </c>
      <c r="F62" s="16">
        <v>419.51</v>
      </c>
      <c r="G62" s="16">
        <v>196.82999999999998</v>
      </c>
      <c r="H62" s="16">
        <v>54</v>
      </c>
      <c r="I62" s="16"/>
      <c r="J62" s="16"/>
      <c r="K62" s="16">
        <v>16235.82</v>
      </c>
    </row>
    <row r="63" spans="1:42">
      <c r="A63" s="22" t="s">
        <v>1407</v>
      </c>
      <c r="B63" s="16"/>
      <c r="C63" s="16"/>
      <c r="D63" s="16"/>
      <c r="E63" s="16">
        <v>40027.910000000003</v>
      </c>
      <c r="F63" s="16">
        <v>21</v>
      </c>
      <c r="G63" s="16">
        <v>452.5200000000001</v>
      </c>
      <c r="H63" s="16">
        <v>912.25</v>
      </c>
      <c r="I63" s="16">
        <v>6.95</v>
      </c>
      <c r="J63" s="16"/>
      <c r="K63" s="16">
        <v>41420.629999999997</v>
      </c>
    </row>
    <row r="64" spans="1:42">
      <c r="A64" s="22" t="s">
        <v>1496</v>
      </c>
      <c r="B64" s="16">
        <v>152.66</v>
      </c>
      <c r="C64" s="16">
        <v>574.52</v>
      </c>
      <c r="D64" s="16">
        <v>3630</v>
      </c>
      <c r="E64" s="16">
        <v>41666.360000000008</v>
      </c>
      <c r="F64" s="16">
        <v>263.58</v>
      </c>
      <c r="G64" s="16"/>
      <c r="H64" s="16"/>
      <c r="I64" s="16"/>
      <c r="J64" s="16"/>
      <c r="K64" s="16">
        <v>46287.12000000001</v>
      </c>
    </row>
    <row r="65" spans="1:42">
      <c r="A65" s="22" t="s">
        <v>1958</v>
      </c>
      <c r="B65" s="16">
        <v>4786.7699999999995</v>
      </c>
      <c r="C65" s="16">
        <v>77388.87000000001</v>
      </c>
      <c r="D65" s="16">
        <v>28106.400000000001</v>
      </c>
      <c r="E65" s="16">
        <v>506513.74000000011</v>
      </c>
      <c r="F65" s="16">
        <v>4941.82</v>
      </c>
      <c r="G65" s="16">
        <v>2173.89</v>
      </c>
      <c r="H65" s="16">
        <v>1735.04</v>
      </c>
      <c r="I65" s="16">
        <v>66.95</v>
      </c>
      <c r="J65" s="16">
        <v>313.27</v>
      </c>
      <c r="K65" s="16">
        <v>626026.75</v>
      </c>
    </row>
    <row r="66" spans="1:42">
      <c r="B66" s="16"/>
      <c r="C66" s="16"/>
      <c r="D66" s="16"/>
      <c r="E66" s="16"/>
      <c r="F66" s="16"/>
      <c r="G66" s="16"/>
      <c r="H66" s="16"/>
      <c r="I66" s="16"/>
      <c r="J66" s="16"/>
    </row>
    <row r="67" spans="1:42">
      <c r="B67" s="16"/>
      <c r="C67" s="16"/>
      <c r="D67" s="16"/>
      <c r="E67" s="16"/>
      <c r="F67" s="16"/>
      <c r="G67" s="16"/>
      <c r="H67" s="16"/>
      <c r="I67" s="16"/>
    </row>
    <row r="68" spans="1:42" ht="17.25">
      <c r="A68" s="25" t="s">
        <v>2033</v>
      </c>
      <c r="C68" s="23" t="s">
        <v>2028</v>
      </c>
      <c r="D68" s="23" t="s">
        <v>2028</v>
      </c>
      <c r="E68" s="23" t="s">
        <v>2028</v>
      </c>
      <c r="F68" s="20"/>
    </row>
    <row r="69" spans="1:42" s="18" customFormat="1">
      <c r="A69" s="21" t="s">
        <v>2031</v>
      </c>
      <c r="B69" s="17" t="s">
        <v>1955</v>
      </c>
      <c r="C69"/>
      <c r="L69"/>
      <c r="M69"/>
      <c r="N69"/>
      <c r="O69"/>
      <c r="P69"/>
      <c r="Q69"/>
      <c r="R69"/>
      <c r="S69"/>
      <c r="T69"/>
      <c r="U69"/>
      <c r="V69"/>
      <c r="W69"/>
      <c r="X69"/>
      <c r="Y69"/>
      <c r="Z69"/>
      <c r="AA69"/>
      <c r="AB69"/>
      <c r="AC69"/>
      <c r="AD69"/>
      <c r="AE69"/>
      <c r="AF69"/>
      <c r="AG69"/>
      <c r="AH69"/>
      <c r="AI69"/>
      <c r="AJ69"/>
      <c r="AK69"/>
      <c r="AL69"/>
      <c r="AM69"/>
      <c r="AN69"/>
      <c r="AO69"/>
      <c r="AP69"/>
    </row>
    <row r="70" spans="1:42" s="32" customFormat="1">
      <c r="A70"/>
      <c r="B70" s="18" t="s">
        <v>1959</v>
      </c>
      <c r="C70" s="18"/>
      <c r="D70" s="18"/>
      <c r="E70" s="18"/>
      <c r="F70" s="18" t="s">
        <v>1960</v>
      </c>
      <c r="G70" s="18" t="s">
        <v>1961</v>
      </c>
      <c r="H70" s="18" t="s">
        <v>1962</v>
      </c>
      <c r="I70" s="18" t="s">
        <v>1963</v>
      </c>
      <c r="J70" s="18" t="s">
        <v>1999</v>
      </c>
      <c r="K70" s="18" t="s">
        <v>1958</v>
      </c>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row>
    <row r="71" spans="1:42" s="18" customFormat="1">
      <c r="A71"/>
      <c r="B71" t="s">
        <v>63</v>
      </c>
      <c r="C71" t="s">
        <v>1957</v>
      </c>
      <c r="D71"/>
      <c r="E71"/>
      <c r="F71"/>
      <c r="G71"/>
      <c r="H71"/>
      <c r="I71"/>
      <c r="J71" t="s">
        <v>1957</v>
      </c>
      <c r="L71"/>
      <c r="M71"/>
      <c r="N71"/>
      <c r="O71"/>
      <c r="P71"/>
      <c r="Q71"/>
      <c r="R71"/>
      <c r="S71"/>
      <c r="T71"/>
      <c r="U71"/>
      <c r="V71"/>
      <c r="W71"/>
      <c r="X71"/>
      <c r="Y71"/>
      <c r="Z71"/>
      <c r="AA71"/>
      <c r="AB71"/>
      <c r="AC71"/>
      <c r="AD71"/>
      <c r="AE71"/>
      <c r="AF71"/>
      <c r="AG71"/>
      <c r="AH71"/>
      <c r="AI71"/>
      <c r="AJ71"/>
      <c r="AK71"/>
      <c r="AL71"/>
      <c r="AM71"/>
      <c r="AN71"/>
      <c r="AO71"/>
      <c r="AP71"/>
    </row>
    <row r="72" spans="1:42" s="18" customFormat="1">
      <c r="A72" s="21" t="s">
        <v>1968</v>
      </c>
      <c r="B72"/>
      <c r="C72" s="24" t="s">
        <v>1584</v>
      </c>
      <c r="D72" s="24" t="s">
        <v>1956</v>
      </c>
      <c r="E72" s="24" t="s">
        <v>63</v>
      </c>
      <c r="F72"/>
      <c r="G72"/>
      <c r="H72"/>
      <c r="I72"/>
      <c r="J72" t="s">
        <v>63</v>
      </c>
      <c r="L72"/>
      <c r="M72"/>
      <c r="N72"/>
      <c r="O72"/>
      <c r="P72"/>
      <c r="Q72"/>
      <c r="R72"/>
      <c r="S72"/>
      <c r="T72"/>
      <c r="U72"/>
      <c r="V72"/>
      <c r="W72"/>
      <c r="X72"/>
      <c r="Y72"/>
      <c r="Z72"/>
      <c r="AA72"/>
      <c r="AB72"/>
      <c r="AC72"/>
      <c r="AD72"/>
      <c r="AE72"/>
      <c r="AF72"/>
      <c r="AG72"/>
      <c r="AH72"/>
      <c r="AI72"/>
      <c r="AJ72"/>
      <c r="AK72"/>
      <c r="AL72"/>
      <c r="AM72"/>
      <c r="AN72"/>
      <c r="AO72"/>
      <c r="AP72"/>
    </row>
    <row r="73" spans="1:42">
      <c r="A73" s="22" t="s">
        <v>59</v>
      </c>
      <c r="B73" s="16"/>
      <c r="C73" s="16">
        <v>6</v>
      </c>
      <c r="D73" s="16">
        <v>1</v>
      </c>
      <c r="E73" s="16">
        <v>22</v>
      </c>
      <c r="F73" s="16">
        <v>8</v>
      </c>
      <c r="G73" s="16">
        <v>8</v>
      </c>
      <c r="H73" s="16"/>
      <c r="I73" s="16"/>
      <c r="J73" s="16">
        <v>2</v>
      </c>
      <c r="K73" s="16">
        <v>47</v>
      </c>
    </row>
    <row r="74" spans="1:42">
      <c r="A74" s="22" t="s">
        <v>263</v>
      </c>
      <c r="B74" s="16"/>
      <c r="C74" s="16">
        <v>38</v>
      </c>
      <c r="D74" s="16"/>
      <c r="E74" s="16">
        <v>37</v>
      </c>
      <c r="F74" s="16"/>
      <c r="G74" s="16">
        <v>1</v>
      </c>
      <c r="H74" s="16"/>
      <c r="I74" s="16">
        <v>1</v>
      </c>
      <c r="J74" s="16"/>
      <c r="K74" s="16">
        <v>77</v>
      </c>
    </row>
    <row r="75" spans="1:42">
      <c r="A75" s="22" t="s">
        <v>685</v>
      </c>
      <c r="B75" s="16">
        <v>1</v>
      </c>
      <c r="C75" s="16"/>
      <c r="D75" s="16">
        <v>1</v>
      </c>
      <c r="E75" s="16">
        <v>27</v>
      </c>
      <c r="F75" s="16"/>
      <c r="G75" s="16"/>
      <c r="H75" s="16"/>
      <c r="I75" s="16"/>
      <c r="J75" s="16">
        <v>1</v>
      </c>
      <c r="K75" s="16">
        <v>30</v>
      </c>
    </row>
    <row r="76" spans="1:42">
      <c r="A76" s="22" t="s">
        <v>839</v>
      </c>
      <c r="B76" s="16">
        <v>4</v>
      </c>
      <c r="C76" s="16">
        <v>27</v>
      </c>
      <c r="D76" s="16"/>
      <c r="E76" s="16">
        <v>218</v>
      </c>
      <c r="F76" s="16">
        <v>2</v>
      </c>
      <c r="G76" s="16">
        <v>5</v>
      </c>
      <c r="H76" s="16"/>
      <c r="I76" s="16"/>
      <c r="J76" s="16"/>
      <c r="K76" s="16">
        <v>256</v>
      </c>
    </row>
    <row r="77" spans="1:42">
      <c r="A77" s="22" t="s">
        <v>1060</v>
      </c>
      <c r="B77" s="16"/>
      <c r="C77" s="16">
        <v>1</v>
      </c>
      <c r="D77" s="16"/>
      <c r="E77" s="16">
        <v>36</v>
      </c>
      <c r="F77" s="16"/>
      <c r="G77" s="16"/>
      <c r="H77" s="16"/>
      <c r="I77" s="16"/>
      <c r="J77" s="16"/>
      <c r="K77" s="16">
        <v>37</v>
      </c>
    </row>
    <row r="78" spans="1:42">
      <c r="A78" s="22" t="s">
        <v>1138</v>
      </c>
      <c r="B78" s="16">
        <v>5</v>
      </c>
      <c r="C78" s="16">
        <v>1</v>
      </c>
      <c r="D78" s="16"/>
      <c r="E78" s="16">
        <v>10</v>
      </c>
      <c r="F78" s="16"/>
      <c r="G78" s="16"/>
      <c r="H78" s="16"/>
      <c r="I78" s="16"/>
      <c r="J78" s="16"/>
      <c r="K78" s="16">
        <v>16</v>
      </c>
    </row>
    <row r="79" spans="1:42">
      <c r="A79" s="22" t="s">
        <v>1210</v>
      </c>
      <c r="B79" s="16"/>
      <c r="C79" s="16">
        <v>48</v>
      </c>
      <c r="D79" s="16"/>
      <c r="E79" s="16">
        <v>22</v>
      </c>
      <c r="F79" s="16">
        <v>43</v>
      </c>
      <c r="G79" s="16">
        <v>48</v>
      </c>
      <c r="H79" s="16">
        <v>3</v>
      </c>
      <c r="I79" s="16"/>
      <c r="J79" s="16"/>
      <c r="K79" s="16">
        <v>164</v>
      </c>
    </row>
    <row r="80" spans="1:42">
      <c r="A80" s="22" t="s">
        <v>1315</v>
      </c>
      <c r="B80" s="16"/>
      <c r="C80" s="16">
        <v>1</v>
      </c>
      <c r="D80" s="16"/>
      <c r="E80" s="16">
        <v>17</v>
      </c>
      <c r="F80" s="16">
        <v>3</v>
      </c>
      <c r="G80" s="16">
        <v>26</v>
      </c>
      <c r="H80" s="16">
        <v>2</v>
      </c>
      <c r="I80" s="16"/>
      <c r="J80" s="16"/>
      <c r="K80" s="16">
        <v>49</v>
      </c>
    </row>
    <row r="81" spans="1:20">
      <c r="A81" s="22" t="s">
        <v>1376</v>
      </c>
      <c r="B81" s="16">
        <v>4</v>
      </c>
      <c r="C81" s="16">
        <v>6</v>
      </c>
      <c r="D81" s="16"/>
      <c r="E81" s="16">
        <v>7</v>
      </c>
      <c r="F81" s="16">
        <v>6</v>
      </c>
      <c r="G81" s="16">
        <v>9</v>
      </c>
      <c r="H81" s="16">
        <v>1</v>
      </c>
      <c r="I81" s="16"/>
      <c r="J81" s="16"/>
      <c r="K81" s="16">
        <v>33</v>
      </c>
    </row>
    <row r="82" spans="1:20">
      <c r="A82" s="22" t="s">
        <v>1407</v>
      </c>
      <c r="B82" s="16"/>
      <c r="C82" s="16"/>
      <c r="D82" s="16"/>
      <c r="E82" s="16">
        <v>24</v>
      </c>
      <c r="F82" s="16">
        <v>2</v>
      </c>
      <c r="G82" s="16">
        <v>22</v>
      </c>
      <c r="H82" s="16">
        <v>6</v>
      </c>
      <c r="I82" s="16">
        <v>2</v>
      </c>
      <c r="J82" s="16"/>
      <c r="K82" s="16">
        <v>56</v>
      </c>
    </row>
    <row r="83" spans="1:20">
      <c r="A83" s="22" t="s">
        <v>1496</v>
      </c>
      <c r="B83" s="16">
        <v>2</v>
      </c>
      <c r="C83" s="16">
        <v>4</v>
      </c>
      <c r="D83" s="16">
        <v>2</v>
      </c>
      <c r="E83" s="16">
        <v>33</v>
      </c>
      <c r="F83" s="16">
        <v>2</v>
      </c>
      <c r="G83" s="16"/>
      <c r="H83" s="16"/>
      <c r="I83" s="16"/>
      <c r="J83" s="16"/>
      <c r="K83" s="16">
        <v>43</v>
      </c>
    </row>
    <row r="84" spans="1:20">
      <c r="A84" s="22" t="s">
        <v>1958</v>
      </c>
      <c r="B84" s="16">
        <v>16</v>
      </c>
      <c r="C84" s="16">
        <v>132</v>
      </c>
      <c r="D84" s="16">
        <v>4</v>
      </c>
      <c r="E84" s="16">
        <v>453</v>
      </c>
      <c r="F84" s="16">
        <v>66</v>
      </c>
      <c r="G84" s="16">
        <v>119</v>
      </c>
      <c r="H84" s="16">
        <v>12</v>
      </c>
      <c r="I84" s="16">
        <v>3</v>
      </c>
      <c r="J84" s="16">
        <v>3</v>
      </c>
      <c r="K84" s="16">
        <v>808</v>
      </c>
    </row>
    <row r="85" spans="1:20">
      <c r="B85" s="16"/>
      <c r="C85" s="16"/>
      <c r="D85" s="16"/>
      <c r="E85" s="16"/>
      <c r="F85" s="16"/>
      <c r="G85" s="16"/>
      <c r="H85" s="16"/>
      <c r="I85" s="16"/>
      <c r="J85" s="16"/>
    </row>
    <row r="86" spans="1:20">
      <c r="B86" s="16"/>
      <c r="C86" s="16"/>
      <c r="D86" s="16"/>
      <c r="E86" s="16"/>
      <c r="F86" s="16"/>
      <c r="G86" s="16"/>
      <c r="H86" s="16"/>
      <c r="I86" s="16"/>
      <c r="J86" s="16"/>
    </row>
    <row r="87" spans="1:20" ht="17.25">
      <c r="A87" s="26" t="s">
        <v>2034</v>
      </c>
      <c r="C87" s="19"/>
      <c r="D87" s="19"/>
      <c r="E87" s="19"/>
      <c r="F87" s="19"/>
      <c r="G87" s="19"/>
      <c r="H87" s="19"/>
      <c r="I87" s="19"/>
      <c r="J87" s="19"/>
      <c r="K87" s="19"/>
      <c r="L87" s="19"/>
      <c r="M87" s="19"/>
    </row>
    <row r="88" spans="1:20">
      <c r="A88" s="21" t="s">
        <v>1964</v>
      </c>
      <c r="B88" s="17" t="s">
        <v>1955</v>
      </c>
      <c r="E88" s="18"/>
      <c r="F88" s="18"/>
      <c r="G88" s="18"/>
      <c r="H88" s="18"/>
      <c r="I88" s="18"/>
      <c r="J88" s="18"/>
      <c r="K88" s="18"/>
      <c r="L88" s="18"/>
      <c r="M88" s="18"/>
      <c r="N88" s="18"/>
      <c r="O88" s="18"/>
      <c r="P88" s="18"/>
      <c r="Q88" s="18"/>
      <c r="R88" s="18"/>
      <c r="S88" s="18"/>
      <c r="T88" s="18"/>
    </row>
    <row r="89" spans="1:20" s="33" customFormat="1">
      <c r="A89"/>
      <c r="B89" s="18" t="s">
        <v>1959</v>
      </c>
      <c r="C89" s="18"/>
      <c r="D89" s="18"/>
      <c r="E89" s="18"/>
      <c r="F89" s="18"/>
      <c r="G89" s="18"/>
      <c r="H89" s="18"/>
      <c r="I89" s="18"/>
      <c r="J89" s="18"/>
      <c r="K89" s="18"/>
      <c r="L89" s="18"/>
      <c r="M89" s="18"/>
      <c r="N89" s="24" t="s">
        <v>1960</v>
      </c>
      <c r="O89" s="24" t="s">
        <v>1961</v>
      </c>
      <c r="P89" s="24" t="s">
        <v>1962</v>
      </c>
      <c r="Q89" s="24" t="s">
        <v>1963</v>
      </c>
      <c r="R89" s="18" t="s">
        <v>1999</v>
      </c>
      <c r="S89" s="18"/>
      <c r="T89" s="24" t="s">
        <v>1958</v>
      </c>
    </row>
    <row r="90" spans="1:20">
      <c r="B90" s="24" t="s">
        <v>63</v>
      </c>
      <c r="C90" t="s">
        <v>1957</v>
      </c>
      <c r="R90" t="s">
        <v>1957</v>
      </c>
      <c r="T90" s="24"/>
    </row>
    <row r="91" spans="1:20" s="24" customFormat="1" ht="81">
      <c r="A91" s="27" t="s">
        <v>1968</v>
      </c>
      <c r="B91"/>
      <c r="C91" s="24" t="s">
        <v>59</v>
      </c>
      <c r="D91" s="24" t="s">
        <v>263</v>
      </c>
      <c r="E91" s="24" t="s">
        <v>685</v>
      </c>
      <c r="F91" s="24" t="s">
        <v>839</v>
      </c>
      <c r="G91" s="24" t="s">
        <v>1060</v>
      </c>
      <c r="H91" s="24" t="s">
        <v>1138</v>
      </c>
      <c r="I91" s="24" t="s">
        <v>1210</v>
      </c>
      <c r="J91" s="24" t="s">
        <v>1315</v>
      </c>
      <c r="K91" s="24" t="s">
        <v>1376</v>
      </c>
      <c r="L91" s="24" t="s">
        <v>1407</v>
      </c>
      <c r="M91" s="24" t="s">
        <v>1496</v>
      </c>
      <c r="N91"/>
      <c r="O91"/>
      <c r="P91"/>
      <c r="Q91"/>
      <c r="R91" s="24" t="s">
        <v>59</v>
      </c>
      <c r="S91" s="24" t="s">
        <v>685</v>
      </c>
    </row>
    <row r="92" spans="1:20">
      <c r="A92" s="22" t="s">
        <v>1957</v>
      </c>
      <c r="B92" s="16"/>
      <c r="C92" s="16"/>
      <c r="D92" s="16"/>
      <c r="E92" s="16"/>
      <c r="F92" s="16"/>
      <c r="G92" s="16"/>
      <c r="H92" s="16"/>
      <c r="I92" s="16"/>
      <c r="J92" s="16"/>
      <c r="K92" s="16"/>
      <c r="L92" s="16"/>
      <c r="M92" s="16"/>
      <c r="N92" s="16"/>
      <c r="O92" s="16"/>
      <c r="P92" s="16"/>
      <c r="Q92" s="16">
        <v>2.38</v>
      </c>
      <c r="R92" s="16">
        <v>84.77</v>
      </c>
      <c r="S92" s="16"/>
      <c r="T92" s="16">
        <v>87.149999999999991</v>
      </c>
    </row>
    <row r="93" spans="1:20">
      <c r="A93" s="22" t="s">
        <v>1969</v>
      </c>
      <c r="B93" s="16"/>
      <c r="C93" s="16">
        <v>300.89999999999998</v>
      </c>
      <c r="D93" s="16">
        <v>884.1</v>
      </c>
      <c r="E93" s="16">
        <v>6278.0899999999992</v>
      </c>
      <c r="F93" s="16">
        <v>5480.1399999999994</v>
      </c>
      <c r="G93" s="16">
        <v>2970.02</v>
      </c>
      <c r="H93" s="16">
        <v>2795.75</v>
      </c>
      <c r="I93" s="16"/>
      <c r="J93" s="16"/>
      <c r="K93" s="16"/>
      <c r="L93" s="16">
        <v>2161.16</v>
      </c>
      <c r="M93" s="16">
        <v>3537.85</v>
      </c>
      <c r="N93" s="16">
        <v>101.6</v>
      </c>
      <c r="O93" s="16">
        <v>164.54000000000002</v>
      </c>
      <c r="P93" s="16"/>
      <c r="Q93" s="16"/>
      <c r="R93" s="16">
        <v>48.5</v>
      </c>
      <c r="S93" s="16">
        <v>180</v>
      </c>
      <c r="T93" s="16">
        <v>24902.649999999998</v>
      </c>
    </row>
    <row r="94" spans="1:20">
      <c r="A94" s="22" t="s">
        <v>1970</v>
      </c>
      <c r="B94" s="16">
        <v>489.28</v>
      </c>
      <c r="C94" s="16">
        <v>737.71</v>
      </c>
      <c r="D94" s="16">
        <v>817.88</v>
      </c>
      <c r="E94" s="16">
        <v>26361.899999999994</v>
      </c>
      <c r="F94" s="16">
        <v>5529.7599999999993</v>
      </c>
      <c r="G94" s="16">
        <v>317.75</v>
      </c>
      <c r="H94" s="16">
        <v>3746.84</v>
      </c>
      <c r="I94" s="16">
        <v>27750.61</v>
      </c>
      <c r="J94" s="16">
        <v>2172.5500000000002</v>
      </c>
      <c r="K94" s="16"/>
      <c r="L94" s="16">
        <v>13913.14</v>
      </c>
      <c r="M94" s="16">
        <v>5062.4799999999996</v>
      </c>
      <c r="N94" s="16">
        <v>369.39</v>
      </c>
      <c r="O94" s="16">
        <v>536.38000000000011</v>
      </c>
      <c r="P94" s="16">
        <v>404.58</v>
      </c>
      <c r="Q94" s="16"/>
      <c r="R94" s="16"/>
      <c r="S94" s="16"/>
      <c r="T94" s="16">
        <v>88210.25</v>
      </c>
    </row>
    <row r="95" spans="1:20">
      <c r="A95" s="22" t="s">
        <v>1971</v>
      </c>
      <c r="B95" s="16">
        <v>2269.7799999999997</v>
      </c>
      <c r="C95" s="16">
        <v>3139.92</v>
      </c>
      <c r="D95" s="16">
        <v>1338.34</v>
      </c>
      <c r="E95" s="16">
        <v>19200.96</v>
      </c>
      <c r="F95" s="16">
        <v>7528</v>
      </c>
      <c r="G95" s="16">
        <v>159</v>
      </c>
      <c r="H95" s="16">
        <v>4979.3</v>
      </c>
      <c r="I95" s="16">
        <v>21915.260000000002</v>
      </c>
      <c r="J95" s="16">
        <v>2147.4</v>
      </c>
      <c r="K95" s="16"/>
      <c r="L95" s="16">
        <v>16853.810000000005</v>
      </c>
      <c r="M95" s="16">
        <v>876.78</v>
      </c>
      <c r="N95" s="16">
        <v>360.74</v>
      </c>
      <c r="O95" s="16">
        <v>335.42</v>
      </c>
      <c r="P95" s="16">
        <v>287.33</v>
      </c>
      <c r="Q95" s="16">
        <v>4.57</v>
      </c>
      <c r="R95" s="16"/>
      <c r="S95" s="16"/>
      <c r="T95" s="16">
        <v>81396.61000000003</v>
      </c>
    </row>
    <row r="96" spans="1:20">
      <c r="A96" s="22" t="s">
        <v>1972</v>
      </c>
      <c r="B96" s="16">
        <v>814.85</v>
      </c>
      <c r="C96" s="16">
        <v>3424.73</v>
      </c>
      <c r="D96" s="16">
        <v>6125.8000000000011</v>
      </c>
      <c r="E96" s="16">
        <v>2876.9</v>
      </c>
      <c r="F96" s="16">
        <v>56636</v>
      </c>
      <c r="G96" s="16">
        <v>2572.4</v>
      </c>
      <c r="H96" s="16">
        <v>291.45</v>
      </c>
      <c r="I96" s="16">
        <v>8501.2999999999993</v>
      </c>
      <c r="J96" s="16">
        <v>727.08</v>
      </c>
      <c r="K96" s="16">
        <v>3349.7</v>
      </c>
      <c r="L96" s="16">
        <v>5719.74</v>
      </c>
      <c r="M96" s="16">
        <v>29779.129999999994</v>
      </c>
      <c r="N96" s="16">
        <v>3107.0199999999991</v>
      </c>
      <c r="O96" s="16">
        <v>314.70000000000005</v>
      </c>
      <c r="P96" s="16">
        <v>158.37</v>
      </c>
      <c r="Q96" s="16"/>
      <c r="R96" s="16"/>
      <c r="S96" s="16"/>
      <c r="T96" s="16">
        <v>124399.16999999998</v>
      </c>
    </row>
    <row r="97" spans="1:20">
      <c r="A97" s="22" t="s">
        <v>1973</v>
      </c>
      <c r="B97" s="16">
        <v>262.66000000000003</v>
      </c>
      <c r="C97" s="16">
        <v>28397.690000000002</v>
      </c>
      <c r="D97" s="16">
        <v>9310.52</v>
      </c>
      <c r="E97" s="16">
        <v>5350.99</v>
      </c>
      <c r="F97" s="16">
        <v>128547.89</v>
      </c>
      <c r="G97" s="16">
        <v>15045.529999999999</v>
      </c>
      <c r="H97" s="16">
        <v>3445.14</v>
      </c>
      <c r="I97" s="16">
        <v>41858.949999999997</v>
      </c>
      <c r="J97" s="16"/>
      <c r="K97" s="16">
        <v>10173</v>
      </c>
      <c r="L97" s="16">
        <v>1380.06</v>
      </c>
      <c r="M97" s="16">
        <v>3165.36</v>
      </c>
      <c r="N97" s="16">
        <v>681.08999999999992</v>
      </c>
      <c r="O97" s="16">
        <v>661.53</v>
      </c>
      <c r="P97" s="16">
        <v>830.7600000000001</v>
      </c>
      <c r="Q97" s="16">
        <v>60</v>
      </c>
      <c r="R97" s="16"/>
      <c r="S97" s="16"/>
      <c r="T97" s="16">
        <v>249171.16999999998</v>
      </c>
    </row>
    <row r="98" spans="1:20">
      <c r="A98" s="22" t="s">
        <v>2029</v>
      </c>
      <c r="B98" s="16">
        <v>950.2</v>
      </c>
      <c r="C98" s="16"/>
      <c r="D98" s="16"/>
      <c r="E98" s="16"/>
      <c r="F98" s="16">
        <v>39082</v>
      </c>
      <c r="G98" s="16"/>
      <c r="H98" s="16"/>
      <c r="I98" s="16">
        <v>13840.970000000001</v>
      </c>
      <c r="J98" s="16"/>
      <c r="K98" s="16"/>
      <c r="L98" s="16"/>
      <c r="M98" s="16">
        <v>3449.28</v>
      </c>
      <c r="N98" s="16">
        <v>321.98</v>
      </c>
      <c r="O98" s="16">
        <v>161.32</v>
      </c>
      <c r="P98" s="16">
        <v>54</v>
      </c>
      <c r="Q98" s="16"/>
      <c r="R98" s="16"/>
      <c r="S98" s="16"/>
      <c r="T98" s="16">
        <v>57859.75</v>
      </c>
    </row>
    <row r="99" spans="1:20">
      <c r="A99" s="22" t="s">
        <v>1958</v>
      </c>
      <c r="B99" s="16">
        <v>4786.7699999999995</v>
      </c>
      <c r="C99" s="16">
        <v>36000.950000000004</v>
      </c>
      <c r="D99" s="16">
        <v>18476.64</v>
      </c>
      <c r="E99" s="16">
        <v>60068.84</v>
      </c>
      <c r="F99" s="16">
        <v>242803.78999999998</v>
      </c>
      <c r="G99" s="16">
        <v>21064.699999999997</v>
      </c>
      <c r="H99" s="16">
        <v>15258.48</v>
      </c>
      <c r="I99" s="16">
        <v>113867.09</v>
      </c>
      <c r="J99" s="16">
        <v>5047.0300000000007</v>
      </c>
      <c r="K99" s="16">
        <v>13522.7</v>
      </c>
      <c r="L99" s="16">
        <v>40027.909999999996</v>
      </c>
      <c r="M99" s="16">
        <v>45870.87999999999</v>
      </c>
      <c r="N99" s="16">
        <v>4941.82</v>
      </c>
      <c r="O99" s="16">
        <v>2173.8900000000003</v>
      </c>
      <c r="P99" s="16">
        <v>1735.04</v>
      </c>
      <c r="Q99" s="16">
        <v>66.95</v>
      </c>
      <c r="R99" s="16">
        <v>133.26999999999998</v>
      </c>
      <c r="S99" s="16">
        <v>180</v>
      </c>
      <c r="T99" s="16">
        <v>626026.75</v>
      </c>
    </row>
    <row r="102" spans="1:20" ht="17.25">
      <c r="A102" s="26" t="s">
        <v>2035</v>
      </c>
      <c r="C102" s="19"/>
      <c r="D102" s="19"/>
      <c r="E102" s="19"/>
      <c r="F102" s="19"/>
      <c r="G102" s="19"/>
      <c r="H102" s="19"/>
      <c r="I102" s="19"/>
      <c r="J102" s="19"/>
      <c r="K102" s="19"/>
      <c r="L102" s="19"/>
      <c r="M102" s="19"/>
    </row>
    <row r="103" spans="1:20">
      <c r="A103" s="21" t="s">
        <v>2031</v>
      </c>
      <c r="B103" s="17" t="s">
        <v>1955</v>
      </c>
      <c r="E103" s="18"/>
      <c r="F103" s="18"/>
      <c r="G103" s="18"/>
      <c r="H103" s="18"/>
      <c r="I103" s="18"/>
      <c r="J103" s="18"/>
      <c r="K103" s="18"/>
      <c r="L103" s="18"/>
      <c r="M103" s="18"/>
      <c r="N103" s="18"/>
      <c r="O103" s="18"/>
      <c r="P103" s="18"/>
      <c r="Q103" s="18"/>
      <c r="R103" s="18"/>
      <c r="S103" s="18"/>
      <c r="T103" s="18"/>
    </row>
    <row r="104" spans="1:20">
      <c r="B104" s="18" t="s">
        <v>1959</v>
      </c>
      <c r="C104" s="18"/>
      <c r="D104" s="18"/>
      <c r="E104" s="18"/>
      <c r="F104" s="18"/>
      <c r="G104" s="18"/>
      <c r="H104" s="18"/>
      <c r="I104" s="18"/>
      <c r="J104" s="18"/>
      <c r="K104" s="18"/>
      <c r="L104" s="18"/>
      <c r="M104" s="18"/>
      <c r="N104" s="24" t="s">
        <v>1960</v>
      </c>
      <c r="O104" s="24" t="s">
        <v>1961</v>
      </c>
      <c r="P104" s="24" t="s">
        <v>1962</v>
      </c>
      <c r="Q104" s="24" t="s">
        <v>1963</v>
      </c>
      <c r="R104" s="18" t="s">
        <v>1999</v>
      </c>
      <c r="S104" s="18"/>
      <c r="T104" s="24" t="s">
        <v>1958</v>
      </c>
    </row>
    <row r="105" spans="1:20">
      <c r="B105" s="24" t="s">
        <v>63</v>
      </c>
      <c r="C105" t="s">
        <v>1957</v>
      </c>
      <c r="R105" t="s">
        <v>1957</v>
      </c>
      <c r="T105" s="24"/>
    </row>
    <row r="106" spans="1:20" s="24" customFormat="1" ht="81">
      <c r="A106" s="27" t="s">
        <v>1968</v>
      </c>
      <c r="B106"/>
      <c r="C106" s="24" t="s">
        <v>59</v>
      </c>
      <c r="D106" s="24" t="s">
        <v>263</v>
      </c>
      <c r="E106" s="24" t="s">
        <v>685</v>
      </c>
      <c r="F106" s="24" t="s">
        <v>839</v>
      </c>
      <c r="G106" s="24" t="s">
        <v>1060</v>
      </c>
      <c r="H106" s="24" t="s">
        <v>1138</v>
      </c>
      <c r="I106" s="24" t="s">
        <v>1210</v>
      </c>
      <c r="J106" s="24" t="s">
        <v>1315</v>
      </c>
      <c r="K106" s="24" t="s">
        <v>1376</v>
      </c>
      <c r="L106" s="24" t="s">
        <v>1407</v>
      </c>
      <c r="M106" s="24" t="s">
        <v>1496</v>
      </c>
      <c r="N106"/>
      <c r="O106"/>
      <c r="P106"/>
      <c r="Q106"/>
      <c r="R106" s="28" t="s">
        <v>59</v>
      </c>
      <c r="S106" s="28" t="s">
        <v>685</v>
      </c>
    </row>
    <row r="107" spans="1:20">
      <c r="A107" s="22" t="s">
        <v>1957</v>
      </c>
      <c r="B107" s="16"/>
      <c r="C107" s="16"/>
      <c r="D107" s="16"/>
      <c r="E107" s="16"/>
      <c r="F107" s="16"/>
      <c r="G107" s="16"/>
      <c r="H107" s="16"/>
      <c r="I107" s="16"/>
      <c r="J107" s="16"/>
      <c r="K107" s="16"/>
      <c r="L107" s="16"/>
      <c r="M107" s="16"/>
      <c r="N107" s="16"/>
      <c r="O107" s="16"/>
      <c r="P107" s="16"/>
      <c r="Q107" s="16">
        <v>1</v>
      </c>
      <c r="R107" s="16">
        <v>1</v>
      </c>
      <c r="S107" s="16"/>
      <c r="T107" s="16">
        <v>2</v>
      </c>
    </row>
    <row r="108" spans="1:20">
      <c r="A108" s="22" t="s">
        <v>1969</v>
      </c>
      <c r="B108" s="16"/>
      <c r="C108" s="16">
        <v>5</v>
      </c>
      <c r="D108" s="16">
        <v>1</v>
      </c>
      <c r="E108" s="16">
        <v>2</v>
      </c>
      <c r="F108" s="16">
        <v>21</v>
      </c>
      <c r="G108" s="16">
        <v>2</v>
      </c>
      <c r="H108" s="16">
        <v>1</v>
      </c>
      <c r="I108" s="16"/>
      <c r="J108" s="16"/>
      <c r="K108" s="16"/>
      <c r="L108" s="16">
        <v>4</v>
      </c>
      <c r="M108" s="16">
        <v>5</v>
      </c>
      <c r="N108" s="16">
        <v>2</v>
      </c>
      <c r="O108" s="16">
        <v>11</v>
      </c>
      <c r="P108" s="16"/>
      <c r="Q108" s="16"/>
      <c r="R108" s="16">
        <v>1</v>
      </c>
      <c r="S108" s="16">
        <v>1</v>
      </c>
      <c r="T108" s="16">
        <v>56</v>
      </c>
    </row>
    <row r="109" spans="1:20">
      <c r="A109" s="22" t="s">
        <v>1970</v>
      </c>
      <c r="B109" s="16">
        <v>2</v>
      </c>
      <c r="C109" s="16">
        <v>7</v>
      </c>
      <c r="D109" s="16">
        <v>3</v>
      </c>
      <c r="E109" s="16">
        <v>9</v>
      </c>
      <c r="F109" s="16">
        <v>29</v>
      </c>
      <c r="G109" s="16">
        <v>3</v>
      </c>
      <c r="H109" s="16">
        <v>2</v>
      </c>
      <c r="I109" s="16">
        <v>9</v>
      </c>
      <c r="J109" s="16">
        <v>8</v>
      </c>
      <c r="K109" s="16"/>
      <c r="L109" s="16">
        <v>3</v>
      </c>
      <c r="M109" s="16">
        <v>8</v>
      </c>
      <c r="N109" s="16">
        <v>9</v>
      </c>
      <c r="O109" s="16">
        <v>22</v>
      </c>
      <c r="P109" s="16">
        <v>2</v>
      </c>
      <c r="Q109" s="16"/>
      <c r="R109" s="16"/>
      <c r="S109" s="16"/>
      <c r="T109" s="16">
        <v>116</v>
      </c>
    </row>
    <row r="110" spans="1:20">
      <c r="A110" s="22" t="s">
        <v>1971</v>
      </c>
      <c r="B110" s="16">
        <v>4</v>
      </c>
      <c r="C110" s="16">
        <v>1</v>
      </c>
      <c r="D110" s="16">
        <v>10</v>
      </c>
      <c r="E110" s="16">
        <v>10</v>
      </c>
      <c r="F110" s="16">
        <v>20</v>
      </c>
      <c r="G110" s="16">
        <v>1</v>
      </c>
      <c r="H110" s="16">
        <v>4</v>
      </c>
      <c r="I110" s="16">
        <v>9</v>
      </c>
      <c r="J110" s="16">
        <v>3</v>
      </c>
      <c r="K110" s="16"/>
      <c r="L110" s="16">
        <v>9</v>
      </c>
      <c r="M110" s="16">
        <v>3</v>
      </c>
      <c r="N110" s="16">
        <v>8</v>
      </c>
      <c r="O110" s="16">
        <v>16</v>
      </c>
      <c r="P110" s="16">
        <v>2</v>
      </c>
      <c r="Q110" s="16">
        <v>1</v>
      </c>
      <c r="R110" s="16"/>
      <c r="S110" s="16"/>
      <c r="T110" s="16">
        <v>101</v>
      </c>
    </row>
    <row r="111" spans="1:20">
      <c r="A111" s="22" t="s">
        <v>1972</v>
      </c>
      <c r="B111" s="16">
        <v>6</v>
      </c>
      <c r="C111" s="16">
        <v>7</v>
      </c>
      <c r="D111" s="16">
        <v>27</v>
      </c>
      <c r="E111" s="16">
        <v>5</v>
      </c>
      <c r="F111" s="16">
        <v>50</v>
      </c>
      <c r="G111" s="16">
        <v>10</v>
      </c>
      <c r="H111" s="16">
        <v>1</v>
      </c>
      <c r="I111" s="16">
        <v>6</v>
      </c>
      <c r="J111" s="16">
        <v>7</v>
      </c>
      <c r="K111" s="16">
        <v>6</v>
      </c>
      <c r="L111" s="16">
        <v>7</v>
      </c>
      <c r="M111" s="16">
        <v>10</v>
      </c>
      <c r="N111" s="16">
        <v>25</v>
      </c>
      <c r="O111" s="16">
        <v>16</v>
      </c>
      <c r="P111" s="16">
        <v>2</v>
      </c>
      <c r="Q111" s="16"/>
      <c r="R111" s="16"/>
      <c r="S111" s="16"/>
      <c r="T111" s="16">
        <v>185</v>
      </c>
    </row>
    <row r="112" spans="1:20">
      <c r="A112" s="22" t="s">
        <v>1973</v>
      </c>
      <c r="B112" s="16">
        <v>2</v>
      </c>
      <c r="C112" s="16">
        <v>9</v>
      </c>
      <c r="D112" s="16">
        <v>34</v>
      </c>
      <c r="E112" s="16">
        <v>2</v>
      </c>
      <c r="F112" s="16">
        <v>91</v>
      </c>
      <c r="G112" s="16">
        <v>21</v>
      </c>
      <c r="H112" s="16">
        <v>3</v>
      </c>
      <c r="I112" s="16">
        <v>31</v>
      </c>
      <c r="J112" s="16"/>
      <c r="K112" s="16">
        <v>7</v>
      </c>
      <c r="L112" s="16">
        <v>1</v>
      </c>
      <c r="M112" s="16">
        <v>6</v>
      </c>
      <c r="N112" s="16">
        <v>11</v>
      </c>
      <c r="O112" s="16">
        <v>36</v>
      </c>
      <c r="P112" s="16">
        <v>5</v>
      </c>
      <c r="Q112" s="16">
        <v>1</v>
      </c>
      <c r="R112" s="16"/>
      <c r="S112" s="16"/>
      <c r="T112" s="16">
        <v>260</v>
      </c>
    </row>
    <row r="113" spans="1:20">
      <c r="A113" s="22" t="s">
        <v>2029</v>
      </c>
      <c r="B113" s="16">
        <v>2</v>
      </c>
      <c r="C113" s="16"/>
      <c r="D113" s="16"/>
      <c r="E113" s="16"/>
      <c r="F113" s="16">
        <v>34</v>
      </c>
      <c r="G113" s="16"/>
      <c r="H113" s="16"/>
      <c r="I113" s="16">
        <v>15</v>
      </c>
      <c r="J113" s="16"/>
      <c r="K113" s="16"/>
      <c r="L113" s="16"/>
      <c r="M113" s="16">
        <v>7</v>
      </c>
      <c r="N113" s="16">
        <v>11</v>
      </c>
      <c r="O113" s="16">
        <v>18</v>
      </c>
      <c r="P113" s="16">
        <v>1</v>
      </c>
      <c r="Q113" s="16"/>
      <c r="R113" s="16"/>
      <c r="S113" s="16"/>
      <c r="T113" s="16">
        <v>88</v>
      </c>
    </row>
    <row r="114" spans="1:20">
      <c r="A114" s="22" t="s">
        <v>1958</v>
      </c>
      <c r="B114" s="16">
        <v>16</v>
      </c>
      <c r="C114" s="16">
        <v>29</v>
      </c>
      <c r="D114" s="16">
        <v>75</v>
      </c>
      <c r="E114" s="16">
        <v>28</v>
      </c>
      <c r="F114" s="16">
        <v>245</v>
      </c>
      <c r="G114" s="16">
        <v>37</v>
      </c>
      <c r="H114" s="16">
        <v>11</v>
      </c>
      <c r="I114" s="16">
        <v>70</v>
      </c>
      <c r="J114" s="16">
        <v>18</v>
      </c>
      <c r="K114" s="16">
        <v>13</v>
      </c>
      <c r="L114" s="16">
        <v>24</v>
      </c>
      <c r="M114" s="16">
        <v>39</v>
      </c>
      <c r="N114" s="16">
        <v>66</v>
      </c>
      <c r="O114" s="16">
        <v>119</v>
      </c>
      <c r="P114" s="16">
        <v>12</v>
      </c>
      <c r="Q114" s="16">
        <v>3</v>
      </c>
      <c r="R114" s="16">
        <v>2</v>
      </c>
      <c r="S114" s="16">
        <v>1</v>
      </c>
      <c r="T114" s="16">
        <v>808</v>
      </c>
    </row>
    <row r="116" spans="1:20">
      <c r="A116" s="22"/>
      <c r="B116" s="16"/>
      <c r="C116" s="16"/>
      <c r="D116" s="16"/>
      <c r="E116" s="16"/>
      <c r="F116" s="16"/>
      <c r="G116" s="16"/>
      <c r="H116" s="16"/>
      <c r="I116" s="16"/>
      <c r="J116" s="16"/>
      <c r="K116" s="16"/>
      <c r="L116" s="16"/>
      <c r="M116" s="16"/>
      <c r="N116" s="16"/>
      <c r="O116" s="16"/>
      <c r="P116" s="16"/>
      <c r="Q116" s="16"/>
      <c r="R116" s="16"/>
      <c r="S116" s="16"/>
      <c r="T116" s="16"/>
    </row>
    <row r="117" spans="1:20" ht="17.25">
      <c r="A117" s="25" t="s">
        <v>2030</v>
      </c>
      <c r="B117" s="19"/>
      <c r="C117" s="19"/>
      <c r="D117" s="19"/>
      <c r="E117" s="19"/>
      <c r="F117" s="19"/>
      <c r="G117" s="19"/>
      <c r="H117" s="19"/>
      <c r="I117" s="19"/>
      <c r="J117" s="19"/>
      <c r="K117" s="19"/>
      <c r="L117" s="19"/>
    </row>
    <row r="118" spans="1:20">
      <c r="A118" s="21" t="s">
        <v>1964</v>
      </c>
      <c r="B118" s="17" t="s">
        <v>1955</v>
      </c>
      <c r="D118" s="18"/>
      <c r="E118" s="18"/>
      <c r="F118" s="18"/>
      <c r="G118" s="18"/>
      <c r="H118" s="18"/>
      <c r="I118" s="18"/>
      <c r="J118" s="18"/>
      <c r="K118" s="18"/>
      <c r="L118" s="18"/>
      <c r="M118" s="18"/>
      <c r="N118" s="18"/>
      <c r="O118" s="18"/>
      <c r="P118" s="18"/>
      <c r="Q118" s="18"/>
      <c r="R118" s="18"/>
      <c r="S118" s="18"/>
    </row>
    <row r="119" spans="1:20" s="29" customFormat="1">
      <c r="A119"/>
      <c r="B119" s="18" t="s">
        <v>1959</v>
      </c>
      <c r="C119" s="18"/>
      <c r="D119" s="18"/>
      <c r="E119" s="18"/>
      <c r="F119" s="18"/>
      <c r="G119" s="18"/>
      <c r="H119" s="18"/>
      <c r="I119" s="18"/>
      <c r="J119" s="18"/>
      <c r="K119" s="18"/>
      <c r="L119" s="18"/>
      <c r="M119" s="24" t="s">
        <v>1960</v>
      </c>
      <c r="N119" s="24" t="s">
        <v>1961</v>
      </c>
      <c r="O119" s="24" t="s">
        <v>1962</v>
      </c>
      <c r="P119" s="24" t="s">
        <v>1963</v>
      </c>
      <c r="Q119" s="18" t="s">
        <v>1999</v>
      </c>
      <c r="R119" s="18"/>
      <c r="S119" s="24" t="s">
        <v>1958</v>
      </c>
    </row>
    <row r="120" spans="1:20" s="24" customFormat="1" ht="40.5">
      <c r="A120" s="27" t="s">
        <v>1968</v>
      </c>
      <c r="B120" s="24" t="s">
        <v>59</v>
      </c>
      <c r="C120" s="24" t="s">
        <v>263</v>
      </c>
      <c r="D120" s="24" t="s">
        <v>685</v>
      </c>
      <c r="E120" s="24" t="s">
        <v>839</v>
      </c>
      <c r="F120" s="24" t="s">
        <v>1060</v>
      </c>
      <c r="G120" s="24" t="s">
        <v>1138</v>
      </c>
      <c r="H120" s="24" t="s">
        <v>1210</v>
      </c>
      <c r="I120" s="24" t="s">
        <v>1315</v>
      </c>
      <c r="J120" s="24" t="s">
        <v>1376</v>
      </c>
      <c r="K120" s="24" t="s">
        <v>1407</v>
      </c>
      <c r="L120" s="24" t="s">
        <v>1496</v>
      </c>
      <c r="M120"/>
      <c r="N120"/>
      <c r="O120"/>
      <c r="P120"/>
      <c r="Q120" s="24" t="s">
        <v>59</v>
      </c>
      <c r="R120" s="24" t="s">
        <v>685</v>
      </c>
    </row>
    <row r="121" spans="1:20">
      <c r="A121" s="22">
        <v>1961</v>
      </c>
      <c r="B121" s="16"/>
      <c r="C121" s="16"/>
      <c r="D121" s="16"/>
      <c r="E121" s="16">
        <v>3688</v>
      </c>
      <c r="F121" s="16"/>
      <c r="G121" s="16"/>
      <c r="H121" s="16"/>
      <c r="I121" s="16"/>
      <c r="J121" s="16"/>
      <c r="K121" s="16"/>
      <c r="L121" s="16"/>
      <c r="M121" s="16"/>
      <c r="N121" s="16"/>
      <c r="O121" s="16"/>
      <c r="P121" s="16"/>
      <c r="Q121" s="16"/>
      <c r="R121" s="16"/>
      <c r="S121" s="16">
        <v>3688</v>
      </c>
    </row>
    <row r="122" spans="1:20">
      <c r="A122" s="22">
        <v>1962</v>
      </c>
      <c r="B122" s="16"/>
      <c r="C122" s="16"/>
      <c r="D122" s="16"/>
      <c r="E122" s="16">
        <v>1124</v>
      </c>
      <c r="F122" s="16"/>
      <c r="G122" s="16"/>
      <c r="H122" s="16">
        <v>934.08</v>
      </c>
      <c r="I122" s="16"/>
      <c r="J122" s="16"/>
      <c r="K122" s="16"/>
      <c r="L122" s="16">
        <v>232.06</v>
      </c>
      <c r="M122" s="16"/>
      <c r="N122" s="16">
        <v>7.8199999999999994</v>
      </c>
      <c r="O122" s="16"/>
      <c r="P122" s="16"/>
      <c r="Q122" s="16"/>
      <c r="R122" s="16"/>
      <c r="S122" s="16">
        <v>2297.96</v>
      </c>
    </row>
    <row r="123" spans="1:20">
      <c r="A123" s="22">
        <v>1963</v>
      </c>
      <c r="B123" s="16"/>
      <c r="C123" s="16"/>
      <c r="D123" s="16"/>
      <c r="E123" s="16">
        <v>3532</v>
      </c>
      <c r="F123" s="16"/>
      <c r="G123" s="16"/>
      <c r="H123" s="16"/>
      <c r="I123" s="16"/>
      <c r="J123" s="16"/>
      <c r="K123" s="16"/>
      <c r="L123" s="16"/>
      <c r="M123" s="16"/>
      <c r="N123" s="16"/>
      <c r="O123" s="16"/>
      <c r="P123" s="16"/>
      <c r="Q123" s="16"/>
      <c r="R123" s="16"/>
      <c r="S123" s="16">
        <v>3532</v>
      </c>
    </row>
    <row r="124" spans="1:20">
      <c r="A124" s="22">
        <v>1964</v>
      </c>
      <c r="B124" s="16"/>
      <c r="C124" s="16"/>
      <c r="D124" s="16"/>
      <c r="E124" s="16">
        <v>8850</v>
      </c>
      <c r="F124" s="16"/>
      <c r="G124" s="16"/>
      <c r="H124" s="16">
        <v>2878.33</v>
      </c>
      <c r="I124" s="16"/>
      <c r="J124" s="16"/>
      <c r="K124" s="16"/>
      <c r="L124" s="16"/>
      <c r="M124" s="16">
        <v>117.17999999999999</v>
      </c>
      <c r="N124" s="16">
        <v>20.47</v>
      </c>
      <c r="O124" s="16"/>
      <c r="P124" s="16"/>
      <c r="Q124" s="16"/>
      <c r="R124" s="16"/>
      <c r="S124" s="16">
        <v>11865.98</v>
      </c>
    </row>
    <row r="125" spans="1:20">
      <c r="A125" s="22">
        <v>1965</v>
      </c>
      <c r="B125" s="16"/>
      <c r="C125" s="16"/>
      <c r="D125" s="16"/>
      <c r="E125" s="16">
        <v>2043</v>
      </c>
      <c r="F125" s="16"/>
      <c r="G125" s="16">
        <v>383.2</v>
      </c>
      <c r="H125" s="16">
        <v>3459.58</v>
      </c>
      <c r="I125" s="16"/>
      <c r="J125" s="16">
        <v>567</v>
      </c>
      <c r="K125" s="16"/>
      <c r="L125" s="16">
        <v>2072.2200000000003</v>
      </c>
      <c r="M125" s="16">
        <v>59.22</v>
      </c>
      <c r="N125" s="16">
        <v>20</v>
      </c>
      <c r="O125" s="16"/>
      <c r="P125" s="16"/>
      <c r="Q125" s="16"/>
      <c r="R125" s="16"/>
      <c r="S125" s="16">
        <v>8604.2199999999993</v>
      </c>
    </row>
    <row r="126" spans="1:20">
      <c r="A126" s="22">
        <v>1966</v>
      </c>
      <c r="B126" s="16"/>
      <c r="C126" s="16"/>
      <c r="D126" s="16"/>
      <c r="E126" s="16">
        <v>10050</v>
      </c>
      <c r="F126" s="16"/>
      <c r="G126" s="16"/>
      <c r="H126" s="16">
        <v>3127.4400000000005</v>
      </c>
      <c r="I126" s="16"/>
      <c r="J126" s="16"/>
      <c r="K126" s="16"/>
      <c r="L126" s="16"/>
      <c r="M126" s="16">
        <v>145.57999999999998</v>
      </c>
      <c r="N126" s="16">
        <v>88.88</v>
      </c>
      <c r="O126" s="16">
        <v>54</v>
      </c>
      <c r="P126" s="16"/>
      <c r="Q126" s="16"/>
      <c r="R126" s="16"/>
      <c r="S126" s="16">
        <v>13465.9</v>
      </c>
    </row>
    <row r="127" spans="1:20">
      <c r="A127" s="22">
        <v>1967</v>
      </c>
      <c r="B127" s="16"/>
      <c r="C127" s="16"/>
      <c r="D127" s="16"/>
      <c r="E127" s="16">
        <v>9795</v>
      </c>
      <c r="F127" s="16"/>
      <c r="G127" s="16"/>
      <c r="H127" s="16">
        <v>3441.54</v>
      </c>
      <c r="I127" s="16"/>
      <c r="J127" s="16"/>
      <c r="K127" s="16"/>
      <c r="L127" s="16">
        <v>1145</v>
      </c>
      <c r="M127" s="16"/>
      <c r="N127" s="16">
        <v>24.150000000000002</v>
      </c>
      <c r="O127" s="16"/>
      <c r="P127" s="16"/>
      <c r="Q127" s="16"/>
      <c r="R127" s="16"/>
      <c r="S127" s="16">
        <v>14405.69</v>
      </c>
    </row>
    <row r="128" spans="1:20">
      <c r="A128" s="22">
        <v>1968</v>
      </c>
      <c r="B128" s="16"/>
      <c r="C128" s="16"/>
      <c r="D128" s="16"/>
      <c r="E128" s="16">
        <v>1981</v>
      </c>
      <c r="F128" s="16">
        <v>294</v>
      </c>
      <c r="G128" s="16"/>
      <c r="H128" s="16">
        <v>5998.1600000000008</v>
      </c>
      <c r="I128" s="16"/>
      <c r="J128" s="16"/>
      <c r="K128" s="16"/>
      <c r="L128" s="16">
        <v>255.8</v>
      </c>
      <c r="M128" s="16">
        <v>129.6</v>
      </c>
      <c r="N128" s="16">
        <v>16.920000000000002</v>
      </c>
      <c r="O128" s="16"/>
      <c r="P128" s="16"/>
      <c r="Q128" s="16"/>
      <c r="R128" s="16"/>
      <c r="S128" s="16">
        <v>8675.48</v>
      </c>
    </row>
    <row r="129" spans="1:19">
      <c r="A129" s="22">
        <v>1969</v>
      </c>
      <c r="B129" s="16"/>
      <c r="C129" s="16"/>
      <c r="D129" s="16"/>
      <c r="E129" s="16">
        <v>19079</v>
      </c>
      <c r="F129" s="16">
        <v>328</v>
      </c>
      <c r="G129" s="16"/>
      <c r="H129" s="16">
        <v>7788.2100000000009</v>
      </c>
      <c r="I129" s="16"/>
      <c r="J129" s="16">
        <v>258</v>
      </c>
      <c r="K129" s="16"/>
      <c r="L129" s="16">
        <v>419.39</v>
      </c>
      <c r="M129" s="16">
        <v>69.12</v>
      </c>
      <c r="N129" s="16">
        <v>29.520000000000003</v>
      </c>
      <c r="O129" s="16"/>
      <c r="P129" s="16"/>
      <c r="Q129" s="16"/>
      <c r="R129" s="16"/>
      <c r="S129" s="16">
        <v>27971.239999999998</v>
      </c>
    </row>
    <row r="130" spans="1:19">
      <c r="A130" s="22">
        <v>1970</v>
      </c>
      <c r="B130" s="16">
        <v>431.5</v>
      </c>
      <c r="C130" s="16">
        <v>794.28</v>
      </c>
      <c r="D130" s="16"/>
      <c r="E130" s="16">
        <v>17452</v>
      </c>
      <c r="F130" s="16">
        <v>442</v>
      </c>
      <c r="G130" s="16"/>
      <c r="H130" s="16">
        <v>3126.85</v>
      </c>
      <c r="I130" s="16"/>
      <c r="J130" s="16"/>
      <c r="K130" s="16"/>
      <c r="L130" s="16"/>
      <c r="M130" s="16"/>
      <c r="N130" s="16">
        <v>16.100000000000001</v>
      </c>
      <c r="O130" s="16"/>
      <c r="P130" s="16"/>
      <c r="Q130" s="16"/>
      <c r="R130" s="16"/>
      <c r="S130" s="16">
        <v>22262.729999999996</v>
      </c>
    </row>
    <row r="131" spans="1:19">
      <c r="A131" s="22">
        <v>1971</v>
      </c>
      <c r="B131" s="16">
        <v>21</v>
      </c>
      <c r="C131" s="16">
        <v>1406.0900000000001</v>
      </c>
      <c r="D131" s="16"/>
      <c r="E131" s="16">
        <v>13771</v>
      </c>
      <c r="F131" s="16"/>
      <c r="G131" s="16"/>
      <c r="H131" s="16">
        <v>8476.619999999999</v>
      </c>
      <c r="I131" s="16"/>
      <c r="J131" s="16">
        <v>1645</v>
      </c>
      <c r="K131" s="16"/>
      <c r="L131" s="16"/>
      <c r="M131" s="16"/>
      <c r="N131" s="16">
        <v>27.44</v>
      </c>
      <c r="O131" s="16"/>
      <c r="P131" s="16"/>
      <c r="Q131" s="16"/>
      <c r="R131" s="16"/>
      <c r="S131" s="16">
        <v>25347.149999999998</v>
      </c>
    </row>
    <row r="132" spans="1:19">
      <c r="A132" s="22">
        <v>1972</v>
      </c>
      <c r="B132" s="16">
        <v>23919.930000000004</v>
      </c>
      <c r="C132" s="16">
        <v>912.33</v>
      </c>
      <c r="D132" s="16">
        <v>1856.72</v>
      </c>
      <c r="E132" s="16">
        <v>9758</v>
      </c>
      <c r="F132" s="16">
        <v>2973.83</v>
      </c>
      <c r="G132" s="16"/>
      <c r="H132" s="16"/>
      <c r="I132" s="16"/>
      <c r="J132" s="16">
        <v>8528</v>
      </c>
      <c r="K132" s="16"/>
      <c r="L132" s="16">
        <v>2485</v>
      </c>
      <c r="M132" s="16">
        <v>80.47999999999999</v>
      </c>
      <c r="N132" s="16">
        <v>27.05</v>
      </c>
      <c r="O132" s="16"/>
      <c r="P132" s="16"/>
      <c r="Q132" s="16"/>
      <c r="R132" s="16"/>
      <c r="S132" s="16">
        <v>50541.340000000018</v>
      </c>
    </row>
    <row r="133" spans="1:19">
      <c r="A133" s="22">
        <v>1973</v>
      </c>
      <c r="B133" s="16">
        <v>2359.34</v>
      </c>
      <c r="C133" s="16">
        <v>934.95999999999992</v>
      </c>
      <c r="D133" s="16">
        <v>3494.27</v>
      </c>
      <c r="E133" s="16">
        <v>16479</v>
      </c>
      <c r="F133" s="16">
        <v>2337.62</v>
      </c>
      <c r="G133" s="16"/>
      <c r="H133" s="16">
        <v>1435.6599999999999</v>
      </c>
      <c r="I133" s="16"/>
      <c r="J133" s="16"/>
      <c r="K133" s="16"/>
      <c r="L133" s="16"/>
      <c r="M133" s="16">
        <v>121.7</v>
      </c>
      <c r="N133" s="16">
        <v>77.649999999999991</v>
      </c>
      <c r="O133" s="16">
        <v>66.67</v>
      </c>
      <c r="P133" s="16"/>
      <c r="Q133" s="16"/>
      <c r="R133" s="16"/>
      <c r="S133" s="16">
        <v>27306.87</v>
      </c>
    </row>
    <row r="134" spans="1:19">
      <c r="A134" s="22">
        <v>1974</v>
      </c>
      <c r="B134" s="16">
        <v>1636.92</v>
      </c>
      <c r="C134" s="16">
        <v>1731.5900000000001</v>
      </c>
      <c r="D134" s="16"/>
      <c r="E134" s="16">
        <v>16441</v>
      </c>
      <c r="F134" s="16">
        <v>5744.08</v>
      </c>
      <c r="G134" s="16">
        <v>3445.14</v>
      </c>
      <c r="H134" s="16">
        <v>5148.2700000000004</v>
      </c>
      <c r="I134" s="16"/>
      <c r="J134" s="16"/>
      <c r="K134" s="16"/>
      <c r="L134" s="16">
        <v>9.83</v>
      </c>
      <c r="M134" s="16"/>
      <c r="N134" s="16">
        <v>130.69</v>
      </c>
      <c r="O134" s="16"/>
      <c r="P134" s="16">
        <v>60</v>
      </c>
      <c r="Q134" s="16"/>
      <c r="R134" s="16"/>
      <c r="S134" s="16">
        <v>34347.520000000004</v>
      </c>
    </row>
    <row r="135" spans="1:19">
      <c r="A135" s="22">
        <v>1975</v>
      </c>
      <c r="B135" s="16"/>
      <c r="C135" s="16">
        <v>1870.55</v>
      </c>
      <c r="D135" s="16"/>
      <c r="E135" s="16">
        <v>15075</v>
      </c>
      <c r="F135" s="16">
        <v>1331</v>
      </c>
      <c r="G135" s="16"/>
      <c r="H135" s="16">
        <v>8485.5</v>
      </c>
      <c r="I135" s="16"/>
      <c r="J135" s="16"/>
      <c r="K135" s="16">
        <v>1380.06</v>
      </c>
      <c r="L135" s="16"/>
      <c r="M135" s="16">
        <v>212.79</v>
      </c>
      <c r="N135" s="16">
        <v>166.22</v>
      </c>
      <c r="O135" s="16">
        <v>196.68</v>
      </c>
      <c r="P135" s="16"/>
      <c r="Q135" s="16"/>
      <c r="R135" s="16"/>
      <c r="S135" s="16">
        <v>28717.800000000003</v>
      </c>
    </row>
    <row r="136" spans="1:19">
      <c r="A136" s="22">
        <v>1976</v>
      </c>
      <c r="B136" s="16"/>
      <c r="C136" s="16">
        <v>1378.8899999999999</v>
      </c>
      <c r="D136" s="16"/>
      <c r="E136" s="16">
        <v>11545.89</v>
      </c>
      <c r="F136" s="16"/>
      <c r="G136" s="16"/>
      <c r="H136" s="16">
        <v>1399.68</v>
      </c>
      <c r="I136" s="16"/>
      <c r="J136" s="16"/>
      <c r="K136" s="16"/>
      <c r="L136" s="16"/>
      <c r="M136" s="16">
        <v>67.400000000000006</v>
      </c>
      <c r="N136" s="16">
        <v>169.94</v>
      </c>
      <c r="O136" s="16">
        <v>567.41</v>
      </c>
      <c r="P136" s="16"/>
      <c r="Q136" s="16"/>
      <c r="R136" s="16"/>
      <c r="S136" s="16">
        <v>15129.21</v>
      </c>
    </row>
    <row r="137" spans="1:19">
      <c r="A137" s="22">
        <v>1977</v>
      </c>
      <c r="B137" s="16">
        <v>29</v>
      </c>
      <c r="C137" s="16">
        <v>281.83</v>
      </c>
      <c r="D137" s="16"/>
      <c r="E137" s="16">
        <v>6966</v>
      </c>
      <c r="F137" s="16">
        <v>1595</v>
      </c>
      <c r="G137" s="16"/>
      <c r="H137" s="16"/>
      <c r="I137" s="16"/>
      <c r="J137" s="16"/>
      <c r="K137" s="16"/>
      <c r="L137" s="16"/>
      <c r="M137" s="16"/>
      <c r="N137" s="16"/>
      <c r="O137" s="16"/>
      <c r="P137" s="16"/>
      <c r="Q137" s="16"/>
      <c r="R137" s="16"/>
      <c r="S137" s="16">
        <v>8871.83</v>
      </c>
    </row>
    <row r="138" spans="1:19">
      <c r="A138" s="22">
        <v>1978</v>
      </c>
      <c r="B138" s="16"/>
      <c r="C138" s="16"/>
      <c r="D138" s="16"/>
      <c r="E138" s="16">
        <v>1722</v>
      </c>
      <c r="F138" s="16">
        <v>30</v>
      </c>
      <c r="G138" s="16">
        <v>12.41</v>
      </c>
      <c r="H138" s="16"/>
      <c r="I138" s="16"/>
      <c r="J138" s="16"/>
      <c r="K138" s="16"/>
      <c r="L138" s="16"/>
      <c r="M138" s="16">
        <v>130.44</v>
      </c>
      <c r="N138" s="16">
        <v>52.650000000000006</v>
      </c>
      <c r="O138" s="16"/>
      <c r="P138" s="16"/>
      <c r="Q138" s="16"/>
      <c r="R138" s="16"/>
      <c r="S138" s="16">
        <v>1947.5000000000002</v>
      </c>
    </row>
    <row r="139" spans="1:19">
      <c r="A139" s="22">
        <v>1979</v>
      </c>
      <c r="B139" s="16"/>
      <c r="C139" s="16">
        <v>746.3</v>
      </c>
      <c r="D139" s="16"/>
      <c r="E139" s="16">
        <v>9619</v>
      </c>
      <c r="F139" s="16">
        <v>849</v>
      </c>
      <c r="G139" s="16">
        <v>19.440000000000001</v>
      </c>
      <c r="H139" s="16"/>
      <c r="I139" s="16"/>
      <c r="J139" s="16"/>
      <c r="K139" s="16"/>
      <c r="L139" s="16"/>
      <c r="M139" s="16"/>
      <c r="N139" s="16">
        <v>113.84</v>
      </c>
      <c r="O139" s="16"/>
      <c r="P139" s="16"/>
      <c r="Q139" s="16"/>
      <c r="R139" s="16"/>
      <c r="S139" s="16">
        <v>11347.58</v>
      </c>
    </row>
    <row r="140" spans="1:19">
      <c r="A140" s="22">
        <v>1980</v>
      </c>
      <c r="B140" s="16"/>
      <c r="C140" s="16">
        <v>573.41000000000008</v>
      </c>
      <c r="D140" s="16"/>
      <c r="E140" s="16">
        <v>7144</v>
      </c>
      <c r="F140" s="16"/>
      <c r="G140" s="16"/>
      <c r="H140" s="16"/>
      <c r="I140" s="16">
        <v>58.32</v>
      </c>
      <c r="J140" s="16"/>
      <c r="K140" s="16"/>
      <c r="L140" s="16"/>
      <c r="M140" s="16">
        <v>69.959999999999994</v>
      </c>
      <c r="N140" s="16"/>
      <c r="O140" s="16"/>
      <c r="P140" s="16"/>
      <c r="Q140" s="16"/>
      <c r="R140" s="16"/>
      <c r="S140" s="16">
        <v>7845.69</v>
      </c>
    </row>
    <row r="141" spans="1:19">
      <c r="A141" s="22">
        <v>1981</v>
      </c>
      <c r="B141" s="16"/>
      <c r="C141" s="16">
        <v>656.5</v>
      </c>
      <c r="D141" s="16"/>
      <c r="E141" s="16">
        <v>13406</v>
      </c>
      <c r="F141" s="16"/>
      <c r="G141" s="16">
        <v>291.45</v>
      </c>
      <c r="H141" s="16"/>
      <c r="I141" s="16"/>
      <c r="J141" s="16"/>
      <c r="K141" s="16"/>
      <c r="L141" s="16"/>
      <c r="M141" s="16">
        <v>91.62</v>
      </c>
      <c r="N141" s="16"/>
      <c r="O141" s="16"/>
      <c r="P141" s="16"/>
      <c r="Q141" s="16"/>
      <c r="R141" s="16"/>
      <c r="S141" s="16">
        <v>14445.570000000002</v>
      </c>
    </row>
    <row r="142" spans="1:19">
      <c r="A142" s="22">
        <v>1982</v>
      </c>
      <c r="B142" s="16"/>
      <c r="C142" s="16">
        <v>1382.37</v>
      </c>
      <c r="D142" s="16"/>
      <c r="E142" s="16">
        <v>2496</v>
      </c>
      <c r="F142" s="16">
        <v>1680.44</v>
      </c>
      <c r="G142" s="16"/>
      <c r="H142" s="16">
        <v>1586.3</v>
      </c>
      <c r="I142" s="16"/>
      <c r="J142" s="16">
        <v>3346.54</v>
      </c>
      <c r="K142" s="16"/>
      <c r="L142" s="16"/>
      <c r="M142" s="16">
        <v>70.56</v>
      </c>
      <c r="N142" s="16"/>
      <c r="O142" s="16">
        <v>65.56</v>
      </c>
      <c r="P142" s="16"/>
      <c r="Q142" s="16"/>
      <c r="R142" s="16"/>
      <c r="S142" s="16">
        <v>10627.769999999999</v>
      </c>
    </row>
    <row r="143" spans="1:19">
      <c r="A143" s="22">
        <v>1983</v>
      </c>
      <c r="B143" s="16"/>
      <c r="C143" s="16">
        <v>978.98</v>
      </c>
      <c r="D143" s="16">
        <v>443.43</v>
      </c>
      <c r="E143" s="16">
        <v>13382</v>
      </c>
      <c r="F143" s="16"/>
      <c r="G143" s="16"/>
      <c r="H143" s="16">
        <v>1309</v>
      </c>
      <c r="I143" s="16"/>
      <c r="J143" s="16"/>
      <c r="K143" s="16">
        <v>2042.8</v>
      </c>
      <c r="L143" s="16">
        <v>28943.529999999995</v>
      </c>
      <c r="M143" s="16">
        <v>281.76</v>
      </c>
      <c r="N143" s="16"/>
      <c r="O143" s="16"/>
      <c r="P143" s="16"/>
      <c r="Q143" s="16"/>
      <c r="R143" s="16"/>
      <c r="S143" s="16">
        <v>47381.499999999993</v>
      </c>
    </row>
    <row r="144" spans="1:19">
      <c r="A144" s="22">
        <v>1984</v>
      </c>
      <c r="B144" s="16">
        <v>869.73</v>
      </c>
      <c r="C144" s="16">
        <v>629.21</v>
      </c>
      <c r="D144" s="16">
        <v>1727.69</v>
      </c>
      <c r="E144" s="16">
        <v>1835</v>
      </c>
      <c r="F144" s="16"/>
      <c r="G144" s="16"/>
      <c r="H144" s="16"/>
      <c r="I144" s="16">
        <v>421.71000000000004</v>
      </c>
      <c r="J144" s="16"/>
      <c r="K144" s="16"/>
      <c r="L144" s="16"/>
      <c r="M144" s="16">
        <v>2294.48</v>
      </c>
      <c r="N144" s="16">
        <v>6.18</v>
      </c>
      <c r="O144" s="16"/>
      <c r="P144" s="16"/>
      <c r="Q144" s="16"/>
      <c r="R144" s="16"/>
      <c r="S144" s="16">
        <v>7784</v>
      </c>
    </row>
    <row r="145" spans="1:19">
      <c r="A145" s="22">
        <v>1985</v>
      </c>
      <c r="B145" s="16">
        <v>2042.0500000000002</v>
      </c>
      <c r="C145" s="16">
        <v>707.82999999999993</v>
      </c>
      <c r="D145" s="16">
        <v>80.78</v>
      </c>
      <c r="E145" s="16">
        <v>4492</v>
      </c>
      <c r="F145" s="16">
        <v>12.96</v>
      </c>
      <c r="G145" s="16"/>
      <c r="H145" s="16">
        <v>2404.3200000000002</v>
      </c>
      <c r="I145" s="16">
        <v>247.05</v>
      </c>
      <c r="J145" s="16"/>
      <c r="K145" s="16"/>
      <c r="L145" s="16"/>
      <c r="M145" s="16">
        <v>40.599999999999994</v>
      </c>
      <c r="N145" s="16">
        <v>64.650000000000006</v>
      </c>
      <c r="O145" s="16"/>
      <c r="P145" s="16"/>
      <c r="Q145" s="16"/>
      <c r="R145" s="16"/>
      <c r="S145" s="16">
        <v>10092.24</v>
      </c>
    </row>
    <row r="146" spans="1:19">
      <c r="A146" s="22">
        <v>1986</v>
      </c>
      <c r="B146" s="16"/>
      <c r="C146" s="16"/>
      <c r="D146" s="16"/>
      <c r="E146" s="16">
        <v>1407</v>
      </c>
      <c r="F146" s="16"/>
      <c r="G146" s="16"/>
      <c r="H146" s="16">
        <v>1912.52</v>
      </c>
      <c r="I146" s="16"/>
      <c r="J146" s="16">
        <v>3.16</v>
      </c>
      <c r="K146" s="16"/>
      <c r="L146" s="16">
        <v>835.6</v>
      </c>
      <c r="M146" s="16">
        <v>64</v>
      </c>
      <c r="N146" s="16">
        <v>54.929999999999993</v>
      </c>
      <c r="O146" s="16">
        <v>92.81</v>
      </c>
      <c r="P146" s="16"/>
      <c r="Q146" s="16"/>
      <c r="R146" s="16"/>
      <c r="S146" s="16">
        <v>4370.0200000000004</v>
      </c>
    </row>
    <row r="147" spans="1:19">
      <c r="A147" s="22">
        <v>1987</v>
      </c>
      <c r="B147" s="16">
        <v>512.95000000000005</v>
      </c>
      <c r="C147" s="16">
        <v>451.2</v>
      </c>
      <c r="D147" s="16">
        <v>625</v>
      </c>
      <c r="E147" s="16">
        <v>1916</v>
      </c>
      <c r="F147" s="16"/>
      <c r="G147" s="16"/>
      <c r="H147" s="16">
        <v>1289.1600000000001</v>
      </c>
      <c r="I147" s="16"/>
      <c r="J147" s="16"/>
      <c r="K147" s="16">
        <v>9086.7900000000009</v>
      </c>
      <c r="L147" s="16"/>
      <c r="M147" s="16">
        <v>63.6</v>
      </c>
      <c r="N147" s="16">
        <v>22.45</v>
      </c>
      <c r="O147" s="16"/>
      <c r="P147" s="16"/>
      <c r="Q147" s="16"/>
      <c r="R147" s="16"/>
      <c r="S147" s="16">
        <v>13967.150000000003</v>
      </c>
    </row>
    <row r="148" spans="1:19">
      <c r="A148" s="22">
        <v>1988</v>
      </c>
      <c r="B148" s="16"/>
      <c r="C148" s="16">
        <v>107.04</v>
      </c>
      <c r="D148" s="16">
        <v>4210.04</v>
      </c>
      <c r="E148" s="16">
        <v>1105</v>
      </c>
      <c r="F148" s="16">
        <v>159</v>
      </c>
      <c r="G148" s="16"/>
      <c r="H148" s="16">
        <v>3308.8199999999997</v>
      </c>
      <c r="I148" s="16"/>
      <c r="J148" s="16"/>
      <c r="K148" s="16"/>
      <c r="L148" s="16"/>
      <c r="M148" s="16">
        <v>32</v>
      </c>
      <c r="N148" s="16">
        <v>43.35</v>
      </c>
      <c r="O148" s="16"/>
      <c r="P148" s="16"/>
      <c r="Q148" s="16"/>
      <c r="R148" s="16"/>
      <c r="S148" s="16">
        <v>8965.25</v>
      </c>
    </row>
    <row r="149" spans="1:19">
      <c r="A149" s="22">
        <v>1989</v>
      </c>
      <c r="B149" s="16"/>
      <c r="C149" s="16">
        <v>233.53</v>
      </c>
      <c r="D149" s="16">
        <v>1826.18</v>
      </c>
      <c r="E149" s="16">
        <v>776</v>
      </c>
      <c r="F149" s="16"/>
      <c r="G149" s="16">
        <v>1052</v>
      </c>
      <c r="H149" s="16"/>
      <c r="I149" s="16">
        <v>329.4</v>
      </c>
      <c r="J149" s="16"/>
      <c r="K149" s="16"/>
      <c r="L149" s="16"/>
      <c r="M149" s="16">
        <v>200.24</v>
      </c>
      <c r="N149" s="16"/>
      <c r="O149" s="16"/>
      <c r="P149" s="16"/>
      <c r="Q149" s="16"/>
      <c r="R149" s="16"/>
      <c r="S149" s="16">
        <v>4417.3499999999995</v>
      </c>
    </row>
    <row r="150" spans="1:19">
      <c r="A150" s="22">
        <v>1990</v>
      </c>
      <c r="B150" s="16"/>
      <c r="C150" s="16">
        <v>521.48</v>
      </c>
      <c r="D150" s="16">
        <v>3337.2299999999996</v>
      </c>
      <c r="E150" s="16">
        <v>1171</v>
      </c>
      <c r="F150" s="16"/>
      <c r="G150" s="16">
        <v>3245.19</v>
      </c>
      <c r="H150" s="16"/>
      <c r="I150" s="16">
        <v>72</v>
      </c>
      <c r="J150" s="16"/>
      <c r="K150" s="16"/>
      <c r="L150" s="16"/>
      <c r="M150" s="16">
        <v>55.98</v>
      </c>
      <c r="N150" s="16"/>
      <c r="O150" s="16"/>
      <c r="P150" s="16"/>
      <c r="Q150" s="16"/>
      <c r="R150" s="16"/>
      <c r="S150" s="16">
        <v>8402.8799999999992</v>
      </c>
    </row>
    <row r="151" spans="1:19">
      <c r="A151" s="22">
        <v>1991</v>
      </c>
      <c r="B151" s="16"/>
      <c r="C151" s="16"/>
      <c r="D151" s="16">
        <v>4179.09</v>
      </c>
      <c r="E151" s="16">
        <v>1367</v>
      </c>
      <c r="F151" s="16"/>
      <c r="G151" s="16"/>
      <c r="H151" s="16"/>
      <c r="I151" s="16">
        <v>1746</v>
      </c>
      <c r="J151" s="16"/>
      <c r="K151" s="16">
        <v>8068.67</v>
      </c>
      <c r="L151" s="16">
        <v>215.78</v>
      </c>
      <c r="M151" s="16">
        <v>9</v>
      </c>
      <c r="N151" s="16">
        <v>124.16000000000001</v>
      </c>
      <c r="O151" s="16">
        <v>287.33</v>
      </c>
      <c r="P151" s="16">
        <v>4.57</v>
      </c>
      <c r="Q151" s="16"/>
      <c r="R151" s="16"/>
      <c r="S151" s="16">
        <v>16001.6</v>
      </c>
    </row>
    <row r="152" spans="1:19">
      <c r="A152" s="22">
        <v>1992</v>
      </c>
      <c r="B152" s="16"/>
      <c r="C152" s="16">
        <v>247</v>
      </c>
      <c r="D152" s="16">
        <v>4755</v>
      </c>
      <c r="E152" s="16">
        <v>445</v>
      </c>
      <c r="F152" s="16"/>
      <c r="G152" s="16"/>
      <c r="H152" s="16"/>
      <c r="I152" s="16"/>
      <c r="J152" s="16">
        <v>1115.58</v>
      </c>
      <c r="K152" s="16"/>
      <c r="L152" s="16"/>
      <c r="M152" s="16">
        <v>43.9</v>
      </c>
      <c r="N152" s="16">
        <v>78.7</v>
      </c>
      <c r="O152" s="16"/>
      <c r="P152" s="16"/>
      <c r="Q152" s="16"/>
      <c r="R152" s="16"/>
      <c r="S152" s="16">
        <v>6685.1799999999994</v>
      </c>
    </row>
    <row r="153" spans="1:19">
      <c r="A153" s="22">
        <v>1993</v>
      </c>
      <c r="B153" s="16"/>
      <c r="C153" s="16"/>
      <c r="D153" s="16"/>
      <c r="E153" s="16">
        <v>459</v>
      </c>
      <c r="F153" s="16"/>
      <c r="G153" s="16"/>
      <c r="H153" s="16">
        <v>454.08</v>
      </c>
      <c r="I153" s="16"/>
      <c r="J153" s="16"/>
      <c r="K153" s="16">
        <v>246.4</v>
      </c>
      <c r="L153" s="16"/>
      <c r="M153" s="16"/>
      <c r="N153" s="16"/>
      <c r="O153" s="16"/>
      <c r="P153" s="16"/>
      <c r="Q153" s="16"/>
      <c r="R153" s="16"/>
      <c r="S153" s="16">
        <v>1159.48</v>
      </c>
    </row>
    <row r="154" spans="1:19">
      <c r="A154" s="22">
        <v>1994</v>
      </c>
      <c r="B154" s="16">
        <v>3139.92</v>
      </c>
      <c r="C154" s="16"/>
      <c r="D154" s="16"/>
      <c r="E154" s="16"/>
      <c r="F154" s="16"/>
      <c r="G154" s="16">
        <v>735.91</v>
      </c>
      <c r="H154" s="16"/>
      <c r="I154" s="16"/>
      <c r="J154" s="16"/>
      <c r="K154" s="16"/>
      <c r="L154" s="16"/>
      <c r="M154" s="16"/>
      <c r="N154" s="16">
        <v>5.7</v>
      </c>
      <c r="O154" s="16"/>
      <c r="P154" s="16"/>
      <c r="Q154" s="16"/>
      <c r="R154" s="16"/>
      <c r="S154" s="16">
        <v>3881.5299999999997</v>
      </c>
    </row>
    <row r="155" spans="1:19">
      <c r="A155" s="22">
        <v>1995</v>
      </c>
      <c r="B155" s="16"/>
      <c r="C155" s="16"/>
      <c r="D155" s="16">
        <v>893.42</v>
      </c>
      <c r="E155" s="16"/>
      <c r="F155" s="16"/>
      <c r="G155" s="16"/>
      <c r="H155" s="16">
        <v>5285.7</v>
      </c>
      <c r="I155" s="16"/>
      <c r="J155" s="16"/>
      <c r="K155" s="16">
        <v>2677.69</v>
      </c>
      <c r="L155" s="16"/>
      <c r="M155" s="16"/>
      <c r="N155" s="16"/>
      <c r="O155" s="16"/>
      <c r="P155" s="16"/>
      <c r="Q155" s="16"/>
      <c r="R155" s="16"/>
      <c r="S155" s="16">
        <v>8856.81</v>
      </c>
    </row>
    <row r="156" spans="1:19">
      <c r="A156" s="22">
        <v>1996</v>
      </c>
      <c r="B156" s="16"/>
      <c r="C156" s="16">
        <v>229.29</v>
      </c>
      <c r="D156" s="16"/>
      <c r="E156" s="16"/>
      <c r="F156" s="16"/>
      <c r="G156" s="16">
        <v>998.2</v>
      </c>
      <c r="H156" s="16">
        <v>4380.43</v>
      </c>
      <c r="I156" s="16"/>
      <c r="J156" s="16">
        <v>102.2</v>
      </c>
      <c r="K156" s="16">
        <v>394.9</v>
      </c>
      <c r="L156" s="16"/>
      <c r="M156" s="16"/>
      <c r="N156" s="16">
        <v>54.37</v>
      </c>
      <c r="O156" s="16"/>
      <c r="P156" s="16"/>
      <c r="Q156" s="16"/>
      <c r="R156" s="16"/>
      <c r="S156" s="16">
        <v>6159.3899999999994</v>
      </c>
    </row>
    <row r="157" spans="1:19">
      <c r="A157" s="22">
        <v>1997</v>
      </c>
      <c r="B157" s="16"/>
      <c r="C157" s="16"/>
      <c r="D157" s="16"/>
      <c r="E157" s="16">
        <v>2205</v>
      </c>
      <c r="F157" s="16"/>
      <c r="G157" s="16"/>
      <c r="H157" s="16">
        <v>8486.23</v>
      </c>
      <c r="I157" s="16"/>
      <c r="J157" s="16"/>
      <c r="K157" s="16">
        <v>8536.4599999999991</v>
      </c>
      <c r="L157" s="16">
        <v>661</v>
      </c>
      <c r="M157" s="16">
        <v>19.62</v>
      </c>
      <c r="N157" s="16">
        <v>37.71</v>
      </c>
      <c r="O157" s="16"/>
      <c r="P157" s="16"/>
      <c r="Q157" s="16"/>
      <c r="R157" s="16"/>
      <c r="S157" s="16">
        <v>19946.019999999997</v>
      </c>
    </row>
    <row r="158" spans="1:19">
      <c r="A158" s="22">
        <v>1998</v>
      </c>
      <c r="B158" s="16"/>
      <c r="C158" s="16"/>
      <c r="D158" s="16">
        <v>12634.2</v>
      </c>
      <c r="E158" s="16"/>
      <c r="F158" s="16">
        <v>64.08</v>
      </c>
      <c r="G158" s="16"/>
      <c r="H158" s="16">
        <v>10019.279999999999</v>
      </c>
      <c r="I158" s="16"/>
      <c r="J158" s="16"/>
      <c r="K158" s="16"/>
      <c r="L158" s="16"/>
      <c r="M158" s="16"/>
      <c r="N158" s="16">
        <v>33.93</v>
      </c>
      <c r="O158" s="16"/>
      <c r="P158" s="16"/>
      <c r="Q158" s="16"/>
      <c r="R158" s="16"/>
      <c r="S158" s="16">
        <v>22751.489999999998</v>
      </c>
    </row>
    <row r="159" spans="1:19">
      <c r="A159" s="22">
        <v>1999</v>
      </c>
      <c r="B159" s="16">
        <v>88.72</v>
      </c>
      <c r="C159" s="16"/>
      <c r="D159" s="16"/>
      <c r="E159" s="16">
        <v>1608.53</v>
      </c>
      <c r="F159" s="16"/>
      <c r="G159" s="16">
        <v>1190.1300000000001</v>
      </c>
      <c r="H159" s="16">
        <v>3238.88</v>
      </c>
      <c r="I159" s="16">
        <v>467.47</v>
      </c>
      <c r="J159" s="16"/>
      <c r="K159" s="16">
        <v>2408.87</v>
      </c>
      <c r="L159" s="16"/>
      <c r="M159" s="16">
        <v>104.09</v>
      </c>
      <c r="N159" s="16">
        <v>119.04</v>
      </c>
      <c r="O159" s="16">
        <v>57.51</v>
      </c>
      <c r="P159" s="16"/>
      <c r="Q159" s="16"/>
      <c r="R159" s="16"/>
      <c r="S159" s="16">
        <v>9283.2400000000016</v>
      </c>
    </row>
    <row r="160" spans="1:19">
      <c r="A160" s="22">
        <v>2000</v>
      </c>
      <c r="B160" s="16"/>
      <c r="C160" s="16">
        <v>360.57</v>
      </c>
      <c r="D160" s="16">
        <v>1157.53</v>
      </c>
      <c r="E160" s="16">
        <v>1063.49</v>
      </c>
      <c r="F160" s="16"/>
      <c r="G160" s="16"/>
      <c r="H160" s="16">
        <v>4181.01</v>
      </c>
      <c r="I160" s="16"/>
      <c r="J160" s="16"/>
      <c r="K160" s="16">
        <v>3024.11</v>
      </c>
      <c r="L160" s="16">
        <v>1654.32</v>
      </c>
      <c r="M160" s="16">
        <v>37.5</v>
      </c>
      <c r="N160" s="16">
        <v>40.200000000000003</v>
      </c>
      <c r="O160" s="16"/>
      <c r="P160" s="16"/>
      <c r="Q160" s="16"/>
      <c r="R160" s="16"/>
      <c r="S160" s="16">
        <v>11518.730000000001</v>
      </c>
    </row>
    <row r="161" spans="1:19">
      <c r="A161" s="22">
        <v>2001</v>
      </c>
      <c r="B161" s="16">
        <v>422.54999999999995</v>
      </c>
      <c r="C161" s="16"/>
      <c r="D161" s="16">
        <v>9301.92</v>
      </c>
      <c r="E161" s="16"/>
      <c r="F161" s="16">
        <v>173.67</v>
      </c>
      <c r="G161" s="16">
        <v>2556.71</v>
      </c>
      <c r="H161" s="16"/>
      <c r="I161" s="16"/>
      <c r="J161" s="16"/>
      <c r="K161" s="16"/>
      <c r="L161" s="16">
        <v>133</v>
      </c>
      <c r="M161" s="16"/>
      <c r="N161" s="16">
        <v>14.72</v>
      </c>
      <c r="O161" s="16"/>
      <c r="P161" s="16"/>
      <c r="Q161" s="16"/>
      <c r="R161" s="16"/>
      <c r="S161" s="16">
        <v>12602.569999999998</v>
      </c>
    </row>
    <row r="162" spans="1:19">
      <c r="A162" s="22">
        <v>2002</v>
      </c>
      <c r="B162" s="16"/>
      <c r="C162" s="16"/>
      <c r="D162" s="16"/>
      <c r="E162" s="16">
        <v>137</v>
      </c>
      <c r="F162" s="16">
        <v>80</v>
      </c>
      <c r="G162" s="16"/>
      <c r="H162" s="16">
        <v>2323.7600000000002</v>
      </c>
      <c r="I162" s="16"/>
      <c r="J162" s="16"/>
      <c r="K162" s="16"/>
      <c r="L162" s="16"/>
      <c r="M162" s="16">
        <v>48.55</v>
      </c>
      <c r="N162" s="16">
        <v>26.62</v>
      </c>
      <c r="O162" s="16"/>
      <c r="P162" s="16"/>
      <c r="Q162" s="16"/>
      <c r="R162" s="16"/>
      <c r="S162" s="16">
        <v>2615.9300000000003</v>
      </c>
    </row>
    <row r="163" spans="1:19">
      <c r="A163" s="22">
        <v>2003</v>
      </c>
      <c r="B163" s="16">
        <v>112.87</v>
      </c>
      <c r="C163" s="16"/>
      <c r="D163" s="16"/>
      <c r="E163" s="16">
        <v>422</v>
      </c>
      <c r="F163" s="16"/>
      <c r="G163" s="16"/>
      <c r="H163" s="16"/>
      <c r="I163" s="16">
        <v>225.89</v>
      </c>
      <c r="J163" s="16"/>
      <c r="K163" s="16"/>
      <c r="L163" s="16"/>
      <c r="M163" s="16">
        <v>5.8</v>
      </c>
      <c r="N163" s="16">
        <v>20.14</v>
      </c>
      <c r="O163" s="16"/>
      <c r="P163" s="16"/>
      <c r="Q163" s="16"/>
      <c r="R163" s="16"/>
      <c r="S163" s="16">
        <v>786.69999999999993</v>
      </c>
    </row>
    <row r="164" spans="1:19">
      <c r="A164" s="22">
        <v>2004</v>
      </c>
      <c r="B164" s="16">
        <v>13</v>
      </c>
      <c r="C164" s="16"/>
      <c r="D164" s="16">
        <v>3609.5299999999997</v>
      </c>
      <c r="E164" s="16">
        <v>119</v>
      </c>
      <c r="F164" s="16"/>
      <c r="G164" s="16"/>
      <c r="H164" s="16"/>
      <c r="I164" s="16">
        <v>1298.67</v>
      </c>
      <c r="J164" s="16"/>
      <c r="K164" s="16"/>
      <c r="L164" s="16"/>
      <c r="M164" s="16">
        <v>25.01</v>
      </c>
      <c r="N164" s="16">
        <v>23.83</v>
      </c>
      <c r="O164" s="16"/>
      <c r="P164" s="16"/>
      <c r="Q164" s="16"/>
      <c r="R164" s="16"/>
      <c r="S164" s="16">
        <v>5089.04</v>
      </c>
    </row>
    <row r="165" spans="1:19">
      <c r="A165" s="22">
        <v>2005</v>
      </c>
      <c r="B165" s="16">
        <v>45.75</v>
      </c>
      <c r="C165" s="16">
        <v>315.3</v>
      </c>
      <c r="D165" s="16"/>
      <c r="E165" s="16">
        <v>169</v>
      </c>
      <c r="F165" s="16"/>
      <c r="G165" s="16"/>
      <c r="H165" s="16"/>
      <c r="I165" s="16">
        <v>180.52</v>
      </c>
      <c r="J165" s="16"/>
      <c r="K165" s="16"/>
      <c r="L165" s="16">
        <v>2508.16</v>
      </c>
      <c r="M165" s="16">
        <v>49.239999999999995</v>
      </c>
      <c r="N165" s="16">
        <v>88.2</v>
      </c>
      <c r="O165" s="16"/>
      <c r="P165" s="16"/>
      <c r="Q165" s="16"/>
      <c r="R165" s="16"/>
      <c r="S165" s="16">
        <v>3356.1699999999992</v>
      </c>
    </row>
    <row r="166" spans="1:19">
      <c r="A166" s="22">
        <v>2006</v>
      </c>
      <c r="B166" s="16"/>
      <c r="C166" s="16">
        <v>142.01</v>
      </c>
      <c r="D166" s="16"/>
      <c r="E166" s="16">
        <v>1481.74</v>
      </c>
      <c r="F166" s="16"/>
      <c r="G166" s="16"/>
      <c r="H166" s="16">
        <v>7848.2</v>
      </c>
      <c r="I166" s="16"/>
      <c r="J166" s="16"/>
      <c r="K166" s="16"/>
      <c r="L166" s="16">
        <v>915</v>
      </c>
      <c r="M166" s="16"/>
      <c r="N166" s="16">
        <v>91.63</v>
      </c>
      <c r="O166" s="16"/>
      <c r="P166" s="16"/>
      <c r="Q166" s="16"/>
      <c r="R166" s="16"/>
      <c r="S166" s="16">
        <v>10478.58</v>
      </c>
    </row>
    <row r="167" spans="1:19">
      <c r="A167" s="22">
        <v>2007</v>
      </c>
      <c r="B167" s="16">
        <v>54.82</v>
      </c>
      <c r="C167" s="16"/>
      <c r="D167" s="16"/>
      <c r="E167" s="16">
        <v>529</v>
      </c>
      <c r="F167" s="16"/>
      <c r="G167" s="16"/>
      <c r="H167" s="16">
        <v>139.47999999999999</v>
      </c>
      <c r="I167" s="16"/>
      <c r="J167" s="16"/>
      <c r="K167" s="16"/>
      <c r="L167" s="16"/>
      <c r="M167" s="16">
        <v>99.2</v>
      </c>
      <c r="N167" s="16">
        <v>69.5</v>
      </c>
      <c r="O167" s="16">
        <v>347.07</v>
      </c>
      <c r="P167" s="16"/>
      <c r="Q167" s="16"/>
      <c r="R167" s="16"/>
      <c r="S167" s="16">
        <v>1239.0700000000002</v>
      </c>
    </row>
    <row r="168" spans="1:19">
      <c r="A168" s="22">
        <v>2008</v>
      </c>
      <c r="B168" s="16"/>
      <c r="C168" s="16"/>
      <c r="D168" s="16"/>
      <c r="E168" s="16">
        <v>784.64</v>
      </c>
      <c r="F168" s="16"/>
      <c r="G168" s="16"/>
      <c r="H168" s="16"/>
      <c r="I168" s="16"/>
      <c r="J168" s="16"/>
      <c r="K168" s="16">
        <v>1825.16</v>
      </c>
      <c r="L168" s="16">
        <v>92</v>
      </c>
      <c r="M168" s="16">
        <v>101.6</v>
      </c>
      <c r="N168" s="16">
        <v>36.299999999999997</v>
      </c>
      <c r="O168" s="16"/>
      <c r="P168" s="16"/>
      <c r="Q168" s="16"/>
      <c r="R168" s="16"/>
      <c r="S168" s="16">
        <v>2839.7000000000003</v>
      </c>
    </row>
    <row r="169" spans="1:19">
      <c r="A169" s="22">
        <v>2009</v>
      </c>
      <c r="B169" s="16"/>
      <c r="C169" s="16"/>
      <c r="D169" s="16"/>
      <c r="E169" s="16">
        <v>40</v>
      </c>
      <c r="F169" s="16"/>
      <c r="G169" s="16"/>
      <c r="H169" s="16"/>
      <c r="I169" s="16"/>
      <c r="J169" s="16"/>
      <c r="K169" s="16"/>
      <c r="L169" s="16"/>
      <c r="M169" s="16"/>
      <c r="N169" s="16">
        <v>45</v>
      </c>
      <c r="O169" s="16"/>
      <c r="P169" s="16"/>
      <c r="Q169" s="16"/>
      <c r="R169" s="16"/>
      <c r="S169" s="16">
        <v>85</v>
      </c>
    </row>
    <row r="170" spans="1:19">
      <c r="A170" s="22">
        <v>2010</v>
      </c>
      <c r="B170" s="16">
        <v>63</v>
      </c>
      <c r="C170" s="16"/>
      <c r="D170" s="16"/>
      <c r="E170" s="16">
        <v>333.74</v>
      </c>
      <c r="F170" s="16"/>
      <c r="G170" s="16"/>
      <c r="H170" s="16"/>
      <c r="I170" s="16"/>
      <c r="J170" s="16"/>
      <c r="K170" s="16"/>
      <c r="L170" s="16"/>
      <c r="M170" s="16"/>
      <c r="N170" s="16">
        <v>11</v>
      </c>
      <c r="O170" s="16"/>
      <c r="P170" s="16"/>
      <c r="Q170" s="16"/>
      <c r="R170" s="16"/>
      <c r="S170" s="16">
        <v>407.74</v>
      </c>
    </row>
    <row r="171" spans="1:19">
      <c r="A171" s="22">
        <v>2011</v>
      </c>
      <c r="B171" s="16"/>
      <c r="C171" s="16"/>
      <c r="D171" s="16"/>
      <c r="E171" s="16">
        <v>760.59</v>
      </c>
      <c r="F171" s="16"/>
      <c r="G171" s="16"/>
      <c r="H171" s="16"/>
      <c r="I171" s="16"/>
      <c r="J171" s="16"/>
      <c r="K171" s="16"/>
      <c r="L171" s="16">
        <v>186.83</v>
      </c>
      <c r="M171" s="16"/>
      <c r="N171" s="16">
        <v>9.06</v>
      </c>
      <c r="O171" s="16"/>
      <c r="P171" s="16"/>
      <c r="Q171" s="16">
        <v>48.5</v>
      </c>
      <c r="R171" s="16">
        <v>180</v>
      </c>
      <c r="S171" s="16">
        <v>1184.98</v>
      </c>
    </row>
    <row r="172" spans="1:19">
      <c r="A172" s="22">
        <v>2012</v>
      </c>
      <c r="B172" s="16"/>
      <c r="C172" s="16"/>
      <c r="D172" s="16">
        <v>6194.44</v>
      </c>
      <c r="E172" s="16">
        <v>414</v>
      </c>
      <c r="F172" s="16"/>
      <c r="G172" s="16"/>
      <c r="H172" s="16"/>
      <c r="I172" s="16"/>
      <c r="J172" s="16"/>
      <c r="K172" s="16"/>
      <c r="L172" s="16"/>
      <c r="M172" s="16"/>
      <c r="N172" s="16">
        <v>9.8699999999999992</v>
      </c>
      <c r="O172" s="16"/>
      <c r="P172" s="16"/>
      <c r="Q172" s="16"/>
      <c r="R172" s="16"/>
      <c r="S172" s="16">
        <v>6618.3099999999995</v>
      </c>
    </row>
    <row r="173" spans="1:19">
      <c r="A173" s="22">
        <v>2013</v>
      </c>
      <c r="B173" s="16">
        <v>20.48</v>
      </c>
      <c r="C173" s="16"/>
      <c r="D173" s="16"/>
      <c r="E173" s="16">
        <v>410.17</v>
      </c>
      <c r="F173" s="16">
        <v>1873.72</v>
      </c>
      <c r="G173" s="16"/>
      <c r="H173" s="16"/>
      <c r="I173" s="16"/>
      <c r="J173" s="16"/>
      <c r="K173" s="16"/>
      <c r="L173" s="16"/>
      <c r="M173" s="16"/>
      <c r="N173" s="16">
        <v>1.69</v>
      </c>
      <c r="O173" s="16"/>
      <c r="P173" s="16"/>
      <c r="Q173" s="16"/>
      <c r="R173" s="16"/>
      <c r="S173" s="16">
        <v>2306.06</v>
      </c>
    </row>
    <row r="174" spans="1:19">
      <c r="A174" s="22">
        <v>2014</v>
      </c>
      <c r="B174" s="16">
        <v>79.459999999999994</v>
      </c>
      <c r="C174" s="16"/>
      <c r="D174" s="16"/>
      <c r="E174" s="16">
        <v>386</v>
      </c>
      <c r="F174" s="16"/>
      <c r="G174" s="16"/>
      <c r="H174" s="16"/>
      <c r="I174" s="16"/>
      <c r="J174" s="16"/>
      <c r="K174" s="16"/>
      <c r="L174" s="16">
        <v>2793.23</v>
      </c>
      <c r="M174" s="16"/>
      <c r="N174" s="16"/>
      <c r="O174" s="16"/>
      <c r="P174" s="16"/>
      <c r="Q174" s="16"/>
      <c r="R174" s="16"/>
      <c r="S174" s="16">
        <v>3258.69</v>
      </c>
    </row>
    <row r="175" spans="1:19">
      <c r="A175" s="22">
        <v>2015</v>
      </c>
      <c r="B175" s="16">
        <v>53.86</v>
      </c>
      <c r="C175" s="16"/>
      <c r="D175" s="16"/>
      <c r="E175" s="16"/>
      <c r="F175" s="16"/>
      <c r="G175" s="16"/>
      <c r="H175" s="16"/>
      <c r="I175" s="16"/>
      <c r="J175" s="16"/>
      <c r="K175" s="16">
        <v>180</v>
      </c>
      <c r="L175" s="16"/>
      <c r="M175" s="16"/>
      <c r="N175" s="16">
        <v>3.02</v>
      </c>
      <c r="O175" s="16"/>
      <c r="P175" s="16"/>
      <c r="Q175" s="16"/>
      <c r="R175" s="16"/>
      <c r="S175" s="16">
        <v>236.88000000000002</v>
      </c>
    </row>
    <row r="176" spans="1:19">
      <c r="A176" s="22">
        <v>2016</v>
      </c>
      <c r="B176" s="16">
        <v>84.1</v>
      </c>
      <c r="C176" s="16">
        <v>884.1</v>
      </c>
      <c r="D176" s="16">
        <v>83.65</v>
      </c>
      <c r="E176" s="16"/>
      <c r="F176" s="16">
        <v>1096.3</v>
      </c>
      <c r="G176" s="16">
        <v>2795.75</v>
      </c>
      <c r="H176" s="16"/>
      <c r="I176" s="16"/>
      <c r="J176" s="16"/>
      <c r="K176" s="16">
        <v>156</v>
      </c>
      <c r="L176" s="16">
        <v>465.79</v>
      </c>
      <c r="M176" s="16"/>
      <c r="N176" s="16">
        <v>48.6</v>
      </c>
      <c r="O176" s="16"/>
      <c r="P176" s="16"/>
      <c r="Q176" s="16"/>
      <c r="R176" s="16"/>
      <c r="S176" s="16">
        <v>5614.29</v>
      </c>
    </row>
    <row r="177" spans="1:19">
      <c r="A177" s="22">
        <v>2017</v>
      </c>
      <c r="B177" s="16"/>
      <c r="C177" s="16"/>
      <c r="D177" s="16"/>
      <c r="E177" s="16">
        <v>2351</v>
      </c>
      <c r="F177" s="16"/>
      <c r="G177" s="16"/>
      <c r="H177" s="16"/>
      <c r="I177" s="16"/>
      <c r="J177" s="16"/>
      <c r="K177" s="16"/>
      <c r="L177" s="16"/>
      <c r="M177" s="16"/>
      <c r="N177" s="16"/>
      <c r="O177" s="16"/>
      <c r="P177" s="16"/>
      <c r="Q177" s="16"/>
      <c r="R177" s="16"/>
      <c r="S177" s="16">
        <v>2351</v>
      </c>
    </row>
    <row r="178" spans="1:19">
      <c r="A178" s="22" t="s">
        <v>1957</v>
      </c>
      <c r="B178" s="16"/>
      <c r="C178" s="16"/>
      <c r="D178" s="16"/>
      <c r="E178" s="16"/>
      <c r="F178" s="16"/>
      <c r="G178" s="16"/>
      <c r="H178" s="16"/>
      <c r="I178" s="16"/>
      <c r="J178" s="16"/>
      <c r="K178" s="16"/>
      <c r="L178" s="16"/>
      <c r="M178" s="16"/>
      <c r="N178" s="16"/>
      <c r="O178" s="16"/>
      <c r="P178" s="16">
        <v>2.38</v>
      </c>
      <c r="Q178" s="16">
        <v>84.77</v>
      </c>
      <c r="R178" s="16"/>
      <c r="S178" s="16">
        <v>87.149999999999991</v>
      </c>
    </row>
    <row r="179" spans="1:19">
      <c r="A179" s="22" t="s">
        <v>1958</v>
      </c>
      <c r="B179" s="16">
        <v>36000.950000000012</v>
      </c>
      <c r="C179" s="16">
        <v>18476.639999999996</v>
      </c>
      <c r="D179" s="16">
        <v>60410.12</v>
      </c>
      <c r="E179" s="16">
        <v>243586.79</v>
      </c>
      <c r="F179" s="16">
        <v>21064.699999999997</v>
      </c>
      <c r="G179" s="16">
        <v>16725.53</v>
      </c>
      <c r="H179" s="16">
        <v>113867.08999999998</v>
      </c>
      <c r="I179" s="16">
        <v>5047.0300000000007</v>
      </c>
      <c r="J179" s="16">
        <v>15565.480000000001</v>
      </c>
      <c r="K179" s="16">
        <v>40027.910000000003</v>
      </c>
      <c r="L179" s="16">
        <v>46023.539999999994</v>
      </c>
      <c r="M179" s="16">
        <v>4941.82</v>
      </c>
      <c r="N179" s="16">
        <v>2173.8899999999994</v>
      </c>
      <c r="O179" s="16">
        <v>1735.0399999999997</v>
      </c>
      <c r="P179" s="16">
        <v>66.949999999999989</v>
      </c>
      <c r="Q179" s="16">
        <v>133.26999999999998</v>
      </c>
      <c r="R179" s="16">
        <v>180</v>
      </c>
      <c r="S179" s="16">
        <v>626026.75000000012</v>
      </c>
    </row>
  </sheetData>
  <phoneticPr fontId="5"/>
  <pageMargins left="0.70866141732283472" right="0.70866141732283472" top="0.74803149606299213" bottom="0.74803149606299213" header="0.31496062992125984" footer="0.31496062992125984"/>
  <pageSetup paperSize="8" scale="79"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867E-F3C2-4044-AF2B-C0B7CC768384}">
  <sheetPr>
    <tabColor rgb="FFFFC000"/>
    <pageSetUpPr fitToPage="1"/>
  </sheetPr>
  <dimension ref="A1:AK856"/>
  <sheetViews>
    <sheetView zoomScale="85" zoomScaleNormal="85" workbookViewId="0">
      <pane xSplit="5" ySplit="2" topLeftCell="F3" activePane="bottomRight" state="frozen"/>
      <selection pane="topRight"/>
      <selection pane="bottomLeft"/>
      <selection pane="bottomRight"/>
    </sheetView>
    <sheetView tabSelected="1" topLeftCell="A742" workbookViewId="1">
      <selection activeCell="N3" sqref="N3:N742"/>
    </sheetView>
  </sheetViews>
  <sheetFormatPr defaultColWidth="9" defaultRowHeight="12"/>
  <cols>
    <col min="1" max="1" width="7.5" style="4" customWidth="1"/>
    <col min="2" max="2" width="9.375" style="363" customWidth="1"/>
    <col min="3" max="3" width="7.125" style="1" customWidth="1"/>
    <col min="4" max="4" width="7.875" style="1" customWidth="1"/>
    <col min="5" max="5" width="33.75" style="2" bestFit="1" customWidth="1"/>
    <col min="6" max="6" width="24.25" style="2" customWidth="1"/>
    <col min="7" max="7" width="9" style="4" customWidth="1"/>
    <col min="8" max="8" width="16" style="3" customWidth="1"/>
    <col min="9" max="9" width="10.375" style="4" bestFit="1" customWidth="1"/>
    <col min="10" max="10" width="5.75" style="4" bestFit="1" customWidth="1"/>
    <col min="11" max="11" width="7.5" style="783" bestFit="1" customWidth="1"/>
    <col min="12" max="12" width="12" style="784" bestFit="1" customWidth="1"/>
    <col min="13" max="13" width="13" style="785" bestFit="1" customWidth="1"/>
    <col min="14" max="14" width="16.625" style="785" bestFit="1" customWidth="1"/>
    <col min="15" max="15" width="10.875" style="5" bestFit="1" customWidth="1"/>
    <col min="16" max="18" width="9.25" style="4" bestFit="1" customWidth="1"/>
    <col min="19" max="19" width="11.125" style="783" bestFit="1" customWidth="1"/>
    <col min="20" max="20" width="9.25" style="783" bestFit="1" customWidth="1"/>
    <col min="21" max="21" width="10.875" style="783" bestFit="1" customWidth="1"/>
    <col min="22" max="22" width="9.25" style="4" bestFit="1" customWidth="1"/>
    <col min="23" max="23" width="9.875" style="4" customWidth="1"/>
    <col min="24" max="24" width="7.5" style="786" customWidth="1"/>
    <col min="25" max="25" width="8.375" style="4" customWidth="1"/>
    <col min="26" max="27" width="9.75" style="4" bestFit="1" customWidth="1"/>
    <col min="28" max="28" width="8.375" style="4" customWidth="1"/>
    <col min="29" max="30" width="9.75" style="4" bestFit="1" customWidth="1"/>
    <col min="31" max="31" width="14.25" style="4" bestFit="1" customWidth="1"/>
    <col min="32" max="34" width="8.375" style="4" customWidth="1"/>
    <col min="35" max="35" width="8.375" style="787" customWidth="1"/>
    <col min="36" max="36" width="15.375" style="1" bestFit="1" customWidth="1"/>
    <col min="37" max="37" width="41.875" style="4" customWidth="1"/>
    <col min="38" max="16384" width="9" style="783"/>
  </cols>
  <sheetData>
    <row r="1" spans="1:37" s="653" customFormat="1" ht="18" customHeight="1">
      <c r="A1" s="313" t="s">
        <v>1546</v>
      </c>
      <c r="B1" s="360"/>
      <c r="C1" s="314"/>
      <c r="D1" s="314"/>
      <c r="E1" s="315"/>
      <c r="F1" s="316"/>
      <c r="G1" s="648" t="s">
        <v>1547</v>
      </c>
      <c r="H1" s="317"/>
      <c r="I1" s="352"/>
      <c r="J1" s="352"/>
      <c r="K1" s="649"/>
      <c r="L1" s="650"/>
      <c r="M1" s="651"/>
      <c r="N1" s="651">
        <f>SUBTOTAL(9,N3:N742)</f>
        <v>623577.01599999925</v>
      </c>
      <c r="O1" s="353"/>
      <c r="P1" s="352"/>
      <c r="Q1" s="352"/>
      <c r="R1" s="354"/>
      <c r="S1" s="648" t="s">
        <v>1548</v>
      </c>
      <c r="T1" s="649"/>
      <c r="U1" s="649"/>
      <c r="V1" s="354"/>
      <c r="W1" s="355" t="s">
        <v>1549</v>
      </c>
      <c r="X1" s="356"/>
      <c r="Y1" s="648" t="s">
        <v>1550</v>
      </c>
      <c r="Z1" s="357"/>
      <c r="AA1" s="357"/>
      <c r="AB1" s="357"/>
      <c r="AC1" s="357"/>
      <c r="AD1" s="357"/>
      <c r="AE1" s="357"/>
      <c r="AF1" s="357"/>
      <c r="AG1" s="357"/>
      <c r="AH1" s="357"/>
      <c r="AI1" s="358"/>
      <c r="AJ1" s="359" t="s">
        <v>2380</v>
      </c>
      <c r="AK1" s="652"/>
    </row>
    <row r="2" spans="1:37" s="654" customFormat="1" ht="24.75" customHeight="1">
      <c r="A2" s="248" t="s">
        <v>2412</v>
      </c>
      <c r="B2" s="361" t="s">
        <v>0</v>
      </c>
      <c r="C2" s="249" t="s">
        <v>1</v>
      </c>
      <c r="D2" s="249" t="s">
        <v>2417</v>
      </c>
      <c r="E2" s="250" t="s">
        <v>2414</v>
      </c>
      <c r="F2" s="251" t="s">
        <v>1551</v>
      </c>
      <c r="G2" s="257" t="s">
        <v>1552</v>
      </c>
      <c r="H2" s="252" t="s">
        <v>1553</v>
      </c>
      <c r="I2" s="250" t="s">
        <v>1554</v>
      </c>
      <c r="J2" s="250" t="s">
        <v>1555</v>
      </c>
      <c r="K2" s="250" t="s">
        <v>1556</v>
      </c>
      <c r="L2" s="253" t="s">
        <v>1557</v>
      </c>
      <c r="M2" s="254" t="s">
        <v>1558</v>
      </c>
      <c r="N2" s="254" t="s">
        <v>1814</v>
      </c>
      <c r="O2" s="255" t="s">
        <v>1559</v>
      </c>
      <c r="P2" s="256" t="s">
        <v>1560</v>
      </c>
      <c r="Q2" s="250" t="s">
        <v>1561</v>
      </c>
      <c r="R2" s="251" t="s">
        <v>1562</v>
      </c>
      <c r="S2" s="257" t="s">
        <v>1563</v>
      </c>
      <c r="T2" s="250" t="s">
        <v>1564</v>
      </c>
      <c r="U2" s="250" t="s">
        <v>1565</v>
      </c>
      <c r="V2" s="251" t="s">
        <v>1566</v>
      </c>
      <c r="W2" s="257" t="s">
        <v>1567</v>
      </c>
      <c r="X2" s="251" t="s">
        <v>1568</v>
      </c>
      <c r="Y2" s="257" t="s">
        <v>1569</v>
      </c>
      <c r="Z2" s="250" t="s">
        <v>1570</v>
      </c>
      <c r="AA2" s="256" t="s">
        <v>1571</v>
      </c>
      <c r="AB2" s="250" t="s">
        <v>1572</v>
      </c>
      <c r="AC2" s="250" t="s">
        <v>1573</v>
      </c>
      <c r="AD2" s="250" t="s">
        <v>1574</v>
      </c>
      <c r="AE2" s="250" t="s">
        <v>2390</v>
      </c>
      <c r="AF2" s="250" t="s">
        <v>1575</v>
      </c>
      <c r="AG2" s="250" t="s">
        <v>1576</v>
      </c>
      <c r="AH2" s="250" t="s">
        <v>1577</v>
      </c>
      <c r="AI2" s="385" t="s">
        <v>1578</v>
      </c>
      <c r="AJ2" s="258" t="s">
        <v>1579</v>
      </c>
      <c r="AK2" s="251" t="s">
        <v>50</v>
      </c>
    </row>
    <row r="3" spans="1:37" s="653" customFormat="1">
      <c r="A3" s="655">
        <v>2024</v>
      </c>
      <c r="B3" s="656" t="str">
        <f>INDEX('①基本情報 '!$C$2:$C$255,MATCH('②建物情報 '!E3,'①基本情報 '!$E$2:$E$255,0),1)</f>
        <v>001</v>
      </c>
      <c r="C3" s="657" t="str">
        <f>INDEX('①基本情報 '!$B$2:$B$255,MATCH('②建物情報 '!E3,'①基本情報 '!$E$2:$E$255,0),1)</f>
        <v>0283</v>
      </c>
      <c r="D3" s="658" t="s">
        <v>2418</v>
      </c>
      <c r="E3" s="659" t="s">
        <v>53</v>
      </c>
      <c r="F3" s="660" t="str">
        <f>INDEX('①基本情報 '!$G$2:$G$255,MATCH('②建物情報 '!E3,'①基本情報 '!$E$2:$E$255,0),1)</f>
        <v>総務部総務室管財課</v>
      </c>
      <c r="G3" s="661" t="s">
        <v>1580</v>
      </c>
      <c r="H3" s="659" t="s">
        <v>2482</v>
      </c>
      <c r="I3" s="662">
        <v>2022</v>
      </c>
      <c r="J3" s="662">
        <v>10</v>
      </c>
      <c r="K3" s="663">
        <v>1</v>
      </c>
      <c r="L3" s="664">
        <v>9219</v>
      </c>
      <c r="M3" s="665">
        <v>26329.02</v>
      </c>
      <c r="N3" s="665">
        <v>26329.02</v>
      </c>
      <c r="O3" s="666" t="s">
        <v>2774</v>
      </c>
      <c r="P3" s="667" t="s">
        <v>1890</v>
      </c>
      <c r="Q3" s="667">
        <v>6</v>
      </c>
      <c r="R3" s="668">
        <v>1</v>
      </c>
      <c r="S3" s="669" t="s">
        <v>2537</v>
      </c>
      <c r="T3" s="670" t="s">
        <v>1966</v>
      </c>
      <c r="U3" s="670" t="s">
        <v>1846</v>
      </c>
      <c r="V3" s="671"/>
      <c r="W3" s="672"/>
      <c r="X3" s="673">
        <v>50</v>
      </c>
      <c r="Y3" s="674" t="s">
        <v>1587</v>
      </c>
      <c r="Z3" s="662" t="s">
        <v>1587</v>
      </c>
      <c r="AA3" s="662" t="s">
        <v>1587</v>
      </c>
      <c r="AB3" s="662" t="s">
        <v>825</v>
      </c>
      <c r="AC3" s="662" t="s">
        <v>1587</v>
      </c>
      <c r="AD3" s="662" t="s">
        <v>1587</v>
      </c>
      <c r="AE3" s="662" t="s">
        <v>1587</v>
      </c>
      <c r="AF3" s="662" t="s">
        <v>825</v>
      </c>
      <c r="AG3" s="662" t="s">
        <v>825</v>
      </c>
      <c r="AH3" s="662" t="s">
        <v>1587</v>
      </c>
      <c r="AI3" s="675">
        <v>6.6666666666666652</v>
      </c>
      <c r="AJ3" s="676" t="s">
        <v>1588</v>
      </c>
      <c r="AK3" s="677"/>
    </row>
    <row r="4" spans="1:37" s="653" customFormat="1">
      <c r="A4" s="655">
        <v>2024</v>
      </c>
      <c r="B4" s="656" t="str">
        <f>INDEX('①基本情報 '!$C$2:$C$255,MATCH('②建物情報 '!E4,'①基本情報 '!$E$2:$E$255,0),1)</f>
        <v>001</v>
      </c>
      <c r="C4" s="657" t="str">
        <f>INDEX('①基本情報 '!$B$2:$B$255,MATCH('②建物情報 '!E4,'①基本情報 '!$E$2:$E$255,0),1)</f>
        <v>0283</v>
      </c>
      <c r="D4" s="658" t="s">
        <v>2418</v>
      </c>
      <c r="E4" s="612" t="s">
        <v>2630</v>
      </c>
      <c r="F4" s="611" t="str">
        <f>INDEX('①基本情報 '!$G$2:$G$255,MATCH('②建物情報 '!E4,'①基本情報 '!$E$2:$E$255,0),1)</f>
        <v>総務部総務室管財課</v>
      </c>
      <c r="G4" s="678" t="s">
        <v>1589</v>
      </c>
      <c r="H4" s="612" t="s">
        <v>1590</v>
      </c>
      <c r="I4" s="663">
        <v>1973</v>
      </c>
      <c r="J4" s="663">
        <v>3</v>
      </c>
      <c r="K4" s="663">
        <f>IF(I4&lt;&gt;"",A4-I4,99)</f>
        <v>51</v>
      </c>
      <c r="L4" s="679">
        <v>868</v>
      </c>
      <c r="M4" s="680">
        <v>2259.34</v>
      </c>
      <c r="N4" s="680">
        <v>2259.34</v>
      </c>
      <c r="O4" s="681" t="s">
        <v>2774</v>
      </c>
      <c r="P4" s="259" t="s">
        <v>1581</v>
      </c>
      <c r="Q4" s="259">
        <v>4</v>
      </c>
      <c r="R4" s="260">
        <v>0</v>
      </c>
      <c r="S4" s="682" t="s">
        <v>1582</v>
      </c>
      <c r="T4" s="683" t="s">
        <v>825</v>
      </c>
      <c r="U4" s="683" t="s">
        <v>63</v>
      </c>
      <c r="V4" s="684">
        <v>2012</v>
      </c>
      <c r="W4" s="685">
        <v>2012</v>
      </c>
      <c r="X4" s="686">
        <v>50</v>
      </c>
      <c r="Y4" s="687" t="s">
        <v>1585</v>
      </c>
      <c r="Z4" s="663" t="s">
        <v>1596</v>
      </c>
      <c r="AA4" s="663" t="s">
        <v>1585</v>
      </c>
      <c r="AB4" s="663" t="s">
        <v>825</v>
      </c>
      <c r="AC4" s="663" t="s">
        <v>1596</v>
      </c>
      <c r="AD4" s="663" t="s">
        <v>1586</v>
      </c>
      <c r="AE4" s="663" t="s">
        <v>1596</v>
      </c>
      <c r="AF4" s="663" t="s">
        <v>825</v>
      </c>
      <c r="AG4" s="663" t="s">
        <v>825</v>
      </c>
      <c r="AH4" s="663" t="s">
        <v>1585</v>
      </c>
      <c r="AI4" s="688">
        <v>67.222222222222229</v>
      </c>
      <c r="AJ4" s="689" t="s">
        <v>1588</v>
      </c>
      <c r="AK4" s="690"/>
    </row>
    <row r="5" spans="1:37" s="653" customFormat="1">
      <c r="A5" s="655">
        <v>2024</v>
      </c>
      <c r="B5" s="691" t="str">
        <f>INDEX('①基本情報 '!$C$2:$C$255,MATCH('②建物情報 '!E5,'①基本情報 '!$E$2:$E$255,0),1)</f>
        <v>001</v>
      </c>
      <c r="C5" s="692" t="str">
        <f>INDEX('①基本情報 '!$B$2:$B$255,MATCH('②建物情報 '!E5,'①基本情報 '!$E$2:$E$255,0),1)</f>
        <v>0283</v>
      </c>
      <c r="D5" s="261" t="s">
        <v>2418</v>
      </c>
      <c r="E5" s="262" t="s">
        <v>53</v>
      </c>
      <c r="F5" s="263" t="str">
        <f>INDEX('①基本情報 '!$G$2:$G$255,MATCH('②建物情報 '!E5,'①基本情報 '!$E$2:$E$255,0),1)</f>
        <v>総務部総務室管財課</v>
      </c>
      <c r="G5" s="264" t="s">
        <v>1591</v>
      </c>
      <c r="H5" s="262" t="s">
        <v>1592</v>
      </c>
      <c r="I5" s="265">
        <v>1984</v>
      </c>
      <c r="J5" s="265">
        <v>9</v>
      </c>
      <c r="K5" s="265">
        <f>IF(I5&lt;&gt;"",A5-I5,99)</f>
        <v>40</v>
      </c>
      <c r="L5" s="266"/>
      <c r="M5" s="267">
        <v>2827.18</v>
      </c>
      <c r="N5" s="267">
        <v>2827.18</v>
      </c>
      <c r="O5" s="268" t="s">
        <v>2774</v>
      </c>
      <c r="P5" s="269" t="s">
        <v>1581</v>
      </c>
      <c r="Q5" s="269"/>
      <c r="R5" s="270"/>
      <c r="S5" s="271" t="s">
        <v>1593</v>
      </c>
      <c r="T5" s="272" t="s">
        <v>825</v>
      </c>
      <c r="U5" s="272" t="s">
        <v>63</v>
      </c>
      <c r="V5" s="273"/>
      <c r="W5" s="274"/>
      <c r="X5" s="275">
        <v>38</v>
      </c>
      <c r="Y5" s="276" t="s">
        <v>825</v>
      </c>
      <c r="Z5" s="265" t="s">
        <v>825</v>
      </c>
      <c r="AA5" s="265" t="s">
        <v>825</v>
      </c>
      <c r="AB5" s="265" t="s">
        <v>825</v>
      </c>
      <c r="AC5" s="265" t="s">
        <v>825</v>
      </c>
      <c r="AD5" s="265" t="s">
        <v>825</v>
      </c>
      <c r="AE5" s="265" t="s">
        <v>825</v>
      </c>
      <c r="AF5" s="265" t="s">
        <v>825</v>
      </c>
      <c r="AG5" s="265" t="s">
        <v>825</v>
      </c>
      <c r="AH5" s="265" t="s">
        <v>825</v>
      </c>
      <c r="AI5" s="277" t="s">
        <v>825</v>
      </c>
      <c r="AJ5" s="278" t="s">
        <v>1606</v>
      </c>
      <c r="AK5" s="693" t="s">
        <v>2330</v>
      </c>
    </row>
    <row r="6" spans="1:37" s="653" customFormat="1">
      <c r="A6" s="655">
        <v>2024</v>
      </c>
      <c r="B6" s="656" t="str">
        <f>INDEX('①基本情報 '!$C$2:$C$255,MATCH('②建物情報 '!E6,'①基本情報 '!$E$2:$E$255,0),1)</f>
        <v>002</v>
      </c>
      <c r="C6" s="657" t="str">
        <f>INDEX('①基本情報 '!$B$2:$B$255,MATCH('②建物情報 '!E6,'①基本情報 '!$E$2:$E$255,0),1)</f>
        <v>0001</v>
      </c>
      <c r="D6" s="658" t="s">
        <v>2418</v>
      </c>
      <c r="E6" s="612" t="s">
        <v>77</v>
      </c>
      <c r="F6" s="611" t="str">
        <f>INDEX('①基本情報 '!$G$2:$G$255,MATCH('②建物情報 '!E6,'①基本情報 '!$E$2:$E$255,0),1)</f>
        <v>市民自治部市民サービス室市民課</v>
      </c>
      <c r="G6" s="678" t="s">
        <v>1580</v>
      </c>
      <c r="H6" s="612" t="s">
        <v>361</v>
      </c>
      <c r="I6" s="663">
        <v>2016</v>
      </c>
      <c r="J6" s="663">
        <v>5</v>
      </c>
      <c r="K6" s="663">
        <f>IF(I6&lt;&gt;"",A6-I6,99)</f>
        <v>8</v>
      </c>
      <c r="L6" s="694">
        <v>596</v>
      </c>
      <c r="M6" s="695">
        <v>1051.8499999999999</v>
      </c>
      <c r="N6" s="695">
        <v>84.1</v>
      </c>
      <c r="O6" s="681" t="s">
        <v>1594</v>
      </c>
      <c r="P6" s="259" t="s">
        <v>1581</v>
      </c>
      <c r="Q6" s="259">
        <v>2</v>
      </c>
      <c r="R6" s="260">
        <v>0</v>
      </c>
      <c r="S6" s="682" t="s">
        <v>1593</v>
      </c>
      <c r="T6" s="683" t="s">
        <v>825</v>
      </c>
      <c r="U6" s="683" t="s">
        <v>63</v>
      </c>
      <c r="V6" s="684"/>
      <c r="W6" s="685"/>
      <c r="X6" s="686">
        <v>50</v>
      </c>
      <c r="Y6" s="687" t="s">
        <v>1587</v>
      </c>
      <c r="Z6" s="663" t="s">
        <v>1596</v>
      </c>
      <c r="AA6" s="663" t="s">
        <v>1596</v>
      </c>
      <c r="AB6" s="663" t="s">
        <v>825</v>
      </c>
      <c r="AC6" s="663" t="s">
        <v>1596</v>
      </c>
      <c r="AD6" s="663" t="s">
        <v>1596</v>
      </c>
      <c r="AE6" s="663" t="s">
        <v>1587</v>
      </c>
      <c r="AF6" s="663" t="s">
        <v>1596</v>
      </c>
      <c r="AG6" s="663" t="s">
        <v>1587</v>
      </c>
      <c r="AH6" s="663" t="s">
        <v>1587</v>
      </c>
      <c r="AI6" s="688">
        <v>27.27272727272727</v>
      </c>
      <c r="AJ6" s="689" t="s">
        <v>1588</v>
      </c>
      <c r="AK6" s="690"/>
    </row>
    <row r="7" spans="1:37" s="653" customFormat="1">
      <c r="A7" s="655">
        <v>2024</v>
      </c>
      <c r="B7" s="656" t="str">
        <f>INDEX('①基本情報 '!$C$2:$C$255,MATCH('②建物情報 '!E7,'①基本情報 '!$E$2:$E$255,0),1)</f>
        <v>003</v>
      </c>
      <c r="C7" s="657" t="str">
        <f>INDEX('①基本情報 '!$B$2:$B$255,MATCH('②建物情報 '!E7,'①基本情報 '!$E$2:$E$255,0),1)</f>
        <v>0002</v>
      </c>
      <c r="D7" s="658" t="s">
        <v>2418</v>
      </c>
      <c r="E7" s="612" t="s">
        <v>90</v>
      </c>
      <c r="F7" s="611" t="str">
        <f>INDEX('①基本情報 '!$G$2:$G$255,MATCH('②建物情報 '!E7,'①基本情報 '!$E$2:$E$255,0),1)</f>
        <v>市民自治部市民サービス室市民課</v>
      </c>
      <c r="G7" s="678" t="s">
        <v>1580</v>
      </c>
      <c r="H7" s="612" t="s">
        <v>1595</v>
      </c>
      <c r="I7" s="663">
        <v>2004</v>
      </c>
      <c r="J7" s="663">
        <v>2</v>
      </c>
      <c r="K7" s="663">
        <f t="shared" ref="K7:K70" si="0">IF(I7&lt;&gt;"",A7-I7,99)</f>
        <v>20</v>
      </c>
      <c r="L7" s="694">
        <v>1421.37</v>
      </c>
      <c r="M7" s="695">
        <v>3673.89</v>
      </c>
      <c r="N7" s="695">
        <v>13</v>
      </c>
      <c r="O7" s="681" t="s">
        <v>1594</v>
      </c>
      <c r="P7" s="259" t="s">
        <v>1581</v>
      </c>
      <c r="Q7" s="259">
        <v>3</v>
      </c>
      <c r="R7" s="260">
        <v>1</v>
      </c>
      <c r="S7" s="682" t="s">
        <v>1593</v>
      </c>
      <c r="T7" s="683" t="s">
        <v>825</v>
      </c>
      <c r="U7" s="683" t="s">
        <v>63</v>
      </c>
      <c r="V7" s="684"/>
      <c r="W7" s="685"/>
      <c r="X7" s="686">
        <v>50</v>
      </c>
      <c r="Y7" s="687" t="s">
        <v>1596</v>
      </c>
      <c r="Z7" s="663" t="s">
        <v>1585</v>
      </c>
      <c r="AA7" s="663" t="s">
        <v>1596</v>
      </c>
      <c r="AB7" s="663" t="s">
        <v>825</v>
      </c>
      <c r="AC7" s="663" t="s">
        <v>1586</v>
      </c>
      <c r="AD7" s="663" t="s">
        <v>1585</v>
      </c>
      <c r="AE7" s="663" t="s">
        <v>1585</v>
      </c>
      <c r="AF7" s="663" t="s">
        <v>825</v>
      </c>
      <c r="AG7" s="663" t="s">
        <v>825</v>
      </c>
      <c r="AH7" s="663" t="s">
        <v>1585</v>
      </c>
      <c r="AI7" s="688">
        <v>50</v>
      </c>
      <c r="AJ7" s="689" t="s">
        <v>1588</v>
      </c>
      <c r="AK7" s="690"/>
    </row>
    <row r="8" spans="1:37" s="653" customFormat="1">
      <c r="A8" s="655">
        <v>2024</v>
      </c>
      <c r="B8" s="691" t="str">
        <f>INDEX('①基本情報 '!$C$2:$C$255,MATCH('②建物情報 '!E8,'①基本情報 '!$E$2:$E$255,0),1)</f>
        <v>004</v>
      </c>
      <c r="C8" s="692" t="str">
        <f>INDEX('①基本情報 '!$B$2:$B$255,MATCH('②建物情報 '!E8,'①基本情報 '!$E$2:$E$255,0),1)</f>
        <v>0003</v>
      </c>
      <c r="D8" s="261" t="s">
        <v>2418</v>
      </c>
      <c r="E8" s="262" t="s">
        <v>98</v>
      </c>
      <c r="F8" s="263" t="str">
        <f>INDEX('①基本情報 '!$G$2:$G$255,MATCH('②建物情報 '!E8,'①基本情報 '!$E$2:$E$255,0),1)</f>
        <v>市民自治部市民サービス室市民課</v>
      </c>
      <c r="G8" s="264" t="s">
        <v>1580</v>
      </c>
      <c r="H8" s="262" t="s">
        <v>1894</v>
      </c>
      <c r="I8" s="265">
        <v>2011</v>
      </c>
      <c r="J8" s="265"/>
      <c r="K8" s="265">
        <f t="shared" si="0"/>
        <v>13</v>
      </c>
      <c r="L8" s="268"/>
      <c r="M8" s="279"/>
      <c r="N8" s="279"/>
      <c r="O8" s="268" t="s">
        <v>1594</v>
      </c>
      <c r="P8" s="269" t="s">
        <v>825</v>
      </c>
      <c r="Q8" s="269" t="s">
        <v>825</v>
      </c>
      <c r="R8" s="270" t="s">
        <v>825</v>
      </c>
      <c r="S8" s="271"/>
      <c r="T8" s="272" t="s">
        <v>825</v>
      </c>
      <c r="U8" s="272" t="s">
        <v>63</v>
      </c>
      <c r="V8" s="273"/>
      <c r="W8" s="274"/>
      <c r="X8" s="275"/>
      <c r="Y8" s="276" t="s">
        <v>825</v>
      </c>
      <c r="Z8" s="265" t="s">
        <v>825</v>
      </c>
      <c r="AA8" s="265" t="s">
        <v>825</v>
      </c>
      <c r="AB8" s="265" t="s">
        <v>825</v>
      </c>
      <c r="AC8" s="265" t="s">
        <v>825</v>
      </c>
      <c r="AD8" s="265" t="s">
        <v>825</v>
      </c>
      <c r="AE8" s="265" t="s">
        <v>1587</v>
      </c>
      <c r="AF8" s="265" t="s">
        <v>825</v>
      </c>
      <c r="AG8" s="265" t="s">
        <v>825</v>
      </c>
      <c r="AH8" s="265" t="s">
        <v>825</v>
      </c>
      <c r="AI8" s="277" t="s">
        <v>825</v>
      </c>
      <c r="AJ8" s="280" t="s">
        <v>1983</v>
      </c>
      <c r="AK8" s="292" t="s">
        <v>2333</v>
      </c>
    </row>
    <row r="9" spans="1:37" s="653" customFormat="1">
      <c r="A9" s="655">
        <v>2024</v>
      </c>
      <c r="B9" s="656" t="str">
        <f>INDEX('①基本情報 '!$C$2:$C$255,MATCH('②建物情報 '!E9,'①基本情報 '!$E$2:$E$255,0),1)</f>
        <v>005</v>
      </c>
      <c r="C9" s="657" t="str">
        <f>INDEX('①基本情報 '!$B$2:$B$255,MATCH('②建物情報 '!E9,'①基本情報 '!$E$2:$E$255,0),1)</f>
        <v>0004</v>
      </c>
      <c r="D9" s="658" t="s">
        <v>2418</v>
      </c>
      <c r="E9" s="612" t="s">
        <v>104</v>
      </c>
      <c r="F9" s="611" t="str">
        <f>INDEX('①基本情報 '!$G$2:$G$255,MATCH('②建物情報 '!E9,'①基本情報 '!$E$2:$E$255,0),1)</f>
        <v>市民自治部市民サービス室市民課</v>
      </c>
      <c r="G9" s="678" t="s">
        <v>1580</v>
      </c>
      <c r="H9" s="612" t="s">
        <v>1598</v>
      </c>
      <c r="I9" s="663">
        <v>1971</v>
      </c>
      <c r="J9" s="663">
        <v>3</v>
      </c>
      <c r="K9" s="663">
        <f t="shared" si="0"/>
        <v>53</v>
      </c>
      <c r="L9" s="694">
        <v>322.27999999999997</v>
      </c>
      <c r="M9" s="680">
        <v>570.86</v>
      </c>
      <c r="N9" s="695">
        <v>21</v>
      </c>
      <c r="O9" s="681" t="s">
        <v>1594</v>
      </c>
      <c r="P9" s="259" t="s">
        <v>1581</v>
      </c>
      <c r="Q9" s="259">
        <v>2</v>
      </c>
      <c r="R9" s="260">
        <v>0</v>
      </c>
      <c r="S9" s="682" t="s">
        <v>1582</v>
      </c>
      <c r="T9" s="683"/>
      <c r="U9" s="683" t="s">
        <v>1584</v>
      </c>
      <c r="V9" s="684"/>
      <c r="W9" s="685"/>
      <c r="X9" s="686">
        <v>50</v>
      </c>
      <c r="Y9" s="687" t="s">
        <v>1585</v>
      </c>
      <c r="Z9" s="663" t="s">
        <v>1586</v>
      </c>
      <c r="AA9" s="663" t="s">
        <v>1586</v>
      </c>
      <c r="AB9" s="663" t="s">
        <v>825</v>
      </c>
      <c r="AC9" s="663" t="s">
        <v>1586</v>
      </c>
      <c r="AD9" s="663" t="s">
        <v>1586</v>
      </c>
      <c r="AE9" s="663" t="s">
        <v>1586</v>
      </c>
      <c r="AF9" s="663" t="s">
        <v>825</v>
      </c>
      <c r="AG9" s="663" t="s">
        <v>825</v>
      </c>
      <c r="AH9" s="663" t="s">
        <v>1586</v>
      </c>
      <c r="AI9" s="688">
        <v>92.121212121212125</v>
      </c>
      <c r="AJ9" s="689" t="s">
        <v>1588</v>
      </c>
      <c r="AK9" s="690"/>
    </row>
    <row r="10" spans="1:37" s="653" customFormat="1">
      <c r="A10" s="655">
        <v>2024</v>
      </c>
      <c r="B10" s="656" t="str">
        <f>INDEX('①基本情報 '!$C$2:$C$255,MATCH('②建物情報 '!E10,'①基本情報 '!$E$2:$E$255,0),1)</f>
        <v>006</v>
      </c>
      <c r="C10" s="657" t="str">
        <f>INDEX('①基本情報 '!$B$2:$B$255,MATCH('②建物情報 '!E10,'①基本情報 '!$E$2:$E$255,0),1)</f>
        <v>0005</v>
      </c>
      <c r="D10" s="658" t="s">
        <v>2418</v>
      </c>
      <c r="E10" s="612" t="s">
        <v>115</v>
      </c>
      <c r="F10" s="611" t="str">
        <f>INDEX('①基本情報 '!$G$2:$G$255,MATCH('②建物情報 '!E10,'①基本情報 '!$E$2:$E$255,0),1)</f>
        <v>市民自治部市民サービス室市民課</v>
      </c>
      <c r="G10" s="678" t="s">
        <v>1580</v>
      </c>
      <c r="H10" s="612" t="s">
        <v>1599</v>
      </c>
      <c r="I10" s="663">
        <v>1977</v>
      </c>
      <c r="J10" s="663">
        <v>8</v>
      </c>
      <c r="K10" s="663">
        <f t="shared" si="0"/>
        <v>47</v>
      </c>
      <c r="L10" s="694">
        <v>189.84</v>
      </c>
      <c r="M10" s="695">
        <v>310.83</v>
      </c>
      <c r="N10" s="695">
        <v>29</v>
      </c>
      <c r="O10" s="681" t="s">
        <v>1594</v>
      </c>
      <c r="P10" s="259" t="s">
        <v>1581</v>
      </c>
      <c r="Q10" s="259">
        <v>2</v>
      </c>
      <c r="R10" s="260">
        <v>0</v>
      </c>
      <c r="S10" s="682" t="s">
        <v>1582</v>
      </c>
      <c r="T10" s="683"/>
      <c r="U10" s="683" t="s">
        <v>1584</v>
      </c>
      <c r="V10" s="684"/>
      <c r="W10" s="685"/>
      <c r="X10" s="686">
        <v>50</v>
      </c>
      <c r="Y10" s="687" t="s">
        <v>1585</v>
      </c>
      <c r="Z10" s="663" t="s">
        <v>1585</v>
      </c>
      <c r="AA10" s="663" t="s">
        <v>1596</v>
      </c>
      <c r="AB10" s="663" t="s">
        <v>825</v>
      </c>
      <c r="AC10" s="663" t="s">
        <v>1586</v>
      </c>
      <c r="AD10" s="663" t="s">
        <v>1586</v>
      </c>
      <c r="AE10" s="663" t="s">
        <v>1585</v>
      </c>
      <c r="AF10" s="663" t="s">
        <v>825</v>
      </c>
      <c r="AG10" s="663" t="s">
        <v>825</v>
      </c>
      <c r="AH10" s="663" t="s">
        <v>1586</v>
      </c>
      <c r="AI10" s="688">
        <v>79.428571428571431</v>
      </c>
      <c r="AJ10" s="689" t="s">
        <v>1588</v>
      </c>
      <c r="AK10" s="690"/>
    </row>
    <row r="11" spans="1:37" s="653" customFormat="1">
      <c r="A11" s="655">
        <v>2024</v>
      </c>
      <c r="B11" s="656" t="str">
        <f>INDEX('①基本情報 '!$C$2:$C$255,MATCH('②建物情報 '!E11,'①基本情報 '!$E$2:$E$255,0),1)</f>
        <v>007</v>
      </c>
      <c r="C11" s="657" t="str">
        <f>INDEX('①基本情報 '!$B$2:$B$255,MATCH('②建物情報 '!E11,'①基本情報 '!$E$2:$E$255,0),1)</f>
        <v>0403</v>
      </c>
      <c r="D11" s="658" t="s">
        <v>2418</v>
      </c>
      <c r="E11" s="612" t="s">
        <v>2775</v>
      </c>
      <c r="F11" s="611" t="str">
        <f>INDEX('①基本情報 '!$G$2:$G$255,MATCH('②建物情報 '!E11,'①基本情報 '!$E$2:$E$255,0),1)</f>
        <v>市民自治部市民サービス室消費生活センター</v>
      </c>
      <c r="G11" s="678" t="s">
        <v>1580</v>
      </c>
      <c r="H11" s="612" t="s">
        <v>1600</v>
      </c>
      <c r="I11" s="663">
        <v>2001</v>
      </c>
      <c r="J11" s="663"/>
      <c r="K11" s="663">
        <f t="shared" si="0"/>
        <v>23</v>
      </c>
      <c r="L11" s="679">
        <v>730</v>
      </c>
      <c r="M11" s="695">
        <v>4090.91</v>
      </c>
      <c r="N11" s="680">
        <v>432.13</v>
      </c>
      <c r="O11" s="681" t="s">
        <v>1594</v>
      </c>
      <c r="P11" s="259" t="s">
        <v>1581</v>
      </c>
      <c r="Q11" s="259">
        <v>6</v>
      </c>
      <c r="R11" s="260">
        <v>1</v>
      </c>
      <c r="S11" s="682" t="s">
        <v>1593</v>
      </c>
      <c r="T11" s="683" t="s">
        <v>825</v>
      </c>
      <c r="U11" s="683" t="s">
        <v>63</v>
      </c>
      <c r="V11" s="684"/>
      <c r="W11" s="685"/>
      <c r="X11" s="686">
        <v>50</v>
      </c>
      <c r="Y11" s="687" t="s">
        <v>1596</v>
      </c>
      <c r="Z11" s="663" t="s">
        <v>1585</v>
      </c>
      <c r="AA11" s="663" t="s">
        <v>1596</v>
      </c>
      <c r="AB11" s="663" t="s">
        <v>1587</v>
      </c>
      <c r="AC11" s="663" t="s">
        <v>1587</v>
      </c>
      <c r="AD11" s="663" t="s">
        <v>1587</v>
      </c>
      <c r="AE11" s="663" t="s">
        <v>1587</v>
      </c>
      <c r="AF11" s="663" t="s">
        <v>1587</v>
      </c>
      <c r="AG11" s="663" t="s">
        <v>1587</v>
      </c>
      <c r="AH11" s="663" t="s">
        <v>1596</v>
      </c>
      <c r="AI11" s="688">
        <v>32.307692307692307</v>
      </c>
      <c r="AJ11" s="689" t="s">
        <v>1588</v>
      </c>
      <c r="AK11" s="690"/>
    </row>
    <row r="12" spans="1:37" s="653" customFormat="1">
      <c r="A12" s="655">
        <v>2024</v>
      </c>
      <c r="B12" s="656" t="str">
        <f>INDEX('①基本情報 '!$C$2:$C$255,MATCH('②建物情報 '!E12,'①基本情報 '!$E$2:$E$255,0),1)</f>
        <v>008</v>
      </c>
      <c r="C12" s="657" t="str">
        <f>INDEX('①基本情報 '!$B$2:$B$255,MATCH('②建物情報 '!E12,'①基本情報 '!$E$2:$E$255,0),1)</f>
        <v>041４</v>
      </c>
      <c r="D12" s="658" t="s">
        <v>2418</v>
      </c>
      <c r="E12" s="612" t="s">
        <v>2622</v>
      </c>
      <c r="F12" s="611" t="str">
        <f>INDEX('①基本情報 '!$G$2:$G$255,MATCH('②建物情報 '!E12,'①基本情報 '!$E$2:$E$255,0),1)</f>
        <v>健康福祉部保健医療推進室健康政策課</v>
      </c>
      <c r="G12" s="678" t="s">
        <v>1580</v>
      </c>
      <c r="H12" s="612" t="s">
        <v>2637</v>
      </c>
      <c r="I12" s="663">
        <v>2022</v>
      </c>
      <c r="J12" s="663">
        <v>10</v>
      </c>
      <c r="K12" s="663">
        <f t="shared" si="0"/>
        <v>2</v>
      </c>
      <c r="L12" s="679">
        <v>1788.15</v>
      </c>
      <c r="M12" s="695">
        <v>2164.92</v>
      </c>
      <c r="N12" s="680">
        <v>1783.75</v>
      </c>
      <c r="O12" s="681" t="s">
        <v>2776</v>
      </c>
      <c r="P12" s="259" t="s">
        <v>1603</v>
      </c>
      <c r="Q12" s="259">
        <v>2</v>
      </c>
      <c r="R12" s="260">
        <v>0</v>
      </c>
      <c r="S12" s="682" t="s">
        <v>2537</v>
      </c>
      <c r="T12" s="683" t="s">
        <v>1966</v>
      </c>
      <c r="U12" s="683" t="s">
        <v>1846</v>
      </c>
      <c r="V12" s="684"/>
      <c r="W12" s="685"/>
      <c r="X12" s="686">
        <v>50</v>
      </c>
      <c r="Y12" s="687" t="s">
        <v>1587</v>
      </c>
      <c r="Z12" s="663" t="s">
        <v>1587</v>
      </c>
      <c r="AA12" s="663" t="s">
        <v>1587</v>
      </c>
      <c r="AB12" s="663" t="s">
        <v>825</v>
      </c>
      <c r="AC12" s="663" t="s">
        <v>1587</v>
      </c>
      <c r="AD12" s="663" t="s">
        <v>1587</v>
      </c>
      <c r="AE12" s="663" t="s">
        <v>1587</v>
      </c>
      <c r="AF12" s="663" t="s">
        <v>825</v>
      </c>
      <c r="AG12" s="663" t="s">
        <v>825</v>
      </c>
      <c r="AH12" s="663" t="s">
        <v>1587</v>
      </c>
      <c r="AI12" s="688">
        <v>6.6666666666666652</v>
      </c>
      <c r="AJ12" s="689" t="s">
        <v>1588</v>
      </c>
      <c r="AK12" s="690"/>
    </row>
    <row r="13" spans="1:37" s="653" customFormat="1">
      <c r="A13" s="655">
        <v>2024</v>
      </c>
      <c r="B13" s="691" t="str">
        <f>INDEX('①基本情報 '!$C$2:$C$255,MATCH('②建物情報 '!E13,'①基本情報 '!$E$2:$E$255,0),1)</f>
        <v>009</v>
      </c>
      <c r="C13" s="692" t="str">
        <f>INDEX('①基本情報 '!$B$2:$B$255,MATCH('②建物情報 '!E13,'①基本情報 '!$E$2:$E$255,0),1)</f>
        <v>0418</v>
      </c>
      <c r="D13" s="261" t="s">
        <v>2418</v>
      </c>
      <c r="E13" s="262" t="s">
        <v>2631</v>
      </c>
      <c r="F13" s="263" t="str">
        <f>INDEX('①基本情報 '!$G$2:$G$255,MATCH('②建物情報 '!E13,'①基本情報 '!$E$2:$E$255,0),1)</f>
        <v>健康福祉部保健医療推進室健康政策課</v>
      </c>
      <c r="G13" s="264" t="s">
        <v>1580</v>
      </c>
      <c r="H13" s="262" t="s">
        <v>2637</v>
      </c>
      <c r="I13" s="265">
        <v>2022</v>
      </c>
      <c r="J13" s="265">
        <v>10</v>
      </c>
      <c r="K13" s="265">
        <f t="shared" si="0"/>
        <v>2</v>
      </c>
      <c r="L13" s="266">
        <v>1788.15</v>
      </c>
      <c r="M13" s="279">
        <v>2164.92</v>
      </c>
      <c r="N13" s="267">
        <v>171.92</v>
      </c>
      <c r="O13" s="268" t="s">
        <v>1594</v>
      </c>
      <c r="P13" s="269" t="s">
        <v>1603</v>
      </c>
      <c r="Q13" s="269">
        <v>2</v>
      </c>
      <c r="R13" s="270">
        <v>0</v>
      </c>
      <c r="S13" s="271" t="s">
        <v>2537</v>
      </c>
      <c r="T13" s="272" t="s">
        <v>1966</v>
      </c>
      <c r="U13" s="272" t="s">
        <v>1846</v>
      </c>
      <c r="V13" s="273"/>
      <c r="W13" s="274"/>
      <c r="X13" s="275"/>
      <c r="Y13" s="276"/>
      <c r="Z13" s="265"/>
      <c r="AA13" s="265"/>
      <c r="AB13" s="265"/>
      <c r="AC13" s="265"/>
      <c r="AD13" s="265"/>
      <c r="AE13" s="265"/>
      <c r="AF13" s="265"/>
      <c r="AG13" s="265"/>
      <c r="AH13" s="265"/>
      <c r="AI13" s="277"/>
      <c r="AJ13" s="383" t="s">
        <v>1588</v>
      </c>
      <c r="AK13" s="292"/>
    </row>
    <row r="14" spans="1:37" s="653" customFormat="1">
      <c r="A14" s="655">
        <v>2024</v>
      </c>
      <c r="B14" s="691" t="str">
        <f>INDEX('①基本情報 '!$C$2:$C$255,MATCH('②建物情報 '!E14,'①基本情報 '!$E$2:$E$255,0),1)</f>
        <v>010</v>
      </c>
      <c r="C14" s="692" t="str">
        <f>INDEX('①基本情報 '!$B$2:$B$255,MATCH('②建物情報 '!E14,'①基本情報 '!$E$2:$E$255,0),1)</f>
        <v>0416</v>
      </c>
      <c r="D14" s="261" t="s">
        <v>2418</v>
      </c>
      <c r="E14" s="262" t="s">
        <v>2142</v>
      </c>
      <c r="F14" s="263" t="str">
        <f>INDEX('①基本情報 '!$G$2:$G$255,MATCH('②建物情報 '!E14,'①基本情報 '!$E$2:$E$255,0),1)</f>
        <v>健康福祉部地域福祉室障害福祉課</v>
      </c>
      <c r="G14" s="264" t="s">
        <v>1580</v>
      </c>
      <c r="H14" s="262" t="s">
        <v>2637</v>
      </c>
      <c r="I14" s="265">
        <v>2022</v>
      </c>
      <c r="J14" s="265">
        <v>10</v>
      </c>
      <c r="K14" s="265">
        <f t="shared" si="0"/>
        <v>2</v>
      </c>
      <c r="L14" s="266">
        <v>1788.15</v>
      </c>
      <c r="M14" s="279">
        <v>2164.92</v>
      </c>
      <c r="N14" s="267">
        <v>209.25</v>
      </c>
      <c r="O14" s="268" t="s">
        <v>1594</v>
      </c>
      <c r="P14" s="269" t="s">
        <v>1603</v>
      </c>
      <c r="Q14" s="269">
        <v>2</v>
      </c>
      <c r="R14" s="270">
        <v>0</v>
      </c>
      <c r="S14" s="271" t="s">
        <v>2537</v>
      </c>
      <c r="T14" s="272" t="s">
        <v>825</v>
      </c>
      <c r="U14" s="272" t="s">
        <v>63</v>
      </c>
      <c r="V14" s="273"/>
      <c r="W14" s="274"/>
      <c r="X14" s="275"/>
      <c r="Y14" s="276"/>
      <c r="Z14" s="265"/>
      <c r="AA14" s="265"/>
      <c r="AB14" s="265"/>
      <c r="AC14" s="265"/>
      <c r="AD14" s="265"/>
      <c r="AE14" s="265"/>
      <c r="AF14" s="265"/>
      <c r="AG14" s="265"/>
      <c r="AH14" s="265"/>
      <c r="AI14" s="277"/>
      <c r="AJ14" s="383" t="s">
        <v>1588</v>
      </c>
      <c r="AK14" s="292"/>
    </row>
    <row r="15" spans="1:37" s="653" customFormat="1">
      <c r="A15" s="655">
        <v>2024</v>
      </c>
      <c r="B15" s="656" t="str">
        <f>INDEX('①基本情報 '!$C$2:$C$255,MATCH('②建物情報 '!E15,'①基本情報 '!$E$2:$E$255,0),1)</f>
        <v>011</v>
      </c>
      <c r="C15" s="657" t="str">
        <f>INDEX('①基本情報 '!$B$2:$B$255,MATCH('②建物情報 '!E15,'①基本情報 '!$E$2:$E$255,0),1)</f>
        <v>0332</v>
      </c>
      <c r="D15" s="658" t="s">
        <v>2418</v>
      </c>
      <c r="E15" s="612" t="s">
        <v>2163</v>
      </c>
      <c r="F15" s="611" t="str">
        <f>INDEX('①基本情報 '!$G$2:$G$255,MATCH('②建物情報 '!E15,'①基本情報 '!$E$2:$E$255,0),1)</f>
        <v>教育委員会こども未来部次世代育成課</v>
      </c>
      <c r="G15" s="678" t="s">
        <v>1580</v>
      </c>
      <c r="H15" s="612" t="s">
        <v>2163</v>
      </c>
      <c r="I15" s="663">
        <v>2020</v>
      </c>
      <c r="J15" s="663">
        <v>12</v>
      </c>
      <c r="K15" s="663">
        <f t="shared" si="0"/>
        <v>4</v>
      </c>
      <c r="L15" s="679">
        <v>508.8</v>
      </c>
      <c r="M15" s="695">
        <v>767.03</v>
      </c>
      <c r="N15" s="680">
        <v>767.03</v>
      </c>
      <c r="O15" s="681" t="s">
        <v>1812</v>
      </c>
      <c r="P15" s="259" t="s">
        <v>1581</v>
      </c>
      <c r="Q15" s="259">
        <v>2</v>
      </c>
      <c r="R15" s="260">
        <v>0</v>
      </c>
      <c r="S15" s="682" t="s">
        <v>1593</v>
      </c>
      <c r="T15" s="683" t="s">
        <v>825</v>
      </c>
      <c r="U15" s="683" t="s">
        <v>63</v>
      </c>
      <c r="V15" s="684"/>
      <c r="W15" s="685"/>
      <c r="X15" s="686">
        <v>50</v>
      </c>
      <c r="Y15" s="687" t="s">
        <v>1587</v>
      </c>
      <c r="Z15" s="663" t="s">
        <v>1587</v>
      </c>
      <c r="AA15" s="663" t="s">
        <v>1596</v>
      </c>
      <c r="AB15" s="663" t="s">
        <v>825</v>
      </c>
      <c r="AC15" s="663" t="s">
        <v>1587</v>
      </c>
      <c r="AD15" s="663" t="s">
        <v>1596</v>
      </c>
      <c r="AE15" s="663" t="s">
        <v>825</v>
      </c>
      <c r="AF15" s="663" t="s">
        <v>1587</v>
      </c>
      <c r="AG15" s="663" t="s">
        <v>1587</v>
      </c>
      <c r="AH15" s="663" t="s">
        <v>1587</v>
      </c>
      <c r="AI15" s="688">
        <v>17.500000000000004</v>
      </c>
      <c r="AJ15" s="689" t="s">
        <v>2123</v>
      </c>
      <c r="AK15" s="690"/>
    </row>
    <row r="16" spans="1:37" s="653" customFormat="1">
      <c r="A16" s="655">
        <v>2024</v>
      </c>
      <c r="B16" s="656" t="str">
        <f>INDEX('①基本情報 '!$C$2:$C$255,MATCH('②建物情報 '!E16,'①基本情報 '!$E$2:$E$255,0),1)</f>
        <v>012</v>
      </c>
      <c r="C16" s="657" t="str">
        <f>INDEX('①基本情報 '!$B$2:$B$255,MATCH('②建物情報 '!E16,'①基本情報 '!$E$2:$E$255,0),1)</f>
        <v>0415</v>
      </c>
      <c r="D16" s="658" t="s">
        <v>2418</v>
      </c>
      <c r="E16" s="612" t="s">
        <v>2715</v>
      </c>
      <c r="F16" s="611" t="str">
        <f>INDEX('①基本情報 '!$G$2:$G$255,MATCH('②建物情報 '!E16,'①基本情報 '!$E$2:$E$255,0),1)</f>
        <v>市民自治部共生推進室男女共同参画課</v>
      </c>
      <c r="G16" s="678" t="s">
        <v>1580</v>
      </c>
      <c r="H16" s="612" t="s">
        <v>2777</v>
      </c>
      <c r="I16" s="663">
        <v>2001</v>
      </c>
      <c r="J16" s="663"/>
      <c r="K16" s="663">
        <f t="shared" si="0"/>
        <v>23</v>
      </c>
      <c r="L16" s="679">
        <v>719</v>
      </c>
      <c r="M16" s="680">
        <v>4090.9140000000002</v>
      </c>
      <c r="N16" s="680">
        <v>676.41</v>
      </c>
      <c r="O16" s="681" t="s">
        <v>2485</v>
      </c>
      <c r="P16" s="259" t="s">
        <v>1581</v>
      </c>
      <c r="Q16" s="259">
        <v>6</v>
      </c>
      <c r="R16" s="260">
        <v>1</v>
      </c>
      <c r="S16" s="682" t="s">
        <v>1593</v>
      </c>
      <c r="T16" s="683" t="s">
        <v>825</v>
      </c>
      <c r="U16" s="683" t="s">
        <v>63</v>
      </c>
      <c r="V16" s="684"/>
      <c r="W16" s="685"/>
      <c r="X16" s="686">
        <v>50</v>
      </c>
      <c r="Y16" s="687" t="s">
        <v>1586</v>
      </c>
      <c r="Z16" s="663" t="s">
        <v>1585</v>
      </c>
      <c r="AA16" s="663" t="s">
        <v>1586</v>
      </c>
      <c r="AB16" s="663" t="s">
        <v>825</v>
      </c>
      <c r="AC16" s="663" t="s">
        <v>1587</v>
      </c>
      <c r="AD16" s="663" t="s">
        <v>825</v>
      </c>
      <c r="AE16" s="663" t="s">
        <v>825</v>
      </c>
      <c r="AF16" s="663" t="s">
        <v>825</v>
      </c>
      <c r="AG16" s="663" t="s">
        <v>825</v>
      </c>
      <c r="AH16" s="663" t="s">
        <v>1586</v>
      </c>
      <c r="AI16" s="688">
        <v>83.076923076923066</v>
      </c>
      <c r="AJ16" s="689" t="s">
        <v>2123</v>
      </c>
      <c r="AK16" s="690"/>
    </row>
    <row r="17" spans="1:37" s="653" customFormat="1">
      <c r="A17" s="655">
        <v>2024</v>
      </c>
      <c r="B17" s="656" t="str">
        <f>INDEX('①基本情報 '!$C$2:$C$255,MATCH('②建物情報 '!E17,'①基本情報 '!$E$2:$E$255,0),1)</f>
        <v>013</v>
      </c>
      <c r="C17" s="657" t="str">
        <f>INDEX('①基本情報 '!$B$2:$B$255,MATCH('②建物情報 '!E17,'①基本情報 '!$E$2:$E$255,0),1)</f>
        <v>0338</v>
      </c>
      <c r="D17" s="658" t="s">
        <v>2418</v>
      </c>
      <c r="E17" s="612" t="s">
        <v>155</v>
      </c>
      <c r="F17" s="611" t="str">
        <f>INDEX('①基本情報 '!$G$2:$G$255,MATCH('②建物情報 '!E17,'①基本情報 '!$E$2:$E$255,0),1)</f>
        <v>市民自治部共生推進室人権啓発センター</v>
      </c>
      <c r="G17" s="678" t="s">
        <v>1944</v>
      </c>
      <c r="H17" s="612" t="s">
        <v>599</v>
      </c>
      <c r="I17" s="663">
        <v>1974</v>
      </c>
      <c r="J17" s="663">
        <v>7</v>
      </c>
      <c r="K17" s="663">
        <f t="shared" si="0"/>
        <v>50</v>
      </c>
      <c r="L17" s="679">
        <v>787.78</v>
      </c>
      <c r="M17" s="680">
        <v>1636.92</v>
      </c>
      <c r="N17" s="680">
        <v>1636.92</v>
      </c>
      <c r="O17" s="681" t="s">
        <v>1812</v>
      </c>
      <c r="P17" s="259" t="s">
        <v>1581</v>
      </c>
      <c r="Q17" s="259">
        <v>3</v>
      </c>
      <c r="R17" s="260">
        <v>0</v>
      </c>
      <c r="S17" s="682" t="s">
        <v>1582</v>
      </c>
      <c r="T17" s="683" t="s">
        <v>1583</v>
      </c>
      <c r="U17" s="683" t="s">
        <v>63</v>
      </c>
      <c r="V17" s="684">
        <v>2009</v>
      </c>
      <c r="W17" s="685">
        <v>2013</v>
      </c>
      <c r="X17" s="686">
        <v>50</v>
      </c>
      <c r="Y17" s="687" t="s">
        <v>1585</v>
      </c>
      <c r="Z17" s="663" t="s">
        <v>1596</v>
      </c>
      <c r="AA17" s="663" t="s">
        <v>1585</v>
      </c>
      <c r="AB17" s="663" t="s">
        <v>825</v>
      </c>
      <c r="AC17" s="663" t="s">
        <v>1596</v>
      </c>
      <c r="AD17" s="663" t="s">
        <v>1596</v>
      </c>
      <c r="AE17" s="663" t="s">
        <v>1586</v>
      </c>
      <c r="AF17" s="663" t="s">
        <v>825</v>
      </c>
      <c r="AG17" s="663" t="s">
        <v>825</v>
      </c>
      <c r="AH17" s="663" t="s">
        <v>1586</v>
      </c>
      <c r="AI17" s="688">
        <v>70.909090909090907</v>
      </c>
      <c r="AJ17" s="689" t="s">
        <v>1588</v>
      </c>
      <c r="AK17" s="690"/>
    </row>
    <row r="18" spans="1:37" s="653" customFormat="1">
      <c r="A18" s="655">
        <v>2024</v>
      </c>
      <c r="B18" s="691" t="str">
        <f>INDEX('①基本情報 '!$C$2:$C$255,MATCH('②建物情報 '!E18,'①基本情報 '!$E$2:$E$255,0),1)</f>
        <v>013</v>
      </c>
      <c r="C18" s="692" t="str">
        <f>INDEX('①基本情報 '!$B$2:$B$255,MATCH('②建物情報 '!E18,'①基本情報 '!$E$2:$E$255,0),1)</f>
        <v>0338</v>
      </c>
      <c r="D18" s="261" t="s">
        <v>2418</v>
      </c>
      <c r="E18" s="262" t="s">
        <v>155</v>
      </c>
      <c r="F18" s="263" t="str">
        <f>INDEX('①基本情報 '!$G$2:$G$255,MATCH('②建物情報 '!E18,'①基本情報 '!$E$2:$E$255,0),1)</f>
        <v>市民自治部共生推進室人権啓発センター</v>
      </c>
      <c r="G18" s="264" t="s">
        <v>1589</v>
      </c>
      <c r="H18" s="262" t="s">
        <v>1602</v>
      </c>
      <c r="I18" s="265">
        <v>1974</v>
      </c>
      <c r="J18" s="265">
        <v>9</v>
      </c>
      <c r="K18" s="265">
        <f t="shared" si="0"/>
        <v>50</v>
      </c>
      <c r="L18" s="266"/>
      <c r="M18" s="267">
        <v>32.590000000000003</v>
      </c>
      <c r="N18" s="267">
        <v>32.590000000000003</v>
      </c>
      <c r="O18" s="268" t="s">
        <v>1812</v>
      </c>
      <c r="P18" s="269" t="s">
        <v>1603</v>
      </c>
      <c r="Q18" s="269"/>
      <c r="R18" s="270"/>
      <c r="S18" s="271"/>
      <c r="T18" s="272"/>
      <c r="U18" s="272"/>
      <c r="V18" s="273"/>
      <c r="W18" s="274"/>
      <c r="X18" s="275">
        <v>30</v>
      </c>
      <c r="Y18" s="276" t="s">
        <v>825</v>
      </c>
      <c r="Z18" s="265" t="s">
        <v>825</v>
      </c>
      <c r="AA18" s="265" t="s">
        <v>825</v>
      </c>
      <c r="AB18" s="265" t="s">
        <v>825</v>
      </c>
      <c r="AC18" s="265" t="s">
        <v>825</v>
      </c>
      <c r="AD18" s="265" t="s">
        <v>825</v>
      </c>
      <c r="AE18" s="265" t="s">
        <v>825</v>
      </c>
      <c r="AF18" s="265" t="s">
        <v>825</v>
      </c>
      <c r="AG18" s="265" t="s">
        <v>825</v>
      </c>
      <c r="AH18" s="265" t="s">
        <v>825</v>
      </c>
      <c r="AI18" s="277" t="s">
        <v>825</v>
      </c>
      <c r="AJ18" s="278" t="s">
        <v>1604</v>
      </c>
      <c r="AK18" s="696" t="s">
        <v>2332</v>
      </c>
    </row>
    <row r="19" spans="1:37" s="653" customFormat="1">
      <c r="A19" s="655">
        <v>2024</v>
      </c>
      <c r="B19" s="691" t="str">
        <f>INDEX('①基本情報 '!$C$2:$C$255,MATCH('②建物情報 '!E19,'①基本情報 '!$E$2:$E$255,0),1)</f>
        <v>013</v>
      </c>
      <c r="C19" s="692" t="str">
        <f>INDEX('①基本情報 '!$B$2:$B$255,MATCH('②建物情報 '!E19,'①基本情報 '!$E$2:$E$255,0),1)</f>
        <v>0338</v>
      </c>
      <c r="D19" s="261" t="s">
        <v>2418</v>
      </c>
      <c r="E19" s="262" t="s">
        <v>155</v>
      </c>
      <c r="F19" s="263" t="str">
        <f>INDEX('①基本情報 '!$G$2:$G$255,MATCH('②建物情報 '!E19,'①基本情報 '!$E$2:$E$255,0),1)</f>
        <v>市民自治部共生推進室人権啓発センター</v>
      </c>
      <c r="G19" s="264" t="s">
        <v>1591</v>
      </c>
      <c r="H19" s="262" t="s">
        <v>1605</v>
      </c>
      <c r="I19" s="265">
        <v>1975</v>
      </c>
      <c r="J19" s="265">
        <v>1</v>
      </c>
      <c r="K19" s="265">
        <f t="shared" si="0"/>
        <v>49</v>
      </c>
      <c r="L19" s="266"/>
      <c r="M19" s="267">
        <v>37.5</v>
      </c>
      <c r="N19" s="267">
        <v>37.5</v>
      </c>
      <c r="O19" s="268" t="s">
        <v>1812</v>
      </c>
      <c r="P19" s="269" t="s">
        <v>1603</v>
      </c>
      <c r="Q19" s="269"/>
      <c r="R19" s="270"/>
      <c r="S19" s="271"/>
      <c r="T19" s="272"/>
      <c r="U19" s="272"/>
      <c r="V19" s="273"/>
      <c r="W19" s="274"/>
      <c r="X19" s="275">
        <v>24</v>
      </c>
      <c r="Y19" s="276" t="s">
        <v>825</v>
      </c>
      <c r="Z19" s="265" t="s">
        <v>825</v>
      </c>
      <c r="AA19" s="265" t="s">
        <v>825</v>
      </c>
      <c r="AB19" s="265" t="s">
        <v>825</v>
      </c>
      <c r="AC19" s="265" t="s">
        <v>825</v>
      </c>
      <c r="AD19" s="265" t="s">
        <v>825</v>
      </c>
      <c r="AE19" s="265" t="s">
        <v>825</v>
      </c>
      <c r="AF19" s="265" t="s">
        <v>825</v>
      </c>
      <c r="AG19" s="265" t="s">
        <v>825</v>
      </c>
      <c r="AH19" s="265" t="s">
        <v>825</v>
      </c>
      <c r="AI19" s="277" t="s">
        <v>825</v>
      </c>
      <c r="AJ19" s="278" t="s">
        <v>1606</v>
      </c>
      <c r="AK19" s="693" t="s">
        <v>2330</v>
      </c>
    </row>
    <row r="20" spans="1:37" s="653" customFormat="1">
      <c r="A20" s="655">
        <v>2024</v>
      </c>
      <c r="B20" s="691" t="str">
        <f>INDEX('①基本情報 '!$C$2:$C$255,MATCH('②建物情報 '!E20,'①基本情報 '!$E$2:$E$255,0),1)</f>
        <v>013</v>
      </c>
      <c r="C20" s="692" t="str">
        <f>INDEX('①基本情報 '!$B$2:$B$255,MATCH('②建物情報 '!E20,'①基本情報 '!$E$2:$E$255,0),1)</f>
        <v>0338</v>
      </c>
      <c r="D20" s="261" t="s">
        <v>2418</v>
      </c>
      <c r="E20" s="262" t="s">
        <v>155</v>
      </c>
      <c r="F20" s="263" t="str">
        <f>INDEX('①基本情報 '!$G$2:$G$255,MATCH('②建物情報 '!E20,'①基本情報 '!$E$2:$E$255,0),1)</f>
        <v>市民自治部共生推進室人権啓発センター</v>
      </c>
      <c r="G20" s="264" t="s">
        <v>1601</v>
      </c>
      <c r="H20" s="262" t="s">
        <v>1607</v>
      </c>
      <c r="I20" s="265">
        <v>1975</v>
      </c>
      <c r="J20" s="265">
        <v>1</v>
      </c>
      <c r="K20" s="265">
        <f t="shared" si="0"/>
        <v>49</v>
      </c>
      <c r="L20" s="266"/>
      <c r="M20" s="267">
        <v>42</v>
      </c>
      <c r="N20" s="267">
        <v>42</v>
      </c>
      <c r="O20" s="268" t="s">
        <v>1812</v>
      </c>
      <c r="P20" s="269" t="s">
        <v>1603</v>
      </c>
      <c r="Q20" s="269"/>
      <c r="R20" s="270"/>
      <c r="S20" s="271"/>
      <c r="T20" s="272"/>
      <c r="U20" s="272"/>
      <c r="V20" s="273"/>
      <c r="W20" s="274"/>
      <c r="X20" s="275">
        <v>25</v>
      </c>
      <c r="Y20" s="276" t="s">
        <v>825</v>
      </c>
      <c r="Z20" s="265" t="s">
        <v>825</v>
      </c>
      <c r="AA20" s="265" t="s">
        <v>825</v>
      </c>
      <c r="AB20" s="265" t="s">
        <v>825</v>
      </c>
      <c r="AC20" s="265" t="s">
        <v>825</v>
      </c>
      <c r="AD20" s="265" t="s">
        <v>825</v>
      </c>
      <c r="AE20" s="265" t="s">
        <v>825</v>
      </c>
      <c r="AF20" s="265" t="s">
        <v>825</v>
      </c>
      <c r="AG20" s="265" t="s">
        <v>825</v>
      </c>
      <c r="AH20" s="265" t="s">
        <v>825</v>
      </c>
      <c r="AI20" s="277" t="s">
        <v>825</v>
      </c>
      <c r="AJ20" s="278" t="s">
        <v>1604</v>
      </c>
      <c r="AK20" s="696" t="s">
        <v>2332</v>
      </c>
    </row>
    <row r="21" spans="1:37" s="653" customFormat="1">
      <c r="A21" s="655">
        <v>2024</v>
      </c>
      <c r="B21" s="656" t="str">
        <f>INDEX('①基本情報 '!$C$2:$C$255,MATCH('②建物情報 '!E21,'①基本情報 '!$E$2:$E$255,0),1)</f>
        <v>014</v>
      </c>
      <c r="C21" s="657" t="str">
        <f>INDEX('①基本情報 '!$B$2:$B$255,MATCH('②建物情報 '!E21,'①基本情報 '!$E$2:$E$255,0),1)</f>
        <v>1091</v>
      </c>
      <c r="D21" s="658" t="s">
        <v>2418</v>
      </c>
      <c r="E21" s="612" t="s">
        <v>169</v>
      </c>
      <c r="F21" s="611" t="str">
        <f>INDEX('①基本情報 '!$G$2:$G$255,MATCH('②建物情報 '!E21,'①基本情報 '!$E$2:$E$255,0),1)</f>
        <v>教育委員会学校教育部総合教育センター</v>
      </c>
      <c r="G21" s="678" t="s">
        <v>1580</v>
      </c>
      <c r="H21" s="612" t="s">
        <v>1608</v>
      </c>
      <c r="I21" s="663">
        <v>1994</v>
      </c>
      <c r="J21" s="663">
        <v>7</v>
      </c>
      <c r="K21" s="663">
        <f t="shared" si="0"/>
        <v>30</v>
      </c>
      <c r="L21" s="679">
        <v>681.06</v>
      </c>
      <c r="M21" s="680">
        <v>3139.92</v>
      </c>
      <c r="N21" s="680">
        <v>3139.92</v>
      </c>
      <c r="O21" s="681" t="s">
        <v>1813</v>
      </c>
      <c r="P21" s="259" t="s">
        <v>1581</v>
      </c>
      <c r="Q21" s="259">
        <v>6</v>
      </c>
      <c r="R21" s="260">
        <v>0</v>
      </c>
      <c r="S21" s="682" t="s">
        <v>1593</v>
      </c>
      <c r="T21" s="683" t="s">
        <v>825</v>
      </c>
      <c r="U21" s="683" t="s">
        <v>63</v>
      </c>
      <c r="V21" s="684"/>
      <c r="W21" s="685">
        <v>2014</v>
      </c>
      <c r="X21" s="686">
        <v>50</v>
      </c>
      <c r="Y21" s="687" t="s">
        <v>1596</v>
      </c>
      <c r="Z21" s="663" t="s">
        <v>1586</v>
      </c>
      <c r="AA21" s="663" t="s">
        <v>1587</v>
      </c>
      <c r="AB21" s="663" t="s">
        <v>1587</v>
      </c>
      <c r="AC21" s="663" t="s">
        <v>1587</v>
      </c>
      <c r="AD21" s="663" t="s">
        <v>1587</v>
      </c>
      <c r="AE21" s="663" t="s">
        <v>1586</v>
      </c>
      <c r="AF21" s="663" t="s">
        <v>825</v>
      </c>
      <c r="AG21" s="663" t="s">
        <v>825</v>
      </c>
      <c r="AH21" s="663" t="s">
        <v>1596</v>
      </c>
      <c r="AI21" s="688">
        <v>46.122448979591837</v>
      </c>
      <c r="AJ21" s="689" t="s">
        <v>1588</v>
      </c>
      <c r="AK21" s="690"/>
    </row>
    <row r="22" spans="1:37" s="653" customFormat="1">
      <c r="A22" s="655">
        <v>2024</v>
      </c>
      <c r="B22" s="691" t="str">
        <f>INDEX('①基本情報 '!$C$2:$C$255,MATCH('②建物情報 '!E22,'①基本情報 '!$E$2:$E$255,0),1)</f>
        <v>014</v>
      </c>
      <c r="C22" s="692" t="str">
        <f>INDEX('①基本情報 '!$B$2:$B$255,MATCH('②建物情報 '!E22,'①基本情報 '!$E$2:$E$255,0),1)</f>
        <v>1091</v>
      </c>
      <c r="D22" s="261" t="s">
        <v>2418</v>
      </c>
      <c r="E22" s="262" t="s">
        <v>169</v>
      </c>
      <c r="F22" s="263" t="str">
        <f>INDEX('①基本情報 '!$G$2:$G$255,MATCH('②建物情報 '!E22,'①基本情報 '!$E$2:$E$255,0),1)</f>
        <v>教育委員会学校教育部総合教育センター</v>
      </c>
      <c r="G22" s="264" t="s">
        <v>1589</v>
      </c>
      <c r="H22" s="262" t="s">
        <v>1609</v>
      </c>
      <c r="I22" s="265">
        <v>1994</v>
      </c>
      <c r="J22" s="265">
        <v>7</v>
      </c>
      <c r="K22" s="265">
        <f t="shared" si="0"/>
        <v>30</v>
      </c>
      <c r="L22" s="266"/>
      <c r="M22" s="267">
        <v>5.7</v>
      </c>
      <c r="N22" s="267">
        <v>5.7</v>
      </c>
      <c r="O22" s="268" t="s">
        <v>1813</v>
      </c>
      <c r="P22" s="269" t="s">
        <v>1581</v>
      </c>
      <c r="Q22" s="269"/>
      <c r="R22" s="270"/>
      <c r="S22" s="271"/>
      <c r="T22" s="272"/>
      <c r="U22" s="272"/>
      <c r="V22" s="273"/>
      <c r="W22" s="274"/>
      <c r="X22" s="275">
        <v>38</v>
      </c>
      <c r="Y22" s="276" t="s">
        <v>825</v>
      </c>
      <c r="Z22" s="265" t="s">
        <v>825</v>
      </c>
      <c r="AA22" s="265" t="s">
        <v>825</v>
      </c>
      <c r="AB22" s="265" t="s">
        <v>825</v>
      </c>
      <c r="AC22" s="265" t="s">
        <v>825</v>
      </c>
      <c r="AD22" s="265" t="s">
        <v>825</v>
      </c>
      <c r="AE22" s="265" t="s">
        <v>825</v>
      </c>
      <c r="AF22" s="265" t="s">
        <v>825</v>
      </c>
      <c r="AG22" s="265" t="s">
        <v>825</v>
      </c>
      <c r="AH22" s="265" t="s">
        <v>825</v>
      </c>
      <c r="AI22" s="277" t="s">
        <v>825</v>
      </c>
      <c r="AJ22" s="278" t="s">
        <v>1604</v>
      </c>
      <c r="AK22" s="696" t="s">
        <v>2332</v>
      </c>
    </row>
    <row r="23" spans="1:37" s="653" customFormat="1">
      <c r="A23" s="655">
        <v>2024</v>
      </c>
      <c r="B23" s="691" t="str">
        <f>INDEX('①基本情報 '!$C$2:$C$255,MATCH('②建物情報 '!E23,'①基本情報 '!$E$2:$E$255,0),1)</f>
        <v>015</v>
      </c>
      <c r="C23" s="692" t="str">
        <f>INDEX('①基本情報 '!$B$2:$B$255,MATCH('②建物情報 '!E23,'①基本情報 '!$E$2:$E$255,0),1)</f>
        <v>1092</v>
      </c>
      <c r="D23" s="261" t="s">
        <v>2418</v>
      </c>
      <c r="E23" s="262" t="s">
        <v>2147</v>
      </c>
      <c r="F23" s="263" t="str">
        <f>INDEX('①基本情報 '!$G$2:$G$255,MATCH('②建物情報 '!E23,'①基本情報 '!$E$2:$E$255,0),1)</f>
        <v>教育委員会こども未来部幼児教育推進課</v>
      </c>
      <c r="G23" s="264" t="s">
        <v>1944</v>
      </c>
      <c r="H23" s="262" t="s">
        <v>2148</v>
      </c>
      <c r="I23" s="265">
        <v>1994</v>
      </c>
      <c r="J23" s="265">
        <v>7</v>
      </c>
      <c r="K23" s="265">
        <f t="shared" si="0"/>
        <v>30</v>
      </c>
      <c r="L23" s="266">
        <v>681</v>
      </c>
      <c r="M23" s="267">
        <v>3139.92</v>
      </c>
      <c r="N23" s="267"/>
      <c r="O23" s="268" t="s">
        <v>1813</v>
      </c>
      <c r="P23" s="269" t="s">
        <v>1581</v>
      </c>
      <c r="Q23" s="269">
        <v>6</v>
      </c>
      <c r="R23" s="270">
        <v>0</v>
      </c>
      <c r="S23" s="271" t="s">
        <v>1927</v>
      </c>
      <c r="T23" s="272" t="s">
        <v>1966</v>
      </c>
      <c r="U23" s="272" t="s">
        <v>1846</v>
      </c>
      <c r="V23" s="273"/>
      <c r="W23" s="274">
        <v>2014</v>
      </c>
      <c r="X23" s="275">
        <v>50</v>
      </c>
      <c r="Y23" s="276" t="s">
        <v>1596</v>
      </c>
      <c r="Z23" s="265" t="s">
        <v>1586</v>
      </c>
      <c r="AA23" s="265" t="s">
        <v>1587</v>
      </c>
      <c r="AB23" s="265" t="s">
        <v>1587</v>
      </c>
      <c r="AC23" s="265" t="s">
        <v>1587</v>
      </c>
      <c r="AD23" s="265" t="s">
        <v>1587</v>
      </c>
      <c r="AE23" s="265" t="s">
        <v>1586</v>
      </c>
      <c r="AF23" s="265" t="s">
        <v>825</v>
      </c>
      <c r="AG23" s="265" t="s">
        <v>825</v>
      </c>
      <c r="AH23" s="265" t="s">
        <v>1596</v>
      </c>
      <c r="AI23" s="277">
        <v>46.938775510204081</v>
      </c>
      <c r="AJ23" s="278" t="s">
        <v>1604</v>
      </c>
      <c r="AK23" s="696" t="s">
        <v>2332</v>
      </c>
    </row>
    <row r="24" spans="1:37" s="653" customFormat="1">
      <c r="A24" s="655">
        <v>2024</v>
      </c>
      <c r="B24" s="656" t="str">
        <f>INDEX('①基本情報 '!$C$2:$C$255,MATCH('②建物情報 '!E24,'①基本情報 '!$E$2:$E$255,0),1)</f>
        <v>016</v>
      </c>
      <c r="C24" s="657" t="str">
        <f>INDEX('①基本情報 '!$B$2:$B$255,MATCH('②建物情報 '!E24,'①基本情報 '!$E$2:$E$255,0),1)</f>
        <v>1098</v>
      </c>
      <c r="D24" s="658" t="s">
        <v>2418</v>
      </c>
      <c r="E24" s="612" t="s">
        <v>2240</v>
      </c>
      <c r="F24" s="611" t="str">
        <f>INDEX('①基本情報 '!$G$2:$G$255,MATCH('②建物情報 '!E24,'①基本情報 '!$E$2:$E$255,0),1)</f>
        <v>教育委員会学校教育部総合教育センター</v>
      </c>
      <c r="G24" s="678" t="s">
        <v>1944</v>
      </c>
      <c r="H24" s="612" t="s">
        <v>2241</v>
      </c>
      <c r="I24" s="663">
        <v>1973</v>
      </c>
      <c r="J24" s="663">
        <v>3</v>
      </c>
      <c r="K24" s="663">
        <f t="shared" si="0"/>
        <v>51</v>
      </c>
      <c r="L24" s="679">
        <v>395</v>
      </c>
      <c r="M24" s="680">
        <v>1036.1400000000001</v>
      </c>
      <c r="N24" s="680">
        <v>248.26</v>
      </c>
      <c r="O24" s="681" t="s">
        <v>1813</v>
      </c>
      <c r="P24" s="259" t="s">
        <v>1581</v>
      </c>
      <c r="Q24" s="259">
        <v>2</v>
      </c>
      <c r="R24" s="260">
        <v>0</v>
      </c>
      <c r="S24" s="682" t="s">
        <v>1582</v>
      </c>
      <c r="T24" s="683" t="s">
        <v>1583</v>
      </c>
      <c r="U24" s="683" t="s">
        <v>63</v>
      </c>
      <c r="V24" s="684"/>
      <c r="W24" s="685"/>
      <c r="X24" s="686">
        <v>47</v>
      </c>
      <c r="Y24" s="687" t="s">
        <v>1585</v>
      </c>
      <c r="Z24" s="663" t="s">
        <v>1587</v>
      </c>
      <c r="AA24" s="663" t="s">
        <v>1586</v>
      </c>
      <c r="AB24" s="663" t="s">
        <v>1585</v>
      </c>
      <c r="AC24" s="663" t="s">
        <v>1586</v>
      </c>
      <c r="AD24" s="663" t="s">
        <v>1586</v>
      </c>
      <c r="AE24" s="663" t="s">
        <v>825</v>
      </c>
      <c r="AF24" s="663" t="s">
        <v>1587</v>
      </c>
      <c r="AG24" s="663" t="s">
        <v>1587</v>
      </c>
      <c r="AH24" s="663" t="s">
        <v>1585</v>
      </c>
      <c r="AI24" s="688">
        <v>60.434782608695656</v>
      </c>
      <c r="AJ24" s="689" t="s">
        <v>1588</v>
      </c>
      <c r="AK24" s="690"/>
    </row>
    <row r="25" spans="1:37" s="653" customFormat="1">
      <c r="A25" s="655">
        <v>2024</v>
      </c>
      <c r="B25" s="656" t="str">
        <f>INDEX('①基本情報 '!$C$2:$C$255,MATCH('②建物情報 '!E25,'①基本情報 '!$E$2:$E$255,0),1)</f>
        <v>017</v>
      </c>
      <c r="C25" s="657" t="str">
        <f>INDEX('①基本情報 '!$B$2:$B$255,MATCH('②建物情報 '!E25,'①基本情報 '!$E$2:$E$255,0),1)</f>
        <v>0021</v>
      </c>
      <c r="D25" s="658" t="s">
        <v>2418</v>
      </c>
      <c r="E25" s="612" t="s">
        <v>179</v>
      </c>
      <c r="F25" s="611" t="str">
        <f>INDEX('①基本情報 '!$G$2:$G$255,MATCH('②建物情報 '!E25,'①基本情報 '!$E$2:$E$255,0),1)</f>
        <v>市民自治部まちづくり室まちづくり推進課</v>
      </c>
      <c r="G25" s="678" t="s">
        <v>1580</v>
      </c>
      <c r="H25" s="612" t="s">
        <v>2173</v>
      </c>
      <c r="I25" s="663">
        <v>2001</v>
      </c>
      <c r="J25" s="663">
        <v>3</v>
      </c>
      <c r="K25" s="663">
        <f t="shared" si="0"/>
        <v>23</v>
      </c>
      <c r="L25" s="679">
        <v>2949.2</v>
      </c>
      <c r="M25" s="695">
        <v>6481.16</v>
      </c>
      <c r="N25" s="695">
        <v>0</v>
      </c>
      <c r="O25" s="681" t="s">
        <v>1594</v>
      </c>
      <c r="P25" s="259" t="s">
        <v>1581</v>
      </c>
      <c r="Q25" s="259"/>
      <c r="R25" s="260"/>
      <c r="S25" s="682" t="s">
        <v>1593</v>
      </c>
      <c r="T25" s="683" t="s">
        <v>825</v>
      </c>
      <c r="U25" s="683" t="s">
        <v>63</v>
      </c>
      <c r="V25" s="684"/>
      <c r="W25" s="685">
        <v>2019</v>
      </c>
      <c r="X25" s="686">
        <v>50</v>
      </c>
      <c r="Y25" s="687" t="s">
        <v>825</v>
      </c>
      <c r="Z25" s="663" t="s">
        <v>825</v>
      </c>
      <c r="AA25" s="663" t="s">
        <v>825</v>
      </c>
      <c r="AB25" s="663" t="s">
        <v>825</v>
      </c>
      <c r="AC25" s="663" t="s">
        <v>825</v>
      </c>
      <c r="AD25" s="663" t="s">
        <v>825</v>
      </c>
      <c r="AE25" s="663" t="s">
        <v>825</v>
      </c>
      <c r="AF25" s="663" t="s">
        <v>825</v>
      </c>
      <c r="AG25" s="663" t="s">
        <v>825</v>
      </c>
      <c r="AH25" s="663" t="s">
        <v>825</v>
      </c>
      <c r="AI25" s="688" t="s">
        <v>825</v>
      </c>
      <c r="AJ25" s="689" t="s">
        <v>1959</v>
      </c>
      <c r="AK25" s="690"/>
    </row>
    <row r="26" spans="1:37" s="653" customFormat="1" ht="13.5">
      <c r="A26" s="655">
        <v>2024</v>
      </c>
      <c r="B26" s="656" t="str">
        <f>INDEX('①基本情報 '!$C$2:$C$255,MATCH('②建物情報 '!E26,'①基本情報 '!$E$2:$E$255,0),1)</f>
        <v>018</v>
      </c>
      <c r="C26" s="657" t="str">
        <f>INDEX('①基本情報 '!$B$2:$B$255,MATCH('②建物情報 '!E26,'①基本情報 '!$E$2:$E$255,0),1)</f>
        <v>0901</v>
      </c>
      <c r="D26" s="658" t="s">
        <v>2418</v>
      </c>
      <c r="E26" s="612" t="s">
        <v>2056</v>
      </c>
      <c r="F26" s="611" t="str">
        <f>INDEX('①基本情報 '!$G$2:$G$255,MATCH('②建物情報 '!E26,'①基本情報 '!$E$2:$E$255,0),1)</f>
        <v>消防局管理室消防総務課</v>
      </c>
      <c r="G26" s="678" t="s">
        <v>1580</v>
      </c>
      <c r="H26" s="612" t="s">
        <v>1610</v>
      </c>
      <c r="I26" s="663">
        <v>1972</v>
      </c>
      <c r="J26" s="663">
        <v>11</v>
      </c>
      <c r="K26" s="663">
        <f t="shared" si="0"/>
        <v>52</v>
      </c>
      <c r="L26" s="694">
        <v>949.13</v>
      </c>
      <c r="M26" s="680">
        <v>2304.9</v>
      </c>
      <c r="N26" s="680">
        <v>2304.9</v>
      </c>
      <c r="O26" s="681" t="s">
        <v>1812</v>
      </c>
      <c r="P26" s="259" t="s">
        <v>1581</v>
      </c>
      <c r="Q26" s="259">
        <v>3</v>
      </c>
      <c r="R26" s="260">
        <v>0</v>
      </c>
      <c r="S26" s="682" t="s">
        <v>1582</v>
      </c>
      <c r="T26" s="683" t="s">
        <v>825</v>
      </c>
      <c r="U26" s="683" t="s">
        <v>63</v>
      </c>
      <c r="V26" s="684">
        <v>1998</v>
      </c>
      <c r="W26" s="685">
        <v>2014</v>
      </c>
      <c r="X26" s="686">
        <v>50</v>
      </c>
      <c r="Y26" s="687" t="s">
        <v>1585</v>
      </c>
      <c r="Z26" s="663" t="s">
        <v>1596</v>
      </c>
      <c r="AA26" s="663" t="s">
        <v>1585</v>
      </c>
      <c r="AB26" s="663" t="s">
        <v>1587</v>
      </c>
      <c r="AC26" s="663" t="s">
        <v>1587</v>
      </c>
      <c r="AD26" s="663" t="s">
        <v>1587</v>
      </c>
      <c r="AE26" s="663" t="s">
        <v>1596</v>
      </c>
      <c r="AF26" s="663" t="s">
        <v>1587</v>
      </c>
      <c r="AG26" s="663" t="s">
        <v>825</v>
      </c>
      <c r="AH26" s="663" t="s">
        <v>1596</v>
      </c>
      <c r="AI26" s="688">
        <v>47.727272727272727</v>
      </c>
      <c r="AJ26" s="689" t="s">
        <v>1588</v>
      </c>
      <c r="AK26" s="697"/>
    </row>
    <row r="27" spans="1:37" s="653" customFormat="1" ht="13.5">
      <c r="A27" s="655">
        <v>2024</v>
      </c>
      <c r="B27" s="656" t="str">
        <f>INDEX('①基本情報 '!$C$2:$C$255,MATCH('②建物情報 '!E27,'①基本情報 '!$E$2:$E$255,0),1)</f>
        <v>019</v>
      </c>
      <c r="C27" s="657" t="str">
        <f>INDEX('①基本情報 '!$B$2:$B$255,MATCH('②建物情報 '!E27,'①基本情報 '!$E$2:$E$255,0),1)</f>
        <v>0902</v>
      </c>
      <c r="D27" s="658" t="s">
        <v>2418</v>
      </c>
      <c r="E27" s="612" t="s">
        <v>197</v>
      </c>
      <c r="F27" s="611" t="str">
        <f>INDEX('①基本情報 '!$G$2:$G$255,MATCH('②建物情報 '!E27,'①基本情報 '!$E$2:$E$255,0),1)</f>
        <v>消防局管理室消防総務課</v>
      </c>
      <c r="G27" s="678" t="s">
        <v>1580</v>
      </c>
      <c r="H27" s="612" t="s">
        <v>1611</v>
      </c>
      <c r="I27" s="663">
        <v>1984</v>
      </c>
      <c r="J27" s="663">
        <v>3</v>
      </c>
      <c r="K27" s="663">
        <f t="shared" si="0"/>
        <v>40</v>
      </c>
      <c r="L27" s="694">
        <v>454.75</v>
      </c>
      <c r="M27" s="680">
        <v>869.73</v>
      </c>
      <c r="N27" s="680">
        <v>869.73</v>
      </c>
      <c r="O27" s="681" t="s">
        <v>1812</v>
      </c>
      <c r="P27" s="259" t="s">
        <v>1581</v>
      </c>
      <c r="Q27" s="259">
        <v>2</v>
      </c>
      <c r="R27" s="260">
        <v>0</v>
      </c>
      <c r="S27" s="682" t="s">
        <v>1593</v>
      </c>
      <c r="T27" s="683" t="s">
        <v>825</v>
      </c>
      <c r="U27" s="683" t="s">
        <v>63</v>
      </c>
      <c r="V27" s="684"/>
      <c r="W27" s="685">
        <v>2018</v>
      </c>
      <c r="X27" s="686">
        <v>50</v>
      </c>
      <c r="Y27" s="687" t="s">
        <v>1585</v>
      </c>
      <c r="Z27" s="663" t="s">
        <v>1585</v>
      </c>
      <c r="AA27" s="663" t="s">
        <v>1596</v>
      </c>
      <c r="AB27" s="663" t="s">
        <v>825</v>
      </c>
      <c r="AC27" s="663" t="s">
        <v>1586</v>
      </c>
      <c r="AD27" s="663" t="s">
        <v>1587</v>
      </c>
      <c r="AE27" s="663" t="s">
        <v>1587</v>
      </c>
      <c r="AF27" s="663" t="s">
        <v>825</v>
      </c>
      <c r="AG27" s="663" t="s">
        <v>825</v>
      </c>
      <c r="AH27" s="663" t="s">
        <v>1585</v>
      </c>
      <c r="AI27" s="688">
        <v>54.54545454545454</v>
      </c>
      <c r="AJ27" s="689" t="s">
        <v>1588</v>
      </c>
      <c r="AK27" s="697"/>
    </row>
    <row r="28" spans="1:37" s="653" customFormat="1" ht="13.5">
      <c r="A28" s="655">
        <v>2024</v>
      </c>
      <c r="B28" s="656" t="str">
        <f>INDEX('①基本情報 '!$C$2:$C$255,MATCH('②建物情報 '!E28,'①基本情報 '!$E$2:$E$255,0),1)</f>
        <v>019</v>
      </c>
      <c r="C28" s="657" t="str">
        <f>INDEX('①基本情報 '!$B$2:$B$255,MATCH('②建物情報 '!E28,'①基本情報 '!$E$2:$E$255,0),1)</f>
        <v>0902</v>
      </c>
      <c r="D28" s="658" t="s">
        <v>2418</v>
      </c>
      <c r="E28" s="612" t="s">
        <v>197</v>
      </c>
      <c r="F28" s="611" t="str">
        <f>INDEX('①基本情報 '!$G$2:$G$255,MATCH('②建物情報 '!E28,'①基本情報 '!$E$2:$E$255,0),1)</f>
        <v>消防局管理室消防総務課</v>
      </c>
      <c r="G28" s="678" t="s">
        <v>1589</v>
      </c>
      <c r="H28" s="612" t="s">
        <v>1612</v>
      </c>
      <c r="I28" s="663">
        <v>2015</v>
      </c>
      <c r="J28" s="663">
        <v>2</v>
      </c>
      <c r="K28" s="663">
        <f t="shared" si="0"/>
        <v>9</v>
      </c>
      <c r="L28" s="694"/>
      <c r="M28" s="680">
        <v>53.86</v>
      </c>
      <c r="N28" s="680">
        <v>53.86</v>
      </c>
      <c r="O28" s="681" t="s">
        <v>1812</v>
      </c>
      <c r="P28" s="259" t="s">
        <v>1581</v>
      </c>
      <c r="Q28" s="259"/>
      <c r="R28" s="260"/>
      <c r="S28" s="682" t="s">
        <v>1927</v>
      </c>
      <c r="T28" s="683" t="s">
        <v>1966</v>
      </c>
      <c r="U28" s="683" t="s">
        <v>1846</v>
      </c>
      <c r="V28" s="684"/>
      <c r="W28" s="685"/>
      <c r="X28" s="686">
        <v>38</v>
      </c>
      <c r="Y28" s="687" t="s">
        <v>825</v>
      </c>
      <c r="Z28" s="663" t="s">
        <v>825</v>
      </c>
      <c r="AA28" s="663" t="s">
        <v>825</v>
      </c>
      <c r="AB28" s="663" t="s">
        <v>825</v>
      </c>
      <c r="AC28" s="663" t="s">
        <v>825</v>
      </c>
      <c r="AD28" s="663" t="s">
        <v>825</v>
      </c>
      <c r="AE28" s="663" t="s">
        <v>825</v>
      </c>
      <c r="AF28" s="663" t="s">
        <v>825</v>
      </c>
      <c r="AG28" s="663" t="s">
        <v>825</v>
      </c>
      <c r="AH28" s="663" t="s">
        <v>825</v>
      </c>
      <c r="AI28" s="688" t="s">
        <v>825</v>
      </c>
      <c r="AJ28" s="689" t="s">
        <v>1588</v>
      </c>
      <c r="AK28" s="697"/>
    </row>
    <row r="29" spans="1:37" s="653" customFormat="1" ht="13.5">
      <c r="A29" s="655">
        <v>2024</v>
      </c>
      <c r="B29" s="691" t="str">
        <f>INDEX('①基本情報 '!$C$2:$C$255,MATCH('②建物情報 '!E29,'①基本情報 '!$E$2:$E$255,0),1)</f>
        <v>019</v>
      </c>
      <c r="C29" s="692" t="str">
        <f>INDEX('①基本情報 '!$B$2:$B$255,MATCH('②建物情報 '!E29,'①基本情報 '!$E$2:$E$255,0),1)</f>
        <v>0902</v>
      </c>
      <c r="D29" s="261" t="s">
        <v>2418</v>
      </c>
      <c r="E29" s="262" t="s">
        <v>197</v>
      </c>
      <c r="F29" s="263" t="str">
        <f>INDEX('①基本情報 '!$G$2:$G$255,MATCH('②建物情報 '!E29,'①基本情報 '!$E$2:$E$255,0),1)</f>
        <v>消防局管理室消防総務課</v>
      </c>
      <c r="G29" s="264" t="s">
        <v>1591</v>
      </c>
      <c r="H29" s="262" t="s">
        <v>1613</v>
      </c>
      <c r="I29" s="265">
        <v>2015</v>
      </c>
      <c r="J29" s="265">
        <v>2</v>
      </c>
      <c r="K29" s="265">
        <f t="shared" si="0"/>
        <v>9</v>
      </c>
      <c r="L29" s="281"/>
      <c r="M29" s="267">
        <v>3.02</v>
      </c>
      <c r="N29" s="267">
        <v>3.02</v>
      </c>
      <c r="O29" s="268" t="s">
        <v>1812</v>
      </c>
      <c r="P29" s="269" t="s">
        <v>1603</v>
      </c>
      <c r="Q29" s="269"/>
      <c r="R29" s="270"/>
      <c r="S29" s="271"/>
      <c r="T29" s="272"/>
      <c r="U29" s="272"/>
      <c r="V29" s="273"/>
      <c r="W29" s="274"/>
      <c r="X29" s="275">
        <v>15</v>
      </c>
      <c r="Y29" s="276" t="s">
        <v>825</v>
      </c>
      <c r="Z29" s="265" t="s">
        <v>825</v>
      </c>
      <c r="AA29" s="265" t="s">
        <v>825</v>
      </c>
      <c r="AB29" s="265" t="s">
        <v>825</v>
      </c>
      <c r="AC29" s="265" t="s">
        <v>825</v>
      </c>
      <c r="AD29" s="265" t="s">
        <v>825</v>
      </c>
      <c r="AE29" s="265" t="s">
        <v>825</v>
      </c>
      <c r="AF29" s="265" t="s">
        <v>825</v>
      </c>
      <c r="AG29" s="265" t="s">
        <v>825</v>
      </c>
      <c r="AH29" s="265" t="s">
        <v>825</v>
      </c>
      <c r="AI29" s="277" t="s">
        <v>825</v>
      </c>
      <c r="AJ29" s="278" t="s">
        <v>1604</v>
      </c>
      <c r="AK29" s="698" t="s">
        <v>2332</v>
      </c>
    </row>
    <row r="30" spans="1:37" s="653" customFormat="1" ht="27">
      <c r="A30" s="655">
        <v>2024</v>
      </c>
      <c r="B30" s="691" t="str">
        <f>INDEX('①基本情報 '!$C$2:$C$255,MATCH('②建物情報 '!E30,'①基本情報 '!$E$2:$E$255,0),1)</f>
        <v>019</v>
      </c>
      <c r="C30" s="692" t="str">
        <f>INDEX('①基本情報 '!$B$2:$B$255,MATCH('②建物情報 '!E30,'①基本情報 '!$E$2:$E$255,0),1)</f>
        <v>0902</v>
      </c>
      <c r="D30" s="261" t="s">
        <v>2418</v>
      </c>
      <c r="E30" s="262" t="s">
        <v>197</v>
      </c>
      <c r="F30" s="263" t="str">
        <f>INDEX('①基本情報 '!$G$2:$G$255,MATCH('②建物情報 '!E30,'①基本情報 '!$E$2:$E$255,0),1)</f>
        <v>消防局管理室消防総務課</v>
      </c>
      <c r="G30" s="264" t="s">
        <v>1601</v>
      </c>
      <c r="H30" s="262" t="s">
        <v>1615</v>
      </c>
      <c r="I30" s="265">
        <v>1984</v>
      </c>
      <c r="J30" s="265">
        <v>3</v>
      </c>
      <c r="K30" s="265">
        <f t="shared" si="0"/>
        <v>40</v>
      </c>
      <c r="L30" s="281"/>
      <c r="M30" s="267">
        <v>24</v>
      </c>
      <c r="N30" s="267">
        <v>24</v>
      </c>
      <c r="O30" s="268" t="s">
        <v>1812</v>
      </c>
      <c r="P30" s="269" t="s">
        <v>1603</v>
      </c>
      <c r="Q30" s="269"/>
      <c r="R30" s="270"/>
      <c r="S30" s="271"/>
      <c r="T30" s="272"/>
      <c r="U30" s="272"/>
      <c r="V30" s="273"/>
      <c r="W30" s="274">
        <v>2015</v>
      </c>
      <c r="X30" s="275">
        <v>31</v>
      </c>
      <c r="Y30" s="276" t="s">
        <v>825</v>
      </c>
      <c r="Z30" s="265" t="s">
        <v>825</v>
      </c>
      <c r="AA30" s="265" t="s">
        <v>825</v>
      </c>
      <c r="AB30" s="265" t="s">
        <v>825</v>
      </c>
      <c r="AC30" s="265" t="s">
        <v>825</v>
      </c>
      <c r="AD30" s="265" t="s">
        <v>825</v>
      </c>
      <c r="AE30" s="265" t="s">
        <v>825</v>
      </c>
      <c r="AF30" s="265" t="s">
        <v>825</v>
      </c>
      <c r="AG30" s="265" t="s">
        <v>825</v>
      </c>
      <c r="AH30" s="265" t="s">
        <v>825</v>
      </c>
      <c r="AI30" s="277" t="s">
        <v>825</v>
      </c>
      <c r="AJ30" s="278" t="s">
        <v>1606</v>
      </c>
      <c r="AK30" s="699" t="s">
        <v>2330</v>
      </c>
    </row>
    <row r="31" spans="1:37" s="653" customFormat="1" ht="13.5">
      <c r="A31" s="655">
        <v>2024</v>
      </c>
      <c r="B31" s="656" t="str">
        <f>INDEX('①基本情報 '!$C$2:$C$255,MATCH('②建物情報 '!E31,'①基本情報 '!$E$2:$E$255,0),1)</f>
        <v>020</v>
      </c>
      <c r="C31" s="657" t="str">
        <f>INDEX('①基本情報 '!$B$2:$B$255,MATCH('②建物情報 '!E31,'①基本情報 '!$E$2:$E$255,0),1)</f>
        <v>0903</v>
      </c>
      <c r="D31" s="658" t="s">
        <v>2418</v>
      </c>
      <c r="E31" s="612" t="s">
        <v>211</v>
      </c>
      <c r="F31" s="611" t="str">
        <f>INDEX('①基本情報 '!$G$2:$G$255,MATCH('②建物情報 '!E31,'①基本情報 '!$E$2:$E$255,0),1)</f>
        <v>消防局管理室消防総務課</v>
      </c>
      <c r="G31" s="678" t="s">
        <v>1580</v>
      </c>
      <c r="H31" s="612" t="s">
        <v>1616</v>
      </c>
      <c r="I31" s="663">
        <v>1985</v>
      </c>
      <c r="J31" s="663">
        <v>3</v>
      </c>
      <c r="K31" s="663">
        <f t="shared" si="0"/>
        <v>39</v>
      </c>
      <c r="L31" s="694">
        <v>207.88</v>
      </c>
      <c r="M31" s="680">
        <v>183.18</v>
      </c>
      <c r="N31" s="680">
        <v>183.18</v>
      </c>
      <c r="O31" s="681" t="s">
        <v>1812</v>
      </c>
      <c r="P31" s="259" t="s">
        <v>1581</v>
      </c>
      <c r="Q31" s="259">
        <v>1</v>
      </c>
      <c r="R31" s="260">
        <v>0</v>
      </c>
      <c r="S31" s="682" t="s">
        <v>1593</v>
      </c>
      <c r="T31" s="683" t="s">
        <v>825</v>
      </c>
      <c r="U31" s="683" t="s">
        <v>63</v>
      </c>
      <c r="V31" s="684"/>
      <c r="W31" s="685">
        <v>2019</v>
      </c>
      <c r="X31" s="686">
        <v>50</v>
      </c>
      <c r="Y31" s="687" t="s">
        <v>1585</v>
      </c>
      <c r="Z31" s="663" t="s">
        <v>1586</v>
      </c>
      <c r="AA31" s="663" t="s">
        <v>1586</v>
      </c>
      <c r="AB31" s="663" t="s">
        <v>825</v>
      </c>
      <c r="AC31" s="663" t="s">
        <v>1586</v>
      </c>
      <c r="AD31" s="663" t="s">
        <v>1587</v>
      </c>
      <c r="AE31" s="663" t="s">
        <v>1586</v>
      </c>
      <c r="AF31" s="663" t="s">
        <v>825</v>
      </c>
      <c r="AG31" s="663" t="s">
        <v>825</v>
      </c>
      <c r="AH31" s="663" t="s">
        <v>1586</v>
      </c>
      <c r="AI31" s="688">
        <v>77.575757575757578</v>
      </c>
      <c r="AJ31" s="689" t="s">
        <v>1588</v>
      </c>
      <c r="AK31" s="697"/>
    </row>
    <row r="32" spans="1:37" s="653" customFormat="1" ht="13.5">
      <c r="A32" s="655">
        <v>2024</v>
      </c>
      <c r="B32" s="691" t="str">
        <f>INDEX('①基本情報 '!$C$2:$C$255,MATCH('②建物情報 '!E32,'①基本情報 '!$E$2:$E$255,0),1)</f>
        <v>020</v>
      </c>
      <c r="C32" s="692" t="str">
        <f>INDEX('①基本情報 '!$B$2:$B$255,MATCH('②建物情報 '!E32,'①基本情報 '!$E$2:$E$255,0),1)</f>
        <v>0903</v>
      </c>
      <c r="D32" s="261" t="s">
        <v>2418</v>
      </c>
      <c r="E32" s="262" t="s">
        <v>211</v>
      </c>
      <c r="F32" s="263" t="str">
        <f>INDEX('①基本情報 '!$G$2:$G$255,MATCH('②建物情報 '!E32,'①基本情報 '!$E$2:$E$255,0),1)</f>
        <v>消防局管理室消防総務課</v>
      </c>
      <c r="G32" s="264" t="s">
        <v>1589</v>
      </c>
      <c r="H32" s="262" t="s">
        <v>1613</v>
      </c>
      <c r="I32" s="265">
        <v>1985</v>
      </c>
      <c r="J32" s="265">
        <v>3</v>
      </c>
      <c r="K32" s="265">
        <f t="shared" si="0"/>
        <v>39</v>
      </c>
      <c r="L32" s="281"/>
      <c r="M32" s="267">
        <v>10</v>
      </c>
      <c r="N32" s="267">
        <v>10</v>
      </c>
      <c r="O32" s="268" t="s">
        <v>1812</v>
      </c>
      <c r="P32" s="269" t="s">
        <v>1617</v>
      </c>
      <c r="Q32" s="269"/>
      <c r="R32" s="270"/>
      <c r="S32" s="271"/>
      <c r="T32" s="272"/>
      <c r="U32" s="272"/>
      <c r="V32" s="273"/>
      <c r="W32" s="274">
        <v>2019</v>
      </c>
      <c r="X32" s="275">
        <v>34</v>
      </c>
      <c r="Y32" s="276" t="s">
        <v>825</v>
      </c>
      <c r="Z32" s="265" t="s">
        <v>825</v>
      </c>
      <c r="AA32" s="265" t="s">
        <v>825</v>
      </c>
      <c r="AB32" s="265" t="s">
        <v>825</v>
      </c>
      <c r="AC32" s="265" t="s">
        <v>825</v>
      </c>
      <c r="AD32" s="265" t="s">
        <v>825</v>
      </c>
      <c r="AE32" s="265" t="s">
        <v>825</v>
      </c>
      <c r="AF32" s="265" t="s">
        <v>825</v>
      </c>
      <c r="AG32" s="265" t="s">
        <v>825</v>
      </c>
      <c r="AH32" s="265" t="s">
        <v>825</v>
      </c>
      <c r="AI32" s="277" t="s">
        <v>825</v>
      </c>
      <c r="AJ32" s="278" t="s">
        <v>1604</v>
      </c>
      <c r="AK32" s="698" t="s">
        <v>2332</v>
      </c>
    </row>
    <row r="33" spans="1:37" s="653" customFormat="1" ht="27">
      <c r="A33" s="655">
        <v>2024</v>
      </c>
      <c r="B33" s="691" t="str">
        <f>INDEX('①基本情報 '!$C$2:$C$255,MATCH('②建物情報 '!E33,'①基本情報 '!$E$2:$E$255,0),1)</f>
        <v>020</v>
      </c>
      <c r="C33" s="692" t="str">
        <f>INDEX('①基本情報 '!$B$2:$B$255,MATCH('②建物情報 '!E33,'①基本情報 '!$E$2:$E$255,0),1)</f>
        <v>0903</v>
      </c>
      <c r="D33" s="261" t="s">
        <v>2418</v>
      </c>
      <c r="E33" s="262" t="s">
        <v>211</v>
      </c>
      <c r="F33" s="263" t="str">
        <f>INDEX('①基本情報 '!$G$2:$G$255,MATCH('②建物情報 '!E33,'①基本情報 '!$E$2:$E$255,0),1)</f>
        <v>消防局管理室消防総務課</v>
      </c>
      <c r="G33" s="264" t="s">
        <v>1591</v>
      </c>
      <c r="H33" s="262" t="s">
        <v>1615</v>
      </c>
      <c r="I33" s="265">
        <v>1985</v>
      </c>
      <c r="J33" s="265">
        <v>3</v>
      </c>
      <c r="K33" s="265">
        <f t="shared" si="0"/>
        <v>39</v>
      </c>
      <c r="L33" s="281"/>
      <c r="M33" s="267">
        <v>14.7</v>
      </c>
      <c r="N33" s="267">
        <v>14.7</v>
      </c>
      <c r="O33" s="268" t="s">
        <v>1812</v>
      </c>
      <c r="P33" s="269" t="s">
        <v>1603</v>
      </c>
      <c r="Q33" s="269"/>
      <c r="R33" s="270"/>
      <c r="S33" s="271"/>
      <c r="T33" s="272"/>
      <c r="U33" s="272"/>
      <c r="V33" s="273"/>
      <c r="W33" s="274">
        <v>2019</v>
      </c>
      <c r="X33" s="275">
        <v>24</v>
      </c>
      <c r="Y33" s="276" t="s">
        <v>825</v>
      </c>
      <c r="Z33" s="265" t="s">
        <v>825</v>
      </c>
      <c r="AA33" s="265" t="s">
        <v>825</v>
      </c>
      <c r="AB33" s="265" t="s">
        <v>825</v>
      </c>
      <c r="AC33" s="265" t="s">
        <v>825</v>
      </c>
      <c r="AD33" s="265" t="s">
        <v>825</v>
      </c>
      <c r="AE33" s="265" t="s">
        <v>825</v>
      </c>
      <c r="AF33" s="265" t="s">
        <v>825</v>
      </c>
      <c r="AG33" s="265" t="s">
        <v>825</v>
      </c>
      <c r="AH33" s="265" t="s">
        <v>825</v>
      </c>
      <c r="AI33" s="277" t="s">
        <v>825</v>
      </c>
      <c r="AJ33" s="278" t="s">
        <v>1606</v>
      </c>
      <c r="AK33" s="699" t="s">
        <v>2330</v>
      </c>
    </row>
    <row r="34" spans="1:37" s="653" customFormat="1" ht="13.5">
      <c r="A34" s="655">
        <v>2024</v>
      </c>
      <c r="B34" s="656" t="str">
        <f>INDEX('①基本情報 '!$C$2:$C$255,MATCH('②建物情報 '!E34,'①基本情報 '!$E$2:$E$255,0),1)</f>
        <v>021</v>
      </c>
      <c r="C34" s="657" t="str">
        <f>INDEX('①基本情報 '!$B$2:$B$255,MATCH('②建物情報 '!E34,'①基本情報 '!$E$2:$E$255,0),1)</f>
        <v>0907</v>
      </c>
      <c r="D34" s="658" t="s">
        <v>2418</v>
      </c>
      <c r="E34" s="612" t="s">
        <v>215</v>
      </c>
      <c r="F34" s="611" t="str">
        <f>INDEX('①基本情報 '!$G$2:$G$255,MATCH('②建物情報 '!E34,'①基本情報 '!$E$2:$E$255,0),1)</f>
        <v>消防局管理室消防総務課</v>
      </c>
      <c r="G34" s="678" t="s">
        <v>1580</v>
      </c>
      <c r="H34" s="700" t="s">
        <v>1616</v>
      </c>
      <c r="I34" s="663">
        <v>1985</v>
      </c>
      <c r="J34" s="663">
        <v>12</v>
      </c>
      <c r="K34" s="663">
        <f t="shared" si="0"/>
        <v>39</v>
      </c>
      <c r="L34" s="694">
        <v>180.12</v>
      </c>
      <c r="M34" s="680">
        <v>178.05</v>
      </c>
      <c r="N34" s="680">
        <v>178.05</v>
      </c>
      <c r="O34" s="681" t="s">
        <v>1812</v>
      </c>
      <c r="P34" s="259" t="s">
        <v>1581</v>
      </c>
      <c r="Q34" s="259">
        <v>2</v>
      </c>
      <c r="R34" s="260">
        <v>0</v>
      </c>
      <c r="S34" s="682" t="s">
        <v>1593</v>
      </c>
      <c r="T34" s="683" t="s">
        <v>825</v>
      </c>
      <c r="U34" s="683" t="s">
        <v>63</v>
      </c>
      <c r="V34" s="684"/>
      <c r="W34" s="685">
        <v>2024</v>
      </c>
      <c r="X34" s="686">
        <v>50</v>
      </c>
      <c r="Y34" s="687" t="s">
        <v>1585</v>
      </c>
      <c r="Z34" s="663" t="s">
        <v>1587</v>
      </c>
      <c r="AA34" s="663" t="s">
        <v>1587</v>
      </c>
      <c r="AB34" s="663" t="s">
        <v>825</v>
      </c>
      <c r="AC34" s="663" t="s">
        <v>1587</v>
      </c>
      <c r="AD34" s="663" t="s">
        <v>1587</v>
      </c>
      <c r="AE34" s="663" t="s">
        <v>1587</v>
      </c>
      <c r="AF34" s="663" t="s">
        <v>1587</v>
      </c>
      <c r="AG34" s="663" t="s">
        <v>825</v>
      </c>
      <c r="AH34" s="663" t="s">
        <v>1587</v>
      </c>
      <c r="AI34" s="688">
        <v>20.526315789473681</v>
      </c>
      <c r="AJ34" s="689" t="s">
        <v>1588</v>
      </c>
      <c r="AK34" s="697"/>
    </row>
    <row r="35" spans="1:37" s="653" customFormat="1" ht="27">
      <c r="A35" s="655">
        <v>2024</v>
      </c>
      <c r="B35" s="691" t="str">
        <f>INDEX('①基本情報 '!$C$2:$C$255,MATCH('②建物情報 '!E35,'①基本情報 '!$E$2:$E$255,0),1)</f>
        <v>021</v>
      </c>
      <c r="C35" s="692" t="str">
        <f>INDEX('①基本情報 '!$B$2:$B$255,MATCH('②建物情報 '!E35,'①基本情報 '!$E$2:$E$255,0),1)</f>
        <v>0907</v>
      </c>
      <c r="D35" s="261" t="s">
        <v>2418</v>
      </c>
      <c r="E35" s="262" t="s">
        <v>215</v>
      </c>
      <c r="F35" s="263" t="str">
        <f>INDEX('①基本情報 '!$G$2:$G$255,MATCH('②建物情報 '!E35,'①基本情報 '!$E$2:$E$255,0),1)</f>
        <v>消防局管理室消防総務課</v>
      </c>
      <c r="G35" s="264" t="s">
        <v>1589</v>
      </c>
      <c r="H35" s="282" t="s">
        <v>1615</v>
      </c>
      <c r="I35" s="265">
        <v>1985</v>
      </c>
      <c r="J35" s="265">
        <v>12</v>
      </c>
      <c r="K35" s="265">
        <f t="shared" si="0"/>
        <v>39</v>
      </c>
      <c r="L35" s="281"/>
      <c r="M35" s="267">
        <v>11.2</v>
      </c>
      <c r="N35" s="267">
        <v>11.2</v>
      </c>
      <c r="O35" s="268" t="s">
        <v>1812</v>
      </c>
      <c r="P35" s="269" t="s">
        <v>1603</v>
      </c>
      <c r="Q35" s="269"/>
      <c r="R35" s="270"/>
      <c r="S35" s="271"/>
      <c r="T35" s="272"/>
      <c r="U35" s="272"/>
      <c r="V35" s="273"/>
      <c r="W35" s="274">
        <v>2003</v>
      </c>
      <c r="X35" s="275">
        <v>38</v>
      </c>
      <c r="Y35" s="276" t="s">
        <v>825</v>
      </c>
      <c r="Z35" s="265" t="s">
        <v>825</v>
      </c>
      <c r="AA35" s="265" t="s">
        <v>825</v>
      </c>
      <c r="AB35" s="265" t="s">
        <v>825</v>
      </c>
      <c r="AC35" s="265" t="s">
        <v>825</v>
      </c>
      <c r="AD35" s="265" t="s">
        <v>825</v>
      </c>
      <c r="AE35" s="265" t="s">
        <v>825</v>
      </c>
      <c r="AF35" s="265" t="s">
        <v>825</v>
      </c>
      <c r="AG35" s="265" t="s">
        <v>825</v>
      </c>
      <c r="AH35" s="265" t="s">
        <v>825</v>
      </c>
      <c r="AI35" s="277" t="s">
        <v>825</v>
      </c>
      <c r="AJ35" s="278" t="s">
        <v>1606</v>
      </c>
      <c r="AK35" s="699" t="s">
        <v>2330</v>
      </c>
    </row>
    <row r="36" spans="1:37" s="653" customFormat="1" ht="13.5">
      <c r="A36" s="655">
        <v>2024</v>
      </c>
      <c r="B36" s="656" t="str">
        <f>INDEX('①基本情報 '!$C$2:$C$255,MATCH('②建物情報 '!E36,'①基本情報 '!$E$2:$E$255,0),1)</f>
        <v>021</v>
      </c>
      <c r="C36" s="657" t="str">
        <f>INDEX('①基本情報 '!$B$2:$B$255,MATCH('②建物情報 '!E36,'①基本情報 '!$E$2:$E$255,0),1)</f>
        <v>0907</v>
      </c>
      <c r="D36" s="658" t="s">
        <v>2418</v>
      </c>
      <c r="E36" s="612" t="s">
        <v>215</v>
      </c>
      <c r="F36" s="611" t="str">
        <f>INDEX('①基本情報 '!$G$2:$G$255,MATCH('②建物情報 '!E36,'①基本情報 '!$E$2:$E$255,0),1)</f>
        <v>消防局管理室消防総務課</v>
      </c>
      <c r="G36" s="678" t="s">
        <v>1591</v>
      </c>
      <c r="H36" s="700" t="s">
        <v>1898</v>
      </c>
      <c r="I36" s="663">
        <v>2003</v>
      </c>
      <c r="J36" s="663">
        <v>10</v>
      </c>
      <c r="K36" s="663">
        <f t="shared" si="0"/>
        <v>21</v>
      </c>
      <c r="L36" s="694"/>
      <c r="M36" s="680">
        <v>112.87</v>
      </c>
      <c r="N36" s="680">
        <v>112.87</v>
      </c>
      <c r="O36" s="681" t="s">
        <v>1812</v>
      </c>
      <c r="P36" s="259" t="s">
        <v>1581</v>
      </c>
      <c r="Q36" s="259">
        <v>2</v>
      </c>
      <c r="R36" s="260">
        <v>0</v>
      </c>
      <c r="S36" s="682" t="s">
        <v>1593</v>
      </c>
      <c r="T36" s="683" t="s">
        <v>825</v>
      </c>
      <c r="U36" s="683" t="s">
        <v>63</v>
      </c>
      <c r="V36" s="684"/>
      <c r="W36" s="685">
        <v>2024</v>
      </c>
      <c r="X36" s="686">
        <v>38</v>
      </c>
      <c r="Y36" s="687" t="s">
        <v>825</v>
      </c>
      <c r="Z36" s="663" t="s">
        <v>825</v>
      </c>
      <c r="AA36" s="663" t="s">
        <v>825</v>
      </c>
      <c r="AB36" s="663" t="s">
        <v>825</v>
      </c>
      <c r="AC36" s="663" t="s">
        <v>825</v>
      </c>
      <c r="AD36" s="663" t="s">
        <v>825</v>
      </c>
      <c r="AE36" s="663" t="s">
        <v>825</v>
      </c>
      <c r="AF36" s="663" t="s">
        <v>825</v>
      </c>
      <c r="AG36" s="663" t="s">
        <v>825</v>
      </c>
      <c r="AH36" s="663" t="s">
        <v>825</v>
      </c>
      <c r="AI36" s="688" t="s">
        <v>825</v>
      </c>
      <c r="AJ36" s="701" t="s">
        <v>1588</v>
      </c>
      <c r="AK36" s="697"/>
    </row>
    <row r="37" spans="1:37" s="653" customFormat="1" ht="27">
      <c r="A37" s="655">
        <v>2024</v>
      </c>
      <c r="B37" s="691" t="str">
        <f>INDEX('①基本情報 '!$C$2:$C$255,MATCH('②建物情報 '!E37,'①基本情報 '!$E$2:$E$255,0),1)</f>
        <v>021</v>
      </c>
      <c r="C37" s="692" t="str">
        <f>INDEX('①基本情報 '!$B$2:$B$255,MATCH('②建物情報 '!E37,'①基本情報 '!$E$2:$E$255,0),1)</f>
        <v>0907</v>
      </c>
      <c r="D37" s="261" t="s">
        <v>2418</v>
      </c>
      <c r="E37" s="262" t="s">
        <v>215</v>
      </c>
      <c r="F37" s="263" t="str">
        <f>INDEX('①基本情報 '!$G$2:$G$255,MATCH('②建物情報 '!E37,'①基本情報 '!$E$2:$E$255,0),1)</f>
        <v>消防局管理室消防総務課</v>
      </c>
      <c r="G37" s="264" t="s">
        <v>1601</v>
      </c>
      <c r="H37" s="282" t="s">
        <v>1618</v>
      </c>
      <c r="I37" s="265">
        <v>2003</v>
      </c>
      <c r="J37" s="265">
        <v>10</v>
      </c>
      <c r="K37" s="265">
        <f t="shared" si="0"/>
        <v>21</v>
      </c>
      <c r="L37" s="281"/>
      <c r="M37" s="267">
        <v>5.8</v>
      </c>
      <c r="N37" s="267">
        <v>5.8</v>
      </c>
      <c r="O37" s="268" t="s">
        <v>1812</v>
      </c>
      <c r="P37" s="269" t="s">
        <v>1603</v>
      </c>
      <c r="Q37" s="269"/>
      <c r="R37" s="270"/>
      <c r="S37" s="271"/>
      <c r="T37" s="272"/>
      <c r="U37" s="272"/>
      <c r="V37" s="273"/>
      <c r="W37" s="274"/>
      <c r="X37" s="275">
        <v>38</v>
      </c>
      <c r="Y37" s="276" t="s">
        <v>825</v>
      </c>
      <c r="Z37" s="265" t="s">
        <v>825</v>
      </c>
      <c r="AA37" s="265" t="s">
        <v>825</v>
      </c>
      <c r="AB37" s="265" t="s">
        <v>825</v>
      </c>
      <c r="AC37" s="265" t="s">
        <v>825</v>
      </c>
      <c r="AD37" s="265" t="s">
        <v>825</v>
      </c>
      <c r="AE37" s="265" t="s">
        <v>825</v>
      </c>
      <c r="AF37" s="265" t="s">
        <v>825</v>
      </c>
      <c r="AG37" s="265" t="s">
        <v>825</v>
      </c>
      <c r="AH37" s="265" t="s">
        <v>825</v>
      </c>
      <c r="AI37" s="277" t="s">
        <v>825</v>
      </c>
      <c r="AJ37" s="278" t="s">
        <v>1606</v>
      </c>
      <c r="AK37" s="699" t="s">
        <v>2330</v>
      </c>
    </row>
    <row r="38" spans="1:37" s="653" customFormat="1" ht="13.5">
      <c r="A38" s="655">
        <v>2024</v>
      </c>
      <c r="B38" s="656" t="str">
        <f>INDEX('①基本情報 '!$C$2:$C$255,MATCH('②建物情報 '!E38,'①基本情報 '!$E$2:$E$255,0),1)</f>
        <v>022</v>
      </c>
      <c r="C38" s="657" t="str">
        <f>INDEX('①基本情報 '!$B$2:$B$255,MATCH('②建物情報 '!E38,'①基本情報 '!$E$2:$E$255,0),1)</f>
        <v>0906</v>
      </c>
      <c r="D38" s="658" t="s">
        <v>2418</v>
      </c>
      <c r="E38" s="612" t="s">
        <v>205</v>
      </c>
      <c r="F38" s="611" t="str">
        <f>INDEX('①基本情報 '!$G$2:$G$255,MATCH('②建物情報 '!E38,'①基本情報 '!$E$2:$E$255,0),1)</f>
        <v>消防局管理室消防総務課</v>
      </c>
      <c r="G38" s="678" t="s">
        <v>1580</v>
      </c>
      <c r="H38" s="612" t="s">
        <v>1616</v>
      </c>
      <c r="I38" s="663">
        <v>1985</v>
      </c>
      <c r="J38" s="663">
        <v>3</v>
      </c>
      <c r="K38" s="663">
        <f t="shared" si="0"/>
        <v>39</v>
      </c>
      <c r="L38" s="694">
        <v>210.39</v>
      </c>
      <c r="M38" s="680">
        <v>184.68</v>
      </c>
      <c r="N38" s="680">
        <v>184.68</v>
      </c>
      <c r="O38" s="681" t="s">
        <v>1812</v>
      </c>
      <c r="P38" s="259" t="s">
        <v>1581</v>
      </c>
      <c r="Q38" s="259">
        <v>1</v>
      </c>
      <c r="R38" s="260">
        <v>0</v>
      </c>
      <c r="S38" s="682" t="s">
        <v>1593</v>
      </c>
      <c r="T38" s="683" t="s">
        <v>825</v>
      </c>
      <c r="U38" s="683" t="s">
        <v>63</v>
      </c>
      <c r="V38" s="684"/>
      <c r="W38" s="685">
        <v>2018</v>
      </c>
      <c r="X38" s="686">
        <v>50</v>
      </c>
      <c r="Y38" s="687" t="s">
        <v>1585</v>
      </c>
      <c r="Z38" s="663" t="s">
        <v>1596</v>
      </c>
      <c r="AA38" s="663" t="s">
        <v>1596</v>
      </c>
      <c r="AB38" s="663" t="s">
        <v>825</v>
      </c>
      <c r="AC38" s="663" t="s">
        <v>1586</v>
      </c>
      <c r="AD38" s="663" t="s">
        <v>1586</v>
      </c>
      <c r="AE38" s="663" t="s">
        <v>1586</v>
      </c>
      <c r="AF38" s="663" t="s">
        <v>825</v>
      </c>
      <c r="AG38" s="663" t="s">
        <v>825</v>
      </c>
      <c r="AH38" s="663" t="s">
        <v>1586</v>
      </c>
      <c r="AI38" s="688">
        <v>71.515151515151516</v>
      </c>
      <c r="AJ38" s="689" t="s">
        <v>1588</v>
      </c>
      <c r="AK38" s="697"/>
    </row>
    <row r="39" spans="1:37" s="653" customFormat="1" ht="13.5">
      <c r="A39" s="655">
        <v>2024</v>
      </c>
      <c r="B39" s="691" t="str">
        <f>INDEX('①基本情報 '!$C$2:$C$255,MATCH('②建物情報 '!E39,'①基本情報 '!$E$2:$E$255,0),1)</f>
        <v>022</v>
      </c>
      <c r="C39" s="692" t="str">
        <f>INDEX('①基本情報 '!$B$2:$B$255,MATCH('②建物情報 '!E39,'①基本情報 '!$E$2:$E$255,0),1)</f>
        <v>0906</v>
      </c>
      <c r="D39" s="261" t="s">
        <v>2418</v>
      </c>
      <c r="E39" s="262" t="s">
        <v>205</v>
      </c>
      <c r="F39" s="263" t="str">
        <f>INDEX('①基本情報 '!$G$2:$G$255,MATCH('②建物情報 '!E39,'①基本情報 '!$E$2:$E$255,0),1)</f>
        <v>消防局管理室消防総務課</v>
      </c>
      <c r="G39" s="264" t="s">
        <v>1589</v>
      </c>
      <c r="H39" s="262" t="s">
        <v>1613</v>
      </c>
      <c r="I39" s="265">
        <v>1985</v>
      </c>
      <c r="J39" s="265">
        <v>3</v>
      </c>
      <c r="K39" s="265">
        <f t="shared" si="0"/>
        <v>39</v>
      </c>
      <c r="L39" s="281"/>
      <c r="M39" s="267">
        <v>10</v>
      </c>
      <c r="N39" s="267">
        <v>10</v>
      </c>
      <c r="O39" s="268" t="s">
        <v>1812</v>
      </c>
      <c r="P39" s="269" t="s">
        <v>1617</v>
      </c>
      <c r="Q39" s="269"/>
      <c r="R39" s="270"/>
      <c r="S39" s="271"/>
      <c r="T39" s="272"/>
      <c r="U39" s="272"/>
      <c r="V39" s="273"/>
      <c r="W39" s="274">
        <v>2018</v>
      </c>
      <c r="X39" s="275">
        <v>34</v>
      </c>
      <c r="Y39" s="276" t="s">
        <v>825</v>
      </c>
      <c r="Z39" s="265" t="s">
        <v>825</v>
      </c>
      <c r="AA39" s="265" t="s">
        <v>825</v>
      </c>
      <c r="AB39" s="265" t="s">
        <v>825</v>
      </c>
      <c r="AC39" s="265" t="s">
        <v>825</v>
      </c>
      <c r="AD39" s="265" t="s">
        <v>825</v>
      </c>
      <c r="AE39" s="265" t="s">
        <v>825</v>
      </c>
      <c r="AF39" s="265" t="s">
        <v>825</v>
      </c>
      <c r="AG39" s="265" t="s">
        <v>825</v>
      </c>
      <c r="AH39" s="265" t="s">
        <v>825</v>
      </c>
      <c r="AI39" s="277" t="s">
        <v>825</v>
      </c>
      <c r="AJ39" s="278" t="s">
        <v>1604</v>
      </c>
      <c r="AK39" s="698" t="s">
        <v>2332</v>
      </c>
    </row>
    <row r="40" spans="1:37" s="653" customFormat="1" ht="27">
      <c r="A40" s="655">
        <v>2024</v>
      </c>
      <c r="B40" s="691" t="str">
        <f>INDEX('①基本情報 '!$C$2:$C$255,MATCH('②建物情報 '!E40,'①基本情報 '!$E$2:$E$255,0),1)</f>
        <v>022</v>
      </c>
      <c r="C40" s="692" t="str">
        <f>INDEX('①基本情報 '!$B$2:$B$255,MATCH('②建物情報 '!E40,'①基本情報 '!$E$2:$E$255,0),1)</f>
        <v>0906</v>
      </c>
      <c r="D40" s="261" t="s">
        <v>2418</v>
      </c>
      <c r="E40" s="262" t="s">
        <v>205</v>
      </c>
      <c r="F40" s="263" t="str">
        <f>INDEX('①基本情報 '!$G$2:$G$255,MATCH('②建物情報 '!E40,'①基本情報 '!$E$2:$E$255,0),1)</f>
        <v>消防局管理室消防総務課</v>
      </c>
      <c r="G40" s="264" t="s">
        <v>1591</v>
      </c>
      <c r="H40" s="262" t="s">
        <v>1615</v>
      </c>
      <c r="I40" s="265">
        <v>1985</v>
      </c>
      <c r="J40" s="265">
        <v>3</v>
      </c>
      <c r="K40" s="265">
        <f t="shared" si="0"/>
        <v>39</v>
      </c>
      <c r="L40" s="281"/>
      <c r="M40" s="267">
        <v>14.7</v>
      </c>
      <c r="N40" s="267">
        <v>14.7</v>
      </c>
      <c r="O40" s="268" t="s">
        <v>1812</v>
      </c>
      <c r="P40" s="269" t="s">
        <v>1603</v>
      </c>
      <c r="Q40" s="269"/>
      <c r="R40" s="270"/>
      <c r="S40" s="271"/>
      <c r="T40" s="272"/>
      <c r="U40" s="272"/>
      <c r="V40" s="273"/>
      <c r="W40" s="274">
        <v>2018</v>
      </c>
      <c r="X40" s="275">
        <v>24</v>
      </c>
      <c r="Y40" s="276" t="s">
        <v>825</v>
      </c>
      <c r="Z40" s="265" t="s">
        <v>825</v>
      </c>
      <c r="AA40" s="265" t="s">
        <v>825</v>
      </c>
      <c r="AB40" s="265" t="s">
        <v>825</v>
      </c>
      <c r="AC40" s="265" t="s">
        <v>825</v>
      </c>
      <c r="AD40" s="265" t="s">
        <v>825</v>
      </c>
      <c r="AE40" s="265" t="s">
        <v>825</v>
      </c>
      <c r="AF40" s="265" t="s">
        <v>825</v>
      </c>
      <c r="AG40" s="265" t="s">
        <v>825</v>
      </c>
      <c r="AH40" s="265" t="s">
        <v>825</v>
      </c>
      <c r="AI40" s="277" t="s">
        <v>825</v>
      </c>
      <c r="AJ40" s="278" t="s">
        <v>1606</v>
      </c>
      <c r="AK40" s="699" t="s">
        <v>2330</v>
      </c>
    </row>
    <row r="41" spans="1:37" s="653" customFormat="1" ht="13.5">
      <c r="A41" s="655">
        <v>2024</v>
      </c>
      <c r="B41" s="656" t="str">
        <f>INDEX('①基本情報 '!$C$2:$C$255,MATCH('②建物情報 '!E41,'①基本情報 '!$E$2:$E$255,0),1)</f>
        <v>023</v>
      </c>
      <c r="C41" s="657" t="str">
        <f>INDEX('①基本情報 '!$B$2:$B$255,MATCH('②建物情報 '!E41,'①基本情報 '!$E$2:$E$255,0),1)</f>
        <v>0904</v>
      </c>
      <c r="D41" s="658" t="s">
        <v>2418</v>
      </c>
      <c r="E41" s="612" t="s">
        <v>220</v>
      </c>
      <c r="F41" s="611" t="str">
        <f>INDEX('①基本情報 '!$G$2:$G$255,MATCH('②建物情報 '!E41,'①基本情報 '!$E$2:$E$255,0),1)</f>
        <v>消防局管理室消防総務課</v>
      </c>
      <c r="G41" s="678" t="s">
        <v>1580</v>
      </c>
      <c r="H41" s="612" t="s">
        <v>1616</v>
      </c>
      <c r="I41" s="663">
        <v>1987</v>
      </c>
      <c r="J41" s="663">
        <v>3</v>
      </c>
      <c r="K41" s="663">
        <f t="shared" si="0"/>
        <v>37</v>
      </c>
      <c r="L41" s="694">
        <v>274.685</v>
      </c>
      <c r="M41" s="680">
        <v>288.89999999999998</v>
      </c>
      <c r="N41" s="680">
        <v>288.89999999999998</v>
      </c>
      <c r="O41" s="681" t="s">
        <v>1812</v>
      </c>
      <c r="P41" s="259" t="s">
        <v>1581</v>
      </c>
      <c r="Q41" s="259">
        <v>2</v>
      </c>
      <c r="R41" s="260">
        <v>0</v>
      </c>
      <c r="S41" s="682" t="s">
        <v>1593</v>
      </c>
      <c r="T41" s="683" t="s">
        <v>825</v>
      </c>
      <c r="U41" s="683" t="s">
        <v>63</v>
      </c>
      <c r="V41" s="684"/>
      <c r="W41" s="685">
        <v>2020</v>
      </c>
      <c r="X41" s="686">
        <v>50</v>
      </c>
      <c r="Y41" s="687" t="s">
        <v>1596</v>
      </c>
      <c r="Z41" s="663" t="s">
        <v>1587</v>
      </c>
      <c r="AA41" s="663" t="s">
        <v>1596</v>
      </c>
      <c r="AB41" s="663" t="s">
        <v>825</v>
      </c>
      <c r="AC41" s="663" t="s">
        <v>1587</v>
      </c>
      <c r="AD41" s="663" t="s">
        <v>1587</v>
      </c>
      <c r="AE41" s="663" t="s">
        <v>1586</v>
      </c>
      <c r="AF41" s="663" t="s">
        <v>825</v>
      </c>
      <c r="AG41" s="663" t="s">
        <v>825</v>
      </c>
      <c r="AH41" s="663" t="s">
        <v>1585</v>
      </c>
      <c r="AI41" s="688">
        <v>50.909090909090907</v>
      </c>
      <c r="AJ41" s="689" t="s">
        <v>1588</v>
      </c>
      <c r="AK41" s="697"/>
    </row>
    <row r="42" spans="1:37" s="653" customFormat="1" ht="13.5">
      <c r="A42" s="655">
        <v>2024</v>
      </c>
      <c r="B42" s="691" t="str">
        <f>INDEX('①基本情報 '!$C$2:$C$255,MATCH('②建物情報 '!E42,'①基本情報 '!$E$2:$E$255,0),1)</f>
        <v>023</v>
      </c>
      <c r="C42" s="692" t="str">
        <f>INDEX('①基本情報 '!$B$2:$B$255,MATCH('②建物情報 '!E42,'①基本情報 '!$E$2:$E$255,0),1)</f>
        <v>0904</v>
      </c>
      <c r="D42" s="261" t="s">
        <v>2418</v>
      </c>
      <c r="E42" s="262" t="s">
        <v>220</v>
      </c>
      <c r="F42" s="263" t="str">
        <f>INDEX('①基本情報 '!$G$2:$G$255,MATCH('②建物情報 '!E42,'①基本情報 '!$E$2:$E$255,0),1)</f>
        <v>消防局管理室消防総務課</v>
      </c>
      <c r="G42" s="264" t="s">
        <v>1589</v>
      </c>
      <c r="H42" s="282" t="s">
        <v>1613</v>
      </c>
      <c r="I42" s="265">
        <v>2013</v>
      </c>
      <c r="J42" s="265">
        <v>2</v>
      </c>
      <c r="K42" s="265">
        <f t="shared" si="0"/>
        <v>11</v>
      </c>
      <c r="L42" s="281"/>
      <c r="M42" s="267">
        <v>1.69</v>
      </c>
      <c r="N42" s="267">
        <v>1.69</v>
      </c>
      <c r="O42" s="268" t="s">
        <v>1812</v>
      </c>
      <c r="P42" s="269" t="s">
        <v>1603</v>
      </c>
      <c r="Q42" s="269"/>
      <c r="R42" s="270"/>
      <c r="S42" s="271"/>
      <c r="T42" s="272"/>
      <c r="U42" s="272"/>
      <c r="V42" s="273"/>
      <c r="W42" s="274"/>
      <c r="X42" s="275">
        <v>50</v>
      </c>
      <c r="Y42" s="276" t="s">
        <v>825</v>
      </c>
      <c r="Z42" s="265" t="s">
        <v>825</v>
      </c>
      <c r="AA42" s="265" t="s">
        <v>825</v>
      </c>
      <c r="AB42" s="265" t="s">
        <v>825</v>
      </c>
      <c r="AC42" s="265" t="s">
        <v>825</v>
      </c>
      <c r="AD42" s="265" t="s">
        <v>825</v>
      </c>
      <c r="AE42" s="265" t="s">
        <v>825</v>
      </c>
      <c r="AF42" s="265" t="s">
        <v>825</v>
      </c>
      <c r="AG42" s="265" t="s">
        <v>825</v>
      </c>
      <c r="AH42" s="265" t="s">
        <v>825</v>
      </c>
      <c r="AI42" s="277" t="s">
        <v>825</v>
      </c>
      <c r="AJ42" s="278" t="s">
        <v>1604</v>
      </c>
      <c r="AK42" s="698" t="s">
        <v>2332</v>
      </c>
    </row>
    <row r="43" spans="1:37" s="653" customFormat="1" ht="13.5">
      <c r="A43" s="655">
        <v>2024</v>
      </c>
      <c r="B43" s="691" t="str">
        <f>INDEX('①基本情報 '!$C$2:$C$255,MATCH('②建物情報 '!E43,'①基本情報 '!$E$2:$E$255,0),1)</f>
        <v>023</v>
      </c>
      <c r="C43" s="692" t="str">
        <f>INDEX('①基本情報 '!$B$2:$B$255,MATCH('②建物情報 '!E43,'①基本情報 '!$E$2:$E$255,0),1)</f>
        <v>0904</v>
      </c>
      <c r="D43" s="261" t="s">
        <v>2418</v>
      </c>
      <c r="E43" s="262" t="s">
        <v>220</v>
      </c>
      <c r="F43" s="263" t="str">
        <f>INDEX('①基本情報 '!$G$2:$G$255,MATCH('②建物情報 '!E43,'①基本情報 '!$E$2:$E$255,0),1)</f>
        <v>消防局管理室消防総務課</v>
      </c>
      <c r="G43" s="264" t="s">
        <v>1591</v>
      </c>
      <c r="H43" s="282" t="s">
        <v>1619</v>
      </c>
      <c r="I43" s="265">
        <v>2006</v>
      </c>
      <c r="J43" s="265">
        <v>3</v>
      </c>
      <c r="K43" s="265">
        <f t="shared" si="0"/>
        <v>18</v>
      </c>
      <c r="L43" s="281"/>
      <c r="M43" s="267">
        <v>13.4</v>
      </c>
      <c r="N43" s="267">
        <v>13.4</v>
      </c>
      <c r="O43" s="268" t="s">
        <v>1812</v>
      </c>
      <c r="P43" s="269" t="s">
        <v>1603</v>
      </c>
      <c r="Q43" s="269"/>
      <c r="R43" s="270"/>
      <c r="S43" s="271"/>
      <c r="T43" s="272"/>
      <c r="U43" s="272"/>
      <c r="V43" s="273"/>
      <c r="W43" s="274">
        <v>2020</v>
      </c>
      <c r="X43" s="275">
        <v>47</v>
      </c>
      <c r="Y43" s="276" t="s">
        <v>825</v>
      </c>
      <c r="Z43" s="265" t="s">
        <v>825</v>
      </c>
      <c r="AA43" s="265" t="s">
        <v>825</v>
      </c>
      <c r="AB43" s="265" t="s">
        <v>825</v>
      </c>
      <c r="AC43" s="265" t="s">
        <v>825</v>
      </c>
      <c r="AD43" s="265" t="s">
        <v>825</v>
      </c>
      <c r="AE43" s="265" t="s">
        <v>825</v>
      </c>
      <c r="AF43" s="265" t="s">
        <v>825</v>
      </c>
      <c r="AG43" s="265" t="s">
        <v>825</v>
      </c>
      <c r="AH43" s="265" t="s">
        <v>825</v>
      </c>
      <c r="AI43" s="277" t="s">
        <v>825</v>
      </c>
      <c r="AJ43" s="278" t="s">
        <v>1604</v>
      </c>
      <c r="AK43" s="698" t="s">
        <v>2332</v>
      </c>
    </row>
    <row r="44" spans="1:37" s="653" customFormat="1" ht="27">
      <c r="A44" s="655">
        <v>2024</v>
      </c>
      <c r="B44" s="691" t="str">
        <f>INDEX('①基本情報 '!$C$2:$C$255,MATCH('②建物情報 '!E44,'①基本情報 '!$E$2:$E$255,0),1)</f>
        <v>023</v>
      </c>
      <c r="C44" s="692" t="str">
        <f>INDEX('①基本情報 '!$B$2:$B$255,MATCH('②建物情報 '!E44,'①基本情報 '!$E$2:$E$255,0),1)</f>
        <v>0904</v>
      </c>
      <c r="D44" s="261" t="s">
        <v>2418</v>
      </c>
      <c r="E44" s="262" t="s">
        <v>220</v>
      </c>
      <c r="F44" s="263" t="str">
        <f>INDEX('①基本情報 '!$G$2:$G$255,MATCH('②建物情報 '!E44,'①基本情報 '!$E$2:$E$255,0),1)</f>
        <v>消防局管理室消防総務課</v>
      </c>
      <c r="G44" s="264" t="s">
        <v>1601</v>
      </c>
      <c r="H44" s="282" t="s">
        <v>1615</v>
      </c>
      <c r="I44" s="265">
        <v>1987</v>
      </c>
      <c r="J44" s="265">
        <v>3</v>
      </c>
      <c r="K44" s="265">
        <f t="shared" si="0"/>
        <v>37</v>
      </c>
      <c r="L44" s="281"/>
      <c r="M44" s="267">
        <v>19.600000000000001</v>
      </c>
      <c r="N44" s="267">
        <v>19.600000000000001</v>
      </c>
      <c r="O44" s="268" t="s">
        <v>1812</v>
      </c>
      <c r="P44" s="269" t="s">
        <v>1603</v>
      </c>
      <c r="Q44" s="269"/>
      <c r="R44" s="270"/>
      <c r="S44" s="271"/>
      <c r="T44" s="272"/>
      <c r="U44" s="272"/>
      <c r="V44" s="273"/>
      <c r="W44" s="274">
        <v>2020</v>
      </c>
      <c r="X44" s="275">
        <v>38</v>
      </c>
      <c r="Y44" s="276" t="s">
        <v>825</v>
      </c>
      <c r="Z44" s="265" t="s">
        <v>825</v>
      </c>
      <c r="AA44" s="265" t="s">
        <v>825</v>
      </c>
      <c r="AB44" s="265" t="s">
        <v>825</v>
      </c>
      <c r="AC44" s="265" t="s">
        <v>825</v>
      </c>
      <c r="AD44" s="265" t="s">
        <v>825</v>
      </c>
      <c r="AE44" s="265" t="s">
        <v>825</v>
      </c>
      <c r="AF44" s="265" t="s">
        <v>825</v>
      </c>
      <c r="AG44" s="265" t="s">
        <v>825</v>
      </c>
      <c r="AH44" s="265" t="s">
        <v>825</v>
      </c>
      <c r="AI44" s="277" t="s">
        <v>825</v>
      </c>
      <c r="AJ44" s="278" t="s">
        <v>1606</v>
      </c>
      <c r="AK44" s="699" t="s">
        <v>2330</v>
      </c>
    </row>
    <row r="45" spans="1:37" s="653" customFormat="1" ht="13.5">
      <c r="A45" s="655">
        <v>2024</v>
      </c>
      <c r="B45" s="656" t="str">
        <f>INDEX('①基本情報 '!$C$2:$C$255,MATCH('②建物情報 '!E45,'①基本情報 '!$E$2:$E$255,0),1)</f>
        <v>023</v>
      </c>
      <c r="C45" s="657" t="str">
        <f>INDEX('①基本情報 '!$B$2:$B$255,MATCH('②建物情報 '!E45,'①基本情報 '!$E$2:$E$255,0),1)</f>
        <v>0904</v>
      </c>
      <c r="D45" s="658" t="s">
        <v>2418</v>
      </c>
      <c r="E45" s="612" t="s">
        <v>220</v>
      </c>
      <c r="F45" s="611" t="str">
        <f>INDEX('①基本情報 '!$G$2:$G$255,MATCH('②建物情報 '!E45,'①基本情報 '!$E$2:$E$255,0),1)</f>
        <v>消防局管理室消防総務課</v>
      </c>
      <c r="G45" s="678" t="s">
        <v>1620</v>
      </c>
      <c r="H45" s="700" t="s">
        <v>1899</v>
      </c>
      <c r="I45" s="663">
        <v>2013</v>
      </c>
      <c r="J45" s="663">
        <v>1</v>
      </c>
      <c r="K45" s="663">
        <f t="shared" si="0"/>
        <v>11</v>
      </c>
      <c r="L45" s="694"/>
      <c r="M45" s="680">
        <v>20.48</v>
      </c>
      <c r="N45" s="680">
        <v>20.48</v>
      </c>
      <c r="O45" s="681" t="s">
        <v>1812</v>
      </c>
      <c r="P45" s="259" t="s">
        <v>1581</v>
      </c>
      <c r="Q45" s="259">
        <v>2</v>
      </c>
      <c r="R45" s="260">
        <v>0</v>
      </c>
      <c r="S45" s="682" t="s">
        <v>1593</v>
      </c>
      <c r="T45" s="683" t="s">
        <v>825</v>
      </c>
      <c r="U45" s="683" t="s">
        <v>63</v>
      </c>
      <c r="V45" s="684"/>
      <c r="W45" s="685"/>
      <c r="X45" s="686">
        <v>50</v>
      </c>
      <c r="Y45" s="687" t="s">
        <v>825</v>
      </c>
      <c r="Z45" s="663" t="s">
        <v>825</v>
      </c>
      <c r="AA45" s="663" t="s">
        <v>825</v>
      </c>
      <c r="AB45" s="663" t="s">
        <v>825</v>
      </c>
      <c r="AC45" s="663" t="s">
        <v>825</v>
      </c>
      <c r="AD45" s="663" t="s">
        <v>825</v>
      </c>
      <c r="AE45" s="663" t="s">
        <v>825</v>
      </c>
      <c r="AF45" s="663" t="s">
        <v>825</v>
      </c>
      <c r="AG45" s="663" t="s">
        <v>825</v>
      </c>
      <c r="AH45" s="663" t="s">
        <v>825</v>
      </c>
      <c r="AI45" s="688" t="s">
        <v>825</v>
      </c>
      <c r="AJ45" s="701" t="s">
        <v>1588</v>
      </c>
      <c r="AK45" s="697"/>
    </row>
    <row r="46" spans="1:37" s="653" customFormat="1" ht="13.5">
      <c r="A46" s="655">
        <v>2024</v>
      </c>
      <c r="B46" s="656" t="str">
        <f>INDEX('①基本情報 '!$C$2:$C$255,MATCH('②建物情報 '!E46,'①基本情報 '!$E$2:$E$255,0),1)</f>
        <v>024</v>
      </c>
      <c r="C46" s="657" t="str">
        <f>INDEX('①基本情報 '!$B$2:$B$255,MATCH('②建物情報 '!E46,'①基本情報 '!$E$2:$E$255,0),1)</f>
        <v>0913</v>
      </c>
      <c r="D46" s="658" t="s">
        <v>2418</v>
      </c>
      <c r="E46" s="612" t="s">
        <v>225</v>
      </c>
      <c r="F46" s="611" t="str">
        <f>INDEX('①基本情報 '!$G$2:$G$255,MATCH('②建物情報 '!E46,'①基本情報 '!$E$2:$E$255,0),1)</f>
        <v>消防局管理室消防総務課</v>
      </c>
      <c r="G46" s="678" t="s">
        <v>1580</v>
      </c>
      <c r="H46" s="612" t="s">
        <v>1621</v>
      </c>
      <c r="I46" s="663">
        <v>2014</v>
      </c>
      <c r="J46" s="663">
        <v>3</v>
      </c>
      <c r="K46" s="663">
        <f t="shared" si="0"/>
        <v>10</v>
      </c>
      <c r="L46" s="694">
        <v>43.61</v>
      </c>
      <c r="M46" s="680">
        <v>79.459999999999994</v>
      </c>
      <c r="N46" s="680">
        <v>79.459999999999994</v>
      </c>
      <c r="O46" s="681" t="s">
        <v>1812</v>
      </c>
      <c r="P46" s="259" t="s">
        <v>1603</v>
      </c>
      <c r="Q46" s="259">
        <v>1</v>
      </c>
      <c r="R46" s="260">
        <v>0</v>
      </c>
      <c r="S46" s="682" t="s">
        <v>1593</v>
      </c>
      <c r="T46" s="683" t="s">
        <v>825</v>
      </c>
      <c r="U46" s="683" t="s">
        <v>63</v>
      </c>
      <c r="V46" s="684"/>
      <c r="W46" s="685"/>
      <c r="X46" s="702">
        <v>31</v>
      </c>
      <c r="Y46" s="687" t="s">
        <v>1587</v>
      </c>
      <c r="Z46" s="663" t="s">
        <v>1596</v>
      </c>
      <c r="AA46" s="663" t="s">
        <v>1585</v>
      </c>
      <c r="AB46" s="663" t="s">
        <v>825</v>
      </c>
      <c r="AC46" s="663" t="s">
        <v>1596</v>
      </c>
      <c r="AD46" s="663" t="s">
        <v>1585</v>
      </c>
      <c r="AE46" s="663" t="s">
        <v>1596</v>
      </c>
      <c r="AF46" s="663" t="s">
        <v>825</v>
      </c>
      <c r="AG46" s="663" t="s">
        <v>825</v>
      </c>
      <c r="AH46" s="663" t="s">
        <v>1596</v>
      </c>
      <c r="AI46" s="688">
        <v>34.285714285714285</v>
      </c>
      <c r="AJ46" s="689" t="s">
        <v>1588</v>
      </c>
      <c r="AK46" s="697"/>
    </row>
    <row r="47" spans="1:37" s="653" customFormat="1" ht="13.5">
      <c r="A47" s="655">
        <v>2024</v>
      </c>
      <c r="B47" s="656" t="str">
        <f>INDEX('①基本情報 '!$C$2:$C$255,MATCH('②建物情報 '!E47,'①基本情報 '!$E$2:$E$255,0),1)</f>
        <v>025</v>
      </c>
      <c r="C47" s="657" t="str">
        <f>INDEX('①基本情報 '!$B$2:$B$255,MATCH('②建物情報 '!E47,'①基本情報 '!$E$2:$E$255,0),1)</f>
        <v>0914</v>
      </c>
      <c r="D47" s="658" t="s">
        <v>2418</v>
      </c>
      <c r="E47" s="612" t="s">
        <v>248</v>
      </c>
      <c r="F47" s="611" t="str">
        <f>INDEX('①基本情報 '!$G$2:$G$255,MATCH('②建物情報 '!E47,'①基本情報 '!$E$2:$E$255,0),1)</f>
        <v>消防局管理室消防総務課</v>
      </c>
      <c r="G47" s="678" t="s">
        <v>1580</v>
      </c>
      <c r="H47" s="612" t="s">
        <v>1621</v>
      </c>
      <c r="I47" s="663">
        <v>2005</v>
      </c>
      <c r="J47" s="663">
        <v>3</v>
      </c>
      <c r="K47" s="663">
        <f t="shared" si="0"/>
        <v>19</v>
      </c>
      <c r="L47" s="694">
        <v>366.02</v>
      </c>
      <c r="M47" s="680">
        <v>361.05</v>
      </c>
      <c r="N47" s="680">
        <v>45.75</v>
      </c>
      <c r="O47" s="681" t="s">
        <v>1594</v>
      </c>
      <c r="P47" s="259" t="s">
        <v>1614</v>
      </c>
      <c r="Q47" s="259">
        <v>1</v>
      </c>
      <c r="R47" s="260">
        <v>0</v>
      </c>
      <c r="S47" s="682" t="s">
        <v>1593</v>
      </c>
      <c r="T47" s="683" t="s">
        <v>825</v>
      </c>
      <c r="U47" s="683" t="s">
        <v>63</v>
      </c>
      <c r="V47" s="684"/>
      <c r="W47" s="685"/>
      <c r="X47" s="686">
        <v>17</v>
      </c>
      <c r="Y47" s="687" t="s">
        <v>1587</v>
      </c>
      <c r="Z47" s="663" t="s">
        <v>1585</v>
      </c>
      <c r="AA47" s="663" t="s">
        <v>1586</v>
      </c>
      <c r="AB47" s="663" t="s">
        <v>825</v>
      </c>
      <c r="AC47" s="663" t="s">
        <v>1585</v>
      </c>
      <c r="AD47" s="663" t="s">
        <v>1586</v>
      </c>
      <c r="AE47" s="663" t="s">
        <v>1585</v>
      </c>
      <c r="AF47" s="663" t="s">
        <v>825</v>
      </c>
      <c r="AG47" s="663" t="s">
        <v>825</v>
      </c>
      <c r="AH47" s="663" t="s">
        <v>1585</v>
      </c>
      <c r="AI47" s="688">
        <v>60.571428571428562</v>
      </c>
      <c r="AJ47" s="689" t="s">
        <v>1588</v>
      </c>
      <c r="AK47" s="697"/>
    </row>
    <row r="48" spans="1:37" s="653" customFormat="1" ht="13.5">
      <c r="A48" s="655">
        <v>2024</v>
      </c>
      <c r="B48" s="656" t="str">
        <f>INDEX('①基本情報 '!$C$2:$C$255,MATCH('②建物情報 '!E48,'①基本情報 '!$E$2:$E$255,0),1)</f>
        <v>026</v>
      </c>
      <c r="C48" s="657" t="str">
        <f>INDEX('①基本情報 '!$B$2:$B$255,MATCH('②建物情報 '!E48,'①基本情報 '!$E$2:$E$255,0),1)</f>
        <v>0911</v>
      </c>
      <c r="D48" s="658" t="s">
        <v>2418</v>
      </c>
      <c r="E48" s="612" t="s">
        <v>255</v>
      </c>
      <c r="F48" s="611" t="str">
        <f>INDEX('①基本情報 '!$G$2:$G$255,MATCH('②建物情報 '!E48,'①基本情報 '!$E$2:$E$255,0),1)</f>
        <v>消防局管理室消防総務課</v>
      </c>
      <c r="G48" s="678" t="s">
        <v>1580</v>
      </c>
      <c r="H48" s="612" t="s">
        <v>1621</v>
      </c>
      <c r="I48" s="663">
        <v>2007</v>
      </c>
      <c r="J48" s="663">
        <v>12</v>
      </c>
      <c r="K48" s="663">
        <f t="shared" si="0"/>
        <v>17</v>
      </c>
      <c r="L48" s="694">
        <v>54.82</v>
      </c>
      <c r="M48" s="680">
        <v>54.82</v>
      </c>
      <c r="N48" s="680">
        <v>54.82</v>
      </c>
      <c r="O48" s="681" t="s">
        <v>1812</v>
      </c>
      <c r="P48" s="259" t="s">
        <v>1603</v>
      </c>
      <c r="Q48" s="259">
        <v>1</v>
      </c>
      <c r="R48" s="260">
        <v>0</v>
      </c>
      <c r="S48" s="682" t="s">
        <v>1593</v>
      </c>
      <c r="T48" s="683" t="s">
        <v>825</v>
      </c>
      <c r="U48" s="683" t="s">
        <v>63</v>
      </c>
      <c r="V48" s="684"/>
      <c r="W48" s="685"/>
      <c r="X48" s="702">
        <v>31</v>
      </c>
      <c r="Y48" s="687" t="s">
        <v>1587</v>
      </c>
      <c r="Z48" s="663" t="s">
        <v>1596</v>
      </c>
      <c r="AA48" s="663" t="s">
        <v>1586</v>
      </c>
      <c r="AB48" s="663" t="s">
        <v>825</v>
      </c>
      <c r="AC48" s="663" t="s">
        <v>1585</v>
      </c>
      <c r="AD48" s="663" t="s">
        <v>1586</v>
      </c>
      <c r="AE48" s="663" t="s">
        <v>1596</v>
      </c>
      <c r="AF48" s="663" t="s">
        <v>825</v>
      </c>
      <c r="AG48" s="663" t="s">
        <v>825</v>
      </c>
      <c r="AH48" s="663" t="s">
        <v>1585</v>
      </c>
      <c r="AI48" s="688">
        <v>56.000000000000007</v>
      </c>
      <c r="AJ48" s="689" t="s">
        <v>1588</v>
      </c>
      <c r="AK48" s="697"/>
    </row>
    <row r="49" spans="1:37" s="653" customFormat="1" ht="13.5">
      <c r="A49" s="655">
        <v>2024</v>
      </c>
      <c r="B49" s="656" t="str">
        <f>INDEX('①基本情報 '!$C$2:$C$255,MATCH('②建物情報 '!E49,'①基本情報 '!$E$2:$E$255,0),1)</f>
        <v>027</v>
      </c>
      <c r="C49" s="657" t="str">
        <f>INDEX('①基本情報 '!$B$2:$B$255,MATCH('②建物情報 '!E49,'①基本情報 '!$E$2:$E$255,0),1)</f>
        <v>0909</v>
      </c>
      <c r="D49" s="658" t="s">
        <v>2418</v>
      </c>
      <c r="E49" s="612" t="s">
        <v>238</v>
      </c>
      <c r="F49" s="611" t="str">
        <f>INDEX('①基本情報 '!$G$2:$G$255,MATCH('②建物情報 '!E49,'①基本情報 '!$E$2:$E$255,0),1)</f>
        <v>消防局管理室消防総務課</v>
      </c>
      <c r="G49" s="678" t="s">
        <v>1580</v>
      </c>
      <c r="H49" s="612" t="s">
        <v>1621</v>
      </c>
      <c r="I49" s="663">
        <v>2001</v>
      </c>
      <c r="J49" s="663">
        <v>12</v>
      </c>
      <c r="K49" s="663">
        <f t="shared" si="0"/>
        <v>23</v>
      </c>
      <c r="L49" s="694">
        <v>50.73</v>
      </c>
      <c r="M49" s="680">
        <v>100.97</v>
      </c>
      <c r="N49" s="680">
        <v>100.97</v>
      </c>
      <c r="O49" s="681" t="s">
        <v>1812</v>
      </c>
      <c r="P49" s="259" t="s">
        <v>1581</v>
      </c>
      <c r="Q49" s="259">
        <v>2</v>
      </c>
      <c r="R49" s="260">
        <v>0</v>
      </c>
      <c r="S49" s="682" t="s">
        <v>1593</v>
      </c>
      <c r="T49" s="683" t="s">
        <v>825</v>
      </c>
      <c r="U49" s="683" t="s">
        <v>63</v>
      </c>
      <c r="V49" s="684"/>
      <c r="W49" s="685"/>
      <c r="X49" s="686">
        <v>38</v>
      </c>
      <c r="Y49" s="687" t="s">
        <v>1596</v>
      </c>
      <c r="Z49" s="663" t="s">
        <v>1585</v>
      </c>
      <c r="AA49" s="663" t="s">
        <v>1586</v>
      </c>
      <c r="AB49" s="663" t="s">
        <v>825</v>
      </c>
      <c r="AC49" s="663" t="s">
        <v>1586</v>
      </c>
      <c r="AD49" s="663" t="s">
        <v>1586</v>
      </c>
      <c r="AE49" s="663" t="s">
        <v>1585</v>
      </c>
      <c r="AF49" s="663" t="s">
        <v>825</v>
      </c>
      <c r="AG49" s="663" t="s">
        <v>825</v>
      </c>
      <c r="AH49" s="663" t="s">
        <v>1585</v>
      </c>
      <c r="AI49" s="688">
        <v>66.285714285714278</v>
      </c>
      <c r="AJ49" s="689" t="s">
        <v>1588</v>
      </c>
      <c r="AK49" s="697"/>
    </row>
    <row r="50" spans="1:37" s="653" customFormat="1" ht="13.5">
      <c r="A50" s="655">
        <v>2024</v>
      </c>
      <c r="B50" s="656" t="str">
        <f>INDEX('①基本情報 '!$C$2:$C$255,MATCH('②建物情報 '!E50,'①基本情報 '!$E$2:$E$255,0),1)</f>
        <v>028</v>
      </c>
      <c r="C50" s="657" t="str">
        <f>INDEX('①基本情報 '!$B$2:$B$255,MATCH('②建物情報 '!E50,'①基本情報 '!$E$2:$E$255,0),1)</f>
        <v>0908</v>
      </c>
      <c r="D50" s="658" t="s">
        <v>2418</v>
      </c>
      <c r="E50" s="612" t="s">
        <v>233</v>
      </c>
      <c r="F50" s="611" t="str">
        <f>INDEX('①基本情報 '!$G$2:$G$255,MATCH('②建物情報 '!E50,'①基本情報 '!$E$2:$E$255,0),1)</f>
        <v>消防局管理室消防総務課</v>
      </c>
      <c r="G50" s="678" t="s">
        <v>1580</v>
      </c>
      <c r="H50" s="612" t="s">
        <v>1621</v>
      </c>
      <c r="I50" s="663">
        <v>1999</v>
      </c>
      <c r="J50" s="663">
        <v>9</v>
      </c>
      <c r="K50" s="663">
        <f t="shared" si="0"/>
        <v>25</v>
      </c>
      <c r="L50" s="694">
        <v>46.48</v>
      </c>
      <c r="M50" s="680">
        <v>88.72</v>
      </c>
      <c r="N50" s="680">
        <v>88.72</v>
      </c>
      <c r="O50" s="681" t="s">
        <v>1812</v>
      </c>
      <c r="P50" s="259" t="s">
        <v>1603</v>
      </c>
      <c r="Q50" s="259">
        <v>2</v>
      </c>
      <c r="R50" s="260">
        <v>0</v>
      </c>
      <c r="S50" s="682" t="s">
        <v>1593</v>
      </c>
      <c r="T50" s="683" t="s">
        <v>825</v>
      </c>
      <c r="U50" s="683" t="s">
        <v>63</v>
      </c>
      <c r="V50" s="684"/>
      <c r="W50" s="685"/>
      <c r="X50" s="702">
        <v>38</v>
      </c>
      <c r="Y50" s="687" t="s">
        <v>1596</v>
      </c>
      <c r="Z50" s="663" t="s">
        <v>1585</v>
      </c>
      <c r="AA50" s="663" t="s">
        <v>1586</v>
      </c>
      <c r="AB50" s="663" t="s">
        <v>825</v>
      </c>
      <c r="AC50" s="663" t="s">
        <v>1586</v>
      </c>
      <c r="AD50" s="663" t="s">
        <v>1586</v>
      </c>
      <c r="AE50" s="663" t="s">
        <v>1585</v>
      </c>
      <c r="AF50" s="663" t="s">
        <v>825</v>
      </c>
      <c r="AG50" s="663" t="s">
        <v>825</v>
      </c>
      <c r="AH50" s="663" t="s">
        <v>1586</v>
      </c>
      <c r="AI50" s="688">
        <v>71.428571428571431</v>
      </c>
      <c r="AJ50" s="689" t="s">
        <v>1588</v>
      </c>
      <c r="AK50" s="697"/>
    </row>
    <row r="51" spans="1:37" s="653" customFormat="1" ht="13.5">
      <c r="A51" s="655">
        <v>2024</v>
      </c>
      <c r="B51" s="656" t="str">
        <f>INDEX('①基本情報 '!$C$2:$C$255,MATCH('②建物情報 '!E51,'①基本情報 '!$E$2:$E$255,0),1)</f>
        <v>029</v>
      </c>
      <c r="C51" s="657" t="str">
        <f>INDEX('①基本情報 '!$B$2:$B$255,MATCH('②建物情報 '!E51,'①基本情報 '!$E$2:$E$255,0),1)</f>
        <v>0912</v>
      </c>
      <c r="D51" s="658" t="s">
        <v>2418</v>
      </c>
      <c r="E51" s="612" t="s">
        <v>243</v>
      </c>
      <c r="F51" s="611" t="str">
        <f>INDEX('①基本情報 '!$G$2:$G$255,MATCH('②建物情報 '!E51,'①基本情報 '!$E$2:$E$255,0),1)</f>
        <v>消防局管理室消防総務課</v>
      </c>
      <c r="G51" s="678" t="s">
        <v>1580</v>
      </c>
      <c r="H51" s="612" t="s">
        <v>1621</v>
      </c>
      <c r="I51" s="663">
        <v>2010</v>
      </c>
      <c r="J51" s="663">
        <v>3</v>
      </c>
      <c r="K51" s="663">
        <f t="shared" si="0"/>
        <v>14</v>
      </c>
      <c r="L51" s="694">
        <v>67.28</v>
      </c>
      <c r="M51" s="680">
        <v>63</v>
      </c>
      <c r="N51" s="680">
        <v>63</v>
      </c>
      <c r="O51" s="681" t="s">
        <v>1812</v>
      </c>
      <c r="P51" s="259" t="s">
        <v>1603</v>
      </c>
      <c r="Q51" s="259">
        <v>1</v>
      </c>
      <c r="R51" s="260">
        <v>0</v>
      </c>
      <c r="S51" s="682" t="s">
        <v>1593</v>
      </c>
      <c r="T51" s="683" t="s">
        <v>825</v>
      </c>
      <c r="U51" s="683" t="s">
        <v>63</v>
      </c>
      <c r="V51" s="684"/>
      <c r="W51" s="685"/>
      <c r="X51" s="702">
        <v>31</v>
      </c>
      <c r="Y51" s="687" t="s">
        <v>1587</v>
      </c>
      <c r="Z51" s="663" t="s">
        <v>1596</v>
      </c>
      <c r="AA51" s="663" t="s">
        <v>1585</v>
      </c>
      <c r="AB51" s="663" t="s">
        <v>825</v>
      </c>
      <c r="AC51" s="663" t="s">
        <v>1585</v>
      </c>
      <c r="AD51" s="663" t="s">
        <v>1585</v>
      </c>
      <c r="AE51" s="663" t="s">
        <v>1596</v>
      </c>
      <c r="AF51" s="663" t="s">
        <v>825</v>
      </c>
      <c r="AG51" s="663" t="s">
        <v>825</v>
      </c>
      <c r="AH51" s="663" t="s">
        <v>1596</v>
      </c>
      <c r="AI51" s="688">
        <v>48</v>
      </c>
      <c r="AJ51" s="689" t="s">
        <v>1588</v>
      </c>
      <c r="AK51" s="697"/>
    </row>
    <row r="52" spans="1:37" s="653" customFormat="1">
      <c r="A52" s="655">
        <v>2024</v>
      </c>
      <c r="B52" s="656" t="str">
        <f>INDEX('①基本情報 '!$C$2:$C$255,MATCH('②建物情報 '!E52,'①基本情報 '!$E$2:$E$255,0),1)</f>
        <v>030</v>
      </c>
      <c r="C52" s="657" t="str">
        <f>INDEX('①基本情報 '!$B$2:$B$255,MATCH('②建物情報 '!E52,'①基本情報 '!$E$2:$E$255,0),1)</f>
        <v>0204</v>
      </c>
      <c r="D52" s="658" t="s">
        <v>2418</v>
      </c>
      <c r="E52" s="612" t="s">
        <v>261</v>
      </c>
      <c r="F52" s="611" t="str">
        <f>INDEX('①基本情報 '!$G$2:$G$255,MATCH('②建物情報 '!E52,'①基本情報 '!$E$2:$E$255,0),1)</f>
        <v>市民自治部まちづくり室まちづくり推進課</v>
      </c>
      <c r="G52" s="678" t="s">
        <v>1580</v>
      </c>
      <c r="H52" s="612" t="s">
        <v>1622</v>
      </c>
      <c r="I52" s="703">
        <v>1971</v>
      </c>
      <c r="J52" s="703">
        <v>2</v>
      </c>
      <c r="K52" s="663">
        <f t="shared" si="0"/>
        <v>53</v>
      </c>
      <c r="L52" s="694">
        <v>88.16</v>
      </c>
      <c r="M52" s="680">
        <v>154.13999999999999</v>
      </c>
      <c r="N52" s="680">
        <v>154.13999999999999</v>
      </c>
      <c r="O52" s="681" t="s">
        <v>1812</v>
      </c>
      <c r="P52" s="259" t="s">
        <v>1581</v>
      </c>
      <c r="Q52" s="259">
        <v>2</v>
      </c>
      <c r="R52" s="260">
        <v>0</v>
      </c>
      <c r="S52" s="682" t="s">
        <v>1582</v>
      </c>
      <c r="T52" s="683"/>
      <c r="U52" s="683" t="s">
        <v>1584</v>
      </c>
      <c r="V52" s="684"/>
      <c r="W52" s="685"/>
      <c r="X52" s="686">
        <v>47</v>
      </c>
      <c r="Y52" s="687" t="s">
        <v>1585</v>
      </c>
      <c r="Z52" s="663" t="s">
        <v>1585</v>
      </c>
      <c r="AA52" s="663" t="s">
        <v>1585</v>
      </c>
      <c r="AB52" s="663" t="s">
        <v>825</v>
      </c>
      <c r="AC52" s="663" t="s">
        <v>1586</v>
      </c>
      <c r="AD52" s="663" t="s">
        <v>1585</v>
      </c>
      <c r="AE52" s="663" t="s">
        <v>1586</v>
      </c>
      <c r="AF52" s="663" t="s">
        <v>825</v>
      </c>
      <c r="AG52" s="663" t="s">
        <v>825</v>
      </c>
      <c r="AH52" s="663" t="s">
        <v>1586</v>
      </c>
      <c r="AI52" s="688">
        <v>83.030303030303031</v>
      </c>
      <c r="AJ52" s="689" t="s">
        <v>1588</v>
      </c>
      <c r="AK52" s="690"/>
    </row>
    <row r="53" spans="1:37" s="653" customFormat="1">
      <c r="A53" s="655">
        <v>2024</v>
      </c>
      <c r="B53" s="656" t="str">
        <f>INDEX('①基本情報 '!$C$2:$C$255,MATCH('②建物情報 '!E53,'①基本情報 '!$E$2:$E$255,0),1)</f>
        <v>031</v>
      </c>
      <c r="C53" s="657" t="str">
        <f>INDEX('①基本情報 '!$B$2:$B$255,MATCH('②建物情報 '!E53,'①基本情報 '!$E$2:$E$255,0),1)</f>
        <v>0278</v>
      </c>
      <c r="D53" s="658" t="s">
        <v>2418</v>
      </c>
      <c r="E53" s="612" t="s">
        <v>2737</v>
      </c>
      <c r="F53" s="611" t="str">
        <f>INDEX('①基本情報 '!$G$2:$G$255,MATCH('②建物情報 '!E53,'①基本情報 '!$E$2:$E$255,0),1)</f>
        <v>市民自治部まちづくり室まちづくり推進課</v>
      </c>
      <c r="G53" s="678" t="s">
        <v>1944</v>
      </c>
      <c r="H53" s="612" t="s">
        <v>2509</v>
      </c>
      <c r="I53" s="703">
        <v>2024</v>
      </c>
      <c r="J53" s="703">
        <v>2</v>
      </c>
      <c r="K53" s="663">
        <f t="shared" si="0"/>
        <v>0</v>
      </c>
      <c r="L53" s="694"/>
      <c r="M53" s="680">
        <v>995.63</v>
      </c>
      <c r="N53" s="680">
        <v>995.63</v>
      </c>
      <c r="O53" s="681" t="s">
        <v>1812</v>
      </c>
      <c r="P53" s="259" t="s">
        <v>1942</v>
      </c>
      <c r="Q53" s="259">
        <v>3</v>
      </c>
      <c r="R53" s="260">
        <v>0</v>
      </c>
      <c r="S53" s="682" t="s">
        <v>2537</v>
      </c>
      <c r="T53" s="683" t="s">
        <v>1966</v>
      </c>
      <c r="U53" s="683" t="s">
        <v>2087</v>
      </c>
      <c r="V53" s="684"/>
      <c r="W53" s="685"/>
      <c r="X53" s="686"/>
      <c r="Y53" s="687"/>
      <c r="Z53" s="663"/>
      <c r="AA53" s="663"/>
      <c r="AB53" s="663"/>
      <c r="AC53" s="663"/>
      <c r="AD53" s="663"/>
      <c r="AE53" s="663"/>
      <c r="AF53" s="663"/>
      <c r="AG53" s="663"/>
      <c r="AH53" s="663"/>
      <c r="AI53" s="688"/>
      <c r="AJ53" s="689" t="s">
        <v>2123</v>
      </c>
      <c r="AK53" s="690"/>
    </row>
    <row r="54" spans="1:37" s="653" customFormat="1">
      <c r="A54" s="655">
        <v>2024</v>
      </c>
      <c r="B54" s="656" t="str">
        <f>INDEX('①基本情報 '!$C$2:$C$255,MATCH('②建物情報 '!E54,'①基本情報 '!$E$2:$E$255,0),1)</f>
        <v>032</v>
      </c>
      <c r="C54" s="657" t="str">
        <f>INDEX('①基本情報 '!$B$2:$B$255,MATCH('②建物情報 '!E54,'①基本情報 '!$E$2:$E$255,0),1)</f>
        <v>0228</v>
      </c>
      <c r="D54" s="658" t="s">
        <v>2418</v>
      </c>
      <c r="E54" s="612" t="s">
        <v>284</v>
      </c>
      <c r="F54" s="611" t="str">
        <f>INDEX('①基本情報 '!$G$2:$G$255,MATCH('②建物情報 '!E54,'①基本情報 '!$E$2:$E$255,0),1)</f>
        <v>市民自治部まちづくり室まちづくり推進課</v>
      </c>
      <c r="G54" s="678" t="s">
        <v>1580</v>
      </c>
      <c r="H54" s="612" t="s">
        <v>1622</v>
      </c>
      <c r="I54" s="703">
        <v>1976</v>
      </c>
      <c r="J54" s="703">
        <v>6</v>
      </c>
      <c r="K54" s="663">
        <f t="shared" si="0"/>
        <v>48</v>
      </c>
      <c r="L54" s="694">
        <v>94.96</v>
      </c>
      <c r="M54" s="680">
        <v>175.92</v>
      </c>
      <c r="N54" s="680">
        <v>175.92</v>
      </c>
      <c r="O54" s="681" t="s">
        <v>1812</v>
      </c>
      <c r="P54" s="259" t="s">
        <v>1581</v>
      </c>
      <c r="Q54" s="259">
        <v>2</v>
      </c>
      <c r="R54" s="260">
        <v>0</v>
      </c>
      <c r="S54" s="682" t="s">
        <v>1582</v>
      </c>
      <c r="T54" s="683"/>
      <c r="U54" s="683" t="s">
        <v>1584</v>
      </c>
      <c r="V54" s="684"/>
      <c r="W54" s="685"/>
      <c r="X54" s="686">
        <v>47</v>
      </c>
      <c r="Y54" s="687" t="s">
        <v>1585</v>
      </c>
      <c r="Z54" s="663" t="s">
        <v>1585</v>
      </c>
      <c r="AA54" s="663" t="s">
        <v>1586</v>
      </c>
      <c r="AB54" s="663" t="s">
        <v>825</v>
      </c>
      <c r="AC54" s="663" t="s">
        <v>1586</v>
      </c>
      <c r="AD54" s="663" t="s">
        <v>1586</v>
      </c>
      <c r="AE54" s="663" t="s">
        <v>1596</v>
      </c>
      <c r="AF54" s="663" t="s">
        <v>825</v>
      </c>
      <c r="AG54" s="663" t="s">
        <v>825</v>
      </c>
      <c r="AH54" s="663" t="s">
        <v>1586</v>
      </c>
      <c r="AI54" s="688">
        <v>78.787878787878782</v>
      </c>
      <c r="AJ54" s="689" t="s">
        <v>1588</v>
      </c>
      <c r="AK54" s="690"/>
    </row>
    <row r="55" spans="1:37" s="653" customFormat="1">
      <c r="A55" s="655">
        <v>2024</v>
      </c>
      <c r="B55" s="656" t="str">
        <f>INDEX('①基本情報 '!$C$2:$C$255,MATCH('②建物情報 '!E55,'①基本情報 '!$E$2:$E$255,0),1)</f>
        <v>033</v>
      </c>
      <c r="C55" s="657" t="str">
        <f>INDEX('①基本情報 '!$B$2:$B$255,MATCH('②建物情報 '!E55,'①基本情報 '!$E$2:$E$255,0),1)</f>
        <v>0237</v>
      </c>
      <c r="D55" s="658" t="s">
        <v>2418</v>
      </c>
      <c r="E55" s="612" t="s">
        <v>303</v>
      </c>
      <c r="F55" s="611" t="str">
        <f>INDEX('①基本情報 '!$G$2:$G$255,MATCH('②建物情報 '!E55,'①基本情報 '!$E$2:$E$255,0),1)</f>
        <v>都市交通部みどり公園室公園課</v>
      </c>
      <c r="G55" s="678" t="s">
        <v>1580</v>
      </c>
      <c r="H55" s="612" t="s">
        <v>1622</v>
      </c>
      <c r="I55" s="703">
        <v>1979</v>
      </c>
      <c r="J55" s="703">
        <v>3</v>
      </c>
      <c r="K55" s="663">
        <f t="shared" si="0"/>
        <v>45</v>
      </c>
      <c r="L55" s="694">
        <v>320</v>
      </c>
      <c r="M55" s="680">
        <v>504</v>
      </c>
      <c r="N55" s="680">
        <v>504</v>
      </c>
      <c r="O55" s="681" t="s">
        <v>1812</v>
      </c>
      <c r="P55" s="259" t="s">
        <v>1581</v>
      </c>
      <c r="Q55" s="259">
        <v>2</v>
      </c>
      <c r="R55" s="260">
        <v>0</v>
      </c>
      <c r="S55" s="682" t="s">
        <v>1582</v>
      </c>
      <c r="T55" s="683"/>
      <c r="U55" s="683" t="s">
        <v>1584</v>
      </c>
      <c r="V55" s="684"/>
      <c r="W55" s="685"/>
      <c r="X55" s="686">
        <v>47</v>
      </c>
      <c r="Y55" s="687" t="s">
        <v>1585</v>
      </c>
      <c r="Z55" s="663" t="s">
        <v>1586</v>
      </c>
      <c r="AA55" s="663" t="s">
        <v>1586</v>
      </c>
      <c r="AB55" s="663" t="s">
        <v>825</v>
      </c>
      <c r="AC55" s="663" t="s">
        <v>1586</v>
      </c>
      <c r="AD55" s="663" t="s">
        <v>1586</v>
      </c>
      <c r="AE55" s="663" t="s">
        <v>1586</v>
      </c>
      <c r="AF55" s="663" t="s">
        <v>825</v>
      </c>
      <c r="AG55" s="663" t="s">
        <v>825</v>
      </c>
      <c r="AH55" s="663" t="s">
        <v>1586</v>
      </c>
      <c r="AI55" s="688">
        <v>87.27272727272728</v>
      </c>
      <c r="AJ55" s="689" t="s">
        <v>1588</v>
      </c>
      <c r="AK55" s="690"/>
    </row>
    <row r="56" spans="1:37" s="653" customFormat="1">
      <c r="A56" s="655">
        <v>2024</v>
      </c>
      <c r="B56" s="656" t="str">
        <f>INDEX('①基本情報 '!$C$2:$C$255,MATCH('②建物情報 '!E56,'①基本情報 '!$E$2:$E$255,0),1)</f>
        <v>034</v>
      </c>
      <c r="C56" s="657" t="str">
        <f>INDEX('①基本情報 '!$B$2:$B$255,MATCH('②建物情報 '!E56,'①基本情報 '!$E$2:$E$255,0),1)</f>
        <v>0254</v>
      </c>
      <c r="D56" s="658" t="s">
        <v>2418</v>
      </c>
      <c r="E56" s="612" t="s">
        <v>312</v>
      </c>
      <c r="F56" s="611" t="str">
        <f>INDEX('①基本情報 '!$G$2:$G$255,MATCH('②建物情報 '!E56,'①基本情報 '!$E$2:$E$255,0),1)</f>
        <v>市民自治部まちづくり室まちづくり推進課</v>
      </c>
      <c r="G56" s="678" t="s">
        <v>1580</v>
      </c>
      <c r="H56" s="612" t="s">
        <v>1622</v>
      </c>
      <c r="I56" s="703">
        <v>1984</v>
      </c>
      <c r="J56" s="703">
        <v>6</v>
      </c>
      <c r="K56" s="663">
        <f t="shared" si="0"/>
        <v>40</v>
      </c>
      <c r="L56" s="694">
        <v>268.38</v>
      </c>
      <c r="M56" s="680">
        <v>383.71</v>
      </c>
      <c r="N56" s="680">
        <v>383.71</v>
      </c>
      <c r="O56" s="681" t="s">
        <v>1812</v>
      </c>
      <c r="P56" s="259" t="s">
        <v>1581</v>
      </c>
      <c r="Q56" s="259">
        <v>2</v>
      </c>
      <c r="R56" s="260">
        <v>0</v>
      </c>
      <c r="S56" s="682" t="s">
        <v>1593</v>
      </c>
      <c r="T56" s="683" t="s">
        <v>825</v>
      </c>
      <c r="U56" s="683" t="s">
        <v>63</v>
      </c>
      <c r="V56" s="684"/>
      <c r="W56" s="685">
        <v>2023</v>
      </c>
      <c r="X56" s="686">
        <v>47</v>
      </c>
      <c r="Y56" s="687" t="s">
        <v>1585</v>
      </c>
      <c r="Z56" s="663" t="s">
        <v>1585</v>
      </c>
      <c r="AA56" s="663" t="s">
        <v>1587</v>
      </c>
      <c r="AB56" s="663" t="s">
        <v>825</v>
      </c>
      <c r="AC56" s="663" t="s">
        <v>1586</v>
      </c>
      <c r="AD56" s="663" t="s">
        <v>1586</v>
      </c>
      <c r="AE56" s="663" t="s">
        <v>1585</v>
      </c>
      <c r="AF56" s="663" t="s">
        <v>825</v>
      </c>
      <c r="AG56" s="663" t="s">
        <v>825</v>
      </c>
      <c r="AH56" s="663" t="s">
        <v>1585</v>
      </c>
      <c r="AI56" s="688">
        <v>61.818181818181813</v>
      </c>
      <c r="AJ56" s="689" t="s">
        <v>1588</v>
      </c>
      <c r="AK56" s="690"/>
    </row>
    <row r="57" spans="1:37" s="653" customFormat="1">
      <c r="A57" s="655">
        <v>2024</v>
      </c>
      <c r="B57" s="656" t="str">
        <f>INDEX('①基本情報 '!$C$2:$C$255,MATCH('②建物情報 '!E57,'①基本情報 '!$E$2:$E$255,0),1)</f>
        <v>035</v>
      </c>
      <c r="C57" s="657" t="str">
        <f>INDEX('①基本情報 '!$B$2:$B$255,MATCH('②建物情報 '!E57,'①基本情報 '!$E$2:$E$255,0),1)</f>
        <v>0255</v>
      </c>
      <c r="D57" s="658" t="s">
        <v>2418</v>
      </c>
      <c r="E57" s="612" t="s">
        <v>319</v>
      </c>
      <c r="F57" s="611" t="str">
        <f>INDEX('①基本情報 '!$G$2:$G$255,MATCH('②建物情報 '!E57,'①基本情報 '!$E$2:$E$255,0),1)</f>
        <v>市民自治部まちづくり室まちづくり推進課</v>
      </c>
      <c r="G57" s="678" t="s">
        <v>1580</v>
      </c>
      <c r="H57" s="612" t="s">
        <v>1622</v>
      </c>
      <c r="I57" s="703">
        <v>1985</v>
      </c>
      <c r="J57" s="703">
        <v>3</v>
      </c>
      <c r="K57" s="663">
        <f t="shared" si="0"/>
        <v>39</v>
      </c>
      <c r="L57" s="694">
        <v>130.965</v>
      </c>
      <c r="M57" s="680">
        <v>130.96</v>
      </c>
      <c r="N57" s="680">
        <v>130.96</v>
      </c>
      <c r="O57" s="681" t="s">
        <v>1812</v>
      </c>
      <c r="P57" s="259" t="s">
        <v>1581</v>
      </c>
      <c r="Q57" s="259">
        <v>1</v>
      </c>
      <c r="R57" s="260">
        <v>0</v>
      </c>
      <c r="S57" s="682" t="s">
        <v>1593</v>
      </c>
      <c r="T57" s="683" t="s">
        <v>825</v>
      </c>
      <c r="U57" s="683" t="s">
        <v>63</v>
      </c>
      <c r="V57" s="684"/>
      <c r="W57" s="685"/>
      <c r="X57" s="686">
        <v>47</v>
      </c>
      <c r="Y57" s="687" t="s">
        <v>1585</v>
      </c>
      <c r="Z57" s="663" t="s">
        <v>1596</v>
      </c>
      <c r="AA57" s="663" t="s">
        <v>1586</v>
      </c>
      <c r="AB57" s="663" t="s">
        <v>825</v>
      </c>
      <c r="AC57" s="663" t="s">
        <v>1586</v>
      </c>
      <c r="AD57" s="663" t="s">
        <v>1596</v>
      </c>
      <c r="AE57" s="663" t="s">
        <v>1586</v>
      </c>
      <c r="AF57" s="663" t="s">
        <v>825</v>
      </c>
      <c r="AG57" s="663" t="s">
        <v>825</v>
      </c>
      <c r="AH57" s="663" t="s">
        <v>1586</v>
      </c>
      <c r="AI57" s="688">
        <v>68.484848484848484</v>
      </c>
      <c r="AJ57" s="689" t="s">
        <v>1588</v>
      </c>
      <c r="AK57" s="690"/>
    </row>
    <row r="58" spans="1:37" s="653" customFormat="1">
      <c r="A58" s="655">
        <v>2024</v>
      </c>
      <c r="B58" s="656" t="str">
        <f>INDEX('①基本情報 '!$C$2:$C$255,MATCH('②建物情報 '!E58,'①基本情報 '!$E$2:$E$255,0),1)</f>
        <v>036</v>
      </c>
      <c r="C58" s="657" t="str">
        <f>INDEX('①基本情報 '!$B$2:$B$255,MATCH('②建物情報 '!E58,'①基本情報 '!$E$2:$E$255,0),1)</f>
        <v>0260</v>
      </c>
      <c r="D58" s="658" t="s">
        <v>2418</v>
      </c>
      <c r="E58" s="612" t="s">
        <v>2166</v>
      </c>
      <c r="F58" s="611" t="str">
        <f>INDEX('①基本情報 '!$G$2:$G$255,MATCH('②建物情報 '!E58,'①基本情報 '!$E$2:$E$255,0),1)</f>
        <v>市民自治部まちづくり室まちづくり推進課</v>
      </c>
      <c r="G58" s="678" t="s">
        <v>1580</v>
      </c>
      <c r="H58" s="612" t="s">
        <v>1622</v>
      </c>
      <c r="I58" s="703">
        <v>1987</v>
      </c>
      <c r="J58" s="703">
        <v>3</v>
      </c>
      <c r="K58" s="663">
        <f t="shared" si="0"/>
        <v>37</v>
      </c>
      <c r="L58" s="694">
        <v>99.48</v>
      </c>
      <c r="M58" s="680">
        <v>99.38</v>
      </c>
      <c r="N58" s="680">
        <v>99.38</v>
      </c>
      <c r="O58" s="681" t="s">
        <v>1812</v>
      </c>
      <c r="P58" s="259" t="s">
        <v>1581</v>
      </c>
      <c r="Q58" s="259">
        <v>1</v>
      </c>
      <c r="R58" s="260">
        <v>0</v>
      </c>
      <c r="S58" s="682" t="s">
        <v>1593</v>
      </c>
      <c r="T58" s="683" t="s">
        <v>825</v>
      </c>
      <c r="U58" s="683" t="s">
        <v>63</v>
      </c>
      <c r="V58" s="684"/>
      <c r="W58" s="685"/>
      <c r="X58" s="686">
        <v>47</v>
      </c>
      <c r="Y58" s="687" t="s">
        <v>1596</v>
      </c>
      <c r="Z58" s="663" t="s">
        <v>1596</v>
      </c>
      <c r="AA58" s="663" t="s">
        <v>1596</v>
      </c>
      <c r="AB58" s="663" t="s">
        <v>825</v>
      </c>
      <c r="AC58" s="663" t="s">
        <v>1586</v>
      </c>
      <c r="AD58" s="663" t="s">
        <v>1586</v>
      </c>
      <c r="AE58" s="663" t="s">
        <v>1596</v>
      </c>
      <c r="AF58" s="663" t="s">
        <v>825</v>
      </c>
      <c r="AG58" s="663" t="s">
        <v>825</v>
      </c>
      <c r="AH58" s="663" t="s">
        <v>1585</v>
      </c>
      <c r="AI58" s="688">
        <v>56.969696969696969</v>
      </c>
      <c r="AJ58" s="689" t="s">
        <v>1588</v>
      </c>
      <c r="AK58" s="690"/>
    </row>
    <row r="59" spans="1:37" s="653" customFormat="1">
      <c r="A59" s="655">
        <v>2024</v>
      </c>
      <c r="B59" s="656" t="str">
        <f>INDEX('①基本情報 '!$C$2:$C$255,MATCH('②建物情報 '!E59,'①基本情報 '!$E$2:$E$255,0),1)</f>
        <v>037</v>
      </c>
      <c r="C59" s="657" t="str">
        <f>INDEX('①基本情報 '!$B$2:$B$255,MATCH('②建物情報 '!E59,'①基本情報 '!$E$2:$E$255,0),1)</f>
        <v>0207</v>
      </c>
      <c r="D59" s="658" t="s">
        <v>2418</v>
      </c>
      <c r="E59" s="612" t="s">
        <v>108</v>
      </c>
      <c r="F59" s="611" t="str">
        <f>INDEX('①基本情報 '!$G$2:$G$255,MATCH('②建物情報 '!E59,'①基本情報 '!$E$2:$E$255,0),1)</f>
        <v>市民自治部まちづくり室まちづくり推進課</v>
      </c>
      <c r="G59" s="678" t="s">
        <v>1580</v>
      </c>
      <c r="H59" s="612" t="s">
        <v>1622</v>
      </c>
      <c r="I59" s="703">
        <v>1971</v>
      </c>
      <c r="J59" s="703">
        <v>3</v>
      </c>
      <c r="K59" s="663">
        <f t="shared" si="0"/>
        <v>53</v>
      </c>
      <c r="L59" s="694">
        <v>322.27999999999997</v>
      </c>
      <c r="M59" s="680">
        <v>570.86</v>
      </c>
      <c r="N59" s="704">
        <v>549.86</v>
      </c>
      <c r="O59" s="681" t="s">
        <v>1594</v>
      </c>
      <c r="P59" s="259" t="s">
        <v>1581</v>
      </c>
      <c r="Q59" s="259">
        <v>2</v>
      </c>
      <c r="R59" s="260">
        <v>0</v>
      </c>
      <c r="S59" s="682" t="s">
        <v>1582</v>
      </c>
      <c r="T59" s="683"/>
      <c r="U59" s="683" t="s">
        <v>1584</v>
      </c>
      <c r="V59" s="684"/>
      <c r="W59" s="685"/>
      <c r="X59" s="686">
        <v>47</v>
      </c>
      <c r="Y59" s="687" t="s">
        <v>1585</v>
      </c>
      <c r="Z59" s="663" t="s">
        <v>1586</v>
      </c>
      <c r="AA59" s="663" t="s">
        <v>1586</v>
      </c>
      <c r="AB59" s="663" t="s">
        <v>825</v>
      </c>
      <c r="AC59" s="663" t="s">
        <v>1586</v>
      </c>
      <c r="AD59" s="663" t="s">
        <v>1586</v>
      </c>
      <c r="AE59" s="663" t="s">
        <v>1586</v>
      </c>
      <c r="AF59" s="663" t="s">
        <v>825</v>
      </c>
      <c r="AG59" s="663" t="s">
        <v>825</v>
      </c>
      <c r="AH59" s="663" t="s">
        <v>1586</v>
      </c>
      <c r="AI59" s="688">
        <v>91.515151515151516</v>
      </c>
      <c r="AJ59" s="689" t="s">
        <v>1588</v>
      </c>
      <c r="AK59" s="690"/>
    </row>
    <row r="60" spans="1:37" s="653" customFormat="1">
      <c r="A60" s="655">
        <v>2024</v>
      </c>
      <c r="B60" s="656" t="str">
        <f>INDEX('①基本情報 '!$C$2:$C$255,MATCH('②建物情報 '!E60,'①基本情報 '!$E$2:$E$255,0),1)</f>
        <v>038</v>
      </c>
      <c r="C60" s="657" t="str">
        <f>INDEX('①基本情報 '!$B$2:$B$255,MATCH('②建物情報 '!E60,'①基本情報 '!$E$2:$E$255,0),1)</f>
        <v>0221</v>
      </c>
      <c r="D60" s="658" t="s">
        <v>2418</v>
      </c>
      <c r="E60" s="612" t="s">
        <v>331</v>
      </c>
      <c r="F60" s="611" t="str">
        <f>INDEX('①基本情報 '!$G$2:$G$255,MATCH('②建物情報 '!E60,'①基本情報 '!$E$2:$E$255,0),1)</f>
        <v>市民自治部まちづくり室まちづくり推進課</v>
      </c>
      <c r="G60" s="678" t="s">
        <v>1580</v>
      </c>
      <c r="H60" s="612" t="s">
        <v>1622</v>
      </c>
      <c r="I60" s="703">
        <v>1975</v>
      </c>
      <c r="J60" s="703">
        <v>3</v>
      </c>
      <c r="K60" s="663">
        <f t="shared" si="0"/>
        <v>49</v>
      </c>
      <c r="L60" s="694">
        <v>69</v>
      </c>
      <c r="M60" s="680">
        <v>138</v>
      </c>
      <c r="N60" s="680">
        <v>138</v>
      </c>
      <c r="O60" s="681" t="s">
        <v>1812</v>
      </c>
      <c r="P60" s="259" t="s">
        <v>1581</v>
      </c>
      <c r="Q60" s="259">
        <v>2</v>
      </c>
      <c r="R60" s="260">
        <v>0</v>
      </c>
      <c r="S60" s="682" t="s">
        <v>1582</v>
      </c>
      <c r="T60" s="683"/>
      <c r="U60" s="683" t="s">
        <v>1584</v>
      </c>
      <c r="V60" s="684"/>
      <c r="W60" s="685"/>
      <c r="X60" s="686">
        <v>47</v>
      </c>
      <c r="Y60" s="687" t="s">
        <v>1585</v>
      </c>
      <c r="Z60" s="663" t="s">
        <v>1586</v>
      </c>
      <c r="AA60" s="663" t="s">
        <v>1586</v>
      </c>
      <c r="AB60" s="663" t="s">
        <v>825</v>
      </c>
      <c r="AC60" s="663" t="s">
        <v>1586</v>
      </c>
      <c r="AD60" s="663" t="s">
        <v>1586</v>
      </c>
      <c r="AE60" s="663" t="s">
        <v>1586</v>
      </c>
      <c r="AF60" s="663" t="s">
        <v>825</v>
      </c>
      <c r="AG60" s="663" t="s">
        <v>825</v>
      </c>
      <c r="AH60" s="663" t="s">
        <v>1586</v>
      </c>
      <c r="AI60" s="688">
        <v>90.303030303030312</v>
      </c>
      <c r="AJ60" s="689" t="s">
        <v>1588</v>
      </c>
      <c r="AK60" s="690"/>
    </row>
    <row r="61" spans="1:37" s="653" customFormat="1">
      <c r="A61" s="655">
        <v>2024</v>
      </c>
      <c r="B61" s="656" t="str">
        <f>INDEX('①基本情報 '!$C$2:$C$255,MATCH('②建物情報 '!E61,'①基本情報 '!$E$2:$E$255,0),1)</f>
        <v>039</v>
      </c>
      <c r="C61" s="657" t="str">
        <f>INDEX('①基本情報 '!$B$2:$B$255,MATCH('②建物情報 '!E61,'①基本情報 '!$E$2:$E$255,0),1)</f>
        <v>0233</v>
      </c>
      <c r="D61" s="658" t="s">
        <v>2418</v>
      </c>
      <c r="E61" s="612" t="s">
        <v>336</v>
      </c>
      <c r="F61" s="611" t="str">
        <f>INDEX('①基本情報 '!$G$2:$G$255,MATCH('②建物情報 '!E61,'①基本情報 '!$E$2:$E$255,0),1)</f>
        <v>市民自治部まちづくり室まちづくり推進課</v>
      </c>
      <c r="G61" s="678" t="s">
        <v>1580</v>
      </c>
      <c r="H61" s="612" t="s">
        <v>1622</v>
      </c>
      <c r="I61" s="703">
        <v>1976</v>
      </c>
      <c r="J61" s="703">
        <v>7</v>
      </c>
      <c r="K61" s="663">
        <f t="shared" si="0"/>
        <v>48</v>
      </c>
      <c r="L61" s="694">
        <v>163.07</v>
      </c>
      <c r="M61" s="680">
        <v>310.62</v>
      </c>
      <c r="N61" s="680">
        <v>310.62</v>
      </c>
      <c r="O61" s="681" t="s">
        <v>1812</v>
      </c>
      <c r="P61" s="259" t="s">
        <v>1581</v>
      </c>
      <c r="Q61" s="259">
        <v>2</v>
      </c>
      <c r="R61" s="260">
        <v>0</v>
      </c>
      <c r="S61" s="682" t="s">
        <v>1582</v>
      </c>
      <c r="T61" s="683"/>
      <c r="U61" s="683" t="s">
        <v>1584</v>
      </c>
      <c r="V61" s="684"/>
      <c r="W61" s="685"/>
      <c r="X61" s="686">
        <v>47</v>
      </c>
      <c r="Y61" s="687" t="s">
        <v>1585</v>
      </c>
      <c r="Z61" s="663" t="s">
        <v>1586</v>
      </c>
      <c r="AA61" s="663" t="s">
        <v>1586</v>
      </c>
      <c r="AB61" s="663" t="s">
        <v>825</v>
      </c>
      <c r="AC61" s="663" t="s">
        <v>1586</v>
      </c>
      <c r="AD61" s="663" t="s">
        <v>1596</v>
      </c>
      <c r="AE61" s="663" t="s">
        <v>1586</v>
      </c>
      <c r="AF61" s="663" t="s">
        <v>825</v>
      </c>
      <c r="AG61" s="663" t="s">
        <v>825</v>
      </c>
      <c r="AH61" s="663" t="s">
        <v>1586</v>
      </c>
      <c r="AI61" s="688">
        <v>82.424242424242422</v>
      </c>
      <c r="AJ61" s="689" t="s">
        <v>1588</v>
      </c>
      <c r="AK61" s="690"/>
    </row>
    <row r="62" spans="1:37" s="653" customFormat="1">
      <c r="A62" s="655">
        <v>2024</v>
      </c>
      <c r="B62" s="656" t="str">
        <f>INDEX('①基本情報 '!$C$2:$C$255,MATCH('②建物情報 '!E62,'①基本情報 '!$E$2:$E$255,0),1)</f>
        <v>040</v>
      </c>
      <c r="C62" s="657" t="str">
        <f>INDEX('①基本情報 '!$B$2:$B$255,MATCH('②建物情報 '!E62,'①基本情報 '!$E$2:$E$255,0),1)</f>
        <v>0242</v>
      </c>
      <c r="D62" s="658" t="s">
        <v>2418</v>
      </c>
      <c r="E62" s="612" t="s">
        <v>342</v>
      </c>
      <c r="F62" s="611" t="str">
        <f>INDEX('①基本情報 '!$G$2:$G$255,MATCH('②建物情報 '!E62,'①基本情報 '!$E$2:$E$255,0),1)</f>
        <v>市民自治部まちづくり室まちづくり推進課</v>
      </c>
      <c r="G62" s="678" t="s">
        <v>1580</v>
      </c>
      <c r="H62" s="612" t="s">
        <v>1622</v>
      </c>
      <c r="I62" s="703">
        <v>1981</v>
      </c>
      <c r="J62" s="703">
        <v>6</v>
      </c>
      <c r="K62" s="663">
        <f t="shared" si="0"/>
        <v>43</v>
      </c>
      <c r="L62" s="694">
        <v>182.31</v>
      </c>
      <c r="M62" s="680">
        <v>328.44</v>
      </c>
      <c r="N62" s="680">
        <v>328.44</v>
      </c>
      <c r="O62" s="681" t="s">
        <v>1812</v>
      </c>
      <c r="P62" s="259" t="s">
        <v>1581</v>
      </c>
      <c r="Q62" s="259">
        <v>2</v>
      </c>
      <c r="R62" s="260">
        <v>0</v>
      </c>
      <c r="S62" s="682" t="s">
        <v>1593</v>
      </c>
      <c r="T62" s="683" t="s">
        <v>825</v>
      </c>
      <c r="U62" s="683" t="s">
        <v>63</v>
      </c>
      <c r="V62" s="684"/>
      <c r="W62" s="685"/>
      <c r="X62" s="686">
        <v>47</v>
      </c>
      <c r="Y62" s="687" t="s">
        <v>1585</v>
      </c>
      <c r="Z62" s="663" t="s">
        <v>1586</v>
      </c>
      <c r="AA62" s="663" t="s">
        <v>1596</v>
      </c>
      <c r="AB62" s="663" t="s">
        <v>825</v>
      </c>
      <c r="AC62" s="663" t="s">
        <v>1585</v>
      </c>
      <c r="AD62" s="663" t="s">
        <v>1586</v>
      </c>
      <c r="AE62" s="663" t="s">
        <v>1585</v>
      </c>
      <c r="AF62" s="663" t="s">
        <v>825</v>
      </c>
      <c r="AG62" s="663" t="s">
        <v>825</v>
      </c>
      <c r="AH62" s="663" t="s">
        <v>1586</v>
      </c>
      <c r="AI62" s="688">
        <v>69.696969696969703</v>
      </c>
      <c r="AJ62" s="689" t="s">
        <v>1588</v>
      </c>
      <c r="AK62" s="690"/>
    </row>
    <row r="63" spans="1:37" s="653" customFormat="1">
      <c r="A63" s="655">
        <v>2024</v>
      </c>
      <c r="B63" s="656" t="str">
        <f>INDEX('①基本情報 '!$C$2:$C$255,MATCH('②建物情報 '!E63,'①基本情報 '!$E$2:$E$255,0),1)</f>
        <v>041</v>
      </c>
      <c r="C63" s="657" t="str">
        <f>INDEX('①基本情報 '!$B$2:$B$255,MATCH('②建物情報 '!E63,'①基本情報 '!$E$2:$E$255,0),1)</f>
        <v>0246</v>
      </c>
      <c r="D63" s="658" t="s">
        <v>2418</v>
      </c>
      <c r="E63" s="612" t="s">
        <v>348</v>
      </c>
      <c r="F63" s="611" t="str">
        <f>INDEX('①基本情報 '!$G$2:$G$255,MATCH('②建物情報 '!E63,'①基本情報 '!$E$2:$E$255,0),1)</f>
        <v>市民自治部まちづくり室まちづくり推進課</v>
      </c>
      <c r="G63" s="678" t="s">
        <v>1580</v>
      </c>
      <c r="H63" s="612" t="s">
        <v>1622</v>
      </c>
      <c r="I63" s="703">
        <v>1982</v>
      </c>
      <c r="J63" s="703">
        <v>3</v>
      </c>
      <c r="K63" s="663">
        <f t="shared" si="0"/>
        <v>42</v>
      </c>
      <c r="L63" s="694">
        <v>47.58</v>
      </c>
      <c r="M63" s="680">
        <v>95.16</v>
      </c>
      <c r="N63" s="680">
        <v>95.16</v>
      </c>
      <c r="O63" s="681" t="s">
        <v>1812</v>
      </c>
      <c r="P63" s="259" t="s">
        <v>1581</v>
      </c>
      <c r="Q63" s="259">
        <v>2</v>
      </c>
      <c r="R63" s="260">
        <v>0</v>
      </c>
      <c r="S63" s="682" t="s">
        <v>1593</v>
      </c>
      <c r="T63" s="683" t="s">
        <v>825</v>
      </c>
      <c r="U63" s="683" t="s">
        <v>63</v>
      </c>
      <c r="V63" s="684"/>
      <c r="W63" s="685"/>
      <c r="X63" s="686">
        <v>47</v>
      </c>
      <c r="Y63" s="687" t="s">
        <v>1585</v>
      </c>
      <c r="Z63" s="663" t="s">
        <v>1587</v>
      </c>
      <c r="AA63" s="663" t="s">
        <v>1596</v>
      </c>
      <c r="AB63" s="663" t="s">
        <v>825</v>
      </c>
      <c r="AC63" s="663" t="s">
        <v>1586</v>
      </c>
      <c r="AD63" s="663" t="s">
        <v>1587</v>
      </c>
      <c r="AE63" s="663" t="s">
        <v>1586</v>
      </c>
      <c r="AF63" s="663" t="s">
        <v>825</v>
      </c>
      <c r="AG63" s="663" t="s">
        <v>825</v>
      </c>
      <c r="AH63" s="663" t="s">
        <v>1585</v>
      </c>
      <c r="AI63" s="688">
        <v>60.571428571428562</v>
      </c>
      <c r="AJ63" s="689" t="s">
        <v>1588</v>
      </c>
      <c r="AK63" s="690"/>
    </row>
    <row r="64" spans="1:37" s="653" customFormat="1">
      <c r="A64" s="655">
        <v>2024</v>
      </c>
      <c r="B64" s="656" t="str">
        <f>INDEX('①基本情報 '!$C$2:$C$255,MATCH('②建物情報 '!E64,'①基本情報 '!$E$2:$E$255,0),1)</f>
        <v>042</v>
      </c>
      <c r="C64" s="657" t="str">
        <f>INDEX('①基本情報 '!$B$2:$B$255,MATCH('②建物情報 '!E64,'①基本情報 '!$E$2:$E$255,0),1)</f>
        <v>0262</v>
      </c>
      <c r="D64" s="658" t="s">
        <v>2418</v>
      </c>
      <c r="E64" s="612" t="s">
        <v>354</v>
      </c>
      <c r="F64" s="611" t="str">
        <f>INDEX('①基本情報 '!$G$2:$G$255,MATCH('②建物情報 '!E64,'①基本情報 '!$E$2:$E$255,0),1)</f>
        <v>市民自治部まちづくり室まちづくり推進課</v>
      </c>
      <c r="G64" s="678" t="s">
        <v>1580</v>
      </c>
      <c r="H64" s="612" t="s">
        <v>1622</v>
      </c>
      <c r="I64" s="703">
        <v>1987</v>
      </c>
      <c r="J64" s="703">
        <v>3</v>
      </c>
      <c r="K64" s="663">
        <f t="shared" si="0"/>
        <v>37</v>
      </c>
      <c r="L64" s="694">
        <v>149</v>
      </c>
      <c r="M64" s="680">
        <v>146.88</v>
      </c>
      <c r="N64" s="680">
        <v>146.88</v>
      </c>
      <c r="O64" s="681" t="s">
        <v>1812</v>
      </c>
      <c r="P64" s="259" t="s">
        <v>1581</v>
      </c>
      <c r="Q64" s="259">
        <v>1</v>
      </c>
      <c r="R64" s="260">
        <v>0</v>
      </c>
      <c r="S64" s="682" t="s">
        <v>1593</v>
      </c>
      <c r="T64" s="683" t="s">
        <v>825</v>
      </c>
      <c r="U64" s="683" t="s">
        <v>63</v>
      </c>
      <c r="V64" s="684"/>
      <c r="W64" s="685"/>
      <c r="X64" s="686">
        <v>47</v>
      </c>
      <c r="Y64" s="687" t="s">
        <v>1596</v>
      </c>
      <c r="Z64" s="663" t="s">
        <v>1586</v>
      </c>
      <c r="AA64" s="663" t="s">
        <v>1586</v>
      </c>
      <c r="AB64" s="663" t="s">
        <v>825</v>
      </c>
      <c r="AC64" s="663" t="s">
        <v>1585</v>
      </c>
      <c r="AD64" s="663" t="s">
        <v>1585</v>
      </c>
      <c r="AE64" s="663" t="s">
        <v>1586</v>
      </c>
      <c r="AF64" s="663" t="s">
        <v>825</v>
      </c>
      <c r="AG64" s="663" t="s">
        <v>825</v>
      </c>
      <c r="AH64" s="663" t="s">
        <v>1586</v>
      </c>
      <c r="AI64" s="688">
        <v>78.285714285714292</v>
      </c>
      <c r="AJ64" s="689" t="s">
        <v>1588</v>
      </c>
      <c r="AK64" s="690"/>
    </row>
    <row r="65" spans="1:37" s="653" customFormat="1">
      <c r="A65" s="655">
        <v>2024</v>
      </c>
      <c r="B65" s="656" t="str">
        <f>INDEX('①基本情報 '!$C$2:$C$255,MATCH('②建物情報 '!E65,'①基本情報 '!$E$2:$E$255,0),1)</f>
        <v>043</v>
      </c>
      <c r="C65" s="657" t="str">
        <f>INDEX('①基本情報 '!$B$2:$B$255,MATCH('②建物情報 '!E65,'①基本情報 '!$E$2:$E$255,0),1)</f>
        <v>0201</v>
      </c>
      <c r="D65" s="658" t="s">
        <v>2418</v>
      </c>
      <c r="E65" s="612" t="s">
        <v>361</v>
      </c>
      <c r="F65" s="611" t="str">
        <f>INDEX('①基本情報 '!$G$2:$G$255,MATCH('②建物情報 '!E65,'①基本情報 '!$E$2:$E$255,0),1)</f>
        <v>市民自治部まちづくり室まちづくり推進課</v>
      </c>
      <c r="G65" s="678" t="s">
        <v>1580</v>
      </c>
      <c r="H65" s="612" t="s">
        <v>1622</v>
      </c>
      <c r="I65" s="703">
        <v>2016</v>
      </c>
      <c r="J65" s="663">
        <v>5</v>
      </c>
      <c r="K65" s="663">
        <f t="shared" si="0"/>
        <v>8</v>
      </c>
      <c r="L65" s="694"/>
      <c r="M65" s="695">
        <v>1051.8499999999999</v>
      </c>
      <c r="N65" s="695">
        <v>884.1</v>
      </c>
      <c r="O65" s="681" t="s">
        <v>1594</v>
      </c>
      <c r="P65" s="259" t="s">
        <v>1581</v>
      </c>
      <c r="Q65" s="259">
        <v>2</v>
      </c>
      <c r="R65" s="260">
        <v>0</v>
      </c>
      <c r="S65" s="682" t="s">
        <v>1593</v>
      </c>
      <c r="T65" s="683" t="s">
        <v>825</v>
      </c>
      <c r="U65" s="683" t="s">
        <v>63</v>
      </c>
      <c r="V65" s="684"/>
      <c r="W65" s="685"/>
      <c r="X65" s="686">
        <v>47</v>
      </c>
      <c r="Y65" s="687" t="s">
        <v>1587</v>
      </c>
      <c r="Z65" s="663" t="s">
        <v>1596</v>
      </c>
      <c r="AA65" s="663" t="s">
        <v>1596</v>
      </c>
      <c r="AB65" s="663" t="s">
        <v>825</v>
      </c>
      <c r="AC65" s="663" t="s">
        <v>1596</v>
      </c>
      <c r="AD65" s="663" t="s">
        <v>1596</v>
      </c>
      <c r="AE65" s="663" t="s">
        <v>1587</v>
      </c>
      <c r="AF65" s="663" t="s">
        <v>1596</v>
      </c>
      <c r="AG65" s="663" t="s">
        <v>1587</v>
      </c>
      <c r="AH65" s="663" t="s">
        <v>1587</v>
      </c>
      <c r="AI65" s="688">
        <v>25.454545454545453</v>
      </c>
      <c r="AJ65" s="689" t="s">
        <v>1588</v>
      </c>
      <c r="AK65" s="690"/>
    </row>
    <row r="66" spans="1:37" s="653" customFormat="1">
      <c r="A66" s="655">
        <v>2024</v>
      </c>
      <c r="B66" s="656" t="str">
        <f>INDEX('①基本情報 '!$C$2:$C$255,MATCH('②建物情報 '!E66,'①基本情報 '!$E$2:$E$255,0),1)</f>
        <v>044</v>
      </c>
      <c r="C66" s="657" t="str">
        <f>INDEX('①基本情報 '!$B$2:$B$255,MATCH('②建物情報 '!E66,'①基本情報 '!$E$2:$E$255,0),1)</f>
        <v>0209</v>
      </c>
      <c r="D66" s="658" t="s">
        <v>2418</v>
      </c>
      <c r="E66" s="612" t="s">
        <v>367</v>
      </c>
      <c r="F66" s="611" t="str">
        <f>INDEX('①基本情報 '!$G$2:$G$255,MATCH('②建物情報 '!E66,'①基本情報 '!$E$2:$E$255,0),1)</f>
        <v>市民自治部まちづくり室まちづくり推進課</v>
      </c>
      <c r="G66" s="678" t="s">
        <v>1580</v>
      </c>
      <c r="H66" s="612" t="s">
        <v>1622</v>
      </c>
      <c r="I66" s="703">
        <v>1972</v>
      </c>
      <c r="J66" s="703">
        <v>5</v>
      </c>
      <c r="K66" s="663">
        <f t="shared" si="0"/>
        <v>52</v>
      </c>
      <c r="L66" s="694">
        <v>84.6</v>
      </c>
      <c r="M66" s="680">
        <v>197.56</v>
      </c>
      <c r="N66" s="680">
        <v>197.56</v>
      </c>
      <c r="O66" s="681" t="s">
        <v>1812</v>
      </c>
      <c r="P66" s="259" t="s">
        <v>1581</v>
      </c>
      <c r="Q66" s="259">
        <v>2</v>
      </c>
      <c r="R66" s="260">
        <v>0</v>
      </c>
      <c r="S66" s="682" t="s">
        <v>1582</v>
      </c>
      <c r="T66" s="683"/>
      <c r="U66" s="683" t="s">
        <v>1584</v>
      </c>
      <c r="V66" s="684"/>
      <c r="W66" s="685"/>
      <c r="X66" s="686">
        <v>47</v>
      </c>
      <c r="Y66" s="687" t="s">
        <v>1585</v>
      </c>
      <c r="Z66" s="663" t="s">
        <v>1585</v>
      </c>
      <c r="AA66" s="663" t="s">
        <v>1586</v>
      </c>
      <c r="AB66" s="663" t="s">
        <v>825</v>
      </c>
      <c r="AC66" s="663" t="s">
        <v>1586</v>
      </c>
      <c r="AD66" s="663" t="s">
        <v>1586</v>
      </c>
      <c r="AE66" s="663" t="s">
        <v>1586</v>
      </c>
      <c r="AF66" s="663" t="s">
        <v>825</v>
      </c>
      <c r="AG66" s="663" t="s">
        <v>825</v>
      </c>
      <c r="AH66" s="663" t="s">
        <v>1586</v>
      </c>
      <c r="AI66" s="688">
        <v>90.303030303030312</v>
      </c>
      <c r="AJ66" s="689" t="s">
        <v>1588</v>
      </c>
      <c r="AK66" s="690"/>
    </row>
    <row r="67" spans="1:37" s="653" customFormat="1">
      <c r="A67" s="655">
        <v>2024</v>
      </c>
      <c r="B67" s="656" t="str">
        <f>INDEX('①基本情報 '!$C$2:$C$255,MATCH('②建物情報 '!E67,'①基本情報 '!$E$2:$E$255,0),1)</f>
        <v>045</v>
      </c>
      <c r="C67" s="657" t="str">
        <f>INDEX('①基本情報 '!$B$2:$B$255,MATCH('②建物情報 '!E67,'①基本情報 '!$E$2:$E$255,0),1)</f>
        <v>0214</v>
      </c>
      <c r="D67" s="658" t="s">
        <v>2418</v>
      </c>
      <c r="E67" s="612" t="s">
        <v>374</v>
      </c>
      <c r="F67" s="611" t="str">
        <f>INDEX('①基本情報 '!$G$2:$G$255,MATCH('②建物情報 '!E67,'①基本情報 '!$E$2:$E$255,0),1)</f>
        <v>市民自治部まちづくり室まちづくり推進課</v>
      </c>
      <c r="G67" s="678" t="s">
        <v>1580</v>
      </c>
      <c r="H67" s="612" t="s">
        <v>1622</v>
      </c>
      <c r="I67" s="703">
        <v>1974</v>
      </c>
      <c r="J67" s="703">
        <v>3</v>
      </c>
      <c r="K67" s="663">
        <f t="shared" si="0"/>
        <v>50</v>
      </c>
      <c r="L67" s="694">
        <v>211.65</v>
      </c>
      <c r="M67" s="680">
        <v>316.02999999999997</v>
      </c>
      <c r="N67" s="680">
        <v>316.02999999999997</v>
      </c>
      <c r="O67" s="681" t="s">
        <v>1812</v>
      </c>
      <c r="P67" s="259" t="s">
        <v>1581</v>
      </c>
      <c r="Q67" s="259">
        <v>3</v>
      </c>
      <c r="R67" s="260">
        <v>0</v>
      </c>
      <c r="S67" s="682" t="s">
        <v>1582</v>
      </c>
      <c r="T67" s="683"/>
      <c r="U67" s="683" t="s">
        <v>1584</v>
      </c>
      <c r="V67" s="684"/>
      <c r="W67" s="685"/>
      <c r="X67" s="686">
        <v>47</v>
      </c>
      <c r="Y67" s="687" t="s">
        <v>1585</v>
      </c>
      <c r="Z67" s="663" t="s">
        <v>1585</v>
      </c>
      <c r="AA67" s="663" t="s">
        <v>1586</v>
      </c>
      <c r="AB67" s="663" t="s">
        <v>825</v>
      </c>
      <c r="AC67" s="663" t="s">
        <v>1586</v>
      </c>
      <c r="AD67" s="663" t="s">
        <v>1586</v>
      </c>
      <c r="AE67" s="663" t="s">
        <v>1585</v>
      </c>
      <c r="AF67" s="663" t="s">
        <v>825</v>
      </c>
      <c r="AG67" s="663" t="s">
        <v>825</v>
      </c>
      <c r="AH67" s="663" t="s">
        <v>1586</v>
      </c>
      <c r="AI67" s="688">
        <v>76.969696969696969</v>
      </c>
      <c r="AJ67" s="689" t="s">
        <v>1588</v>
      </c>
      <c r="AK67" s="690"/>
    </row>
    <row r="68" spans="1:37" s="653" customFormat="1">
      <c r="A68" s="655">
        <v>2024</v>
      </c>
      <c r="B68" s="656" t="str">
        <f>INDEX('①基本情報 '!$C$2:$C$255,MATCH('②建物情報 '!E68,'①基本情報 '!$E$2:$E$255,0),1)</f>
        <v>046</v>
      </c>
      <c r="C68" s="657" t="str">
        <f>INDEX('①基本情報 '!$B$2:$B$255,MATCH('②建物情報 '!E68,'①基本情報 '!$E$2:$E$255,0),1)</f>
        <v>0216</v>
      </c>
      <c r="D68" s="658" t="s">
        <v>2418</v>
      </c>
      <c r="E68" s="612" t="s">
        <v>381</v>
      </c>
      <c r="F68" s="611" t="str">
        <f>INDEX('①基本情報 '!$G$2:$G$255,MATCH('②建物情報 '!E68,'①基本情報 '!$E$2:$E$255,0),1)</f>
        <v>市民自治部まちづくり室まちづくり推進課</v>
      </c>
      <c r="G68" s="678" t="s">
        <v>1580</v>
      </c>
      <c r="H68" s="612" t="s">
        <v>1622</v>
      </c>
      <c r="I68" s="703">
        <v>1974</v>
      </c>
      <c r="J68" s="703">
        <v>3</v>
      </c>
      <c r="K68" s="663">
        <f t="shared" si="0"/>
        <v>50</v>
      </c>
      <c r="L68" s="694">
        <v>126.3</v>
      </c>
      <c r="M68" s="680">
        <v>181.84</v>
      </c>
      <c r="N68" s="680">
        <v>181.84</v>
      </c>
      <c r="O68" s="681" t="s">
        <v>1812</v>
      </c>
      <c r="P68" s="259" t="s">
        <v>1581</v>
      </c>
      <c r="Q68" s="259">
        <v>2</v>
      </c>
      <c r="R68" s="260">
        <v>0</v>
      </c>
      <c r="S68" s="682" t="s">
        <v>1582</v>
      </c>
      <c r="T68" s="683"/>
      <c r="U68" s="683" t="s">
        <v>1584</v>
      </c>
      <c r="V68" s="684"/>
      <c r="W68" s="685"/>
      <c r="X68" s="686">
        <v>47</v>
      </c>
      <c r="Y68" s="687" t="s">
        <v>1585</v>
      </c>
      <c r="Z68" s="663" t="s">
        <v>1586</v>
      </c>
      <c r="AA68" s="663" t="s">
        <v>1586</v>
      </c>
      <c r="AB68" s="663" t="s">
        <v>825</v>
      </c>
      <c r="AC68" s="663" t="s">
        <v>1586</v>
      </c>
      <c r="AD68" s="663" t="s">
        <v>1586</v>
      </c>
      <c r="AE68" s="663" t="s">
        <v>1596</v>
      </c>
      <c r="AF68" s="663" t="s">
        <v>825</v>
      </c>
      <c r="AG68" s="663" t="s">
        <v>825</v>
      </c>
      <c r="AH68" s="663" t="s">
        <v>1586</v>
      </c>
      <c r="AI68" s="688">
        <v>80.606060606060609</v>
      </c>
      <c r="AJ68" s="689" t="s">
        <v>1588</v>
      </c>
      <c r="AK68" s="690"/>
    </row>
    <row r="69" spans="1:37" s="653" customFormat="1">
      <c r="A69" s="655">
        <v>2024</v>
      </c>
      <c r="B69" s="656" t="str">
        <f>INDEX('①基本情報 '!$C$2:$C$255,MATCH('②建物情報 '!E69,'①基本情報 '!$E$2:$E$255,0),1)</f>
        <v>047</v>
      </c>
      <c r="C69" s="657" t="str">
        <f>INDEX('①基本情報 '!$B$2:$B$255,MATCH('②建物情報 '!E69,'①基本情報 '!$E$2:$E$255,0),1)</f>
        <v>0225</v>
      </c>
      <c r="D69" s="658" t="s">
        <v>2418</v>
      </c>
      <c r="E69" s="612" t="s">
        <v>387</v>
      </c>
      <c r="F69" s="611" t="str">
        <f>INDEX('①基本情報 '!$G$2:$G$255,MATCH('②建物情報 '!E69,'①基本情報 '!$E$2:$E$255,0),1)</f>
        <v>市民自治部まちづくり室まちづくり推進課</v>
      </c>
      <c r="G69" s="678" t="s">
        <v>1580</v>
      </c>
      <c r="H69" s="612" t="s">
        <v>1622</v>
      </c>
      <c r="I69" s="703">
        <v>1975</v>
      </c>
      <c r="J69" s="703">
        <v>7</v>
      </c>
      <c r="K69" s="663">
        <f t="shared" si="0"/>
        <v>49</v>
      </c>
      <c r="L69" s="694">
        <v>330.07</v>
      </c>
      <c r="M69" s="680">
        <v>336</v>
      </c>
      <c r="N69" s="680">
        <v>336</v>
      </c>
      <c r="O69" s="681" t="s">
        <v>1594</v>
      </c>
      <c r="P69" s="259" t="s">
        <v>1581</v>
      </c>
      <c r="Q69" s="259">
        <v>2</v>
      </c>
      <c r="R69" s="260">
        <v>0</v>
      </c>
      <c r="S69" s="682" t="s">
        <v>1582</v>
      </c>
      <c r="T69" s="683"/>
      <c r="U69" s="683" t="s">
        <v>1584</v>
      </c>
      <c r="V69" s="684"/>
      <c r="W69" s="685"/>
      <c r="X69" s="686">
        <v>47</v>
      </c>
      <c r="Y69" s="687" t="s">
        <v>1585</v>
      </c>
      <c r="Z69" s="663" t="s">
        <v>1586</v>
      </c>
      <c r="AA69" s="663" t="s">
        <v>1585</v>
      </c>
      <c r="AB69" s="663" t="s">
        <v>825</v>
      </c>
      <c r="AC69" s="663" t="s">
        <v>1586</v>
      </c>
      <c r="AD69" s="663" t="s">
        <v>1586</v>
      </c>
      <c r="AE69" s="663" t="s">
        <v>1596</v>
      </c>
      <c r="AF69" s="663" t="s">
        <v>825</v>
      </c>
      <c r="AG69" s="663" t="s">
        <v>825</v>
      </c>
      <c r="AH69" s="663" t="s">
        <v>1586</v>
      </c>
      <c r="AI69" s="688">
        <v>77.333333333333329</v>
      </c>
      <c r="AJ69" s="689" t="s">
        <v>1588</v>
      </c>
      <c r="AK69" s="690"/>
    </row>
    <row r="70" spans="1:37" s="653" customFormat="1">
      <c r="A70" s="655">
        <v>2024</v>
      </c>
      <c r="B70" s="656" t="str">
        <f>INDEX('①基本情報 '!$C$2:$C$255,MATCH('②建物情報 '!E70,'①基本情報 '!$E$2:$E$255,0),1)</f>
        <v>048</v>
      </c>
      <c r="C70" s="657" t="str">
        <f>INDEX('①基本情報 '!$B$2:$B$255,MATCH('②建物情報 '!E70,'①基本情報 '!$E$2:$E$255,0),1)</f>
        <v>0250</v>
      </c>
      <c r="D70" s="658" t="s">
        <v>2418</v>
      </c>
      <c r="E70" s="612" t="s">
        <v>394</v>
      </c>
      <c r="F70" s="611" t="str">
        <f>INDEX('①基本情報 '!$G$2:$G$255,MATCH('②建物情報 '!E70,'①基本情報 '!$E$2:$E$255,0),1)</f>
        <v>市民自治部まちづくり室まちづくり推進課</v>
      </c>
      <c r="G70" s="678" t="s">
        <v>1580</v>
      </c>
      <c r="H70" s="612" t="s">
        <v>1622</v>
      </c>
      <c r="I70" s="703">
        <v>1983</v>
      </c>
      <c r="J70" s="703">
        <v>3</v>
      </c>
      <c r="K70" s="663">
        <f t="shared" si="0"/>
        <v>41</v>
      </c>
      <c r="L70" s="694">
        <v>316.3</v>
      </c>
      <c r="M70" s="680">
        <v>316.3</v>
      </c>
      <c r="N70" s="680">
        <v>316.3</v>
      </c>
      <c r="O70" s="681" t="s">
        <v>1812</v>
      </c>
      <c r="P70" s="259" t="s">
        <v>1581</v>
      </c>
      <c r="Q70" s="259">
        <v>1</v>
      </c>
      <c r="R70" s="260">
        <v>0</v>
      </c>
      <c r="S70" s="682" t="s">
        <v>1593</v>
      </c>
      <c r="T70" s="683" t="s">
        <v>825</v>
      </c>
      <c r="U70" s="683" t="s">
        <v>63</v>
      </c>
      <c r="V70" s="684"/>
      <c r="W70" s="685"/>
      <c r="X70" s="686">
        <v>47</v>
      </c>
      <c r="Y70" s="687" t="s">
        <v>1585</v>
      </c>
      <c r="Z70" s="663" t="s">
        <v>1586</v>
      </c>
      <c r="AA70" s="663" t="s">
        <v>1585</v>
      </c>
      <c r="AB70" s="663" t="s">
        <v>825</v>
      </c>
      <c r="AC70" s="663" t="s">
        <v>1586</v>
      </c>
      <c r="AD70" s="663" t="s">
        <v>1587</v>
      </c>
      <c r="AE70" s="663" t="s">
        <v>1586</v>
      </c>
      <c r="AF70" s="663" t="s">
        <v>825</v>
      </c>
      <c r="AG70" s="663" t="s">
        <v>825</v>
      </c>
      <c r="AH70" s="663" t="s">
        <v>1586</v>
      </c>
      <c r="AI70" s="688">
        <v>72</v>
      </c>
      <c r="AJ70" s="689" t="s">
        <v>1588</v>
      </c>
      <c r="AK70" s="690"/>
    </row>
    <row r="71" spans="1:37" s="653" customFormat="1">
      <c r="A71" s="655">
        <v>2024</v>
      </c>
      <c r="B71" s="656" t="str">
        <f>INDEX('①基本情報 '!$C$2:$C$255,MATCH('②建物情報 '!E71,'①基本情報 '!$E$2:$E$255,0),1)</f>
        <v>049</v>
      </c>
      <c r="C71" s="657" t="str">
        <f>INDEX('①基本情報 '!$B$2:$B$255,MATCH('②建物情報 '!E71,'①基本情報 '!$E$2:$E$255,0),1)</f>
        <v>0271</v>
      </c>
      <c r="D71" s="658" t="s">
        <v>2418</v>
      </c>
      <c r="E71" s="612" t="s">
        <v>401</v>
      </c>
      <c r="F71" s="611" t="str">
        <f>INDEX('①基本情報 '!$G$2:$G$255,MATCH('②建物情報 '!E71,'①基本情報 '!$E$2:$E$255,0),1)</f>
        <v>市民自治部まちづくり室まちづくり推進課</v>
      </c>
      <c r="G71" s="678" t="s">
        <v>1580</v>
      </c>
      <c r="H71" s="612" t="s">
        <v>1622</v>
      </c>
      <c r="I71" s="703">
        <v>1996</v>
      </c>
      <c r="J71" s="703">
        <v>12</v>
      </c>
      <c r="K71" s="663">
        <f t="shared" ref="K71:K134" si="1">IF(I71&lt;&gt;"",A71-I71,99)</f>
        <v>28</v>
      </c>
      <c r="L71" s="694">
        <v>124.09</v>
      </c>
      <c r="M71" s="680">
        <v>119.99</v>
      </c>
      <c r="N71" s="680">
        <v>119.99</v>
      </c>
      <c r="O71" s="681" t="s">
        <v>1812</v>
      </c>
      <c r="P71" s="259" t="s">
        <v>1581</v>
      </c>
      <c r="Q71" s="259">
        <v>1</v>
      </c>
      <c r="R71" s="260">
        <v>0</v>
      </c>
      <c r="S71" s="682" t="s">
        <v>1593</v>
      </c>
      <c r="T71" s="683" t="s">
        <v>825</v>
      </c>
      <c r="U71" s="683" t="s">
        <v>63</v>
      </c>
      <c r="V71" s="684"/>
      <c r="W71" s="685"/>
      <c r="X71" s="686">
        <v>47</v>
      </c>
      <c r="Y71" s="687" t="s">
        <v>1596</v>
      </c>
      <c r="Z71" s="663" t="s">
        <v>1587</v>
      </c>
      <c r="AA71" s="663" t="s">
        <v>1585</v>
      </c>
      <c r="AB71" s="663" t="s">
        <v>825</v>
      </c>
      <c r="AC71" s="663" t="s">
        <v>1586</v>
      </c>
      <c r="AD71" s="663" t="s">
        <v>1587</v>
      </c>
      <c r="AE71" s="663" t="s">
        <v>1585</v>
      </c>
      <c r="AF71" s="663" t="s">
        <v>825</v>
      </c>
      <c r="AG71" s="663" t="s">
        <v>825</v>
      </c>
      <c r="AH71" s="663" t="s">
        <v>1585</v>
      </c>
      <c r="AI71" s="688">
        <v>55.263157894736835</v>
      </c>
      <c r="AJ71" s="689" t="s">
        <v>1588</v>
      </c>
      <c r="AK71" s="690"/>
    </row>
    <row r="72" spans="1:37" s="653" customFormat="1">
      <c r="A72" s="655">
        <v>2024</v>
      </c>
      <c r="B72" s="656" t="str">
        <f>INDEX('①基本情報 '!$C$2:$C$255,MATCH('②建物情報 '!E72,'①基本情報 '!$E$2:$E$255,0),1)</f>
        <v>050</v>
      </c>
      <c r="C72" s="657" t="str">
        <f>INDEX('①基本情報 '!$B$2:$B$255,MATCH('②建物情報 '!E72,'①基本情報 '!$E$2:$E$255,0),1)</f>
        <v>0272</v>
      </c>
      <c r="D72" s="658" t="s">
        <v>2418</v>
      </c>
      <c r="E72" s="612" t="s">
        <v>407</v>
      </c>
      <c r="F72" s="611" t="str">
        <f>INDEX('①基本情報 '!$G$2:$G$255,MATCH('②建物情報 '!E72,'①基本情報 '!$E$2:$E$255,0),1)</f>
        <v>市民自治部まちづくり室まちづくり推進課</v>
      </c>
      <c r="G72" s="678" t="s">
        <v>1580</v>
      </c>
      <c r="H72" s="612" t="s">
        <v>1622</v>
      </c>
      <c r="I72" s="703">
        <v>1996</v>
      </c>
      <c r="J72" s="703">
        <v>12</v>
      </c>
      <c r="K72" s="663">
        <f t="shared" si="1"/>
        <v>28</v>
      </c>
      <c r="L72" s="694">
        <v>62.62</v>
      </c>
      <c r="M72" s="680">
        <v>109.3</v>
      </c>
      <c r="N72" s="680">
        <v>109.3</v>
      </c>
      <c r="O72" s="681" t="s">
        <v>1812</v>
      </c>
      <c r="P72" s="259" t="s">
        <v>1581</v>
      </c>
      <c r="Q72" s="259">
        <v>2</v>
      </c>
      <c r="R72" s="260">
        <v>0</v>
      </c>
      <c r="S72" s="682" t="s">
        <v>1593</v>
      </c>
      <c r="T72" s="683" t="s">
        <v>825</v>
      </c>
      <c r="U72" s="683" t="s">
        <v>63</v>
      </c>
      <c r="V72" s="684"/>
      <c r="W72" s="685"/>
      <c r="X72" s="686">
        <v>47</v>
      </c>
      <c r="Y72" s="687" t="s">
        <v>1596</v>
      </c>
      <c r="Z72" s="663" t="s">
        <v>1586</v>
      </c>
      <c r="AA72" s="663" t="s">
        <v>1586</v>
      </c>
      <c r="AB72" s="663" t="s">
        <v>825</v>
      </c>
      <c r="AC72" s="663" t="s">
        <v>1586</v>
      </c>
      <c r="AD72" s="663" t="s">
        <v>1587</v>
      </c>
      <c r="AE72" s="663" t="s">
        <v>1585</v>
      </c>
      <c r="AF72" s="663" t="s">
        <v>825</v>
      </c>
      <c r="AG72" s="663" t="s">
        <v>825</v>
      </c>
      <c r="AH72" s="663" t="s">
        <v>1585</v>
      </c>
      <c r="AI72" s="688">
        <v>66.060606060606062</v>
      </c>
      <c r="AJ72" s="689" t="s">
        <v>1588</v>
      </c>
      <c r="AK72" s="690"/>
    </row>
    <row r="73" spans="1:37" s="653" customFormat="1">
      <c r="A73" s="655">
        <v>2024</v>
      </c>
      <c r="B73" s="656" t="str">
        <f>INDEX('①基本情報 '!$C$2:$C$255,MATCH('②建物情報 '!E73,'①基本情報 '!$E$2:$E$255,0),1)</f>
        <v>051</v>
      </c>
      <c r="C73" s="657" t="str">
        <f>INDEX('①基本情報 '!$B$2:$B$255,MATCH('②建物情報 '!E73,'①基本情報 '!$E$2:$E$255,0),1)</f>
        <v>0205</v>
      </c>
      <c r="D73" s="658" t="s">
        <v>2418</v>
      </c>
      <c r="E73" s="612" t="s">
        <v>412</v>
      </c>
      <c r="F73" s="611" t="str">
        <f>INDEX('①基本情報 '!$G$2:$G$255,MATCH('②建物情報 '!E73,'①基本情報 '!$E$2:$E$255,0),1)</f>
        <v>市民自治部まちづくり室まちづくり推進課</v>
      </c>
      <c r="G73" s="678" t="s">
        <v>1580</v>
      </c>
      <c r="H73" s="612" t="s">
        <v>1622</v>
      </c>
      <c r="I73" s="703">
        <v>1971</v>
      </c>
      <c r="J73" s="703">
        <v>3</v>
      </c>
      <c r="K73" s="663">
        <f t="shared" si="1"/>
        <v>53</v>
      </c>
      <c r="L73" s="694">
        <v>95.15</v>
      </c>
      <c r="M73" s="680">
        <v>164.09</v>
      </c>
      <c r="N73" s="680">
        <v>164.09</v>
      </c>
      <c r="O73" s="681" t="s">
        <v>1812</v>
      </c>
      <c r="P73" s="259" t="s">
        <v>1581</v>
      </c>
      <c r="Q73" s="259">
        <v>2</v>
      </c>
      <c r="R73" s="260">
        <v>0</v>
      </c>
      <c r="S73" s="682" t="s">
        <v>1582</v>
      </c>
      <c r="T73" s="683"/>
      <c r="U73" s="683" t="s">
        <v>1584</v>
      </c>
      <c r="V73" s="684"/>
      <c r="W73" s="685"/>
      <c r="X73" s="686">
        <v>47</v>
      </c>
      <c r="Y73" s="687" t="s">
        <v>1585</v>
      </c>
      <c r="Z73" s="663" t="s">
        <v>1585</v>
      </c>
      <c r="AA73" s="663" t="s">
        <v>1585</v>
      </c>
      <c r="AB73" s="663" t="s">
        <v>825</v>
      </c>
      <c r="AC73" s="663" t="s">
        <v>1586</v>
      </c>
      <c r="AD73" s="663" t="s">
        <v>1586</v>
      </c>
      <c r="AE73" s="663" t="s">
        <v>1586</v>
      </c>
      <c r="AF73" s="663" t="s">
        <v>825</v>
      </c>
      <c r="AG73" s="663" t="s">
        <v>825</v>
      </c>
      <c r="AH73" s="663" t="s">
        <v>1586</v>
      </c>
      <c r="AI73" s="688">
        <v>84.242424242424235</v>
      </c>
      <c r="AJ73" s="689" t="s">
        <v>1588</v>
      </c>
      <c r="AK73" s="690"/>
    </row>
    <row r="74" spans="1:37" s="653" customFormat="1">
      <c r="A74" s="655">
        <v>2024</v>
      </c>
      <c r="B74" s="656" t="str">
        <f>INDEX('①基本情報 '!$C$2:$C$255,MATCH('②建物情報 '!E74,'①基本情報 '!$E$2:$E$255,0),1)</f>
        <v>052</v>
      </c>
      <c r="C74" s="657" t="str">
        <f>INDEX('①基本情報 '!$B$2:$B$255,MATCH('②建物情報 '!E74,'①基本情報 '!$E$2:$E$255,0),1)</f>
        <v>0238</v>
      </c>
      <c r="D74" s="658" t="s">
        <v>2418</v>
      </c>
      <c r="E74" s="612" t="s">
        <v>418</v>
      </c>
      <c r="F74" s="611" t="str">
        <f>INDEX('①基本情報 '!$G$2:$G$255,MATCH('②建物情報 '!E74,'①基本情報 '!$E$2:$E$255,0),1)</f>
        <v>市民自治部まちづくり室まちづくり推進課</v>
      </c>
      <c r="G74" s="678" t="s">
        <v>1580</v>
      </c>
      <c r="H74" s="612" t="s">
        <v>1622</v>
      </c>
      <c r="I74" s="703">
        <v>2006</v>
      </c>
      <c r="J74" s="703">
        <v>5</v>
      </c>
      <c r="K74" s="663">
        <f t="shared" si="1"/>
        <v>18</v>
      </c>
      <c r="L74" s="694">
        <v>150.51</v>
      </c>
      <c r="M74" s="680">
        <v>142.01</v>
      </c>
      <c r="N74" s="680">
        <v>142.01</v>
      </c>
      <c r="O74" s="681" t="s">
        <v>1812</v>
      </c>
      <c r="P74" s="259" t="s">
        <v>1581</v>
      </c>
      <c r="Q74" s="259">
        <v>1</v>
      </c>
      <c r="R74" s="260">
        <v>0</v>
      </c>
      <c r="S74" s="682" t="s">
        <v>1593</v>
      </c>
      <c r="T74" s="683" t="s">
        <v>825</v>
      </c>
      <c r="U74" s="683" t="s">
        <v>63</v>
      </c>
      <c r="V74" s="684"/>
      <c r="W74" s="685"/>
      <c r="X74" s="686">
        <v>47</v>
      </c>
      <c r="Y74" s="687" t="s">
        <v>1587</v>
      </c>
      <c r="Z74" s="663" t="s">
        <v>1585</v>
      </c>
      <c r="AA74" s="663" t="s">
        <v>1586</v>
      </c>
      <c r="AB74" s="663" t="s">
        <v>825</v>
      </c>
      <c r="AC74" s="663" t="s">
        <v>1585</v>
      </c>
      <c r="AD74" s="663" t="s">
        <v>1586</v>
      </c>
      <c r="AE74" s="663" t="s">
        <v>1585</v>
      </c>
      <c r="AF74" s="663" t="s">
        <v>825</v>
      </c>
      <c r="AG74" s="663" t="s">
        <v>825</v>
      </c>
      <c r="AH74" s="663" t="s">
        <v>1585</v>
      </c>
      <c r="AI74" s="688">
        <v>56.000000000000007</v>
      </c>
      <c r="AJ74" s="689" t="s">
        <v>1588</v>
      </c>
      <c r="AK74" s="690"/>
    </row>
    <row r="75" spans="1:37" s="653" customFormat="1">
      <c r="A75" s="655">
        <v>2024</v>
      </c>
      <c r="B75" s="656" t="str">
        <f>INDEX('①基本情報 '!$C$2:$C$255,MATCH('②建物情報 '!E75,'①基本情報 '!$E$2:$E$255,0),1)</f>
        <v>053</v>
      </c>
      <c r="C75" s="657" t="str">
        <f>INDEX('①基本情報 '!$B$2:$B$255,MATCH('②建物情報 '!E75,'①基本情報 '!$E$2:$E$255,0),1)</f>
        <v>0268</v>
      </c>
      <c r="D75" s="658" t="s">
        <v>2418</v>
      </c>
      <c r="E75" s="612" t="s">
        <v>425</v>
      </c>
      <c r="F75" s="611" t="str">
        <f>INDEX('①基本情報 '!$G$2:$G$255,MATCH('②建物情報 '!E75,'①基本情報 '!$E$2:$E$255,0),1)</f>
        <v>市民自治部まちづくり室まちづくり推進課</v>
      </c>
      <c r="G75" s="678" t="s">
        <v>1580</v>
      </c>
      <c r="H75" s="612" t="s">
        <v>1622</v>
      </c>
      <c r="I75" s="703">
        <v>1990</v>
      </c>
      <c r="J75" s="703">
        <v>12</v>
      </c>
      <c r="K75" s="663">
        <f t="shared" si="1"/>
        <v>34</v>
      </c>
      <c r="L75" s="694">
        <v>134.47999999999999</v>
      </c>
      <c r="M75" s="680">
        <v>134.47999999999999</v>
      </c>
      <c r="N75" s="680">
        <v>134.47999999999999</v>
      </c>
      <c r="O75" s="681" t="s">
        <v>1812</v>
      </c>
      <c r="P75" s="259" t="s">
        <v>1581</v>
      </c>
      <c r="Q75" s="259">
        <v>1</v>
      </c>
      <c r="R75" s="260">
        <v>0</v>
      </c>
      <c r="S75" s="682" t="s">
        <v>1593</v>
      </c>
      <c r="T75" s="683" t="s">
        <v>825</v>
      </c>
      <c r="U75" s="683" t="s">
        <v>63</v>
      </c>
      <c r="V75" s="684"/>
      <c r="W75" s="685"/>
      <c r="X75" s="686">
        <v>47</v>
      </c>
      <c r="Y75" s="687" t="s">
        <v>1596</v>
      </c>
      <c r="Z75" s="663" t="s">
        <v>1596</v>
      </c>
      <c r="AA75" s="663" t="s">
        <v>1586</v>
      </c>
      <c r="AB75" s="663" t="s">
        <v>825</v>
      </c>
      <c r="AC75" s="663" t="s">
        <v>1586</v>
      </c>
      <c r="AD75" s="663" t="s">
        <v>1585</v>
      </c>
      <c r="AE75" s="663" t="s">
        <v>1596</v>
      </c>
      <c r="AF75" s="663" t="s">
        <v>825</v>
      </c>
      <c r="AG75" s="663" t="s">
        <v>825</v>
      </c>
      <c r="AH75" s="663" t="s">
        <v>1585</v>
      </c>
      <c r="AI75" s="688">
        <v>55.428571428571431</v>
      </c>
      <c r="AJ75" s="689" t="s">
        <v>1588</v>
      </c>
      <c r="AK75" s="690"/>
    </row>
    <row r="76" spans="1:37" s="653" customFormat="1">
      <c r="A76" s="655">
        <v>2024</v>
      </c>
      <c r="B76" s="656" t="str">
        <f>INDEX('①基本情報 '!$C$2:$C$255,MATCH('②建物情報 '!E76,'①基本情報 '!$E$2:$E$255,0),1)</f>
        <v>054</v>
      </c>
      <c r="C76" s="657" t="str">
        <f>INDEX('①基本情報 '!$B$2:$B$255,MATCH('②建物情報 '!E76,'①基本情報 '!$E$2:$E$255,0),1)</f>
        <v>0273</v>
      </c>
      <c r="D76" s="658" t="s">
        <v>2418</v>
      </c>
      <c r="E76" s="612" t="s">
        <v>431</v>
      </c>
      <c r="F76" s="611" t="str">
        <f>INDEX('①基本情報 '!$G$2:$G$255,MATCH('②建物情報 '!E76,'①基本情報 '!$E$2:$E$255,0),1)</f>
        <v>市民自治部まちづくり室まちづくり推進課</v>
      </c>
      <c r="G76" s="678" t="s">
        <v>1580</v>
      </c>
      <c r="H76" s="612" t="s">
        <v>1622</v>
      </c>
      <c r="I76" s="703">
        <v>1973</v>
      </c>
      <c r="J76" s="703">
        <v>3</v>
      </c>
      <c r="K76" s="663">
        <f t="shared" si="1"/>
        <v>51</v>
      </c>
      <c r="L76" s="694">
        <v>1384.75</v>
      </c>
      <c r="M76" s="680">
        <v>332.59</v>
      </c>
      <c r="N76" s="680">
        <v>332.59</v>
      </c>
      <c r="O76" s="681" t="s">
        <v>1594</v>
      </c>
      <c r="P76" s="259" t="s">
        <v>1581</v>
      </c>
      <c r="Q76" s="259">
        <v>2</v>
      </c>
      <c r="R76" s="260">
        <v>0</v>
      </c>
      <c r="S76" s="682" t="s">
        <v>1582</v>
      </c>
      <c r="T76" s="683" t="s">
        <v>1583</v>
      </c>
      <c r="U76" s="683" t="s">
        <v>63</v>
      </c>
      <c r="V76" s="684"/>
      <c r="W76" s="685"/>
      <c r="X76" s="686">
        <v>47</v>
      </c>
      <c r="Y76" s="687" t="s">
        <v>1585</v>
      </c>
      <c r="Z76" s="663" t="s">
        <v>1586</v>
      </c>
      <c r="AA76" s="663" t="s">
        <v>1586</v>
      </c>
      <c r="AB76" s="663" t="s">
        <v>825</v>
      </c>
      <c r="AC76" s="663" t="s">
        <v>1586</v>
      </c>
      <c r="AD76" s="663" t="s">
        <v>1596</v>
      </c>
      <c r="AE76" s="663" t="s">
        <v>1585</v>
      </c>
      <c r="AF76" s="663" t="s">
        <v>825</v>
      </c>
      <c r="AG76" s="663" t="s">
        <v>825</v>
      </c>
      <c r="AH76" s="663" t="s">
        <v>1586</v>
      </c>
      <c r="AI76" s="688">
        <v>79.393939393939391</v>
      </c>
      <c r="AJ76" s="689" t="s">
        <v>1588</v>
      </c>
      <c r="AK76" s="690"/>
    </row>
    <row r="77" spans="1:37" s="653" customFormat="1">
      <c r="A77" s="655">
        <v>2024</v>
      </c>
      <c r="B77" s="656" t="str">
        <f>INDEX('①基本情報 '!$C$2:$C$255,MATCH('②建物情報 '!E77,'①基本情報 '!$E$2:$E$255,0),1)</f>
        <v>055</v>
      </c>
      <c r="C77" s="657" t="str">
        <f>INDEX('①基本情報 '!$B$2:$B$255,MATCH('②建物情報 '!E77,'①基本情報 '!$E$2:$E$255,0),1)</f>
        <v>0274</v>
      </c>
      <c r="D77" s="658" t="s">
        <v>2418</v>
      </c>
      <c r="E77" s="612" t="s">
        <v>440</v>
      </c>
      <c r="F77" s="611" t="str">
        <f>INDEX('①基本情報 '!$G$2:$G$255,MATCH('②建物情報 '!E77,'①基本情報 '!$E$2:$E$255,0),1)</f>
        <v>市民自治部まちづくり室まちづくり推進課</v>
      </c>
      <c r="G77" s="678" t="s">
        <v>1580</v>
      </c>
      <c r="H77" s="612" t="s">
        <v>1622</v>
      </c>
      <c r="I77" s="703">
        <v>2000</v>
      </c>
      <c r="J77" s="703">
        <v>12</v>
      </c>
      <c r="K77" s="663">
        <f t="shared" si="1"/>
        <v>24</v>
      </c>
      <c r="L77" s="694">
        <v>1384.75</v>
      </c>
      <c r="M77" s="680">
        <v>360.57</v>
      </c>
      <c r="N77" s="680">
        <v>360.57</v>
      </c>
      <c r="O77" s="681" t="s">
        <v>1594</v>
      </c>
      <c r="P77" s="259" t="s">
        <v>1603</v>
      </c>
      <c r="Q77" s="259">
        <v>2</v>
      </c>
      <c r="R77" s="260">
        <v>0</v>
      </c>
      <c r="S77" s="682" t="s">
        <v>1593</v>
      </c>
      <c r="T77" s="683" t="s">
        <v>825</v>
      </c>
      <c r="U77" s="683" t="s">
        <v>63</v>
      </c>
      <c r="V77" s="684"/>
      <c r="W77" s="685"/>
      <c r="X77" s="686">
        <v>47</v>
      </c>
      <c r="Y77" s="687" t="s">
        <v>1596</v>
      </c>
      <c r="Z77" s="663" t="s">
        <v>1586</v>
      </c>
      <c r="AA77" s="663" t="s">
        <v>1586</v>
      </c>
      <c r="AB77" s="663" t="s">
        <v>825</v>
      </c>
      <c r="AC77" s="663" t="s">
        <v>1586</v>
      </c>
      <c r="AD77" s="663" t="s">
        <v>1596</v>
      </c>
      <c r="AE77" s="663" t="s">
        <v>1585</v>
      </c>
      <c r="AF77" s="663" t="s">
        <v>825</v>
      </c>
      <c r="AG77" s="663" t="s">
        <v>825</v>
      </c>
      <c r="AH77" s="663" t="s">
        <v>1585</v>
      </c>
      <c r="AI77" s="688">
        <v>62.424242424242429</v>
      </c>
      <c r="AJ77" s="689" t="s">
        <v>1588</v>
      </c>
      <c r="AK77" s="690"/>
    </row>
    <row r="78" spans="1:37" s="653" customFormat="1">
      <c r="A78" s="655">
        <v>2024</v>
      </c>
      <c r="B78" s="656" t="str">
        <f>INDEX('①基本情報 '!$C$2:$C$255,MATCH('②建物情報 '!E78,'①基本情報 '!$E$2:$E$255,0),1)</f>
        <v>056</v>
      </c>
      <c r="C78" s="657" t="str">
        <f>INDEX('①基本情報 '!$B$2:$B$255,MATCH('②建物情報 '!E78,'①基本情報 '!$E$2:$E$255,0),1)</f>
        <v>0275</v>
      </c>
      <c r="D78" s="658" t="s">
        <v>2418</v>
      </c>
      <c r="E78" s="612" t="s">
        <v>252</v>
      </c>
      <c r="F78" s="611" t="str">
        <f>INDEX('①基本情報 '!$G$2:$G$255,MATCH('②建物情報 '!E78,'①基本情報 '!$E$2:$E$255,0),1)</f>
        <v>市民自治部まちづくり室まちづくり推進課</v>
      </c>
      <c r="G78" s="678" t="s">
        <v>1580</v>
      </c>
      <c r="H78" s="612" t="s">
        <v>1622</v>
      </c>
      <c r="I78" s="703">
        <v>2005</v>
      </c>
      <c r="J78" s="703">
        <v>3</v>
      </c>
      <c r="K78" s="663">
        <f t="shared" si="1"/>
        <v>19</v>
      </c>
      <c r="L78" s="694">
        <v>366.02</v>
      </c>
      <c r="M78" s="680">
        <v>315.3</v>
      </c>
      <c r="N78" s="680">
        <v>315.3</v>
      </c>
      <c r="O78" s="681" t="s">
        <v>1812</v>
      </c>
      <c r="P78" s="259" t="s">
        <v>1614</v>
      </c>
      <c r="Q78" s="259">
        <v>1</v>
      </c>
      <c r="R78" s="260">
        <v>0</v>
      </c>
      <c r="S78" s="682" t="s">
        <v>1593</v>
      </c>
      <c r="T78" s="683" t="s">
        <v>825</v>
      </c>
      <c r="U78" s="683" t="s">
        <v>63</v>
      </c>
      <c r="V78" s="684"/>
      <c r="W78" s="685"/>
      <c r="X78" s="686">
        <v>22</v>
      </c>
      <c r="Y78" s="687" t="s">
        <v>1585</v>
      </c>
      <c r="Z78" s="663" t="s">
        <v>1585</v>
      </c>
      <c r="AA78" s="663" t="s">
        <v>1586</v>
      </c>
      <c r="AB78" s="663" t="s">
        <v>825</v>
      </c>
      <c r="AC78" s="663" t="s">
        <v>1585</v>
      </c>
      <c r="AD78" s="663" t="s">
        <v>1586</v>
      </c>
      <c r="AE78" s="663" t="s">
        <v>1585</v>
      </c>
      <c r="AF78" s="663" t="s">
        <v>825</v>
      </c>
      <c r="AG78" s="663" t="s">
        <v>825</v>
      </c>
      <c r="AH78" s="663" t="s">
        <v>1586</v>
      </c>
      <c r="AI78" s="688">
        <v>79.104477611940311</v>
      </c>
      <c r="AJ78" s="689" t="s">
        <v>1588</v>
      </c>
      <c r="AK78" s="690"/>
    </row>
    <row r="79" spans="1:37" s="653" customFormat="1">
      <c r="A79" s="655">
        <v>2024</v>
      </c>
      <c r="B79" s="656" t="str">
        <f>INDEX('①基本情報 '!$C$2:$C$255,MATCH('②建物情報 '!E79,'①基本情報 '!$E$2:$E$255,0),1)</f>
        <v>057</v>
      </c>
      <c r="C79" s="657" t="str">
        <f>INDEX('①基本情報 '!$B$2:$B$255,MATCH('②建物情報 '!E79,'①基本情報 '!$E$2:$E$255,0),1)</f>
        <v>0251</v>
      </c>
      <c r="D79" s="658" t="s">
        <v>2418</v>
      </c>
      <c r="E79" s="612" t="s">
        <v>455</v>
      </c>
      <c r="F79" s="611" t="str">
        <f>INDEX('①基本情報 '!$G$2:$G$255,MATCH('②建物情報 '!E79,'①基本情報 '!$E$2:$E$255,0),1)</f>
        <v>市民自治部まちづくり室まちづくり推進課</v>
      </c>
      <c r="G79" s="678" t="s">
        <v>1580</v>
      </c>
      <c r="H79" s="612" t="s">
        <v>1622</v>
      </c>
      <c r="I79" s="703">
        <v>1983</v>
      </c>
      <c r="J79" s="703">
        <v>3</v>
      </c>
      <c r="K79" s="663">
        <f t="shared" si="1"/>
        <v>41</v>
      </c>
      <c r="L79" s="694">
        <v>106.09</v>
      </c>
      <c r="M79" s="680">
        <v>179.34</v>
      </c>
      <c r="N79" s="680">
        <v>179.34</v>
      </c>
      <c r="O79" s="681" t="s">
        <v>1812</v>
      </c>
      <c r="P79" s="259" t="s">
        <v>1581</v>
      </c>
      <c r="Q79" s="259">
        <v>2</v>
      </c>
      <c r="R79" s="260">
        <v>0</v>
      </c>
      <c r="S79" s="682" t="s">
        <v>1593</v>
      </c>
      <c r="T79" s="683" t="s">
        <v>825</v>
      </c>
      <c r="U79" s="683" t="s">
        <v>63</v>
      </c>
      <c r="V79" s="684"/>
      <c r="W79" s="685"/>
      <c r="X79" s="686">
        <v>47</v>
      </c>
      <c r="Y79" s="687" t="s">
        <v>1585</v>
      </c>
      <c r="Z79" s="663" t="s">
        <v>1586</v>
      </c>
      <c r="AA79" s="663" t="s">
        <v>1586</v>
      </c>
      <c r="AB79" s="663" t="s">
        <v>825</v>
      </c>
      <c r="AC79" s="663" t="s">
        <v>1586</v>
      </c>
      <c r="AD79" s="663" t="s">
        <v>1596</v>
      </c>
      <c r="AE79" s="663" t="s">
        <v>1586</v>
      </c>
      <c r="AF79" s="663" t="s">
        <v>825</v>
      </c>
      <c r="AG79" s="663" t="s">
        <v>825</v>
      </c>
      <c r="AH79" s="663" t="s">
        <v>1586</v>
      </c>
      <c r="AI79" s="688">
        <v>79.428571428571431</v>
      </c>
      <c r="AJ79" s="689" t="s">
        <v>1588</v>
      </c>
      <c r="AK79" s="690"/>
    </row>
    <row r="80" spans="1:37" s="653" customFormat="1">
      <c r="A80" s="655">
        <v>2024</v>
      </c>
      <c r="B80" s="656" t="str">
        <f>INDEX('①基本情報 '!$C$2:$C$255,MATCH('②建物情報 '!E80,'①基本情報 '!$E$2:$E$255,0),1)</f>
        <v>058</v>
      </c>
      <c r="C80" s="657" t="str">
        <f>INDEX('①基本情報 '!$B$2:$B$255,MATCH('②建物情報 '!E80,'①基本情報 '!$E$2:$E$255,0),1)</f>
        <v>0266</v>
      </c>
      <c r="D80" s="658" t="s">
        <v>2418</v>
      </c>
      <c r="E80" s="612" t="s">
        <v>462</v>
      </c>
      <c r="F80" s="611" t="str">
        <f>INDEX('①基本情報 '!$G$2:$G$255,MATCH('②建物情報 '!E80,'①基本情報 '!$E$2:$E$255,0),1)</f>
        <v>市民自治部まちづくり室まちづくり推進課</v>
      </c>
      <c r="G80" s="678" t="s">
        <v>1580</v>
      </c>
      <c r="H80" s="612" t="s">
        <v>1622</v>
      </c>
      <c r="I80" s="703">
        <v>1990</v>
      </c>
      <c r="J80" s="703">
        <v>5</v>
      </c>
      <c r="K80" s="663">
        <f t="shared" si="1"/>
        <v>34</v>
      </c>
      <c r="L80" s="694">
        <v>109.68</v>
      </c>
      <c r="M80" s="680">
        <v>108.41</v>
      </c>
      <c r="N80" s="680">
        <v>108.41</v>
      </c>
      <c r="O80" s="681" t="s">
        <v>1812</v>
      </c>
      <c r="P80" s="259" t="s">
        <v>1581</v>
      </c>
      <c r="Q80" s="259">
        <v>1</v>
      </c>
      <c r="R80" s="260">
        <v>0</v>
      </c>
      <c r="S80" s="682" t="s">
        <v>1593</v>
      </c>
      <c r="T80" s="683" t="s">
        <v>825</v>
      </c>
      <c r="U80" s="683" t="s">
        <v>63</v>
      </c>
      <c r="V80" s="684"/>
      <c r="W80" s="685"/>
      <c r="X80" s="686">
        <v>47</v>
      </c>
      <c r="Y80" s="687" t="s">
        <v>1596</v>
      </c>
      <c r="Z80" s="663" t="s">
        <v>1586</v>
      </c>
      <c r="AA80" s="663" t="s">
        <v>1586</v>
      </c>
      <c r="AB80" s="663" t="s">
        <v>825</v>
      </c>
      <c r="AC80" s="663" t="s">
        <v>1586</v>
      </c>
      <c r="AD80" s="663" t="s">
        <v>1596</v>
      </c>
      <c r="AE80" s="663" t="s">
        <v>1585</v>
      </c>
      <c r="AF80" s="663" t="s">
        <v>825</v>
      </c>
      <c r="AG80" s="663" t="s">
        <v>825</v>
      </c>
      <c r="AH80" s="663" t="s">
        <v>1585</v>
      </c>
      <c r="AI80" s="688">
        <v>67.878787878787875</v>
      </c>
      <c r="AJ80" s="689" t="s">
        <v>1588</v>
      </c>
      <c r="AK80" s="690"/>
    </row>
    <row r="81" spans="1:37" s="653" customFormat="1">
      <c r="A81" s="655">
        <v>2024</v>
      </c>
      <c r="B81" s="656" t="str">
        <f>INDEX('①基本情報 '!$C$2:$C$255,MATCH('②建物情報 '!E81,'①基本情報 '!$E$2:$E$255,0),1)</f>
        <v>059</v>
      </c>
      <c r="C81" s="657" t="str">
        <f>INDEX('①基本情報 '!$B$2:$B$255,MATCH('②建物情報 '!E81,'①基本情報 '!$E$2:$E$255,0),1)</f>
        <v>0269</v>
      </c>
      <c r="D81" s="658" t="s">
        <v>2418</v>
      </c>
      <c r="E81" s="612" t="s">
        <v>468</v>
      </c>
      <c r="F81" s="611" t="str">
        <f>INDEX('①基本情報 '!$G$2:$G$255,MATCH('②建物情報 '!E81,'①基本情報 '!$E$2:$E$255,0),1)</f>
        <v>市民自治部まちづくり室まちづくり推進課</v>
      </c>
      <c r="G81" s="678" t="s">
        <v>1580</v>
      </c>
      <c r="H81" s="612" t="s">
        <v>1622</v>
      </c>
      <c r="I81" s="703">
        <v>1990</v>
      </c>
      <c r="J81" s="703">
        <v>3</v>
      </c>
      <c r="K81" s="663">
        <f t="shared" si="1"/>
        <v>34</v>
      </c>
      <c r="L81" s="694">
        <v>131.1</v>
      </c>
      <c r="M81" s="680">
        <v>109.7</v>
      </c>
      <c r="N81" s="680">
        <v>109.7</v>
      </c>
      <c r="O81" s="681" t="s">
        <v>1812</v>
      </c>
      <c r="P81" s="259" t="s">
        <v>1581</v>
      </c>
      <c r="Q81" s="259">
        <v>1</v>
      </c>
      <c r="R81" s="260">
        <v>0</v>
      </c>
      <c r="S81" s="682" t="s">
        <v>1593</v>
      </c>
      <c r="T81" s="683" t="s">
        <v>825</v>
      </c>
      <c r="U81" s="683" t="s">
        <v>63</v>
      </c>
      <c r="V81" s="684"/>
      <c r="W81" s="685"/>
      <c r="X81" s="686">
        <v>47</v>
      </c>
      <c r="Y81" s="687" t="s">
        <v>1596</v>
      </c>
      <c r="Z81" s="663" t="s">
        <v>1587</v>
      </c>
      <c r="AA81" s="663" t="s">
        <v>1587</v>
      </c>
      <c r="AB81" s="663" t="s">
        <v>825</v>
      </c>
      <c r="AC81" s="663" t="s">
        <v>1586</v>
      </c>
      <c r="AD81" s="663" t="s">
        <v>1585</v>
      </c>
      <c r="AE81" s="663" t="s">
        <v>1585</v>
      </c>
      <c r="AF81" s="663" t="s">
        <v>825</v>
      </c>
      <c r="AG81" s="663" t="s">
        <v>825</v>
      </c>
      <c r="AH81" s="663" t="s">
        <v>1585</v>
      </c>
      <c r="AI81" s="688">
        <v>53.333333333333336</v>
      </c>
      <c r="AJ81" s="689" t="s">
        <v>1588</v>
      </c>
      <c r="AK81" s="690"/>
    </row>
    <row r="82" spans="1:37" s="653" customFormat="1">
      <c r="A82" s="655">
        <v>2024</v>
      </c>
      <c r="B82" s="656" t="str">
        <f>INDEX('①基本情報 '!$C$2:$C$255,MATCH('②建物情報 '!E82,'①基本情報 '!$E$2:$E$255,0),1)</f>
        <v>060</v>
      </c>
      <c r="C82" s="657" t="str">
        <f>INDEX('①基本情報 '!$B$2:$B$255,MATCH('②建物情報 '!E82,'①基本情報 '!$E$2:$E$255,0),1)</f>
        <v>0202</v>
      </c>
      <c r="D82" s="658" t="s">
        <v>2418</v>
      </c>
      <c r="E82" s="612" t="s">
        <v>472</v>
      </c>
      <c r="F82" s="611" t="str">
        <f>INDEX('①基本情報 '!$G$2:$G$255,MATCH('②建物情報 '!E82,'①基本情報 '!$E$2:$E$255,0),1)</f>
        <v>市民自治部まちづくり室まちづくり推進課</v>
      </c>
      <c r="G82" s="678" t="s">
        <v>1580</v>
      </c>
      <c r="H82" s="612" t="s">
        <v>1622</v>
      </c>
      <c r="I82" s="703">
        <v>1970</v>
      </c>
      <c r="J82" s="703">
        <v>3</v>
      </c>
      <c r="K82" s="663">
        <f t="shared" si="1"/>
        <v>54</v>
      </c>
      <c r="L82" s="694">
        <v>295.77999999999997</v>
      </c>
      <c r="M82" s="680">
        <v>794.28</v>
      </c>
      <c r="N82" s="680">
        <v>794.28</v>
      </c>
      <c r="O82" s="681" t="s">
        <v>1812</v>
      </c>
      <c r="P82" s="259" t="s">
        <v>1581</v>
      </c>
      <c r="Q82" s="259">
        <v>3</v>
      </c>
      <c r="R82" s="260">
        <v>0</v>
      </c>
      <c r="S82" s="682" t="s">
        <v>1582</v>
      </c>
      <c r="T82" s="683"/>
      <c r="U82" s="683" t="s">
        <v>1584</v>
      </c>
      <c r="V82" s="684"/>
      <c r="W82" s="685"/>
      <c r="X82" s="686">
        <v>47</v>
      </c>
      <c r="Y82" s="687" t="s">
        <v>1585</v>
      </c>
      <c r="Z82" s="663" t="s">
        <v>1585</v>
      </c>
      <c r="AA82" s="663" t="s">
        <v>1596</v>
      </c>
      <c r="AB82" s="663" t="s">
        <v>825</v>
      </c>
      <c r="AC82" s="663" t="s">
        <v>1586</v>
      </c>
      <c r="AD82" s="663" t="s">
        <v>1596</v>
      </c>
      <c r="AE82" s="663" t="s">
        <v>1586</v>
      </c>
      <c r="AF82" s="663" t="s">
        <v>825</v>
      </c>
      <c r="AG82" s="663" t="s">
        <v>825</v>
      </c>
      <c r="AH82" s="663" t="s">
        <v>1586</v>
      </c>
      <c r="AI82" s="688">
        <v>78.181818181818187</v>
      </c>
      <c r="AJ82" s="689" t="s">
        <v>1588</v>
      </c>
      <c r="AK82" s="690"/>
    </row>
    <row r="83" spans="1:37" s="653" customFormat="1">
      <c r="A83" s="655">
        <v>2024</v>
      </c>
      <c r="B83" s="656" t="str">
        <f>INDEX('①基本情報 '!$C$2:$C$255,MATCH('②建物情報 '!E83,'①基本情報 '!$E$2:$E$255,0),1)</f>
        <v>061</v>
      </c>
      <c r="C83" s="657" t="str">
        <f>INDEX('①基本情報 '!$B$2:$B$255,MATCH('②建物情報 '!E83,'①基本情報 '!$E$2:$E$255,0),1)</f>
        <v>0213</v>
      </c>
      <c r="D83" s="658" t="s">
        <v>2418</v>
      </c>
      <c r="E83" s="612" t="s">
        <v>477</v>
      </c>
      <c r="F83" s="611" t="str">
        <f>INDEX('①基本情報 '!$G$2:$G$255,MATCH('②建物情報 '!E83,'①基本情報 '!$E$2:$E$255,0),1)</f>
        <v>市民自治部まちづくり室まちづくり推進課</v>
      </c>
      <c r="G83" s="678" t="s">
        <v>1580</v>
      </c>
      <c r="H83" s="612" t="s">
        <v>1622</v>
      </c>
      <c r="I83" s="703">
        <v>1974</v>
      </c>
      <c r="J83" s="703">
        <v>3</v>
      </c>
      <c r="K83" s="663">
        <f t="shared" si="1"/>
        <v>50</v>
      </c>
      <c r="L83" s="694">
        <v>150.94999999999999</v>
      </c>
      <c r="M83" s="680">
        <v>314.60000000000002</v>
      </c>
      <c r="N83" s="680">
        <v>314.60000000000002</v>
      </c>
      <c r="O83" s="681" t="s">
        <v>1812</v>
      </c>
      <c r="P83" s="259" t="s">
        <v>1581</v>
      </c>
      <c r="Q83" s="259">
        <v>2</v>
      </c>
      <c r="R83" s="260">
        <v>0</v>
      </c>
      <c r="S83" s="682" t="s">
        <v>1582</v>
      </c>
      <c r="T83" s="683"/>
      <c r="U83" s="683" t="s">
        <v>1584</v>
      </c>
      <c r="V83" s="684"/>
      <c r="W83" s="685"/>
      <c r="X83" s="686">
        <v>47</v>
      </c>
      <c r="Y83" s="687" t="s">
        <v>1585</v>
      </c>
      <c r="Z83" s="663" t="s">
        <v>1586</v>
      </c>
      <c r="AA83" s="663" t="s">
        <v>1585</v>
      </c>
      <c r="AB83" s="663" t="s">
        <v>825</v>
      </c>
      <c r="AC83" s="663" t="s">
        <v>1586</v>
      </c>
      <c r="AD83" s="663" t="s">
        <v>1587</v>
      </c>
      <c r="AE83" s="663" t="s">
        <v>1586</v>
      </c>
      <c r="AF83" s="663" t="s">
        <v>825</v>
      </c>
      <c r="AG83" s="663" t="s">
        <v>825</v>
      </c>
      <c r="AH83" s="663" t="s">
        <v>1586</v>
      </c>
      <c r="AI83" s="688">
        <v>87.878787878787875</v>
      </c>
      <c r="AJ83" s="689" t="s">
        <v>1588</v>
      </c>
      <c r="AK83" s="690"/>
    </row>
    <row r="84" spans="1:37" s="653" customFormat="1">
      <c r="A84" s="655">
        <v>2024</v>
      </c>
      <c r="B84" s="656" t="str">
        <f>INDEX('①基本情報 '!$C$2:$C$255,MATCH('②建物情報 '!E84,'①基本情報 '!$E$2:$E$255,0),1)</f>
        <v>062</v>
      </c>
      <c r="C84" s="657" t="str">
        <f>INDEX('①基本情報 '!$B$2:$B$255,MATCH('②建物情報 '!E84,'①基本情報 '!$E$2:$E$255,0),1)</f>
        <v>0229</v>
      </c>
      <c r="D84" s="658" t="s">
        <v>2418</v>
      </c>
      <c r="E84" s="612" t="s">
        <v>483</v>
      </c>
      <c r="F84" s="611" t="str">
        <f>INDEX('①基本情報 '!$G$2:$G$255,MATCH('②建物情報 '!E84,'①基本情報 '!$E$2:$E$255,0),1)</f>
        <v>市民自治部まちづくり室まちづくり推進課</v>
      </c>
      <c r="G84" s="678" t="s">
        <v>1580</v>
      </c>
      <c r="H84" s="612" t="s">
        <v>1622</v>
      </c>
      <c r="I84" s="703">
        <v>1976</v>
      </c>
      <c r="J84" s="703">
        <v>6</v>
      </c>
      <c r="K84" s="663">
        <f t="shared" si="1"/>
        <v>48</v>
      </c>
      <c r="L84" s="694">
        <v>72</v>
      </c>
      <c r="M84" s="680">
        <v>113.79</v>
      </c>
      <c r="N84" s="680">
        <v>113.79</v>
      </c>
      <c r="O84" s="681" t="s">
        <v>1812</v>
      </c>
      <c r="P84" s="259" t="s">
        <v>1581</v>
      </c>
      <c r="Q84" s="259">
        <v>2</v>
      </c>
      <c r="R84" s="260">
        <v>0</v>
      </c>
      <c r="S84" s="682" t="s">
        <v>1582</v>
      </c>
      <c r="T84" s="683"/>
      <c r="U84" s="683" t="s">
        <v>1584</v>
      </c>
      <c r="V84" s="684"/>
      <c r="W84" s="685"/>
      <c r="X84" s="686">
        <v>47</v>
      </c>
      <c r="Y84" s="687" t="s">
        <v>1585</v>
      </c>
      <c r="Z84" s="663" t="s">
        <v>1585</v>
      </c>
      <c r="AA84" s="663" t="s">
        <v>1586</v>
      </c>
      <c r="AB84" s="663" t="s">
        <v>825</v>
      </c>
      <c r="AC84" s="663" t="s">
        <v>1586</v>
      </c>
      <c r="AD84" s="663" t="s">
        <v>1586</v>
      </c>
      <c r="AE84" s="663" t="s">
        <v>1596</v>
      </c>
      <c r="AF84" s="663" t="s">
        <v>825</v>
      </c>
      <c r="AG84" s="663" t="s">
        <v>825</v>
      </c>
      <c r="AH84" s="663" t="s">
        <v>1586</v>
      </c>
      <c r="AI84" s="688">
        <v>74.545454545454547</v>
      </c>
      <c r="AJ84" s="689" t="s">
        <v>1588</v>
      </c>
      <c r="AK84" s="690"/>
    </row>
    <row r="85" spans="1:37" s="653" customFormat="1">
      <c r="A85" s="655">
        <v>2024</v>
      </c>
      <c r="B85" s="656" t="str">
        <f>INDEX('①基本情報 '!$C$2:$C$255,MATCH('②建物情報 '!E85,'①基本情報 '!$E$2:$E$255,0),1)</f>
        <v>063</v>
      </c>
      <c r="C85" s="657" t="str">
        <f>INDEX('①基本情報 '!$B$2:$B$255,MATCH('②建物情報 '!E85,'①基本情報 '!$E$2:$E$255,0),1)</f>
        <v>0230</v>
      </c>
      <c r="D85" s="658" t="s">
        <v>2418</v>
      </c>
      <c r="E85" s="612" t="s">
        <v>488</v>
      </c>
      <c r="F85" s="611" t="str">
        <f>INDEX('①基本情報 '!$G$2:$G$255,MATCH('②建物情報 '!E85,'①基本情報 '!$E$2:$E$255,0),1)</f>
        <v>市民自治部まちづくり室まちづくり推進課</v>
      </c>
      <c r="G85" s="678" t="s">
        <v>1580</v>
      </c>
      <c r="H85" s="612" t="s">
        <v>1622</v>
      </c>
      <c r="I85" s="703">
        <v>1976</v>
      </c>
      <c r="J85" s="703">
        <v>6</v>
      </c>
      <c r="K85" s="663">
        <f t="shared" si="1"/>
        <v>48</v>
      </c>
      <c r="L85" s="694">
        <v>229.29</v>
      </c>
      <c r="M85" s="680">
        <v>313.06</v>
      </c>
      <c r="N85" s="680">
        <v>313.06</v>
      </c>
      <c r="O85" s="681" t="s">
        <v>1812</v>
      </c>
      <c r="P85" s="259" t="s">
        <v>1581</v>
      </c>
      <c r="Q85" s="259">
        <v>2</v>
      </c>
      <c r="R85" s="260">
        <v>0</v>
      </c>
      <c r="S85" s="682" t="s">
        <v>1582</v>
      </c>
      <c r="T85" s="683"/>
      <c r="U85" s="683" t="s">
        <v>1584</v>
      </c>
      <c r="V85" s="684"/>
      <c r="W85" s="685"/>
      <c r="X85" s="686">
        <v>47</v>
      </c>
      <c r="Y85" s="687" t="s">
        <v>1585</v>
      </c>
      <c r="Z85" s="663" t="s">
        <v>1586</v>
      </c>
      <c r="AA85" s="663" t="s">
        <v>1586</v>
      </c>
      <c r="AB85" s="663" t="s">
        <v>825</v>
      </c>
      <c r="AC85" s="663" t="s">
        <v>1585</v>
      </c>
      <c r="AD85" s="663" t="s">
        <v>1585</v>
      </c>
      <c r="AE85" s="663" t="s">
        <v>1585</v>
      </c>
      <c r="AF85" s="663" t="s">
        <v>825</v>
      </c>
      <c r="AG85" s="663" t="s">
        <v>825</v>
      </c>
      <c r="AH85" s="663" t="s">
        <v>1586</v>
      </c>
      <c r="AI85" s="688">
        <v>76.969696969696969</v>
      </c>
      <c r="AJ85" s="689" t="s">
        <v>1588</v>
      </c>
      <c r="AK85" s="690"/>
    </row>
    <row r="86" spans="1:37" s="653" customFormat="1">
      <c r="A86" s="655">
        <v>2024</v>
      </c>
      <c r="B86" s="656" t="str">
        <f>INDEX('①基本情報 '!$C$2:$C$255,MATCH('②建物情報 '!E86,'①基本情報 '!$E$2:$E$255,0),1)</f>
        <v>064</v>
      </c>
      <c r="C86" s="657" t="str">
        <f>INDEX('①基本情報 '!$B$2:$B$255,MATCH('②建物情報 '!E86,'①基本情報 '!$E$2:$E$255,0),1)</f>
        <v>0258</v>
      </c>
      <c r="D86" s="658" t="s">
        <v>2418</v>
      </c>
      <c r="E86" s="612" t="s">
        <v>494</v>
      </c>
      <c r="F86" s="611" t="str">
        <f>INDEX('①基本情報 '!$G$2:$G$255,MATCH('②建物情報 '!E86,'①基本情報 '!$E$2:$E$255,0),1)</f>
        <v>市民自治部まちづくり室まちづくり推進課</v>
      </c>
      <c r="G86" s="678" t="s">
        <v>1580</v>
      </c>
      <c r="H86" s="612" t="s">
        <v>1622</v>
      </c>
      <c r="I86" s="703">
        <v>1985</v>
      </c>
      <c r="J86" s="703">
        <v>3</v>
      </c>
      <c r="K86" s="663">
        <f t="shared" si="1"/>
        <v>39</v>
      </c>
      <c r="L86" s="694">
        <v>261.89</v>
      </c>
      <c r="M86" s="680">
        <v>310.32</v>
      </c>
      <c r="N86" s="680">
        <v>310.32</v>
      </c>
      <c r="O86" s="681" t="s">
        <v>1812</v>
      </c>
      <c r="P86" s="259" t="s">
        <v>1581</v>
      </c>
      <c r="Q86" s="259">
        <v>2</v>
      </c>
      <c r="R86" s="260">
        <v>0</v>
      </c>
      <c r="S86" s="682" t="s">
        <v>1593</v>
      </c>
      <c r="T86" s="683" t="s">
        <v>825</v>
      </c>
      <c r="U86" s="683" t="s">
        <v>63</v>
      </c>
      <c r="V86" s="684"/>
      <c r="W86" s="685"/>
      <c r="X86" s="686">
        <v>47</v>
      </c>
      <c r="Y86" s="687" t="s">
        <v>1585</v>
      </c>
      <c r="Z86" s="663" t="s">
        <v>1585</v>
      </c>
      <c r="AA86" s="663" t="s">
        <v>1586</v>
      </c>
      <c r="AB86" s="663" t="s">
        <v>825</v>
      </c>
      <c r="AC86" s="663" t="s">
        <v>1586</v>
      </c>
      <c r="AD86" s="663" t="s">
        <v>1586</v>
      </c>
      <c r="AE86" s="663" t="s">
        <v>1585</v>
      </c>
      <c r="AF86" s="663" t="s">
        <v>825</v>
      </c>
      <c r="AG86" s="663" t="s">
        <v>825</v>
      </c>
      <c r="AH86" s="663" t="s">
        <v>1586</v>
      </c>
      <c r="AI86" s="688">
        <v>74.545454545454547</v>
      </c>
      <c r="AJ86" s="689" t="s">
        <v>1588</v>
      </c>
      <c r="AK86" s="690"/>
    </row>
    <row r="87" spans="1:37" s="653" customFormat="1">
      <c r="A87" s="655">
        <v>2024</v>
      </c>
      <c r="B87" s="656" t="str">
        <f>INDEX('①基本情報 '!$C$2:$C$255,MATCH('②建物情報 '!E87,'①基本情報 '!$E$2:$E$255,0),1)</f>
        <v>065</v>
      </c>
      <c r="C87" s="657" t="str">
        <f>INDEX('①基本情報 '!$B$2:$B$255,MATCH('②建物情報 '!E87,'①基本情報 '!$E$2:$E$255,0),1)</f>
        <v>0219</v>
      </c>
      <c r="D87" s="658" t="s">
        <v>2418</v>
      </c>
      <c r="E87" s="612" t="s">
        <v>501</v>
      </c>
      <c r="F87" s="611" t="str">
        <f>INDEX('①基本情報 '!$G$2:$G$255,MATCH('②建物情報 '!E87,'①基本情報 '!$E$2:$E$255,0),1)</f>
        <v>市民自治部まちづくり室まちづくり推進課</v>
      </c>
      <c r="G87" s="678" t="s">
        <v>1580</v>
      </c>
      <c r="H87" s="612" t="s">
        <v>1622</v>
      </c>
      <c r="I87" s="703">
        <v>1974</v>
      </c>
      <c r="J87" s="703">
        <v>8</v>
      </c>
      <c r="K87" s="663">
        <f t="shared" si="1"/>
        <v>50</v>
      </c>
      <c r="L87" s="694">
        <v>129.80000000000001</v>
      </c>
      <c r="M87" s="704">
        <v>129</v>
      </c>
      <c r="N87" s="680">
        <v>129</v>
      </c>
      <c r="O87" s="681" t="s">
        <v>1812</v>
      </c>
      <c r="P87" s="259" t="s">
        <v>1581</v>
      </c>
      <c r="Q87" s="259">
        <v>1</v>
      </c>
      <c r="R87" s="260">
        <v>0</v>
      </c>
      <c r="S87" s="682" t="s">
        <v>1582</v>
      </c>
      <c r="T87" s="683"/>
      <c r="U87" s="683" t="s">
        <v>1584</v>
      </c>
      <c r="V87" s="684"/>
      <c r="W87" s="685"/>
      <c r="X87" s="686">
        <v>47</v>
      </c>
      <c r="Y87" s="687" t="s">
        <v>1585</v>
      </c>
      <c r="Z87" s="663" t="s">
        <v>1596</v>
      </c>
      <c r="AA87" s="663" t="s">
        <v>1586</v>
      </c>
      <c r="AB87" s="663" t="s">
        <v>825</v>
      </c>
      <c r="AC87" s="663" t="s">
        <v>1586</v>
      </c>
      <c r="AD87" s="663" t="s">
        <v>1586</v>
      </c>
      <c r="AE87" s="663" t="s">
        <v>1585</v>
      </c>
      <c r="AF87" s="663" t="s">
        <v>825</v>
      </c>
      <c r="AG87" s="663" t="s">
        <v>825</v>
      </c>
      <c r="AH87" s="663" t="s">
        <v>1586</v>
      </c>
      <c r="AI87" s="688">
        <v>76.571428571428569</v>
      </c>
      <c r="AJ87" s="689" t="s">
        <v>1588</v>
      </c>
      <c r="AK87" s="690"/>
    </row>
    <row r="88" spans="1:37" s="653" customFormat="1">
      <c r="A88" s="655">
        <v>2024</v>
      </c>
      <c r="B88" s="656" t="str">
        <f>INDEX('①基本情報 '!$C$2:$C$255,MATCH('②建物情報 '!E88,'①基本情報 '!$E$2:$E$255,0),1)</f>
        <v>066</v>
      </c>
      <c r="C88" s="657" t="str">
        <f>INDEX('①基本情報 '!$B$2:$B$255,MATCH('②建物情報 '!E88,'①基本情報 '!$E$2:$E$255,0),1)</f>
        <v>0240</v>
      </c>
      <c r="D88" s="658" t="s">
        <v>2418</v>
      </c>
      <c r="E88" s="612" t="s">
        <v>507</v>
      </c>
      <c r="F88" s="611" t="str">
        <f>INDEX('①基本情報 '!$G$2:$G$255,MATCH('②建物情報 '!E88,'①基本情報 '!$E$2:$E$255,0),1)</f>
        <v>市民自治部まちづくり室まちづくり推進課</v>
      </c>
      <c r="G88" s="678" t="s">
        <v>1580</v>
      </c>
      <c r="H88" s="612" t="s">
        <v>1622</v>
      </c>
      <c r="I88" s="703">
        <v>1980</v>
      </c>
      <c r="J88" s="703">
        <v>3</v>
      </c>
      <c r="K88" s="663">
        <f t="shared" si="1"/>
        <v>44</v>
      </c>
      <c r="L88" s="694">
        <v>198.54</v>
      </c>
      <c r="M88" s="680">
        <v>312.98</v>
      </c>
      <c r="N88" s="680">
        <v>312.98</v>
      </c>
      <c r="O88" s="681" t="s">
        <v>1812</v>
      </c>
      <c r="P88" s="259" t="s">
        <v>1581</v>
      </c>
      <c r="Q88" s="259">
        <v>2</v>
      </c>
      <c r="R88" s="260">
        <v>0</v>
      </c>
      <c r="S88" s="682" t="s">
        <v>1582</v>
      </c>
      <c r="T88" s="683"/>
      <c r="U88" s="683" t="s">
        <v>1584</v>
      </c>
      <c r="V88" s="684"/>
      <c r="W88" s="685"/>
      <c r="X88" s="686">
        <v>47</v>
      </c>
      <c r="Y88" s="687" t="s">
        <v>1585</v>
      </c>
      <c r="Z88" s="663" t="s">
        <v>1586</v>
      </c>
      <c r="AA88" s="663" t="s">
        <v>1586</v>
      </c>
      <c r="AB88" s="663" t="s">
        <v>825</v>
      </c>
      <c r="AC88" s="663" t="s">
        <v>1586</v>
      </c>
      <c r="AD88" s="663" t="s">
        <v>1586</v>
      </c>
      <c r="AE88" s="663" t="s">
        <v>1585</v>
      </c>
      <c r="AF88" s="663" t="s">
        <v>825</v>
      </c>
      <c r="AG88" s="663" t="s">
        <v>825</v>
      </c>
      <c r="AH88" s="663" t="s">
        <v>1586</v>
      </c>
      <c r="AI88" s="688">
        <v>81.212121212121218</v>
      </c>
      <c r="AJ88" s="689" t="s">
        <v>1588</v>
      </c>
      <c r="AK88" s="690"/>
    </row>
    <row r="89" spans="1:37" s="653" customFormat="1">
      <c r="A89" s="655">
        <v>2024</v>
      </c>
      <c r="B89" s="656" t="str">
        <f>INDEX('①基本情報 '!$C$2:$C$255,MATCH('②建物情報 '!E89,'①基本情報 '!$E$2:$E$255,0),1)</f>
        <v>067</v>
      </c>
      <c r="C89" s="657" t="str">
        <f>INDEX('①基本情報 '!$B$2:$B$255,MATCH('②建物情報 '!E89,'①基本情報 '!$E$2:$E$255,0),1)</f>
        <v>0244</v>
      </c>
      <c r="D89" s="658" t="s">
        <v>2418</v>
      </c>
      <c r="E89" s="612" t="s">
        <v>515</v>
      </c>
      <c r="F89" s="611" t="str">
        <f>INDEX('①基本情報 '!$G$2:$G$255,MATCH('②建物情報 '!E89,'①基本情報 '!$E$2:$E$255,0),1)</f>
        <v>市民自治部まちづくり室まちづくり推進課</v>
      </c>
      <c r="G89" s="678" t="s">
        <v>1580</v>
      </c>
      <c r="H89" s="612" t="s">
        <v>1622</v>
      </c>
      <c r="I89" s="703">
        <v>1982</v>
      </c>
      <c r="J89" s="703">
        <v>3</v>
      </c>
      <c r="K89" s="663">
        <f t="shared" si="1"/>
        <v>42</v>
      </c>
      <c r="L89" s="694">
        <v>182.05</v>
      </c>
      <c r="M89" s="680">
        <v>317.2</v>
      </c>
      <c r="N89" s="680">
        <v>317.2</v>
      </c>
      <c r="O89" s="681" t="s">
        <v>1812</v>
      </c>
      <c r="P89" s="259" t="s">
        <v>1581</v>
      </c>
      <c r="Q89" s="259">
        <v>2</v>
      </c>
      <c r="R89" s="260">
        <v>0</v>
      </c>
      <c r="S89" s="682" t="s">
        <v>1593</v>
      </c>
      <c r="T89" s="683" t="s">
        <v>825</v>
      </c>
      <c r="U89" s="683" t="s">
        <v>63</v>
      </c>
      <c r="V89" s="684"/>
      <c r="W89" s="685"/>
      <c r="X89" s="686">
        <v>47</v>
      </c>
      <c r="Y89" s="687" t="s">
        <v>1585</v>
      </c>
      <c r="Z89" s="663" t="s">
        <v>1585</v>
      </c>
      <c r="AA89" s="663" t="s">
        <v>1585</v>
      </c>
      <c r="AB89" s="663" t="s">
        <v>825</v>
      </c>
      <c r="AC89" s="663" t="s">
        <v>1586</v>
      </c>
      <c r="AD89" s="663" t="s">
        <v>1596</v>
      </c>
      <c r="AE89" s="663" t="s">
        <v>1596</v>
      </c>
      <c r="AF89" s="663" t="s">
        <v>825</v>
      </c>
      <c r="AG89" s="663" t="s">
        <v>825</v>
      </c>
      <c r="AH89" s="663" t="s">
        <v>1585</v>
      </c>
      <c r="AI89" s="688">
        <v>63.030303030303038</v>
      </c>
      <c r="AJ89" s="689" t="s">
        <v>1588</v>
      </c>
      <c r="AK89" s="690"/>
    </row>
    <row r="90" spans="1:37" s="653" customFormat="1">
      <c r="A90" s="655">
        <v>2024</v>
      </c>
      <c r="B90" s="656" t="str">
        <f>INDEX('①基本情報 '!$C$2:$C$255,MATCH('②建物情報 '!E90,'①基本情報 '!$E$2:$E$255,0),1)</f>
        <v>068</v>
      </c>
      <c r="C90" s="657" t="str">
        <f>INDEX('①基本情報 '!$B$2:$B$255,MATCH('②建物情報 '!E90,'①基本情報 '!$E$2:$E$255,0),1)</f>
        <v>0249</v>
      </c>
      <c r="D90" s="658" t="s">
        <v>2418</v>
      </c>
      <c r="E90" s="612" t="s">
        <v>520</v>
      </c>
      <c r="F90" s="611" t="str">
        <f>INDEX('①基本情報 '!$G$2:$G$255,MATCH('②建物情報 '!E90,'①基本情報 '!$E$2:$E$255,0),1)</f>
        <v>市民自治部まちづくり室まちづくり推進課</v>
      </c>
      <c r="G90" s="678" t="s">
        <v>1580</v>
      </c>
      <c r="H90" s="612" t="s">
        <v>1622</v>
      </c>
      <c r="I90" s="703">
        <v>1983</v>
      </c>
      <c r="J90" s="703">
        <v>3</v>
      </c>
      <c r="K90" s="663">
        <f t="shared" si="1"/>
        <v>41</v>
      </c>
      <c r="L90" s="694">
        <v>159.25</v>
      </c>
      <c r="M90" s="680">
        <v>155.5</v>
      </c>
      <c r="N90" s="680">
        <v>155.5</v>
      </c>
      <c r="O90" s="681" t="s">
        <v>1812</v>
      </c>
      <c r="P90" s="259" t="s">
        <v>1581</v>
      </c>
      <c r="Q90" s="259">
        <v>1</v>
      </c>
      <c r="R90" s="260">
        <v>0</v>
      </c>
      <c r="S90" s="682" t="s">
        <v>1593</v>
      </c>
      <c r="T90" s="683" t="s">
        <v>825</v>
      </c>
      <c r="U90" s="683" t="s">
        <v>63</v>
      </c>
      <c r="V90" s="684"/>
      <c r="W90" s="685"/>
      <c r="X90" s="686">
        <v>47</v>
      </c>
      <c r="Y90" s="687" t="s">
        <v>1585</v>
      </c>
      <c r="Z90" s="663" t="s">
        <v>1596</v>
      </c>
      <c r="AA90" s="663" t="s">
        <v>1596</v>
      </c>
      <c r="AB90" s="663" t="s">
        <v>825</v>
      </c>
      <c r="AC90" s="663" t="s">
        <v>1586</v>
      </c>
      <c r="AD90" s="663" t="s">
        <v>1586</v>
      </c>
      <c r="AE90" s="663" t="s">
        <v>1585</v>
      </c>
      <c r="AF90" s="663" t="s">
        <v>825</v>
      </c>
      <c r="AG90" s="663" t="s">
        <v>825</v>
      </c>
      <c r="AH90" s="663" t="s">
        <v>1585</v>
      </c>
      <c r="AI90" s="688">
        <v>67.272727272727266</v>
      </c>
      <c r="AJ90" s="689" t="s">
        <v>1588</v>
      </c>
      <c r="AK90" s="690"/>
    </row>
    <row r="91" spans="1:37" s="653" customFormat="1">
      <c r="A91" s="655">
        <v>2024</v>
      </c>
      <c r="B91" s="656" t="str">
        <f>INDEX('①基本情報 '!$C$2:$C$255,MATCH('②建物情報 '!E91,'①基本情報 '!$E$2:$E$255,0),1)</f>
        <v>069</v>
      </c>
      <c r="C91" s="657" t="str">
        <f>INDEX('①基本情報 '!$B$2:$B$255,MATCH('②建物情報 '!E91,'①基本情報 '!$E$2:$E$255,0),1)</f>
        <v>0276</v>
      </c>
      <c r="D91" s="658" t="s">
        <v>2418</v>
      </c>
      <c r="E91" s="612" t="s">
        <v>2571</v>
      </c>
      <c r="F91" s="611" t="str">
        <f>INDEX('①基本情報 '!$G$2:$G$255,MATCH('②建物情報 '!E91,'①基本情報 '!$E$2:$E$255,0),1)</f>
        <v>市民自治部まちづくり室まちづくり推進課</v>
      </c>
      <c r="G91" s="678" t="s">
        <v>1944</v>
      </c>
      <c r="H91" s="612" t="s">
        <v>2509</v>
      </c>
      <c r="I91" s="703">
        <v>2022</v>
      </c>
      <c r="J91" s="703">
        <v>3</v>
      </c>
      <c r="K91" s="663">
        <v>0</v>
      </c>
      <c r="L91" s="694">
        <v>332.76</v>
      </c>
      <c r="M91" s="680">
        <v>594.08000000000004</v>
      </c>
      <c r="N91" s="680">
        <v>594.08000000000004</v>
      </c>
      <c r="O91" s="681" t="s">
        <v>1812</v>
      </c>
      <c r="P91" s="259" t="s">
        <v>1942</v>
      </c>
      <c r="Q91" s="259">
        <v>2</v>
      </c>
      <c r="R91" s="260">
        <v>0</v>
      </c>
      <c r="S91" s="682" t="s">
        <v>1927</v>
      </c>
      <c r="T91" s="683" t="s">
        <v>1966</v>
      </c>
      <c r="U91" s="683" t="s">
        <v>1846</v>
      </c>
      <c r="V91" s="684"/>
      <c r="W91" s="685"/>
      <c r="X91" s="686">
        <v>47</v>
      </c>
      <c r="Y91" s="687" t="s">
        <v>1587</v>
      </c>
      <c r="Z91" s="663" t="s">
        <v>1587</v>
      </c>
      <c r="AA91" s="663" t="s">
        <v>1587</v>
      </c>
      <c r="AB91" s="663" t="s">
        <v>825</v>
      </c>
      <c r="AC91" s="663" t="s">
        <v>1587</v>
      </c>
      <c r="AD91" s="663" t="s">
        <v>1587</v>
      </c>
      <c r="AE91" s="663" t="s">
        <v>1587</v>
      </c>
      <c r="AF91" s="663" t="s">
        <v>825</v>
      </c>
      <c r="AG91" s="663" t="s">
        <v>825</v>
      </c>
      <c r="AH91" s="663" t="s">
        <v>1587</v>
      </c>
      <c r="AI91" s="688">
        <v>7.2727272727272751</v>
      </c>
      <c r="AJ91" s="689" t="s">
        <v>1588</v>
      </c>
      <c r="AK91" s="690"/>
    </row>
    <row r="92" spans="1:37" s="653" customFormat="1">
      <c r="A92" s="655">
        <v>2024</v>
      </c>
      <c r="B92" s="656" t="str">
        <f>INDEX('①基本情報 '!$C$2:$C$255,MATCH('②建物情報 '!E92,'①基本情報 '!$E$2:$E$255,0),1)</f>
        <v>070</v>
      </c>
      <c r="C92" s="657" t="str">
        <f>INDEX('①基本情報 '!$B$2:$B$255,MATCH('②建物情報 '!E92,'①基本情報 '!$E$2:$E$255,0),1)</f>
        <v>0215</v>
      </c>
      <c r="D92" s="658" t="s">
        <v>2418</v>
      </c>
      <c r="E92" s="612" t="s">
        <v>530</v>
      </c>
      <c r="F92" s="611" t="str">
        <f>INDEX('①基本情報 '!$G$2:$G$255,MATCH('②建物情報 '!E92,'①基本情報 '!$E$2:$E$255,0),1)</f>
        <v>市民自治部まちづくり室まちづくり推進課</v>
      </c>
      <c r="G92" s="678" t="s">
        <v>1580</v>
      </c>
      <c r="H92" s="612" t="s">
        <v>1622</v>
      </c>
      <c r="I92" s="703">
        <v>1974</v>
      </c>
      <c r="J92" s="703">
        <v>3</v>
      </c>
      <c r="K92" s="663">
        <f t="shared" si="1"/>
        <v>50</v>
      </c>
      <c r="L92" s="694">
        <v>198.55</v>
      </c>
      <c r="M92" s="680">
        <v>344.12</v>
      </c>
      <c r="N92" s="680">
        <v>344.12</v>
      </c>
      <c r="O92" s="681" t="s">
        <v>1812</v>
      </c>
      <c r="P92" s="259" t="s">
        <v>1581</v>
      </c>
      <c r="Q92" s="259">
        <v>2</v>
      </c>
      <c r="R92" s="260">
        <v>0</v>
      </c>
      <c r="S92" s="682" t="s">
        <v>1582</v>
      </c>
      <c r="T92" s="683"/>
      <c r="U92" s="683" t="s">
        <v>1584</v>
      </c>
      <c r="V92" s="684"/>
      <c r="W92" s="685"/>
      <c r="X92" s="686">
        <v>47</v>
      </c>
      <c r="Y92" s="687" t="s">
        <v>1585</v>
      </c>
      <c r="Z92" s="663" t="s">
        <v>1586</v>
      </c>
      <c r="AA92" s="663" t="s">
        <v>1586</v>
      </c>
      <c r="AB92" s="663" t="s">
        <v>825</v>
      </c>
      <c r="AC92" s="663" t="s">
        <v>1586</v>
      </c>
      <c r="AD92" s="663" t="s">
        <v>1586</v>
      </c>
      <c r="AE92" s="663" t="s">
        <v>1585</v>
      </c>
      <c r="AF92" s="663" t="s">
        <v>825</v>
      </c>
      <c r="AG92" s="663" t="s">
        <v>825</v>
      </c>
      <c r="AH92" s="663" t="s">
        <v>1586</v>
      </c>
      <c r="AI92" s="688">
        <v>87.27272727272728</v>
      </c>
      <c r="AJ92" s="689" t="s">
        <v>1588</v>
      </c>
      <c r="AK92" s="690"/>
    </row>
    <row r="93" spans="1:37" s="653" customFormat="1">
      <c r="A93" s="655">
        <v>2024</v>
      </c>
      <c r="B93" s="656" t="str">
        <f>INDEX('①基本情報 '!$C$2:$C$255,MATCH('②建物情報 '!E93,'①基本情報 '!$E$2:$E$255,0),1)</f>
        <v>071</v>
      </c>
      <c r="C93" s="657" t="str">
        <f>INDEX('①基本情報 '!$B$2:$B$255,MATCH('②建物情報 '!E93,'①基本情報 '!$E$2:$E$255,0),1)</f>
        <v>0224</v>
      </c>
      <c r="D93" s="658" t="s">
        <v>2418</v>
      </c>
      <c r="E93" s="612" t="s">
        <v>535</v>
      </c>
      <c r="F93" s="611" t="str">
        <f>INDEX('①基本情報 '!$G$2:$G$255,MATCH('②建物情報 '!E93,'①基本情報 '!$E$2:$E$255,0),1)</f>
        <v>市民自治部まちづくり室まちづくり推進課</v>
      </c>
      <c r="G93" s="678" t="s">
        <v>1580</v>
      </c>
      <c r="H93" s="612" t="s">
        <v>1622</v>
      </c>
      <c r="I93" s="703">
        <v>1975</v>
      </c>
      <c r="J93" s="703">
        <v>3</v>
      </c>
      <c r="K93" s="663">
        <f t="shared" si="1"/>
        <v>49</v>
      </c>
      <c r="L93" s="694">
        <v>209.27500000000001</v>
      </c>
      <c r="M93" s="680">
        <v>316.26</v>
      </c>
      <c r="N93" s="680">
        <v>316.26</v>
      </c>
      <c r="O93" s="681" t="s">
        <v>1812</v>
      </c>
      <c r="P93" s="259" t="s">
        <v>1581</v>
      </c>
      <c r="Q93" s="259">
        <v>2</v>
      </c>
      <c r="R93" s="260">
        <v>0</v>
      </c>
      <c r="S93" s="682" t="s">
        <v>1582</v>
      </c>
      <c r="T93" s="683"/>
      <c r="U93" s="683" t="s">
        <v>1584</v>
      </c>
      <c r="V93" s="684"/>
      <c r="W93" s="685"/>
      <c r="X93" s="686">
        <v>47</v>
      </c>
      <c r="Y93" s="687" t="s">
        <v>1585</v>
      </c>
      <c r="Z93" s="663" t="s">
        <v>1585</v>
      </c>
      <c r="AA93" s="663" t="s">
        <v>1586</v>
      </c>
      <c r="AB93" s="663" t="s">
        <v>825</v>
      </c>
      <c r="AC93" s="663" t="s">
        <v>1586</v>
      </c>
      <c r="AD93" s="663" t="s">
        <v>1586</v>
      </c>
      <c r="AE93" s="663" t="s">
        <v>1585</v>
      </c>
      <c r="AF93" s="663" t="s">
        <v>825</v>
      </c>
      <c r="AG93" s="663" t="s">
        <v>825</v>
      </c>
      <c r="AH93" s="663" t="s">
        <v>1586</v>
      </c>
      <c r="AI93" s="688">
        <v>84.242424242424235</v>
      </c>
      <c r="AJ93" s="689" t="s">
        <v>1588</v>
      </c>
      <c r="AK93" s="690"/>
    </row>
    <row r="94" spans="1:37" s="653" customFormat="1">
      <c r="A94" s="655">
        <v>2024</v>
      </c>
      <c r="B94" s="656" t="str">
        <f>INDEX('①基本情報 '!$C$2:$C$255,MATCH('②建物情報 '!E94,'①基本情報 '!$E$2:$E$255,0),1)</f>
        <v>072</v>
      </c>
      <c r="C94" s="657" t="str">
        <f>INDEX('①基本情報 '!$B$2:$B$255,MATCH('②建物情報 '!E94,'①基本情報 '!$E$2:$E$255,0),1)</f>
        <v>0264</v>
      </c>
      <c r="D94" s="658" t="s">
        <v>2418</v>
      </c>
      <c r="E94" s="612" t="s">
        <v>541</v>
      </c>
      <c r="F94" s="611" t="str">
        <f>INDEX('①基本情報 '!$G$2:$G$255,MATCH('②建物情報 '!E94,'①基本情報 '!$E$2:$E$255,0),1)</f>
        <v>市民自治部まちづくり室まちづくり推進課</v>
      </c>
      <c r="G94" s="678" t="s">
        <v>1580</v>
      </c>
      <c r="H94" s="612" t="s">
        <v>1622</v>
      </c>
      <c r="I94" s="703">
        <v>1989</v>
      </c>
      <c r="J94" s="703">
        <v>3</v>
      </c>
      <c r="K94" s="663">
        <f t="shared" si="1"/>
        <v>35</v>
      </c>
      <c r="L94" s="694">
        <v>105.19</v>
      </c>
      <c r="M94" s="680">
        <v>105.19</v>
      </c>
      <c r="N94" s="680">
        <v>105.19</v>
      </c>
      <c r="O94" s="681" t="s">
        <v>1812</v>
      </c>
      <c r="P94" s="259" t="s">
        <v>1581</v>
      </c>
      <c r="Q94" s="259">
        <v>1</v>
      </c>
      <c r="R94" s="260">
        <v>0</v>
      </c>
      <c r="S94" s="682" t="s">
        <v>1593</v>
      </c>
      <c r="T94" s="683" t="s">
        <v>825</v>
      </c>
      <c r="U94" s="683" t="s">
        <v>63</v>
      </c>
      <c r="V94" s="684"/>
      <c r="W94" s="685"/>
      <c r="X94" s="686">
        <v>47</v>
      </c>
      <c r="Y94" s="687" t="s">
        <v>1596</v>
      </c>
      <c r="Z94" s="663" t="s">
        <v>1586</v>
      </c>
      <c r="AA94" s="663" t="s">
        <v>1586</v>
      </c>
      <c r="AB94" s="663" t="s">
        <v>825</v>
      </c>
      <c r="AC94" s="663" t="s">
        <v>1585</v>
      </c>
      <c r="AD94" s="663" t="s">
        <v>1587</v>
      </c>
      <c r="AE94" s="663" t="s">
        <v>1596</v>
      </c>
      <c r="AF94" s="663" t="s">
        <v>825</v>
      </c>
      <c r="AG94" s="663" t="s">
        <v>825</v>
      </c>
      <c r="AH94" s="663" t="s">
        <v>1585</v>
      </c>
      <c r="AI94" s="688">
        <v>66.857142857142861</v>
      </c>
      <c r="AJ94" s="689" t="s">
        <v>1588</v>
      </c>
      <c r="AK94" s="690"/>
    </row>
    <row r="95" spans="1:37" s="653" customFormat="1">
      <c r="A95" s="655">
        <v>2024</v>
      </c>
      <c r="B95" s="656" t="str">
        <f>INDEX('①基本情報 '!$C$2:$C$255,MATCH('②建物情報 '!E95,'①基本情報 '!$E$2:$E$255,0),1)</f>
        <v>073</v>
      </c>
      <c r="C95" s="657" t="str">
        <f>INDEX('①基本情報 '!$B$2:$B$255,MATCH('②建物情報 '!E95,'①基本情報 '!$E$2:$E$255,0),1)</f>
        <v>0223</v>
      </c>
      <c r="D95" s="658" t="s">
        <v>2418</v>
      </c>
      <c r="E95" s="612" t="s">
        <v>546</v>
      </c>
      <c r="F95" s="611" t="str">
        <f>INDEX('①基本情報 '!$G$2:$G$255,MATCH('②建物情報 '!E95,'①基本情報 '!$E$2:$E$255,0),1)</f>
        <v>市民自治部まちづくり室まちづくり推進課</v>
      </c>
      <c r="G95" s="678" t="s">
        <v>1580</v>
      </c>
      <c r="H95" s="612" t="s">
        <v>1622</v>
      </c>
      <c r="I95" s="703">
        <v>1975</v>
      </c>
      <c r="J95" s="703">
        <v>3</v>
      </c>
      <c r="K95" s="663">
        <f t="shared" si="1"/>
        <v>49</v>
      </c>
      <c r="L95" s="694">
        <v>243.15</v>
      </c>
      <c r="M95" s="680">
        <v>326.48</v>
      </c>
      <c r="N95" s="680">
        <v>326.48</v>
      </c>
      <c r="O95" s="681" t="s">
        <v>1812</v>
      </c>
      <c r="P95" s="259" t="s">
        <v>1581</v>
      </c>
      <c r="Q95" s="259">
        <v>2</v>
      </c>
      <c r="R95" s="260">
        <v>0</v>
      </c>
      <c r="S95" s="682" t="s">
        <v>1582</v>
      </c>
      <c r="T95" s="683"/>
      <c r="U95" s="683" t="s">
        <v>1584</v>
      </c>
      <c r="V95" s="684"/>
      <c r="W95" s="685"/>
      <c r="X95" s="686">
        <v>47</v>
      </c>
      <c r="Y95" s="687" t="s">
        <v>1585</v>
      </c>
      <c r="Z95" s="663" t="s">
        <v>1585</v>
      </c>
      <c r="AA95" s="663" t="s">
        <v>1586</v>
      </c>
      <c r="AB95" s="663" t="s">
        <v>825</v>
      </c>
      <c r="AC95" s="663" t="s">
        <v>1586</v>
      </c>
      <c r="AD95" s="663" t="s">
        <v>1596</v>
      </c>
      <c r="AE95" s="663" t="s">
        <v>1585</v>
      </c>
      <c r="AF95" s="663" t="s">
        <v>825</v>
      </c>
      <c r="AG95" s="663" t="s">
        <v>825</v>
      </c>
      <c r="AH95" s="663" t="s">
        <v>1586</v>
      </c>
      <c r="AI95" s="688">
        <v>78.787878787878782</v>
      </c>
      <c r="AJ95" s="689" t="s">
        <v>1588</v>
      </c>
      <c r="AK95" s="690"/>
    </row>
    <row r="96" spans="1:37" s="653" customFormat="1">
      <c r="A96" s="655">
        <v>2024</v>
      </c>
      <c r="B96" s="656" t="str">
        <f>INDEX('①基本情報 '!$C$2:$C$255,MATCH('②建物情報 '!E96,'①基本情報 '!$E$2:$E$255,0),1)</f>
        <v>074</v>
      </c>
      <c r="C96" s="657" t="str">
        <f>INDEX('①基本情報 '!$B$2:$B$255,MATCH('②建物情報 '!E96,'①基本情報 '!$E$2:$E$255,0),1)</f>
        <v>0241</v>
      </c>
      <c r="D96" s="658" t="s">
        <v>2418</v>
      </c>
      <c r="E96" s="612" t="s">
        <v>553</v>
      </c>
      <c r="F96" s="611" t="str">
        <f>INDEX('①基本情報 '!$G$2:$G$255,MATCH('②建物情報 '!E96,'①基本情報 '!$E$2:$E$255,0),1)</f>
        <v>市民自治部まちづくり室まちづくり推進課</v>
      </c>
      <c r="G96" s="678" t="s">
        <v>1580</v>
      </c>
      <c r="H96" s="612" t="s">
        <v>1622</v>
      </c>
      <c r="I96" s="703">
        <v>1980</v>
      </c>
      <c r="J96" s="703">
        <v>3</v>
      </c>
      <c r="K96" s="663">
        <f t="shared" si="1"/>
        <v>44</v>
      </c>
      <c r="L96" s="694">
        <v>120</v>
      </c>
      <c r="M96" s="704">
        <v>120</v>
      </c>
      <c r="N96" s="680">
        <v>120</v>
      </c>
      <c r="O96" s="681" t="s">
        <v>1812</v>
      </c>
      <c r="P96" s="259" t="s">
        <v>1581</v>
      </c>
      <c r="Q96" s="259">
        <v>1</v>
      </c>
      <c r="R96" s="260">
        <v>0</v>
      </c>
      <c r="S96" s="682" t="s">
        <v>1582</v>
      </c>
      <c r="T96" s="683"/>
      <c r="U96" s="683" t="s">
        <v>1584</v>
      </c>
      <c r="V96" s="684"/>
      <c r="W96" s="685"/>
      <c r="X96" s="686">
        <v>47</v>
      </c>
      <c r="Y96" s="687" t="s">
        <v>1585</v>
      </c>
      <c r="Z96" s="663" t="s">
        <v>1585</v>
      </c>
      <c r="AA96" s="663" t="s">
        <v>1586</v>
      </c>
      <c r="AB96" s="663" t="s">
        <v>825</v>
      </c>
      <c r="AC96" s="663" t="s">
        <v>1586</v>
      </c>
      <c r="AD96" s="663" t="s">
        <v>1586</v>
      </c>
      <c r="AE96" s="663" t="s">
        <v>1585</v>
      </c>
      <c r="AF96" s="663" t="s">
        <v>825</v>
      </c>
      <c r="AG96" s="663" t="s">
        <v>825</v>
      </c>
      <c r="AH96" s="663" t="s">
        <v>1586</v>
      </c>
      <c r="AI96" s="688">
        <v>80.606060606060609</v>
      </c>
      <c r="AJ96" s="689" t="s">
        <v>1588</v>
      </c>
      <c r="AK96" s="690"/>
    </row>
    <row r="97" spans="1:37" s="653" customFormat="1">
      <c r="A97" s="655">
        <v>2024</v>
      </c>
      <c r="B97" s="656" t="str">
        <f>INDEX('①基本情報 '!$C$2:$C$255,MATCH('②建物情報 '!E97,'①基本情報 '!$E$2:$E$255,0),1)</f>
        <v>075</v>
      </c>
      <c r="C97" s="657" t="str">
        <f>INDEX('①基本情報 '!$B$2:$B$255,MATCH('②建物情報 '!E97,'①基本情報 '!$E$2:$E$255,0),1)</f>
        <v>0247</v>
      </c>
      <c r="D97" s="658" t="s">
        <v>2418</v>
      </c>
      <c r="E97" s="612" t="s">
        <v>558</v>
      </c>
      <c r="F97" s="611" t="str">
        <f>INDEX('①基本情報 '!$G$2:$G$255,MATCH('②建物情報 '!E97,'①基本情報 '!$E$2:$E$255,0),1)</f>
        <v>市民自治部まちづくり室まちづくり推進課</v>
      </c>
      <c r="G97" s="678" t="s">
        <v>1580</v>
      </c>
      <c r="H97" s="612" t="s">
        <v>1622</v>
      </c>
      <c r="I97" s="703">
        <v>1982</v>
      </c>
      <c r="J97" s="703">
        <v>3</v>
      </c>
      <c r="K97" s="663">
        <f t="shared" si="1"/>
        <v>42</v>
      </c>
      <c r="L97" s="694">
        <v>90.38</v>
      </c>
      <c r="M97" s="680">
        <v>162.68</v>
      </c>
      <c r="N97" s="680">
        <v>162.68</v>
      </c>
      <c r="O97" s="681" t="s">
        <v>1812</v>
      </c>
      <c r="P97" s="259" t="s">
        <v>1581</v>
      </c>
      <c r="Q97" s="259">
        <v>2</v>
      </c>
      <c r="R97" s="260">
        <v>0</v>
      </c>
      <c r="S97" s="682" t="s">
        <v>1593</v>
      </c>
      <c r="T97" s="683" t="s">
        <v>825</v>
      </c>
      <c r="U97" s="683" t="s">
        <v>63</v>
      </c>
      <c r="V97" s="684"/>
      <c r="W97" s="685"/>
      <c r="X97" s="686">
        <v>47</v>
      </c>
      <c r="Y97" s="687" t="s">
        <v>1585</v>
      </c>
      <c r="Z97" s="663" t="s">
        <v>1586</v>
      </c>
      <c r="AA97" s="663" t="s">
        <v>1586</v>
      </c>
      <c r="AB97" s="663" t="s">
        <v>825</v>
      </c>
      <c r="AC97" s="663" t="s">
        <v>1586</v>
      </c>
      <c r="AD97" s="663" t="s">
        <v>1586</v>
      </c>
      <c r="AE97" s="663" t="s">
        <v>1585</v>
      </c>
      <c r="AF97" s="663" t="s">
        <v>825</v>
      </c>
      <c r="AG97" s="663" t="s">
        <v>825</v>
      </c>
      <c r="AH97" s="663" t="s">
        <v>1586</v>
      </c>
      <c r="AI97" s="688">
        <v>79.393939393939391</v>
      </c>
      <c r="AJ97" s="689" t="s">
        <v>1588</v>
      </c>
      <c r="AK97" s="690"/>
    </row>
    <row r="98" spans="1:37" s="653" customFormat="1">
      <c r="A98" s="655">
        <v>2024</v>
      </c>
      <c r="B98" s="656" t="str">
        <f>INDEX('①基本情報 '!$C$2:$C$255,MATCH('②建物情報 '!E98,'①基本情報 '!$E$2:$E$255,0),1)</f>
        <v>076</v>
      </c>
      <c r="C98" s="657" t="str">
        <f>INDEX('①基本情報 '!$B$2:$B$255,MATCH('②建物情報 '!E98,'①基本情報 '!$E$2:$E$255,0),1)</f>
        <v>0231</v>
      </c>
      <c r="D98" s="658" t="s">
        <v>2418</v>
      </c>
      <c r="E98" s="612" t="s">
        <v>564</v>
      </c>
      <c r="F98" s="611" t="str">
        <f>INDEX('①基本情報 '!$G$2:$G$255,MATCH('②建物情報 '!E98,'①基本情報 '!$E$2:$E$255,0),1)</f>
        <v>市民自治部まちづくり室まちづくり推進課</v>
      </c>
      <c r="G98" s="678" t="s">
        <v>1580</v>
      </c>
      <c r="H98" s="612" t="s">
        <v>1622</v>
      </c>
      <c r="I98" s="703">
        <v>1976</v>
      </c>
      <c r="J98" s="703">
        <v>6</v>
      </c>
      <c r="K98" s="663">
        <f t="shared" si="1"/>
        <v>48</v>
      </c>
      <c r="L98" s="694">
        <v>75.069999999999993</v>
      </c>
      <c r="M98" s="680">
        <v>147.6</v>
      </c>
      <c r="N98" s="680">
        <v>147.6</v>
      </c>
      <c r="O98" s="681" t="s">
        <v>1812</v>
      </c>
      <c r="P98" s="259" t="s">
        <v>1581</v>
      </c>
      <c r="Q98" s="259">
        <v>2</v>
      </c>
      <c r="R98" s="260">
        <v>0</v>
      </c>
      <c r="S98" s="682" t="s">
        <v>1582</v>
      </c>
      <c r="T98" s="683"/>
      <c r="U98" s="683" t="s">
        <v>1584</v>
      </c>
      <c r="V98" s="684"/>
      <c r="W98" s="685"/>
      <c r="X98" s="686">
        <v>47</v>
      </c>
      <c r="Y98" s="687" t="s">
        <v>1585</v>
      </c>
      <c r="Z98" s="663" t="s">
        <v>1585</v>
      </c>
      <c r="AA98" s="663" t="s">
        <v>1596</v>
      </c>
      <c r="AB98" s="663" t="s">
        <v>825</v>
      </c>
      <c r="AC98" s="663" t="s">
        <v>1586</v>
      </c>
      <c r="AD98" s="663" t="s">
        <v>1586</v>
      </c>
      <c r="AE98" s="663" t="s">
        <v>1585</v>
      </c>
      <c r="AF98" s="663" t="s">
        <v>825</v>
      </c>
      <c r="AG98" s="663" t="s">
        <v>825</v>
      </c>
      <c r="AH98" s="663" t="s">
        <v>1586</v>
      </c>
      <c r="AI98" s="688">
        <v>80</v>
      </c>
      <c r="AJ98" s="689" t="s">
        <v>1588</v>
      </c>
      <c r="AK98" s="690"/>
    </row>
    <row r="99" spans="1:37" s="653" customFormat="1">
      <c r="A99" s="655">
        <v>2024</v>
      </c>
      <c r="B99" s="656" t="str">
        <f>INDEX('①基本情報 '!$C$2:$C$255,MATCH('②建物情報 '!E99,'①基本情報 '!$E$2:$E$255,0),1)</f>
        <v>077</v>
      </c>
      <c r="C99" s="657" t="str">
        <f>INDEX('①基本情報 '!$B$2:$B$255,MATCH('②建物情報 '!E99,'①基本情報 '!$E$2:$E$255,0),1)</f>
        <v>0239</v>
      </c>
      <c r="D99" s="658" t="s">
        <v>2418</v>
      </c>
      <c r="E99" s="612" t="s">
        <v>570</v>
      </c>
      <c r="F99" s="611" t="str">
        <f>INDEX('①基本情報 '!$G$2:$G$255,MATCH('②建物情報 '!E99,'①基本情報 '!$E$2:$E$255,0),1)</f>
        <v>市民自治部まちづくり室まちづくり推進課</v>
      </c>
      <c r="G99" s="678" t="s">
        <v>1580</v>
      </c>
      <c r="H99" s="612" t="s">
        <v>1622</v>
      </c>
      <c r="I99" s="703">
        <v>1980</v>
      </c>
      <c r="J99" s="703">
        <v>3</v>
      </c>
      <c r="K99" s="663">
        <f t="shared" si="1"/>
        <v>44</v>
      </c>
      <c r="L99" s="694">
        <v>71.94</v>
      </c>
      <c r="M99" s="680">
        <v>140.43</v>
      </c>
      <c r="N99" s="680">
        <v>140.43</v>
      </c>
      <c r="O99" s="681" t="s">
        <v>1812</v>
      </c>
      <c r="P99" s="259" t="s">
        <v>1581</v>
      </c>
      <c r="Q99" s="259">
        <v>2</v>
      </c>
      <c r="R99" s="260">
        <v>0</v>
      </c>
      <c r="S99" s="682" t="s">
        <v>1582</v>
      </c>
      <c r="T99" s="683"/>
      <c r="U99" s="683" t="s">
        <v>1584</v>
      </c>
      <c r="V99" s="684"/>
      <c r="W99" s="685"/>
      <c r="X99" s="686">
        <v>47</v>
      </c>
      <c r="Y99" s="687" t="s">
        <v>1585</v>
      </c>
      <c r="Z99" s="663" t="s">
        <v>1585</v>
      </c>
      <c r="AA99" s="663" t="s">
        <v>1586</v>
      </c>
      <c r="AB99" s="663" t="s">
        <v>825</v>
      </c>
      <c r="AC99" s="663" t="s">
        <v>1586</v>
      </c>
      <c r="AD99" s="663" t="s">
        <v>1586</v>
      </c>
      <c r="AE99" s="663" t="s">
        <v>1585</v>
      </c>
      <c r="AF99" s="663" t="s">
        <v>825</v>
      </c>
      <c r="AG99" s="663" t="s">
        <v>825</v>
      </c>
      <c r="AH99" s="663" t="s">
        <v>1586</v>
      </c>
      <c r="AI99" s="688">
        <v>82.424242424242422</v>
      </c>
      <c r="AJ99" s="689" t="s">
        <v>1588</v>
      </c>
      <c r="AK99" s="690"/>
    </row>
    <row r="100" spans="1:37" s="653" customFormat="1">
      <c r="A100" s="655">
        <v>2024</v>
      </c>
      <c r="B100" s="656" t="str">
        <f>INDEX('①基本情報 '!$C$2:$C$255,MATCH('②建物情報 '!E100,'①基本情報 '!$E$2:$E$255,0),1)</f>
        <v>078</v>
      </c>
      <c r="C100" s="657" t="str">
        <f>INDEX('①基本情報 '!$B$2:$B$255,MATCH('②建物情報 '!E100,'①基本情報 '!$E$2:$E$255,0),1)</f>
        <v>0234</v>
      </c>
      <c r="D100" s="658" t="s">
        <v>2418</v>
      </c>
      <c r="E100" s="612" t="s">
        <v>119</v>
      </c>
      <c r="F100" s="611" t="str">
        <f>INDEX('①基本情報 '!$G$2:$G$255,MATCH('②建物情報 '!E100,'①基本情報 '!$E$2:$E$255,0),1)</f>
        <v>市民自治部まちづくり室まちづくり推進課</v>
      </c>
      <c r="G100" s="678" t="s">
        <v>1580</v>
      </c>
      <c r="H100" s="612" t="s">
        <v>1622</v>
      </c>
      <c r="I100" s="703">
        <v>1977</v>
      </c>
      <c r="J100" s="703">
        <v>8</v>
      </c>
      <c r="K100" s="663">
        <f t="shared" si="1"/>
        <v>47</v>
      </c>
      <c r="L100" s="694">
        <v>189.84</v>
      </c>
      <c r="M100" s="680">
        <v>310.83</v>
      </c>
      <c r="N100" s="680">
        <v>281.83</v>
      </c>
      <c r="O100" s="681" t="s">
        <v>1594</v>
      </c>
      <c r="P100" s="259" t="s">
        <v>1581</v>
      </c>
      <c r="Q100" s="259">
        <v>2</v>
      </c>
      <c r="R100" s="260">
        <v>0</v>
      </c>
      <c r="S100" s="682" t="s">
        <v>1582</v>
      </c>
      <c r="T100" s="683"/>
      <c r="U100" s="683" t="s">
        <v>1584</v>
      </c>
      <c r="V100" s="684"/>
      <c r="W100" s="685"/>
      <c r="X100" s="686">
        <v>47</v>
      </c>
      <c r="Y100" s="687" t="s">
        <v>1585</v>
      </c>
      <c r="Z100" s="663" t="s">
        <v>1585</v>
      </c>
      <c r="AA100" s="663" t="s">
        <v>1596</v>
      </c>
      <c r="AB100" s="663" t="s">
        <v>825</v>
      </c>
      <c r="AC100" s="663" t="s">
        <v>1586</v>
      </c>
      <c r="AD100" s="663" t="s">
        <v>1596</v>
      </c>
      <c r="AE100" s="663" t="s">
        <v>1585</v>
      </c>
      <c r="AF100" s="663" t="s">
        <v>825</v>
      </c>
      <c r="AG100" s="663" t="s">
        <v>825</v>
      </c>
      <c r="AH100" s="663" t="s">
        <v>1586</v>
      </c>
      <c r="AI100" s="688">
        <v>74.285714285714292</v>
      </c>
      <c r="AJ100" s="689" t="s">
        <v>1588</v>
      </c>
      <c r="AK100" s="690"/>
    </row>
    <row r="101" spans="1:37" s="653" customFormat="1">
      <c r="A101" s="655">
        <v>2024</v>
      </c>
      <c r="B101" s="656" t="str">
        <f>INDEX('①基本情報 '!$C$2:$C$255,MATCH('②建物情報 '!E101,'①基本情報 '!$E$2:$E$255,0),1)</f>
        <v>079</v>
      </c>
      <c r="C101" s="657" t="str">
        <f>INDEX('①基本情報 '!$B$2:$B$255,MATCH('②建物情報 '!E101,'①基本情報 '!$E$2:$E$255,0),1)</f>
        <v>0253</v>
      </c>
      <c r="D101" s="658" t="s">
        <v>2418</v>
      </c>
      <c r="E101" s="612" t="s">
        <v>582</v>
      </c>
      <c r="F101" s="611" t="str">
        <f>INDEX('①基本情報 '!$G$2:$G$255,MATCH('②建物情報 '!E101,'①基本情報 '!$E$2:$E$255,0),1)</f>
        <v>市民自治部まちづくり室まちづくり推進課</v>
      </c>
      <c r="G101" s="678" t="s">
        <v>1580</v>
      </c>
      <c r="H101" s="612" t="s">
        <v>1622</v>
      </c>
      <c r="I101" s="703">
        <v>1984</v>
      </c>
      <c r="J101" s="703">
        <v>3</v>
      </c>
      <c r="K101" s="663">
        <f t="shared" si="1"/>
        <v>40</v>
      </c>
      <c r="L101" s="694">
        <v>145.74</v>
      </c>
      <c r="M101" s="680">
        <v>138.28</v>
      </c>
      <c r="N101" s="680">
        <v>138.28</v>
      </c>
      <c r="O101" s="681" t="s">
        <v>1812</v>
      </c>
      <c r="P101" s="259" t="s">
        <v>1581</v>
      </c>
      <c r="Q101" s="259">
        <v>1</v>
      </c>
      <c r="R101" s="260">
        <v>0</v>
      </c>
      <c r="S101" s="682" t="s">
        <v>1593</v>
      </c>
      <c r="T101" s="683" t="s">
        <v>825</v>
      </c>
      <c r="U101" s="683" t="s">
        <v>63</v>
      </c>
      <c r="V101" s="684"/>
      <c r="W101" s="685"/>
      <c r="X101" s="686">
        <v>47</v>
      </c>
      <c r="Y101" s="687" t="s">
        <v>1585</v>
      </c>
      <c r="Z101" s="663" t="s">
        <v>1586</v>
      </c>
      <c r="AA101" s="663" t="s">
        <v>1586</v>
      </c>
      <c r="AB101" s="663" t="s">
        <v>825</v>
      </c>
      <c r="AC101" s="663" t="s">
        <v>1586</v>
      </c>
      <c r="AD101" s="663" t="s">
        <v>1587</v>
      </c>
      <c r="AE101" s="663" t="s">
        <v>1585</v>
      </c>
      <c r="AF101" s="663" t="s">
        <v>825</v>
      </c>
      <c r="AG101" s="663" t="s">
        <v>825</v>
      </c>
      <c r="AH101" s="663" t="s">
        <v>1586</v>
      </c>
      <c r="AI101" s="688">
        <v>78.857142857142861</v>
      </c>
      <c r="AJ101" s="689" t="s">
        <v>1588</v>
      </c>
      <c r="AK101" s="690"/>
    </row>
    <row r="102" spans="1:37" s="653" customFormat="1">
      <c r="A102" s="655">
        <v>2024</v>
      </c>
      <c r="B102" s="656" t="str">
        <f>INDEX('①基本情報 '!$C$2:$C$255,MATCH('②建物情報 '!E102,'①基本情報 '!$E$2:$E$255,0),1)</f>
        <v>080</v>
      </c>
      <c r="C102" s="657" t="str">
        <f>INDEX('①基本情報 '!$B$2:$B$255,MATCH('②建物情報 '!E102,'①基本情報 '!$E$2:$E$255,0),1)</f>
        <v>0261</v>
      </c>
      <c r="D102" s="658" t="s">
        <v>2418</v>
      </c>
      <c r="E102" s="612" t="s">
        <v>588</v>
      </c>
      <c r="F102" s="611" t="str">
        <f>INDEX('①基本情報 '!$G$2:$G$255,MATCH('②建物情報 '!E102,'①基本情報 '!$E$2:$E$255,0),1)</f>
        <v>市民自治部まちづくり室まちづくり推進課</v>
      </c>
      <c r="G102" s="678" t="s">
        <v>1580</v>
      </c>
      <c r="H102" s="612" t="s">
        <v>1622</v>
      </c>
      <c r="I102" s="703">
        <v>1987</v>
      </c>
      <c r="J102" s="703">
        <v>3</v>
      </c>
      <c r="K102" s="663">
        <f t="shared" si="1"/>
        <v>37</v>
      </c>
      <c r="L102" s="694">
        <v>108.19</v>
      </c>
      <c r="M102" s="680">
        <v>101.19</v>
      </c>
      <c r="N102" s="680">
        <v>101.19</v>
      </c>
      <c r="O102" s="681" t="s">
        <v>1812</v>
      </c>
      <c r="P102" s="259" t="s">
        <v>1581</v>
      </c>
      <c r="Q102" s="259">
        <v>1</v>
      </c>
      <c r="R102" s="260">
        <v>0</v>
      </c>
      <c r="S102" s="682" t="s">
        <v>1593</v>
      </c>
      <c r="T102" s="683" t="s">
        <v>825</v>
      </c>
      <c r="U102" s="683" t="s">
        <v>63</v>
      </c>
      <c r="V102" s="684"/>
      <c r="W102" s="685"/>
      <c r="X102" s="686">
        <v>47</v>
      </c>
      <c r="Y102" s="687" t="s">
        <v>1596</v>
      </c>
      <c r="Z102" s="663" t="s">
        <v>1587</v>
      </c>
      <c r="AA102" s="663" t="s">
        <v>1587</v>
      </c>
      <c r="AB102" s="663" t="s">
        <v>825</v>
      </c>
      <c r="AC102" s="663" t="s">
        <v>1586</v>
      </c>
      <c r="AD102" s="663" t="s">
        <v>1586</v>
      </c>
      <c r="AE102" s="663" t="s">
        <v>1586</v>
      </c>
      <c r="AF102" s="663" t="s">
        <v>825</v>
      </c>
      <c r="AG102" s="663" t="s">
        <v>825</v>
      </c>
      <c r="AH102" s="663" t="s">
        <v>1585</v>
      </c>
      <c r="AI102" s="688">
        <v>66.666666666666671</v>
      </c>
      <c r="AJ102" s="689" t="s">
        <v>1588</v>
      </c>
      <c r="AK102" s="690"/>
    </row>
    <row r="103" spans="1:37" s="653" customFormat="1">
      <c r="A103" s="655">
        <v>2024</v>
      </c>
      <c r="B103" s="656" t="str">
        <f>INDEX('①基本情報 '!$C$2:$C$255,MATCH('②建物情報 '!E103,'①基本情報 '!$E$2:$E$255,0),1)</f>
        <v>081</v>
      </c>
      <c r="C103" s="657" t="str">
        <f>INDEX('①基本情報 '!$B$2:$B$255,MATCH('②建物情報 '!E103,'①基本情報 '!$E$2:$E$255,0),1)</f>
        <v>0263</v>
      </c>
      <c r="D103" s="658" t="s">
        <v>2418</v>
      </c>
      <c r="E103" s="612" t="s">
        <v>593</v>
      </c>
      <c r="F103" s="611" t="str">
        <f>INDEX('①基本情報 '!$G$2:$G$255,MATCH('②建物情報 '!E103,'①基本情報 '!$E$2:$E$255,0),1)</f>
        <v>市民自治部まちづくり室まちづくり推進課</v>
      </c>
      <c r="G103" s="678" t="s">
        <v>1580</v>
      </c>
      <c r="H103" s="612" t="s">
        <v>1622</v>
      </c>
      <c r="I103" s="703">
        <v>1988</v>
      </c>
      <c r="J103" s="703">
        <v>3</v>
      </c>
      <c r="K103" s="663">
        <f t="shared" si="1"/>
        <v>36</v>
      </c>
      <c r="L103" s="694">
        <v>107.04</v>
      </c>
      <c r="M103" s="680">
        <v>107.04</v>
      </c>
      <c r="N103" s="680">
        <v>107.04</v>
      </c>
      <c r="O103" s="681" t="s">
        <v>1812</v>
      </c>
      <c r="P103" s="259" t="s">
        <v>1581</v>
      </c>
      <c r="Q103" s="259">
        <v>1</v>
      </c>
      <c r="R103" s="260">
        <v>0</v>
      </c>
      <c r="S103" s="682" t="s">
        <v>1593</v>
      </c>
      <c r="T103" s="683" t="s">
        <v>825</v>
      </c>
      <c r="U103" s="683" t="s">
        <v>63</v>
      </c>
      <c r="V103" s="684"/>
      <c r="W103" s="685"/>
      <c r="X103" s="686">
        <v>47</v>
      </c>
      <c r="Y103" s="687" t="s">
        <v>1596</v>
      </c>
      <c r="Z103" s="663" t="s">
        <v>1586</v>
      </c>
      <c r="AA103" s="663" t="s">
        <v>1586</v>
      </c>
      <c r="AB103" s="663" t="s">
        <v>825</v>
      </c>
      <c r="AC103" s="663" t="s">
        <v>1585</v>
      </c>
      <c r="AD103" s="663" t="s">
        <v>1586</v>
      </c>
      <c r="AE103" s="663" t="s">
        <v>1586</v>
      </c>
      <c r="AF103" s="663" t="s">
        <v>825</v>
      </c>
      <c r="AG103" s="663" t="s">
        <v>825</v>
      </c>
      <c r="AH103" s="663" t="s">
        <v>1586</v>
      </c>
      <c r="AI103" s="688">
        <v>81.818181818181813</v>
      </c>
      <c r="AJ103" s="689" t="s">
        <v>1588</v>
      </c>
      <c r="AK103" s="690"/>
    </row>
    <row r="104" spans="1:37" s="653" customFormat="1">
      <c r="A104" s="655">
        <v>2024</v>
      </c>
      <c r="B104" s="656" t="str">
        <f>INDEX('①基本情報 '!$C$2:$C$255,MATCH('②建物情報 '!E104,'①基本情報 '!$E$2:$E$255,0),1)</f>
        <v>082</v>
      </c>
      <c r="C104" s="657" t="str">
        <f>INDEX('①基本情報 '!$B$2:$B$255,MATCH('②建物情報 '!E104,'①基本情報 '!$E$2:$E$255,0),1)</f>
        <v>0217</v>
      </c>
      <c r="D104" s="658" t="s">
        <v>2418</v>
      </c>
      <c r="E104" s="612" t="s">
        <v>163</v>
      </c>
      <c r="F104" s="611" t="str">
        <f>INDEX('①基本情報 '!$G$2:$G$255,MATCH('②建物情報 '!E104,'①基本情報 '!$E$2:$E$255,0),1)</f>
        <v>市民自治部共生推進室人権啓発センター</v>
      </c>
      <c r="G104" s="678" t="s">
        <v>1580</v>
      </c>
      <c r="H104" s="612" t="s">
        <v>599</v>
      </c>
      <c r="I104" s="663">
        <v>1974</v>
      </c>
      <c r="J104" s="663">
        <v>7</v>
      </c>
      <c r="K104" s="663">
        <f t="shared" si="1"/>
        <v>50</v>
      </c>
      <c r="L104" s="679"/>
      <c r="M104" s="680">
        <v>1636.92</v>
      </c>
      <c r="N104" s="680">
        <v>0</v>
      </c>
      <c r="O104" s="681" t="s">
        <v>1812</v>
      </c>
      <c r="P104" s="259" t="s">
        <v>1581</v>
      </c>
      <c r="Q104" s="259">
        <v>3</v>
      </c>
      <c r="R104" s="260">
        <v>0</v>
      </c>
      <c r="S104" s="682" t="s">
        <v>1582</v>
      </c>
      <c r="T104" s="683" t="s">
        <v>1583</v>
      </c>
      <c r="U104" s="683" t="s">
        <v>63</v>
      </c>
      <c r="V104" s="684">
        <v>2009</v>
      </c>
      <c r="W104" s="685">
        <v>2013</v>
      </c>
      <c r="X104" s="686">
        <v>50</v>
      </c>
      <c r="Y104" s="687" t="s">
        <v>1585</v>
      </c>
      <c r="Z104" s="663" t="s">
        <v>1596</v>
      </c>
      <c r="AA104" s="663" t="s">
        <v>1585</v>
      </c>
      <c r="AB104" s="663" t="s">
        <v>825</v>
      </c>
      <c r="AC104" s="663" t="s">
        <v>1596</v>
      </c>
      <c r="AD104" s="663" t="s">
        <v>1585</v>
      </c>
      <c r="AE104" s="663" t="s">
        <v>1586</v>
      </c>
      <c r="AF104" s="663" t="s">
        <v>825</v>
      </c>
      <c r="AG104" s="663" t="s">
        <v>825</v>
      </c>
      <c r="AH104" s="663" t="s">
        <v>1586</v>
      </c>
      <c r="AI104" s="688">
        <v>72.727272727272734</v>
      </c>
      <c r="AJ104" s="689" t="s">
        <v>1588</v>
      </c>
      <c r="AK104" s="690"/>
    </row>
    <row r="105" spans="1:37" s="653" customFormat="1">
      <c r="A105" s="655">
        <v>2024</v>
      </c>
      <c r="B105" s="656" t="str">
        <f>INDEX('①基本情報 '!$C$2:$C$255,MATCH('②建物情報 '!E105,'①基本情報 '!$E$2:$E$255,0),1)</f>
        <v>083</v>
      </c>
      <c r="C105" s="657" t="str">
        <f>INDEX('①基本情報 '!$B$2:$B$255,MATCH('②建物情報 '!E105,'①基本情報 '!$E$2:$E$255,0),1)</f>
        <v>0232</v>
      </c>
      <c r="D105" s="658" t="s">
        <v>2418</v>
      </c>
      <c r="E105" s="612" t="s">
        <v>602</v>
      </c>
      <c r="F105" s="611" t="str">
        <f>INDEX('①基本情報 '!$G$2:$G$255,MATCH('②建物情報 '!E105,'①基本情報 '!$E$2:$E$255,0),1)</f>
        <v>市民自治部まちづくり室まちづくり推進課</v>
      </c>
      <c r="G105" s="678" t="s">
        <v>1580</v>
      </c>
      <c r="H105" s="612" t="s">
        <v>1622</v>
      </c>
      <c r="I105" s="703">
        <v>1976</v>
      </c>
      <c r="J105" s="703">
        <v>6</v>
      </c>
      <c r="K105" s="663">
        <f t="shared" si="1"/>
        <v>48</v>
      </c>
      <c r="L105" s="694">
        <v>143.46</v>
      </c>
      <c r="M105" s="680">
        <v>135.5</v>
      </c>
      <c r="N105" s="680">
        <v>135.5</v>
      </c>
      <c r="O105" s="681" t="s">
        <v>1812</v>
      </c>
      <c r="P105" s="259" t="s">
        <v>1581</v>
      </c>
      <c r="Q105" s="259">
        <v>1</v>
      </c>
      <c r="R105" s="260">
        <v>0</v>
      </c>
      <c r="S105" s="682" t="s">
        <v>1582</v>
      </c>
      <c r="T105" s="683"/>
      <c r="U105" s="683" t="s">
        <v>1584</v>
      </c>
      <c r="V105" s="684"/>
      <c r="W105" s="685"/>
      <c r="X105" s="686">
        <v>47</v>
      </c>
      <c r="Y105" s="687" t="s">
        <v>1585</v>
      </c>
      <c r="Z105" s="663" t="s">
        <v>1585</v>
      </c>
      <c r="AA105" s="663" t="s">
        <v>1586</v>
      </c>
      <c r="AB105" s="663" t="s">
        <v>825</v>
      </c>
      <c r="AC105" s="663" t="s">
        <v>1585</v>
      </c>
      <c r="AD105" s="663" t="s">
        <v>1585</v>
      </c>
      <c r="AE105" s="663" t="s">
        <v>1596</v>
      </c>
      <c r="AF105" s="663" t="s">
        <v>825</v>
      </c>
      <c r="AG105" s="663" t="s">
        <v>825</v>
      </c>
      <c r="AH105" s="663" t="s">
        <v>1586</v>
      </c>
      <c r="AI105" s="688">
        <v>73.333333333333343</v>
      </c>
      <c r="AJ105" s="689" t="s">
        <v>1588</v>
      </c>
      <c r="AK105" s="690"/>
    </row>
    <row r="106" spans="1:37" s="653" customFormat="1">
      <c r="A106" s="655">
        <v>2024</v>
      </c>
      <c r="B106" s="656" t="str">
        <f>INDEX('①基本情報 '!$C$2:$C$255,MATCH('②建物情報 '!E106,'①基本情報 '!$E$2:$E$255,0),1)</f>
        <v>084</v>
      </c>
      <c r="C106" s="657" t="str">
        <f>INDEX('①基本情報 '!$B$2:$B$255,MATCH('②建物情報 '!E106,'①基本情報 '!$E$2:$E$255,0),1)</f>
        <v>0245</v>
      </c>
      <c r="D106" s="658" t="s">
        <v>2418</v>
      </c>
      <c r="E106" s="612" t="s">
        <v>607</v>
      </c>
      <c r="F106" s="611" t="str">
        <f>INDEX('①基本情報 '!$G$2:$G$255,MATCH('②建物情報 '!E106,'①基本情報 '!$E$2:$E$255,0),1)</f>
        <v>市民自治部まちづくり室まちづくり推進課</v>
      </c>
      <c r="G106" s="678" t="s">
        <v>1580</v>
      </c>
      <c r="H106" s="612" t="s">
        <v>1622</v>
      </c>
      <c r="I106" s="703">
        <v>1982</v>
      </c>
      <c r="J106" s="703">
        <v>3</v>
      </c>
      <c r="K106" s="663">
        <f t="shared" si="1"/>
        <v>42</v>
      </c>
      <c r="L106" s="694">
        <v>238.25</v>
      </c>
      <c r="M106" s="680">
        <v>400.8</v>
      </c>
      <c r="N106" s="680">
        <v>400.8</v>
      </c>
      <c r="O106" s="681" t="s">
        <v>1812</v>
      </c>
      <c r="P106" s="259" t="s">
        <v>1581</v>
      </c>
      <c r="Q106" s="259">
        <v>2</v>
      </c>
      <c r="R106" s="260">
        <v>0</v>
      </c>
      <c r="S106" s="682" t="s">
        <v>1593</v>
      </c>
      <c r="T106" s="683" t="s">
        <v>825</v>
      </c>
      <c r="U106" s="683" t="s">
        <v>63</v>
      </c>
      <c r="V106" s="684"/>
      <c r="W106" s="685">
        <v>2024</v>
      </c>
      <c r="X106" s="686">
        <v>47</v>
      </c>
      <c r="Y106" s="687" t="s">
        <v>1585</v>
      </c>
      <c r="Z106" s="663" t="s">
        <v>1587</v>
      </c>
      <c r="AA106" s="663" t="s">
        <v>1587</v>
      </c>
      <c r="AB106" s="663" t="s">
        <v>825</v>
      </c>
      <c r="AC106" s="663" t="s">
        <v>1586</v>
      </c>
      <c r="AD106" s="663" t="s">
        <v>1586</v>
      </c>
      <c r="AE106" s="663" t="s">
        <v>1585</v>
      </c>
      <c r="AF106" s="663" t="s">
        <v>825</v>
      </c>
      <c r="AG106" s="663" t="s">
        <v>825</v>
      </c>
      <c r="AH106" s="663" t="s">
        <v>1585</v>
      </c>
      <c r="AI106" s="688">
        <v>60.606060606060609</v>
      </c>
      <c r="AJ106" s="689" t="s">
        <v>1588</v>
      </c>
      <c r="AK106" s="690"/>
    </row>
    <row r="107" spans="1:37" s="653" customFormat="1">
      <c r="A107" s="655">
        <v>2024</v>
      </c>
      <c r="B107" s="656" t="str">
        <f>INDEX('①基本情報 '!$C$2:$C$255,MATCH('②建物情報 '!E107,'①基本情報 '!$E$2:$E$255,0),1)</f>
        <v>085</v>
      </c>
      <c r="C107" s="657" t="str">
        <f>INDEX('①基本情報 '!$B$2:$B$255,MATCH('②建物情報 '!E107,'①基本情報 '!$E$2:$E$255,0),1)</f>
        <v>0252</v>
      </c>
      <c r="D107" s="658" t="s">
        <v>2418</v>
      </c>
      <c r="E107" s="612" t="s">
        <v>613</v>
      </c>
      <c r="F107" s="611" t="str">
        <f>INDEX('①基本情報 '!$G$2:$G$255,MATCH('②建物情報 '!E107,'①基本情報 '!$E$2:$E$255,0),1)</f>
        <v>市民自治部まちづくり室まちづくり推進課</v>
      </c>
      <c r="G107" s="678" t="s">
        <v>1580</v>
      </c>
      <c r="H107" s="612" t="s">
        <v>1622</v>
      </c>
      <c r="I107" s="703">
        <v>1983</v>
      </c>
      <c r="J107" s="703">
        <v>3</v>
      </c>
      <c r="K107" s="663">
        <f t="shared" si="1"/>
        <v>41</v>
      </c>
      <c r="L107" s="694">
        <v>349.18</v>
      </c>
      <c r="M107" s="680">
        <v>327.84</v>
      </c>
      <c r="N107" s="680">
        <v>327.84</v>
      </c>
      <c r="O107" s="681" t="s">
        <v>1812</v>
      </c>
      <c r="P107" s="259" t="s">
        <v>1581</v>
      </c>
      <c r="Q107" s="259">
        <v>1</v>
      </c>
      <c r="R107" s="260">
        <v>0</v>
      </c>
      <c r="S107" s="682" t="s">
        <v>1593</v>
      </c>
      <c r="T107" s="683" t="s">
        <v>825</v>
      </c>
      <c r="U107" s="683" t="s">
        <v>63</v>
      </c>
      <c r="V107" s="684"/>
      <c r="W107" s="685"/>
      <c r="X107" s="686">
        <v>47</v>
      </c>
      <c r="Y107" s="687" t="s">
        <v>1585</v>
      </c>
      <c r="Z107" s="663" t="s">
        <v>1585</v>
      </c>
      <c r="AA107" s="663" t="s">
        <v>1586</v>
      </c>
      <c r="AB107" s="663" t="s">
        <v>825</v>
      </c>
      <c r="AC107" s="663" t="s">
        <v>1586</v>
      </c>
      <c r="AD107" s="663" t="s">
        <v>1587</v>
      </c>
      <c r="AE107" s="663" t="s">
        <v>1586</v>
      </c>
      <c r="AF107" s="663" t="s">
        <v>825</v>
      </c>
      <c r="AG107" s="663" t="s">
        <v>825</v>
      </c>
      <c r="AH107" s="663" t="s">
        <v>1586</v>
      </c>
      <c r="AI107" s="688">
        <v>73.939393939393938</v>
      </c>
      <c r="AJ107" s="689" t="s">
        <v>1588</v>
      </c>
      <c r="AK107" s="690"/>
    </row>
    <row r="108" spans="1:37" s="653" customFormat="1">
      <c r="A108" s="655">
        <v>2024</v>
      </c>
      <c r="B108" s="656" t="str">
        <f>INDEX('①基本情報 '!$C$2:$C$255,MATCH('②建物情報 '!E108,'①基本情報 '!$E$2:$E$255,0),1)</f>
        <v>086</v>
      </c>
      <c r="C108" s="657" t="str">
        <f>INDEX('①基本情報 '!$B$2:$B$255,MATCH('②建物情報 '!E108,'①基本情報 '!$E$2:$E$255,0),1)</f>
        <v>0277</v>
      </c>
      <c r="D108" s="658" t="s">
        <v>2418</v>
      </c>
      <c r="E108" s="612" t="s">
        <v>2600</v>
      </c>
      <c r="F108" s="611" t="str">
        <f>INDEX('①基本情報 '!$G$2:$G$255,MATCH('②建物情報 '!E108,'①基本情報 '!$E$2:$E$255,0),1)</f>
        <v>市民自治部まちづくり室まちづくり推進課</v>
      </c>
      <c r="G108" s="678" t="s">
        <v>1580</v>
      </c>
      <c r="H108" s="612" t="s">
        <v>1622</v>
      </c>
      <c r="I108" s="703">
        <v>2023</v>
      </c>
      <c r="J108" s="703">
        <v>5</v>
      </c>
      <c r="K108" s="663">
        <f t="shared" si="1"/>
        <v>1</v>
      </c>
      <c r="L108" s="694">
        <v>265.08999999999997</v>
      </c>
      <c r="M108" s="680">
        <v>516.04999999999995</v>
      </c>
      <c r="N108" s="680">
        <v>516.04999999999995</v>
      </c>
      <c r="O108" s="681" t="s">
        <v>1812</v>
      </c>
      <c r="P108" s="259" t="s">
        <v>1942</v>
      </c>
      <c r="Q108" s="259">
        <v>2</v>
      </c>
      <c r="R108" s="260">
        <v>0</v>
      </c>
      <c r="S108" s="682" t="s">
        <v>2537</v>
      </c>
      <c r="T108" s="683" t="s">
        <v>1966</v>
      </c>
      <c r="U108" s="683" t="s">
        <v>1846</v>
      </c>
      <c r="V108" s="684"/>
      <c r="W108" s="685"/>
      <c r="X108" s="686">
        <v>38</v>
      </c>
      <c r="Y108" s="687" t="s">
        <v>1587</v>
      </c>
      <c r="Z108" s="663" t="s">
        <v>1587</v>
      </c>
      <c r="AA108" s="663" t="s">
        <v>1587</v>
      </c>
      <c r="AB108" s="663" t="s">
        <v>825</v>
      </c>
      <c r="AC108" s="663" t="s">
        <v>1587</v>
      </c>
      <c r="AD108" s="663" t="s">
        <v>1587</v>
      </c>
      <c r="AE108" s="663" t="s">
        <v>1587</v>
      </c>
      <c r="AF108" s="663" t="s">
        <v>825</v>
      </c>
      <c r="AG108" s="663" t="s">
        <v>825</v>
      </c>
      <c r="AH108" s="663" t="s">
        <v>1587</v>
      </c>
      <c r="AI108" s="688">
        <v>3.4285714285714253</v>
      </c>
      <c r="AJ108" s="689" t="s">
        <v>1588</v>
      </c>
      <c r="AK108" s="690"/>
    </row>
    <row r="109" spans="1:37" s="653" customFormat="1">
      <c r="A109" s="655">
        <v>2024</v>
      </c>
      <c r="B109" s="656" t="str">
        <f>INDEX('①基本情報 '!$C$2:$C$255,MATCH('②建物情報 '!E109,'①基本情報 '!$E$2:$E$255,0),1)</f>
        <v>087</v>
      </c>
      <c r="C109" s="657" t="str">
        <f>INDEX('①基本情報 '!$B$2:$B$255,MATCH('②建物情報 '!E109,'①基本情報 '!$E$2:$E$255,0),1)</f>
        <v>0212</v>
      </c>
      <c r="D109" s="658" t="s">
        <v>2418</v>
      </c>
      <c r="E109" s="612" t="s">
        <v>629</v>
      </c>
      <c r="F109" s="611" t="str">
        <f>INDEX('①基本情報 '!$G$2:$G$255,MATCH('②建物情報 '!E109,'①基本情報 '!$E$2:$E$255,0),1)</f>
        <v>市民自治部まちづくり室まちづくり推進課</v>
      </c>
      <c r="G109" s="678" t="s">
        <v>1580</v>
      </c>
      <c r="H109" s="612" t="s">
        <v>1622</v>
      </c>
      <c r="I109" s="703">
        <v>1973</v>
      </c>
      <c r="J109" s="703">
        <v>3</v>
      </c>
      <c r="K109" s="663">
        <f t="shared" si="1"/>
        <v>51</v>
      </c>
      <c r="L109" s="694">
        <v>137.38999999999999</v>
      </c>
      <c r="M109" s="680">
        <v>136.4</v>
      </c>
      <c r="N109" s="680">
        <v>136.4</v>
      </c>
      <c r="O109" s="681" t="s">
        <v>1812</v>
      </c>
      <c r="P109" s="259" t="s">
        <v>1581</v>
      </c>
      <c r="Q109" s="259">
        <v>1</v>
      </c>
      <c r="R109" s="260">
        <v>0</v>
      </c>
      <c r="S109" s="682" t="s">
        <v>1582</v>
      </c>
      <c r="T109" s="683"/>
      <c r="U109" s="683" t="s">
        <v>1584</v>
      </c>
      <c r="V109" s="684"/>
      <c r="W109" s="685"/>
      <c r="X109" s="686">
        <v>47</v>
      </c>
      <c r="Y109" s="687" t="s">
        <v>1585</v>
      </c>
      <c r="Z109" s="663" t="s">
        <v>1585</v>
      </c>
      <c r="AA109" s="663" t="s">
        <v>1586</v>
      </c>
      <c r="AB109" s="663" t="s">
        <v>825</v>
      </c>
      <c r="AC109" s="663" t="s">
        <v>1586</v>
      </c>
      <c r="AD109" s="663" t="s">
        <v>1586</v>
      </c>
      <c r="AE109" s="663" t="s">
        <v>1585</v>
      </c>
      <c r="AF109" s="663" t="s">
        <v>825</v>
      </c>
      <c r="AG109" s="663" t="s">
        <v>825</v>
      </c>
      <c r="AH109" s="663" t="s">
        <v>1586</v>
      </c>
      <c r="AI109" s="688">
        <v>80.606060606060609</v>
      </c>
      <c r="AJ109" s="689" t="s">
        <v>1588</v>
      </c>
      <c r="AK109" s="690"/>
    </row>
    <row r="110" spans="1:37" s="653" customFormat="1">
      <c r="A110" s="655">
        <v>2024</v>
      </c>
      <c r="B110" s="656" t="str">
        <f>INDEX('①基本情報 '!$C$2:$C$255,MATCH('②建物情報 '!E110,'①基本情報 '!$E$2:$E$255,0),1)</f>
        <v>088</v>
      </c>
      <c r="C110" s="657" t="str">
        <f>INDEX('①基本情報 '!$B$2:$B$255,MATCH('②建物情報 '!E110,'①基本情報 '!$E$2:$E$255,0),1)</f>
        <v>0220</v>
      </c>
      <c r="D110" s="658" t="s">
        <v>2418</v>
      </c>
      <c r="E110" s="612" t="s">
        <v>636</v>
      </c>
      <c r="F110" s="611" t="str">
        <f>INDEX('①基本情報 '!$G$2:$G$255,MATCH('②建物情報 '!E110,'①基本情報 '!$E$2:$E$255,0),1)</f>
        <v>市民自治部まちづくり室まちづくり推進課</v>
      </c>
      <c r="G110" s="678" t="s">
        <v>1580</v>
      </c>
      <c r="H110" s="612" t="s">
        <v>1622</v>
      </c>
      <c r="I110" s="703">
        <v>1974</v>
      </c>
      <c r="J110" s="703">
        <v>9</v>
      </c>
      <c r="K110" s="663">
        <f t="shared" si="1"/>
        <v>50</v>
      </c>
      <c r="L110" s="694">
        <v>160.19999999999999</v>
      </c>
      <c r="M110" s="680">
        <v>315</v>
      </c>
      <c r="N110" s="680">
        <v>315</v>
      </c>
      <c r="O110" s="681" t="s">
        <v>1812</v>
      </c>
      <c r="P110" s="259" t="s">
        <v>1581</v>
      </c>
      <c r="Q110" s="259">
        <v>2</v>
      </c>
      <c r="R110" s="260">
        <v>0</v>
      </c>
      <c r="S110" s="682" t="s">
        <v>1582</v>
      </c>
      <c r="T110" s="683"/>
      <c r="U110" s="683" t="s">
        <v>1584</v>
      </c>
      <c r="V110" s="684"/>
      <c r="W110" s="685"/>
      <c r="X110" s="686">
        <v>47</v>
      </c>
      <c r="Y110" s="687" t="s">
        <v>1585</v>
      </c>
      <c r="Z110" s="663" t="s">
        <v>1585</v>
      </c>
      <c r="AA110" s="663" t="s">
        <v>1585</v>
      </c>
      <c r="AB110" s="663" t="s">
        <v>825</v>
      </c>
      <c r="AC110" s="663" t="s">
        <v>1586</v>
      </c>
      <c r="AD110" s="663" t="s">
        <v>1585</v>
      </c>
      <c r="AE110" s="663" t="s">
        <v>1585</v>
      </c>
      <c r="AF110" s="663" t="s">
        <v>825</v>
      </c>
      <c r="AG110" s="663" t="s">
        <v>825</v>
      </c>
      <c r="AH110" s="663" t="s">
        <v>1586</v>
      </c>
      <c r="AI110" s="688">
        <v>78.787878787878782</v>
      </c>
      <c r="AJ110" s="689" t="s">
        <v>1588</v>
      </c>
      <c r="AK110" s="690"/>
    </row>
    <row r="111" spans="1:37" s="653" customFormat="1">
      <c r="A111" s="655">
        <v>2024</v>
      </c>
      <c r="B111" s="656" t="str">
        <f>INDEX('①基本情報 '!$C$2:$C$255,MATCH('②建物情報 '!E111,'①基本情報 '!$E$2:$E$255,0),1)</f>
        <v>088</v>
      </c>
      <c r="C111" s="657" t="str">
        <f>INDEX('①基本情報 '!$B$2:$B$255,MATCH('②建物情報 '!E111,'①基本情報 '!$E$2:$E$255,0),1)</f>
        <v>0220</v>
      </c>
      <c r="D111" s="261" t="s">
        <v>2418</v>
      </c>
      <c r="E111" s="262" t="s">
        <v>636</v>
      </c>
      <c r="F111" s="263" t="str">
        <f>INDEX('①基本情報 '!$G$2:$G$255,MATCH('②建物情報 '!E111,'①基本情報 '!$E$2:$E$255,0),1)</f>
        <v>市民自治部まちづくり室まちづくり推進課</v>
      </c>
      <c r="G111" s="264" t="s">
        <v>1589</v>
      </c>
      <c r="H111" s="262" t="s">
        <v>1623</v>
      </c>
      <c r="I111" s="283">
        <v>1974</v>
      </c>
      <c r="J111" s="283">
        <v>9</v>
      </c>
      <c r="K111" s="265">
        <f t="shared" si="1"/>
        <v>50</v>
      </c>
      <c r="L111" s="281">
        <v>60</v>
      </c>
      <c r="M111" s="267">
        <v>60</v>
      </c>
      <c r="N111" s="267">
        <v>60</v>
      </c>
      <c r="O111" s="268" t="s">
        <v>1812</v>
      </c>
      <c r="P111" s="269" t="s">
        <v>1581</v>
      </c>
      <c r="Q111" s="269">
        <v>1</v>
      </c>
      <c r="R111" s="270">
        <v>0</v>
      </c>
      <c r="S111" s="271" t="s">
        <v>1582</v>
      </c>
      <c r="T111" s="272"/>
      <c r="U111" s="272" t="s">
        <v>1584</v>
      </c>
      <c r="V111" s="273"/>
      <c r="W111" s="274"/>
      <c r="X111" s="275">
        <v>47</v>
      </c>
      <c r="Y111" s="276" t="s">
        <v>1585</v>
      </c>
      <c r="Z111" s="265" t="s">
        <v>1585</v>
      </c>
      <c r="AA111" s="265" t="s">
        <v>1585</v>
      </c>
      <c r="AB111" s="265" t="s">
        <v>825</v>
      </c>
      <c r="AC111" s="265" t="s">
        <v>1586</v>
      </c>
      <c r="AD111" s="265" t="s">
        <v>1585</v>
      </c>
      <c r="AE111" s="265" t="s">
        <v>1585</v>
      </c>
      <c r="AF111" s="265" t="s">
        <v>825</v>
      </c>
      <c r="AG111" s="265" t="s">
        <v>825</v>
      </c>
      <c r="AH111" s="265" t="s">
        <v>1586</v>
      </c>
      <c r="AI111" s="277">
        <v>78.787878787878782</v>
      </c>
      <c r="AJ111" s="278" t="s">
        <v>1597</v>
      </c>
      <c r="AK111" s="292"/>
    </row>
    <row r="112" spans="1:37" s="653" customFormat="1">
      <c r="A112" s="655">
        <v>2024</v>
      </c>
      <c r="B112" s="656" t="str">
        <f>INDEX('①基本情報 '!$C$2:$C$255,MATCH('②建物情報 '!E112,'①基本情報 '!$E$2:$E$255,0),1)</f>
        <v>089</v>
      </c>
      <c r="C112" s="657" t="str">
        <f>INDEX('①基本情報 '!$B$2:$B$255,MATCH('②建物情報 '!E112,'①基本情報 '!$E$2:$E$255,0),1)</f>
        <v>0235</v>
      </c>
      <c r="D112" s="658" t="s">
        <v>2418</v>
      </c>
      <c r="E112" s="612" t="s">
        <v>641</v>
      </c>
      <c r="F112" s="611" t="str">
        <f>INDEX('①基本情報 '!$G$2:$G$255,MATCH('②建物情報 '!E112,'①基本情報 '!$E$2:$E$255,0),1)</f>
        <v>市民自治部まちづくり室まちづくり推進課</v>
      </c>
      <c r="G112" s="678" t="s">
        <v>1580</v>
      </c>
      <c r="H112" s="612" t="s">
        <v>1622</v>
      </c>
      <c r="I112" s="703">
        <v>1979</v>
      </c>
      <c r="J112" s="703">
        <v>3</v>
      </c>
      <c r="K112" s="663">
        <f t="shared" si="1"/>
        <v>45</v>
      </c>
      <c r="L112" s="694">
        <v>126</v>
      </c>
      <c r="M112" s="680">
        <v>122.3</v>
      </c>
      <c r="N112" s="680">
        <v>122.3</v>
      </c>
      <c r="O112" s="681" t="s">
        <v>1812</v>
      </c>
      <c r="P112" s="259" t="s">
        <v>1581</v>
      </c>
      <c r="Q112" s="259">
        <v>1</v>
      </c>
      <c r="R112" s="260">
        <v>0</v>
      </c>
      <c r="S112" s="682" t="s">
        <v>1582</v>
      </c>
      <c r="T112" s="683"/>
      <c r="U112" s="683" t="s">
        <v>1584</v>
      </c>
      <c r="V112" s="684"/>
      <c r="W112" s="685"/>
      <c r="X112" s="686">
        <v>47</v>
      </c>
      <c r="Y112" s="687" t="s">
        <v>1585</v>
      </c>
      <c r="Z112" s="663" t="s">
        <v>1596</v>
      </c>
      <c r="AA112" s="663" t="s">
        <v>1586</v>
      </c>
      <c r="AB112" s="663" t="s">
        <v>825</v>
      </c>
      <c r="AC112" s="663" t="s">
        <v>1586</v>
      </c>
      <c r="AD112" s="663" t="s">
        <v>1586</v>
      </c>
      <c r="AE112" s="663" t="s">
        <v>1585</v>
      </c>
      <c r="AF112" s="663" t="s">
        <v>825</v>
      </c>
      <c r="AG112" s="663" t="s">
        <v>825</v>
      </c>
      <c r="AH112" s="663" t="s">
        <v>1586</v>
      </c>
      <c r="AI112" s="688">
        <v>73.142857142857139</v>
      </c>
      <c r="AJ112" s="689" t="s">
        <v>1588</v>
      </c>
      <c r="AK112" s="690"/>
    </row>
    <row r="113" spans="1:37" s="653" customFormat="1">
      <c r="A113" s="655">
        <v>2024</v>
      </c>
      <c r="B113" s="656" t="str">
        <f>INDEX('①基本情報 '!$C$2:$C$255,MATCH('②建物情報 '!E113,'①基本情報 '!$E$2:$E$255,0),1)</f>
        <v>090</v>
      </c>
      <c r="C113" s="657" t="str">
        <f>INDEX('①基本情報 '!$B$2:$B$255,MATCH('②建物情報 '!E113,'①基本情報 '!$E$2:$E$255,0),1)</f>
        <v>0248</v>
      </c>
      <c r="D113" s="658" t="s">
        <v>2418</v>
      </c>
      <c r="E113" s="612" t="s">
        <v>647</v>
      </c>
      <c r="F113" s="611" t="str">
        <f>INDEX('①基本情報 '!$G$2:$G$255,MATCH('②建物情報 '!E113,'①基本情報 '!$E$2:$E$255,0),1)</f>
        <v>市民自治部まちづくり室まちづくり推進課</v>
      </c>
      <c r="G113" s="678" t="s">
        <v>1580</v>
      </c>
      <c r="H113" s="612" t="s">
        <v>1622</v>
      </c>
      <c r="I113" s="703">
        <v>1982</v>
      </c>
      <c r="J113" s="703">
        <v>7</v>
      </c>
      <c r="K113" s="663">
        <f t="shared" si="1"/>
        <v>42</v>
      </c>
      <c r="L113" s="694">
        <v>294.69</v>
      </c>
      <c r="M113" s="680">
        <v>406.53</v>
      </c>
      <c r="N113" s="680">
        <v>406.53</v>
      </c>
      <c r="O113" s="681" t="s">
        <v>1812</v>
      </c>
      <c r="P113" s="259" t="s">
        <v>1581</v>
      </c>
      <c r="Q113" s="259">
        <v>2</v>
      </c>
      <c r="R113" s="260">
        <v>0</v>
      </c>
      <c r="S113" s="682" t="s">
        <v>1593</v>
      </c>
      <c r="T113" s="683" t="s">
        <v>825</v>
      </c>
      <c r="U113" s="683" t="s">
        <v>1846</v>
      </c>
      <c r="V113" s="684"/>
      <c r="W113" s="685"/>
      <c r="X113" s="686">
        <v>47</v>
      </c>
      <c r="Y113" s="687" t="s">
        <v>1585</v>
      </c>
      <c r="Z113" s="663" t="s">
        <v>1587</v>
      </c>
      <c r="AA113" s="663" t="s">
        <v>1596</v>
      </c>
      <c r="AB113" s="663" t="s">
        <v>825</v>
      </c>
      <c r="AC113" s="663" t="s">
        <v>1585</v>
      </c>
      <c r="AD113" s="663" t="s">
        <v>1585</v>
      </c>
      <c r="AE113" s="663" t="s">
        <v>1586</v>
      </c>
      <c r="AF113" s="663" t="s">
        <v>825</v>
      </c>
      <c r="AG113" s="663" t="s">
        <v>825</v>
      </c>
      <c r="AH113" s="663" t="s">
        <v>1585</v>
      </c>
      <c r="AI113" s="688">
        <v>60.571428571428562</v>
      </c>
      <c r="AJ113" s="689" t="s">
        <v>1588</v>
      </c>
      <c r="AK113" s="690"/>
    </row>
    <row r="114" spans="1:37" s="653" customFormat="1">
      <c r="A114" s="655">
        <v>2024</v>
      </c>
      <c r="B114" s="656" t="str">
        <f>INDEX('①基本情報 '!$C$2:$C$255,MATCH('②建物情報 '!E114,'①基本情報 '!$E$2:$E$255,0),1)</f>
        <v>091</v>
      </c>
      <c r="C114" s="657" t="str">
        <f>INDEX('①基本情報 '!$B$2:$B$255,MATCH('②建物情報 '!E114,'①基本情報 '!$E$2:$E$255,0),1)</f>
        <v>0270</v>
      </c>
      <c r="D114" s="658" t="s">
        <v>2418</v>
      </c>
      <c r="E114" s="612" t="s">
        <v>654</v>
      </c>
      <c r="F114" s="611" t="str">
        <f>INDEX('①基本情報 '!$G$2:$G$255,MATCH('②建物情報 '!E114,'①基本情報 '!$E$2:$E$255,0),1)</f>
        <v>市民自治部まちづくり室まちづくり推進課</v>
      </c>
      <c r="G114" s="678" t="s">
        <v>1580</v>
      </c>
      <c r="H114" s="612" t="s">
        <v>1622</v>
      </c>
      <c r="I114" s="703">
        <v>1992</v>
      </c>
      <c r="J114" s="703">
        <v>3</v>
      </c>
      <c r="K114" s="663">
        <f t="shared" si="1"/>
        <v>32</v>
      </c>
      <c r="L114" s="694">
        <v>126.24299999999999</v>
      </c>
      <c r="M114" s="680">
        <v>247</v>
      </c>
      <c r="N114" s="680">
        <v>247</v>
      </c>
      <c r="O114" s="681" t="s">
        <v>1812</v>
      </c>
      <c r="P114" s="259" t="s">
        <v>1581</v>
      </c>
      <c r="Q114" s="259">
        <v>2</v>
      </c>
      <c r="R114" s="260">
        <v>0</v>
      </c>
      <c r="S114" s="682" t="s">
        <v>1593</v>
      </c>
      <c r="T114" s="683" t="s">
        <v>825</v>
      </c>
      <c r="U114" s="683" t="s">
        <v>63</v>
      </c>
      <c r="V114" s="684"/>
      <c r="W114" s="685"/>
      <c r="X114" s="686">
        <v>47</v>
      </c>
      <c r="Y114" s="687" t="s">
        <v>1596</v>
      </c>
      <c r="Z114" s="663" t="s">
        <v>1596</v>
      </c>
      <c r="AA114" s="663" t="s">
        <v>1586</v>
      </c>
      <c r="AB114" s="663" t="s">
        <v>825</v>
      </c>
      <c r="AC114" s="663" t="s">
        <v>1585</v>
      </c>
      <c r="AD114" s="663" t="s">
        <v>1596</v>
      </c>
      <c r="AE114" s="663" t="s">
        <v>1586</v>
      </c>
      <c r="AF114" s="663" t="s">
        <v>825</v>
      </c>
      <c r="AG114" s="663" t="s">
        <v>825</v>
      </c>
      <c r="AH114" s="663" t="s">
        <v>1585</v>
      </c>
      <c r="AI114" s="688">
        <v>60</v>
      </c>
      <c r="AJ114" s="689" t="s">
        <v>1588</v>
      </c>
      <c r="AK114" s="690"/>
    </row>
    <row r="115" spans="1:37" s="653" customFormat="1">
      <c r="A115" s="655">
        <v>2024</v>
      </c>
      <c r="B115" s="656" t="str">
        <f>INDEX('①基本情報 '!$C$2:$C$255,MATCH('②建物情報 '!E115,'①基本情報 '!$E$2:$E$255,0),1)</f>
        <v>092</v>
      </c>
      <c r="C115" s="657" t="str">
        <f>INDEX('①基本情報 '!$B$2:$B$255,MATCH('②建物情報 '!E115,'①基本情報 '!$E$2:$E$255,0),1)</f>
        <v>0222</v>
      </c>
      <c r="D115" s="658" t="s">
        <v>2418</v>
      </c>
      <c r="E115" s="612" t="s">
        <v>660</v>
      </c>
      <c r="F115" s="611" t="str">
        <f>INDEX('①基本情報 '!$G$2:$G$255,MATCH('②建物情報 '!E115,'①基本情報 '!$E$2:$E$255,0),1)</f>
        <v>市民自治部まちづくり室まちづくり推進課</v>
      </c>
      <c r="G115" s="678" t="s">
        <v>1580</v>
      </c>
      <c r="H115" s="612" t="s">
        <v>1622</v>
      </c>
      <c r="I115" s="703">
        <v>1975</v>
      </c>
      <c r="J115" s="703">
        <v>3</v>
      </c>
      <c r="K115" s="663">
        <f t="shared" si="1"/>
        <v>49</v>
      </c>
      <c r="L115" s="694">
        <v>252.87</v>
      </c>
      <c r="M115" s="704">
        <v>364.5</v>
      </c>
      <c r="N115" s="704">
        <v>364.5</v>
      </c>
      <c r="O115" s="681" t="s">
        <v>1812</v>
      </c>
      <c r="P115" s="259" t="s">
        <v>1581</v>
      </c>
      <c r="Q115" s="259">
        <v>2</v>
      </c>
      <c r="R115" s="260">
        <v>0</v>
      </c>
      <c r="S115" s="682" t="s">
        <v>1582</v>
      </c>
      <c r="T115" s="683"/>
      <c r="U115" s="683" t="s">
        <v>1584</v>
      </c>
      <c r="V115" s="684"/>
      <c r="W115" s="685"/>
      <c r="X115" s="686">
        <v>47</v>
      </c>
      <c r="Y115" s="687" t="s">
        <v>1585</v>
      </c>
      <c r="Z115" s="663" t="s">
        <v>1585</v>
      </c>
      <c r="AA115" s="663" t="s">
        <v>1586</v>
      </c>
      <c r="AB115" s="663" t="s">
        <v>825</v>
      </c>
      <c r="AC115" s="663" t="s">
        <v>1586</v>
      </c>
      <c r="AD115" s="663" t="s">
        <v>1587</v>
      </c>
      <c r="AE115" s="663" t="s">
        <v>1586</v>
      </c>
      <c r="AF115" s="663" t="s">
        <v>825</v>
      </c>
      <c r="AG115" s="663" t="s">
        <v>825</v>
      </c>
      <c r="AH115" s="663" t="s">
        <v>1586</v>
      </c>
      <c r="AI115" s="688">
        <v>78.787878787878782</v>
      </c>
      <c r="AJ115" s="689" t="s">
        <v>1588</v>
      </c>
      <c r="AK115" s="690"/>
    </row>
    <row r="116" spans="1:37" s="653" customFormat="1">
      <c r="A116" s="655">
        <v>2024</v>
      </c>
      <c r="B116" s="656" t="str">
        <f>INDEX('①基本情報 '!$C$2:$C$255,MATCH('②建物情報 '!E116,'①基本情報 '!$E$2:$E$255,0),1)</f>
        <v>092</v>
      </c>
      <c r="C116" s="657" t="str">
        <f>INDEX('①基本情報 '!$B$2:$B$255,MATCH('②建物情報 '!E116,'①基本情報 '!$E$2:$E$255,0),1)</f>
        <v>0222</v>
      </c>
      <c r="D116" s="658" t="s">
        <v>2418</v>
      </c>
      <c r="E116" s="612" t="s">
        <v>2686</v>
      </c>
      <c r="F116" s="611" t="str">
        <f>INDEX('①基本情報 '!$G$2:$G$255,MATCH('②建物情報 '!E116,'①基本情報 '!$E$2:$E$255,0),1)</f>
        <v>市民自治部まちづくり室まちづくり推進課</v>
      </c>
      <c r="G116" s="678" t="s">
        <v>1589</v>
      </c>
      <c r="H116" s="612" t="s">
        <v>1623</v>
      </c>
      <c r="I116" s="703">
        <v>1975</v>
      </c>
      <c r="J116" s="703">
        <v>3</v>
      </c>
      <c r="K116" s="663">
        <f t="shared" si="1"/>
        <v>49</v>
      </c>
      <c r="L116" s="694"/>
      <c r="M116" s="704">
        <v>60.75</v>
      </c>
      <c r="N116" s="704">
        <v>60.75</v>
      </c>
      <c r="O116" s="681" t="s">
        <v>1812</v>
      </c>
      <c r="P116" s="259" t="s">
        <v>1581</v>
      </c>
      <c r="Q116" s="259">
        <v>2</v>
      </c>
      <c r="R116" s="260">
        <v>0</v>
      </c>
      <c r="S116" s="682" t="s">
        <v>1582</v>
      </c>
      <c r="T116" s="683"/>
      <c r="U116" s="683" t="s">
        <v>1584</v>
      </c>
      <c r="V116" s="684"/>
      <c r="W116" s="685"/>
      <c r="X116" s="686">
        <v>47</v>
      </c>
      <c r="Y116" s="687" t="s">
        <v>1585</v>
      </c>
      <c r="Z116" s="663" t="s">
        <v>1585</v>
      </c>
      <c r="AA116" s="663" t="s">
        <v>1586</v>
      </c>
      <c r="AB116" s="663" t="s">
        <v>825</v>
      </c>
      <c r="AC116" s="663" t="s">
        <v>1586</v>
      </c>
      <c r="AD116" s="663" t="s">
        <v>1587</v>
      </c>
      <c r="AE116" s="663" t="s">
        <v>1586</v>
      </c>
      <c r="AF116" s="663" t="s">
        <v>825</v>
      </c>
      <c r="AG116" s="663" t="s">
        <v>825</v>
      </c>
      <c r="AH116" s="663" t="s">
        <v>1586</v>
      </c>
      <c r="AI116" s="688">
        <v>78.787878787878782</v>
      </c>
      <c r="AJ116" s="689" t="s">
        <v>1588</v>
      </c>
      <c r="AK116" s="690"/>
    </row>
    <row r="117" spans="1:37" s="653" customFormat="1">
      <c r="A117" s="655">
        <v>2024</v>
      </c>
      <c r="B117" s="656" t="str">
        <f>INDEX('①基本情報 '!$C$2:$C$255,MATCH('②建物情報 '!E117,'①基本情報 '!$E$2:$E$255,0),1)</f>
        <v>093</v>
      </c>
      <c r="C117" s="657" t="str">
        <f>INDEX('①基本情報 '!$B$2:$B$255,MATCH('②建物情報 '!E117,'①基本情報 '!$E$2:$E$255,0),1)</f>
        <v>0256</v>
      </c>
      <c r="D117" s="658" t="s">
        <v>2418</v>
      </c>
      <c r="E117" s="612" t="s">
        <v>669</v>
      </c>
      <c r="F117" s="611" t="str">
        <f>INDEX('①基本情報 '!$G$2:$G$255,MATCH('②建物情報 '!E117,'①基本情報 '!$E$2:$E$255,0),1)</f>
        <v>市民自治部まちづくり室まちづくり推進課</v>
      </c>
      <c r="G117" s="678" t="s">
        <v>1580</v>
      </c>
      <c r="H117" s="612" t="s">
        <v>1622</v>
      </c>
      <c r="I117" s="703">
        <v>1984</v>
      </c>
      <c r="J117" s="703">
        <v>11</v>
      </c>
      <c r="K117" s="663">
        <f t="shared" si="1"/>
        <v>40</v>
      </c>
      <c r="L117" s="694">
        <v>54.11</v>
      </c>
      <c r="M117" s="680">
        <v>107.22</v>
      </c>
      <c r="N117" s="680">
        <v>107.22</v>
      </c>
      <c r="O117" s="681" t="s">
        <v>1812</v>
      </c>
      <c r="P117" s="259" t="s">
        <v>1581</v>
      </c>
      <c r="Q117" s="259">
        <v>2</v>
      </c>
      <c r="R117" s="260">
        <v>0</v>
      </c>
      <c r="S117" s="682" t="s">
        <v>1593</v>
      </c>
      <c r="T117" s="683" t="s">
        <v>825</v>
      </c>
      <c r="U117" s="683" t="s">
        <v>63</v>
      </c>
      <c r="V117" s="684"/>
      <c r="W117" s="685"/>
      <c r="X117" s="686">
        <v>47</v>
      </c>
      <c r="Y117" s="687" t="s">
        <v>1585</v>
      </c>
      <c r="Z117" s="663" t="s">
        <v>1596</v>
      </c>
      <c r="AA117" s="663" t="s">
        <v>1585</v>
      </c>
      <c r="AB117" s="663" t="s">
        <v>825</v>
      </c>
      <c r="AC117" s="663" t="s">
        <v>1586</v>
      </c>
      <c r="AD117" s="663" t="s">
        <v>1587</v>
      </c>
      <c r="AE117" s="663" t="s">
        <v>1586</v>
      </c>
      <c r="AF117" s="663" t="s">
        <v>825</v>
      </c>
      <c r="AG117" s="663" t="s">
        <v>825</v>
      </c>
      <c r="AH117" s="663" t="s">
        <v>1585</v>
      </c>
      <c r="AI117" s="688">
        <v>67.272727272727266</v>
      </c>
      <c r="AJ117" s="689" t="s">
        <v>1588</v>
      </c>
      <c r="AK117" s="690"/>
    </row>
    <row r="118" spans="1:37" s="653" customFormat="1">
      <c r="A118" s="655">
        <v>2024</v>
      </c>
      <c r="B118" s="656" t="str">
        <f>INDEX('①基本情報 '!$C$2:$C$255,MATCH('②建物情報 '!E118,'①基本情報 '!$E$2:$E$255,0),1)</f>
        <v>094</v>
      </c>
      <c r="C118" s="657" t="str">
        <f>INDEX('①基本情報 '!$B$2:$B$255,MATCH('②建物情報 '!E118,'①基本情報 '!$E$2:$E$255,0),1)</f>
        <v>0259</v>
      </c>
      <c r="D118" s="658" t="s">
        <v>2418</v>
      </c>
      <c r="E118" s="612" t="s">
        <v>674</v>
      </c>
      <c r="F118" s="611" t="str">
        <f>INDEX('①基本情報 '!$G$2:$G$255,MATCH('②建物情報 '!E118,'①基本情報 '!$E$2:$E$255,0),1)</f>
        <v>市民自治部まちづくり室まちづくり推進課</v>
      </c>
      <c r="G118" s="678" t="s">
        <v>1580</v>
      </c>
      <c r="H118" s="612" t="s">
        <v>1622</v>
      </c>
      <c r="I118" s="703">
        <v>1987</v>
      </c>
      <c r="J118" s="703">
        <v>3</v>
      </c>
      <c r="K118" s="663">
        <f t="shared" si="1"/>
        <v>37</v>
      </c>
      <c r="L118" s="694">
        <v>110.25</v>
      </c>
      <c r="M118" s="680">
        <v>103.75</v>
      </c>
      <c r="N118" s="680">
        <v>103.75</v>
      </c>
      <c r="O118" s="681" t="s">
        <v>1812</v>
      </c>
      <c r="P118" s="259" t="s">
        <v>1581</v>
      </c>
      <c r="Q118" s="259">
        <v>1</v>
      </c>
      <c r="R118" s="260">
        <v>0</v>
      </c>
      <c r="S118" s="682" t="s">
        <v>1593</v>
      </c>
      <c r="T118" s="683" t="s">
        <v>825</v>
      </c>
      <c r="U118" s="683" t="s">
        <v>63</v>
      </c>
      <c r="V118" s="684"/>
      <c r="W118" s="685"/>
      <c r="X118" s="686">
        <v>47</v>
      </c>
      <c r="Y118" s="687" t="s">
        <v>1596</v>
      </c>
      <c r="Z118" s="663" t="s">
        <v>1586</v>
      </c>
      <c r="AA118" s="663" t="s">
        <v>1586</v>
      </c>
      <c r="AB118" s="663" t="s">
        <v>825</v>
      </c>
      <c r="AC118" s="663" t="s">
        <v>1586</v>
      </c>
      <c r="AD118" s="663" t="s">
        <v>1587</v>
      </c>
      <c r="AE118" s="663" t="s">
        <v>1585</v>
      </c>
      <c r="AF118" s="663" t="s">
        <v>825</v>
      </c>
      <c r="AG118" s="663" t="s">
        <v>825</v>
      </c>
      <c r="AH118" s="663" t="s">
        <v>1585</v>
      </c>
      <c r="AI118" s="688">
        <v>66.666666666666671</v>
      </c>
      <c r="AJ118" s="689" t="s">
        <v>1588</v>
      </c>
      <c r="AK118" s="690"/>
    </row>
    <row r="119" spans="1:37" s="653" customFormat="1">
      <c r="A119" s="655">
        <v>2024</v>
      </c>
      <c r="B119" s="656" t="str">
        <f>INDEX('①基本情報 '!$C$2:$C$255,MATCH('②建物情報 '!E119,'①基本情報 '!$E$2:$E$255,0),1)</f>
        <v>095</v>
      </c>
      <c r="C119" s="657" t="str">
        <f>INDEX('①基本情報 '!$B$2:$B$255,MATCH('②建物情報 '!E119,'①基本情報 '!$E$2:$E$255,0),1)</f>
        <v>0265</v>
      </c>
      <c r="D119" s="658" t="s">
        <v>2418</v>
      </c>
      <c r="E119" s="612" t="s">
        <v>678</v>
      </c>
      <c r="F119" s="611" t="str">
        <f>INDEX('①基本情報 '!$G$2:$G$255,MATCH('②建物情報 '!E119,'①基本情報 '!$E$2:$E$255,0),1)</f>
        <v>市民自治部まちづくり室まちづくり推進課</v>
      </c>
      <c r="G119" s="678" t="s">
        <v>1580</v>
      </c>
      <c r="H119" s="612" t="s">
        <v>1622</v>
      </c>
      <c r="I119" s="703">
        <v>1989</v>
      </c>
      <c r="J119" s="703">
        <v>3</v>
      </c>
      <c r="K119" s="663">
        <f t="shared" si="1"/>
        <v>35</v>
      </c>
      <c r="L119" s="694">
        <v>81.61</v>
      </c>
      <c r="M119" s="680">
        <v>128.34</v>
      </c>
      <c r="N119" s="680">
        <v>128.34</v>
      </c>
      <c r="O119" s="681" t="s">
        <v>1812</v>
      </c>
      <c r="P119" s="259" t="s">
        <v>1581</v>
      </c>
      <c r="Q119" s="259">
        <v>2</v>
      </c>
      <c r="R119" s="260">
        <v>0</v>
      </c>
      <c r="S119" s="682" t="s">
        <v>1593</v>
      </c>
      <c r="T119" s="683" t="s">
        <v>825</v>
      </c>
      <c r="U119" s="683" t="s">
        <v>63</v>
      </c>
      <c r="V119" s="684"/>
      <c r="W119" s="685"/>
      <c r="X119" s="686">
        <v>47</v>
      </c>
      <c r="Y119" s="687" t="s">
        <v>1596</v>
      </c>
      <c r="Z119" s="663" t="s">
        <v>1586</v>
      </c>
      <c r="AA119" s="663" t="s">
        <v>1586</v>
      </c>
      <c r="AB119" s="663" t="s">
        <v>825</v>
      </c>
      <c r="AC119" s="663" t="s">
        <v>1585</v>
      </c>
      <c r="AD119" s="663" t="s">
        <v>1586</v>
      </c>
      <c r="AE119" s="663" t="s">
        <v>1586</v>
      </c>
      <c r="AF119" s="663" t="s">
        <v>825</v>
      </c>
      <c r="AG119" s="663" t="s">
        <v>825</v>
      </c>
      <c r="AH119" s="663" t="s">
        <v>1586</v>
      </c>
      <c r="AI119" s="688">
        <v>80</v>
      </c>
      <c r="AJ119" s="689" t="s">
        <v>1588</v>
      </c>
      <c r="AK119" s="690"/>
    </row>
    <row r="120" spans="1:37" s="653" customFormat="1">
      <c r="A120" s="655">
        <v>2024</v>
      </c>
      <c r="B120" s="656" t="str">
        <f>INDEX('①基本情報 '!$C$2:$C$255,MATCH('②建物情報 '!E120,'①基本情報 '!$E$2:$E$255,0),1)</f>
        <v>096</v>
      </c>
      <c r="C120" s="657" t="str">
        <f>INDEX('①基本情報 '!$B$2:$B$255,MATCH('②建物情報 '!E120,'①基本情報 '!$E$2:$E$255,0),1)</f>
        <v>1078</v>
      </c>
      <c r="D120" s="658" t="s">
        <v>2418</v>
      </c>
      <c r="E120" s="612" t="s">
        <v>682</v>
      </c>
      <c r="F120" s="611" t="str">
        <f>INDEX('①基本情報 '!$G$2:$G$255,MATCH('②建物情報 '!E120,'①基本情報 '!$E$2:$E$255,0),1)</f>
        <v>教育委員会生涯学習部公民館</v>
      </c>
      <c r="G120" s="678" t="s">
        <v>1580</v>
      </c>
      <c r="H120" s="612" t="s">
        <v>682</v>
      </c>
      <c r="I120" s="663">
        <v>2001</v>
      </c>
      <c r="J120" s="663">
        <v>3</v>
      </c>
      <c r="K120" s="663">
        <f t="shared" si="1"/>
        <v>23</v>
      </c>
      <c r="L120" s="679">
        <v>2949.2</v>
      </c>
      <c r="M120" s="695">
        <v>6481.16</v>
      </c>
      <c r="N120" s="680">
        <v>708.81</v>
      </c>
      <c r="O120" s="681" t="s">
        <v>1813</v>
      </c>
      <c r="P120" s="259" t="s">
        <v>1581</v>
      </c>
      <c r="Q120" s="259">
        <v>4</v>
      </c>
      <c r="R120" s="260">
        <v>0</v>
      </c>
      <c r="S120" s="682" t="s">
        <v>1927</v>
      </c>
      <c r="T120" s="683" t="s">
        <v>1966</v>
      </c>
      <c r="U120" s="683" t="s">
        <v>2087</v>
      </c>
      <c r="V120" s="684"/>
      <c r="W120" s="685"/>
      <c r="X120" s="686">
        <v>50</v>
      </c>
      <c r="Y120" s="687" t="s">
        <v>1585</v>
      </c>
      <c r="Z120" s="663" t="s">
        <v>1586</v>
      </c>
      <c r="AA120" s="663" t="s">
        <v>1585</v>
      </c>
      <c r="AB120" s="663" t="s">
        <v>825</v>
      </c>
      <c r="AC120" s="663" t="s">
        <v>1586</v>
      </c>
      <c r="AD120" s="663" t="s">
        <v>1586</v>
      </c>
      <c r="AE120" s="663" t="s">
        <v>1596</v>
      </c>
      <c r="AF120" s="663" t="s">
        <v>825</v>
      </c>
      <c r="AG120" s="663" t="s">
        <v>825</v>
      </c>
      <c r="AH120" s="663" t="s">
        <v>1586</v>
      </c>
      <c r="AI120" s="688">
        <v>81.739130434782609</v>
      </c>
      <c r="AJ120" s="689" t="s">
        <v>1588</v>
      </c>
      <c r="AK120" s="690"/>
    </row>
    <row r="121" spans="1:37" s="653" customFormat="1">
      <c r="A121" s="655">
        <v>2024</v>
      </c>
      <c r="B121" s="656" t="str">
        <f>INDEX('①基本情報 '!$C$2:$C$255,MATCH('②建物情報 '!E121,'①基本情報 '!$E$2:$E$255,0),1)</f>
        <v>097</v>
      </c>
      <c r="C121" s="657" t="str">
        <f>INDEX('①基本情報 '!$B$2:$B$255,MATCH('②建物情報 '!E121,'①基本情報 '!$E$2:$E$255,0),1)</f>
        <v>1086</v>
      </c>
      <c r="D121" s="658" t="s">
        <v>2418</v>
      </c>
      <c r="E121" s="612" t="s">
        <v>691</v>
      </c>
      <c r="F121" s="611" t="str">
        <f>INDEX('①基本情報 '!$G$2:$G$255,MATCH('②建物情報 '!E121,'①基本情報 '!$E$2:$E$255,0),1)</f>
        <v>教育委員会生涯学習部社会教育課</v>
      </c>
      <c r="G121" s="678" t="s">
        <v>1580</v>
      </c>
      <c r="H121" s="612" t="s">
        <v>1624</v>
      </c>
      <c r="I121" s="663">
        <v>1992</v>
      </c>
      <c r="J121" s="663">
        <v>3</v>
      </c>
      <c r="K121" s="663">
        <f t="shared" si="1"/>
        <v>32</v>
      </c>
      <c r="L121" s="679">
        <v>1512</v>
      </c>
      <c r="M121" s="680">
        <v>5067.05</v>
      </c>
      <c r="N121" s="695">
        <v>4172.42</v>
      </c>
      <c r="O121" s="681" t="s">
        <v>1594</v>
      </c>
      <c r="P121" s="259" t="s">
        <v>1581</v>
      </c>
      <c r="Q121" s="259">
        <v>4</v>
      </c>
      <c r="R121" s="260">
        <v>1</v>
      </c>
      <c r="S121" s="682" t="s">
        <v>1593</v>
      </c>
      <c r="T121" s="683" t="s">
        <v>825</v>
      </c>
      <c r="U121" s="683" t="s">
        <v>63</v>
      </c>
      <c r="V121" s="684"/>
      <c r="W121" s="685">
        <v>2020</v>
      </c>
      <c r="X121" s="686">
        <v>50</v>
      </c>
      <c r="Y121" s="687" t="s">
        <v>1596</v>
      </c>
      <c r="Z121" s="663" t="s">
        <v>1587</v>
      </c>
      <c r="AA121" s="663" t="s">
        <v>1587</v>
      </c>
      <c r="AB121" s="663" t="s">
        <v>1587</v>
      </c>
      <c r="AC121" s="663" t="s">
        <v>1587</v>
      </c>
      <c r="AD121" s="663" t="s">
        <v>1587</v>
      </c>
      <c r="AE121" s="663" t="s">
        <v>1586</v>
      </c>
      <c r="AF121" s="663" t="s">
        <v>1587</v>
      </c>
      <c r="AG121" s="663" t="s">
        <v>1587</v>
      </c>
      <c r="AH121" s="663" t="s">
        <v>1587</v>
      </c>
      <c r="AI121" s="688">
        <v>28.92307692307692</v>
      </c>
      <c r="AJ121" s="689" t="s">
        <v>1588</v>
      </c>
      <c r="AK121" s="690"/>
    </row>
    <row r="122" spans="1:37" s="653" customFormat="1">
      <c r="A122" s="655">
        <v>2024</v>
      </c>
      <c r="B122" s="656" t="str">
        <f>INDEX('①基本情報 '!$C$2:$C$255,MATCH('②建物情報 '!E122,'①基本情報 '!$E$2:$E$255,0),1)</f>
        <v>098</v>
      </c>
      <c r="C122" s="657" t="str">
        <f>INDEX('①基本情報 '!$B$2:$B$255,MATCH('②建物情報 '!E122,'①基本情報 '!$E$2:$E$255,0),1)</f>
        <v>9405</v>
      </c>
      <c r="D122" s="658" t="s">
        <v>2418</v>
      </c>
      <c r="E122" s="612" t="s">
        <v>701</v>
      </c>
      <c r="F122" s="611" t="str">
        <f>INDEX('①基本情報 '!$G$2:$G$255,MATCH('②建物情報 '!E122,'①基本情報 '!$E$2:$E$255,0),1)</f>
        <v>教育委員会生涯学習部社会教育課</v>
      </c>
      <c r="G122" s="678" t="s">
        <v>1580</v>
      </c>
      <c r="H122" s="612" t="s">
        <v>1595</v>
      </c>
      <c r="I122" s="663">
        <v>2004</v>
      </c>
      <c r="J122" s="663">
        <v>2</v>
      </c>
      <c r="K122" s="663">
        <f t="shared" si="1"/>
        <v>20</v>
      </c>
      <c r="L122" s="679">
        <v>1421.37</v>
      </c>
      <c r="M122" s="680">
        <v>3622.53</v>
      </c>
      <c r="N122" s="695">
        <v>2984.02</v>
      </c>
      <c r="O122" s="681" t="s">
        <v>1594</v>
      </c>
      <c r="P122" s="259" t="s">
        <v>1581</v>
      </c>
      <c r="Q122" s="259">
        <v>3</v>
      </c>
      <c r="R122" s="260">
        <v>1</v>
      </c>
      <c r="S122" s="682" t="s">
        <v>1593</v>
      </c>
      <c r="T122" s="683" t="s">
        <v>825</v>
      </c>
      <c r="U122" s="683" t="s">
        <v>63</v>
      </c>
      <c r="V122" s="684"/>
      <c r="W122" s="685"/>
      <c r="X122" s="686">
        <v>50</v>
      </c>
      <c r="Y122" s="687" t="s">
        <v>1596</v>
      </c>
      <c r="Z122" s="663" t="s">
        <v>1585</v>
      </c>
      <c r="AA122" s="663" t="s">
        <v>1596</v>
      </c>
      <c r="AB122" s="663" t="s">
        <v>825</v>
      </c>
      <c r="AC122" s="663" t="s">
        <v>1587</v>
      </c>
      <c r="AD122" s="663" t="s">
        <v>1587</v>
      </c>
      <c r="AE122" s="663" t="s">
        <v>1585</v>
      </c>
      <c r="AF122" s="663" t="s">
        <v>825</v>
      </c>
      <c r="AG122" s="663" t="s">
        <v>825</v>
      </c>
      <c r="AH122" s="663" t="s">
        <v>1596</v>
      </c>
      <c r="AI122" s="688">
        <v>34.166666666666664</v>
      </c>
      <c r="AJ122" s="689" t="s">
        <v>1588</v>
      </c>
      <c r="AK122" s="690"/>
    </row>
    <row r="123" spans="1:37" s="653" customFormat="1">
      <c r="A123" s="655">
        <v>2024</v>
      </c>
      <c r="B123" s="656" t="str">
        <f>INDEX('①基本情報 '!$C$2:$C$255,MATCH('②建物情報 '!E123,'①基本情報 '!$E$2:$E$255,0),1)</f>
        <v>099</v>
      </c>
      <c r="C123" s="657" t="str">
        <f>INDEX('①基本情報 '!$B$2:$B$255,MATCH('②建物情報 '!E123,'①基本情報 '!$E$2:$E$255,0),1)</f>
        <v>0502</v>
      </c>
      <c r="D123" s="658" t="s">
        <v>2418</v>
      </c>
      <c r="E123" s="612" t="s">
        <v>707</v>
      </c>
      <c r="F123" s="611" t="str">
        <f>INDEX('①基本情報 '!$G$2:$G$255,MATCH('②建物情報 '!E123,'①基本情報 '!$E$2:$E$255,0),1)</f>
        <v>都市活力部産業振興室商工労働課</v>
      </c>
      <c r="G123" s="678" t="s">
        <v>1580</v>
      </c>
      <c r="H123" s="612" t="s">
        <v>1625</v>
      </c>
      <c r="I123" s="663">
        <v>2001</v>
      </c>
      <c r="J123" s="663">
        <v>3</v>
      </c>
      <c r="K123" s="663">
        <f t="shared" si="1"/>
        <v>23</v>
      </c>
      <c r="L123" s="679">
        <v>2949.2</v>
      </c>
      <c r="M123" s="695">
        <v>6481.16</v>
      </c>
      <c r="N123" s="695">
        <v>5772.35</v>
      </c>
      <c r="O123" s="681" t="s">
        <v>2778</v>
      </c>
      <c r="P123" s="259" t="s">
        <v>1581</v>
      </c>
      <c r="Q123" s="259">
        <v>4</v>
      </c>
      <c r="R123" s="260">
        <v>0</v>
      </c>
      <c r="S123" s="682" t="s">
        <v>1593</v>
      </c>
      <c r="T123" s="683" t="s">
        <v>825</v>
      </c>
      <c r="U123" s="683" t="s">
        <v>63</v>
      </c>
      <c r="V123" s="684"/>
      <c r="W123" s="685"/>
      <c r="X123" s="686">
        <v>50</v>
      </c>
      <c r="Y123" s="687" t="s">
        <v>1596</v>
      </c>
      <c r="Z123" s="663" t="s">
        <v>1587</v>
      </c>
      <c r="AA123" s="663" t="s">
        <v>1587</v>
      </c>
      <c r="AB123" s="663" t="s">
        <v>1587</v>
      </c>
      <c r="AC123" s="663" t="s">
        <v>1587</v>
      </c>
      <c r="AD123" s="663" t="s">
        <v>1587</v>
      </c>
      <c r="AE123" s="663" t="s">
        <v>1587</v>
      </c>
      <c r="AF123" s="663" t="s">
        <v>1587</v>
      </c>
      <c r="AG123" s="663" t="s">
        <v>1587</v>
      </c>
      <c r="AH123" s="663" t="s">
        <v>1587</v>
      </c>
      <c r="AI123" s="688">
        <v>19.38461538461539</v>
      </c>
      <c r="AJ123" s="689" t="s">
        <v>1588</v>
      </c>
      <c r="AK123" s="690"/>
    </row>
    <row r="124" spans="1:37" s="653" customFormat="1">
      <c r="A124" s="655">
        <v>2024</v>
      </c>
      <c r="B124" s="656" t="str">
        <f>INDEX('①基本情報 '!$C$2:$C$255,MATCH('②建物情報 '!E124,'①基本情報 '!$E$2:$E$255,0),1)</f>
        <v>100</v>
      </c>
      <c r="C124" s="657" t="str">
        <f>INDEX('①基本情報 '!$B$2:$B$255,MATCH('②建物情報 '!E124,'①基本情報 '!$E$2:$E$255,0),1)</f>
        <v>0702</v>
      </c>
      <c r="D124" s="658" t="s">
        <v>2418</v>
      </c>
      <c r="E124" s="612" t="s">
        <v>2370</v>
      </c>
      <c r="F124" s="611" t="str">
        <f>INDEX('①基本情報 '!$G$2:$G$255,MATCH('②建物情報 '!E124,'①基本情報 '!$E$2:$E$255,0),1)</f>
        <v>都市活力部産業振興室商工労働課</v>
      </c>
      <c r="G124" s="678" t="s">
        <v>1580</v>
      </c>
      <c r="H124" s="612" t="s">
        <v>1600</v>
      </c>
      <c r="I124" s="663">
        <v>2001</v>
      </c>
      <c r="J124" s="663"/>
      <c r="K124" s="663">
        <f t="shared" si="1"/>
        <v>23</v>
      </c>
      <c r="L124" s="679">
        <v>719</v>
      </c>
      <c r="M124" s="695">
        <v>4090.9140000000002</v>
      </c>
      <c r="N124" s="695">
        <v>1435.4860000000001</v>
      </c>
      <c r="O124" s="681" t="s">
        <v>1594</v>
      </c>
      <c r="P124" s="259" t="s">
        <v>1581</v>
      </c>
      <c r="Q124" s="259">
        <v>7</v>
      </c>
      <c r="R124" s="260">
        <v>1</v>
      </c>
      <c r="S124" s="682" t="s">
        <v>1593</v>
      </c>
      <c r="T124" s="683" t="s">
        <v>825</v>
      </c>
      <c r="U124" s="683" t="s">
        <v>63</v>
      </c>
      <c r="V124" s="684"/>
      <c r="W124" s="685">
        <v>2023</v>
      </c>
      <c r="X124" s="686">
        <v>50</v>
      </c>
      <c r="Y124" s="687" t="s">
        <v>1596</v>
      </c>
      <c r="Z124" s="663" t="s">
        <v>1587</v>
      </c>
      <c r="AA124" s="663" t="s">
        <v>1587</v>
      </c>
      <c r="AB124" s="663" t="s">
        <v>1587</v>
      </c>
      <c r="AC124" s="663" t="s">
        <v>1587</v>
      </c>
      <c r="AD124" s="663" t="s">
        <v>1587</v>
      </c>
      <c r="AE124" s="663" t="s">
        <v>1587</v>
      </c>
      <c r="AF124" s="663" t="s">
        <v>1587</v>
      </c>
      <c r="AG124" s="663" t="s">
        <v>1587</v>
      </c>
      <c r="AH124" s="663" t="s">
        <v>1587</v>
      </c>
      <c r="AI124" s="688">
        <v>18.76923076923077</v>
      </c>
      <c r="AJ124" s="689" t="s">
        <v>1588</v>
      </c>
      <c r="AK124" s="690"/>
    </row>
    <row r="125" spans="1:37" s="653" customFormat="1">
      <c r="A125" s="655">
        <v>2024</v>
      </c>
      <c r="B125" s="656" t="str">
        <f>INDEX('①基本情報 '!$C$2:$C$255,MATCH('②建物情報 '!E125,'①基本情報 '!$E$2:$E$255,0),1)</f>
        <v>101</v>
      </c>
      <c r="C125" s="657" t="str">
        <f>INDEX('①基本情報 '!$B$2:$B$255,MATCH('②建物情報 '!E125,'①基本情報 '!$E$2:$E$255,0),1)</f>
        <v>0280</v>
      </c>
      <c r="D125" s="658" t="s">
        <v>2418</v>
      </c>
      <c r="E125" s="612" t="s">
        <v>1626</v>
      </c>
      <c r="F125" s="611" t="str">
        <f>INDEX('①基本情報 '!$G$2:$G$255,MATCH('②建物情報 '!E125,'①基本情報 '!$E$2:$E$255,0),1)</f>
        <v>都市活力部まち資源室文化振興課</v>
      </c>
      <c r="G125" s="678" t="s">
        <v>1580</v>
      </c>
      <c r="H125" s="612" t="s">
        <v>1626</v>
      </c>
      <c r="I125" s="663">
        <v>1998</v>
      </c>
      <c r="J125" s="663">
        <v>8</v>
      </c>
      <c r="K125" s="663">
        <f t="shared" si="1"/>
        <v>26</v>
      </c>
      <c r="L125" s="679">
        <v>3908.15</v>
      </c>
      <c r="M125" s="695">
        <v>12634.2</v>
      </c>
      <c r="N125" s="695">
        <v>12634.2</v>
      </c>
      <c r="O125" s="681" t="s">
        <v>1812</v>
      </c>
      <c r="P125" s="259" t="s">
        <v>1627</v>
      </c>
      <c r="Q125" s="259">
        <v>6</v>
      </c>
      <c r="R125" s="260">
        <v>1</v>
      </c>
      <c r="S125" s="682" t="s">
        <v>1593</v>
      </c>
      <c r="T125" s="683" t="s">
        <v>825</v>
      </c>
      <c r="U125" s="683" t="s">
        <v>63</v>
      </c>
      <c r="V125" s="684"/>
      <c r="W125" s="685"/>
      <c r="X125" s="686">
        <v>50</v>
      </c>
      <c r="Y125" s="687" t="s">
        <v>1596</v>
      </c>
      <c r="Z125" s="663" t="s">
        <v>1585</v>
      </c>
      <c r="AA125" s="663" t="s">
        <v>1596</v>
      </c>
      <c r="AB125" s="663" t="s">
        <v>1587</v>
      </c>
      <c r="AC125" s="663" t="s">
        <v>1586</v>
      </c>
      <c r="AD125" s="663" t="s">
        <v>1587</v>
      </c>
      <c r="AE125" s="663" t="s">
        <v>1587</v>
      </c>
      <c r="AF125" s="663" t="s">
        <v>825</v>
      </c>
      <c r="AG125" s="663" t="s">
        <v>825</v>
      </c>
      <c r="AH125" s="663" t="s">
        <v>1596</v>
      </c>
      <c r="AI125" s="688">
        <v>35.833333333333329</v>
      </c>
      <c r="AJ125" s="689" t="s">
        <v>1588</v>
      </c>
      <c r="AK125" s="690"/>
    </row>
    <row r="126" spans="1:37" s="653" customFormat="1">
      <c r="A126" s="655">
        <v>2024</v>
      </c>
      <c r="B126" s="656" t="str">
        <f>INDEX('①基本情報 '!$C$2:$C$255,MATCH('②建物情報 '!E126,'①基本情報 '!$E$2:$E$255,0),1)</f>
        <v>102</v>
      </c>
      <c r="C126" s="657" t="str">
        <f>INDEX('①基本情報 '!$B$2:$B$255,MATCH('②建物情報 '!E126,'①基本情報 '!$E$2:$E$255,0),1)</f>
        <v>0286</v>
      </c>
      <c r="D126" s="658" t="s">
        <v>2418</v>
      </c>
      <c r="E126" s="612" t="s">
        <v>1995</v>
      </c>
      <c r="F126" s="611" t="str">
        <f>INDEX('①基本情報 '!$G$2:$G$255,MATCH('②建物情報 '!E126,'①基本情報 '!$E$2:$E$255,0),1)</f>
        <v>都市活力部まち資源室文化振興課</v>
      </c>
      <c r="G126" s="678" t="s">
        <v>1580</v>
      </c>
      <c r="H126" s="612" t="s">
        <v>1628</v>
      </c>
      <c r="I126" s="663">
        <v>1991</v>
      </c>
      <c r="J126" s="663">
        <v>11</v>
      </c>
      <c r="K126" s="663">
        <f t="shared" si="1"/>
        <v>33</v>
      </c>
      <c r="L126" s="679">
        <v>1422.37</v>
      </c>
      <c r="M126" s="695">
        <v>4179.09</v>
      </c>
      <c r="N126" s="695">
        <v>4179.09</v>
      </c>
      <c r="O126" s="681" t="s">
        <v>1812</v>
      </c>
      <c r="P126" s="259" t="s">
        <v>1581</v>
      </c>
      <c r="Q126" s="259">
        <v>5</v>
      </c>
      <c r="R126" s="260">
        <v>0</v>
      </c>
      <c r="S126" s="682" t="s">
        <v>1593</v>
      </c>
      <c r="T126" s="683" t="s">
        <v>825</v>
      </c>
      <c r="U126" s="683" t="s">
        <v>63</v>
      </c>
      <c r="V126" s="684"/>
      <c r="W126" s="685"/>
      <c r="X126" s="686">
        <v>50</v>
      </c>
      <c r="Y126" s="687" t="s">
        <v>1596</v>
      </c>
      <c r="Z126" s="663" t="s">
        <v>1596</v>
      </c>
      <c r="AA126" s="663" t="s">
        <v>1587</v>
      </c>
      <c r="AB126" s="663" t="s">
        <v>825</v>
      </c>
      <c r="AC126" s="663" t="s">
        <v>1586</v>
      </c>
      <c r="AD126" s="663" t="s">
        <v>1587</v>
      </c>
      <c r="AE126" s="663" t="s">
        <v>1586</v>
      </c>
      <c r="AF126" s="663" t="s">
        <v>825</v>
      </c>
      <c r="AG126" s="663" t="s">
        <v>825</v>
      </c>
      <c r="AH126" s="663" t="s">
        <v>1596</v>
      </c>
      <c r="AI126" s="688">
        <v>42.500000000000007</v>
      </c>
      <c r="AJ126" s="689" t="s">
        <v>1588</v>
      </c>
      <c r="AK126" s="690"/>
    </row>
    <row r="127" spans="1:37" s="653" customFormat="1">
      <c r="A127" s="655">
        <v>2024</v>
      </c>
      <c r="B127" s="656" t="str">
        <f>INDEX('①基本情報 '!$C$2:$C$255,MATCH('②建物情報 '!E127,'①基本情報 '!$E$2:$E$255,0),1)</f>
        <v>103</v>
      </c>
      <c r="C127" s="657" t="str">
        <f>INDEX('①基本情報 '!$B$2:$B$255,MATCH('②建物情報 '!E127,'①基本情報 '!$E$2:$E$255,0),1)</f>
        <v>0287</v>
      </c>
      <c r="D127" s="658" t="s">
        <v>2418</v>
      </c>
      <c r="E127" s="612" t="s">
        <v>1997</v>
      </c>
      <c r="F127" s="611" t="str">
        <f>INDEX('①基本情報 '!$G$2:$G$255,MATCH('②建物情報 '!E127,'①基本情報 '!$E$2:$E$255,0),1)</f>
        <v>都市活力部まち資源室文化振興課</v>
      </c>
      <c r="G127" s="678" t="s">
        <v>1580</v>
      </c>
      <c r="H127" s="612" t="s">
        <v>1629</v>
      </c>
      <c r="I127" s="663">
        <v>1988</v>
      </c>
      <c r="J127" s="663">
        <v>11</v>
      </c>
      <c r="K127" s="663">
        <f t="shared" si="1"/>
        <v>36</v>
      </c>
      <c r="L127" s="679">
        <v>1244.45</v>
      </c>
      <c r="M127" s="695">
        <v>2444.64</v>
      </c>
      <c r="N127" s="695">
        <v>2444.64</v>
      </c>
      <c r="O127" s="681" t="s">
        <v>1812</v>
      </c>
      <c r="P127" s="259" t="s">
        <v>1603</v>
      </c>
      <c r="Q127" s="259">
        <v>4</v>
      </c>
      <c r="R127" s="260">
        <v>0</v>
      </c>
      <c r="S127" s="682" t="s">
        <v>1593</v>
      </c>
      <c r="T127" s="683" t="s">
        <v>825</v>
      </c>
      <c r="U127" s="683" t="s">
        <v>63</v>
      </c>
      <c r="V127" s="684"/>
      <c r="W127" s="685"/>
      <c r="X127" s="686">
        <v>50</v>
      </c>
      <c r="Y127" s="687" t="s">
        <v>1596</v>
      </c>
      <c r="Z127" s="663" t="s">
        <v>1585</v>
      </c>
      <c r="AA127" s="663" t="s">
        <v>825</v>
      </c>
      <c r="AB127" s="663" t="s">
        <v>825</v>
      </c>
      <c r="AC127" s="663" t="s">
        <v>1586</v>
      </c>
      <c r="AD127" s="663" t="s">
        <v>1587</v>
      </c>
      <c r="AE127" s="663" t="s">
        <v>1586</v>
      </c>
      <c r="AF127" s="663" t="s">
        <v>825</v>
      </c>
      <c r="AG127" s="663" t="s">
        <v>825</v>
      </c>
      <c r="AH127" s="663" t="s">
        <v>1585</v>
      </c>
      <c r="AI127" s="688">
        <v>61.818181818181813</v>
      </c>
      <c r="AJ127" s="689" t="s">
        <v>1588</v>
      </c>
      <c r="AK127" s="690"/>
    </row>
    <row r="128" spans="1:37" s="653" customFormat="1">
      <c r="A128" s="655">
        <v>2024</v>
      </c>
      <c r="B128" s="656" t="str">
        <f>INDEX('①基本情報 '!$C$2:$C$255,MATCH('②建物情報 '!E128,'①基本情報 '!$E$2:$E$255,0),1)</f>
        <v>104</v>
      </c>
      <c r="C128" s="657" t="str">
        <f>INDEX('①基本情報 '!$B$2:$B$255,MATCH('②建物情報 '!E128,'①基本情報 '!$E$2:$E$255,0),1)</f>
        <v>0947</v>
      </c>
      <c r="D128" s="658" t="s">
        <v>2418</v>
      </c>
      <c r="E128" s="612" t="s">
        <v>2535</v>
      </c>
      <c r="F128" s="611" t="str">
        <f>INDEX('①基本情報 '!$G$2:$G$255,MATCH('②建物情報 '!E128,'①基本情報 '!$E$2:$E$255,0),1)</f>
        <v>都市活力部まち資源室文化振興課</v>
      </c>
      <c r="G128" s="678" t="s">
        <v>1944</v>
      </c>
      <c r="H128" s="612" t="s">
        <v>2536</v>
      </c>
      <c r="I128" s="663">
        <v>2022</v>
      </c>
      <c r="J128" s="663">
        <v>3</v>
      </c>
      <c r="K128" s="663">
        <f t="shared" si="1"/>
        <v>2</v>
      </c>
      <c r="L128" s="679">
        <f>279.3+21.02</f>
        <v>300.32</v>
      </c>
      <c r="M128" s="695">
        <f>609.5+1819.52+457.56+1837.85+51.11</f>
        <v>4775.54</v>
      </c>
      <c r="N128" s="695">
        <f>588.08+21.42</f>
        <v>609.5</v>
      </c>
      <c r="O128" s="681" t="s">
        <v>1594</v>
      </c>
      <c r="P128" s="259" t="s">
        <v>1581</v>
      </c>
      <c r="Q128" s="259">
        <v>3</v>
      </c>
      <c r="R128" s="260">
        <v>2</v>
      </c>
      <c r="S128" s="682" t="s">
        <v>2537</v>
      </c>
      <c r="T128" s="683" t="s">
        <v>1966</v>
      </c>
      <c r="U128" s="683" t="s">
        <v>63</v>
      </c>
      <c r="V128" s="684"/>
      <c r="W128" s="685"/>
      <c r="X128" s="686">
        <v>50</v>
      </c>
      <c r="Y128" s="687" t="s">
        <v>1587</v>
      </c>
      <c r="Z128" s="663" t="s">
        <v>1587</v>
      </c>
      <c r="AA128" s="663" t="s">
        <v>1587</v>
      </c>
      <c r="AB128" s="663" t="s">
        <v>1587</v>
      </c>
      <c r="AC128" s="663" t="s">
        <v>1587</v>
      </c>
      <c r="AD128" s="663" t="s">
        <v>1587</v>
      </c>
      <c r="AE128" s="663" t="s">
        <v>1587</v>
      </c>
      <c r="AF128" s="663" t="s">
        <v>825</v>
      </c>
      <c r="AG128" s="663" t="s">
        <v>825</v>
      </c>
      <c r="AH128" s="663" t="s">
        <v>1587</v>
      </c>
      <c r="AI128" s="688">
        <v>10.243902439024389</v>
      </c>
      <c r="AJ128" s="689" t="s">
        <v>1588</v>
      </c>
      <c r="AK128" s="705" t="s">
        <v>2470</v>
      </c>
    </row>
    <row r="129" spans="1:37" s="653" customFormat="1">
      <c r="A129" s="655">
        <v>2024</v>
      </c>
      <c r="B129" s="656" t="str">
        <f>INDEX('①基本情報 '!$C$2:$C$255,MATCH('②建物情報 '!E129,'①基本情報 '!$E$2:$E$255,0),1)</f>
        <v>104</v>
      </c>
      <c r="C129" s="657" t="str">
        <f>INDEX('①基本情報 '!$B$2:$B$255,MATCH('②建物情報 '!E129,'①基本情報 '!$E$2:$E$255,0),1)</f>
        <v>0947</v>
      </c>
      <c r="D129" s="658" t="s">
        <v>2418</v>
      </c>
      <c r="E129" s="612" t="s">
        <v>2535</v>
      </c>
      <c r="F129" s="611" t="str">
        <f>INDEX('①基本情報 '!$G$2:$G$255,MATCH('②建物情報 '!E129,'①基本情報 '!$E$2:$E$255,0),1)</f>
        <v>都市活力部まち資源室文化振興課</v>
      </c>
      <c r="G129" s="678" t="s">
        <v>2126</v>
      </c>
      <c r="H129" s="612" t="s">
        <v>2538</v>
      </c>
      <c r="I129" s="663">
        <v>1984</v>
      </c>
      <c r="J129" s="663">
        <v>3</v>
      </c>
      <c r="K129" s="663">
        <f t="shared" si="1"/>
        <v>40</v>
      </c>
      <c r="L129" s="679">
        <v>783.14</v>
      </c>
      <c r="M129" s="695">
        <f>609.5+1819.52+457.56+1837.85+51.11</f>
        <v>4775.54</v>
      </c>
      <c r="N129" s="695">
        <f>1194.52+625</f>
        <v>1819.52</v>
      </c>
      <c r="O129" s="681" t="s">
        <v>1594</v>
      </c>
      <c r="P129" s="259" t="s">
        <v>1581</v>
      </c>
      <c r="Q129" s="259">
        <v>3</v>
      </c>
      <c r="R129" s="260">
        <v>0</v>
      </c>
      <c r="S129" s="682" t="s">
        <v>2537</v>
      </c>
      <c r="T129" s="683" t="s">
        <v>1966</v>
      </c>
      <c r="U129" s="683" t="s">
        <v>63</v>
      </c>
      <c r="V129" s="684"/>
      <c r="W129" s="685">
        <v>2021</v>
      </c>
      <c r="X129" s="686">
        <v>50</v>
      </c>
      <c r="Y129" s="687" t="s">
        <v>1585</v>
      </c>
      <c r="Z129" s="663" t="s">
        <v>1586</v>
      </c>
      <c r="AA129" s="663" t="s">
        <v>1586</v>
      </c>
      <c r="AB129" s="663" t="s">
        <v>825</v>
      </c>
      <c r="AC129" s="663" t="s">
        <v>1586</v>
      </c>
      <c r="AD129" s="663" t="s">
        <v>1586</v>
      </c>
      <c r="AE129" s="663" t="s">
        <v>1586</v>
      </c>
      <c r="AF129" s="663" t="s">
        <v>825</v>
      </c>
      <c r="AG129" s="663" t="s">
        <v>825</v>
      </c>
      <c r="AH129" s="663" t="s">
        <v>1586</v>
      </c>
      <c r="AI129" s="688">
        <v>85.714285714285722</v>
      </c>
      <c r="AJ129" s="689" t="s">
        <v>1588</v>
      </c>
      <c r="AK129" s="705" t="s">
        <v>2471</v>
      </c>
    </row>
    <row r="130" spans="1:37" s="653" customFormat="1">
      <c r="A130" s="655">
        <v>2024</v>
      </c>
      <c r="B130" s="656" t="str">
        <f>INDEX('①基本情報 '!$C$2:$C$255,MATCH('②建物情報 '!E130,'①基本情報 '!$E$2:$E$255,0),1)</f>
        <v>104</v>
      </c>
      <c r="C130" s="657" t="str">
        <f>INDEX('①基本情報 '!$B$2:$B$255,MATCH('②建物情報 '!E130,'①基本情報 '!$E$2:$E$255,0),1)</f>
        <v>0947</v>
      </c>
      <c r="D130" s="658" t="s">
        <v>2418</v>
      </c>
      <c r="E130" s="612" t="s">
        <v>2535</v>
      </c>
      <c r="F130" s="611" t="str">
        <f>INDEX('①基本情報 '!$G$2:$G$255,MATCH('②建物情報 '!E130,'①基本情報 '!$E$2:$E$255,0),1)</f>
        <v>都市活力部まち資源室文化振興課</v>
      </c>
      <c r="G130" s="678" t="s">
        <v>2436</v>
      </c>
      <c r="H130" s="612" t="s">
        <v>2539</v>
      </c>
      <c r="I130" s="663">
        <v>2001</v>
      </c>
      <c r="J130" s="663">
        <v>6</v>
      </c>
      <c r="K130" s="663">
        <f t="shared" si="1"/>
        <v>23</v>
      </c>
      <c r="L130" s="679">
        <v>285.85000000000002</v>
      </c>
      <c r="M130" s="695">
        <f>609.5+1819.52+457.56+1837.85+51.11</f>
        <v>4775.54</v>
      </c>
      <c r="N130" s="680">
        <f>186.54+271.02</f>
        <v>457.55999999999995</v>
      </c>
      <c r="O130" s="681" t="s">
        <v>1594</v>
      </c>
      <c r="P130" s="259" t="s">
        <v>1581</v>
      </c>
      <c r="Q130" s="259">
        <v>2</v>
      </c>
      <c r="R130" s="260">
        <v>0</v>
      </c>
      <c r="S130" s="682" t="s">
        <v>2537</v>
      </c>
      <c r="T130" s="683" t="s">
        <v>1966</v>
      </c>
      <c r="U130" s="683" t="s">
        <v>63</v>
      </c>
      <c r="V130" s="684"/>
      <c r="W130" s="685">
        <v>2021</v>
      </c>
      <c r="X130" s="686">
        <v>38</v>
      </c>
      <c r="Y130" s="687" t="s">
        <v>1596</v>
      </c>
      <c r="Z130" s="663" t="s">
        <v>1585</v>
      </c>
      <c r="AA130" s="663" t="s">
        <v>1586</v>
      </c>
      <c r="AB130" s="663" t="s">
        <v>825</v>
      </c>
      <c r="AC130" s="663" t="s">
        <v>1586</v>
      </c>
      <c r="AD130" s="663" t="s">
        <v>1586</v>
      </c>
      <c r="AE130" s="663" t="s">
        <v>1585</v>
      </c>
      <c r="AF130" s="663" t="s">
        <v>825</v>
      </c>
      <c r="AG130" s="663" t="s">
        <v>825</v>
      </c>
      <c r="AH130" s="663" t="s">
        <v>1585</v>
      </c>
      <c r="AI130" s="688">
        <v>68</v>
      </c>
      <c r="AJ130" s="689" t="s">
        <v>1588</v>
      </c>
      <c r="AK130" s="705" t="s">
        <v>2471</v>
      </c>
    </row>
    <row r="131" spans="1:37" s="653" customFormat="1">
      <c r="A131" s="655">
        <v>2024</v>
      </c>
      <c r="B131" s="656" t="str">
        <f>INDEX('①基本情報 '!$C$2:$C$255,MATCH('②建物情報 '!E131,'①基本情報 '!$E$2:$E$255,0),1)</f>
        <v>104</v>
      </c>
      <c r="C131" s="657" t="str">
        <f>INDEX('①基本情報 '!$B$2:$B$255,MATCH('②建物情報 '!E131,'①基本情報 '!$E$2:$E$255,0),1)</f>
        <v>0947</v>
      </c>
      <c r="D131" s="658" t="s">
        <v>2418</v>
      </c>
      <c r="E131" s="612" t="s">
        <v>2535</v>
      </c>
      <c r="F131" s="611" t="str">
        <f>INDEX('①基本情報 '!$G$2:$G$255,MATCH('②建物情報 '!E131,'①基本情報 '!$E$2:$E$255,0),1)</f>
        <v>都市活力部まち資源室文化振興課</v>
      </c>
      <c r="G131" s="678" t="s">
        <v>2522</v>
      </c>
      <c r="H131" s="612" t="s">
        <v>2540</v>
      </c>
      <c r="I131" s="663">
        <v>1989</v>
      </c>
      <c r="J131" s="663">
        <v>8</v>
      </c>
      <c r="K131" s="663">
        <f t="shared" si="1"/>
        <v>35</v>
      </c>
      <c r="L131" s="679" t="s">
        <v>1966</v>
      </c>
      <c r="M131" s="695">
        <f>609.5+1819.52+457.56+1837.85+51.11</f>
        <v>4775.54</v>
      </c>
      <c r="N131" s="695">
        <f>880.3+957.55</f>
        <v>1837.85</v>
      </c>
      <c r="O131" s="681" t="s">
        <v>1594</v>
      </c>
      <c r="P131" s="259" t="s">
        <v>1581</v>
      </c>
      <c r="Q131" s="259">
        <v>0</v>
      </c>
      <c r="R131" s="260">
        <v>2</v>
      </c>
      <c r="S131" s="682" t="s">
        <v>2537</v>
      </c>
      <c r="T131" s="683" t="s">
        <v>1966</v>
      </c>
      <c r="U131" s="683" t="s">
        <v>63</v>
      </c>
      <c r="V131" s="684"/>
      <c r="W131" s="685">
        <v>2021</v>
      </c>
      <c r="X131" s="686">
        <v>50</v>
      </c>
      <c r="Y131" s="687" t="s">
        <v>1596</v>
      </c>
      <c r="Z131" s="663" t="s">
        <v>825</v>
      </c>
      <c r="AA131" s="663" t="s">
        <v>825</v>
      </c>
      <c r="AB131" s="663" t="s">
        <v>1596</v>
      </c>
      <c r="AC131" s="663" t="s">
        <v>1596</v>
      </c>
      <c r="AD131" s="663" t="s">
        <v>1585</v>
      </c>
      <c r="AE131" s="663" t="s">
        <v>1586</v>
      </c>
      <c r="AF131" s="663" t="s">
        <v>825</v>
      </c>
      <c r="AG131" s="663" t="s">
        <v>825</v>
      </c>
      <c r="AH131" s="663" t="s">
        <v>1585</v>
      </c>
      <c r="AI131" s="688">
        <v>62.5</v>
      </c>
      <c r="AJ131" s="689" t="s">
        <v>1588</v>
      </c>
      <c r="AK131" s="705" t="s">
        <v>2471</v>
      </c>
    </row>
    <row r="132" spans="1:37" s="653" customFormat="1">
      <c r="A132" s="655">
        <v>2024</v>
      </c>
      <c r="B132" s="656" t="str">
        <f>INDEX('①基本情報 '!$C$2:$C$255,MATCH('②建物情報 '!E132,'①基本情報 '!$E$2:$E$255,0),1)</f>
        <v>104</v>
      </c>
      <c r="C132" s="657" t="str">
        <f>INDEX('①基本情報 '!$B$2:$B$255,MATCH('②建物情報 '!E132,'①基本情報 '!$E$2:$E$255,0),1)</f>
        <v>0947</v>
      </c>
      <c r="D132" s="658" t="s">
        <v>2418</v>
      </c>
      <c r="E132" s="612" t="s">
        <v>2535</v>
      </c>
      <c r="F132" s="611" t="str">
        <f>INDEX('①基本情報 '!$G$2:$G$255,MATCH('②建物情報 '!E132,'①基本情報 '!$E$2:$E$255,0),1)</f>
        <v>都市活力部まち資源室文化振興課</v>
      </c>
      <c r="G132" s="678" t="s">
        <v>2439</v>
      </c>
      <c r="H132" s="612" t="s">
        <v>2541</v>
      </c>
      <c r="I132" s="663">
        <v>2001</v>
      </c>
      <c r="J132" s="663">
        <v>6</v>
      </c>
      <c r="K132" s="663">
        <f t="shared" si="1"/>
        <v>23</v>
      </c>
      <c r="L132" s="680">
        <f>31.05+8.06+12</f>
        <v>51.11</v>
      </c>
      <c r="M132" s="695">
        <f>609.5+1819.52+457.56+1837.85+51.11</f>
        <v>4775.54</v>
      </c>
      <c r="N132" s="680">
        <f>31.05+8.06+12</f>
        <v>51.11</v>
      </c>
      <c r="O132" s="681" t="s">
        <v>1594</v>
      </c>
      <c r="P132" s="259" t="s">
        <v>1614</v>
      </c>
      <c r="Q132" s="259">
        <v>1</v>
      </c>
      <c r="R132" s="260">
        <v>0</v>
      </c>
      <c r="S132" s="682" t="s">
        <v>2537</v>
      </c>
      <c r="T132" s="683" t="s">
        <v>1966</v>
      </c>
      <c r="U132" s="683" t="s">
        <v>63</v>
      </c>
      <c r="V132" s="684"/>
      <c r="W132" s="685">
        <v>2021</v>
      </c>
      <c r="X132" s="686">
        <v>24</v>
      </c>
      <c r="Y132" s="687" t="s">
        <v>825</v>
      </c>
      <c r="Z132" s="663" t="s">
        <v>825</v>
      </c>
      <c r="AA132" s="663" t="s">
        <v>825</v>
      </c>
      <c r="AB132" s="663" t="s">
        <v>825</v>
      </c>
      <c r="AC132" s="663" t="s">
        <v>825</v>
      </c>
      <c r="AD132" s="663" t="s">
        <v>825</v>
      </c>
      <c r="AE132" s="663" t="s">
        <v>825</v>
      </c>
      <c r="AF132" s="663" t="s">
        <v>825</v>
      </c>
      <c r="AG132" s="663" t="s">
        <v>825</v>
      </c>
      <c r="AH132" s="663" t="s">
        <v>825</v>
      </c>
      <c r="AI132" s="688" t="s">
        <v>825</v>
      </c>
      <c r="AJ132" s="689" t="s">
        <v>1588</v>
      </c>
      <c r="AK132" s="705" t="s">
        <v>2471</v>
      </c>
    </row>
    <row r="133" spans="1:37" s="653" customFormat="1">
      <c r="A133" s="655">
        <v>2024</v>
      </c>
      <c r="B133" s="656" t="str">
        <f>INDEX('①基本情報 '!$C$2:$C$255,MATCH('②建物情報 '!E133,'①基本情報 '!$E$2:$E$255,0),1)</f>
        <v>104</v>
      </c>
      <c r="C133" s="657" t="str">
        <f>INDEX('①基本情報 '!$B$2:$B$255,MATCH('②建物情報 '!E133,'①基本情報 '!$E$2:$E$255,0),1)</f>
        <v>0947</v>
      </c>
      <c r="D133" s="658" t="s">
        <v>2418</v>
      </c>
      <c r="E133" s="612" t="s">
        <v>2535</v>
      </c>
      <c r="F133" s="611" t="str">
        <f>INDEX('①基本情報 '!$G$2:$G$255,MATCH('②建物情報 '!E133,'①基本情報 '!$E$2:$E$255,0),1)</f>
        <v>都市活力部まち資源室文化振興課</v>
      </c>
      <c r="G133" s="678" t="s">
        <v>2437</v>
      </c>
      <c r="H133" s="612" t="s">
        <v>1634</v>
      </c>
      <c r="I133" s="663">
        <v>2001</v>
      </c>
      <c r="J133" s="663">
        <v>6</v>
      </c>
      <c r="K133" s="663">
        <f t="shared" si="1"/>
        <v>23</v>
      </c>
      <c r="L133" s="679">
        <v>652.33000000000004</v>
      </c>
      <c r="M133" s="680">
        <v>893.42</v>
      </c>
      <c r="N133" s="680">
        <f>893.42</f>
        <v>893.42</v>
      </c>
      <c r="O133" s="681" t="s">
        <v>1812</v>
      </c>
      <c r="P133" s="259" t="s">
        <v>1614</v>
      </c>
      <c r="Q133" s="259">
        <v>2</v>
      </c>
      <c r="R133" s="260">
        <v>0</v>
      </c>
      <c r="S133" s="682" t="s">
        <v>2537</v>
      </c>
      <c r="T133" s="683" t="s">
        <v>1966</v>
      </c>
      <c r="U133" s="683" t="s">
        <v>1846</v>
      </c>
      <c r="V133" s="684"/>
      <c r="W133" s="685">
        <v>2021</v>
      </c>
      <c r="X133" s="686">
        <v>24</v>
      </c>
      <c r="Y133" s="687" t="s">
        <v>1585</v>
      </c>
      <c r="Z133" s="663" t="s">
        <v>1585</v>
      </c>
      <c r="AA133" s="663" t="s">
        <v>1586</v>
      </c>
      <c r="AB133" s="663" t="s">
        <v>825</v>
      </c>
      <c r="AC133" s="663" t="s">
        <v>1586</v>
      </c>
      <c r="AD133" s="663" t="s">
        <v>1586</v>
      </c>
      <c r="AE133" s="663" t="s">
        <v>1585</v>
      </c>
      <c r="AF133" s="663" t="s">
        <v>825</v>
      </c>
      <c r="AG133" s="663" t="s">
        <v>825</v>
      </c>
      <c r="AH133" s="663" t="s">
        <v>1586</v>
      </c>
      <c r="AI133" s="688">
        <v>88.805970149253739</v>
      </c>
      <c r="AJ133" s="689" t="s">
        <v>1588</v>
      </c>
      <c r="AK133" s="705" t="s">
        <v>2471</v>
      </c>
    </row>
    <row r="134" spans="1:37" s="653" customFormat="1">
      <c r="A134" s="655">
        <v>2024</v>
      </c>
      <c r="B134" s="656" t="str">
        <f>INDEX('①基本情報 '!$C$2:$C$255,MATCH('②建物情報 '!E134,'①基本情報 '!$E$2:$E$255,0),1)</f>
        <v>104</v>
      </c>
      <c r="C134" s="657" t="str">
        <f>INDEX('①基本情報 '!$B$2:$B$255,MATCH('②建物情報 '!E134,'①基本情報 '!$E$2:$E$255,0),1)</f>
        <v>0947</v>
      </c>
      <c r="D134" s="658" t="s">
        <v>2418</v>
      </c>
      <c r="E134" s="612" t="s">
        <v>2535</v>
      </c>
      <c r="F134" s="611" t="str">
        <f>INDEX('①基本情報 '!$G$2:$G$255,MATCH('②建物情報 '!E134,'①基本情報 '!$E$2:$E$255,0),1)</f>
        <v>都市活力部まち資源室文化振興課</v>
      </c>
      <c r="G134" s="678" t="s">
        <v>2438</v>
      </c>
      <c r="H134" s="612" t="s">
        <v>1635</v>
      </c>
      <c r="I134" s="663">
        <v>2001</v>
      </c>
      <c r="J134" s="663">
        <v>6</v>
      </c>
      <c r="K134" s="663">
        <f t="shared" si="1"/>
        <v>23</v>
      </c>
      <c r="L134" s="679">
        <v>202.18</v>
      </c>
      <c r="M134" s="680">
        <v>328.42</v>
      </c>
      <c r="N134" s="680">
        <v>328.42</v>
      </c>
      <c r="O134" s="681" t="s">
        <v>1812</v>
      </c>
      <c r="P134" s="259" t="s">
        <v>1614</v>
      </c>
      <c r="Q134" s="259">
        <v>2</v>
      </c>
      <c r="R134" s="260">
        <v>0</v>
      </c>
      <c r="S134" s="682" t="s">
        <v>2537</v>
      </c>
      <c r="T134" s="683" t="s">
        <v>1966</v>
      </c>
      <c r="U134" s="683" t="s">
        <v>1846</v>
      </c>
      <c r="V134" s="684"/>
      <c r="W134" s="685">
        <v>2021</v>
      </c>
      <c r="X134" s="686">
        <v>24</v>
      </c>
      <c r="Y134" s="687" t="s">
        <v>1585</v>
      </c>
      <c r="Z134" s="663" t="s">
        <v>1585</v>
      </c>
      <c r="AA134" s="663" t="s">
        <v>1586</v>
      </c>
      <c r="AB134" s="663" t="s">
        <v>825</v>
      </c>
      <c r="AC134" s="663" t="s">
        <v>1586</v>
      </c>
      <c r="AD134" s="663" t="s">
        <v>1586</v>
      </c>
      <c r="AE134" s="663" t="s">
        <v>1585</v>
      </c>
      <c r="AF134" s="663" t="s">
        <v>825</v>
      </c>
      <c r="AG134" s="663" t="s">
        <v>825</v>
      </c>
      <c r="AH134" s="663" t="s">
        <v>1586</v>
      </c>
      <c r="AI134" s="688">
        <v>88.805970149253739</v>
      </c>
      <c r="AJ134" s="689" t="s">
        <v>1588</v>
      </c>
      <c r="AK134" s="705" t="s">
        <v>2471</v>
      </c>
    </row>
    <row r="135" spans="1:37" s="653" customFormat="1">
      <c r="A135" s="655">
        <v>2024</v>
      </c>
      <c r="B135" s="656" t="str">
        <f>INDEX('①基本情報 '!$C$2:$C$255,MATCH('②建物情報 '!E135,'①基本情報 '!$E$2:$E$255,0),1)</f>
        <v>104</v>
      </c>
      <c r="C135" s="657" t="str">
        <f>INDEX('①基本情報 '!$B$2:$B$255,MATCH('②建物情報 '!E135,'①基本情報 '!$E$2:$E$255,0),1)</f>
        <v>0947</v>
      </c>
      <c r="D135" s="658" t="s">
        <v>2418</v>
      </c>
      <c r="E135" s="612" t="s">
        <v>2535</v>
      </c>
      <c r="F135" s="611" t="str">
        <f>INDEX('①基本情報 '!$G$2:$G$255,MATCH('②建物情報 '!E135,'①基本情報 '!$E$2:$E$255,0),1)</f>
        <v>都市活力部まち資源室文化振興課</v>
      </c>
      <c r="G135" s="678" t="s">
        <v>2441</v>
      </c>
      <c r="H135" s="706" t="s">
        <v>2367</v>
      </c>
      <c r="I135" s="707">
        <v>1987</v>
      </c>
      <c r="J135" s="707">
        <v>3</v>
      </c>
      <c r="K135" s="663">
        <f t="shared" ref="K135:K199" si="2">IF(I135&lt;&gt;"",A135-I135,99)</f>
        <v>37</v>
      </c>
      <c r="L135" s="679">
        <v>48</v>
      </c>
      <c r="M135" s="708">
        <v>394.87</v>
      </c>
      <c r="N135" s="708">
        <v>394.87</v>
      </c>
      <c r="O135" s="709" t="s">
        <v>1594</v>
      </c>
      <c r="P135" s="284" t="s">
        <v>1581</v>
      </c>
      <c r="Q135" s="284">
        <v>0</v>
      </c>
      <c r="R135" s="285">
        <v>1</v>
      </c>
      <c r="S135" s="710" t="s">
        <v>2537</v>
      </c>
      <c r="T135" s="711" t="s">
        <v>1966</v>
      </c>
      <c r="U135" s="711" t="s">
        <v>63</v>
      </c>
      <c r="V135" s="684"/>
      <c r="W135" s="712"/>
      <c r="X135" s="713">
        <v>38</v>
      </c>
      <c r="Y135" s="687" t="s">
        <v>825</v>
      </c>
      <c r="Z135" s="663" t="s">
        <v>825</v>
      </c>
      <c r="AA135" s="663" t="s">
        <v>825</v>
      </c>
      <c r="AB135" s="663" t="s">
        <v>825</v>
      </c>
      <c r="AC135" s="663" t="s">
        <v>825</v>
      </c>
      <c r="AD135" s="663" t="s">
        <v>825</v>
      </c>
      <c r="AE135" s="663" t="s">
        <v>825</v>
      </c>
      <c r="AF135" s="663" t="s">
        <v>825</v>
      </c>
      <c r="AG135" s="663" t="s">
        <v>825</v>
      </c>
      <c r="AH135" s="663" t="s">
        <v>825</v>
      </c>
      <c r="AI135" s="688" t="s">
        <v>825</v>
      </c>
      <c r="AJ135" s="689" t="s">
        <v>1588</v>
      </c>
      <c r="AK135" s="690"/>
    </row>
    <row r="136" spans="1:37" s="653" customFormat="1">
      <c r="A136" s="655">
        <v>2024</v>
      </c>
      <c r="B136" s="656" t="str">
        <f>INDEX('①基本情報 '!$C$2:$C$255,MATCH('②建物情報 '!E136,'①基本情報 '!$E$2:$E$255,0),1)</f>
        <v>105</v>
      </c>
      <c r="C136" s="657" t="str">
        <f>INDEX('①基本情報 '!$B$2:$B$255,MATCH('②建物情報 '!E136,'①基本情報 '!$E$2:$E$255,0),1)</f>
        <v>1073</v>
      </c>
      <c r="D136" s="658" t="s">
        <v>2418</v>
      </c>
      <c r="E136" s="612" t="s">
        <v>2551</v>
      </c>
      <c r="F136" s="611" t="str">
        <f>INDEX('①基本情報 '!$G$2:$G$255,MATCH('②建物情報 '!E136,'①基本情報 '!$E$2:$E$255,0),1)</f>
        <v>都市活力部まち資源室文化振興課（文化財担当）</v>
      </c>
      <c r="G136" s="678" t="s">
        <v>1580</v>
      </c>
      <c r="H136" s="612" t="s">
        <v>2339</v>
      </c>
      <c r="I136" s="663">
        <v>1985</v>
      </c>
      <c r="J136" s="663">
        <v>5</v>
      </c>
      <c r="K136" s="663">
        <f t="shared" si="2"/>
        <v>39</v>
      </c>
      <c r="L136" s="679">
        <v>83.57</v>
      </c>
      <c r="M136" s="695">
        <v>80.78</v>
      </c>
      <c r="N136" s="695">
        <v>80.78</v>
      </c>
      <c r="O136" s="681" t="s">
        <v>1812</v>
      </c>
      <c r="P136" s="259" t="s">
        <v>1603</v>
      </c>
      <c r="Q136" s="259">
        <v>1</v>
      </c>
      <c r="R136" s="260">
        <v>0</v>
      </c>
      <c r="S136" s="682" t="s">
        <v>1593</v>
      </c>
      <c r="T136" s="683" t="s">
        <v>825</v>
      </c>
      <c r="U136" s="683" t="s">
        <v>63</v>
      </c>
      <c r="V136" s="684"/>
      <c r="W136" s="685"/>
      <c r="X136" s="686">
        <v>30</v>
      </c>
      <c r="Y136" s="687" t="s">
        <v>1585</v>
      </c>
      <c r="Z136" s="663" t="s">
        <v>1586</v>
      </c>
      <c r="AA136" s="663" t="s">
        <v>1586</v>
      </c>
      <c r="AB136" s="663" t="s">
        <v>825</v>
      </c>
      <c r="AC136" s="663" t="s">
        <v>1586</v>
      </c>
      <c r="AD136" s="663" t="s">
        <v>1586</v>
      </c>
      <c r="AE136" s="663" t="s">
        <v>825</v>
      </c>
      <c r="AF136" s="663" t="s">
        <v>825</v>
      </c>
      <c r="AG136" s="663" t="s">
        <v>825</v>
      </c>
      <c r="AH136" s="663" t="s">
        <v>1586</v>
      </c>
      <c r="AI136" s="688">
        <v>80.740740740740733</v>
      </c>
      <c r="AJ136" s="689" t="s">
        <v>1588</v>
      </c>
      <c r="AK136" s="714" t="s">
        <v>2552</v>
      </c>
    </row>
    <row r="137" spans="1:37" s="653" customFormat="1">
      <c r="A137" s="655">
        <v>2024</v>
      </c>
      <c r="B137" s="656" t="str">
        <f>INDEX('①基本情報 '!$C$2:$C$255,MATCH('②建物情報 '!E137,'①基本情報 '!$E$2:$E$255,0),1)</f>
        <v>106</v>
      </c>
      <c r="C137" s="657" t="str">
        <f>INDEX('①基本情報 '!$B$2:$B$255,MATCH('②建物情報 '!E137,'①基本情報 '!$E$2:$E$255,0),1)</f>
        <v>1077</v>
      </c>
      <c r="D137" s="658" t="s">
        <v>2418</v>
      </c>
      <c r="E137" s="612" t="s">
        <v>2365</v>
      </c>
      <c r="F137" s="611" t="str">
        <f>INDEX('①基本情報 '!$G$2:$G$255,MATCH('②建物情報 '!E137,'①基本情報 '!$E$2:$E$255,0),1)</f>
        <v>都市活力部まち資源室文化振興課（文化財担当）</v>
      </c>
      <c r="G137" s="678" t="s">
        <v>1944</v>
      </c>
      <c r="H137" s="612" t="s">
        <v>2366</v>
      </c>
      <c r="I137" s="663">
        <v>1984</v>
      </c>
      <c r="J137" s="663">
        <v>3</v>
      </c>
      <c r="K137" s="663">
        <f t="shared" si="2"/>
        <v>40</v>
      </c>
      <c r="L137" s="679">
        <v>190.73</v>
      </c>
      <c r="M137" s="695">
        <v>555.69000000000005</v>
      </c>
      <c r="N137" s="695">
        <v>555.69000000000005</v>
      </c>
      <c r="O137" s="681" t="s">
        <v>1812</v>
      </c>
      <c r="P137" s="259" t="s">
        <v>1627</v>
      </c>
      <c r="Q137" s="259">
        <v>3</v>
      </c>
      <c r="R137" s="260">
        <v>0</v>
      </c>
      <c r="S137" s="682" t="s">
        <v>1593</v>
      </c>
      <c r="T137" s="683" t="s">
        <v>825</v>
      </c>
      <c r="U137" s="683" t="s">
        <v>63</v>
      </c>
      <c r="V137" s="684"/>
      <c r="W137" s="685"/>
      <c r="X137" s="686">
        <v>50</v>
      </c>
      <c r="Y137" s="687" t="s">
        <v>825</v>
      </c>
      <c r="Z137" s="663" t="s">
        <v>825</v>
      </c>
      <c r="AA137" s="663" t="s">
        <v>825</v>
      </c>
      <c r="AB137" s="663" t="s">
        <v>825</v>
      </c>
      <c r="AC137" s="663" t="s">
        <v>825</v>
      </c>
      <c r="AD137" s="663" t="s">
        <v>825</v>
      </c>
      <c r="AE137" s="663" t="s">
        <v>825</v>
      </c>
      <c r="AF137" s="663" t="s">
        <v>825</v>
      </c>
      <c r="AG137" s="663" t="s">
        <v>825</v>
      </c>
      <c r="AH137" s="663" t="s">
        <v>825</v>
      </c>
      <c r="AI137" s="688" t="s">
        <v>825</v>
      </c>
      <c r="AJ137" s="689" t="s">
        <v>1588</v>
      </c>
      <c r="AK137" s="690"/>
    </row>
    <row r="138" spans="1:37" s="653" customFormat="1">
      <c r="A138" s="655">
        <v>2024</v>
      </c>
      <c r="B138" s="656" t="str">
        <f>INDEX('①基本情報 '!$C$2:$C$255,MATCH('②建物情報 '!E138,'①基本情報 '!$E$2:$E$255,0),1)</f>
        <v>107</v>
      </c>
      <c r="C138" s="657" t="str">
        <f>INDEX('①基本情報 '!$B$2:$B$255,MATCH('②建物情報 '!E138,'①基本情報 '!$E$2:$E$255,0),1)</f>
        <v>0852</v>
      </c>
      <c r="D138" s="658" t="s">
        <v>2418</v>
      </c>
      <c r="E138" s="612" t="s">
        <v>754</v>
      </c>
      <c r="F138" s="611" t="str">
        <f>INDEX('①基本情報 '!$G$2:$G$255,MATCH('②建物情報 '!E138,'①基本情報 '!$E$2:$E$255,0),1)</f>
        <v>都市交通部みどり公園室みどり自然課</v>
      </c>
      <c r="G138" s="678" t="s">
        <v>1580</v>
      </c>
      <c r="H138" s="612" t="s">
        <v>1630</v>
      </c>
      <c r="I138" s="663">
        <v>1990</v>
      </c>
      <c r="J138" s="663">
        <v>9</v>
      </c>
      <c r="K138" s="663">
        <f t="shared" si="2"/>
        <v>34</v>
      </c>
      <c r="L138" s="679">
        <v>1605</v>
      </c>
      <c r="M138" s="695">
        <v>2986.83</v>
      </c>
      <c r="N138" s="695">
        <v>2986.83</v>
      </c>
      <c r="O138" s="681" t="s">
        <v>1812</v>
      </c>
      <c r="P138" s="259" t="s">
        <v>1627</v>
      </c>
      <c r="Q138" s="259">
        <v>4</v>
      </c>
      <c r="R138" s="260">
        <v>1</v>
      </c>
      <c r="S138" s="682" t="s">
        <v>1593</v>
      </c>
      <c r="T138" s="683" t="s">
        <v>825</v>
      </c>
      <c r="U138" s="683" t="s">
        <v>63</v>
      </c>
      <c r="V138" s="684"/>
      <c r="W138" s="685">
        <v>2017</v>
      </c>
      <c r="X138" s="686">
        <v>50</v>
      </c>
      <c r="Y138" s="687" t="s">
        <v>1596</v>
      </c>
      <c r="Z138" s="663" t="s">
        <v>1587</v>
      </c>
      <c r="AA138" s="663" t="s">
        <v>1596</v>
      </c>
      <c r="AB138" s="663" t="s">
        <v>825</v>
      </c>
      <c r="AC138" s="663" t="s">
        <v>1586</v>
      </c>
      <c r="AD138" s="663" t="s">
        <v>1585</v>
      </c>
      <c r="AE138" s="663" t="s">
        <v>1586</v>
      </c>
      <c r="AF138" s="663" t="s">
        <v>825</v>
      </c>
      <c r="AG138" s="663" t="s">
        <v>825</v>
      </c>
      <c r="AH138" s="663" t="s">
        <v>1585</v>
      </c>
      <c r="AI138" s="688">
        <v>62.857142857142854</v>
      </c>
      <c r="AJ138" s="689" t="s">
        <v>1588</v>
      </c>
      <c r="AK138" s="690"/>
    </row>
    <row r="139" spans="1:37" s="653" customFormat="1">
      <c r="A139" s="655">
        <v>2024</v>
      </c>
      <c r="B139" s="656" t="str">
        <f>INDEX('①基本情報 '!$C$2:$C$255,MATCH('②建物情報 '!E139,'①基本情報 '!$E$2:$E$255,0),1)</f>
        <v>108</v>
      </c>
      <c r="C139" s="657" t="str">
        <f>INDEX('①基本情報 '!$B$2:$B$255,MATCH('②建物情報 '!E139,'①基本情報 '!$E$2:$E$255,0),1)</f>
        <v>0855</v>
      </c>
      <c r="D139" s="658" t="s">
        <v>2418</v>
      </c>
      <c r="E139" s="612" t="s">
        <v>762</v>
      </c>
      <c r="F139" s="611" t="str">
        <f>INDEX('①基本情報 '!$G$2:$G$255,MATCH('②建物情報 '!E139,'①基本情報 '!$E$2:$E$255,0),1)</f>
        <v>都市交通部みどり公園室みどり自然課</v>
      </c>
      <c r="G139" s="678" t="s">
        <v>1580</v>
      </c>
      <c r="H139" s="612" t="s">
        <v>1631</v>
      </c>
      <c r="I139" s="663">
        <v>2001</v>
      </c>
      <c r="J139" s="663">
        <v>3</v>
      </c>
      <c r="K139" s="663">
        <f t="shared" si="2"/>
        <v>23</v>
      </c>
      <c r="L139" s="694">
        <v>394.12</v>
      </c>
      <c r="M139" s="704">
        <v>384.5</v>
      </c>
      <c r="N139" s="704">
        <v>384.5</v>
      </c>
      <c r="O139" s="681" t="s">
        <v>1812</v>
      </c>
      <c r="P139" s="259" t="s">
        <v>1603</v>
      </c>
      <c r="Q139" s="259">
        <v>1</v>
      </c>
      <c r="R139" s="260">
        <v>0</v>
      </c>
      <c r="S139" s="682" t="s">
        <v>1593</v>
      </c>
      <c r="T139" s="683" t="s">
        <v>825</v>
      </c>
      <c r="U139" s="683" t="s">
        <v>63</v>
      </c>
      <c r="V139" s="684"/>
      <c r="W139" s="685"/>
      <c r="X139" s="686">
        <v>38</v>
      </c>
      <c r="Y139" s="687" t="s">
        <v>1596</v>
      </c>
      <c r="Z139" s="663" t="s">
        <v>1585</v>
      </c>
      <c r="AA139" s="663" t="s">
        <v>1586</v>
      </c>
      <c r="AB139" s="663" t="s">
        <v>825</v>
      </c>
      <c r="AC139" s="663" t="s">
        <v>1586</v>
      </c>
      <c r="AD139" s="663" t="s">
        <v>1586</v>
      </c>
      <c r="AE139" s="663" t="s">
        <v>1585</v>
      </c>
      <c r="AF139" s="663" t="s">
        <v>825</v>
      </c>
      <c r="AG139" s="663" t="s">
        <v>825</v>
      </c>
      <c r="AH139" s="663" t="s">
        <v>1585</v>
      </c>
      <c r="AI139" s="688">
        <v>68</v>
      </c>
      <c r="AJ139" s="689" t="s">
        <v>1588</v>
      </c>
      <c r="AK139" s="690"/>
    </row>
    <row r="140" spans="1:37" s="653" customFormat="1">
      <c r="A140" s="655">
        <v>2024</v>
      </c>
      <c r="B140" s="656" t="str">
        <f>INDEX('①基本情報 '!$C$2:$C$255,MATCH('②建物情報 '!E140,'①基本情報 '!$E$2:$E$255,0),1)</f>
        <v>109</v>
      </c>
      <c r="C140" s="657" t="str">
        <f>INDEX('①基本情報 '!$B$2:$B$255,MATCH('②建物情報 '!E140,'①基本情報 '!$E$2:$E$255,0),1)</f>
        <v>0340</v>
      </c>
      <c r="D140" s="658" t="s">
        <v>2418</v>
      </c>
      <c r="E140" s="612" t="s">
        <v>770</v>
      </c>
      <c r="F140" s="611" t="str">
        <f>INDEX('①基本情報 '!$G$2:$G$255,MATCH('②建物情報 '!E140,'①基本情報 '!$E$2:$E$255,0),1)</f>
        <v>こども未来部こども室こども文化科学館</v>
      </c>
      <c r="G140" s="678" t="s">
        <v>1580</v>
      </c>
      <c r="H140" s="612" t="s">
        <v>2489</v>
      </c>
      <c r="I140" s="663">
        <v>1988</v>
      </c>
      <c r="J140" s="663">
        <v>5</v>
      </c>
      <c r="K140" s="663">
        <f t="shared" si="2"/>
        <v>36</v>
      </c>
      <c r="L140" s="679">
        <v>307</v>
      </c>
      <c r="M140" s="695">
        <v>2530.16</v>
      </c>
      <c r="N140" s="695">
        <v>1765.4</v>
      </c>
      <c r="O140" s="681" t="s">
        <v>2774</v>
      </c>
      <c r="P140" s="259" t="s">
        <v>1581</v>
      </c>
      <c r="Q140" s="259">
        <v>4</v>
      </c>
      <c r="R140" s="260">
        <v>2</v>
      </c>
      <c r="S140" s="682" t="s">
        <v>1593</v>
      </c>
      <c r="T140" s="683" t="s">
        <v>825</v>
      </c>
      <c r="U140" s="683" t="s">
        <v>63</v>
      </c>
      <c r="V140" s="684"/>
      <c r="W140" s="685"/>
      <c r="X140" s="686">
        <v>50</v>
      </c>
      <c r="Y140" s="687" t="s">
        <v>1596</v>
      </c>
      <c r="Z140" s="663" t="s">
        <v>1586</v>
      </c>
      <c r="AA140" s="663" t="s">
        <v>1585</v>
      </c>
      <c r="AB140" s="663" t="s">
        <v>825</v>
      </c>
      <c r="AC140" s="663" t="s">
        <v>1586</v>
      </c>
      <c r="AD140" s="663" t="s">
        <v>1586</v>
      </c>
      <c r="AE140" s="663" t="s">
        <v>1586</v>
      </c>
      <c r="AF140" s="663" t="s">
        <v>825</v>
      </c>
      <c r="AG140" s="663" t="s">
        <v>825</v>
      </c>
      <c r="AH140" s="663" t="s">
        <v>1586</v>
      </c>
      <c r="AI140" s="688">
        <v>84.651162790697683</v>
      </c>
      <c r="AJ140" s="689" t="s">
        <v>1588</v>
      </c>
      <c r="AK140" s="714"/>
    </row>
    <row r="141" spans="1:37" s="653" customFormat="1">
      <c r="A141" s="655">
        <v>2024</v>
      </c>
      <c r="B141" s="656" t="str">
        <f>INDEX('①基本情報 '!$C$2:$C$255,MATCH('②建物情報 '!E141,'①基本情報 '!$E$2:$E$255,0),1)</f>
        <v>109</v>
      </c>
      <c r="C141" s="657" t="str">
        <f>INDEX('①基本情報 '!$B$2:$B$255,MATCH('②建物情報 '!E141,'①基本情報 '!$E$2:$E$255,0),1)</f>
        <v>0340</v>
      </c>
      <c r="D141" s="658" t="s">
        <v>2418</v>
      </c>
      <c r="E141" s="612" t="s">
        <v>770</v>
      </c>
      <c r="F141" s="611" t="str">
        <f>INDEX('①基本情報 '!$G$2:$G$255,MATCH('②建物情報 '!E141,'①基本情報 '!$E$2:$E$255,0),1)</f>
        <v>こども未来部こども室こども文化科学館</v>
      </c>
      <c r="G141" s="678" t="s">
        <v>1591</v>
      </c>
      <c r="H141" s="612" t="s">
        <v>1632</v>
      </c>
      <c r="I141" s="663">
        <v>1990</v>
      </c>
      <c r="J141" s="663">
        <v>3</v>
      </c>
      <c r="K141" s="663">
        <f t="shared" si="2"/>
        <v>34</v>
      </c>
      <c r="L141" s="679">
        <v>452.39</v>
      </c>
      <c r="M141" s="695">
        <v>2530.16</v>
      </c>
      <c r="N141" s="695">
        <v>764.76</v>
      </c>
      <c r="O141" s="681" t="s">
        <v>2774</v>
      </c>
      <c r="P141" s="259" t="s">
        <v>1581</v>
      </c>
      <c r="Q141" s="259">
        <v>3</v>
      </c>
      <c r="R141" s="260">
        <v>0</v>
      </c>
      <c r="S141" s="682" t="s">
        <v>1593</v>
      </c>
      <c r="T141" s="683" t="s">
        <v>825</v>
      </c>
      <c r="U141" s="683" t="s">
        <v>63</v>
      </c>
      <c r="V141" s="684"/>
      <c r="W141" s="685">
        <v>2012</v>
      </c>
      <c r="X141" s="686">
        <v>50</v>
      </c>
      <c r="Y141" s="687" t="s">
        <v>1596</v>
      </c>
      <c r="Z141" s="663" t="s">
        <v>1596</v>
      </c>
      <c r="AA141" s="663" t="s">
        <v>1587</v>
      </c>
      <c r="AB141" s="663" t="s">
        <v>825</v>
      </c>
      <c r="AC141" s="663" t="s">
        <v>1586</v>
      </c>
      <c r="AD141" s="663" t="s">
        <v>1586</v>
      </c>
      <c r="AE141" s="663" t="s">
        <v>1586</v>
      </c>
      <c r="AF141" s="663" t="s">
        <v>825</v>
      </c>
      <c r="AG141" s="663" t="s">
        <v>825</v>
      </c>
      <c r="AH141" s="663" t="s">
        <v>1585</v>
      </c>
      <c r="AI141" s="688">
        <v>66.341463414634134</v>
      </c>
      <c r="AJ141" s="689" t="s">
        <v>1588</v>
      </c>
      <c r="AK141" s="690"/>
    </row>
    <row r="142" spans="1:37" s="653" customFormat="1">
      <c r="A142" s="655">
        <v>2024</v>
      </c>
      <c r="B142" s="656" t="str">
        <f>INDEX('①基本情報 '!$C$2:$C$255,MATCH('②建物情報 '!E142,'①基本情報 '!$E$2:$E$255,0),1)</f>
        <v>110</v>
      </c>
      <c r="C142" s="657" t="str">
        <f>INDEX('①基本情報 '!$B$2:$B$255,MATCH('②建物情報 '!E142,'①基本情報 '!$E$2:$E$255,0),1)</f>
        <v>0501</v>
      </c>
      <c r="D142" s="658" t="s">
        <v>2418</v>
      </c>
      <c r="E142" s="612" t="s">
        <v>779</v>
      </c>
      <c r="F142" s="611" t="str">
        <f>INDEX('①基本情報 '!$G$2:$G$255,MATCH('②建物情報 '!E142,'①基本情報 '!$E$2:$E$255,0),1)</f>
        <v>都市活力部まち資源室空港・にぎわい課</v>
      </c>
      <c r="G142" s="678" t="s">
        <v>1580</v>
      </c>
      <c r="H142" s="612" t="s">
        <v>1633</v>
      </c>
      <c r="I142" s="663">
        <v>1983</v>
      </c>
      <c r="J142" s="663">
        <v>3</v>
      </c>
      <c r="K142" s="663">
        <f t="shared" si="2"/>
        <v>41</v>
      </c>
      <c r="L142" s="679">
        <v>227.05</v>
      </c>
      <c r="M142" s="695">
        <v>443.43</v>
      </c>
      <c r="N142" s="695">
        <v>443.43</v>
      </c>
      <c r="O142" s="681" t="s">
        <v>1813</v>
      </c>
      <c r="P142" s="259" t="s">
        <v>1581</v>
      </c>
      <c r="Q142" s="259">
        <v>3</v>
      </c>
      <c r="R142" s="260">
        <v>0</v>
      </c>
      <c r="S142" s="682" t="s">
        <v>1593</v>
      </c>
      <c r="T142" s="683" t="s">
        <v>825</v>
      </c>
      <c r="U142" s="683" t="s">
        <v>63</v>
      </c>
      <c r="V142" s="684"/>
      <c r="W142" s="685">
        <v>2013</v>
      </c>
      <c r="X142" s="686">
        <v>50</v>
      </c>
      <c r="Y142" s="687" t="s">
        <v>1585</v>
      </c>
      <c r="Z142" s="663" t="s">
        <v>1586</v>
      </c>
      <c r="AA142" s="663" t="s">
        <v>1586</v>
      </c>
      <c r="AB142" s="663" t="s">
        <v>825</v>
      </c>
      <c r="AC142" s="663" t="s">
        <v>1586</v>
      </c>
      <c r="AD142" s="663" t="s">
        <v>1586</v>
      </c>
      <c r="AE142" s="663" t="s">
        <v>1586</v>
      </c>
      <c r="AF142" s="663" t="s">
        <v>825</v>
      </c>
      <c r="AG142" s="663" t="s">
        <v>1587</v>
      </c>
      <c r="AH142" s="663" t="s">
        <v>1586</v>
      </c>
      <c r="AI142" s="688">
        <v>77.073170731707322</v>
      </c>
      <c r="AJ142" s="689" t="s">
        <v>1588</v>
      </c>
      <c r="AK142" s="690"/>
    </row>
    <row r="143" spans="1:37" s="653" customFormat="1">
      <c r="A143" s="655">
        <v>2024</v>
      </c>
      <c r="B143" s="656" t="str">
        <f>INDEX('①基本情報 '!$C$2:$C$255,MATCH('②建物情報 '!E143,'①基本情報 '!$E$2:$E$255,0),1)</f>
        <v>111</v>
      </c>
      <c r="C143" s="657" t="str">
        <f>INDEX('①基本情報 '!$B$2:$B$255,MATCH('②建物情報 '!E143,'①基本情報 '!$E$2:$E$255,0),1)</f>
        <v>1096</v>
      </c>
      <c r="D143" s="658" t="s">
        <v>2418</v>
      </c>
      <c r="E143" s="612" t="s">
        <v>801</v>
      </c>
      <c r="F143" s="611" t="str">
        <f>INDEX('①基本情報 '!$G$2:$G$255,MATCH('②建物情報 '!E143,'①基本情報 '!$E$2:$E$255,0),1)</f>
        <v>教育委員会生涯学習部図書館</v>
      </c>
      <c r="G143" s="678" t="s">
        <v>1580</v>
      </c>
      <c r="H143" s="612" t="s">
        <v>1636</v>
      </c>
      <c r="I143" s="703">
        <v>2012</v>
      </c>
      <c r="J143" s="703"/>
      <c r="K143" s="663">
        <f t="shared" si="2"/>
        <v>12</v>
      </c>
      <c r="L143" s="715"/>
      <c r="M143" s="680">
        <v>6194.44</v>
      </c>
      <c r="N143" s="680">
        <v>6194.44</v>
      </c>
      <c r="O143" s="681" t="s">
        <v>1812</v>
      </c>
      <c r="P143" s="259" t="s">
        <v>1581</v>
      </c>
      <c r="Q143" s="259">
        <v>4</v>
      </c>
      <c r="R143" s="260">
        <v>1</v>
      </c>
      <c r="S143" s="682" t="s">
        <v>1593</v>
      </c>
      <c r="T143" s="683" t="s">
        <v>825</v>
      </c>
      <c r="U143" s="683" t="s">
        <v>63</v>
      </c>
      <c r="V143" s="716"/>
      <c r="W143" s="685"/>
      <c r="X143" s="686">
        <v>50</v>
      </c>
      <c r="Y143" s="687" t="s">
        <v>1587</v>
      </c>
      <c r="Z143" s="663" t="s">
        <v>1587</v>
      </c>
      <c r="AA143" s="663" t="s">
        <v>1585</v>
      </c>
      <c r="AB143" s="663" t="s">
        <v>825</v>
      </c>
      <c r="AC143" s="663" t="s">
        <v>1585</v>
      </c>
      <c r="AD143" s="663" t="s">
        <v>1585</v>
      </c>
      <c r="AE143" s="663" t="s">
        <v>1596</v>
      </c>
      <c r="AF143" s="663" t="s">
        <v>825</v>
      </c>
      <c r="AG143" s="663" t="s">
        <v>825</v>
      </c>
      <c r="AH143" s="663" t="s">
        <v>1596</v>
      </c>
      <c r="AI143" s="688">
        <v>37.714285714285708</v>
      </c>
      <c r="AJ143" s="689" t="s">
        <v>1588</v>
      </c>
      <c r="AK143" s="690"/>
    </row>
    <row r="144" spans="1:37" s="653" customFormat="1">
      <c r="A144" s="655">
        <v>2024</v>
      </c>
      <c r="B144" s="656" t="str">
        <f>INDEX('①基本情報 '!$C$2:$C$255,MATCH('②建物情報 '!E144,'①基本情報 '!$E$2:$E$255,0),1)</f>
        <v>112</v>
      </c>
      <c r="C144" s="657" t="str">
        <f>INDEX('①基本情報 '!$B$2:$B$255,MATCH('②建物情報 '!E144,'①基本情報 '!$E$2:$E$255,0),1)</f>
        <v>1093</v>
      </c>
      <c r="D144" s="658" t="s">
        <v>2418</v>
      </c>
      <c r="E144" s="612" t="s">
        <v>813</v>
      </c>
      <c r="F144" s="611" t="str">
        <f>INDEX('①基本情報 '!$G$2:$G$255,MATCH('②建物情報 '!E144,'①基本情報 '!$E$2:$E$255,0),1)</f>
        <v>教育委員会生涯学習部図書館</v>
      </c>
      <c r="G144" s="678" t="s">
        <v>1580</v>
      </c>
      <c r="H144" s="612" t="s">
        <v>1624</v>
      </c>
      <c r="I144" s="703">
        <v>1992</v>
      </c>
      <c r="J144" s="703">
        <v>3</v>
      </c>
      <c r="K144" s="663">
        <f t="shared" si="2"/>
        <v>32</v>
      </c>
      <c r="L144" s="715">
        <v>1511.58</v>
      </c>
      <c r="M144" s="717">
        <v>5067.05</v>
      </c>
      <c r="N144" s="718">
        <v>583.26</v>
      </c>
      <c r="O144" s="681" t="s">
        <v>1594</v>
      </c>
      <c r="P144" s="259" t="s">
        <v>1581</v>
      </c>
      <c r="Q144" s="259">
        <v>4</v>
      </c>
      <c r="R144" s="260">
        <v>0</v>
      </c>
      <c r="S144" s="682" t="s">
        <v>1593</v>
      </c>
      <c r="T144" s="683" t="s">
        <v>825</v>
      </c>
      <c r="U144" s="683" t="s">
        <v>63</v>
      </c>
      <c r="V144" s="716"/>
      <c r="W144" s="685">
        <v>2020</v>
      </c>
      <c r="X144" s="686">
        <v>50</v>
      </c>
      <c r="Y144" s="687" t="s">
        <v>1596</v>
      </c>
      <c r="Z144" s="663" t="s">
        <v>1586</v>
      </c>
      <c r="AA144" s="663" t="s">
        <v>1587</v>
      </c>
      <c r="AB144" s="663" t="s">
        <v>825</v>
      </c>
      <c r="AC144" s="663" t="s">
        <v>1586</v>
      </c>
      <c r="AD144" s="663" t="s">
        <v>1586</v>
      </c>
      <c r="AE144" s="663" t="s">
        <v>1586</v>
      </c>
      <c r="AF144" s="663" t="s">
        <v>825</v>
      </c>
      <c r="AG144" s="663" t="s">
        <v>825</v>
      </c>
      <c r="AH144" s="663" t="s">
        <v>1585</v>
      </c>
      <c r="AI144" s="688">
        <v>62.5</v>
      </c>
      <c r="AJ144" s="689" t="s">
        <v>1588</v>
      </c>
      <c r="AK144" s="690"/>
    </row>
    <row r="145" spans="1:37" s="653" customFormat="1">
      <c r="A145" s="655">
        <v>2024</v>
      </c>
      <c r="B145" s="656" t="str">
        <f>INDEX('①基本情報 '!$C$2:$C$255,MATCH('②建物情報 '!E145,'①基本情報 '!$E$2:$E$255,0),1)</f>
        <v>113</v>
      </c>
      <c r="C145" s="657" t="str">
        <f>INDEX('①基本情報 '!$B$2:$B$255,MATCH('②建物情報 '!E145,'①基本情報 '!$E$2:$E$255,0),1)</f>
        <v>1094</v>
      </c>
      <c r="D145" s="658" t="s">
        <v>2418</v>
      </c>
      <c r="E145" s="612" t="s">
        <v>819</v>
      </c>
      <c r="F145" s="611" t="str">
        <f>INDEX('①基本情報 '!$G$2:$G$255,MATCH('②建物情報 '!E145,'①基本情報 '!$E$2:$E$255,0),1)</f>
        <v>教育委員会生涯学習部図書館</v>
      </c>
      <c r="G145" s="678" t="s">
        <v>1580</v>
      </c>
      <c r="H145" s="612" t="s">
        <v>1595</v>
      </c>
      <c r="I145" s="703">
        <v>2004</v>
      </c>
      <c r="J145" s="703">
        <v>2</v>
      </c>
      <c r="K145" s="663">
        <f t="shared" si="2"/>
        <v>20</v>
      </c>
      <c r="L145" s="715">
        <v>1421.37</v>
      </c>
      <c r="M145" s="680">
        <v>3673.89</v>
      </c>
      <c r="N145" s="717">
        <v>625.51</v>
      </c>
      <c r="O145" s="681" t="s">
        <v>1594</v>
      </c>
      <c r="P145" s="259" t="s">
        <v>1581</v>
      </c>
      <c r="Q145" s="259">
        <v>4</v>
      </c>
      <c r="R145" s="260">
        <v>0</v>
      </c>
      <c r="S145" s="682" t="s">
        <v>1593</v>
      </c>
      <c r="T145" s="683" t="s">
        <v>825</v>
      </c>
      <c r="U145" s="683" t="s">
        <v>63</v>
      </c>
      <c r="V145" s="716"/>
      <c r="W145" s="685"/>
      <c r="X145" s="686">
        <v>50</v>
      </c>
      <c r="Y145" s="687" t="s">
        <v>1596</v>
      </c>
      <c r="Z145" s="663" t="s">
        <v>1585</v>
      </c>
      <c r="AA145" s="663" t="s">
        <v>1596</v>
      </c>
      <c r="AB145" s="663" t="s">
        <v>825</v>
      </c>
      <c r="AC145" s="663" t="s">
        <v>1586</v>
      </c>
      <c r="AD145" s="663" t="s">
        <v>1585</v>
      </c>
      <c r="AE145" s="663" t="s">
        <v>1585</v>
      </c>
      <c r="AF145" s="663" t="s">
        <v>825</v>
      </c>
      <c r="AG145" s="663" t="s">
        <v>825</v>
      </c>
      <c r="AH145" s="663" t="s">
        <v>1585</v>
      </c>
      <c r="AI145" s="688">
        <v>50</v>
      </c>
      <c r="AJ145" s="689" t="s">
        <v>1588</v>
      </c>
      <c r="AK145" s="690"/>
    </row>
    <row r="146" spans="1:37" s="653" customFormat="1">
      <c r="A146" s="655">
        <v>2024</v>
      </c>
      <c r="B146" s="656" t="str">
        <f>INDEX('①基本情報 '!$C$2:$C$255,MATCH('②建物情報 '!E146,'①基本情報 '!$E$2:$E$255,0),1)</f>
        <v>114</v>
      </c>
      <c r="C146" s="657" t="str">
        <f>INDEX('①基本情報 '!$B$2:$B$255,MATCH('②建物情報 '!E146,'①基本情報 '!$E$2:$E$255,0),1)</f>
        <v>1095</v>
      </c>
      <c r="D146" s="261" t="s">
        <v>2418</v>
      </c>
      <c r="E146" s="262" t="s">
        <v>823</v>
      </c>
      <c r="F146" s="263" t="str">
        <f>INDEX('①基本情報 '!$G$2:$G$255,MATCH('②建物情報 '!E146,'①基本情報 '!$E$2:$E$255,0),1)</f>
        <v>教育委員会生涯学習部図書館</v>
      </c>
      <c r="G146" s="264" t="s">
        <v>1580</v>
      </c>
      <c r="H146" s="262" t="s">
        <v>1894</v>
      </c>
      <c r="I146" s="283">
        <v>2011</v>
      </c>
      <c r="J146" s="283"/>
      <c r="K146" s="265">
        <f t="shared" si="2"/>
        <v>13</v>
      </c>
      <c r="L146" s="286"/>
      <c r="M146" s="287"/>
      <c r="N146" s="288"/>
      <c r="O146" s="268" t="s">
        <v>1594</v>
      </c>
      <c r="P146" s="269" t="s">
        <v>825</v>
      </c>
      <c r="Q146" s="269" t="s">
        <v>825</v>
      </c>
      <c r="R146" s="270" t="s">
        <v>825</v>
      </c>
      <c r="S146" s="271"/>
      <c r="T146" s="272" t="s">
        <v>825</v>
      </c>
      <c r="U146" s="272" t="s">
        <v>63</v>
      </c>
      <c r="V146" s="289"/>
      <c r="W146" s="274"/>
      <c r="X146" s="275"/>
      <c r="Y146" s="276" t="s">
        <v>825</v>
      </c>
      <c r="Z146" s="265" t="s">
        <v>825</v>
      </c>
      <c r="AA146" s="265" t="s">
        <v>825</v>
      </c>
      <c r="AB146" s="265" t="s">
        <v>825</v>
      </c>
      <c r="AC146" s="265" t="s">
        <v>825</v>
      </c>
      <c r="AD146" s="265" t="s">
        <v>825</v>
      </c>
      <c r="AE146" s="265" t="s">
        <v>825</v>
      </c>
      <c r="AF146" s="265" t="s">
        <v>825</v>
      </c>
      <c r="AG146" s="265" t="s">
        <v>825</v>
      </c>
      <c r="AH146" s="265" t="s">
        <v>825</v>
      </c>
      <c r="AI146" s="277" t="s">
        <v>825</v>
      </c>
      <c r="AJ146" s="280" t="s">
        <v>1983</v>
      </c>
      <c r="AK146" s="292" t="s">
        <v>2333</v>
      </c>
    </row>
    <row r="147" spans="1:37" s="653" customFormat="1">
      <c r="A147" s="655">
        <v>2024</v>
      </c>
      <c r="B147" s="656" t="str">
        <f>INDEX('①基本情報 '!$C$2:$C$255,MATCH('②建物情報 '!E147,'①基本情報 '!$E$2:$E$255,0),1)</f>
        <v>115</v>
      </c>
      <c r="C147" s="657" t="str">
        <f>INDEX('①基本情報 '!$B$2:$B$255,MATCH('②建物情報 '!E147,'①基本情報 '!$E$2:$E$255,0),1)</f>
        <v>1097</v>
      </c>
      <c r="D147" s="658" t="s">
        <v>2418</v>
      </c>
      <c r="E147" s="612" t="s">
        <v>831</v>
      </c>
      <c r="F147" s="611" t="str">
        <f>INDEX('①基本情報 '!$G$2:$G$255,MATCH('②建物情報 '!E147,'①基本情報 '!$E$2:$E$255,0),1)</f>
        <v>教育委員会生涯学習部図書館</v>
      </c>
      <c r="G147" s="678" t="s">
        <v>1580</v>
      </c>
      <c r="H147" s="612" t="s">
        <v>1637</v>
      </c>
      <c r="I147" s="703">
        <v>2016</v>
      </c>
      <c r="J147" s="703">
        <v>5</v>
      </c>
      <c r="K147" s="663">
        <f t="shared" si="2"/>
        <v>8</v>
      </c>
      <c r="L147" s="715"/>
      <c r="M147" s="695">
        <v>1051.8499999999999</v>
      </c>
      <c r="N147" s="695">
        <v>83.65</v>
      </c>
      <c r="O147" s="681" t="s">
        <v>1594</v>
      </c>
      <c r="P147" s="259" t="s">
        <v>1581</v>
      </c>
      <c r="Q147" s="259">
        <v>3</v>
      </c>
      <c r="R147" s="260">
        <v>0</v>
      </c>
      <c r="S147" s="682" t="s">
        <v>1593</v>
      </c>
      <c r="T147" s="683" t="s">
        <v>825</v>
      </c>
      <c r="U147" s="683" t="s">
        <v>63</v>
      </c>
      <c r="V147" s="684"/>
      <c r="W147" s="685"/>
      <c r="X147" s="686">
        <v>47</v>
      </c>
      <c r="Y147" s="687" t="s">
        <v>1587</v>
      </c>
      <c r="Z147" s="663" t="s">
        <v>1596</v>
      </c>
      <c r="AA147" s="663" t="s">
        <v>1596</v>
      </c>
      <c r="AB147" s="663" t="s">
        <v>825</v>
      </c>
      <c r="AC147" s="663" t="s">
        <v>1596</v>
      </c>
      <c r="AD147" s="663" t="s">
        <v>1596</v>
      </c>
      <c r="AE147" s="663" t="s">
        <v>1587</v>
      </c>
      <c r="AF147" s="663" t="s">
        <v>1596</v>
      </c>
      <c r="AG147" s="663" t="s">
        <v>1587</v>
      </c>
      <c r="AH147" s="663" t="s">
        <v>1587</v>
      </c>
      <c r="AI147" s="688">
        <v>29.09090909090909</v>
      </c>
      <c r="AJ147" s="689" t="s">
        <v>1588</v>
      </c>
      <c r="AK147" s="690"/>
    </row>
    <row r="148" spans="1:37" s="653" customFormat="1">
      <c r="A148" s="655">
        <v>2024</v>
      </c>
      <c r="B148" s="656" t="str">
        <f>INDEX('①基本情報 '!$C$2:$C$255,MATCH('②建物情報 '!E148,'①基本情報 '!$E$2:$E$255,0),1)</f>
        <v>116</v>
      </c>
      <c r="C148" s="657" t="str">
        <f>INDEX('①基本情報 '!$B$2:$B$255,MATCH('②建物情報 '!E148,'①基本情報 '!$E$2:$E$255,0),1)</f>
        <v>1021</v>
      </c>
      <c r="D148" s="658" t="s">
        <v>2418</v>
      </c>
      <c r="E148" s="612" t="s">
        <v>835</v>
      </c>
      <c r="F148" s="597" t="str">
        <f>INDEX('①基本情報 '!$G$2:$G$255,MATCH('②建物情報 '!E148,'①基本情報 '!$E$2:$E$255,0),1)</f>
        <v>教育委員会教育総務部、学校教育部、生涯学習部</v>
      </c>
      <c r="G148" s="678" t="s">
        <v>1580</v>
      </c>
      <c r="H148" s="612" t="s">
        <v>1638</v>
      </c>
      <c r="I148" s="663">
        <v>1983</v>
      </c>
      <c r="J148" s="663">
        <v>2</v>
      </c>
      <c r="K148" s="663">
        <f t="shared" si="2"/>
        <v>41</v>
      </c>
      <c r="L148" s="694">
        <v>1025</v>
      </c>
      <c r="M148" s="704">
        <v>1116</v>
      </c>
      <c r="N148" s="704">
        <v>1116</v>
      </c>
      <c r="O148" s="681" t="s">
        <v>1812</v>
      </c>
      <c r="P148" s="663" t="s">
        <v>1581</v>
      </c>
      <c r="Q148" s="663">
        <v>2</v>
      </c>
      <c r="R148" s="690">
        <v>0</v>
      </c>
      <c r="S148" s="687" t="s">
        <v>1593</v>
      </c>
      <c r="T148" s="683" t="s">
        <v>825</v>
      </c>
      <c r="U148" s="663" t="s">
        <v>63</v>
      </c>
      <c r="V148" s="690"/>
      <c r="W148" s="687"/>
      <c r="X148" s="686">
        <v>47</v>
      </c>
      <c r="Y148" s="687" t="s">
        <v>1585</v>
      </c>
      <c r="Z148" s="663" t="s">
        <v>1585</v>
      </c>
      <c r="AA148" s="663" t="s">
        <v>1585</v>
      </c>
      <c r="AB148" s="663" t="s">
        <v>1586</v>
      </c>
      <c r="AC148" s="663" t="s">
        <v>1586</v>
      </c>
      <c r="AD148" s="663" t="s">
        <v>1587</v>
      </c>
      <c r="AE148" s="663" t="s">
        <v>825</v>
      </c>
      <c r="AF148" s="663" t="s">
        <v>1586</v>
      </c>
      <c r="AG148" s="663" t="s">
        <v>1596</v>
      </c>
      <c r="AH148" s="663" t="s">
        <v>1586</v>
      </c>
      <c r="AI148" s="688">
        <v>70.909090909090907</v>
      </c>
      <c r="AJ148" s="689" t="s">
        <v>1588</v>
      </c>
      <c r="AK148" s="690"/>
    </row>
    <row r="149" spans="1:37" s="653" customFormat="1">
      <c r="A149" s="655">
        <v>2024</v>
      </c>
      <c r="B149" s="656" t="str">
        <f>INDEX('①基本情報 '!$C$2:$C$255,MATCH('②建物情報 '!E149,'①基本情報 '!$E$2:$E$255,0),1)</f>
        <v>116</v>
      </c>
      <c r="C149" s="657" t="str">
        <f>INDEX('①基本情報 '!$B$2:$B$255,MATCH('②建物情報 '!E149,'①基本情報 '!$E$2:$E$255,0),1)</f>
        <v>1021</v>
      </c>
      <c r="D149" s="658" t="s">
        <v>2418</v>
      </c>
      <c r="E149" s="612" t="s">
        <v>835</v>
      </c>
      <c r="F149" s="597" t="str">
        <f>INDEX('①基本情報 '!$G$2:$G$255,MATCH('②建物情報 '!E149,'①基本情報 '!$E$2:$E$255,0),1)</f>
        <v>教育委員会教育総務部、学校教育部、生涯学習部</v>
      </c>
      <c r="G149" s="678" t="s">
        <v>1589</v>
      </c>
      <c r="H149" s="612" t="s">
        <v>1639</v>
      </c>
      <c r="I149" s="663">
        <v>1982</v>
      </c>
      <c r="J149" s="663">
        <v>3</v>
      </c>
      <c r="K149" s="663">
        <f t="shared" si="2"/>
        <v>42</v>
      </c>
      <c r="L149" s="694">
        <v>532</v>
      </c>
      <c r="M149" s="704">
        <v>2127</v>
      </c>
      <c r="N149" s="704">
        <v>2127</v>
      </c>
      <c r="O149" s="681" t="s">
        <v>1812</v>
      </c>
      <c r="P149" s="663" t="s">
        <v>1581</v>
      </c>
      <c r="Q149" s="663">
        <v>4</v>
      </c>
      <c r="R149" s="690">
        <v>0</v>
      </c>
      <c r="S149" s="687" t="s">
        <v>1593</v>
      </c>
      <c r="T149" s="683" t="s">
        <v>825</v>
      </c>
      <c r="U149" s="663" t="s">
        <v>63</v>
      </c>
      <c r="V149" s="690"/>
      <c r="W149" s="687"/>
      <c r="X149" s="686">
        <v>47</v>
      </c>
      <c r="Y149" s="687" t="s">
        <v>1585</v>
      </c>
      <c r="Z149" s="663" t="s">
        <v>1586</v>
      </c>
      <c r="AA149" s="663" t="s">
        <v>1585</v>
      </c>
      <c r="AB149" s="663" t="s">
        <v>1586</v>
      </c>
      <c r="AC149" s="663" t="s">
        <v>1586</v>
      </c>
      <c r="AD149" s="663" t="s">
        <v>1587</v>
      </c>
      <c r="AE149" s="663" t="s">
        <v>1587</v>
      </c>
      <c r="AF149" s="663" t="s">
        <v>1586</v>
      </c>
      <c r="AG149" s="663" t="s">
        <v>1596</v>
      </c>
      <c r="AH149" s="663" t="s">
        <v>1585</v>
      </c>
      <c r="AI149" s="688">
        <v>65.999999999999986</v>
      </c>
      <c r="AJ149" s="689" t="s">
        <v>1588</v>
      </c>
      <c r="AK149" s="690"/>
    </row>
    <row r="150" spans="1:37" s="653" customFormat="1">
      <c r="A150" s="655">
        <v>2024</v>
      </c>
      <c r="B150" s="656" t="str">
        <f>INDEX('①基本情報 '!$C$2:$C$255,MATCH('②建物情報 '!E150,'①基本情報 '!$E$2:$E$255,0),1)</f>
        <v>116</v>
      </c>
      <c r="C150" s="657" t="str">
        <f>INDEX('①基本情報 '!$B$2:$B$255,MATCH('②建物情報 '!E150,'①基本情報 '!$E$2:$E$255,0),1)</f>
        <v>1021</v>
      </c>
      <c r="D150" s="658" t="s">
        <v>2418</v>
      </c>
      <c r="E150" s="612" t="s">
        <v>835</v>
      </c>
      <c r="F150" s="597" t="str">
        <f>INDEX('①基本情報 '!$G$2:$G$255,MATCH('②建物情報 '!E150,'①基本情報 '!$E$2:$E$255,0),1)</f>
        <v>教育委員会教育総務部、学校教育部、生涯学習部</v>
      </c>
      <c r="G150" s="678" t="s">
        <v>1591</v>
      </c>
      <c r="H150" s="612" t="s">
        <v>1640</v>
      </c>
      <c r="I150" s="663">
        <v>1981</v>
      </c>
      <c r="J150" s="663">
        <v>3</v>
      </c>
      <c r="K150" s="663">
        <f t="shared" si="2"/>
        <v>43</v>
      </c>
      <c r="L150" s="694">
        <v>1017</v>
      </c>
      <c r="M150" s="704">
        <v>4066</v>
      </c>
      <c r="N150" s="704">
        <v>4066</v>
      </c>
      <c r="O150" s="681" t="s">
        <v>1812</v>
      </c>
      <c r="P150" s="663" t="s">
        <v>1581</v>
      </c>
      <c r="Q150" s="663">
        <v>4</v>
      </c>
      <c r="R150" s="690">
        <v>0</v>
      </c>
      <c r="S150" s="687" t="s">
        <v>1593</v>
      </c>
      <c r="T150" s="683" t="s">
        <v>825</v>
      </c>
      <c r="U150" s="663" t="s">
        <v>63</v>
      </c>
      <c r="V150" s="690"/>
      <c r="W150" s="687">
        <v>2024</v>
      </c>
      <c r="X150" s="686">
        <v>47</v>
      </c>
      <c r="Y150" s="687" t="s">
        <v>1585</v>
      </c>
      <c r="Z150" s="663" t="s">
        <v>1587</v>
      </c>
      <c r="AA150" s="663" t="s">
        <v>1587</v>
      </c>
      <c r="AB150" s="663" t="s">
        <v>1586</v>
      </c>
      <c r="AC150" s="663" t="s">
        <v>1586</v>
      </c>
      <c r="AD150" s="663" t="s">
        <v>1596</v>
      </c>
      <c r="AE150" s="663" t="s">
        <v>1587</v>
      </c>
      <c r="AF150" s="663" t="s">
        <v>1586</v>
      </c>
      <c r="AG150" s="663" t="s">
        <v>1586</v>
      </c>
      <c r="AH150" s="663" t="s">
        <v>1585</v>
      </c>
      <c r="AI150" s="688">
        <v>61.199999999999996</v>
      </c>
      <c r="AJ150" s="689" t="s">
        <v>1588</v>
      </c>
      <c r="AK150" s="690"/>
    </row>
    <row r="151" spans="1:37" s="653" customFormat="1">
      <c r="A151" s="655">
        <v>2024</v>
      </c>
      <c r="B151" s="656" t="str">
        <f>INDEX('①基本情報 '!$C$2:$C$255,MATCH('②建物情報 '!E151,'①基本情報 '!$E$2:$E$255,0),1)</f>
        <v>116</v>
      </c>
      <c r="C151" s="657" t="str">
        <f>INDEX('①基本情報 '!$B$2:$B$255,MATCH('②建物情報 '!E151,'①基本情報 '!$E$2:$E$255,0),1)</f>
        <v>1021</v>
      </c>
      <c r="D151" s="658" t="s">
        <v>2418</v>
      </c>
      <c r="E151" s="612" t="s">
        <v>835</v>
      </c>
      <c r="F151" s="597" t="str">
        <f>INDEX('①基本情報 '!$G$2:$G$255,MATCH('②建物情報 '!E151,'①基本情報 '!$E$2:$E$255,0),1)</f>
        <v>教育委員会教育総務部、学校教育部、生涯学習部</v>
      </c>
      <c r="G151" s="678" t="s">
        <v>1601</v>
      </c>
      <c r="H151" s="612" t="s">
        <v>1641</v>
      </c>
      <c r="I151" s="663">
        <v>1981</v>
      </c>
      <c r="J151" s="663">
        <v>2</v>
      </c>
      <c r="K151" s="663">
        <f t="shared" si="2"/>
        <v>43</v>
      </c>
      <c r="L151" s="694">
        <v>532</v>
      </c>
      <c r="M151" s="704">
        <v>2127</v>
      </c>
      <c r="N151" s="704">
        <v>2127</v>
      </c>
      <c r="O151" s="681" t="s">
        <v>1812</v>
      </c>
      <c r="P151" s="663" t="s">
        <v>1581</v>
      </c>
      <c r="Q151" s="663">
        <v>4</v>
      </c>
      <c r="R151" s="690">
        <v>0</v>
      </c>
      <c r="S151" s="687" t="s">
        <v>1593</v>
      </c>
      <c r="T151" s="683" t="s">
        <v>825</v>
      </c>
      <c r="U151" s="663" t="s">
        <v>63</v>
      </c>
      <c r="V151" s="690"/>
      <c r="W151" s="687"/>
      <c r="X151" s="686">
        <v>47</v>
      </c>
      <c r="Y151" s="687" t="s">
        <v>1585</v>
      </c>
      <c r="Z151" s="663" t="s">
        <v>1586</v>
      </c>
      <c r="AA151" s="663" t="s">
        <v>1585</v>
      </c>
      <c r="AB151" s="663" t="s">
        <v>1586</v>
      </c>
      <c r="AC151" s="663" t="s">
        <v>1586</v>
      </c>
      <c r="AD151" s="663" t="s">
        <v>1596</v>
      </c>
      <c r="AE151" s="663" t="s">
        <v>1587</v>
      </c>
      <c r="AF151" s="663" t="s">
        <v>1586</v>
      </c>
      <c r="AG151" s="663" t="s">
        <v>1585</v>
      </c>
      <c r="AH151" s="663" t="s">
        <v>1585</v>
      </c>
      <c r="AI151" s="688">
        <v>69.199999999999989</v>
      </c>
      <c r="AJ151" s="689" t="s">
        <v>1588</v>
      </c>
      <c r="AK151" s="690"/>
    </row>
    <row r="152" spans="1:37" s="653" customFormat="1">
      <c r="A152" s="655">
        <v>2024</v>
      </c>
      <c r="B152" s="656" t="str">
        <f>INDEX('①基本情報 '!$C$2:$C$255,MATCH('②建物情報 '!E152,'①基本情報 '!$E$2:$E$255,0),1)</f>
        <v>116</v>
      </c>
      <c r="C152" s="657" t="str">
        <f>INDEX('①基本情報 '!$B$2:$B$255,MATCH('②建物情報 '!E152,'①基本情報 '!$E$2:$E$255,0),1)</f>
        <v>1021</v>
      </c>
      <c r="D152" s="658" t="s">
        <v>2418</v>
      </c>
      <c r="E152" s="612" t="s">
        <v>835</v>
      </c>
      <c r="F152" s="597" t="str">
        <f>INDEX('①基本情報 '!$G$2:$G$255,MATCH('②建物情報 '!E152,'①基本情報 '!$E$2:$E$255,0),1)</f>
        <v>教育委員会教育総務部、学校教育部、生涯学習部</v>
      </c>
      <c r="G152" s="678" t="s">
        <v>1620</v>
      </c>
      <c r="H152" s="612" t="s">
        <v>1642</v>
      </c>
      <c r="I152" s="663">
        <v>1983</v>
      </c>
      <c r="J152" s="663">
        <v>3</v>
      </c>
      <c r="K152" s="663">
        <f t="shared" si="2"/>
        <v>41</v>
      </c>
      <c r="L152" s="694">
        <v>1233</v>
      </c>
      <c r="M152" s="704">
        <v>2293</v>
      </c>
      <c r="N152" s="704">
        <v>1387</v>
      </c>
      <c r="O152" s="681" t="s">
        <v>1594</v>
      </c>
      <c r="P152" s="663" t="s">
        <v>1581</v>
      </c>
      <c r="Q152" s="663">
        <v>3</v>
      </c>
      <c r="R152" s="690">
        <v>0</v>
      </c>
      <c r="S152" s="687" t="s">
        <v>1593</v>
      </c>
      <c r="T152" s="683" t="s">
        <v>825</v>
      </c>
      <c r="U152" s="663" t="s">
        <v>63</v>
      </c>
      <c r="V152" s="690"/>
      <c r="W152" s="687">
        <v>2024</v>
      </c>
      <c r="X152" s="686">
        <v>47</v>
      </c>
      <c r="Y152" s="687" t="s">
        <v>1585</v>
      </c>
      <c r="Z152" s="663" t="s">
        <v>1587</v>
      </c>
      <c r="AA152" s="663" t="s">
        <v>1587</v>
      </c>
      <c r="AB152" s="663" t="s">
        <v>1586</v>
      </c>
      <c r="AC152" s="663" t="s">
        <v>1586</v>
      </c>
      <c r="AD152" s="663" t="s">
        <v>825</v>
      </c>
      <c r="AE152" s="663" t="s">
        <v>825</v>
      </c>
      <c r="AF152" s="663" t="s">
        <v>1587</v>
      </c>
      <c r="AG152" s="663" t="s">
        <v>1587</v>
      </c>
      <c r="AH152" s="663" t="s">
        <v>1596</v>
      </c>
      <c r="AI152" s="688">
        <v>48.292682926829265</v>
      </c>
      <c r="AJ152" s="689" t="s">
        <v>1588</v>
      </c>
      <c r="AK152" s="690"/>
    </row>
    <row r="153" spans="1:37" s="653" customFormat="1">
      <c r="A153" s="655">
        <v>2024</v>
      </c>
      <c r="B153" s="656" t="str">
        <f>INDEX('①基本情報 '!$C$2:$C$255,MATCH('②建物情報 '!E153,'①基本情報 '!$E$2:$E$255,0),1)</f>
        <v>116</v>
      </c>
      <c r="C153" s="657" t="str">
        <f>INDEX('①基本情報 '!$B$2:$B$255,MATCH('②建物情報 '!E153,'①基本情報 '!$E$2:$E$255,0),1)</f>
        <v>1021</v>
      </c>
      <c r="D153" s="658" t="s">
        <v>2418</v>
      </c>
      <c r="E153" s="612" t="s">
        <v>835</v>
      </c>
      <c r="F153" s="597" t="str">
        <f>INDEX('①基本情報 '!$G$2:$G$255,MATCH('②建物情報 '!E153,'①基本情報 '!$E$2:$E$255,0),1)</f>
        <v>教育委員会教育総務部、学校教育部、生涯学習部</v>
      </c>
      <c r="G153" s="678" t="s">
        <v>1643</v>
      </c>
      <c r="H153" s="612" t="s">
        <v>1644</v>
      </c>
      <c r="I153" s="663">
        <v>2003</v>
      </c>
      <c r="J153" s="663">
        <v>8</v>
      </c>
      <c r="K153" s="663">
        <f t="shared" si="2"/>
        <v>21</v>
      </c>
      <c r="L153" s="694">
        <v>17</v>
      </c>
      <c r="M153" s="704">
        <v>68</v>
      </c>
      <c r="N153" s="704">
        <v>68</v>
      </c>
      <c r="O153" s="681" t="s">
        <v>1812</v>
      </c>
      <c r="P153" s="663" t="s">
        <v>1603</v>
      </c>
      <c r="Q153" s="663">
        <v>4</v>
      </c>
      <c r="R153" s="690">
        <v>0</v>
      </c>
      <c r="S153" s="687" t="s">
        <v>1593</v>
      </c>
      <c r="T153" s="683" t="s">
        <v>825</v>
      </c>
      <c r="U153" s="683" t="s">
        <v>1846</v>
      </c>
      <c r="V153" s="690"/>
      <c r="W153" s="687"/>
      <c r="X153" s="702">
        <v>34</v>
      </c>
      <c r="Y153" s="687" t="s">
        <v>1596</v>
      </c>
      <c r="Z153" s="663" t="s">
        <v>1586</v>
      </c>
      <c r="AA153" s="663" t="s">
        <v>1586</v>
      </c>
      <c r="AB153" s="663" t="s">
        <v>1586</v>
      </c>
      <c r="AC153" s="663" t="s">
        <v>1586</v>
      </c>
      <c r="AD153" s="663" t="s">
        <v>825</v>
      </c>
      <c r="AE153" s="663" t="s">
        <v>825</v>
      </c>
      <c r="AF153" s="663" t="s">
        <v>825</v>
      </c>
      <c r="AG153" s="663" t="s">
        <v>825</v>
      </c>
      <c r="AH153" s="663" t="s">
        <v>1586</v>
      </c>
      <c r="AI153" s="688">
        <v>70.666666666666671</v>
      </c>
      <c r="AJ153" s="689" t="s">
        <v>1588</v>
      </c>
      <c r="AK153" s="690"/>
    </row>
    <row r="154" spans="1:37" s="653" customFormat="1">
      <c r="A154" s="655">
        <v>2024</v>
      </c>
      <c r="B154" s="656" t="str">
        <f>INDEX('①基本情報 '!$C$2:$C$255,MATCH('②建物情報 '!E154,'①基本情報 '!$E$2:$E$255,0),1)</f>
        <v>116</v>
      </c>
      <c r="C154" s="657" t="str">
        <f>INDEX('①基本情報 '!$B$2:$B$255,MATCH('②建物情報 '!E154,'①基本情報 '!$E$2:$E$255,0),1)</f>
        <v>1021</v>
      </c>
      <c r="D154" s="658" t="s">
        <v>2418</v>
      </c>
      <c r="E154" s="612" t="s">
        <v>835</v>
      </c>
      <c r="F154" s="597" t="str">
        <f>INDEX('①基本情報 '!$G$2:$G$255,MATCH('②建物情報 '!E154,'①基本情報 '!$E$2:$E$255,0),1)</f>
        <v>教育委員会教育総務部、学校教育部、生涯学習部</v>
      </c>
      <c r="G154" s="678" t="s">
        <v>1645</v>
      </c>
      <c r="H154" s="612" t="s">
        <v>1609</v>
      </c>
      <c r="I154" s="663">
        <v>1981</v>
      </c>
      <c r="J154" s="663">
        <v>3</v>
      </c>
      <c r="K154" s="663">
        <f t="shared" si="2"/>
        <v>43</v>
      </c>
      <c r="L154" s="694"/>
      <c r="M154" s="704">
        <v>25</v>
      </c>
      <c r="N154" s="704">
        <v>25</v>
      </c>
      <c r="O154" s="681" t="s">
        <v>1812</v>
      </c>
      <c r="P154" s="663" t="s">
        <v>1603</v>
      </c>
      <c r="Q154" s="663">
        <v>1</v>
      </c>
      <c r="R154" s="690">
        <v>0</v>
      </c>
      <c r="S154" s="687" t="s">
        <v>1593</v>
      </c>
      <c r="T154" s="683" t="s">
        <v>825</v>
      </c>
      <c r="U154" s="683" t="s">
        <v>1846</v>
      </c>
      <c r="V154" s="690"/>
      <c r="W154" s="687"/>
      <c r="X154" s="702">
        <v>31</v>
      </c>
      <c r="Y154" s="687" t="s">
        <v>1585</v>
      </c>
      <c r="Z154" s="663" t="s">
        <v>1586</v>
      </c>
      <c r="AA154" s="663" t="s">
        <v>1585</v>
      </c>
      <c r="AB154" s="663" t="s">
        <v>1586</v>
      </c>
      <c r="AC154" s="663" t="s">
        <v>1586</v>
      </c>
      <c r="AD154" s="663" t="s">
        <v>825</v>
      </c>
      <c r="AE154" s="663" t="s">
        <v>1586</v>
      </c>
      <c r="AF154" s="663" t="s">
        <v>1586</v>
      </c>
      <c r="AG154" s="663" t="s">
        <v>825</v>
      </c>
      <c r="AH154" s="663" t="s">
        <v>1586</v>
      </c>
      <c r="AI154" s="688">
        <v>88.292682926829272</v>
      </c>
      <c r="AJ154" s="689" t="s">
        <v>1588</v>
      </c>
      <c r="AK154" s="690"/>
    </row>
    <row r="155" spans="1:37" s="653" customFormat="1">
      <c r="A155" s="655">
        <v>2024</v>
      </c>
      <c r="B155" s="656" t="str">
        <f>INDEX('①基本情報 '!$C$2:$C$255,MATCH('②建物情報 '!E155,'①基本情報 '!$E$2:$E$255,0),1)</f>
        <v>116</v>
      </c>
      <c r="C155" s="657" t="str">
        <f>INDEX('①基本情報 '!$B$2:$B$255,MATCH('②建物情報 '!E155,'①基本情報 '!$E$2:$E$255,0),1)</f>
        <v>1021</v>
      </c>
      <c r="D155" s="658" t="s">
        <v>2418</v>
      </c>
      <c r="E155" s="612" t="s">
        <v>835</v>
      </c>
      <c r="F155" s="597" t="str">
        <f>INDEX('①基本情報 '!$G$2:$G$255,MATCH('②建物情報 '!E155,'①基本情報 '!$E$2:$E$255,0),1)</f>
        <v>教育委員会教育総務部、学校教育部、生涯学習部</v>
      </c>
      <c r="G155" s="678" t="s">
        <v>1646</v>
      </c>
      <c r="H155" s="612" t="s">
        <v>1613</v>
      </c>
      <c r="I155" s="663">
        <v>1983</v>
      </c>
      <c r="J155" s="663">
        <v>6</v>
      </c>
      <c r="K155" s="663">
        <f t="shared" si="2"/>
        <v>41</v>
      </c>
      <c r="L155" s="694"/>
      <c r="M155" s="704">
        <v>46</v>
      </c>
      <c r="N155" s="704">
        <v>46</v>
      </c>
      <c r="O155" s="681" t="s">
        <v>1812</v>
      </c>
      <c r="P155" s="663" t="s">
        <v>1581</v>
      </c>
      <c r="Q155" s="663">
        <v>1</v>
      </c>
      <c r="R155" s="690">
        <v>0</v>
      </c>
      <c r="S155" s="687" t="s">
        <v>1593</v>
      </c>
      <c r="T155" s="683" t="s">
        <v>825</v>
      </c>
      <c r="U155" s="683" t="s">
        <v>1846</v>
      </c>
      <c r="V155" s="690"/>
      <c r="W155" s="687"/>
      <c r="X155" s="702">
        <v>38</v>
      </c>
      <c r="Y155" s="687" t="s">
        <v>1585</v>
      </c>
      <c r="Z155" s="663" t="s">
        <v>1586</v>
      </c>
      <c r="AA155" s="663" t="s">
        <v>1586</v>
      </c>
      <c r="AB155" s="663" t="s">
        <v>1586</v>
      </c>
      <c r="AC155" s="663" t="s">
        <v>1586</v>
      </c>
      <c r="AD155" s="663" t="s">
        <v>825</v>
      </c>
      <c r="AE155" s="663" t="s">
        <v>825</v>
      </c>
      <c r="AF155" s="663" t="s">
        <v>825</v>
      </c>
      <c r="AG155" s="663" t="s">
        <v>825</v>
      </c>
      <c r="AH155" s="663" t="s">
        <v>1586</v>
      </c>
      <c r="AI155" s="688">
        <v>84</v>
      </c>
      <c r="AJ155" s="689" t="s">
        <v>1588</v>
      </c>
      <c r="AK155" s="690"/>
    </row>
    <row r="156" spans="1:37" s="653" customFormat="1">
      <c r="A156" s="655">
        <v>2024</v>
      </c>
      <c r="B156" s="656" t="str">
        <f>INDEX('①基本情報 '!$C$2:$C$255,MATCH('②建物情報 '!E156,'①基本情報 '!$E$2:$E$255,0),1)</f>
        <v>116</v>
      </c>
      <c r="C156" s="657" t="str">
        <f>INDEX('①基本情報 '!$B$2:$B$255,MATCH('②建物情報 '!E156,'①基本情報 '!$E$2:$E$255,0),1)</f>
        <v>1021</v>
      </c>
      <c r="D156" s="658" t="s">
        <v>2418</v>
      </c>
      <c r="E156" s="612" t="s">
        <v>835</v>
      </c>
      <c r="F156" s="597" t="str">
        <f>INDEX('①基本情報 '!$G$2:$G$255,MATCH('②建物情報 '!E156,'①基本情報 '!$E$2:$E$255,0),1)</f>
        <v>教育委員会教育総務部、学校教育部、生涯学習部</v>
      </c>
      <c r="G156" s="678" t="s">
        <v>1647</v>
      </c>
      <c r="H156" s="612" t="s">
        <v>1612</v>
      </c>
      <c r="I156" s="663">
        <v>1983</v>
      </c>
      <c r="J156" s="663">
        <v>6</v>
      </c>
      <c r="K156" s="663">
        <f t="shared" si="2"/>
        <v>41</v>
      </c>
      <c r="L156" s="694"/>
      <c r="M156" s="704">
        <v>12</v>
      </c>
      <c r="N156" s="704">
        <v>12</v>
      </c>
      <c r="O156" s="681" t="s">
        <v>1812</v>
      </c>
      <c r="P156" s="663" t="s">
        <v>1581</v>
      </c>
      <c r="Q156" s="663">
        <v>1</v>
      </c>
      <c r="R156" s="690">
        <v>0</v>
      </c>
      <c r="S156" s="687" t="s">
        <v>1593</v>
      </c>
      <c r="T156" s="683" t="s">
        <v>825</v>
      </c>
      <c r="U156" s="683" t="s">
        <v>1846</v>
      </c>
      <c r="V156" s="690"/>
      <c r="W156" s="687"/>
      <c r="X156" s="702">
        <v>38</v>
      </c>
      <c r="Y156" s="687" t="s">
        <v>1585</v>
      </c>
      <c r="Z156" s="663" t="s">
        <v>1586</v>
      </c>
      <c r="AA156" s="663" t="s">
        <v>1586</v>
      </c>
      <c r="AB156" s="663" t="s">
        <v>1586</v>
      </c>
      <c r="AC156" s="663" t="s">
        <v>1586</v>
      </c>
      <c r="AD156" s="663" t="s">
        <v>825</v>
      </c>
      <c r="AE156" s="663" t="s">
        <v>825</v>
      </c>
      <c r="AF156" s="663" t="s">
        <v>825</v>
      </c>
      <c r="AG156" s="663" t="s">
        <v>825</v>
      </c>
      <c r="AH156" s="663" t="s">
        <v>1586</v>
      </c>
      <c r="AI156" s="688">
        <v>84</v>
      </c>
      <c r="AJ156" s="689" t="s">
        <v>1588</v>
      </c>
      <c r="AK156" s="690"/>
    </row>
    <row r="157" spans="1:37" s="653" customFormat="1">
      <c r="A157" s="655">
        <v>2024</v>
      </c>
      <c r="B157" s="719">
        <v>116</v>
      </c>
      <c r="C157" s="657">
        <v>1021</v>
      </c>
      <c r="D157" s="658" t="s">
        <v>2415</v>
      </c>
      <c r="E157" s="612" t="s">
        <v>835</v>
      </c>
      <c r="F157" s="597" t="str">
        <f>INDEX('①基本情報 '!$G$2:$G$255,MATCH('②建物情報 '!E157,'①基本情報 '!$E$2:$E$255,0),1)</f>
        <v>教育委員会教育総務部、学校教育部、生涯学習部</v>
      </c>
      <c r="G157" s="678" t="s">
        <v>2779</v>
      </c>
      <c r="H157" s="612" t="s">
        <v>2780</v>
      </c>
      <c r="I157" s="663">
        <v>2024</v>
      </c>
      <c r="J157" s="663">
        <v>11</v>
      </c>
      <c r="K157" s="663">
        <v>0</v>
      </c>
      <c r="L157" s="694">
        <v>35</v>
      </c>
      <c r="M157" s="704">
        <v>135</v>
      </c>
      <c r="N157" s="704">
        <v>135</v>
      </c>
      <c r="O157" s="681" t="s">
        <v>1812</v>
      </c>
      <c r="P157" s="663" t="s">
        <v>1890</v>
      </c>
      <c r="Q157" s="663">
        <v>4</v>
      </c>
      <c r="R157" s="690">
        <v>0</v>
      </c>
      <c r="S157" s="687" t="s">
        <v>2537</v>
      </c>
      <c r="T157" s="683" t="s">
        <v>1966</v>
      </c>
      <c r="U157" s="683" t="s">
        <v>63</v>
      </c>
      <c r="V157" s="690"/>
      <c r="W157" s="687"/>
      <c r="X157" s="702">
        <v>47</v>
      </c>
      <c r="Y157" s="687"/>
      <c r="Z157" s="663"/>
      <c r="AA157" s="663"/>
      <c r="AB157" s="663"/>
      <c r="AC157" s="663"/>
      <c r="AD157" s="663"/>
      <c r="AE157" s="663"/>
      <c r="AF157" s="663"/>
      <c r="AG157" s="663"/>
      <c r="AH157" s="663"/>
      <c r="AI157" s="688"/>
      <c r="AJ157" s="689" t="s">
        <v>2123</v>
      </c>
      <c r="AK157" s="690"/>
    </row>
    <row r="158" spans="1:37" s="653" customFormat="1">
      <c r="A158" s="655">
        <v>2024</v>
      </c>
      <c r="B158" s="656" t="str">
        <f>INDEX('①基本情報 '!$C$2:$C$255,MATCH('②建物情報 '!E158,'①基本情報 '!$E$2:$E$255,0),1)</f>
        <v>117</v>
      </c>
      <c r="C158" s="657" t="str">
        <f>INDEX('①基本情報 '!$B$2:$B$255,MATCH('②建物情報 '!E158,'①基本情報 '!$E$2:$E$255,0),1)</f>
        <v>1022</v>
      </c>
      <c r="D158" s="658" t="s">
        <v>2418</v>
      </c>
      <c r="E158" s="612" t="s">
        <v>851</v>
      </c>
      <c r="F158" s="597" t="str">
        <f>INDEX('①基本情報 '!$G$2:$G$255,MATCH('②建物情報 '!E158,'①基本情報 '!$E$2:$E$255,0),1)</f>
        <v>教育委員会教育総務部、学校教育部、生涯学習部</v>
      </c>
      <c r="G158" s="678" t="s">
        <v>1580</v>
      </c>
      <c r="H158" s="612" t="s">
        <v>1638</v>
      </c>
      <c r="I158" s="663">
        <v>1963</v>
      </c>
      <c r="J158" s="663">
        <v>3</v>
      </c>
      <c r="K158" s="663">
        <f t="shared" si="2"/>
        <v>61</v>
      </c>
      <c r="L158" s="694">
        <v>385</v>
      </c>
      <c r="M158" s="704">
        <v>1219</v>
      </c>
      <c r="N158" s="704">
        <v>1154</v>
      </c>
      <c r="O158" s="681" t="s">
        <v>1594</v>
      </c>
      <c r="P158" s="663" t="s">
        <v>1581</v>
      </c>
      <c r="Q158" s="663">
        <v>3</v>
      </c>
      <c r="R158" s="690">
        <v>0</v>
      </c>
      <c r="S158" s="687" t="s">
        <v>1582</v>
      </c>
      <c r="T158" s="663" t="s">
        <v>1583</v>
      </c>
      <c r="U158" s="683" t="s">
        <v>63</v>
      </c>
      <c r="V158" s="690">
        <v>2004</v>
      </c>
      <c r="W158" s="687">
        <v>2016</v>
      </c>
      <c r="X158" s="686">
        <v>47</v>
      </c>
      <c r="Y158" s="687" t="s">
        <v>1585</v>
      </c>
      <c r="Z158" s="663" t="s">
        <v>1596</v>
      </c>
      <c r="AA158" s="663" t="s">
        <v>1596</v>
      </c>
      <c r="AB158" s="663" t="s">
        <v>1587</v>
      </c>
      <c r="AC158" s="663" t="s">
        <v>1596</v>
      </c>
      <c r="AD158" s="663" t="s">
        <v>1596</v>
      </c>
      <c r="AE158" s="663" t="s">
        <v>1587</v>
      </c>
      <c r="AF158" s="663" t="s">
        <v>1596</v>
      </c>
      <c r="AG158" s="663" t="s">
        <v>1587</v>
      </c>
      <c r="AH158" s="663" t="s">
        <v>1596</v>
      </c>
      <c r="AI158" s="688">
        <v>49.6</v>
      </c>
      <c r="AJ158" s="689" t="s">
        <v>1588</v>
      </c>
      <c r="AK158" s="690"/>
    </row>
    <row r="159" spans="1:37" s="653" customFormat="1">
      <c r="A159" s="655">
        <v>2024</v>
      </c>
      <c r="B159" s="656" t="str">
        <f>INDEX('①基本情報 '!$C$2:$C$255,MATCH('②建物情報 '!E159,'①基本情報 '!$E$2:$E$255,0),1)</f>
        <v>117</v>
      </c>
      <c r="C159" s="657" t="str">
        <f>INDEX('①基本情報 '!$B$2:$B$255,MATCH('②建物情報 '!E159,'①基本情報 '!$E$2:$E$255,0),1)</f>
        <v>1022</v>
      </c>
      <c r="D159" s="658" t="s">
        <v>2418</v>
      </c>
      <c r="E159" s="612" t="s">
        <v>851</v>
      </c>
      <c r="F159" s="597" t="str">
        <f>INDEX('①基本情報 '!$G$2:$G$255,MATCH('②建物情報 '!E159,'①基本情報 '!$E$2:$E$255,0),1)</f>
        <v>教育委員会教育総務部、学校教育部、生涯学習部</v>
      </c>
      <c r="G159" s="678" t="s">
        <v>1589</v>
      </c>
      <c r="H159" s="612" t="s">
        <v>1639</v>
      </c>
      <c r="I159" s="663">
        <v>1964</v>
      </c>
      <c r="J159" s="663">
        <v>8</v>
      </c>
      <c r="K159" s="663">
        <f t="shared" si="2"/>
        <v>60</v>
      </c>
      <c r="L159" s="694">
        <v>535</v>
      </c>
      <c r="M159" s="704">
        <v>1605</v>
      </c>
      <c r="N159" s="704">
        <v>1605</v>
      </c>
      <c r="O159" s="681" t="s">
        <v>1594</v>
      </c>
      <c r="P159" s="663" t="s">
        <v>1581</v>
      </c>
      <c r="Q159" s="663">
        <v>3</v>
      </c>
      <c r="R159" s="690">
        <v>0</v>
      </c>
      <c r="S159" s="687" t="s">
        <v>1582</v>
      </c>
      <c r="T159" s="663" t="s">
        <v>1583</v>
      </c>
      <c r="U159" s="683" t="s">
        <v>63</v>
      </c>
      <c r="V159" s="690">
        <v>2004</v>
      </c>
      <c r="W159" s="687">
        <v>2016</v>
      </c>
      <c r="X159" s="686">
        <v>47</v>
      </c>
      <c r="Y159" s="687" t="s">
        <v>1585</v>
      </c>
      <c r="Z159" s="663" t="s">
        <v>1596</v>
      </c>
      <c r="AA159" s="663" t="s">
        <v>1596</v>
      </c>
      <c r="AB159" s="663" t="s">
        <v>1587</v>
      </c>
      <c r="AC159" s="663" t="s">
        <v>1596</v>
      </c>
      <c r="AD159" s="663" t="s">
        <v>1596</v>
      </c>
      <c r="AE159" s="663" t="s">
        <v>1587</v>
      </c>
      <c r="AF159" s="663" t="s">
        <v>1596</v>
      </c>
      <c r="AG159" s="663" t="s">
        <v>1585</v>
      </c>
      <c r="AH159" s="663" t="s">
        <v>1585</v>
      </c>
      <c r="AI159" s="688">
        <v>54</v>
      </c>
      <c r="AJ159" s="689" t="s">
        <v>1588</v>
      </c>
      <c r="AK159" s="690"/>
    </row>
    <row r="160" spans="1:37" s="653" customFormat="1">
      <c r="A160" s="655">
        <v>2024</v>
      </c>
      <c r="B160" s="656" t="str">
        <f>INDEX('①基本情報 '!$C$2:$C$255,MATCH('②建物情報 '!E160,'①基本情報 '!$E$2:$E$255,0),1)</f>
        <v>117</v>
      </c>
      <c r="C160" s="657" t="str">
        <f>INDEX('①基本情報 '!$B$2:$B$255,MATCH('②建物情報 '!E160,'①基本情報 '!$E$2:$E$255,0),1)</f>
        <v>1022</v>
      </c>
      <c r="D160" s="658" t="s">
        <v>2418</v>
      </c>
      <c r="E160" s="612" t="s">
        <v>851</v>
      </c>
      <c r="F160" s="597" t="str">
        <f>INDEX('①基本情報 '!$G$2:$G$255,MATCH('②建物情報 '!E160,'①基本情報 '!$E$2:$E$255,0),1)</f>
        <v>教育委員会教育総務部、学校教育部、生涯学習部</v>
      </c>
      <c r="G160" s="678" t="s">
        <v>1591</v>
      </c>
      <c r="H160" s="612" t="s">
        <v>1640</v>
      </c>
      <c r="I160" s="663">
        <v>1966</v>
      </c>
      <c r="J160" s="663">
        <v>3</v>
      </c>
      <c r="K160" s="663">
        <f t="shared" si="2"/>
        <v>58</v>
      </c>
      <c r="L160" s="694">
        <v>497</v>
      </c>
      <c r="M160" s="704">
        <v>1536</v>
      </c>
      <c r="N160" s="704">
        <v>1536</v>
      </c>
      <c r="O160" s="681" t="s">
        <v>1812</v>
      </c>
      <c r="P160" s="663" t="s">
        <v>1581</v>
      </c>
      <c r="Q160" s="663">
        <v>3</v>
      </c>
      <c r="R160" s="690">
        <v>0</v>
      </c>
      <c r="S160" s="687" t="s">
        <v>1582</v>
      </c>
      <c r="T160" s="663" t="s">
        <v>1583</v>
      </c>
      <c r="U160" s="683" t="s">
        <v>63</v>
      </c>
      <c r="V160" s="690">
        <v>2004</v>
      </c>
      <c r="W160" s="687">
        <v>2015</v>
      </c>
      <c r="X160" s="686">
        <v>47</v>
      </c>
      <c r="Y160" s="687" t="s">
        <v>1585</v>
      </c>
      <c r="Z160" s="663" t="s">
        <v>1596</v>
      </c>
      <c r="AA160" s="663" t="s">
        <v>1596</v>
      </c>
      <c r="AB160" s="663" t="s">
        <v>1587</v>
      </c>
      <c r="AC160" s="663" t="s">
        <v>1596</v>
      </c>
      <c r="AD160" s="663" t="s">
        <v>1596</v>
      </c>
      <c r="AE160" s="663" t="s">
        <v>1587</v>
      </c>
      <c r="AF160" s="663" t="s">
        <v>1587</v>
      </c>
      <c r="AG160" s="663" t="s">
        <v>1596</v>
      </c>
      <c r="AH160" s="663" t="s">
        <v>1596</v>
      </c>
      <c r="AI160" s="688">
        <v>48.8</v>
      </c>
      <c r="AJ160" s="689" t="s">
        <v>1588</v>
      </c>
      <c r="AK160" s="690"/>
    </row>
    <row r="161" spans="1:37" s="653" customFormat="1">
      <c r="A161" s="655">
        <v>2024</v>
      </c>
      <c r="B161" s="656" t="str">
        <f>INDEX('①基本情報 '!$C$2:$C$255,MATCH('②建物情報 '!E161,'①基本情報 '!$E$2:$E$255,0),1)</f>
        <v>117</v>
      </c>
      <c r="C161" s="657" t="str">
        <f>INDEX('①基本情報 '!$B$2:$B$255,MATCH('②建物情報 '!E161,'①基本情報 '!$E$2:$E$255,0),1)</f>
        <v>1022</v>
      </c>
      <c r="D161" s="658" t="s">
        <v>2418</v>
      </c>
      <c r="E161" s="612" t="s">
        <v>851</v>
      </c>
      <c r="F161" s="597" t="str">
        <f>INDEX('①基本情報 '!$G$2:$G$255,MATCH('②建物情報 '!E161,'①基本情報 '!$E$2:$E$255,0),1)</f>
        <v>教育委員会教育総務部、学校教育部、生涯学習部</v>
      </c>
      <c r="G161" s="678" t="s">
        <v>1601</v>
      </c>
      <c r="H161" s="612" t="s">
        <v>1641</v>
      </c>
      <c r="I161" s="663">
        <v>1968</v>
      </c>
      <c r="J161" s="663">
        <v>9</v>
      </c>
      <c r="K161" s="663">
        <f t="shared" si="2"/>
        <v>56</v>
      </c>
      <c r="L161" s="694">
        <v>371</v>
      </c>
      <c r="M161" s="704">
        <v>1126</v>
      </c>
      <c r="N161" s="704">
        <v>1126</v>
      </c>
      <c r="O161" s="681" t="s">
        <v>1812</v>
      </c>
      <c r="P161" s="663" t="s">
        <v>1581</v>
      </c>
      <c r="Q161" s="663">
        <v>3</v>
      </c>
      <c r="R161" s="690">
        <v>0</v>
      </c>
      <c r="S161" s="687" t="s">
        <v>1582</v>
      </c>
      <c r="T161" s="663" t="s">
        <v>1583</v>
      </c>
      <c r="U161" s="683" t="s">
        <v>63</v>
      </c>
      <c r="V161" s="690">
        <v>2004</v>
      </c>
      <c r="W161" s="687">
        <v>2015</v>
      </c>
      <c r="X161" s="686">
        <v>47</v>
      </c>
      <c r="Y161" s="687" t="s">
        <v>1585</v>
      </c>
      <c r="Z161" s="663" t="s">
        <v>1587</v>
      </c>
      <c r="AA161" s="663" t="s">
        <v>1596</v>
      </c>
      <c r="AB161" s="663" t="s">
        <v>1587</v>
      </c>
      <c r="AC161" s="663" t="s">
        <v>1596</v>
      </c>
      <c r="AD161" s="663" t="s">
        <v>1596</v>
      </c>
      <c r="AE161" s="663" t="s">
        <v>1587</v>
      </c>
      <c r="AF161" s="663" t="s">
        <v>1587</v>
      </c>
      <c r="AG161" s="663" t="s">
        <v>1596</v>
      </c>
      <c r="AH161" s="663" t="s">
        <v>1596</v>
      </c>
      <c r="AI161" s="688">
        <v>46.153846153846153</v>
      </c>
      <c r="AJ161" s="689" t="s">
        <v>1588</v>
      </c>
      <c r="AK161" s="690"/>
    </row>
    <row r="162" spans="1:37" s="653" customFormat="1">
      <c r="A162" s="655">
        <v>2024</v>
      </c>
      <c r="B162" s="656" t="str">
        <f>INDEX('①基本情報 '!$C$2:$C$255,MATCH('②建物情報 '!E162,'①基本情報 '!$E$2:$E$255,0),1)</f>
        <v>117</v>
      </c>
      <c r="C162" s="657" t="str">
        <f>INDEX('①基本情報 '!$B$2:$B$255,MATCH('②建物情報 '!E162,'①基本情報 '!$E$2:$E$255,0),1)</f>
        <v>1022</v>
      </c>
      <c r="D162" s="658" t="s">
        <v>2418</v>
      </c>
      <c r="E162" s="612" t="s">
        <v>851</v>
      </c>
      <c r="F162" s="597" t="str">
        <f>INDEX('①基本情報 '!$G$2:$G$255,MATCH('②建物情報 '!E162,'①基本情報 '!$E$2:$E$255,0),1)</f>
        <v>教育委員会教育総務部、学校教育部、生涯学習部</v>
      </c>
      <c r="G162" s="678" t="s">
        <v>1620</v>
      </c>
      <c r="H162" s="612" t="s">
        <v>1648</v>
      </c>
      <c r="I162" s="663">
        <v>1975</v>
      </c>
      <c r="J162" s="663">
        <v>3</v>
      </c>
      <c r="K162" s="663">
        <f t="shared" si="2"/>
        <v>49</v>
      </c>
      <c r="L162" s="694">
        <v>481</v>
      </c>
      <c r="M162" s="704">
        <v>1678</v>
      </c>
      <c r="N162" s="704">
        <v>1678</v>
      </c>
      <c r="O162" s="681" t="s">
        <v>1812</v>
      </c>
      <c r="P162" s="663" t="s">
        <v>1581</v>
      </c>
      <c r="Q162" s="663">
        <v>5</v>
      </c>
      <c r="R162" s="690">
        <v>0</v>
      </c>
      <c r="S162" s="687" t="s">
        <v>1582</v>
      </c>
      <c r="T162" s="663" t="s">
        <v>1583</v>
      </c>
      <c r="U162" s="683" t="s">
        <v>63</v>
      </c>
      <c r="V162" s="690">
        <v>2005</v>
      </c>
      <c r="W162" s="687"/>
      <c r="X162" s="686">
        <v>47</v>
      </c>
      <c r="Y162" s="687" t="s">
        <v>1585</v>
      </c>
      <c r="Z162" s="663" t="s">
        <v>1587</v>
      </c>
      <c r="AA162" s="663" t="s">
        <v>1596</v>
      </c>
      <c r="AB162" s="663" t="s">
        <v>1587</v>
      </c>
      <c r="AC162" s="663" t="s">
        <v>1596</v>
      </c>
      <c r="AD162" s="663" t="s">
        <v>1596</v>
      </c>
      <c r="AE162" s="663" t="s">
        <v>1587</v>
      </c>
      <c r="AF162" s="663" t="s">
        <v>1587</v>
      </c>
      <c r="AG162" s="663" t="s">
        <v>1596</v>
      </c>
      <c r="AH162" s="663" t="s">
        <v>1596</v>
      </c>
      <c r="AI162" s="688">
        <v>41.538461538461533</v>
      </c>
      <c r="AJ162" s="689" t="s">
        <v>1588</v>
      </c>
      <c r="AK162" s="690"/>
    </row>
    <row r="163" spans="1:37" s="653" customFormat="1">
      <c r="A163" s="655">
        <v>2024</v>
      </c>
      <c r="B163" s="656" t="str">
        <f>INDEX('①基本情報 '!$C$2:$C$255,MATCH('②建物情報 '!E163,'①基本情報 '!$E$2:$E$255,0),1)</f>
        <v>117</v>
      </c>
      <c r="C163" s="657" t="str">
        <f>INDEX('①基本情報 '!$B$2:$B$255,MATCH('②建物情報 '!E163,'①基本情報 '!$E$2:$E$255,0),1)</f>
        <v>1022</v>
      </c>
      <c r="D163" s="658" t="s">
        <v>2418</v>
      </c>
      <c r="E163" s="612" t="s">
        <v>851</v>
      </c>
      <c r="F163" s="597" t="str">
        <f>INDEX('①基本情報 '!$G$2:$G$255,MATCH('②建物情報 '!E163,'①基本情報 '!$E$2:$E$255,0),1)</f>
        <v>教育委員会教育総務部、学校教育部、生涯学習部</v>
      </c>
      <c r="G163" s="678" t="s">
        <v>1643</v>
      </c>
      <c r="H163" s="612" t="s">
        <v>1649</v>
      </c>
      <c r="I163" s="663">
        <v>1967</v>
      </c>
      <c r="J163" s="663">
        <v>2</v>
      </c>
      <c r="K163" s="663">
        <f t="shared" si="2"/>
        <v>57</v>
      </c>
      <c r="L163" s="694">
        <v>856</v>
      </c>
      <c r="M163" s="704">
        <v>878</v>
      </c>
      <c r="N163" s="704">
        <v>878</v>
      </c>
      <c r="O163" s="681" t="s">
        <v>1812</v>
      </c>
      <c r="P163" s="663" t="s">
        <v>1581</v>
      </c>
      <c r="Q163" s="663">
        <v>2</v>
      </c>
      <c r="R163" s="690">
        <v>0</v>
      </c>
      <c r="S163" s="687" t="s">
        <v>1582</v>
      </c>
      <c r="T163" s="663" t="s">
        <v>1583</v>
      </c>
      <c r="U163" s="683" t="s">
        <v>63</v>
      </c>
      <c r="V163" s="690">
        <v>2005</v>
      </c>
      <c r="W163" s="687">
        <v>2014</v>
      </c>
      <c r="X163" s="686">
        <v>47</v>
      </c>
      <c r="Y163" s="687" t="s">
        <v>1585</v>
      </c>
      <c r="Z163" s="663" t="s">
        <v>1596</v>
      </c>
      <c r="AA163" s="663" t="s">
        <v>1585</v>
      </c>
      <c r="AB163" s="663" t="s">
        <v>1587</v>
      </c>
      <c r="AC163" s="663" t="s">
        <v>1596</v>
      </c>
      <c r="AD163" s="663" t="s">
        <v>825</v>
      </c>
      <c r="AE163" s="663" t="s">
        <v>1587</v>
      </c>
      <c r="AF163" s="663" t="s">
        <v>1596</v>
      </c>
      <c r="AG163" s="663" t="s">
        <v>1596</v>
      </c>
      <c r="AH163" s="663" t="s">
        <v>1585</v>
      </c>
      <c r="AI163" s="688">
        <v>50.212765957446813</v>
      </c>
      <c r="AJ163" s="689" t="s">
        <v>1588</v>
      </c>
      <c r="AK163" s="690"/>
    </row>
    <row r="164" spans="1:37" s="653" customFormat="1">
      <c r="A164" s="655">
        <v>2024</v>
      </c>
      <c r="B164" s="656" t="str">
        <f>INDEX('①基本情報 '!$C$2:$C$255,MATCH('②建物情報 '!E164,'①基本情報 '!$E$2:$E$255,0),1)</f>
        <v>117</v>
      </c>
      <c r="C164" s="657" t="str">
        <f>INDEX('①基本情報 '!$B$2:$B$255,MATCH('②建物情報 '!E164,'①基本情報 '!$E$2:$E$255,0),1)</f>
        <v>1022</v>
      </c>
      <c r="D164" s="658" t="s">
        <v>2418</v>
      </c>
      <c r="E164" s="612" t="s">
        <v>851</v>
      </c>
      <c r="F164" s="597" t="str">
        <f>INDEX('①基本情報 '!$G$2:$G$255,MATCH('②建物情報 '!E164,'①基本情報 '!$E$2:$E$255,0),1)</f>
        <v>教育委員会教育総務部、学校教育部、生涯学習部</v>
      </c>
      <c r="G164" s="678" t="s">
        <v>1645</v>
      </c>
      <c r="H164" s="612" t="s">
        <v>1650</v>
      </c>
      <c r="I164" s="663">
        <v>1986</v>
      </c>
      <c r="J164" s="663">
        <v>2</v>
      </c>
      <c r="K164" s="663">
        <f t="shared" si="2"/>
        <v>38</v>
      </c>
      <c r="L164" s="694">
        <v>286</v>
      </c>
      <c r="M164" s="704">
        <v>328</v>
      </c>
      <c r="N164" s="704">
        <v>328</v>
      </c>
      <c r="O164" s="681" t="s">
        <v>1812</v>
      </c>
      <c r="P164" s="663" t="s">
        <v>1603</v>
      </c>
      <c r="Q164" s="663">
        <v>2</v>
      </c>
      <c r="R164" s="690">
        <v>0</v>
      </c>
      <c r="S164" s="687" t="s">
        <v>1593</v>
      </c>
      <c r="T164" s="683" t="s">
        <v>825</v>
      </c>
      <c r="U164" s="663" t="s">
        <v>63</v>
      </c>
      <c r="V164" s="690"/>
      <c r="W164" s="687">
        <v>2015</v>
      </c>
      <c r="X164" s="702">
        <v>31</v>
      </c>
      <c r="Y164" s="687" t="s">
        <v>1596</v>
      </c>
      <c r="Z164" s="663" t="s">
        <v>1596</v>
      </c>
      <c r="AA164" s="663" t="s">
        <v>1596</v>
      </c>
      <c r="AB164" s="663" t="s">
        <v>1587</v>
      </c>
      <c r="AC164" s="663" t="s">
        <v>1596</v>
      </c>
      <c r="AD164" s="663" t="s">
        <v>1596</v>
      </c>
      <c r="AE164" s="663" t="s">
        <v>1587</v>
      </c>
      <c r="AF164" s="663" t="s">
        <v>1587</v>
      </c>
      <c r="AG164" s="663" t="s">
        <v>1587</v>
      </c>
      <c r="AH164" s="663" t="s">
        <v>1596</v>
      </c>
      <c r="AI164" s="688">
        <v>42.000000000000007</v>
      </c>
      <c r="AJ164" s="689" t="s">
        <v>1588</v>
      </c>
      <c r="AK164" s="690"/>
    </row>
    <row r="165" spans="1:37" s="653" customFormat="1">
      <c r="A165" s="655">
        <v>2024</v>
      </c>
      <c r="B165" s="656" t="str">
        <f>INDEX('①基本情報 '!$C$2:$C$255,MATCH('②建物情報 '!E165,'①基本情報 '!$E$2:$E$255,0),1)</f>
        <v>117</v>
      </c>
      <c r="C165" s="657" t="str">
        <f>INDEX('①基本情報 '!$B$2:$B$255,MATCH('②建物情報 '!E165,'①基本情報 '!$E$2:$E$255,0),1)</f>
        <v>1022</v>
      </c>
      <c r="D165" s="658" t="s">
        <v>2418</v>
      </c>
      <c r="E165" s="612" t="s">
        <v>851</v>
      </c>
      <c r="F165" s="597" t="str">
        <f>INDEX('①基本情報 '!$G$2:$G$255,MATCH('②建物情報 '!E165,'①基本情報 '!$E$2:$E$255,0),1)</f>
        <v>教育委員会教育総務部、学校教育部、生涯学習部</v>
      </c>
      <c r="G165" s="678" t="s">
        <v>1646</v>
      </c>
      <c r="H165" s="612" t="s">
        <v>1651</v>
      </c>
      <c r="I165" s="663">
        <v>1964</v>
      </c>
      <c r="J165" s="663">
        <v>8</v>
      </c>
      <c r="K165" s="663">
        <f t="shared" si="2"/>
        <v>60</v>
      </c>
      <c r="L165" s="694">
        <v>289</v>
      </c>
      <c r="M165" s="704">
        <v>692</v>
      </c>
      <c r="N165" s="704">
        <v>692</v>
      </c>
      <c r="O165" s="681" t="s">
        <v>1812</v>
      </c>
      <c r="P165" s="663" t="s">
        <v>1581</v>
      </c>
      <c r="Q165" s="663">
        <v>3</v>
      </c>
      <c r="R165" s="690">
        <v>0</v>
      </c>
      <c r="S165" s="687" t="s">
        <v>1582</v>
      </c>
      <c r="T165" s="663" t="s">
        <v>1583</v>
      </c>
      <c r="U165" s="683" t="s">
        <v>63</v>
      </c>
      <c r="V165" s="690">
        <v>2010</v>
      </c>
      <c r="W165" s="687">
        <v>2010</v>
      </c>
      <c r="X165" s="686">
        <v>47</v>
      </c>
      <c r="Y165" s="687" t="s">
        <v>1585</v>
      </c>
      <c r="Z165" s="663" t="s">
        <v>1585</v>
      </c>
      <c r="AA165" s="663" t="s">
        <v>1585</v>
      </c>
      <c r="AB165" s="663" t="s">
        <v>1587</v>
      </c>
      <c r="AC165" s="663" t="s">
        <v>1596</v>
      </c>
      <c r="AD165" s="663" t="s">
        <v>1585</v>
      </c>
      <c r="AE165" s="663" t="s">
        <v>1587</v>
      </c>
      <c r="AF165" s="663" t="s">
        <v>1587</v>
      </c>
      <c r="AG165" s="663" t="s">
        <v>1596</v>
      </c>
      <c r="AH165" s="663" t="s">
        <v>1585</v>
      </c>
      <c r="AI165" s="688">
        <v>58.000000000000007</v>
      </c>
      <c r="AJ165" s="689" t="s">
        <v>1588</v>
      </c>
      <c r="AK165" s="690"/>
    </row>
    <row r="166" spans="1:37" s="653" customFormat="1">
      <c r="A166" s="655">
        <v>2024</v>
      </c>
      <c r="B166" s="656" t="str">
        <f>INDEX('①基本情報 '!$C$2:$C$255,MATCH('②建物情報 '!E166,'①基本情報 '!$E$2:$E$255,0),1)</f>
        <v>117</v>
      </c>
      <c r="C166" s="657" t="str">
        <f>INDEX('①基本情報 '!$B$2:$B$255,MATCH('②建物情報 '!E166,'①基本情報 '!$E$2:$E$255,0),1)</f>
        <v>1022</v>
      </c>
      <c r="D166" s="658" t="s">
        <v>2418</v>
      </c>
      <c r="E166" s="612" t="s">
        <v>851</v>
      </c>
      <c r="F166" s="597" t="str">
        <f>INDEX('①基本情報 '!$G$2:$G$255,MATCH('②建物情報 '!E166,'①基本情報 '!$E$2:$E$255,0),1)</f>
        <v>教育委員会教育総務部、学校教育部、生涯学習部</v>
      </c>
      <c r="G166" s="678" t="s">
        <v>1647</v>
      </c>
      <c r="H166" s="612" t="s">
        <v>1612</v>
      </c>
      <c r="I166" s="663">
        <v>1976</v>
      </c>
      <c r="J166" s="663">
        <v>10</v>
      </c>
      <c r="K166" s="663">
        <f t="shared" si="2"/>
        <v>48</v>
      </c>
      <c r="L166" s="694">
        <v>123</v>
      </c>
      <c r="M166" s="704">
        <v>123</v>
      </c>
      <c r="N166" s="704">
        <v>123</v>
      </c>
      <c r="O166" s="681" t="s">
        <v>1812</v>
      </c>
      <c r="P166" s="663" t="s">
        <v>1581</v>
      </c>
      <c r="Q166" s="663">
        <v>1</v>
      </c>
      <c r="R166" s="690">
        <v>0</v>
      </c>
      <c r="S166" s="687" t="s">
        <v>1582</v>
      </c>
      <c r="T166" s="683"/>
      <c r="U166" s="683" t="s">
        <v>1965</v>
      </c>
      <c r="V166" s="690"/>
      <c r="W166" s="687"/>
      <c r="X166" s="686">
        <v>38</v>
      </c>
      <c r="Y166" s="687" t="s">
        <v>1585</v>
      </c>
      <c r="Z166" s="663" t="s">
        <v>1596</v>
      </c>
      <c r="AA166" s="663" t="s">
        <v>1596</v>
      </c>
      <c r="AB166" s="663" t="s">
        <v>1587</v>
      </c>
      <c r="AC166" s="663" t="s">
        <v>1596</v>
      </c>
      <c r="AD166" s="663" t="s">
        <v>825</v>
      </c>
      <c r="AE166" s="663" t="s">
        <v>825</v>
      </c>
      <c r="AF166" s="663" t="s">
        <v>825</v>
      </c>
      <c r="AG166" s="663" t="s">
        <v>825</v>
      </c>
      <c r="AH166" s="663" t="s">
        <v>1596</v>
      </c>
      <c r="AI166" s="688">
        <v>49.333333333333329</v>
      </c>
      <c r="AJ166" s="689" t="s">
        <v>1588</v>
      </c>
      <c r="AK166" s="690"/>
    </row>
    <row r="167" spans="1:37" s="653" customFormat="1">
      <c r="A167" s="655">
        <v>2024</v>
      </c>
      <c r="B167" s="656" t="str">
        <f>INDEX('①基本情報 '!$C$2:$C$255,MATCH('②建物情報 '!E167,'①基本情報 '!$E$2:$E$255,0),1)</f>
        <v>117</v>
      </c>
      <c r="C167" s="657" t="str">
        <f>INDEX('①基本情報 '!$B$2:$B$255,MATCH('②建物情報 '!E167,'①基本情報 '!$E$2:$E$255,0),1)</f>
        <v>1022</v>
      </c>
      <c r="D167" s="658" t="s">
        <v>2418</v>
      </c>
      <c r="E167" s="612" t="s">
        <v>851</v>
      </c>
      <c r="F167" s="597" t="str">
        <f>INDEX('①基本情報 '!$G$2:$G$255,MATCH('②建物情報 '!E167,'①基本情報 '!$E$2:$E$255,0),1)</f>
        <v>教育委員会教育総務部、学校教育部、生涯学習部</v>
      </c>
      <c r="G167" s="678" t="s">
        <v>162</v>
      </c>
      <c r="H167" s="612" t="s">
        <v>1612</v>
      </c>
      <c r="I167" s="663">
        <v>1977</v>
      </c>
      <c r="J167" s="663">
        <v>10</v>
      </c>
      <c r="K167" s="663">
        <f t="shared" si="2"/>
        <v>47</v>
      </c>
      <c r="L167" s="694">
        <v>84</v>
      </c>
      <c r="M167" s="704">
        <v>84</v>
      </c>
      <c r="N167" s="704">
        <v>84</v>
      </c>
      <c r="O167" s="681" t="s">
        <v>1812</v>
      </c>
      <c r="P167" s="663" t="s">
        <v>1581</v>
      </c>
      <c r="Q167" s="663">
        <v>1</v>
      </c>
      <c r="R167" s="690">
        <v>0</v>
      </c>
      <c r="S167" s="687" t="s">
        <v>1582</v>
      </c>
      <c r="T167" s="683"/>
      <c r="U167" s="683" t="s">
        <v>1965</v>
      </c>
      <c r="V167" s="690"/>
      <c r="W167" s="687">
        <v>2015</v>
      </c>
      <c r="X167" s="686">
        <v>38</v>
      </c>
      <c r="Y167" s="687" t="s">
        <v>1585</v>
      </c>
      <c r="Z167" s="663" t="s">
        <v>1587</v>
      </c>
      <c r="AA167" s="663" t="s">
        <v>1596</v>
      </c>
      <c r="AB167" s="663" t="s">
        <v>1587</v>
      </c>
      <c r="AC167" s="663" t="s">
        <v>1596</v>
      </c>
      <c r="AD167" s="663" t="s">
        <v>825</v>
      </c>
      <c r="AE167" s="663" t="s">
        <v>825</v>
      </c>
      <c r="AF167" s="663" t="s">
        <v>825</v>
      </c>
      <c r="AG167" s="663" t="s">
        <v>825</v>
      </c>
      <c r="AH167" s="663" t="s">
        <v>1596</v>
      </c>
      <c r="AI167" s="688">
        <v>46.875</v>
      </c>
      <c r="AJ167" s="689" t="s">
        <v>1588</v>
      </c>
      <c r="AK167" s="690"/>
    </row>
    <row r="168" spans="1:37" s="653" customFormat="1">
      <c r="A168" s="655">
        <v>2024</v>
      </c>
      <c r="B168" s="656" t="str">
        <f>INDEX('①基本情報 '!$C$2:$C$255,MATCH('②建物情報 '!E168,'①基本情報 '!$E$2:$E$255,0),1)</f>
        <v>117</v>
      </c>
      <c r="C168" s="657" t="str">
        <f>INDEX('①基本情報 '!$B$2:$B$255,MATCH('②建物情報 '!E168,'①基本情報 '!$E$2:$E$255,0),1)</f>
        <v>1022</v>
      </c>
      <c r="D168" s="658" t="s">
        <v>2418</v>
      </c>
      <c r="E168" s="612" t="s">
        <v>851</v>
      </c>
      <c r="F168" s="597" t="str">
        <f>INDEX('①基本情報 '!$G$2:$G$255,MATCH('②建物情報 '!E168,'①基本情報 '!$E$2:$E$255,0),1)</f>
        <v>教育委員会教育総務部、学校教育部、生涯学習部</v>
      </c>
      <c r="G168" s="678" t="s">
        <v>1652</v>
      </c>
      <c r="H168" s="612" t="s">
        <v>1644</v>
      </c>
      <c r="I168" s="663">
        <v>2003</v>
      </c>
      <c r="J168" s="663">
        <v>8</v>
      </c>
      <c r="K168" s="663">
        <f t="shared" si="2"/>
        <v>21</v>
      </c>
      <c r="L168" s="694">
        <v>13</v>
      </c>
      <c r="M168" s="704">
        <v>40</v>
      </c>
      <c r="N168" s="704">
        <v>40</v>
      </c>
      <c r="O168" s="681" t="s">
        <v>1812</v>
      </c>
      <c r="P168" s="663" t="s">
        <v>1603</v>
      </c>
      <c r="Q168" s="663">
        <v>3</v>
      </c>
      <c r="R168" s="690">
        <v>0</v>
      </c>
      <c r="S168" s="687" t="s">
        <v>1593</v>
      </c>
      <c r="T168" s="683" t="s">
        <v>825</v>
      </c>
      <c r="U168" s="683" t="s">
        <v>1846</v>
      </c>
      <c r="V168" s="690"/>
      <c r="W168" s="687"/>
      <c r="X168" s="702">
        <v>34</v>
      </c>
      <c r="Y168" s="687" t="s">
        <v>1596</v>
      </c>
      <c r="Z168" s="663" t="s">
        <v>1596</v>
      </c>
      <c r="AA168" s="663" t="s">
        <v>1596</v>
      </c>
      <c r="AB168" s="663" t="s">
        <v>1587</v>
      </c>
      <c r="AC168" s="663" t="s">
        <v>1586</v>
      </c>
      <c r="AD168" s="663" t="s">
        <v>825</v>
      </c>
      <c r="AE168" s="663" t="s">
        <v>825</v>
      </c>
      <c r="AF168" s="663" t="s">
        <v>825</v>
      </c>
      <c r="AG168" s="663" t="s">
        <v>825</v>
      </c>
      <c r="AH168" s="663" t="s">
        <v>1596</v>
      </c>
      <c r="AI168" s="688">
        <v>40</v>
      </c>
      <c r="AJ168" s="689" t="s">
        <v>1588</v>
      </c>
      <c r="AK168" s="690"/>
    </row>
    <row r="169" spans="1:37" s="653" customFormat="1">
      <c r="A169" s="655">
        <v>2024</v>
      </c>
      <c r="B169" s="656" t="str">
        <f>INDEX('①基本情報 '!$C$2:$C$255,MATCH('②建物情報 '!E169,'①基本情報 '!$E$2:$E$255,0),1)</f>
        <v>117</v>
      </c>
      <c r="C169" s="657" t="str">
        <f>INDEX('①基本情報 '!$B$2:$B$255,MATCH('②建物情報 '!E169,'①基本情報 '!$E$2:$E$255,0),1)</f>
        <v>1022</v>
      </c>
      <c r="D169" s="658" t="s">
        <v>2418</v>
      </c>
      <c r="E169" s="612" t="s">
        <v>851</v>
      </c>
      <c r="F169" s="597" t="str">
        <f>INDEX('①基本情報 '!$G$2:$G$255,MATCH('②建物情報 '!E169,'①基本情報 '!$E$2:$E$255,0),1)</f>
        <v>教育委員会教育総務部、学校教育部、生涯学習部</v>
      </c>
      <c r="G169" s="678" t="s">
        <v>861</v>
      </c>
      <c r="H169" s="612" t="s">
        <v>1653</v>
      </c>
      <c r="I169" s="663">
        <v>1989</v>
      </c>
      <c r="J169" s="663">
        <v>3</v>
      </c>
      <c r="K169" s="663">
        <f t="shared" si="2"/>
        <v>35</v>
      </c>
      <c r="L169" s="694"/>
      <c r="M169" s="704">
        <v>14</v>
      </c>
      <c r="N169" s="704">
        <v>14</v>
      </c>
      <c r="O169" s="681" t="s">
        <v>1812</v>
      </c>
      <c r="P169" s="663" t="s">
        <v>1581</v>
      </c>
      <c r="Q169" s="663">
        <v>1</v>
      </c>
      <c r="R169" s="690">
        <v>0</v>
      </c>
      <c r="S169" s="687" t="s">
        <v>1593</v>
      </c>
      <c r="T169" s="683" t="s">
        <v>825</v>
      </c>
      <c r="U169" s="683" t="s">
        <v>1846</v>
      </c>
      <c r="V169" s="690"/>
      <c r="W169" s="687"/>
      <c r="X169" s="702">
        <v>38</v>
      </c>
      <c r="Y169" s="687" t="s">
        <v>1596</v>
      </c>
      <c r="Z169" s="663" t="s">
        <v>1586</v>
      </c>
      <c r="AA169" s="663" t="s">
        <v>1586</v>
      </c>
      <c r="AB169" s="663" t="s">
        <v>1587</v>
      </c>
      <c r="AC169" s="663" t="s">
        <v>1586</v>
      </c>
      <c r="AD169" s="663" t="s">
        <v>825</v>
      </c>
      <c r="AE169" s="663" t="s">
        <v>825</v>
      </c>
      <c r="AF169" s="663" t="s">
        <v>1586</v>
      </c>
      <c r="AG169" s="663" t="s">
        <v>1586</v>
      </c>
      <c r="AH169" s="663" t="s">
        <v>1586</v>
      </c>
      <c r="AI169" s="688">
        <v>75.348837209302317</v>
      </c>
      <c r="AJ169" s="689" t="s">
        <v>1588</v>
      </c>
      <c r="AK169" s="690"/>
    </row>
    <row r="170" spans="1:37" s="653" customFormat="1">
      <c r="A170" s="655">
        <v>2024</v>
      </c>
      <c r="B170" s="656" t="str">
        <f>INDEX('①基本情報 '!$C$2:$C$255,MATCH('②建物情報 '!E170,'①基本情報 '!$E$2:$E$255,0),1)</f>
        <v>117</v>
      </c>
      <c r="C170" s="657" t="str">
        <f>INDEX('①基本情報 '!$B$2:$B$255,MATCH('②建物情報 '!E170,'①基本情報 '!$E$2:$E$255,0),1)</f>
        <v>1022</v>
      </c>
      <c r="D170" s="658" t="s">
        <v>2418</v>
      </c>
      <c r="E170" s="612" t="s">
        <v>851</v>
      </c>
      <c r="F170" s="597" t="str">
        <f>INDEX('①基本情報 '!$G$2:$G$255,MATCH('②建物情報 '!E170,'①基本情報 '!$E$2:$E$255,0),1)</f>
        <v>教育委員会教育総務部、学校教育部、生涯学習部</v>
      </c>
      <c r="G170" s="678" t="s">
        <v>338</v>
      </c>
      <c r="H170" s="612" t="s">
        <v>1612</v>
      </c>
      <c r="I170" s="663">
        <v>1989</v>
      </c>
      <c r="J170" s="663">
        <v>3</v>
      </c>
      <c r="K170" s="663">
        <f t="shared" si="2"/>
        <v>35</v>
      </c>
      <c r="L170" s="694"/>
      <c r="M170" s="704">
        <v>23</v>
      </c>
      <c r="N170" s="704">
        <v>23</v>
      </c>
      <c r="O170" s="681" t="s">
        <v>1812</v>
      </c>
      <c r="P170" s="663" t="s">
        <v>1581</v>
      </c>
      <c r="Q170" s="663">
        <v>1</v>
      </c>
      <c r="R170" s="690">
        <v>0</v>
      </c>
      <c r="S170" s="687" t="s">
        <v>1593</v>
      </c>
      <c r="T170" s="683" t="s">
        <v>825</v>
      </c>
      <c r="U170" s="683" t="s">
        <v>1846</v>
      </c>
      <c r="V170" s="690"/>
      <c r="W170" s="687"/>
      <c r="X170" s="702">
        <v>38</v>
      </c>
      <c r="Y170" s="687" t="s">
        <v>1596</v>
      </c>
      <c r="Z170" s="663" t="s">
        <v>1586</v>
      </c>
      <c r="AA170" s="663" t="s">
        <v>1586</v>
      </c>
      <c r="AB170" s="663" t="s">
        <v>1587</v>
      </c>
      <c r="AC170" s="663" t="s">
        <v>825</v>
      </c>
      <c r="AD170" s="663" t="s">
        <v>825</v>
      </c>
      <c r="AE170" s="663" t="s">
        <v>825</v>
      </c>
      <c r="AF170" s="663" t="s">
        <v>1586</v>
      </c>
      <c r="AG170" s="663" t="s">
        <v>825</v>
      </c>
      <c r="AH170" s="663" t="s">
        <v>1585</v>
      </c>
      <c r="AI170" s="688">
        <v>67.878787878787875</v>
      </c>
      <c r="AJ170" s="689" t="s">
        <v>1588</v>
      </c>
      <c r="AK170" s="690"/>
    </row>
    <row r="171" spans="1:37" s="653" customFormat="1">
      <c r="A171" s="655">
        <v>2024</v>
      </c>
      <c r="B171" s="656" t="s">
        <v>795</v>
      </c>
      <c r="C171" s="657" t="s">
        <v>850</v>
      </c>
      <c r="D171" s="658" t="s">
        <v>2804</v>
      </c>
      <c r="E171" s="612" t="s">
        <v>851</v>
      </c>
      <c r="F171" s="597" t="s">
        <v>2605</v>
      </c>
      <c r="G171" s="678" t="s">
        <v>344</v>
      </c>
      <c r="H171" s="612" t="s">
        <v>2805</v>
      </c>
      <c r="I171" s="663">
        <v>1963</v>
      </c>
      <c r="J171" s="663">
        <v>3</v>
      </c>
      <c r="K171" s="663">
        <v>61</v>
      </c>
      <c r="L171" s="694">
        <v>385</v>
      </c>
      <c r="M171" s="704">
        <v>1219</v>
      </c>
      <c r="N171" s="704">
        <v>66</v>
      </c>
      <c r="O171" s="681" t="s">
        <v>2806</v>
      </c>
      <c r="P171" s="663" t="s">
        <v>1581</v>
      </c>
      <c r="Q171" s="663">
        <v>3</v>
      </c>
      <c r="R171" s="690">
        <v>0</v>
      </c>
      <c r="S171" s="687" t="s">
        <v>1582</v>
      </c>
      <c r="T171" s="683" t="s">
        <v>1583</v>
      </c>
      <c r="U171" s="683" t="s">
        <v>63</v>
      </c>
      <c r="V171" s="690">
        <v>2004</v>
      </c>
      <c r="W171" s="687">
        <v>2016</v>
      </c>
      <c r="X171" s="702">
        <v>47</v>
      </c>
      <c r="Y171" s="687" t="s">
        <v>825</v>
      </c>
      <c r="Z171" s="663" t="s">
        <v>825</v>
      </c>
      <c r="AA171" s="663" t="s">
        <v>825</v>
      </c>
      <c r="AB171" s="663" t="s">
        <v>825</v>
      </c>
      <c r="AC171" s="663" t="s">
        <v>825</v>
      </c>
      <c r="AD171" s="663" t="s">
        <v>825</v>
      </c>
      <c r="AE171" s="663" t="s">
        <v>825</v>
      </c>
      <c r="AF171" s="663" t="s">
        <v>825</v>
      </c>
      <c r="AG171" s="663" t="s">
        <v>825</v>
      </c>
      <c r="AH171" s="663" t="s">
        <v>825</v>
      </c>
      <c r="AI171" s="688" t="s">
        <v>825</v>
      </c>
      <c r="AJ171" s="689" t="s">
        <v>2807</v>
      </c>
      <c r="AK171" s="690"/>
    </row>
    <row r="172" spans="1:37" s="653" customFormat="1">
      <c r="A172" s="655">
        <v>2024</v>
      </c>
      <c r="B172" s="656" t="str">
        <f>INDEX('①基本情報 '!$C$2:$C$255,MATCH('②建物情報 '!E172,'①基本情報 '!$E$2:$E$255,0),1)</f>
        <v>118</v>
      </c>
      <c r="C172" s="657" t="str">
        <f>INDEX('①基本情報 '!$B$2:$B$255,MATCH('②建物情報 '!E172,'①基本情報 '!$E$2:$E$255,0),1)</f>
        <v>1023</v>
      </c>
      <c r="D172" s="658" t="s">
        <v>2418</v>
      </c>
      <c r="E172" s="612" t="s">
        <v>857</v>
      </c>
      <c r="F172" s="597" t="str">
        <f>INDEX('①基本情報 '!$G$2:$G$255,MATCH('②建物情報 '!E172,'①基本情報 '!$E$2:$E$255,0),1)</f>
        <v>教育委員会教育総務部、学校教育部、生涯学習部</v>
      </c>
      <c r="G172" s="678" t="s">
        <v>1580</v>
      </c>
      <c r="H172" s="612" t="s">
        <v>1638</v>
      </c>
      <c r="I172" s="663">
        <v>1965</v>
      </c>
      <c r="J172" s="663">
        <v>3</v>
      </c>
      <c r="K172" s="663">
        <f t="shared" si="2"/>
        <v>59</v>
      </c>
      <c r="L172" s="694">
        <v>652</v>
      </c>
      <c r="M172" s="704">
        <v>2043</v>
      </c>
      <c r="N172" s="704">
        <v>2043</v>
      </c>
      <c r="O172" s="681" t="s">
        <v>1813</v>
      </c>
      <c r="P172" s="663" t="s">
        <v>1581</v>
      </c>
      <c r="Q172" s="663">
        <v>3</v>
      </c>
      <c r="R172" s="690">
        <v>0</v>
      </c>
      <c r="S172" s="687" t="s">
        <v>1582</v>
      </c>
      <c r="T172" s="663" t="s">
        <v>1583</v>
      </c>
      <c r="U172" s="683" t="s">
        <v>63</v>
      </c>
      <c r="V172" s="690">
        <v>2007</v>
      </c>
      <c r="W172" s="687">
        <v>2014</v>
      </c>
      <c r="X172" s="686">
        <v>47</v>
      </c>
      <c r="Y172" s="687" t="s">
        <v>1585</v>
      </c>
      <c r="Z172" s="663" t="s">
        <v>1596</v>
      </c>
      <c r="AA172" s="663" t="s">
        <v>1586</v>
      </c>
      <c r="AB172" s="663" t="s">
        <v>1587</v>
      </c>
      <c r="AC172" s="663" t="s">
        <v>1596</v>
      </c>
      <c r="AD172" s="663" t="s">
        <v>1585</v>
      </c>
      <c r="AE172" s="663" t="s">
        <v>1596</v>
      </c>
      <c r="AF172" s="663" t="s">
        <v>1596</v>
      </c>
      <c r="AG172" s="663" t="s">
        <v>1596</v>
      </c>
      <c r="AH172" s="663" t="s">
        <v>1585</v>
      </c>
      <c r="AI172" s="688">
        <v>56.800000000000004</v>
      </c>
      <c r="AJ172" s="689" t="s">
        <v>1588</v>
      </c>
      <c r="AK172" s="690"/>
    </row>
    <row r="173" spans="1:37" s="653" customFormat="1">
      <c r="A173" s="655">
        <v>2024</v>
      </c>
      <c r="B173" s="656" t="str">
        <f>INDEX('①基本情報 '!$C$2:$C$255,MATCH('②建物情報 '!E173,'①基本情報 '!$E$2:$E$255,0),1)</f>
        <v>118</v>
      </c>
      <c r="C173" s="657" t="str">
        <f>INDEX('①基本情報 '!$B$2:$B$255,MATCH('②建物情報 '!E173,'①基本情報 '!$E$2:$E$255,0),1)</f>
        <v>1023</v>
      </c>
      <c r="D173" s="658" t="s">
        <v>2418</v>
      </c>
      <c r="E173" s="612" t="s">
        <v>857</v>
      </c>
      <c r="F173" s="597" t="str">
        <f>INDEX('①基本情報 '!$G$2:$G$255,MATCH('②建物情報 '!E173,'①基本情報 '!$E$2:$E$255,0),1)</f>
        <v>教育委員会教育総務部、学校教育部、生涯学習部</v>
      </c>
      <c r="G173" s="678" t="s">
        <v>1589</v>
      </c>
      <c r="H173" s="612" t="s">
        <v>1639</v>
      </c>
      <c r="I173" s="663">
        <v>1973</v>
      </c>
      <c r="J173" s="663">
        <v>3</v>
      </c>
      <c r="K173" s="663">
        <f t="shared" si="2"/>
        <v>51</v>
      </c>
      <c r="L173" s="694">
        <v>621</v>
      </c>
      <c r="M173" s="704">
        <v>1887</v>
      </c>
      <c r="N173" s="704">
        <v>1887</v>
      </c>
      <c r="O173" s="681" t="s">
        <v>1812</v>
      </c>
      <c r="P173" s="663" t="s">
        <v>1581</v>
      </c>
      <c r="Q173" s="663">
        <v>3</v>
      </c>
      <c r="R173" s="690">
        <v>0</v>
      </c>
      <c r="S173" s="687" t="s">
        <v>1582</v>
      </c>
      <c r="T173" s="663" t="s">
        <v>1583</v>
      </c>
      <c r="U173" s="683" t="s">
        <v>63</v>
      </c>
      <c r="V173" s="690">
        <v>2007</v>
      </c>
      <c r="W173" s="687"/>
      <c r="X173" s="686">
        <v>47</v>
      </c>
      <c r="Y173" s="687" t="s">
        <v>1585</v>
      </c>
      <c r="Z173" s="663" t="s">
        <v>1587</v>
      </c>
      <c r="AA173" s="663" t="s">
        <v>1596</v>
      </c>
      <c r="AB173" s="663" t="s">
        <v>1587</v>
      </c>
      <c r="AC173" s="663" t="s">
        <v>1596</v>
      </c>
      <c r="AD173" s="663" t="s">
        <v>1596</v>
      </c>
      <c r="AE173" s="663" t="s">
        <v>1596</v>
      </c>
      <c r="AF173" s="663" t="s">
        <v>1587</v>
      </c>
      <c r="AG173" s="663" t="s">
        <v>1596</v>
      </c>
      <c r="AH173" s="663" t="s">
        <v>1596</v>
      </c>
      <c r="AI173" s="688">
        <v>44.230769230769226</v>
      </c>
      <c r="AJ173" s="689" t="s">
        <v>1588</v>
      </c>
      <c r="AK173" s="690"/>
    </row>
    <row r="174" spans="1:37" s="653" customFormat="1">
      <c r="A174" s="655">
        <v>2024</v>
      </c>
      <c r="B174" s="656" t="str">
        <f>INDEX('①基本情報 '!$C$2:$C$255,MATCH('②建物情報 '!E174,'①基本情報 '!$E$2:$E$255,0),1)</f>
        <v>118</v>
      </c>
      <c r="C174" s="657" t="str">
        <f>INDEX('①基本情報 '!$B$2:$B$255,MATCH('②建物情報 '!E174,'①基本情報 '!$E$2:$E$255,0),1)</f>
        <v>1023</v>
      </c>
      <c r="D174" s="658" t="s">
        <v>2418</v>
      </c>
      <c r="E174" s="612" t="s">
        <v>857</v>
      </c>
      <c r="F174" s="597" t="str">
        <f>INDEX('①基本情報 '!$G$2:$G$255,MATCH('②建物情報 '!E174,'①基本情報 '!$E$2:$E$255,0),1)</f>
        <v>教育委員会教育総務部、学校教育部、生涯学習部</v>
      </c>
      <c r="G174" s="678" t="s">
        <v>1591</v>
      </c>
      <c r="H174" s="612" t="s">
        <v>1640</v>
      </c>
      <c r="I174" s="663">
        <v>1966</v>
      </c>
      <c r="J174" s="663">
        <v>3</v>
      </c>
      <c r="K174" s="663">
        <f t="shared" si="2"/>
        <v>58</v>
      </c>
      <c r="L174" s="694">
        <v>449</v>
      </c>
      <c r="M174" s="704">
        <v>1348</v>
      </c>
      <c r="N174" s="704">
        <v>1348</v>
      </c>
      <c r="O174" s="681" t="s">
        <v>1594</v>
      </c>
      <c r="P174" s="663" t="s">
        <v>1581</v>
      </c>
      <c r="Q174" s="663">
        <v>3</v>
      </c>
      <c r="R174" s="690">
        <v>0</v>
      </c>
      <c r="S174" s="687" t="s">
        <v>1582</v>
      </c>
      <c r="T174" s="663" t="s">
        <v>1583</v>
      </c>
      <c r="U174" s="683" t="s">
        <v>63</v>
      </c>
      <c r="V174" s="690">
        <v>2005</v>
      </c>
      <c r="W174" s="687">
        <v>2016</v>
      </c>
      <c r="X174" s="686">
        <v>47</v>
      </c>
      <c r="Y174" s="687" t="s">
        <v>1585</v>
      </c>
      <c r="Z174" s="663" t="s">
        <v>1596</v>
      </c>
      <c r="AA174" s="663" t="s">
        <v>1596</v>
      </c>
      <c r="AB174" s="663" t="s">
        <v>1587</v>
      </c>
      <c r="AC174" s="663" t="s">
        <v>1596</v>
      </c>
      <c r="AD174" s="663" t="s">
        <v>1596</v>
      </c>
      <c r="AE174" s="663" t="s">
        <v>1596</v>
      </c>
      <c r="AF174" s="663" t="s">
        <v>1596</v>
      </c>
      <c r="AG174" s="663" t="s">
        <v>1587</v>
      </c>
      <c r="AH174" s="663" t="s">
        <v>1596</v>
      </c>
      <c r="AI174" s="688">
        <v>49.6</v>
      </c>
      <c r="AJ174" s="689" t="s">
        <v>1588</v>
      </c>
      <c r="AK174" s="690"/>
    </row>
    <row r="175" spans="1:37" s="653" customFormat="1">
      <c r="A175" s="655">
        <v>2024</v>
      </c>
      <c r="B175" s="656" t="str">
        <f>INDEX('①基本情報 '!$C$2:$C$255,MATCH('②建物情報 '!E175,'①基本情報 '!$E$2:$E$255,0),1)</f>
        <v>118</v>
      </c>
      <c r="C175" s="657" t="str">
        <f>INDEX('①基本情報 '!$B$2:$B$255,MATCH('②建物情報 '!E175,'①基本情報 '!$E$2:$E$255,0),1)</f>
        <v>1023</v>
      </c>
      <c r="D175" s="658" t="s">
        <v>2418</v>
      </c>
      <c r="E175" s="612" t="s">
        <v>857</v>
      </c>
      <c r="F175" s="597" t="str">
        <f>INDEX('①基本情報 '!$G$2:$G$255,MATCH('②建物情報 '!E175,'①基本情報 '!$E$2:$E$255,0),1)</f>
        <v>教育委員会教育総務部、学校教育部、生涯学習部</v>
      </c>
      <c r="G175" s="678" t="s">
        <v>1601</v>
      </c>
      <c r="H175" s="612" t="s">
        <v>1641</v>
      </c>
      <c r="I175" s="663">
        <v>1967</v>
      </c>
      <c r="J175" s="663">
        <v>8</v>
      </c>
      <c r="K175" s="663">
        <f t="shared" si="2"/>
        <v>57</v>
      </c>
      <c r="L175" s="694">
        <v>403</v>
      </c>
      <c r="M175" s="704">
        <v>1223</v>
      </c>
      <c r="N175" s="704">
        <v>1223</v>
      </c>
      <c r="O175" s="681" t="s">
        <v>1812</v>
      </c>
      <c r="P175" s="663" t="s">
        <v>1581</v>
      </c>
      <c r="Q175" s="663">
        <v>3</v>
      </c>
      <c r="R175" s="690">
        <v>0</v>
      </c>
      <c r="S175" s="687" t="s">
        <v>1582</v>
      </c>
      <c r="T175" s="663" t="s">
        <v>1583</v>
      </c>
      <c r="U175" s="683" t="s">
        <v>63</v>
      </c>
      <c r="V175" s="690">
        <v>2005</v>
      </c>
      <c r="W175" s="687">
        <v>2016</v>
      </c>
      <c r="X175" s="686">
        <v>47</v>
      </c>
      <c r="Y175" s="687" t="s">
        <v>1585</v>
      </c>
      <c r="Z175" s="663" t="s">
        <v>1596</v>
      </c>
      <c r="AA175" s="663" t="s">
        <v>1596</v>
      </c>
      <c r="AB175" s="663" t="s">
        <v>1587</v>
      </c>
      <c r="AC175" s="663" t="s">
        <v>1596</v>
      </c>
      <c r="AD175" s="663" t="s">
        <v>1596</v>
      </c>
      <c r="AE175" s="663" t="s">
        <v>1596</v>
      </c>
      <c r="AF175" s="663" t="s">
        <v>1596</v>
      </c>
      <c r="AG175" s="663" t="s">
        <v>1585</v>
      </c>
      <c r="AH175" s="663" t="s">
        <v>1585</v>
      </c>
      <c r="AI175" s="688">
        <v>53.6</v>
      </c>
      <c r="AJ175" s="689" t="s">
        <v>1588</v>
      </c>
      <c r="AK175" s="690"/>
    </row>
    <row r="176" spans="1:37" s="653" customFormat="1">
      <c r="A176" s="655">
        <v>2024</v>
      </c>
      <c r="B176" s="656" t="str">
        <f>INDEX('①基本情報 '!$C$2:$C$255,MATCH('②建物情報 '!E176,'①基本情報 '!$E$2:$E$255,0),1)</f>
        <v>118</v>
      </c>
      <c r="C176" s="657" t="str">
        <f>INDEX('①基本情報 '!$B$2:$B$255,MATCH('②建物情報 '!E176,'①基本情報 '!$E$2:$E$255,0),1)</f>
        <v>1023</v>
      </c>
      <c r="D176" s="658" t="s">
        <v>2418</v>
      </c>
      <c r="E176" s="612" t="s">
        <v>857</v>
      </c>
      <c r="F176" s="597" t="str">
        <f>INDEX('①基本情報 '!$G$2:$G$255,MATCH('②建物情報 '!E176,'①基本情報 '!$E$2:$E$255,0),1)</f>
        <v>教育委員会教育総務部、学校教育部、生涯学習部</v>
      </c>
      <c r="G176" s="678" t="s">
        <v>1620</v>
      </c>
      <c r="H176" s="612" t="s">
        <v>1648</v>
      </c>
      <c r="I176" s="663">
        <v>1969</v>
      </c>
      <c r="J176" s="663">
        <v>8</v>
      </c>
      <c r="K176" s="663">
        <f t="shared" si="2"/>
        <v>55</v>
      </c>
      <c r="L176" s="694">
        <v>583</v>
      </c>
      <c r="M176" s="704">
        <v>1750</v>
      </c>
      <c r="N176" s="704">
        <v>1750</v>
      </c>
      <c r="O176" s="681" t="s">
        <v>1812</v>
      </c>
      <c r="P176" s="663" t="s">
        <v>1581</v>
      </c>
      <c r="Q176" s="663">
        <v>3</v>
      </c>
      <c r="R176" s="690">
        <v>0</v>
      </c>
      <c r="S176" s="687" t="s">
        <v>1582</v>
      </c>
      <c r="T176" s="663" t="s">
        <v>1583</v>
      </c>
      <c r="U176" s="683" t="s">
        <v>63</v>
      </c>
      <c r="V176" s="690">
        <v>2005</v>
      </c>
      <c r="W176" s="687">
        <v>2016</v>
      </c>
      <c r="X176" s="686">
        <v>47</v>
      </c>
      <c r="Y176" s="687" t="s">
        <v>1585</v>
      </c>
      <c r="Z176" s="663" t="s">
        <v>1585</v>
      </c>
      <c r="AA176" s="663" t="s">
        <v>1596</v>
      </c>
      <c r="AB176" s="663" t="s">
        <v>1587</v>
      </c>
      <c r="AC176" s="663" t="s">
        <v>1596</v>
      </c>
      <c r="AD176" s="663" t="s">
        <v>1587</v>
      </c>
      <c r="AE176" s="663" t="s">
        <v>1596</v>
      </c>
      <c r="AF176" s="663" t="s">
        <v>1596</v>
      </c>
      <c r="AG176" s="663" t="s">
        <v>1596</v>
      </c>
      <c r="AH176" s="663" t="s">
        <v>1596</v>
      </c>
      <c r="AI176" s="688">
        <v>49.2</v>
      </c>
      <c r="AJ176" s="689" t="s">
        <v>1588</v>
      </c>
      <c r="AK176" s="690"/>
    </row>
    <row r="177" spans="1:37" s="653" customFormat="1">
      <c r="A177" s="655">
        <v>2024</v>
      </c>
      <c r="B177" s="656" t="str">
        <f>INDEX('①基本情報 '!$C$2:$C$255,MATCH('②建物情報 '!E177,'①基本情報 '!$E$2:$E$255,0),1)</f>
        <v>118</v>
      </c>
      <c r="C177" s="657" t="str">
        <f>INDEX('①基本情報 '!$B$2:$B$255,MATCH('②建物情報 '!E177,'①基本情報 '!$E$2:$E$255,0),1)</f>
        <v>1023</v>
      </c>
      <c r="D177" s="658" t="s">
        <v>2418</v>
      </c>
      <c r="E177" s="612" t="s">
        <v>857</v>
      </c>
      <c r="F177" s="597" t="str">
        <f>INDEX('①基本情報 '!$G$2:$G$255,MATCH('②建物情報 '!E177,'①基本情報 '!$E$2:$E$255,0),1)</f>
        <v>教育委員会教育総務部、学校教育部、生涯学習部</v>
      </c>
      <c r="G177" s="678" t="s">
        <v>1643</v>
      </c>
      <c r="H177" s="612" t="s">
        <v>1649</v>
      </c>
      <c r="I177" s="663">
        <v>1970</v>
      </c>
      <c r="J177" s="663">
        <v>6</v>
      </c>
      <c r="K177" s="663">
        <f t="shared" si="2"/>
        <v>54</v>
      </c>
      <c r="L177" s="694">
        <v>1041</v>
      </c>
      <c r="M177" s="704">
        <v>1162</v>
      </c>
      <c r="N177" s="704">
        <v>1162</v>
      </c>
      <c r="O177" s="681" t="s">
        <v>1812</v>
      </c>
      <c r="P177" s="663" t="s">
        <v>1581</v>
      </c>
      <c r="Q177" s="663">
        <v>2</v>
      </c>
      <c r="R177" s="690">
        <v>0</v>
      </c>
      <c r="S177" s="687" t="s">
        <v>1582</v>
      </c>
      <c r="T177" s="663" t="s">
        <v>1583</v>
      </c>
      <c r="U177" s="683" t="s">
        <v>63</v>
      </c>
      <c r="V177" s="690">
        <v>2007</v>
      </c>
      <c r="W177" s="687">
        <v>2014</v>
      </c>
      <c r="X177" s="686">
        <v>47</v>
      </c>
      <c r="Y177" s="687" t="s">
        <v>1585</v>
      </c>
      <c r="Z177" s="663" t="s">
        <v>1585</v>
      </c>
      <c r="AA177" s="663" t="s">
        <v>1585</v>
      </c>
      <c r="AB177" s="663" t="s">
        <v>1587</v>
      </c>
      <c r="AC177" s="663" t="s">
        <v>1596</v>
      </c>
      <c r="AD177" s="663" t="s">
        <v>825</v>
      </c>
      <c r="AE177" s="663" t="s">
        <v>825</v>
      </c>
      <c r="AF177" s="663" t="s">
        <v>1596</v>
      </c>
      <c r="AG177" s="663" t="s">
        <v>1596</v>
      </c>
      <c r="AH177" s="663" t="s">
        <v>1585</v>
      </c>
      <c r="AI177" s="688">
        <v>58.536585365853668</v>
      </c>
      <c r="AJ177" s="689" t="s">
        <v>1588</v>
      </c>
      <c r="AK177" s="690"/>
    </row>
    <row r="178" spans="1:37" s="653" customFormat="1">
      <c r="A178" s="655">
        <v>2024</v>
      </c>
      <c r="B178" s="656" t="str">
        <f>INDEX('①基本情報 '!$C$2:$C$255,MATCH('②建物情報 '!E178,'①基本情報 '!$E$2:$E$255,0),1)</f>
        <v>118</v>
      </c>
      <c r="C178" s="657" t="str">
        <f>INDEX('①基本情報 '!$B$2:$B$255,MATCH('②建物情報 '!E178,'①基本情報 '!$E$2:$E$255,0),1)</f>
        <v>1023</v>
      </c>
      <c r="D178" s="658" t="s">
        <v>2418</v>
      </c>
      <c r="E178" s="612" t="s">
        <v>857</v>
      </c>
      <c r="F178" s="597" t="str">
        <f>INDEX('①基本情報 '!$G$2:$G$255,MATCH('②建物情報 '!E178,'①基本情報 '!$E$2:$E$255,0),1)</f>
        <v>教育委員会教育総務部、学校教育部、生涯学習部</v>
      </c>
      <c r="G178" s="678" t="s">
        <v>1645</v>
      </c>
      <c r="H178" s="612" t="s">
        <v>1651</v>
      </c>
      <c r="I178" s="663">
        <v>1966</v>
      </c>
      <c r="J178" s="663">
        <v>3</v>
      </c>
      <c r="K178" s="663">
        <f t="shared" si="2"/>
        <v>58</v>
      </c>
      <c r="L178" s="694">
        <v>291</v>
      </c>
      <c r="M178" s="704">
        <v>491</v>
      </c>
      <c r="N178" s="704">
        <v>491</v>
      </c>
      <c r="O178" s="681" t="s">
        <v>1812</v>
      </c>
      <c r="P178" s="663" t="s">
        <v>1581</v>
      </c>
      <c r="Q178" s="663">
        <v>3</v>
      </c>
      <c r="R178" s="690">
        <v>0</v>
      </c>
      <c r="S178" s="687" t="s">
        <v>1582</v>
      </c>
      <c r="T178" s="663" t="s">
        <v>1583</v>
      </c>
      <c r="U178" s="683" t="s">
        <v>63</v>
      </c>
      <c r="V178" s="690">
        <v>2005</v>
      </c>
      <c r="W178" s="687">
        <v>2014</v>
      </c>
      <c r="X178" s="686">
        <v>47</v>
      </c>
      <c r="Y178" s="687" t="s">
        <v>1585</v>
      </c>
      <c r="Z178" s="663" t="s">
        <v>1596</v>
      </c>
      <c r="AA178" s="663" t="s">
        <v>1585</v>
      </c>
      <c r="AB178" s="663" t="s">
        <v>1587</v>
      </c>
      <c r="AC178" s="663" t="s">
        <v>1596</v>
      </c>
      <c r="AD178" s="663" t="s">
        <v>825</v>
      </c>
      <c r="AE178" s="663" t="s">
        <v>1596</v>
      </c>
      <c r="AF178" s="663" t="s">
        <v>1596</v>
      </c>
      <c r="AG178" s="663" t="s">
        <v>1596</v>
      </c>
      <c r="AH178" s="663" t="s">
        <v>1585</v>
      </c>
      <c r="AI178" s="688">
        <v>53.617021276595743</v>
      </c>
      <c r="AJ178" s="689" t="s">
        <v>1588</v>
      </c>
      <c r="AK178" s="690"/>
    </row>
    <row r="179" spans="1:37" s="653" customFormat="1">
      <c r="A179" s="655">
        <v>2024</v>
      </c>
      <c r="B179" s="656" t="str">
        <f>INDEX('①基本情報 '!$C$2:$C$255,MATCH('②建物情報 '!E179,'①基本情報 '!$E$2:$E$255,0),1)</f>
        <v>118</v>
      </c>
      <c r="C179" s="657" t="str">
        <f>INDEX('①基本情報 '!$B$2:$B$255,MATCH('②建物情報 '!E179,'①基本情報 '!$E$2:$E$255,0),1)</f>
        <v>1023</v>
      </c>
      <c r="D179" s="658" t="s">
        <v>2418</v>
      </c>
      <c r="E179" s="612" t="s">
        <v>857</v>
      </c>
      <c r="F179" s="597" t="str">
        <f>INDEX('①基本情報 '!$G$2:$G$255,MATCH('②建物情報 '!E179,'①基本情報 '!$E$2:$E$255,0),1)</f>
        <v>教育委員会教育総務部、学校教育部、生涯学習部</v>
      </c>
      <c r="G179" s="678" t="s">
        <v>1646</v>
      </c>
      <c r="H179" s="612" t="s">
        <v>1651</v>
      </c>
      <c r="I179" s="663">
        <v>1988</v>
      </c>
      <c r="J179" s="663">
        <v>3</v>
      </c>
      <c r="K179" s="663">
        <f t="shared" si="2"/>
        <v>36</v>
      </c>
      <c r="L179" s="694">
        <v>220</v>
      </c>
      <c r="M179" s="704">
        <v>328</v>
      </c>
      <c r="N179" s="704">
        <v>328</v>
      </c>
      <c r="O179" s="681" t="s">
        <v>1812</v>
      </c>
      <c r="P179" s="663" t="s">
        <v>1581</v>
      </c>
      <c r="Q179" s="663">
        <v>2</v>
      </c>
      <c r="R179" s="690">
        <v>0</v>
      </c>
      <c r="S179" s="687" t="s">
        <v>1593</v>
      </c>
      <c r="T179" s="683" t="s">
        <v>825</v>
      </c>
      <c r="U179" s="663" t="s">
        <v>63</v>
      </c>
      <c r="V179" s="690"/>
      <c r="W179" s="687"/>
      <c r="X179" s="686">
        <v>47</v>
      </c>
      <c r="Y179" s="687" t="s">
        <v>1596</v>
      </c>
      <c r="Z179" s="663" t="s">
        <v>1596</v>
      </c>
      <c r="AA179" s="663" t="s">
        <v>1596</v>
      </c>
      <c r="AB179" s="663" t="s">
        <v>1587</v>
      </c>
      <c r="AC179" s="663" t="s">
        <v>1596</v>
      </c>
      <c r="AD179" s="663" t="s">
        <v>825</v>
      </c>
      <c r="AE179" s="663" t="s">
        <v>825</v>
      </c>
      <c r="AF179" s="663" t="s">
        <v>825</v>
      </c>
      <c r="AG179" s="663" t="s">
        <v>825</v>
      </c>
      <c r="AH179" s="663" t="s">
        <v>1596</v>
      </c>
      <c r="AI179" s="688">
        <v>43.333333333333336</v>
      </c>
      <c r="AJ179" s="689" t="s">
        <v>1588</v>
      </c>
      <c r="AK179" s="690"/>
    </row>
    <row r="180" spans="1:37" s="653" customFormat="1">
      <c r="A180" s="655">
        <v>2024</v>
      </c>
      <c r="B180" s="656" t="str">
        <f>INDEX('①基本情報 '!$C$2:$C$255,MATCH('②建物情報 '!E180,'①基本情報 '!$E$2:$E$255,0),1)</f>
        <v>118</v>
      </c>
      <c r="C180" s="657" t="str">
        <f>INDEX('①基本情報 '!$B$2:$B$255,MATCH('②建物情報 '!E180,'①基本情報 '!$E$2:$E$255,0),1)</f>
        <v>1023</v>
      </c>
      <c r="D180" s="658" t="s">
        <v>2418</v>
      </c>
      <c r="E180" s="612" t="s">
        <v>857</v>
      </c>
      <c r="F180" s="597" t="str">
        <f>INDEX('①基本情報 '!$G$2:$G$255,MATCH('②建物情報 '!E180,'①基本情報 '!$E$2:$E$255,0),1)</f>
        <v>教育委員会教育総務部、学校教育部、生涯学習部</v>
      </c>
      <c r="G180" s="678" t="s">
        <v>1647</v>
      </c>
      <c r="H180" s="612" t="s">
        <v>1644</v>
      </c>
      <c r="I180" s="663">
        <v>2005</v>
      </c>
      <c r="J180" s="663">
        <v>8</v>
      </c>
      <c r="K180" s="663">
        <f t="shared" si="2"/>
        <v>19</v>
      </c>
      <c r="L180" s="694">
        <v>16</v>
      </c>
      <c r="M180" s="704">
        <v>48</v>
      </c>
      <c r="N180" s="704">
        <v>48</v>
      </c>
      <c r="O180" s="681" t="s">
        <v>1812</v>
      </c>
      <c r="P180" s="663" t="s">
        <v>1603</v>
      </c>
      <c r="Q180" s="663">
        <v>3</v>
      </c>
      <c r="R180" s="690">
        <v>0</v>
      </c>
      <c r="S180" s="687" t="s">
        <v>1593</v>
      </c>
      <c r="T180" s="683" t="s">
        <v>825</v>
      </c>
      <c r="U180" s="683" t="s">
        <v>1846</v>
      </c>
      <c r="V180" s="690"/>
      <c r="W180" s="687"/>
      <c r="X180" s="702">
        <v>34</v>
      </c>
      <c r="Y180" s="687" t="s">
        <v>1587</v>
      </c>
      <c r="Z180" s="663" t="s">
        <v>1596</v>
      </c>
      <c r="AA180" s="663" t="s">
        <v>1586</v>
      </c>
      <c r="AB180" s="663" t="s">
        <v>1587</v>
      </c>
      <c r="AC180" s="663" t="s">
        <v>1585</v>
      </c>
      <c r="AD180" s="663" t="s">
        <v>825</v>
      </c>
      <c r="AE180" s="663" t="s">
        <v>825</v>
      </c>
      <c r="AF180" s="663" t="s">
        <v>825</v>
      </c>
      <c r="AG180" s="663" t="s">
        <v>825</v>
      </c>
      <c r="AH180" s="663" t="s">
        <v>1596</v>
      </c>
      <c r="AI180" s="688">
        <v>47.333333333333336</v>
      </c>
      <c r="AJ180" s="689" t="s">
        <v>1588</v>
      </c>
      <c r="AK180" s="690"/>
    </row>
    <row r="181" spans="1:37" s="653" customFormat="1">
      <c r="A181" s="655">
        <v>2024</v>
      </c>
      <c r="B181" s="656" t="str">
        <f>INDEX('①基本情報 '!$C$2:$C$255,MATCH('②建物情報 '!E181,'①基本情報 '!$E$2:$E$255,0),1)</f>
        <v>118</v>
      </c>
      <c r="C181" s="657" t="str">
        <f>INDEX('①基本情報 '!$B$2:$B$255,MATCH('②建物情報 '!E181,'①基本情報 '!$E$2:$E$255,0),1)</f>
        <v>1023</v>
      </c>
      <c r="D181" s="658" t="s">
        <v>2418</v>
      </c>
      <c r="E181" s="612" t="s">
        <v>857</v>
      </c>
      <c r="F181" s="597" t="str">
        <f>INDEX('①基本情報 '!$G$2:$G$255,MATCH('②建物情報 '!E181,'①基本情報 '!$E$2:$E$255,0),1)</f>
        <v>教育委員会教育総務部、学校教育部、生涯学習部</v>
      </c>
      <c r="G181" s="678" t="s">
        <v>162</v>
      </c>
      <c r="H181" s="612" t="s">
        <v>1612</v>
      </c>
      <c r="I181" s="663">
        <v>1978</v>
      </c>
      <c r="J181" s="663">
        <v>3</v>
      </c>
      <c r="K181" s="663">
        <f t="shared" si="2"/>
        <v>46</v>
      </c>
      <c r="L181" s="694">
        <v>148</v>
      </c>
      <c r="M181" s="704">
        <v>148</v>
      </c>
      <c r="N181" s="704">
        <v>148</v>
      </c>
      <c r="O181" s="681" t="s">
        <v>1812</v>
      </c>
      <c r="P181" s="663" t="s">
        <v>1581</v>
      </c>
      <c r="Q181" s="663">
        <v>1</v>
      </c>
      <c r="R181" s="690">
        <v>0</v>
      </c>
      <c r="S181" s="687" t="s">
        <v>1582</v>
      </c>
      <c r="T181" s="683"/>
      <c r="U181" s="683" t="s">
        <v>1965</v>
      </c>
      <c r="V181" s="690"/>
      <c r="W181" s="687"/>
      <c r="X181" s="686">
        <v>38</v>
      </c>
      <c r="Y181" s="687" t="s">
        <v>1585</v>
      </c>
      <c r="Z181" s="663" t="s">
        <v>1587</v>
      </c>
      <c r="AA181" s="663" t="s">
        <v>1596</v>
      </c>
      <c r="AB181" s="663" t="s">
        <v>1587</v>
      </c>
      <c r="AC181" s="663" t="s">
        <v>1596</v>
      </c>
      <c r="AD181" s="663" t="s">
        <v>825</v>
      </c>
      <c r="AE181" s="663" t="s">
        <v>825</v>
      </c>
      <c r="AF181" s="663" t="s">
        <v>825</v>
      </c>
      <c r="AG181" s="663" t="s">
        <v>825</v>
      </c>
      <c r="AH181" s="663" t="s">
        <v>1596</v>
      </c>
      <c r="AI181" s="688">
        <v>46.875</v>
      </c>
      <c r="AJ181" s="689" t="s">
        <v>1588</v>
      </c>
      <c r="AK181" s="690"/>
    </row>
    <row r="182" spans="1:37" s="653" customFormat="1">
      <c r="A182" s="655">
        <v>2024</v>
      </c>
      <c r="B182" s="656" t="str">
        <f>INDEX('①基本情報 '!$C$2:$C$255,MATCH('②建物情報 '!E182,'①基本情報 '!$E$2:$E$255,0),1)</f>
        <v>118</v>
      </c>
      <c r="C182" s="657" t="str">
        <f>INDEX('①基本情報 '!$B$2:$B$255,MATCH('②建物情報 '!E182,'①基本情報 '!$E$2:$E$255,0),1)</f>
        <v>1023</v>
      </c>
      <c r="D182" s="658" t="s">
        <v>2418</v>
      </c>
      <c r="E182" s="612" t="s">
        <v>857</v>
      </c>
      <c r="F182" s="597" t="str">
        <f>INDEX('①基本情報 '!$G$2:$G$255,MATCH('②建物情報 '!E182,'①基本情報 '!$E$2:$E$255,0),1)</f>
        <v>教育委員会教育総務部、学校教育部、生涯学習部</v>
      </c>
      <c r="G182" s="678" t="s">
        <v>1652</v>
      </c>
      <c r="H182" s="612" t="s">
        <v>1612</v>
      </c>
      <c r="I182" s="663">
        <v>1973</v>
      </c>
      <c r="J182" s="663">
        <v>10</v>
      </c>
      <c r="K182" s="663">
        <f t="shared" si="2"/>
        <v>51</v>
      </c>
      <c r="L182" s="694">
        <v>110</v>
      </c>
      <c r="M182" s="704">
        <v>110</v>
      </c>
      <c r="N182" s="704">
        <v>110</v>
      </c>
      <c r="O182" s="681" t="s">
        <v>1812</v>
      </c>
      <c r="P182" s="663" t="s">
        <v>1581</v>
      </c>
      <c r="Q182" s="663">
        <v>1</v>
      </c>
      <c r="R182" s="690">
        <v>0</v>
      </c>
      <c r="S182" s="687" t="s">
        <v>1582</v>
      </c>
      <c r="T182" s="683"/>
      <c r="U182" s="683" t="s">
        <v>1965</v>
      </c>
      <c r="V182" s="690"/>
      <c r="W182" s="687">
        <v>2016</v>
      </c>
      <c r="X182" s="686">
        <v>38</v>
      </c>
      <c r="Y182" s="687" t="s">
        <v>1585</v>
      </c>
      <c r="Z182" s="663" t="s">
        <v>1585</v>
      </c>
      <c r="AA182" s="663" t="s">
        <v>1596</v>
      </c>
      <c r="AB182" s="663" t="s">
        <v>1587</v>
      </c>
      <c r="AC182" s="663" t="s">
        <v>1596</v>
      </c>
      <c r="AD182" s="663" t="s">
        <v>825</v>
      </c>
      <c r="AE182" s="663" t="s">
        <v>825</v>
      </c>
      <c r="AF182" s="663" t="s">
        <v>825</v>
      </c>
      <c r="AG182" s="663" t="s">
        <v>825</v>
      </c>
      <c r="AH182" s="663" t="s">
        <v>1585</v>
      </c>
      <c r="AI182" s="688">
        <v>60.666666666666671</v>
      </c>
      <c r="AJ182" s="689" t="s">
        <v>1588</v>
      </c>
      <c r="AK182" s="690"/>
    </row>
    <row r="183" spans="1:37" s="653" customFormat="1">
      <c r="A183" s="655">
        <v>2024</v>
      </c>
      <c r="B183" s="656" t="str">
        <f>INDEX('①基本情報 '!$C$2:$C$255,MATCH('②建物情報 '!E183,'①基本情報 '!$E$2:$E$255,0),1)</f>
        <v>118</v>
      </c>
      <c r="C183" s="657" t="str">
        <f>INDEX('①基本情報 '!$B$2:$B$255,MATCH('②建物情報 '!E183,'①基本情報 '!$E$2:$E$255,0),1)</f>
        <v>1023</v>
      </c>
      <c r="D183" s="658" t="s">
        <v>2418</v>
      </c>
      <c r="E183" s="612" t="s">
        <v>857</v>
      </c>
      <c r="F183" s="597" t="str">
        <f>INDEX('①基本情報 '!$G$2:$G$255,MATCH('②建物情報 '!E183,'①基本情報 '!$E$2:$E$255,0),1)</f>
        <v>教育委員会教育総務部、学校教育部、生涯学習部</v>
      </c>
      <c r="G183" s="678" t="s">
        <v>861</v>
      </c>
      <c r="H183" s="612" t="s">
        <v>1653</v>
      </c>
      <c r="I183" s="663">
        <v>1993</v>
      </c>
      <c r="J183" s="663">
        <v>3</v>
      </c>
      <c r="K183" s="663">
        <f t="shared" si="2"/>
        <v>31</v>
      </c>
      <c r="L183" s="694"/>
      <c r="M183" s="704">
        <v>81</v>
      </c>
      <c r="N183" s="704">
        <v>81</v>
      </c>
      <c r="O183" s="681" t="s">
        <v>1812</v>
      </c>
      <c r="P183" s="663" t="s">
        <v>1603</v>
      </c>
      <c r="Q183" s="663">
        <v>1</v>
      </c>
      <c r="R183" s="690">
        <v>0</v>
      </c>
      <c r="S183" s="687" t="s">
        <v>1593</v>
      </c>
      <c r="T183" s="683" t="s">
        <v>825</v>
      </c>
      <c r="U183" s="683" t="s">
        <v>1846</v>
      </c>
      <c r="V183" s="690"/>
      <c r="W183" s="687"/>
      <c r="X183" s="686">
        <v>31</v>
      </c>
      <c r="Y183" s="687" t="s">
        <v>1596</v>
      </c>
      <c r="Z183" s="663" t="s">
        <v>1586</v>
      </c>
      <c r="AA183" s="663" t="s">
        <v>1586</v>
      </c>
      <c r="AB183" s="663" t="s">
        <v>1587</v>
      </c>
      <c r="AC183" s="663" t="s">
        <v>1586</v>
      </c>
      <c r="AD183" s="663" t="s">
        <v>825</v>
      </c>
      <c r="AE183" s="663" t="s">
        <v>825</v>
      </c>
      <c r="AF183" s="663" t="s">
        <v>1586</v>
      </c>
      <c r="AG183" s="663" t="s">
        <v>1586</v>
      </c>
      <c r="AH183" s="663" t="s">
        <v>1586</v>
      </c>
      <c r="AI183" s="688">
        <v>72.682926829268297</v>
      </c>
      <c r="AJ183" s="689" t="s">
        <v>1588</v>
      </c>
      <c r="AK183" s="690"/>
    </row>
    <row r="184" spans="1:37" s="653" customFormat="1">
      <c r="A184" s="655">
        <v>2024</v>
      </c>
      <c r="B184" s="656" t="str">
        <f>INDEX('①基本情報 '!$C$2:$C$255,MATCH('②建物情報 '!E184,'①基本情報 '!$E$2:$E$255,0),1)</f>
        <v>119</v>
      </c>
      <c r="C184" s="657" t="str">
        <f>INDEX('①基本情報 '!$B$2:$B$255,MATCH('②建物情報 '!E184,'①基本情報 '!$E$2:$E$255,0),1)</f>
        <v>1024</v>
      </c>
      <c r="D184" s="658" t="s">
        <v>2418</v>
      </c>
      <c r="E184" s="612" t="s">
        <v>865</v>
      </c>
      <c r="F184" s="597" t="str">
        <f>INDEX('①基本情報 '!$G$2:$G$255,MATCH('②建物情報 '!E184,'①基本情報 '!$E$2:$E$255,0),1)</f>
        <v>教育委員会教育総務部、学校教育部、生涯学習部</v>
      </c>
      <c r="G184" s="678" t="s">
        <v>1580</v>
      </c>
      <c r="H184" s="612" t="s">
        <v>1638</v>
      </c>
      <c r="I184" s="663">
        <v>1979</v>
      </c>
      <c r="J184" s="663">
        <v>8</v>
      </c>
      <c r="K184" s="663">
        <f t="shared" si="2"/>
        <v>45</v>
      </c>
      <c r="L184" s="694">
        <v>956</v>
      </c>
      <c r="M184" s="704">
        <v>4027</v>
      </c>
      <c r="N184" s="704">
        <v>4027</v>
      </c>
      <c r="O184" s="681" t="s">
        <v>1594</v>
      </c>
      <c r="P184" s="663" t="s">
        <v>1581</v>
      </c>
      <c r="Q184" s="663">
        <v>5</v>
      </c>
      <c r="R184" s="690">
        <v>0</v>
      </c>
      <c r="S184" s="687" t="s">
        <v>1582</v>
      </c>
      <c r="T184" s="663" t="s">
        <v>1583</v>
      </c>
      <c r="U184" s="683" t="s">
        <v>63</v>
      </c>
      <c r="V184" s="690">
        <v>2005</v>
      </c>
      <c r="W184" s="687">
        <v>2006</v>
      </c>
      <c r="X184" s="686">
        <v>47</v>
      </c>
      <c r="Y184" s="687" t="s">
        <v>1585</v>
      </c>
      <c r="Z184" s="663" t="s">
        <v>1585</v>
      </c>
      <c r="AA184" s="663" t="s">
        <v>1586</v>
      </c>
      <c r="AB184" s="663" t="s">
        <v>1596</v>
      </c>
      <c r="AC184" s="663" t="s">
        <v>1585</v>
      </c>
      <c r="AD184" s="663" t="s">
        <v>1585</v>
      </c>
      <c r="AE184" s="663" t="s">
        <v>1585</v>
      </c>
      <c r="AF184" s="663" t="s">
        <v>1585</v>
      </c>
      <c r="AG184" s="663" t="s">
        <v>1585</v>
      </c>
      <c r="AH184" s="663" t="s">
        <v>1586</v>
      </c>
      <c r="AI184" s="688">
        <v>75.471698113207552</v>
      </c>
      <c r="AJ184" s="689" t="s">
        <v>1588</v>
      </c>
      <c r="AK184" s="690"/>
    </row>
    <row r="185" spans="1:37" s="653" customFormat="1">
      <c r="A185" s="655">
        <v>2024</v>
      </c>
      <c r="B185" s="656" t="str">
        <f>INDEX('①基本情報 '!$C$2:$C$255,MATCH('②建物情報 '!E185,'①基本情報 '!$E$2:$E$255,0),1)</f>
        <v>119</v>
      </c>
      <c r="C185" s="657" t="str">
        <f>INDEX('①基本情報 '!$B$2:$B$255,MATCH('②建物情報 '!E185,'①基本情報 '!$E$2:$E$255,0),1)</f>
        <v>1024</v>
      </c>
      <c r="D185" s="658" t="s">
        <v>2418</v>
      </c>
      <c r="E185" s="612" t="s">
        <v>865</v>
      </c>
      <c r="F185" s="597" t="str">
        <f>INDEX('①基本情報 '!$G$2:$G$255,MATCH('②建物情報 '!E185,'①基本情報 '!$E$2:$E$255,0),1)</f>
        <v>教育委員会教育総務部、学校教育部、生涯学習部</v>
      </c>
      <c r="G185" s="678" t="s">
        <v>1589</v>
      </c>
      <c r="H185" s="612" t="s">
        <v>1639</v>
      </c>
      <c r="I185" s="663">
        <v>1979</v>
      </c>
      <c r="J185" s="663">
        <v>8</v>
      </c>
      <c r="K185" s="663">
        <f t="shared" si="2"/>
        <v>45</v>
      </c>
      <c r="L185" s="694">
        <v>546</v>
      </c>
      <c r="M185" s="704">
        <v>2301</v>
      </c>
      <c r="N185" s="704">
        <v>2301</v>
      </c>
      <c r="O185" s="681" t="s">
        <v>1812</v>
      </c>
      <c r="P185" s="663" t="s">
        <v>1581</v>
      </c>
      <c r="Q185" s="663">
        <v>5</v>
      </c>
      <c r="R185" s="690">
        <v>0</v>
      </c>
      <c r="S185" s="687" t="s">
        <v>1582</v>
      </c>
      <c r="T185" s="663" t="s">
        <v>1583</v>
      </c>
      <c r="U185" s="683" t="s">
        <v>63</v>
      </c>
      <c r="V185" s="690">
        <v>2006</v>
      </c>
      <c r="W185" s="687">
        <v>2007</v>
      </c>
      <c r="X185" s="686">
        <v>47</v>
      </c>
      <c r="Y185" s="687" t="s">
        <v>1585</v>
      </c>
      <c r="Z185" s="663" t="s">
        <v>1585</v>
      </c>
      <c r="AA185" s="663" t="s">
        <v>1586</v>
      </c>
      <c r="AB185" s="663" t="s">
        <v>1596</v>
      </c>
      <c r="AC185" s="663" t="s">
        <v>1585</v>
      </c>
      <c r="AD185" s="663" t="s">
        <v>1596</v>
      </c>
      <c r="AE185" s="663" t="s">
        <v>1585</v>
      </c>
      <c r="AF185" s="663" t="s">
        <v>1585</v>
      </c>
      <c r="AG185" s="663" t="s">
        <v>1596</v>
      </c>
      <c r="AH185" s="663" t="s">
        <v>1585</v>
      </c>
      <c r="AI185" s="688">
        <v>68</v>
      </c>
      <c r="AJ185" s="689" t="s">
        <v>1588</v>
      </c>
      <c r="AK185" s="690"/>
    </row>
    <row r="186" spans="1:37" s="653" customFormat="1">
      <c r="A186" s="655">
        <v>2024</v>
      </c>
      <c r="B186" s="656" t="str">
        <f>INDEX('①基本情報 '!$C$2:$C$255,MATCH('②建物情報 '!E186,'①基本情報 '!$E$2:$E$255,0),1)</f>
        <v>119</v>
      </c>
      <c r="C186" s="657" t="str">
        <f>INDEX('①基本情報 '!$B$2:$B$255,MATCH('②建物情報 '!E186,'①基本情報 '!$E$2:$E$255,0),1)</f>
        <v>1024</v>
      </c>
      <c r="D186" s="658" t="s">
        <v>2418</v>
      </c>
      <c r="E186" s="612" t="s">
        <v>865</v>
      </c>
      <c r="F186" s="597" t="str">
        <f>INDEX('①基本情報 '!$G$2:$G$255,MATCH('②建物情報 '!E186,'①基本情報 '!$E$2:$E$255,0),1)</f>
        <v>教育委員会教育総務部、学校教育部、生涯学習部</v>
      </c>
      <c r="G186" s="678" t="s">
        <v>1591</v>
      </c>
      <c r="H186" s="612" t="s">
        <v>1642</v>
      </c>
      <c r="I186" s="663">
        <v>1979</v>
      </c>
      <c r="J186" s="663">
        <v>8</v>
      </c>
      <c r="K186" s="663">
        <f t="shared" si="2"/>
        <v>45</v>
      </c>
      <c r="L186" s="694">
        <v>967</v>
      </c>
      <c r="M186" s="704">
        <v>2133</v>
      </c>
      <c r="N186" s="704">
        <v>2133</v>
      </c>
      <c r="O186" s="681" t="s">
        <v>1812</v>
      </c>
      <c r="P186" s="663" t="s">
        <v>1581</v>
      </c>
      <c r="Q186" s="663">
        <v>3</v>
      </c>
      <c r="R186" s="690">
        <v>0</v>
      </c>
      <c r="S186" s="687" t="s">
        <v>1582</v>
      </c>
      <c r="T186" s="663" t="s">
        <v>1583</v>
      </c>
      <c r="U186" s="683" t="s">
        <v>63</v>
      </c>
      <c r="V186" s="690">
        <v>2006</v>
      </c>
      <c r="W186" s="687">
        <v>2007</v>
      </c>
      <c r="X186" s="686">
        <v>47</v>
      </c>
      <c r="Y186" s="687" t="s">
        <v>1585</v>
      </c>
      <c r="Z186" s="663" t="s">
        <v>1585</v>
      </c>
      <c r="AA186" s="663" t="s">
        <v>1586</v>
      </c>
      <c r="AB186" s="663" t="s">
        <v>1596</v>
      </c>
      <c r="AC186" s="663" t="s">
        <v>1585</v>
      </c>
      <c r="AD186" s="663" t="s">
        <v>1587</v>
      </c>
      <c r="AE186" s="663" t="s">
        <v>825</v>
      </c>
      <c r="AF186" s="663" t="s">
        <v>1585</v>
      </c>
      <c r="AG186" s="663" t="s">
        <v>1596</v>
      </c>
      <c r="AH186" s="663" t="s">
        <v>1585</v>
      </c>
      <c r="AI186" s="688">
        <v>66.36363636363636</v>
      </c>
      <c r="AJ186" s="689" t="s">
        <v>1588</v>
      </c>
      <c r="AK186" s="690"/>
    </row>
    <row r="187" spans="1:37" s="653" customFormat="1">
      <c r="A187" s="655">
        <v>2024</v>
      </c>
      <c r="B187" s="656" t="str">
        <f>INDEX('①基本情報 '!$C$2:$C$255,MATCH('②建物情報 '!E187,'①基本情報 '!$E$2:$E$255,0),1)</f>
        <v>119</v>
      </c>
      <c r="C187" s="657" t="str">
        <f>INDEX('①基本情報 '!$B$2:$B$255,MATCH('②建物情報 '!E187,'①基本情報 '!$E$2:$E$255,0),1)</f>
        <v>1024</v>
      </c>
      <c r="D187" s="658" t="s">
        <v>2418</v>
      </c>
      <c r="E187" s="612" t="s">
        <v>865</v>
      </c>
      <c r="F187" s="597" t="str">
        <f>INDEX('①基本情報 '!$G$2:$G$255,MATCH('②建物情報 '!E187,'①基本情報 '!$E$2:$E$255,0),1)</f>
        <v>教育委員会教育総務部、学校教育部、生涯学習部</v>
      </c>
      <c r="G187" s="678" t="s">
        <v>1601</v>
      </c>
      <c r="H187" s="612" t="s">
        <v>1644</v>
      </c>
      <c r="I187" s="663">
        <v>2007</v>
      </c>
      <c r="J187" s="663">
        <v>9</v>
      </c>
      <c r="K187" s="663">
        <f t="shared" si="2"/>
        <v>17</v>
      </c>
      <c r="L187" s="694">
        <v>16</v>
      </c>
      <c r="M187" s="704">
        <v>63</v>
      </c>
      <c r="N187" s="704">
        <v>63</v>
      </c>
      <c r="O187" s="681" t="s">
        <v>1812</v>
      </c>
      <c r="P187" s="663" t="s">
        <v>1603</v>
      </c>
      <c r="Q187" s="663">
        <v>4</v>
      </c>
      <c r="R187" s="690">
        <v>0</v>
      </c>
      <c r="S187" s="687" t="s">
        <v>1593</v>
      </c>
      <c r="T187" s="683" t="s">
        <v>825</v>
      </c>
      <c r="U187" s="683" t="s">
        <v>1846</v>
      </c>
      <c r="V187" s="690"/>
      <c r="W187" s="687"/>
      <c r="X187" s="702">
        <v>34</v>
      </c>
      <c r="Y187" s="687" t="s">
        <v>1587</v>
      </c>
      <c r="Z187" s="663" t="s">
        <v>1585</v>
      </c>
      <c r="AA187" s="663" t="s">
        <v>1586</v>
      </c>
      <c r="AB187" s="663" t="s">
        <v>1596</v>
      </c>
      <c r="AC187" s="663" t="s">
        <v>1585</v>
      </c>
      <c r="AD187" s="663" t="s">
        <v>825</v>
      </c>
      <c r="AE187" s="663" t="s">
        <v>825</v>
      </c>
      <c r="AF187" s="663" t="s">
        <v>825</v>
      </c>
      <c r="AG187" s="663" t="s">
        <v>825</v>
      </c>
      <c r="AH187" s="663" t="s">
        <v>1585</v>
      </c>
      <c r="AI187" s="688">
        <v>56.000000000000007</v>
      </c>
      <c r="AJ187" s="689" t="s">
        <v>1588</v>
      </c>
      <c r="AK187" s="690"/>
    </row>
    <row r="188" spans="1:37" s="653" customFormat="1">
      <c r="A188" s="655">
        <v>2024</v>
      </c>
      <c r="B188" s="656" t="str">
        <f>INDEX('①基本情報 '!$C$2:$C$255,MATCH('②建物情報 '!E188,'①基本情報 '!$E$2:$E$255,0),1)</f>
        <v>119</v>
      </c>
      <c r="C188" s="657" t="str">
        <f>INDEX('①基本情報 '!$B$2:$B$255,MATCH('②建物情報 '!E188,'①基本情報 '!$E$2:$E$255,0),1)</f>
        <v>1024</v>
      </c>
      <c r="D188" s="658" t="s">
        <v>2418</v>
      </c>
      <c r="E188" s="612" t="s">
        <v>865</v>
      </c>
      <c r="F188" s="597" t="str">
        <f>INDEX('①基本情報 '!$G$2:$G$255,MATCH('②建物情報 '!E188,'①基本情報 '!$E$2:$E$255,0),1)</f>
        <v>教育委員会教育総務部、学校教育部、生涯学習部</v>
      </c>
      <c r="G188" s="678" t="s">
        <v>1620</v>
      </c>
      <c r="H188" s="612" t="s">
        <v>1653</v>
      </c>
      <c r="I188" s="663">
        <v>1980</v>
      </c>
      <c r="J188" s="663">
        <v>7</v>
      </c>
      <c r="K188" s="663">
        <f t="shared" si="2"/>
        <v>44</v>
      </c>
      <c r="L188" s="694"/>
      <c r="M188" s="704">
        <v>80</v>
      </c>
      <c r="N188" s="704">
        <v>80</v>
      </c>
      <c r="O188" s="681" t="s">
        <v>1812</v>
      </c>
      <c r="P188" s="663" t="s">
        <v>1603</v>
      </c>
      <c r="Q188" s="663">
        <v>1</v>
      </c>
      <c r="R188" s="690">
        <v>0</v>
      </c>
      <c r="S188" s="687" t="s">
        <v>1582</v>
      </c>
      <c r="T188" s="683"/>
      <c r="U188" s="683" t="s">
        <v>1965</v>
      </c>
      <c r="V188" s="690"/>
      <c r="W188" s="687"/>
      <c r="X188" s="702">
        <v>31</v>
      </c>
      <c r="Y188" s="687" t="s">
        <v>1585</v>
      </c>
      <c r="Z188" s="663" t="s">
        <v>1586</v>
      </c>
      <c r="AA188" s="663" t="s">
        <v>1586</v>
      </c>
      <c r="AB188" s="663" t="s">
        <v>1596</v>
      </c>
      <c r="AC188" s="663" t="s">
        <v>1586</v>
      </c>
      <c r="AD188" s="663" t="s">
        <v>825</v>
      </c>
      <c r="AE188" s="663" t="s">
        <v>825</v>
      </c>
      <c r="AF188" s="663" t="s">
        <v>1586</v>
      </c>
      <c r="AG188" s="663" t="s">
        <v>1586</v>
      </c>
      <c r="AH188" s="663" t="s">
        <v>1586</v>
      </c>
      <c r="AI188" s="688">
        <v>83.414634146341456</v>
      </c>
      <c r="AJ188" s="689" t="s">
        <v>1588</v>
      </c>
      <c r="AK188" s="690"/>
    </row>
    <row r="189" spans="1:37" s="653" customFormat="1">
      <c r="A189" s="655">
        <v>2024</v>
      </c>
      <c r="B189" s="656" t="str">
        <f>INDEX('①基本情報 '!$C$2:$C$255,MATCH('②建物情報 '!E189,'①基本情報 '!$E$2:$E$255,0),1)</f>
        <v>120</v>
      </c>
      <c r="C189" s="657" t="str">
        <f>INDEX('①基本情報 '!$B$2:$B$255,MATCH('②建物情報 '!E189,'①基本情報 '!$E$2:$E$255,0),1)</f>
        <v>1025</v>
      </c>
      <c r="D189" s="658" t="s">
        <v>2418</v>
      </c>
      <c r="E189" s="612" t="s">
        <v>871</v>
      </c>
      <c r="F189" s="597" t="str">
        <f>INDEX('①基本情報 '!$G$2:$G$255,MATCH('②建物情報 '!E189,'①基本情報 '!$E$2:$E$255,0),1)</f>
        <v>教育委員会教育総務部、学校教育部、生涯学習部</v>
      </c>
      <c r="G189" s="678" t="s">
        <v>1580</v>
      </c>
      <c r="H189" s="612" t="s">
        <v>1638</v>
      </c>
      <c r="I189" s="663">
        <v>1964</v>
      </c>
      <c r="J189" s="663">
        <v>8</v>
      </c>
      <c r="K189" s="663">
        <f t="shared" si="2"/>
        <v>60</v>
      </c>
      <c r="L189" s="694">
        <v>350</v>
      </c>
      <c r="M189" s="704">
        <v>1088</v>
      </c>
      <c r="N189" s="704">
        <v>1088</v>
      </c>
      <c r="O189" s="681" t="s">
        <v>1812</v>
      </c>
      <c r="P189" s="663" t="s">
        <v>1581</v>
      </c>
      <c r="Q189" s="663">
        <v>3</v>
      </c>
      <c r="R189" s="690">
        <v>0</v>
      </c>
      <c r="S189" s="687" t="s">
        <v>1582</v>
      </c>
      <c r="T189" s="663" t="s">
        <v>1583</v>
      </c>
      <c r="U189" s="683" t="s">
        <v>63</v>
      </c>
      <c r="V189" s="690">
        <v>2009</v>
      </c>
      <c r="W189" s="687">
        <v>2009</v>
      </c>
      <c r="X189" s="686">
        <v>47</v>
      </c>
      <c r="Y189" s="687" t="s">
        <v>1585</v>
      </c>
      <c r="Z189" s="663" t="s">
        <v>1585</v>
      </c>
      <c r="AA189" s="663" t="s">
        <v>1585</v>
      </c>
      <c r="AB189" s="663" t="s">
        <v>1596</v>
      </c>
      <c r="AC189" s="663" t="s">
        <v>1585</v>
      </c>
      <c r="AD189" s="663" t="s">
        <v>1596</v>
      </c>
      <c r="AE189" s="663" t="s">
        <v>1596</v>
      </c>
      <c r="AF189" s="663" t="s">
        <v>1596</v>
      </c>
      <c r="AG189" s="663" t="s">
        <v>1596</v>
      </c>
      <c r="AH189" s="663" t="s">
        <v>1585</v>
      </c>
      <c r="AI189" s="688">
        <v>66.399999999999991</v>
      </c>
      <c r="AJ189" s="689" t="s">
        <v>1588</v>
      </c>
      <c r="AK189" s="690"/>
    </row>
    <row r="190" spans="1:37" s="653" customFormat="1">
      <c r="A190" s="655">
        <v>2024</v>
      </c>
      <c r="B190" s="656" t="str">
        <f>INDEX('①基本情報 '!$C$2:$C$255,MATCH('②建物情報 '!E190,'①基本情報 '!$E$2:$E$255,0),1)</f>
        <v>120</v>
      </c>
      <c r="C190" s="657" t="str">
        <f>INDEX('①基本情報 '!$B$2:$B$255,MATCH('②建物情報 '!E190,'①基本情報 '!$E$2:$E$255,0),1)</f>
        <v>1025</v>
      </c>
      <c r="D190" s="658" t="s">
        <v>2418</v>
      </c>
      <c r="E190" s="612" t="s">
        <v>871</v>
      </c>
      <c r="F190" s="597" t="str">
        <f>INDEX('①基本情報 '!$G$2:$G$255,MATCH('②建物情報 '!E190,'①基本情報 '!$E$2:$E$255,0),1)</f>
        <v>教育委員会教育総務部、学校教育部、生涯学習部</v>
      </c>
      <c r="G190" s="678" t="s">
        <v>1589</v>
      </c>
      <c r="H190" s="612" t="s">
        <v>1639</v>
      </c>
      <c r="I190" s="663">
        <v>1971</v>
      </c>
      <c r="J190" s="663">
        <v>3</v>
      </c>
      <c r="K190" s="663">
        <f t="shared" si="2"/>
        <v>53</v>
      </c>
      <c r="L190" s="694">
        <v>792</v>
      </c>
      <c r="M190" s="704">
        <v>3265</v>
      </c>
      <c r="N190" s="704">
        <v>3265</v>
      </c>
      <c r="O190" s="681" t="s">
        <v>1594</v>
      </c>
      <c r="P190" s="663" t="s">
        <v>1581</v>
      </c>
      <c r="Q190" s="663">
        <v>5</v>
      </c>
      <c r="R190" s="690">
        <v>0</v>
      </c>
      <c r="S190" s="687" t="s">
        <v>1582</v>
      </c>
      <c r="T190" s="663" t="s">
        <v>1583</v>
      </c>
      <c r="U190" s="683" t="s">
        <v>63</v>
      </c>
      <c r="V190" s="690">
        <v>2009</v>
      </c>
      <c r="W190" s="687">
        <v>2009</v>
      </c>
      <c r="X190" s="686">
        <v>47</v>
      </c>
      <c r="Y190" s="687" t="s">
        <v>1585</v>
      </c>
      <c r="Z190" s="663" t="s">
        <v>1585</v>
      </c>
      <c r="AA190" s="663" t="s">
        <v>1585</v>
      </c>
      <c r="AB190" s="663" t="s">
        <v>1596</v>
      </c>
      <c r="AC190" s="663" t="s">
        <v>1585</v>
      </c>
      <c r="AD190" s="663" t="s">
        <v>1596</v>
      </c>
      <c r="AE190" s="663" t="s">
        <v>1596</v>
      </c>
      <c r="AF190" s="663" t="s">
        <v>1596</v>
      </c>
      <c r="AG190" s="663" t="s">
        <v>1596</v>
      </c>
      <c r="AH190" s="663" t="s">
        <v>1585</v>
      </c>
      <c r="AI190" s="688">
        <v>63.6</v>
      </c>
      <c r="AJ190" s="689" t="s">
        <v>1588</v>
      </c>
      <c r="AK190" s="690"/>
    </row>
    <row r="191" spans="1:37" s="653" customFormat="1">
      <c r="A191" s="655">
        <v>2024</v>
      </c>
      <c r="B191" s="656" t="str">
        <f>INDEX('①基本情報 '!$C$2:$C$255,MATCH('②建物情報 '!E191,'①基本情報 '!$E$2:$E$255,0),1)</f>
        <v>120</v>
      </c>
      <c r="C191" s="657" t="str">
        <f>INDEX('①基本情報 '!$B$2:$B$255,MATCH('②建物情報 '!E191,'①基本情報 '!$E$2:$E$255,0),1)</f>
        <v>1025</v>
      </c>
      <c r="D191" s="658" t="s">
        <v>2418</v>
      </c>
      <c r="E191" s="612" t="s">
        <v>871</v>
      </c>
      <c r="F191" s="597" t="str">
        <f>INDEX('①基本情報 '!$G$2:$G$255,MATCH('②建物情報 '!E191,'①基本情報 '!$E$2:$E$255,0),1)</f>
        <v>教育委員会教育総務部、学校教育部、生涯学習部</v>
      </c>
      <c r="G191" s="678" t="s">
        <v>1591</v>
      </c>
      <c r="H191" s="612" t="s">
        <v>1640</v>
      </c>
      <c r="I191" s="663">
        <v>1972</v>
      </c>
      <c r="J191" s="663">
        <v>3</v>
      </c>
      <c r="K191" s="663">
        <f t="shared" si="2"/>
        <v>52</v>
      </c>
      <c r="L191" s="694">
        <v>548</v>
      </c>
      <c r="M191" s="704">
        <v>2288</v>
      </c>
      <c r="N191" s="704">
        <v>2288</v>
      </c>
      <c r="O191" s="681" t="s">
        <v>1812</v>
      </c>
      <c r="P191" s="663" t="s">
        <v>1581</v>
      </c>
      <c r="Q191" s="663">
        <v>5</v>
      </c>
      <c r="R191" s="690">
        <v>0</v>
      </c>
      <c r="S191" s="687" t="s">
        <v>1582</v>
      </c>
      <c r="T191" s="663" t="s">
        <v>1583</v>
      </c>
      <c r="U191" s="683" t="s">
        <v>63</v>
      </c>
      <c r="V191" s="690">
        <v>2009</v>
      </c>
      <c r="W191" s="687">
        <v>2009</v>
      </c>
      <c r="X191" s="686">
        <v>47</v>
      </c>
      <c r="Y191" s="687" t="s">
        <v>1585</v>
      </c>
      <c r="Z191" s="663" t="s">
        <v>1585</v>
      </c>
      <c r="AA191" s="663" t="s">
        <v>1585</v>
      </c>
      <c r="AB191" s="663" t="s">
        <v>1596</v>
      </c>
      <c r="AC191" s="663" t="s">
        <v>1585</v>
      </c>
      <c r="AD191" s="663" t="s">
        <v>1586</v>
      </c>
      <c r="AE191" s="663" t="s">
        <v>1596</v>
      </c>
      <c r="AF191" s="663" t="s">
        <v>1596</v>
      </c>
      <c r="AG191" s="663" t="s">
        <v>1596</v>
      </c>
      <c r="AH191" s="663" t="s">
        <v>1585</v>
      </c>
      <c r="AI191" s="688">
        <v>68.679245283018872</v>
      </c>
      <c r="AJ191" s="689" t="s">
        <v>1588</v>
      </c>
      <c r="AK191" s="690"/>
    </row>
    <row r="192" spans="1:37" s="653" customFormat="1">
      <c r="A192" s="655">
        <v>2024</v>
      </c>
      <c r="B192" s="656" t="str">
        <f>INDEX('①基本情報 '!$C$2:$C$255,MATCH('②建物情報 '!E192,'①基本情報 '!$E$2:$E$255,0),1)</f>
        <v>120</v>
      </c>
      <c r="C192" s="657" t="str">
        <f>INDEX('①基本情報 '!$B$2:$B$255,MATCH('②建物情報 '!E192,'①基本情報 '!$E$2:$E$255,0),1)</f>
        <v>1025</v>
      </c>
      <c r="D192" s="658" t="s">
        <v>2418</v>
      </c>
      <c r="E192" s="612" t="s">
        <v>871</v>
      </c>
      <c r="F192" s="597" t="str">
        <f>INDEX('①基本情報 '!$G$2:$G$255,MATCH('②建物情報 '!E192,'①基本情報 '!$E$2:$E$255,0),1)</f>
        <v>教育委員会教育総務部、学校教育部、生涯学習部</v>
      </c>
      <c r="G192" s="678" t="s">
        <v>1601</v>
      </c>
      <c r="H192" s="612" t="s">
        <v>1651</v>
      </c>
      <c r="I192" s="663">
        <v>1972</v>
      </c>
      <c r="J192" s="663">
        <v>3</v>
      </c>
      <c r="K192" s="663">
        <f t="shared" si="2"/>
        <v>52</v>
      </c>
      <c r="L192" s="694">
        <v>287</v>
      </c>
      <c r="M192" s="704">
        <v>673</v>
      </c>
      <c r="N192" s="704">
        <v>673</v>
      </c>
      <c r="O192" s="681" t="s">
        <v>1812</v>
      </c>
      <c r="P192" s="663" t="s">
        <v>1581</v>
      </c>
      <c r="Q192" s="663">
        <v>4</v>
      </c>
      <c r="R192" s="690">
        <v>0</v>
      </c>
      <c r="S192" s="687" t="s">
        <v>1582</v>
      </c>
      <c r="T192" s="663" t="s">
        <v>1583</v>
      </c>
      <c r="U192" s="683" t="s">
        <v>63</v>
      </c>
      <c r="V192" s="690">
        <v>2009</v>
      </c>
      <c r="W192" s="687">
        <v>2009</v>
      </c>
      <c r="X192" s="686">
        <v>47</v>
      </c>
      <c r="Y192" s="687" t="s">
        <v>1585</v>
      </c>
      <c r="Z192" s="663" t="s">
        <v>1585</v>
      </c>
      <c r="AA192" s="663" t="s">
        <v>1585</v>
      </c>
      <c r="AB192" s="663" t="s">
        <v>1596</v>
      </c>
      <c r="AC192" s="663" t="s">
        <v>1585</v>
      </c>
      <c r="AD192" s="663" t="s">
        <v>1585</v>
      </c>
      <c r="AE192" s="663" t="s">
        <v>1596</v>
      </c>
      <c r="AF192" s="663" t="s">
        <v>1596</v>
      </c>
      <c r="AG192" s="663" t="s">
        <v>1596</v>
      </c>
      <c r="AH192" s="663" t="s">
        <v>1585</v>
      </c>
      <c r="AI192" s="688">
        <v>66.399999999999991</v>
      </c>
      <c r="AJ192" s="689" t="s">
        <v>1588</v>
      </c>
      <c r="AK192" s="690"/>
    </row>
    <row r="193" spans="1:37" s="653" customFormat="1">
      <c r="A193" s="655">
        <v>2024</v>
      </c>
      <c r="B193" s="656" t="str">
        <f>INDEX('①基本情報 '!$C$2:$C$255,MATCH('②建物情報 '!E193,'①基本情報 '!$E$2:$E$255,0),1)</f>
        <v>120</v>
      </c>
      <c r="C193" s="657" t="str">
        <f>INDEX('①基本情報 '!$B$2:$B$255,MATCH('②建物情報 '!E193,'①基本情報 '!$E$2:$E$255,0),1)</f>
        <v>1025</v>
      </c>
      <c r="D193" s="658" t="s">
        <v>2418</v>
      </c>
      <c r="E193" s="612" t="s">
        <v>871</v>
      </c>
      <c r="F193" s="597" t="str">
        <f>INDEX('①基本情報 '!$G$2:$G$255,MATCH('②建物情報 '!E193,'①基本情報 '!$E$2:$E$255,0),1)</f>
        <v>教育委員会教育総務部、学校教育部、生涯学習部</v>
      </c>
      <c r="G193" s="678" t="s">
        <v>1620</v>
      </c>
      <c r="H193" s="612" t="s">
        <v>1654</v>
      </c>
      <c r="I193" s="663">
        <v>1990</v>
      </c>
      <c r="J193" s="663">
        <v>3</v>
      </c>
      <c r="K193" s="663">
        <f t="shared" si="2"/>
        <v>34</v>
      </c>
      <c r="L193" s="694">
        <v>183</v>
      </c>
      <c r="M193" s="704">
        <v>183</v>
      </c>
      <c r="N193" s="704">
        <v>183</v>
      </c>
      <c r="O193" s="681" t="s">
        <v>1812</v>
      </c>
      <c r="P193" s="663" t="s">
        <v>1581</v>
      </c>
      <c r="Q193" s="663">
        <v>2</v>
      </c>
      <c r="R193" s="690">
        <v>0</v>
      </c>
      <c r="S193" s="687" t="s">
        <v>1593</v>
      </c>
      <c r="T193" s="683" t="s">
        <v>825</v>
      </c>
      <c r="U193" s="683" t="s">
        <v>1846</v>
      </c>
      <c r="V193" s="690"/>
      <c r="W193" s="687">
        <v>2009</v>
      </c>
      <c r="X193" s="686">
        <v>47</v>
      </c>
      <c r="Y193" s="687" t="s">
        <v>1596</v>
      </c>
      <c r="Z193" s="663" t="s">
        <v>1585</v>
      </c>
      <c r="AA193" s="663" t="s">
        <v>1585</v>
      </c>
      <c r="AB193" s="663" t="s">
        <v>1596</v>
      </c>
      <c r="AC193" s="663" t="s">
        <v>1585</v>
      </c>
      <c r="AD193" s="663" t="s">
        <v>825</v>
      </c>
      <c r="AE193" s="663" t="s">
        <v>825</v>
      </c>
      <c r="AF193" s="663" t="s">
        <v>825</v>
      </c>
      <c r="AG193" s="663" t="s">
        <v>825</v>
      </c>
      <c r="AH193" s="663" t="s">
        <v>1585</v>
      </c>
      <c r="AI193" s="688">
        <v>62</v>
      </c>
      <c r="AJ193" s="689" t="s">
        <v>1588</v>
      </c>
      <c r="AK193" s="690"/>
    </row>
    <row r="194" spans="1:37" s="653" customFormat="1">
      <c r="A194" s="655">
        <v>2024</v>
      </c>
      <c r="B194" s="656" t="str">
        <f>INDEX('①基本情報 '!$C$2:$C$255,MATCH('②建物情報 '!E194,'①基本情報 '!$E$2:$E$255,0),1)</f>
        <v>120</v>
      </c>
      <c r="C194" s="657" t="str">
        <f>INDEX('①基本情報 '!$B$2:$B$255,MATCH('②建物情報 '!E194,'①基本情報 '!$E$2:$E$255,0),1)</f>
        <v>1025</v>
      </c>
      <c r="D194" s="658" t="s">
        <v>2418</v>
      </c>
      <c r="E194" s="612" t="s">
        <v>871</v>
      </c>
      <c r="F194" s="597" t="str">
        <f>INDEX('①基本情報 '!$G$2:$G$255,MATCH('②建物情報 '!E194,'①基本情報 '!$E$2:$E$255,0),1)</f>
        <v>教育委員会教育総務部、学校教育部、生涯学習部</v>
      </c>
      <c r="G194" s="678" t="s">
        <v>1643</v>
      </c>
      <c r="H194" s="612" t="s">
        <v>1649</v>
      </c>
      <c r="I194" s="663">
        <v>1985</v>
      </c>
      <c r="J194" s="663">
        <v>1</v>
      </c>
      <c r="K194" s="663">
        <f t="shared" si="2"/>
        <v>39</v>
      </c>
      <c r="L194" s="694">
        <v>959</v>
      </c>
      <c r="M194" s="704">
        <v>1109</v>
      </c>
      <c r="N194" s="704">
        <v>1109</v>
      </c>
      <c r="O194" s="681" t="s">
        <v>1812</v>
      </c>
      <c r="P194" s="663" t="s">
        <v>1581</v>
      </c>
      <c r="Q194" s="663">
        <v>2</v>
      </c>
      <c r="R194" s="690">
        <v>0</v>
      </c>
      <c r="S194" s="687" t="s">
        <v>1593</v>
      </c>
      <c r="T194" s="683" t="s">
        <v>825</v>
      </c>
      <c r="U194" s="663" t="s">
        <v>63</v>
      </c>
      <c r="V194" s="690"/>
      <c r="W194" s="687"/>
      <c r="X194" s="686">
        <v>47</v>
      </c>
      <c r="Y194" s="687" t="s">
        <v>1585</v>
      </c>
      <c r="Z194" s="663" t="s">
        <v>1596</v>
      </c>
      <c r="AA194" s="663" t="s">
        <v>1586</v>
      </c>
      <c r="AB194" s="663" t="s">
        <v>1596</v>
      </c>
      <c r="AC194" s="663" t="s">
        <v>1586</v>
      </c>
      <c r="AD194" s="663" t="s">
        <v>825</v>
      </c>
      <c r="AE194" s="663" t="s">
        <v>1596</v>
      </c>
      <c r="AF194" s="663" t="s">
        <v>1586</v>
      </c>
      <c r="AG194" s="663" t="s">
        <v>1587</v>
      </c>
      <c r="AH194" s="663" t="s">
        <v>1585</v>
      </c>
      <c r="AI194" s="688">
        <v>61.702127659574465</v>
      </c>
      <c r="AJ194" s="689" t="s">
        <v>1588</v>
      </c>
      <c r="AK194" s="690"/>
    </row>
    <row r="195" spans="1:37" s="653" customFormat="1">
      <c r="A195" s="655">
        <v>2024</v>
      </c>
      <c r="B195" s="656" t="str">
        <f>INDEX('①基本情報 '!$C$2:$C$255,MATCH('②建物情報 '!E195,'①基本情報 '!$E$2:$E$255,0),1)</f>
        <v>120</v>
      </c>
      <c r="C195" s="657" t="str">
        <f>INDEX('①基本情報 '!$B$2:$B$255,MATCH('②建物情報 '!E195,'①基本情報 '!$E$2:$E$255,0),1)</f>
        <v>1025</v>
      </c>
      <c r="D195" s="658" t="s">
        <v>2418</v>
      </c>
      <c r="E195" s="612" t="s">
        <v>871</v>
      </c>
      <c r="F195" s="597" t="str">
        <f>INDEX('①基本情報 '!$G$2:$G$255,MATCH('②建物情報 '!E195,'①基本情報 '!$E$2:$E$255,0),1)</f>
        <v>教育委員会教育総務部、学校教育部、生涯学習部</v>
      </c>
      <c r="G195" s="678" t="s">
        <v>1645</v>
      </c>
      <c r="H195" s="612" t="s">
        <v>1644</v>
      </c>
      <c r="I195" s="663">
        <v>2009</v>
      </c>
      <c r="J195" s="663">
        <v>3</v>
      </c>
      <c r="K195" s="663">
        <f t="shared" si="2"/>
        <v>15</v>
      </c>
      <c r="L195" s="694">
        <v>10</v>
      </c>
      <c r="M195" s="704">
        <v>40</v>
      </c>
      <c r="N195" s="704">
        <v>40</v>
      </c>
      <c r="O195" s="681" t="s">
        <v>1812</v>
      </c>
      <c r="P195" s="663" t="s">
        <v>1603</v>
      </c>
      <c r="Q195" s="663">
        <v>4</v>
      </c>
      <c r="R195" s="690">
        <v>0</v>
      </c>
      <c r="S195" s="687" t="s">
        <v>1593</v>
      </c>
      <c r="T195" s="683" t="s">
        <v>825</v>
      </c>
      <c r="U195" s="683" t="s">
        <v>1846</v>
      </c>
      <c r="V195" s="690"/>
      <c r="W195" s="687"/>
      <c r="X195" s="702">
        <v>34</v>
      </c>
      <c r="Y195" s="687" t="s">
        <v>1587</v>
      </c>
      <c r="Z195" s="663" t="s">
        <v>1585</v>
      </c>
      <c r="AA195" s="663" t="s">
        <v>1585</v>
      </c>
      <c r="AB195" s="663" t="s">
        <v>1596</v>
      </c>
      <c r="AC195" s="663" t="s">
        <v>1585</v>
      </c>
      <c r="AD195" s="663" t="s">
        <v>825</v>
      </c>
      <c r="AE195" s="663" t="s">
        <v>825</v>
      </c>
      <c r="AF195" s="663" t="s">
        <v>825</v>
      </c>
      <c r="AG195" s="663" t="s">
        <v>825</v>
      </c>
      <c r="AH195" s="663" t="s">
        <v>1596</v>
      </c>
      <c r="AI195" s="688">
        <v>48.666666666666671</v>
      </c>
      <c r="AJ195" s="689" t="s">
        <v>1588</v>
      </c>
      <c r="AK195" s="690"/>
    </row>
    <row r="196" spans="1:37" s="653" customFormat="1">
      <c r="A196" s="655">
        <v>2024</v>
      </c>
      <c r="B196" s="656" t="str">
        <f>INDEX('①基本情報 '!$C$2:$C$255,MATCH('②建物情報 '!E196,'①基本情報 '!$E$2:$E$255,0),1)</f>
        <v>120</v>
      </c>
      <c r="C196" s="657" t="str">
        <f>INDEX('①基本情報 '!$B$2:$B$255,MATCH('②建物情報 '!E196,'①基本情報 '!$E$2:$E$255,0),1)</f>
        <v>1025</v>
      </c>
      <c r="D196" s="658" t="s">
        <v>2418</v>
      </c>
      <c r="E196" s="612" t="s">
        <v>871</v>
      </c>
      <c r="F196" s="597" t="str">
        <f>INDEX('①基本情報 '!$G$2:$G$255,MATCH('②建物情報 '!E196,'①基本情報 '!$E$2:$E$255,0),1)</f>
        <v>教育委員会教育総務部、学校教育部、生涯学習部</v>
      </c>
      <c r="G196" s="678" t="s">
        <v>1646</v>
      </c>
      <c r="H196" s="612" t="s">
        <v>1653</v>
      </c>
      <c r="I196" s="663">
        <v>1991</v>
      </c>
      <c r="J196" s="663">
        <v>6</v>
      </c>
      <c r="K196" s="663">
        <f t="shared" si="2"/>
        <v>33</v>
      </c>
      <c r="L196" s="694"/>
      <c r="M196" s="704">
        <v>105</v>
      </c>
      <c r="N196" s="704">
        <v>105</v>
      </c>
      <c r="O196" s="681" t="s">
        <v>1812</v>
      </c>
      <c r="P196" s="663" t="s">
        <v>1603</v>
      </c>
      <c r="Q196" s="663">
        <v>1</v>
      </c>
      <c r="R196" s="690">
        <v>0</v>
      </c>
      <c r="S196" s="687" t="s">
        <v>1593</v>
      </c>
      <c r="T196" s="683" t="s">
        <v>825</v>
      </c>
      <c r="U196" s="683" t="s">
        <v>1846</v>
      </c>
      <c r="V196" s="690"/>
      <c r="W196" s="687">
        <v>2015</v>
      </c>
      <c r="X196" s="702">
        <v>31</v>
      </c>
      <c r="Y196" s="687" t="s">
        <v>1596</v>
      </c>
      <c r="Z196" s="663" t="s">
        <v>1596</v>
      </c>
      <c r="AA196" s="663" t="s">
        <v>1585</v>
      </c>
      <c r="AB196" s="663" t="s">
        <v>1596</v>
      </c>
      <c r="AC196" s="663" t="s">
        <v>1596</v>
      </c>
      <c r="AD196" s="663" t="s">
        <v>825</v>
      </c>
      <c r="AE196" s="663" t="s">
        <v>825</v>
      </c>
      <c r="AF196" s="663" t="s">
        <v>1596</v>
      </c>
      <c r="AG196" s="663" t="s">
        <v>1596</v>
      </c>
      <c r="AH196" s="663" t="s">
        <v>1596</v>
      </c>
      <c r="AI196" s="688">
        <v>46.829268292682926</v>
      </c>
      <c r="AJ196" s="689" t="s">
        <v>1588</v>
      </c>
      <c r="AK196" s="690"/>
    </row>
    <row r="197" spans="1:37" s="653" customFormat="1">
      <c r="A197" s="655">
        <v>2024</v>
      </c>
      <c r="B197" s="656" t="str">
        <f>INDEX('①基本情報 '!$C$2:$C$255,MATCH('②建物情報 '!E197,'①基本情報 '!$E$2:$E$255,0),1)</f>
        <v>121</v>
      </c>
      <c r="C197" s="657" t="str">
        <f>INDEX('①基本情報 '!$B$2:$B$255,MATCH('②建物情報 '!E197,'①基本情報 '!$E$2:$E$255,0),1)</f>
        <v>1026</v>
      </c>
      <c r="D197" s="658" t="s">
        <v>2418</v>
      </c>
      <c r="E197" s="612" t="s">
        <v>878</v>
      </c>
      <c r="F197" s="597" t="str">
        <f>INDEX('①基本情報 '!$G$2:$G$255,MATCH('②建物情報 '!E197,'①基本情報 '!$E$2:$E$255,0),1)</f>
        <v>教育委員会教育総務部、学校教育部、生涯学習部</v>
      </c>
      <c r="G197" s="678" t="s">
        <v>1580</v>
      </c>
      <c r="H197" s="612" t="s">
        <v>1638</v>
      </c>
      <c r="I197" s="663">
        <v>1964</v>
      </c>
      <c r="J197" s="663">
        <v>6</v>
      </c>
      <c r="K197" s="663">
        <f t="shared" si="2"/>
        <v>60</v>
      </c>
      <c r="L197" s="694">
        <v>370</v>
      </c>
      <c r="M197" s="704">
        <v>770</v>
      </c>
      <c r="N197" s="704">
        <v>770</v>
      </c>
      <c r="O197" s="681" t="s">
        <v>1812</v>
      </c>
      <c r="P197" s="663" t="s">
        <v>1581</v>
      </c>
      <c r="Q197" s="663">
        <v>2</v>
      </c>
      <c r="R197" s="690">
        <v>0</v>
      </c>
      <c r="S197" s="687" t="s">
        <v>1582</v>
      </c>
      <c r="T197" s="663" t="s">
        <v>1583</v>
      </c>
      <c r="U197" s="683" t="s">
        <v>63</v>
      </c>
      <c r="V197" s="690">
        <v>2009</v>
      </c>
      <c r="W197" s="687">
        <v>2009</v>
      </c>
      <c r="X197" s="686">
        <v>47</v>
      </c>
      <c r="Y197" s="687" t="s">
        <v>1585</v>
      </c>
      <c r="Z197" s="663" t="s">
        <v>1585</v>
      </c>
      <c r="AA197" s="663" t="s">
        <v>1585</v>
      </c>
      <c r="AB197" s="663" t="s">
        <v>1586</v>
      </c>
      <c r="AC197" s="663" t="s">
        <v>1585</v>
      </c>
      <c r="AD197" s="663" t="s">
        <v>1586</v>
      </c>
      <c r="AE197" s="663" t="s">
        <v>1596</v>
      </c>
      <c r="AF197" s="663" t="s">
        <v>1596</v>
      </c>
      <c r="AG197" s="663" t="s">
        <v>1596</v>
      </c>
      <c r="AH197" s="663" t="s">
        <v>1586</v>
      </c>
      <c r="AI197" s="688">
        <v>77.358490566037744</v>
      </c>
      <c r="AJ197" s="689" t="s">
        <v>1588</v>
      </c>
      <c r="AK197" s="690"/>
    </row>
    <row r="198" spans="1:37" s="653" customFormat="1">
      <c r="A198" s="655">
        <v>2024</v>
      </c>
      <c r="B198" s="656" t="str">
        <f>INDEX('①基本情報 '!$C$2:$C$255,MATCH('②建物情報 '!E198,'①基本情報 '!$E$2:$E$255,0),1)</f>
        <v>121</v>
      </c>
      <c r="C198" s="657" t="str">
        <f>INDEX('①基本情報 '!$B$2:$B$255,MATCH('②建物情報 '!E198,'①基本情報 '!$E$2:$E$255,0),1)</f>
        <v>1026</v>
      </c>
      <c r="D198" s="658" t="s">
        <v>2418</v>
      </c>
      <c r="E198" s="612" t="s">
        <v>878</v>
      </c>
      <c r="F198" s="597" t="str">
        <f>INDEX('①基本情報 '!$G$2:$G$255,MATCH('②建物情報 '!E198,'①基本情報 '!$E$2:$E$255,0),1)</f>
        <v>教育委員会教育総務部、学校教育部、生涯学習部</v>
      </c>
      <c r="G198" s="678" t="s">
        <v>1589</v>
      </c>
      <c r="H198" s="612" t="s">
        <v>1639</v>
      </c>
      <c r="I198" s="663">
        <v>1968</v>
      </c>
      <c r="J198" s="663">
        <v>9</v>
      </c>
      <c r="K198" s="663">
        <f t="shared" si="2"/>
        <v>56</v>
      </c>
      <c r="L198" s="694">
        <v>285</v>
      </c>
      <c r="M198" s="704">
        <v>855</v>
      </c>
      <c r="N198" s="704">
        <v>855</v>
      </c>
      <c r="O198" s="681" t="s">
        <v>1812</v>
      </c>
      <c r="P198" s="663" t="s">
        <v>1581</v>
      </c>
      <c r="Q198" s="663">
        <v>3</v>
      </c>
      <c r="R198" s="690">
        <v>0</v>
      </c>
      <c r="S198" s="687" t="s">
        <v>1582</v>
      </c>
      <c r="T198" s="663" t="s">
        <v>1583</v>
      </c>
      <c r="U198" s="683" t="s">
        <v>63</v>
      </c>
      <c r="V198" s="690">
        <v>2009</v>
      </c>
      <c r="W198" s="687">
        <v>2009</v>
      </c>
      <c r="X198" s="686">
        <v>47</v>
      </c>
      <c r="Y198" s="687" t="s">
        <v>1585</v>
      </c>
      <c r="Z198" s="663" t="s">
        <v>1585</v>
      </c>
      <c r="AA198" s="663" t="s">
        <v>1585</v>
      </c>
      <c r="AB198" s="663" t="s">
        <v>1586</v>
      </c>
      <c r="AC198" s="663" t="s">
        <v>1585</v>
      </c>
      <c r="AD198" s="663" t="s">
        <v>1586</v>
      </c>
      <c r="AE198" s="663" t="s">
        <v>1596</v>
      </c>
      <c r="AF198" s="663" t="s">
        <v>1596</v>
      </c>
      <c r="AG198" s="663" t="s">
        <v>1596</v>
      </c>
      <c r="AH198" s="663" t="s">
        <v>1586</v>
      </c>
      <c r="AI198" s="688">
        <v>75.84905660377359</v>
      </c>
      <c r="AJ198" s="689" t="s">
        <v>1588</v>
      </c>
      <c r="AK198" s="690"/>
    </row>
    <row r="199" spans="1:37" s="653" customFormat="1">
      <c r="A199" s="655">
        <v>2024</v>
      </c>
      <c r="B199" s="656" t="str">
        <f>INDEX('①基本情報 '!$C$2:$C$255,MATCH('②建物情報 '!E199,'①基本情報 '!$E$2:$E$255,0),1)</f>
        <v>121</v>
      </c>
      <c r="C199" s="657" t="str">
        <f>INDEX('①基本情報 '!$B$2:$B$255,MATCH('②建物情報 '!E199,'①基本情報 '!$E$2:$E$255,0),1)</f>
        <v>1026</v>
      </c>
      <c r="D199" s="658" t="s">
        <v>2418</v>
      </c>
      <c r="E199" s="612" t="s">
        <v>878</v>
      </c>
      <c r="F199" s="597" t="str">
        <f>INDEX('①基本情報 '!$G$2:$G$255,MATCH('②建物情報 '!E199,'①基本情報 '!$E$2:$E$255,0),1)</f>
        <v>教育委員会教育総務部、学校教育部、生涯学習部</v>
      </c>
      <c r="G199" s="678" t="s">
        <v>1591</v>
      </c>
      <c r="H199" s="612" t="s">
        <v>1640</v>
      </c>
      <c r="I199" s="663">
        <v>1974</v>
      </c>
      <c r="J199" s="663">
        <v>5</v>
      </c>
      <c r="K199" s="663">
        <f t="shared" si="2"/>
        <v>50</v>
      </c>
      <c r="L199" s="694">
        <v>128</v>
      </c>
      <c r="M199" s="704">
        <v>510</v>
      </c>
      <c r="N199" s="704">
        <v>510</v>
      </c>
      <c r="O199" s="681" t="s">
        <v>1812</v>
      </c>
      <c r="P199" s="663" t="s">
        <v>1581</v>
      </c>
      <c r="Q199" s="663">
        <v>4</v>
      </c>
      <c r="R199" s="690">
        <v>0</v>
      </c>
      <c r="S199" s="687" t="s">
        <v>1582</v>
      </c>
      <c r="T199" s="663" t="s">
        <v>1583</v>
      </c>
      <c r="U199" s="683" t="s">
        <v>63</v>
      </c>
      <c r="V199" s="690">
        <v>2009</v>
      </c>
      <c r="W199" s="687">
        <v>2009</v>
      </c>
      <c r="X199" s="686">
        <v>47</v>
      </c>
      <c r="Y199" s="687" t="s">
        <v>1585</v>
      </c>
      <c r="Z199" s="663" t="s">
        <v>1585</v>
      </c>
      <c r="AA199" s="663" t="s">
        <v>1585</v>
      </c>
      <c r="AB199" s="663" t="s">
        <v>1586</v>
      </c>
      <c r="AC199" s="663" t="s">
        <v>1585</v>
      </c>
      <c r="AD199" s="663" t="s">
        <v>1596</v>
      </c>
      <c r="AE199" s="663" t="s">
        <v>1596</v>
      </c>
      <c r="AF199" s="663" t="s">
        <v>1596</v>
      </c>
      <c r="AG199" s="663" t="s">
        <v>1596</v>
      </c>
      <c r="AH199" s="663" t="s">
        <v>1585</v>
      </c>
      <c r="AI199" s="688">
        <v>68.399999999999991</v>
      </c>
      <c r="AJ199" s="689" t="s">
        <v>1588</v>
      </c>
      <c r="AK199" s="690"/>
    </row>
    <row r="200" spans="1:37" s="653" customFormat="1">
      <c r="A200" s="655">
        <v>2024</v>
      </c>
      <c r="B200" s="656" t="str">
        <f>INDEX('①基本情報 '!$C$2:$C$255,MATCH('②建物情報 '!E200,'①基本情報 '!$E$2:$E$255,0),1)</f>
        <v>121</v>
      </c>
      <c r="C200" s="657" t="str">
        <f>INDEX('①基本情報 '!$B$2:$B$255,MATCH('②建物情報 '!E200,'①基本情報 '!$E$2:$E$255,0),1)</f>
        <v>1026</v>
      </c>
      <c r="D200" s="658" t="s">
        <v>2418</v>
      </c>
      <c r="E200" s="612" t="s">
        <v>878</v>
      </c>
      <c r="F200" s="597" t="str">
        <f>INDEX('①基本情報 '!$G$2:$G$255,MATCH('②建物情報 '!E200,'①基本情報 '!$E$2:$E$255,0),1)</f>
        <v>教育委員会教育総務部、学校教育部、生涯学習部</v>
      </c>
      <c r="G200" s="678" t="s">
        <v>1601</v>
      </c>
      <c r="H200" s="612" t="s">
        <v>1641</v>
      </c>
      <c r="I200" s="663">
        <v>1969</v>
      </c>
      <c r="J200" s="663">
        <v>3</v>
      </c>
      <c r="K200" s="663">
        <f t="shared" ref="K200:K263" si="3">IF(I200&lt;&gt;"",A200-I200,99)</f>
        <v>55</v>
      </c>
      <c r="L200" s="694">
        <v>539</v>
      </c>
      <c r="M200" s="704">
        <v>2186</v>
      </c>
      <c r="N200" s="704">
        <v>2186</v>
      </c>
      <c r="O200" s="681" t="s">
        <v>1594</v>
      </c>
      <c r="P200" s="663" t="s">
        <v>1581</v>
      </c>
      <c r="Q200" s="663">
        <v>4</v>
      </c>
      <c r="R200" s="690">
        <v>0</v>
      </c>
      <c r="S200" s="687" t="s">
        <v>1582</v>
      </c>
      <c r="T200" s="663" t="s">
        <v>1583</v>
      </c>
      <c r="U200" s="683" t="s">
        <v>63</v>
      </c>
      <c r="V200" s="690">
        <v>2009</v>
      </c>
      <c r="W200" s="687">
        <v>2009</v>
      </c>
      <c r="X200" s="686">
        <v>47</v>
      </c>
      <c r="Y200" s="687" t="s">
        <v>1585</v>
      </c>
      <c r="Z200" s="663" t="s">
        <v>1585</v>
      </c>
      <c r="AA200" s="663" t="s">
        <v>1585</v>
      </c>
      <c r="AB200" s="663" t="s">
        <v>1586</v>
      </c>
      <c r="AC200" s="663" t="s">
        <v>1585</v>
      </c>
      <c r="AD200" s="663" t="s">
        <v>1586</v>
      </c>
      <c r="AE200" s="663" t="s">
        <v>1596</v>
      </c>
      <c r="AF200" s="663" t="s">
        <v>1596</v>
      </c>
      <c r="AG200" s="663" t="s">
        <v>1596</v>
      </c>
      <c r="AH200" s="663" t="s">
        <v>1586</v>
      </c>
      <c r="AI200" s="688">
        <v>75.471698113207552</v>
      </c>
      <c r="AJ200" s="689" t="s">
        <v>1588</v>
      </c>
      <c r="AK200" s="690"/>
    </row>
    <row r="201" spans="1:37" s="653" customFormat="1">
      <c r="A201" s="655">
        <v>2024</v>
      </c>
      <c r="B201" s="656" t="str">
        <f>INDEX('①基本情報 '!$C$2:$C$255,MATCH('②建物情報 '!E201,'①基本情報 '!$E$2:$E$255,0),1)</f>
        <v>121</v>
      </c>
      <c r="C201" s="657" t="str">
        <f>INDEX('①基本情報 '!$B$2:$B$255,MATCH('②建物情報 '!E201,'①基本情報 '!$E$2:$E$255,0),1)</f>
        <v>1026</v>
      </c>
      <c r="D201" s="658" t="s">
        <v>2418</v>
      </c>
      <c r="E201" s="612" t="s">
        <v>878</v>
      </c>
      <c r="F201" s="597" t="str">
        <f>INDEX('①基本情報 '!$G$2:$G$255,MATCH('②建物情報 '!E201,'①基本情報 '!$E$2:$E$255,0),1)</f>
        <v>教育委員会教育総務部、学校教育部、生涯学習部</v>
      </c>
      <c r="G201" s="678" t="s">
        <v>1620</v>
      </c>
      <c r="H201" s="612" t="s">
        <v>1648</v>
      </c>
      <c r="I201" s="663">
        <v>1971</v>
      </c>
      <c r="J201" s="663">
        <v>3</v>
      </c>
      <c r="K201" s="663">
        <f t="shared" si="3"/>
        <v>53</v>
      </c>
      <c r="L201" s="694">
        <v>747</v>
      </c>
      <c r="M201" s="704">
        <v>3016</v>
      </c>
      <c r="N201" s="704">
        <v>3016</v>
      </c>
      <c r="O201" s="681" t="s">
        <v>1594</v>
      </c>
      <c r="P201" s="663" t="s">
        <v>1581</v>
      </c>
      <c r="Q201" s="663">
        <v>4</v>
      </c>
      <c r="R201" s="690">
        <v>0</v>
      </c>
      <c r="S201" s="687" t="s">
        <v>1582</v>
      </c>
      <c r="T201" s="663" t="s">
        <v>1583</v>
      </c>
      <c r="U201" s="683" t="s">
        <v>63</v>
      </c>
      <c r="V201" s="690">
        <v>2009</v>
      </c>
      <c r="W201" s="687">
        <v>2009</v>
      </c>
      <c r="X201" s="686">
        <v>47</v>
      </c>
      <c r="Y201" s="687" t="s">
        <v>1585</v>
      </c>
      <c r="Z201" s="663" t="s">
        <v>1585</v>
      </c>
      <c r="AA201" s="663" t="s">
        <v>1585</v>
      </c>
      <c r="AB201" s="663" t="s">
        <v>1586</v>
      </c>
      <c r="AC201" s="663" t="s">
        <v>1585</v>
      </c>
      <c r="AD201" s="663" t="s">
        <v>1586</v>
      </c>
      <c r="AE201" s="663" t="s">
        <v>1596</v>
      </c>
      <c r="AF201" s="663" t="s">
        <v>1596</v>
      </c>
      <c r="AG201" s="663" t="s">
        <v>1596</v>
      </c>
      <c r="AH201" s="663" t="s">
        <v>1586</v>
      </c>
      <c r="AI201" s="688">
        <v>74.716981132075475</v>
      </c>
      <c r="AJ201" s="689" t="s">
        <v>1588</v>
      </c>
      <c r="AK201" s="690"/>
    </row>
    <row r="202" spans="1:37" s="653" customFormat="1">
      <c r="A202" s="655">
        <v>2024</v>
      </c>
      <c r="B202" s="656" t="str">
        <f>INDEX('①基本情報 '!$C$2:$C$255,MATCH('②建物情報 '!E202,'①基本情報 '!$E$2:$E$255,0),1)</f>
        <v>121</v>
      </c>
      <c r="C202" s="657" t="str">
        <f>INDEX('①基本情報 '!$B$2:$B$255,MATCH('②建物情報 '!E202,'①基本情報 '!$E$2:$E$255,0),1)</f>
        <v>1026</v>
      </c>
      <c r="D202" s="658" t="s">
        <v>2418</v>
      </c>
      <c r="E202" s="612" t="s">
        <v>878</v>
      </c>
      <c r="F202" s="597" t="str">
        <f>INDEX('①基本情報 '!$G$2:$G$255,MATCH('②建物情報 '!E202,'①基本情報 '!$E$2:$E$255,0),1)</f>
        <v>教育委員会教育総務部、学校教育部、生涯学習部</v>
      </c>
      <c r="G202" s="678" t="s">
        <v>1643</v>
      </c>
      <c r="H202" s="612" t="s">
        <v>1649</v>
      </c>
      <c r="I202" s="663">
        <v>1984</v>
      </c>
      <c r="J202" s="663">
        <v>3</v>
      </c>
      <c r="K202" s="663">
        <f t="shared" si="3"/>
        <v>40</v>
      </c>
      <c r="L202" s="694">
        <v>1196</v>
      </c>
      <c r="M202" s="704">
        <v>1546</v>
      </c>
      <c r="N202" s="704">
        <v>1546</v>
      </c>
      <c r="O202" s="681" t="s">
        <v>1812</v>
      </c>
      <c r="P202" s="663" t="s">
        <v>1581</v>
      </c>
      <c r="Q202" s="663">
        <v>2</v>
      </c>
      <c r="R202" s="690">
        <v>0</v>
      </c>
      <c r="S202" s="687" t="s">
        <v>1593</v>
      </c>
      <c r="T202" s="683" t="s">
        <v>825</v>
      </c>
      <c r="U202" s="663" t="s">
        <v>63</v>
      </c>
      <c r="V202" s="690"/>
      <c r="W202" s="687"/>
      <c r="X202" s="686">
        <v>47</v>
      </c>
      <c r="Y202" s="687" t="s">
        <v>1585</v>
      </c>
      <c r="Z202" s="663" t="s">
        <v>1586</v>
      </c>
      <c r="AA202" s="663" t="s">
        <v>1586</v>
      </c>
      <c r="AB202" s="663" t="s">
        <v>1586</v>
      </c>
      <c r="AC202" s="663" t="s">
        <v>1586</v>
      </c>
      <c r="AD202" s="663" t="s">
        <v>825</v>
      </c>
      <c r="AE202" s="663" t="s">
        <v>1596</v>
      </c>
      <c r="AF202" s="663" t="s">
        <v>1586</v>
      </c>
      <c r="AG202" s="663" t="s">
        <v>1596</v>
      </c>
      <c r="AH202" s="663" t="s">
        <v>1586</v>
      </c>
      <c r="AI202" s="688">
        <v>75.744680851063833</v>
      </c>
      <c r="AJ202" s="689" t="s">
        <v>1588</v>
      </c>
      <c r="AK202" s="690"/>
    </row>
    <row r="203" spans="1:37" s="653" customFormat="1">
      <c r="A203" s="655">
        <v>2024</v>
      </c>
      <c r="B203" s="656" t="str">
        <f>INDEX('①基本情報 '!$C$2:$C$255,MATCH('②建物情報 '!E203,'①基本情報 '!$E$2:$E$255,0),1)</f>
        <v>121</v>
      </c>
      <c r="C203" s="657" t="str">
        <f>INDEX('①基本情報 '!$B$2:$B$255,MATCH('②建物情報 '!E203,'①基本情報 '!$E$2:$E$255,0),1)</f>
        <v>1026</v>
      </c>
      <c r="D203" s="658" t="s">
        <v>2418</v>
      </c>
      <c r="E203" s="612" t="s">
        <v>878</v>
      </c>
      <c r="F203" s="597" t="str">
        <f>INDEX('①基本情報 '!$G$2:$G$255,MATCH('②建物情報 '!E203,'①基本情報 '!$E$2:$E$255,0),1)</f>
        <v>教育委員会教育総務部、学校教育部、生涯学習部</v>
      </c>
      <c r="G203" s="678" t="s">
        <v>1645</v>
      </c>
      <c r="H203" s="612" t="s">
        <v>1651</v>
      </c>
      <c r="I203" s="663">
        <v>1970</v>
      </c>
      <c r="J203" s="663">
        <v>3</v>
      </c>
      <c r="K203" s="663">
        <f t="shared" si="3"/>
        <v>54</v>
      </c>
      <c r="L203" s="694">
        <v>211</v>
      </c>
      <c r="M203" s="704">
        <v>321</v>
      </c>
      <c r="N203" s="704">
        <v>321</v>
      </c>
      <c r="O203" s="681" t="s">
        <v>1812</v>
      </c>
      <c r="P203" s="663" t="s">
        <v>1581</v>
      </c>
      <c r="Q203" s="663">
        <v>3</v>
      </c>
      <c r="R203" s="690">
        <v>0</v>
      </c>
      <c r="S203" s="687" t="s">
        <v>1582</v>
      </c>
      <c r="T203" s="663" t="s">
        <v>1583</v>
      </c>
      <c r="U203" s="683" t="s">
        <v>63</v>
      </c>
      <c r="V203" s="690">
        <v>2009</v>
      </c>
      <c r="W203" s="687">
        <v>2009</v>
      </c>
      <c r="X203" s="686">
        <v>47</v>
      </c>
      <c r="Y203" s="687" t="s">
        <v>1585</v>
      </c>
      <c r="Z203" s="663" t="s">
        <v>1585</v>
      </c>
      <c r="AA203" s="663" t="s">
        <v>1585</v>
      </c>
      <c r="AB203" s="663" t="s">
        <v>1586</v>
      </c>
      <c r="AC203" s="663" t="s">
        <v>1585</v>
      </c>
      <c r="AD203" s="663" t="s">
        <v>1585</v>
      </c>
      <c r="AE203" s="663" t="s">
        <v>1596</v>
      </c>
      <c r="AF203" s="663" t="s">
        <v>1596</v>
      </c>
      <c r="AG203" s="663" t="s">
        <v>1596</v>
      </c>
      <c r="AH203" s="663" t="s">
        <v>1586</v>
      </c>
      <c r="AI203" s="688">
        <v>72.8</v>
      </c>
      <c r="AJ203" s="689" t="s">
        <v>1588</v>
      </c>
      <c r="AK203" s="690"/>
    </row>
    <row r="204" spans="1:37" s="653" customFormat="1">
      <c r="A204" s="655">
        <v>2024</v>
      </c>
      <c r="B204" s="656" t="str">
        <f>INDEX('①基本情報 '!$C$2:$C$255,MATCH('②建物情報 '!E204,'①基本情報 '!$E$2:$E$255,0),1)</f>
        <v>121</v>
      </c>
      <c r="C204" s="657" t="str">
        <f>INDEX('①基本情報 '!$B$2:$B$255,MATCH('②建物情報 '!E204,'①基本情報 '!$E$2:$E$255,0),1)</f>
        <v>1026</v>
      </c>
      <c r="D204" s="658" t="s">
        <v>2418</v>
      </c>
      <c r="E204" s="612" t="s">
        <v>878</v>
      </c>
      <c r="F204" s="597" t="str">
        <f>INDEX('①基本情報 '!$G$2:$G$255,MATCH('②建物情報 '!E204,'①基本情報 '!$E$2:$E$255,0),1)</f>
        <v>教育委員会教育総務部、学校教育部、生涯学習部</v>
      </c>
      <c r="G204" s="678" t="s">
        <v>1646</v>
      </c>
      <c r="H204" s="612" t="s">
        <v>1612</v>
      </c>
      <c r="I204" s="663">
        <v>1971</v>
      </c>
      <c r="J204" s="663">
        <v>10</v>
      </c>
      <c r="K204" s="663">
        <f t="shared" si="3"/>
        <v>53</v>
      </c>
      <c r="L204" s="694">
        <v>105</v>
      </c>
      <c r="M204" s="704">
        <v>105</v>
      </c>
      <c r="N204" s="704">
        <v>105</v>
      </c>
      <c r="O204" s="681" t="s">
        <v>1812</v>
      </c>
      <c r="P204" s="663" t="s">
        <v>1581</v>
      </c>
      <c r="Q204" s="663">
        <v>1</v>
      </c>
      <c r="R204" s="690">
        <v>0</v>
      </c>
      <c r="S204" s="687" t="s">
        <v>1885</v>
      </c>
      <c r="T204" s="683" t="s">
        <v>1886</v>
      </c>
      <c r="U204" s="683" t="s">
        <v>1846</v>
      </c>
      <c r="V204" s="690"/>
      <c r="W204" s="687">
        <v>2009</v>
      </c>
      <c r="X204" s="686">
        <v>38</v>
      </c>
      <c r="Y204" s="687" t="s">
        <v>1585</v>
      </c>
      <c r="Z204" s="663" t="s">
        <v>1585</v>
      </c>
      <c r="AA204" s="663" t="s">
        <v>1585</v>
      </c>
      <c r="AB204" s="663" t="s">
        <v>1586</v>
      </c>
      <c r="AC204" s="663" t="s">
        <v>1585</v>
      </c>
      <c r="AD204" s="663" t="s">
        <v>825</v>
      </c>
      <c r="AE204" s="663" t="s">
        <v>825</v>
      </c>
      <c r="AF204" s="663" t="s">
        <v>825</v>
      </c>
      <c r="AG204" s="663" t="s">
        <v>825</v>
      </c>
      <c r="AH204" s="663" t="s">
        <v>1586</v>
      </c>
      <c r="AI204" s="688">
        <v>84</v>
      </c>
      <c r="AJ204" s="689" t="s">
        <v>1588</v>
      </c>
      <c r="AK204" s="690"/>
    </row>
    <row r="205" spans="1:37" s="653" customFormat="1">
      <c r="A205" s="655">
        <v>2024</v>
      </c>
      <c r="B205" s="656" t="str">
        <f>INDEX('①基本情報 '!$C$2:$C$255,MATCH('②建物情報 '!E205,'①基本情報 '!$E$2:$E$255,0),1)</f>
        <v>121</v>
      </c>
      <c r="C205" s="657" t="str">
        <f>INDEX('①基本情報 '!$B$2:$B$255,MATCH('②建物情報 '!E205,'①基本情報 '!$E$2:$E$255,0),1)</f>
        <v>1026</v>
      </c>
      <c r="D205" s="658" t="s">
        <v>2418</v>
      </c>
      <c r="E205" s="612" t="s">
        <v>878</v>
      </c>
      <c r="F205" s="597" t="str">
        <f>INDEX('①基本情報 '!$G$2:$G$255,MATCH('②建物情報 '!E205,'①基本情報 '!$E$2:$E$255,0),1)</f>
        <v>教育委員会教育総務部、学校教育部、生涯学習部</v>
      </c>
      <c r="G205" s="678" t="s">
        <v>1647</v>
      </c>
      <c r="H205" s="612" t="s">
        <v>1612</v>
      </c>
      <c r="I205" s="663">
        <v>1971</v>
      </c>
      <c r="J205" s="663">
        <v>3</v>
      </c>
      <c r="K205" s="663">
        <f t="shared" si="3"/>
        <v>53</v>
      </c>
      <c r="L205" s="694">
        <v>63</v>
      </c>
      <c r="M205" s="704">
        <v>63</v>
      </c>
      <c r="N205" s="704">
        <v>63</v>
      </c>
      <c r="O205" s="681" t="s">
        <v>1812</v>
      </c>
      <c r="P205" s="663" t="s">
        <v>1581</v>
      </c>
      <c r="Q205" s="663">
        <v>1</v>
      </c>
      <c r="R205" s="690">
        <v>0</v>
      </c>
      <c r="S205" s="687" t="s">
        <v>1582</v>
      </c>
      <c r="T205" s="683"/>
      <c r="U205" s="683" t="s">
        <v>1965</v>
      </c>
      <c r="V205" s="690"/>
      <c r="W205" s="687">
        <v>2009</v>
      </c>
      <c r="X205" s="686">
        <v>38</v>
      </c>
      <c r="Y205" s="687" t="s">
        <v>1585</v>
      </c>
      <c r="Z205" s="663" t="s">
        <v>1585</v>
      </c>
      <c r="AA205" s="663" t="s">
        <v>1585</v>
      </c>
      <c r="AB205" s="663" t="s">
        <v>1586</v>
      </c>
      <c r="AC205" s="663" t="s">
        <v>1585</v>
      </c>
      <c r="AD205" s="663" t="s">
        <v>825</v>
      </c>
      <c r="AE205" s="663" t="s">
        <v>825</v>
      </c>
      <c r="AF205" s="663" t="s">
        <v>825</v>
      </c>
      <c r="AG205" s="663" t="s">
        <v>825</v>
      </c>
      <c r="AH205" s="663" t="s">
        <v>1586</v>
      </c>
      <c r="AI205" s="688">
        <v>84</v>
      </c>
      <c r="AJ205" s="689" t="s">
        <v>1588</v>
      </c>
      <c r="AK205" s="690"/>
    </row>
    <row r="206" spans="1:37" s="653" customFormat="1">
      <c r="A206" s="655">
        <v>2024</v>
      </c>
      <c r="B206" s="656" t="str">
        <f>INDEX('①基本情報 '!$C$2:$C$255,MATCH('②建物情報 '!E206,'①基本情報 '!$E$2:$E$255,0),1)</f>
        <v>121</v>
      </c>
      <c r="C206" s="657" t="str">
        <f>INDEX('①基本情報 '!$B$2:$B$255,MATCH('②建物情報 '!E206,'①基本情報 '!$E$2:$E$255,0),1)</f>
        <v>1026</v>
      </c>
      <c r="D206" s="658" t="s">
        <v>2418</v>
      </c>
      <c r="E206" s="612" t="s">
        <v>878</v>
      </c>
      <c r="F206" s="597" t="str">
        <f>INDEX('①基本情報 '!$G$2:$G$255,MATCH('②建物情報 '!E206,'①基本情報 '!$E$2:$E$255,0),1)</f>
        <v>教育委員会教育総務部、学校教育部、生涯学習部</v>
      </c>
      <c r="G206" s="678" t="s">
        <v>162</v>
      </c>
      <c r="H206" s="612" t="s">
        <v>1644</v>
      </c>
      <c r="I206" s="663">
        <v>2010</v>
      </c>
      <c r="J206" s="663">
        <v>3</v>
      </c>
      <c r="K206" s="663">
        <f t="shared" si="3"/>
        <v>14</v>
      </c>
      <c r="L206" s="694">
        <v>12</v>
      </c>
      <c r="M206" s="704">
        <v>48</v>
      </c>
      <c r="N206" s="704">
        <v>48</v>
      </c>
      <c r="O206" s="681" t="s">
        <v>1812</v>
      </c>
      <c r="P206" s="663" t="s">
        <v>1603</v>
      </c>
      <c r="Q206" s="663">
        <v>4</v>
      </c>
      <c r="R206" s="690">
        <v>0</v>
      </c>
      <c r="S206" s="687" t="s">
        <v>1593</v>
      </c>
      <c r="T206" s="683" t="s">
        <v>825</v>
      </c>
      <c r="U206" s="683" t="s">
        <v>1846</v>
      </c>
      <c r="V206" s="690"/>
      <c r="W206" s="687"/>
      <c r="X206" s="702">
        <v>34</v>
      </c>
      <c r="Y206" s="687" t="s">
        <v>1587</v>
      </c>
      <c r="Z206" s="663" t="s">
        <v>1585</v>
      </c>
      <c r="AA206" s="663" t="s">
        <v>1585</v>
      </c>
      <c r="AB206" s="663" t="s">
        <v>1586</v>
      </c>
      <c r="AC206" s="663" t="s">
        <v>1585</v>
      </c>
      <c r="AD206" s="663" t="s">
        <v>825</v>
      </c>
      <c r="AE206" s="663" t="s">
        <v>825</v>
      </c>
      <c r="AF206" s="663" t="s">
        <v>825</v>
      </c>
      <c r="AG206" s="663" t="s">
        <v>825</v>
      </c>
      <c r="AH206" s="663" t="s">
        <v>1585</v>
      </c>
      <c r="AI206" s="688">
        <v>59.333333333333329</v>
      </c>
      <c r="AJ206" s="689" t="s">
        <v>1588</v>
      </c>
      <c r="AK206" s="690"/>
    </row>
    <row r="207" spans="1:37" s="653" customFormat="1">
      <c r="A207" s="655">
        <v>2024</v>
      </c>
      <c r="B207" s="656" t="s">
        <v>821</v>
      </c>
      <c r="C207" s="657" t="s">
        <v>877</v>
      </c>
      <c r="D207" s="658" t="s">
        <v>2804</v>
      </c>
      <c r="E207" s="612" t="s">
        <v>878</v>
      </c>
      <c r="F207" s="597" t="s">
        <v>2605</v>
      </c>
      <c r="G207" s="678" t="s">
        <v>1652</v>
      </c>
      <c r="H207" s="612" t="s">
        <v>1653</v>
      </c>
      <c r="I207" s="663">
        <v>1990</v>
      </c>
      <c r="J207" s="663">
        <v>3</v>
      </c>
      <c r="K207" s="663">
        <v>34</v>
      </c>
      <c r="L207" s="694"/>
      <c r="M207" s="704">
        <v>72</v>
      </c>
      <c r="N207" s="704">
        <v>72</v>
      </c>
      <c r="O207" s="681" t="s">
        <v>2806</v>
      </c>
      <c r="P207" s="663" t="s">
        <v>1581</v>
      </c>
      <c r="Q207" s="663">
        <v>1</v>
      </c>
      <c r="R207" s="690">
        <v>0</v>
      </c>
      <c r="S207" s="687" t="s">
        <v>1593</v>
      </c>
      <c r="T207" s="683" t="s">
        <v>825</v>
      </c>
      <c r="U207" s="683" t="s">
        <v>63</v>
      </c>
      <c r="V207" s="690"/>
      <c r="W207" s="687">
        <v>2015</v>
      </c>
      <c r="X207" s="702">
        <v>38</v>
      </c>
      <c r="Y207" s="687" t="s">
        <v>1596</v>
      </c>
      <c r="Z207" s="663" t="s">
        <v>1587</v>
      </c>
      <c r="AA207" s="663" t="s">
        <v>1596</v>
      </c>
      <c r="AB207" s="663" t="s">
        <v>1586</v>
      </c>
      <c r="AC207" s="663" t="s">
        <v>1586</v>
      </c>
      <c r="AD207" s="663" t="s">
        <v>825</v>
      </c>
      <c r="AE207" s="663" t="s">
        <v>825</v>
      </c>
      <c r="AF207" s="663" t="s">
        <v>1587</v>
      </c>
      <c r="AG207" s="663" t="s">
        <v>1587</v>
      </c>
      <c r="AH207" s="663" t="s">
        <v>1585</v>
      </c>
      <c r="AI207" s="688">
        <v>50.731707317073173</v>
      </c>
      <c r="AJ207" s="689" t="s">
        <v>2807</v>
      </c>
      <c r="AK207" s="690"/>
    </row>
    <row r="208" spans="1:37" s="653" customFormat="1">
      <c r="A208" s="655">
        <v>2024</v>
      </c>
      <c r="B208" s="656" t="s">
        <v>821</v>
      </c>
      <c r="C208" s="657" t="s">
        <v>877</v>
      </c>
      <c r="D208" s="658" t="s">
        <v>2804</v>
      </c>
      <c r="E208" s="612" t="s">
        <v>878</v>
      </c>
      <c r="F208" s="597" t="s">
        <v>2605</v>
      </c>
      <c r="G208" s="678" t="s">
        <v>861</v>
      </c>
      <c r="H208" s="612" t="s">
        <v>1612</v>
      </c>
      <c r="I208" s="663">
        <v>1990</v>
      </c>
      <c r="J208" s="663">
        <v>3</v>
      </c>
      <c r="K208" s="663">
        <v>34</v>
      </c>
      <c r="L208" s="694"/>
      <c r="M208" s="704">
        <v>20</v>
      </c>
      <c r="N208" s="704">
        <v>20</v>
      </c>
      <c r="O208" s="681" t="s">
        <v>2806</v>
      </c>
      <c r="P208" s="663" t="s">
        <v>1581</v>
      </c>
      <c r="Q208" s="663">
        <v>1</v>
      </c>
      <c r="R208" s="690">
        <v>0</v>
      </c>
      <c r="S208" s="687" t="s">
        <v>1593</v>
      </c>
      <c r="T208" s="683" t="s">
        <v>825</v>
      </c>
      <c r="U208" s="683" t="s">
        <v>63</v>
      </c>
      <c r="V208" s="690"/>
      <c r="W208" s="687"/>
      <c r="X208" s="702">
        <v>38</v>
      </c>
      <c r="Y208" s="687" t="s">
        <v>1596</v>
      </c>
      <c r="Z208" s="663" t="s">
        <v>1587</v>
      </c>
      <c r="AA208" s="663" t="s">
        <v>1596</v>
      </c>
      <c r="AB208" s="663" t="s">
        <v>1586</v>
      </c>
      <c r="AC208" s="663" t="s">
        <v>1586</v>
      </c>
      <c r="AD208" s="663" t="s">
        <v>825</v>
      </c>
      <c r="AE208" s="663" t="s">
        <v>825</v>
      </c>
      <c r="AF208" s="663" t="s">
        <v>1587</v>
      </c>
      <c r="AG208" s="663" t="s">
        <v>825</v>
      </c>
      <c r="AH208" s="663" t="s">
        <v>1585</v>
      </c>
      <c r="AI208" s="688">
        <v>56.571428571428569</v>
      </c>
      <c r="AJ208" s="689" t="s">
        <v>2807</v>
      </c>
      <c r="AK208" s="690"/>
    </row>
    <row r="209" spans="1:37" s="653" customFormat="1">
      <c r="A209" s="655">
        <v>2024</v>
      </c>
      <c r="B209" s="656" t="str">
        <f>INDEX('①基本情報 '!$C$2:$C$255,MATCH('②建物情報 '!E209,'①基本情報 '!$E$2:$E$255,0),1)</f>
        <v>122</v>
      </c>
      <c r="C209" s="657" t="str">
        <f>INDEX('①基本情報 '!$B$2:$B$255,MATCH('②建物情報 '!E209,'①基本情報 '!$E$2:$E$255,0),1)</f>
        <v>1027</v>
      </c>
      <c r="D209" s="658" t="s">
        <v>2418</v>
      </c>
      <c r="E209" s="612" t="s">
        <v>884</v>
      </c>
      <c r="F209" s="597" t="str">
        <f>INDEX('①基本情報 '!$G$2:$G$255,MATCH('②建物情報 '!E209,'①基本情報 '!$E$2:$E$255,0),1)</f>
        <v>教育委員会教育総務部、学校教育部、生涯学習部</v>
      </c>
      <c r="G209" s="678" t="s">
        <v>1580</v>
      </c>
      <c r="H209" s="612" t="s">
        <v>1638</v>
      </c>
      <c r="I209" s="663">
        <v>1964</v>
      </c>
      <c r="J209" s="663">
        <v>8</v>
      </c>
      <c r="K209" s="663">
        <f t="shared" si="3"/>
        <v>60</v>
      </c>
      <c r="L209" s="694">
        <v>723</v>
      </c>
      <c r="M209" s="704">
        <v>2198</v>
      </c>
      <c r="N209" s="704">
        <v>2198</v>
      </c>
      <c r="O209" s="681" t="s">
        <v>1812</v>
      </c>
      <c r="P209" s="663" t="s">
        <v>1581</v>
      </c>
      <c r="Q209" s="663">
        <v>3</v>
      </c>
      <c r="R209" s="690">
        <v>0</v>
      </c>
      <c r="S209" s="687" t="s">
        <v>1582</v>
      </c>
      <c r="T209" s="663" t="s">
        <v>1583</v>
      </c>
      <c r="U209" s="683" t="s">
        <v>63</v>
      </c>
      <c r="V209" s="690">
        <v>2005</v>
      </c>
      <c r="W209" s="687"/>
      <c r="X209" s="686">
        <v>47</v>
      </c>
      <c r="Y209" s="687" t="s">
        <v>1585</v>
      </c>
      <c r="Z209" s="663" t="s">
        <v>1586</v>
      </c>
      <c r="AA209" s="663" t="s">
        <v>1585</v>
      </c>
      <c r="AB209" s="663" t="s">
        <v>1586</v>
      </c>
      <c r="AC209" s="663" t="s">
        <v>1586</v>
      </c>
      <c r="AD209" s="663" t="s">
        <v>1587</v>
      </c>
      <c r="AE209" s="663" t="s">
        <v>1586</v>
      </c>
      <c r="AF209" s="663" t="s">
        <v>1586</v>
      </c>
      <c r="AG209" s="663" t="s">
        <v>1585</v>
      </c>
      <c r="AH209" s="663" t="s">
        <v>1586</v>
      </c>
      <c r="AI209" s="688">
        <v>87.6</v>
      </c>
      <c r="AJ209" s="689" t="s">
        <v>1588</v>
      </c>
      <c r="AK209" s="690"/>
    </row>
    <row r="210" spans="1:37" s="653" customFormat="1">
      <c r="A210" s="655">
        <v>2024</v>
      </c>
      <c r="B210" s="656" t="str">
        <f>INDEX('①基本情報 '!$C$2:$C$255,MATCH('②建物情報 '!E210,'①基本情報 '!$E$2:$E$255,0),1)</f>
        <v>122</v>
      </c>
      <c r="C210" s="657" t="str">
        <f>INDEX('①基本情報 '!$B$2:$B$255,MATCH('②建物情報 '!E210,'①基本情報 '!$E$2:$E$255,0),1)</f>
        <v>1027</v>
      </c>
      <c r="D210" s="658" t="s">
        <v>2418</v>
      </c>
      <c r="E210" s="612" t="s">
        <v>884</v>
      </c>
      <c r="F210" s="597" t="str">
        <f>INDEX('①基本情報 '!$G$2:$G$255,MATCH('②建物情報 '!E210,'①基本情報 '!$E$2:$E$255,0),1)</f>
        <v>教育委員会教育総務部、学校教育部、生涯学習部</v>
      </c>
      <c r="G210" s="678" t="s">
        <v>1589</v>
      </c>
      <c r="H210" s="612" t="s">
        <v>1639</v>
      </c>
      <c r="I210" s="663">
        <v>1969</v>
      </c>
      <c r="J210" s="663">
        <v>3</v>
      </c>
      <c r="K210" s="663">
        <f t="shared" si="3"/>
        <v>55</v>
      </c>
      <c r="L210" s="694">
        <v>955</v>
      </c>
      <c r="M210" s="704">
        <v>3928</v>
      </c>
      <c r="N210" s="704">
        <v>3928</v>
      </c>
      <c r="O210" s="681" t="s">
        <v>1812</v>
      </c>
      <c r="P210" s="663" t="s">
        <v>1581</v>
      </c>
      <c r="Q210" s="663">
        <v>4</v>
      </c>
      <c r="R210" s="690">
        <v>0</v>
      </c>
      <c r="S210" s="687" t="s">
        <v>1582</v>
      </c>
      <c r="T210" s="663" t="s">
        <v>1583</v>
      </c>
      <c r="U210" s="683" t="s">
        <v>63</v>
      </c>
      <c r="V210" s="690">
        <v>2004</v>
      </c>
      <c r="W210" s="687"/>
      <c r="X210" s="686">
        <v>47</v>
      </c>
      <c r="Y210" s="687" t="s">
        <v>1585</v>
      </c>
      <c r="Z210" s="663" t="s">
        <v>1585</v>
      </c>
      <c r="AA210" s="663" t="s">
        <v>1585</v>
      </c>
      <c r="AB210" s="663" t="s">
        <v>1586</v>
      </c>
      <c r="AC210" s="663" t="s">
        <v>1586</v>
      </c>
      <c r="AD210" s="663" t="s">
        <v>1596</v>
      </c>
      <c r="AE210" s="663" t="s">
        <v>1585</v>
      </c>
      <c r="AF210" s="663" t="s">
        <v>1587</v>
      </c>
      <c r="AG210" s="663" t="s">
        <v>1587</v>
      </c>
      <c r="AH210" s="663" t="s">
        <v>1585</v>
      </c>
      <c r="AI210" s="688">
        <v>64.400000000000006</v>
      </c>
      <c r="AJ210" s="689" t="s">
        <v>1588</v>
      </c>
      <c r="AK210" s="690"/>
    </row>
    <row r="211" spans="1:37" s="653" customFormat="1">
      <c r="A211" s="655">
        <v>2024</v>
      </c>
      <c r="B211" s="656" t="str">
        <f>INDEX('①基本情報 '!$C$2:$C$255,MATCH('②建物情報 '!E211,'①基本情報 '!$E$2:$E$255,0),1)</f>
        <v>122</v>
      </c>
      <c r="C211" s="657" t="str">
        <f>INDEX('①基本情報 '!$B$2:$B$255,MATCH('②建物情報 '!E211,'①基本情報 '!$E$2:$E$255,0),1)</f>
        <v>1027</v>
      </c>
      <c r="D211" s="658" t="s">
        <v>2418</v>
      </c>
      <c r="E211" s="612" t="s">
        <v>884</v>
      </c>
      <c r="F211" s="597" t="str">
        <f>INDEX('①基本情報 '!$G$2:$G$255,MATCH('②建物情報 '!E211,'①基本情報 '!$E$2:$E$255,0),1)</f>
        <v>教育委員会教育総務部、学校教育部、生涯学習部</v>
      </c>
      <c r="G211" s="678" t="s">
        <v>1591</v>
      </c>
      <c r="H211" s="612" t="s">
        <v>1649</v>
      </c>
      <c r="I211" s="663">
        <v>1987</v>
      </c>
      <c r="J211" s="663">
        <v>2</v>
      </c>
      <c r="K211" s="663">
        <f t="shared" si="3"/>
        <v>37</v>
      </c>
      <c r="L211" s="694">
        <v>1060</v>
      </c>
      <c r="M211" s="704">
        <v>1372</v>
      </c>
      <c r="N211" s="704">
        <v>1372</v>
      </c>
      <c r="O211" s="681" t="s">
        <v>1812</v>
      </c>
      <c r="P211" s="663" t="s">
        <v>1581</v>
      </c>
      <c r="Q211" s="663">
        <v>2</v>
      </c>
      <c r="R211" s="690">
        <v>0</v>
      </c>
      <c r="S211" s="687" t="s">
        <v>1593</v>
      </c>
      <c r="T211" s="683" t="s">
        <v>825</v>
      </c>
      <c r="U211" s="663" t="s">
        <v>63</v>
      </c>
      <c r="V211" s="690"/>
      <c r="W211" s="687">
        <v>2023</v>
      </c>
      <c r="X211" s="686">
        <v>47</v>
      </c>
      <c r="Y211" s="687" t="s">
        <v>1596</v>
      </c>
      <c r="Z211" s="663" t="s">
        <v>1587</v>
      </c>
      <c r="AA211" s="663" t="s">
        <v>1587</v>
      </c>
      <c r="AB211" s="663" t="s">
        <v>1586</v>
      </c>
      <c r="AC211" s="663" t="s">
        <v>1586</v>
      </c>
      <c r="AD211" s="663" t="s">
        <v>1587</v>
      </c>
      <c r="AE211" s="663" t="s">
        <v>1586</v>
      </c>
      <c r="AF211" s="663" t="s">
        <v>1587</v>
      </c>
      <c r="AG211" s="663" t="s">
        <v>1587</v>
      </c>
      <c r="AH211" s="663" t="s">
        <v>1596</v>
      </c>
      <c r="AI211" s="688">
        <v>48.4</v>
      </c>
      <c r="AJ211" s="689" t="s">
        <v>1588</v>
      </c>
      <c r="AK211" s="690"/>
    </row>
    <row r="212" spans="1:37" s="653" customFormat="1">
      <c r="A212" s="655">
        <v>2024</v>
      </c>
      <c r="B212" s="656" t="str">
        <f>INDEX('①基本情報 '!$C$2:$C$255,MATCH('②建物情報 '!E212,'①基本情報 '!$E$2:$E$255,0),1)</f>
        <v>122</v>
      </c>
      <c r="C212" s="657" t="str">
        <f>INDEX('①基本情報 '!$B$2:$B$255,MATCH('②建物情報 '!E212,'①基本情報 '!$E$2:$E$255,0),1)</f>
        <v>1027</v>
      </c>
      <c r="D212" s="658" t="s">
        <v>2418</v>
      </c>
      <c r="E212" s="612" t="s">
        <v>884</v>
      </c>
      <c r="F212" s="597" t="str">
        <f>INDEX('①基本情報 '!$G$2:$G$255,MATCH('②建物情報 '!E212,'①基本情報 '!$E$2:$E$255,0),1)</f>
        <v>教育委員会教育総務部、学校教育部、生涯学習部</v>
      </c>
      <c r="G212" s="678" t="s">
        <v>1601</v>
      </c>
      <c r="H212" s="612" t="s">
        <v>1651</v>
      </c>
      <c r="I212" s="663">
        <v>1969</v>
      </c>
      <c r="J212" s="663">
        <v>3</v>
      </c>
      <c r="K212" s="663">
        <f t="shared" si="3"/>
        <v>55</v>
      </c>
      <c r="L212" s="694">
        <v>190</v>
      </c>
      <c r="M212" s="704">
        <v>316</v>
      </c>
      <c r="N212" s="704">
        <v>316</v>
      </c>
      <c r="O212" s="681" t="s">
        <v>1812</v>
      </c>
      <c r="P212" s="663" t="s">
        <v>1581</v>
      </c>
      <c r="Q212" s="663">
        <v>3</v>
      </c>
      <c r="R212" s="690">
        <v>0</v>
      </c>
      <c r="S212" s="687" t="s">
        <v>1582</v>
      </c>
      <c r="T212" s="663" t="s">
        <v>1583</v>
      </c>
      <c r="U212" s="683" t="s">
        <v>63</v>
      </c>
      <c r="V212" s="690">
        <v>2010</v>
      </c>
      <c r="W212" s="687">
        <v>2010</v>
      </c>
      <c r="X212" s="686">
        <v>47</v>
      </c>
      <c r="Y212" s="687" t="s">
        <v>1585</v>
      </c>
      <c r="Z212" s="663" t="s">
        <v>1585</v>
      </c>
      <c r="AA212" s="663" t="s">
        <v>1585</v>
      </c>
      <c r="AB212" s="663" t="s">
        <v>1586</v>
      </c>
      <c r="AC212" s="663" t="s">
        <v>1585</v>
      </c>
      <c r="AD212" s="663" t="s">
        <v>1587</v>
      </c>
      <c r="AE212" s="663" t="s">
        <v>1585</v>
      </c>
      <c r="AF212" s="663" t="s">
        <v>1586</v>
      </c>
      <c r="AG212" s="663" t="s">
        <v>1586</v>
      </c>
      <c r="AH212" s="663" t="s">
        <v>1586</v>
      </c>
      <c r="AI212" s="688">
        <v>84.399999999999991</v>
      </c>
      <c r="AJ212" s="689" t="s">
        <v>1588</v>
      </c>
      <c r="AK212" s="690"/>
    </row>
    <row r="213" spans="1:37" s="653" customFormat="1">
      <c r="A213" s="655">
        <v>2024</v>
      </c>
      <c r="B213" s="656" t="str">
        <f>INDEX('①基本情報 '!$C$2:$C$255,MATCH('②建物情報 '!E213,'①基本情報 '!$E$2:$E$255,0),1)</f>
        <v>122</v>
      </c>
      <c r="C213" s="657" t="str">
        <f>INDEX('①基本情報 '!$B$2:$B$255,MATCH('②建物情報 '!E213,'①基本情報 '!$E$2:$E$255,0),1)</f>
        <v>1027</v>
      </c>
      <c r="D213" s="658" t="s">
        <v>2418</v>
      </c>
      <c r="E213" s="612" t="s">
        <v>884</v>
      </c>
      <c r="F213" s="597" t="str">
        <f>INDEX('①基本情報 '!$G$2:$G$255,MATCH('②建物情報 '!E213,'①基本情報 '!$E$2:$E$255,0),1)</f>
        <v>教育委員会教育総務部、学校教育部、生涯学習部</v>
      </c>
      <c r="G213" s="678" t="s">
        <v>1620</v>
      </c>
      <c r="H213" s="612" t="s">
        <v>1640</v>
      </c>
      <c r="I213" s="663">
        <v>2000</v>
      </c>
      <c r="J213" s="663">
        <v>10</v>
      </c>
      <c r="K213" s="663">
        <f t="shared" si="3"/>
        <v>24</v>
      </c>
      <c r="L213" s="694">
        <v>180</v>
      </c>
      <c r="M213" s="704">
        <v>540</v>
      </c>
      <c r="N213" s="704">
        <v>540</v>
      </c>
      <c r="O213" s="681" t="s">
        <v>1813</v>
      </c>
      <c r="P213" s="663" t="s">
        <v>1603</v>
      </c>
      <c r="Q213" s="663">
        <v>3</v>
      </c>
      <c r="R213" s="690">
        <v>0</v>
      </c>
      <c r="S213" s="687" t="s">
        <v>1593</v>
      </c>
      <c r="T213" s="683" t="s">
        <v>825</v>
      </c>
      <c r="U213" s="663" t="s">
        <v>63</v>
      </c>
      <c r="V213" s="690"/>
      <c r="W213" s="687"/>
      <c r="X213" s="702">
        <v>34</v>
      </c>
      <c r="Y213" s="687" t="s">
        <v>1596</v>
      </c>
      <c r="Z213" s="663" t="s">
        <v>1586</v>
      </c>
      <c r="AA213" s="663" t="s">
        <v>1586</v>
      </c>
      <c r="AB213" s="663" t="s">
        <v>1586</v>
      </c>
      <c r="AC213" s="663" t="s">
        <v>1586</v>
      </c>
      <c r="AD213" s="663" t="s">
        <v>1587</v>
      </c>
      <c r="AE213" s="663" t="s">
        <v>1586</v>
      </c>
      <c r="AF213" s="663" t="s">
        <v>1585</v>
      </c>
      <c r="AG213" s="663" t="s">
        <v>1585</v>
      </c>
      <c r="AH213" s="663" t="s">
        <v>1586</v>
      </c>
      <c r="AI213" s="688">
        <v>76</v>
      </c>
      <c r="AJ213" s="689" t="s">
        <v>1588</v>
      </c>
      <c r="AK213" s="690"/>
    </row>
    <row r="214" spans="1:37" s="653" customFormat="1">
      <c r="A214" s="655">
        <v>2024</v>
      </c>
      <c r="B214" s="656" t="str">
        <f>INDEX('①基本情報 '!$C$2:$C$255,MATCH('②建物情報 '!E214,'①基本情報 '!$E$2:$E$255,0),1)</f>
        <v>122</v>
      </c>
      <c r="C214" s="657" t="str">
        <f>INDEX('①基本情報 '!$B$2:$B$255,MATCH('②建物情報 '!E214,'①基本情報 '!$E$2:$E$255,0),1)</f>
        <v>1027</v>
      </c>
      <c r="D214" s="658" t="s">
        <v>2418</v>
      </c>
      <c r="E214" s="612" t="s">
        <v>884</v>
      </c>
      <c r="F214" s="597" t="str">
        <f>INDEX('①基本情報 '!$G$2:$G$255,MATCH('②建物情報 '!E214,'①基本情報 '!$E$2:$E$255,0),1)</f>
        <v>教育委員会教育総務部、学校教育部、生涯学習部</v>
      </c>
      <c r="G214" s="678" t="s">
        <v>1643</v>
      </c>
      <c r="H214" s="612" t="s">
        <v>1612</v>
      </c>
      <c r="I214" s="663">
        <v>1971</v>
      </c>
      <c r="J214" s="663">
        <v>1</v>
      </c>
      <c r="K214" s="663">
        <f t="shared" si="3"/>
        <v>53</v>
      </c>
      <c r="L214" s="694">
        <v>45</v>
      </c>
      <c r="M214" s="704">
        <v>45</v>
      </c>
      <c r="N214" s="704">
        <v>45</v>
      </c>
      <c r="O214" s="681" t="s">
        <v>1812</v>
      </c>
      <c r="P214" s="663" t="s">
        <v>1581</v>
      </c>
      <c r="Q214" s="663">
        <v>1</v>
      </c>
      <c r="R214" s="690">
        <v>0</v>
      </c>
      <c r="S214" s="687" t="s">
        <v>1885</v>
      </c>
      <c r="T214" s="683" t="s">
        <v>1886</v>
      </c>
      <c r="U214" s="683" t="s">
        <v>1846</v>
      </c>
      <c r="V214" s="690"/>
      <c r="W214" s="687"/>
      <c r="X214" s="686">
        <v>38</v>
      </c>
      <c r="Y214" s="687" t="s">
        <v>1585</v>
      </c>
      <c r="Z214" s="663" t="s">
        <v>1585</v>
      </c>
      <c r="AA214" s="663" t="s">
        <v>1585</v>
      </c>
      <c r="AB214" s="663" t="s">
        <v>1586</v>
      </c>
      <c r="AC214" s="663" t="s">
        <v>1586</v>
      </c>
      <c r="AD214" s="663" t="s">
        <v>825</v>
      </c>
      <c r="AE214" s="663" t="s">
        <v>825</v>
      </c>
      <c r="AF214" s="663" t="s">
        <v>825</v>
      </c>
      <c r="AG214" s="663" t="s">
        <v>825</v>
      </c>
      <c r="AH214" s="663" t="s">
        <v>1586</v>
      </c>
      <c r="AI214" s="688">
        <v>87.333333333333329</v>
      </c>
      <c r="AJ214" s="689" t="s">
        <v>1588</v>
      </c>
      <c r="AK214" s="690"/>
    </row>
    <row r="215" spans="1:37" s="653" customFormat="1">
      <c r="A215" s="655">
        <v>2024</v>
      </c>
      <c r="B215" s="656" t="str">
        <f>INDEX('①基本情報 '!$C$2:$C$255,MATCH('②建物情報 '!E215,'①基本情報 '!$E$2:$E$255,0),1)</f>
        <v>123</v>
      </c>
      <c r="C215" s="657" t="str">
        <f>INDEX('①基本情報 '!$B$2:$B$255,MATCH('②建物情報 '!E215,'①基本情報 '!$E$2:$E$255,0),1)</f>
        <v>1028</v>
      </c>
      <c r="D215" s="658" t="s">
        <v>2418</v>
      </c>
      <c r="E215" s="612" t="s">
        <v>890</v>
      </c>
      <c r="F215" s="597" t="str">
        <f>INDEX('①基本情報 '!$G$2:$G$255,MATCH('②建物情報 '!E215,'①基本情報 '!$E$2:$E$255,0),1)</f>
        <v>教育委員会教育総務部、学校教育部、生涯学習部</v>
      </c>
      <c r="G215" s="678" t="s">
        <v>1580</v>
      </c>
      <c r="H215" s="612" t="s">
        <v>1638</v>
      </c>
      <c r="I215" s="663">
        <v>1967</v>
      </c>
      <c r="J215" s="663">
        <v>3</v>
      </c>
      <c r="K215" s="663">
        <f t="shared" si="3"/>
        <v>57</v>
      </c>
      <c r="L215" s="694">
        <v>957</v>
      </c>
      <c r="M215" s="704">
        <v>2945</v>
      </c>
      <c r="N215" s="704">
        <v>2945</v>
      </c>
      <c r="O215" s="681" t="s">
        <v>1812</v>
      </c>
      <c r="P215" s="663" t="s">
        <v>1581</v>
      </c>
      <c r="Q215" s="663">
        <v>3</v>
      </c>
      <c r="R215" s="690">
        <v>0</v>
      </c>
      <c r="S215" s="687" t="s">
        <v>1582</v>
      </c>
      <c r="T215" s="663" t="s">
        <v>1583</v>
      </c>
      <c r="U215" s="683" t="s">
        <v>63</v>
      </c>
      <c r="V215" s="690">
        <v>2006</v>
      </c>
      <c r="W215" s="687">
        <v>2015</v>
      </c>
      <c r="X215" s="686">
        <v>47</v>
      </c>
      <c r="Y215" s="687" t="s">
        <v>1585</v>
      </c>
      <c r="Z215" s="663" t="s">
        <v>1587</v>
      </c>
      <c r="AA215" s="663" t="s">
        <v>1585</v>
      </c>
      <c r="AB215" s="663" t="s">
        <v>1587</v>
      </c>
      <c r="AC215" s="663" t="s">
        <v>1596</v>
      </c>
      <c r="AD215" s="663" t="s">
        <v>1596</v>
      </c>
      <c r="AE215" s="663" t="s">
        <v>1587</v>
      </c>
      <c r="AF215" s="663" t="s">
        <v>1587</v>
      </c>
      <c r="AG215" s="663" t="s">
        <v>1596</v>
      </c>
      <c r="AH215" s="663" t="s">
        <v>1596</v>
      </c>
      <c r="AI215" s="688">
        <v>43.46153846153846</v>
      </c>
      <c r="AJ215" s="689" t="s">
        <v>1588</v>
      </c>
      <c r="AK215" s="690"/>
    </row>
    <row r="216" spans="1:37" s="653" customFormat="1">
      <c r="A216" s="655">
        <v>2024</v>
      </c>
      <c r="B216" s="656" t="str">
        <f>INDEX('①基本情報 '!$C$2:$C$255,MATCH('②建物情報 '!E216,'①基本情報 '!$E$2:$E$255,0),1)</f>
        <v>123</v>
      </c>
      <c r="C216" s="657" t="str">
        <f>INDEX('①基本情報 '!$B$2:$B$255,MATCH('②建物情報 '!E216,'①基本情報 '!$E$2:$E$255,0),1)</f>
        <v>1028</v>
      </c>
      <c r="D216" s="658" t="s">
        <v>2418</v>
      </c>
      <c r="E216" s="612" t="s">
        <v>890</v>
      </c>
      <c r="F216" s="597" t="str">
        <f>INDEX('①基本情報 '!$G$2:$G$255,MATCH('②建物情報 '!E216,'①基本情報 '!$E$2:$E$255,0),1)</f>
        <v>教育委員会教育総務部、学校教育部、生涯学習部</v>
      </c>
      <c r="G216" s="678" t="s">
        <v>1589</v>
      </c>
      <c r="H216" s="612" t="s">
        <v>1649</v>
      </c>
      <c r="I216" s="663">
        <v>1967</v>
      </c>
      <c r="J216" s="663">
        <v>7</v>
      </c>
      <c r="K216" s="663">
        <f t="shared" si="3"/>
        <v>57</v>
      </c>
      <c r="L216" s="694">
        <v>805</v>
      </c>
      <c r="M216" s="704">
        <v>833</v>
      </c>
      <c r="N216" s="704">
        <v>833</v>
      </c>
      <c r="O216" s="681" t="s">
        <v>1812</v>
      </c>
      <c r="P216" s="663" t="s">
        <v>1581</v>
      </c>
      <c r="Q216" s="663">
        <v>2</v>
      </c>
      <c r="R216" s="690">
        <v>0</v>
      </c>
      <c r="S216" s="687" t="s">
        <v>1582</v>
      </c>
      <c r="T216" s="663" t="s">
        <v>1583</v>
      </c>
      <c r="U216" s="683" t="s">
        <v>63</v>
      </c>
      <c r="V216" s="690">
        <v>2006</v>
      </c>
      <c r="W216" s="687">
        <v>2015</v>
      </c>
      <c r="X216" s="686">
        <v>47</v>
      </c>
      <c r="Y216" s="687" t="s">
        <v>1585</v>
      </c>
      <c r="Z216" s="663" t="s">
        <v>1596</v>
      </c>
      <c r="AA216" s="663" t="s">
        <v>1596</v>
      </c>
      <c r="AB216" s="663" t="s">
        <v>1587</v>
      </c>
      <c r="AC216" s="663" t="s">
        <v>1596</v>
      </c>
      <c r="AD216" s="663" t="s">
        <v>1587</v>
      </c>
      <c r="AE216" s="663" t="s">
        <v>1587</v>
      </c>
      <c r="AF216" s="663" t="s">
        <v>1596</v>
      </c>
      <c r="AG216" s="663" t="s">
        <v>1596</v>
      </c>
      <c r="AH216" s="663" t="s">
        <v>1596</v>
      </c>
      <c r="AI216" s="688">
        <v>43.999999999999993</v>
      </c>
      <c r="AJ216" s="689" t="s">
        <v>1588</v>
      </c>
      <c r="AK216" s="690"/>
    </row>
    <row r="217" spans="1:37" s="653" customFormat="1">
      <c r="A217" s="655">
        <v>2024</v>
      </c>
      <c r="B217" s="656" t="str">
        <f>INDEX('①基本情報 '!$C$2:$C$255,MATCH('②建物情報 '!E217,'①基本情報 '!$E$2:$E$255,0),1)</f>
        <v>123</v>
      </c>
      <c r="C217" s="657" t="str">
        <f>INDEX('①基本情報 '!$B$2:$B$255,MATCH('②建物情報 '!E217,'①基本情報 '!$E$2:$E$255,0),1)</f>
        <v>1028</v>
      </c>
      <c r="D217" s="658" t="s">
        <v>2418</v>
      </c>
      <c r="E217" s="612" t="s">
        <v>890</v>
      </c>
      <c r="F217" s="597" t="str">
        <f>INDEX('①基本情報 '!$G$2:$G$255,MATCH('②建物情報 '!E217,'①基本情報 '!$E$2:$E$255,0),1)</f>
        <v>教育委員会教育総務部、学校教育部、生涯学習部</v>
      </c>
      <c r="G217" s="678" t="s">
        <v>1591</v>
      </c>
      <c r="H217" s="612" t="s">
        <v>1639</v>
      </c>
      <c r="I217" s="663">
        <v>1969</v>
      </c>
      <c r="J217" s="663">
        <v>8</v>
      </c>
      <c r="K217" s="663">
        <f t="shared" si="3"/>
        <v>55</v>
      </c>
      <c r="L217" s="694">
        <v>957</v>
      </c>
      <c r="M217" s="704">
        <v>3940</v>
      </c>
      <c r="N217" s="704">
        <v>3940</v>
      </c>
      <c r="O217" s="681" t="s">
        <v>1813</v>
      </c>
      <c r="P217" s="663" t="s">
        <v>1581</v>
      </c>
      <c r="Q217" s="663">
        <v>4</v>
      </c>
      <c r="R217" s="690">
        <v>0</v>
      </c>
      <c r="S217" s="687" t="s">
        <v>1582</v>
      </c>
      <c r="T217" s="663" t="s">
        <v>1583</v>
      </c>
      <c r="U217" s="683" t="s">
        <v>63</v>
      </c>
      <c r="V217" s="690">
        <v>2005</v>
      </c>
      <c r="W217" s="687">
        <v>2019</v>
      </c>
      <c r="X217" s="686">
        <v>47</v>
      </c>
      <c r="Y217" s="687" t="s">
        <v>1585</v>
      </c>
      <c r="Z217" s="663" t="s">
        <v>1587</v>
      </c>
      <c r="AA217" s="663" t="s">
        <v>1596</v>
      </c>
      <c r="AB217" s="663" t="s">
        <v>1587</v>
      </c>
      <c r="AC217" s="663" t="s">
        <v>1587</v>
      </c>
      <c r="AD217" s="663" t="s">
        <v>1596</v>
      </c>
      <c r="AE217" s="663" t="s">
        <v>1587</v>
      </c>
      <c r="AF217" s="663" t="s">
        <v>1587</v>
      </c>
      <c r="AG217" s="663" t="s">
        <v>1596</v>
      </c>
      <c r="AH217" s="663" t="s">
        <v>1596</v>
      </c>
      <c r="AI217" s="688">
        <v>38.4</v>
      </c>
      <c r="AJ217" s="689" t="s">
        <v>1588</v>
      </c>
      <c r="AK217" s="690"/>
    </row>
    <row r="218" spans="1:37" s="653" customFormat="1">
      <c r="A218" s="655">
        <v>2024</v>
      </c>
      <c r="B218" s="656" t="str">
        <f>INDEX('①基本情報 '!$C$2:$C$255,MATCH('②建物情報 '!E218,'①基本情報 '!$E$2:$E$255,0),1)</f>
        <v>123</v>
      </c>
      <c r="C218" s="657" t="str">
        <f>INDEX('①基本情報 '!$B$2:$B$255,MATCH('②建物情報 '!E218,'①基本情報 '!$E$2:$E$255,0),1)</f>
        <v>1028</v>
      </c>
      <c r="D218" s="658" t="s">
        <v>2418</v>
      </c>
      <c r="E218" s="612" t="s">
        <v>890</v>
      </c>
      <c r="F218" s="597" t="str">
        <f>INDEX('①基本情報 '!$G$2:$G$255,MATCH('②建物情報 '!E218,'①基本情報 '!$E$2:$E$255,0),1)</f>
        <v>教育委員会教育総務部、学校教育部、生涯学習部</v>
      </c>
      <c r="G218" s="678" t="s">
        <v>1601</v>
      </c>
      <c r="H218" s="612" t="s">
        <v>1651</v>
      </c>
      <c r="I218" s="663">
        <v>1969</v>
      </c>
      <c r="J218" s="663">
        <v>8</v>
      </c>
      <c r="K218" s="663">
        <f t="shared" si="3"/>
        <v>55</v>
      </c>
      <c r="L218" s="694">
        <v>13</v>
      </c>
      <c r="M218" s="704">
        <v>38</v>
      </c>
      <c r="N218" s="704">
        <v>38</v>
      </c>
      <c r="O218" s="681" t="s">
        <v>1812</v>
      </c>
      <c r="P218" s="663" t="s">
        <v>1581</v>
      </c>
      <c r="Q218" s="663">
        <v>3</v>
      </c>
      <c r="R218" s="690">
        <v>0</v>
      </c>
      <c r="S218" s="687" t="s">
        <v>1582</v>
      </c>
      <c r="T218" s="663" t="s">
        <v>1583</v>
      </c>
      <c r="U218" s="683" t="s">
        <v>1846</v>
      </c>
      <c r="V218" s="690">
        <v>2006</v>
      </c>
      <c r="W218" s="687">
        <v>2019</v>
      </c>
      <c r="X218" s="686">
        <v>47</v>
      </c>
      <c r="Y218" s="687" t="s">
        <v>1585</v>
      </c>
      <c r="Z218" s="663" t="s">
        <v>1587</v>
      </c>
      <c r="AA218" s="663" t="s">
        <v>1596</v>
      </c>
      <c r="AB218" s="663" t="s">
        <v>1587</v>
      </c>
      <c r="AC218" s="663" t="s">
        <v>1587</v>
      </c>
      <c r="AD218" s="663" t="s">
        <v>825</v>
      </c>
      <c r="AE218" s="663" t="s">
        <v>825</v>
      </c>
      <c r="AF218" s="663" t="s">
        <v>825</v>
      </c>
      <c r="AG218" s="663" t="s">
        <v>825</v>
      </c>
      <c r="AH218" s="663" t="s">
        <v>1596</v>
      </c>
      <c r="AI218" s="688">
        <v>44.375</v>
      </c>
      <c r="AJ218" s="689" t="s">
        <v>1588</v>
      </c>
      <c r="AK218" s="690"/>
    </row>
    <row r="219" spans="1:37" s="653" customFormat="1">
      <c r="A219" s="655">
        <v>2024</v>
      </c>
      <c r="B219" s="656" t="str">
        <f>INDEX('①基本情報 '!$C$2:$C$255,MATCH('②建物情報 '!E219,'①基本情報 '!$E$2:$E$255,0),1)</f>
        <v>123</v>
      </c>
      <c r="C219" s="657" t="str">
        <f>INDEX('①基本情報 '!$B$2:$B$255,MATCH('②建物情報 '!E219,'①基本情報 '!$E$2:$E$255,0),1)</f>
        <v>1028</v>
      </c>
      <c r="D219" s="658" t="s">
        <v>2418</v>
      </c>
      <c r="E219" s="612" t="s">
        <v>890</v>
      </c>
      <c r="F219" s="597" t="str">
        <f>INDEX('①基本情報 '!$G$2:$G$255,MATCH('②建物情報 '!E219,'①基本情報 '!$E$2:$E$255,0),1)</f>
        <v>教育委員会教育総務部、学校教育部、生涯学習部</v>
      </c>
      <c r="G219" s="678" t="s">
        <v>1620</v>
      </c>
      <c r="H219" s="612" t="s">
        <v>1612</v>
      </c>
      <c r="I219" s="663">
        <v>1977</v>
      </c>
      <c r="J219" s="663">
        <v>10</v>
      </c>
      <c r="K219" s="663">
        <f t="shared" si="3"/>
        <v>47</v>
      </c>
      <c r="L219" s="694">
        <v>103</v>
      </c>
      <c r="M219" s="704">
        <v>103</v>
      </c>
      <c r="N219" s="704">
        <v>103</v>
      </c>
      <c r="O219" s="681" t="s">
        <v>1812</v>
      </c>
      <c r="P219" s="663" t="s">
        <v>1581</v>
      </c>
      <c r="Q219" s="663">
        <v>2</v>
      </c>
      <c r="R219" s="690">
        <v>0</v>
      </c>
      <c r="S219" s="687" t="s">
        <v>1582</v>
      </c>
      <c r="T219" s="683" t="s">
        <v>1886</v>
      </c>
      <c r="U219" s="683" t="s">
        <v>1846</v>
      </c>
      <c r="V219" s="690"/>
      <c r="W219" s="687">
        <v>2015</v>
      </c>
      <c r="X219" s="686">
        <v>38</v>
      </c>
      <c r="Y219" s="687" t="s">
        <v>1585</v>
      </c>
      <c r="Z219" s="663" t="s">
        <v>1587</v>
      </c>
      <c r="AA219" s="663" t="s">
        <v>1585</v>
      </c>
      <c r="AB219" s="663" t="s">
        <v>1587</v>
      </c>
      <c r="AC219" s="663" t="s">
        <v>1596</v>
      </c>
      <c r="AD219" s="663" t="s">
        <v>825</v>
      </c>
      <c r="AE219" s="663" t="s">
        <v>825</v>
      </c>
      <c r="AF219" s="663" t="s">
        <v>825</v>
      </c>
      <c r="AG219" s="663" t="s">
        <v>825</v>
      </c>
      <c r="AH219" s="663" t="s">
        <v>1596</v>
      </c>
      <c r="AI219" s="688">
        <v>46.875</v>
      </c>
      <c r="AJ219" s="689" t="s">
        <v>1588</v>
      </c>
      <c r="AK219" s="690"/>
    </row>
    <row r="220" spans="1:37" s="653" customFormat="1">
      <c r="A220" s="655">
        <v>2024</v>
      </c>
      <c r="B220" s="656" t="str">
        <f>INDEX('①基本情報 '!$C$2:$C$255,MATCH('②建物情報 '!E220,'①基本情報 '!$E$2:$E$255,0),1)</f>
        <v>123</v>
      </c>
      <c r="C220" s="657" t="str">
        <f>INDEX('①基本情報 '!$B$2:$B$255,MATCH('②建物情報 '!E220,'①基本情報 '!$E$2:$E$255,0),1)</f>
        <v>1028</v>
      </c>
      <c r="D220" s="658" t="s">
        <v>2418</v>
      </c>
      <c r="E220" s="612" t="s">
        <v>890</v>
      </c>
      <c r="F220" s="597" t="str">
        <f>INDEX('①基本情報 '!$G$2:$G$255,MATCH('②建物情報 '!E220,'①基本情報 '!$E$2:$E$255,0),1)</f>
        <v>教育委員会教育総務部、学校教育部、生涯学習部</v>
      </c>
      <c r="G220" s="678" t="s">
        <v>1643</v>
      </c>
      <c r="H220" s="612" t="s">
        <v>1612</v>
      </c>
      <c r="I220" s="663">
        <v>1978</v>
      </c>
      <c r="J220" s="663">
        <v>10</v>
      </c>
      <c r="K220" s="663">
        <f t="shared" si="3"/>
        <v>46</v>
      </c>
      <c r="L220" s="694">
        <v>164</v>
      </c>
      <c r="M220" s="704">
        <v>164</v>
      </c>
      <c r="N220" s="704">
        <v>164</v>
      </c>
      <c r="O220" s="681" t="s">
        <v>1812</v>
      </c>
      <c r="P220" s="663" t="s">
        <v>1581</v>
      </c>
      <c r="Q220" s="663">
        <v>1</v>
      </c>
      <c r="R220" s="690">
        <v>0</v>
      </c>
      <c r="S220" s="687" t="s">
        <v>1582</v>
      </c>
      <c r="T220" s="683"/>
      <c r="U220" s="683" t="s">
        <v>1965</v>
      </c>
      <c r="V220" s="690"/>
      <c r="W220" s="687">
        <v>2019</v>
      </c>
      <c r="X220" s="686">
        <v>38</v>
      </c>
      <c r="Y220" s="687" t="s">
        <v>1585</v>
      </c>
      <c r="Z220" s="663" t="s">
        <v>1587</v>
      </c>
      <c r="AA220" s="663" t="s">
        <v>1596</v>
      </c>
      <c r="AB220" s="663" t="s">
        <v>1587</v>
      </c>
      <c r="AC220" s="663" t="s">
        <v>1587</v>
      </c>
      <c r="AD220" s="663" t="s">
        <v>825</v>
      </c>
      <c r="AE220" s="663" t="s">
        <v>825</v>
      </c>
      <c r="AF220" s="663" t="s">
        <v>825</v>
      </c>
      <c r="AG220" s="663" t="s">
        <v>825</v>
      </c>
      <c r="AH220" s="663" t="s">
        <v>1596</v>
      </c>
      <c r="AI220" s="688">
        <v>38.749999999999993</v>
      </c>
      <c r="AJ220" s="689" t="s">
        <v>1588</v>
      </c>
      <c r="AK220" s="690"/>
    </row>
    <row r="221" spans="1:37" s="653" customFormat="1">
      <c r="A221" s="655">
        <v>2024</v>
      </c>
      <c r="B221" s="656" t="str">
        <f>INDEX('①基本情報 '!$C$2:$C$255,MATCH('②建物情報 '!E221,'①基本情報 '!$E$2:$E$255,0),1)</f>
        <v>123</v>
      </c>
      <c r="C221" s="657" t="str">
        <f>INDEX('①基本情報 '!$B$2:$B$255,MATCH('②建物情報 '!E221,'①基本情報 '!$E$2:$E$255,0),1)</f>
        <v>1028</v>
      </c>
      <c r="D221" s="658" t="s">
        <v>2418</v>
      </c>
      <c r="E221" s="612" t="s">
        <v>890</v>
      </c>
      <c r="F221" s="597" t="str">
        <f>INDEX('①基本情報 '!$G$2:$G$255,MATCH('②建物情報 '!E221,'①基本情報 '!$E$2:$E$255,0),1)</f>
        <v>教育委員会教育総務部、学校教育部、生涯学習部</v>
      </c>
      <c r="G221" s="678" t="s">
        <v>1645</v>
      </c>
      <c r="H221" s="612" t="s">
        <v>1640</v>
      </c>
      <c r="I221" s="663">
        <v>2007</v>
      </c>
      <c r="J221" s="663">
        <v>9</v>
      </c>
      <c r="K221" s="663">
        <f t="shared" si="3"/>
        <v>17</v>
      </c>
      <c r="L221" s="694">
        <v>360</v>
      </c>
      <c r="M221" s="704">
        <v>360</v>
      </c>
      <c r="N221" s="704">
        <v>360</v>
      </c>
      <c r="O221" s="681" t="s">
        <v>1812</v>
      </c>
      <c r="P221" s="663" t="s">
        <v>1603</v>
      </c>
      <c r="Q221" s="663">
        <v>1</v>
      </c>
      <c r="R221" s="690">
        <v>0</v>
      </c>
      <c r="S221" s="687" t="s">
        <v>1593</v>
      </c>
      <c r="T221" s="683" t="s">
        <v>825</v>
      </c>
      <c r="U221" s="683" t="s">
        <v>1846</v>
      </c>
      <c r="V221" s="690"/>
      <c r="W221" s="687"/>
      <c r="X221" s="702">
        <v>34</v>
      </c>
      <c r="Y221" s="687" t="s">
        <v>1587</v>
      </c>
      <c r="Z221" s="663" t="s">
        <v>1585</v>
      </c>
      <c r="AA221" s="663" t="s">
        <v>1596</v>
      </c>
      <c r="AB221" s="663" t="s">
        <v>1587</v>
      </c>
      <c r="AC221" s="663" t="s">
        <v>1587</v>
      </c>
      <c r="AD221" s="663" t="s">
        <v>1586</v>
      </c>
      <c r="AE221" s="663" t="s">
        <v>1586</v>
      </c>
      <c r="AF221" s="663" t="s">
        <v>1585</v>
      </c>
      <c r="AG221" s="663" t="s">
        <v>1596</v>
      </c>
      <c r="AH221" s="663" t="s">
        <v>1596</v>
      </c>
      <c r="AI221" s="688">
        <v>49.454545454545453</v>
      </c>
      <c r="AJ221" s="689" t="s">
        <v>1588</v>
      </c>
      <c r="AK221" s="690"/>
    </row>
    <row r="222" spans="1:37" s="653" customFormat="1">
      <c r="A222" s="655">
        <v>2024</v>
      </c>
      <c r="B222" s="656" t="str">
        <f>INDEX('①基本情報 '!$C$2:$C$255,MATCH('②建物情報 '!E222,'①基本情報 '!$E$2:$E$255,0),1)</f>
        <v>123</v>
      </c>
      <c r="C222" s="657" t="str">
        <f>INDEX('①基本情報 '!$B$2:$B$255,MATCH('②建物情報 '!E222,'①基本情報 '!$E$2:$E$255,0),1)</f>
        <v>1028</v>
      </c>
      <c r="D222" s="658" t="s">
        <v>2418</v>
      </c>
      <c r="E222" s="612" t="s">
        <v>890</v>
      </c>
      <c r="F222" s="597" t="str">
        <f>INDEX('①基本情報 '!$G$2:$G$255,MATCH('②建物情報 '!E222,'①基本情報 '!$E$2:$E$255,0),1)</f>
        <v>教育委員会教育総務部、学校教育部、生涯学習部</v>
      </c>
      <c r="G222" s="678" t="s">
        <v>1646</v>
      </c>
      <c r="H222" s="612" t="s">
        <v>1644</v>
      </c>
      <c r="I222" s="663">
        <v>2005</v>
      </c>
      <c r="J222" s="663">
        <v>8</v>
      </c>
      <c r="K222" s="663">
        <f t="shared" si="3"/>
        <v>19</v>
      </c>
      <c r="L222" s="694">
        <v>18</v>
      </c>
      <c r="M222" s="704">
        <v>71</v>
      </c>
      <c r="N222" s="704">
        <v>71</v>
      </c>
      <c r="O222" s="681" t="s">
        <v>1812</v>
      </c>
      <c r="P222" s="663" t="s">
        <v>1603</v>
      </c>
      <c r="Q222" s="663">
        <v>4</v>
      </c>
      <c r="R222" s="690">
        <v>0</v>
      </c>
      <c r="S222" s="687" t="s">
        <v>1593</v>
      </c>
      <c r="T222" s="683" t="s">
        <v>825</v>
      </c>
      <c r="U222" s="683" t="s">
        <v>1846</v>
      </c>
      <c r="V222" s="690"/>
      <c r="W222" s="687">
        <v>2019</v>
      </c>
      <c r="X222" s="702">
        <v>34</v>
      </c>
      <c r="Y222" s="687" t="s">
        <v>1587</v>
      </c>
      <c r="Z222" s="663" t="s">
        <v>1585</v>
      </c>
      <c r="AA222" s="663" t="s">
        <v>1596</v>
      </c>
      <c r="AB222" s="663" t="s">
        <v>1587</v>
      </c>
      <c r="AC222" s="663" t="s">
        <v>1585</v>
      </c>
      <c r="AD222" s="663" t="s">
        <v>825</v>
      </c>
      <c r="AE222" s="663" t="s">
        <v>825</v>
      </c>
      <c r="AF222" s="663" t="s">
        <v>825</v>
      </c>
      <c r="AG222" s="663" t="s">
        <v>825</v>
      </c>
      <c r="AH222" s="663" t="s">
        <v>1596</v>
      </c>
      <c r="AI222" s="688">
        <v>43.333333333333336</v>
      </c>
      <c r="AJ222" s="689" t="s">
        <v>1588</v>
      </c>
      <c r="AK222" s="690"/>
    </row>
    <row r="223" spans="1:37" s="653" customFormat="1">
      <c r="A223" s="655">
        <v>2024</v>
      </c>
      <c r="B223" s="656" t="str">
        <f>INDEX('①基本情報 '!$C$2:$C$255,MATCH('②建物情報 '!E223,'①基本情報 '!$E$2:$E$255,0),1)</f>
        <v>123</v>
      </c>
      <c r="C223" s="657" t="str">
        <f>INDEX('①基本情報 '!$B$2:$B$255,MATCH('②建物情報 '!E223,'①基本情報 '!$E$2:$E$255,0),1)</f>
        <v>1028</v>
      </c>
      <c r="D223" s="658" t="s">
        <v>2418</v>
      </c>
      <c r="E223" s="612" t="s">
        <v>890</v>
      </c>
      <c r="F223" s="597" t="str">
        <f>INDEX('①基本情報 '!$G$2:$G$255,MATCH('②建物情報 '!E223,'①基本情報 '!$E$2:$E$255,0),1)</f>
        <v>教育委員会教育総務部、学校教育部、生涯学習部</v>
      </c>
      <c r="G223" s="678" t="s">
        <v>1647</v>
      </c>
      <c r="H223" s="612" t="s">
        <v>1653</v>
      </c>
      <c r="I223" s="663">
        <v>1991</v>
      </c>
      <c r="J223" s="663">
        <v>3</v>
      </c>
      <c r="K223" s="663">
        <f t="shared" si="3"/>
        <v>33</v>
      </c>
      <c r="L223" s="694"/>
      <c r="M223" s="704">
        <v>72</v>
      </c>
      <c r="N223" s="704">
        <v>72</v>
      </c>
      <c r="O223" s="681" t="s">
        <v>1812</v>
      </c>
      <c r="P223" s="663" t="s">
        <v>1603</v>
      </c>
      <c r="Q223" s="663">
        <v>1</v>
      </c>
      <c r="R223" s="690">
        <v>0</v>
      </c>
      <c r="S223" s="687" t="s">
        <v>1593</v>
      </c>
      <c r="T223" s="683" t="s">
        <v>825</v>
      </c>
      <c r="U223" s="683" t="s">
        <v>1846</v>
      </c>
      <c r="V223" s="690"/>
      <c r="W223" s="687">
        <v>2015</v>
      </c>
      <c r="X223" s="702">
        <v>31</v>
      </c>
      <c r="Y223" s="687" t="s">
        <v>1596</v>
      </c>
      <c r="Z223" s="663" t="s">
        <v>1596</v>
      </c>
      <c r="AA223" s="663" t="s">
        <v>1585</v>
      </c>
      <c r="AB223" s="663" t="s">
        <v>1587</v>
      </c>
      <c r="AC223" s="663" t="s">
        <v>1596</v>
      </c>
      <c r="AD223" s="663" t="s">
        <v>825</v>
      </c>
      <c r="AE223" s="663" t="s">
        <v>825</v>
      </c>
      <c r="AF223" s="663" t="s">
        <v>1596</v>
      </c>
      <c r="AG223" s="663" t="s">
        <v>1596</v>
      </c>
      <c r="AH223" s="663" t="s">
        <v>1596</v>
      </c>
      <c r="AI223" s="688">
        <v>40.975609756097562</v>
      </c>
      <c r="AJ223" s="689" t="s">
        <v>1588</v>
      </c>
      <c r="AK223" s="690"/>
    </row>
    <row r="224" spans="1:37" s="653" customFormat="1">
      <c r="A224" s="655">
        <v>2024</v>
      </c>
      <c r="B224" s="656" t="str">
        <f>INDEX('①基本情報 '!$C$2:$C$255,MATCH('②建物情報 '!E224,'①基本情報 '!$E$2:$E$255,0),1)</f>
        <v>124</v>
      </c>
      <c r="C224" s="657" t="str">
        <f>INDEX('①基本情報 '!$B$2:$B$255,MATCH('②建物情報 '!E224,'①基本情報 '!$E$2:$E$255,0),1)</f>
        <v>1029</v>
      </c>
      <c r="D224" s="658" t="s">
        <v>2418</v>
      </c>
      <c r="E224" s="612" t="s">
        <v>897</v>
      </c>
      <c r="F224" s="597" t="str">
        <f>INDEX('①基本情報 '!$G$2:$G$255,MATCH('②建物情報 '!E224,'①基本情報 '!$E$2:$E$255,0),1)</f>
        <v>教育委員会教育総務部、学校教育部、生涯学習部</v>
      </c>
      <c r="G224" s="678" t="s">
        <v>1580</v>
      </c>
      <c r="H224" s="612" t="s">
        <v>1638</v>
      </c>
      <c r="I224" s="663">
        <v>1967</v>
      </c>
      <c r="J224" s="663">
        <v>3</v>
      </c>
      <c r="K224" s="663">
        <f t="shared" si="3"/>
        <v>57</v>
      </c>
      <c r="L224" s="694">
        <v>1004</v>
      </c>
      <c r="M224" s="704">
        <v>3060</v>
      </c>
      <c r="N224" s="704">
        <v>3060</v>
      </c>
      <c r="O224" s="681" t="s">
        <v>1812</v>
      </c>
      <c r="P224" s="663" t="s">
        <v>1581</v>
      </c>
      <c r="Q224" s="663">
        <v>3</v>
      </c>
      <c r="R224" s="690">
        <v>0</v>
      </c>
      <c r="S224" s="687" t="s">
        <v>1582</v>
      </c>
      <c r="T224" s="663" t="s">
        <v>1583</v>
      </c>
      <c r="U224" s="683" t="s">
        <v>63</v>
      </c>
      <c r="V224" s="690">
        <v>2009</v>
      </c>
      <c r="W224" s="687">
        <v>2009</v>
      </c>
      <c r="X224" s="686">
        <v>47</v>
      </c>
      <c r="Y224" s="687" t="s">
        <v>1585</v>
      </c>
      <c r="Z224" s="663" t="s">
        <v>1585</v>
      </c>
      <c r="AA224" s="663" t="s">
        <v>1585</v>
      </c>
      <c r="AB224" s="663" t="s">
        <v>1585</v>
      </c>
      <c r="AC224" s="663" t="s">
        <v>1585</v>
      </c>
      <c r="AD224" s="663" t="s">
        <v>1587</v>
      </c>
      <c r="AE224" s="663" t="s">
        <v>1596</v>
      </c>
      <c r="AF224" s="663" t="s">
        <v>1596</v>
      </c>
      <c r="AG224" s="663" t="s">
        <v>1596</v>
      </c>
      <c r="AH224" s="663" t="s">
        <v>1585</v>
      </c>
      <c r="AI224" s="688">
        <v>65.2</v>
      </c>
      <c r="AJ224" s="689" t="s">
        <v>1588</v>
      </c>
      <c r="AK224" s="690"/>
    </row>
    <row r="225" spans="1:37" s="653" customFormat="1">
      <c r="A225" s="655">
        <v>2024</v>
      </c>
      <c r="B225" s="656" t="str">
        <f>INDEX('①基本情報 '!$C$2:$C$255,MATCH('②建物情報 '!E225,'①基本情報 '!$E$2:$E$255,0),1)</f>
        <v>124</v>
      </c>
      <c r="C225" s="657" t="str">
        <f>INDEX('①基本情報 '!$B$2:$B$255,MATCH('②建物情報 '!E225,'①基本情報 '!$E$2:$E$255,0),1)</f>
        <v>1029</v>
      </c>
      <c r="D225" s="658" t="s">
        <v>2418</v>
      </c>
      <c r="E225" s="612" t="s">
        <v>897</v>
      </c>
      <c r="F225" s="597" t="str">
        <f>INDEX('①基本情報 '!$G$2:$G$255,MATCH('②建物情報 '!E225,'①基本情報 '!$E$2:$E$255,0),1)</f>
        <v>教育委員会教育総務部、学校教育部、生涯学習部</v>
      </c>
      <c r="G225" s="678" t="s">
        <v>1589</v>
      </c>
      <c r="H225" s="612" t="s">
        <v>1649</v>
      </c>
      <c r="I225" s="663">
        <v>1967</v>
      </c>
      <c r="J225" s="663">
        <v>7</v>
      </c>
      <c r="K225" s="663">
        <f t="shared" si="3"/>
        <v>57</v>
      </c>
      <c r="L225" s="694">
        <v>669</v>
      </c>
      <c r="M225" s="704">
        <v>775</v>
      </c>
      <c r="N225" s="704">
        <v>775</v>
      </c>
      <c r="O225" s="681" t="s">
        <v>1812</v>
      </c>
      <c r="P225" s="663" t="s">
        <v>1581</v>
      </c>
      <c r="Q225" s="663">
        <v>2</v>
      </c>
      <c r="R225" s="690">
        <v>0</v>
      </c>
      <c r="S225" s="687" t="s">
        <v>1582</v>
      </c>
      <c r="T225" s="663" t="s">
        <v>1583</v>
      </c>
      <c r="U225" s="683" t="s">
        <v>63</v>
      </c>
      <c r="V225" s="690">
        <v>2009</v>
      </c>
      <c r="W225" s="687">
        <v>2009</v>
      </c>
      <c r="X225" s="686">
        <v>47</v>
      </c>
      <c r="Y225" s="687" t="s">
        <v>1585</v>
      </c>
      <c r="Z225" s="663" t="s">
        <v>1585</v>
      </c>
      <c r="AA225" s="663" t="s">
        <v>1585</v>
      </c>
      <c r="AB225" s="663" t="s">
        <v>1585</v>
      </c>
      <c r="AC225" s="663" t="s">
        <v>1585</v>
      </c>
      <c r="AD225" s="663" t="s">
        <v>1587</v>
      </c>
      <c r="AE225" s="663" t="s">
        <v>1596</v>
      </c>
      <c r="AF225" s="663" t="s">
        <v>1596</v>
      </c>
      <c r="AG225" s="663" t="s">
        <v>1596</v>
      </c>
      <c r="AH225" s="663" t="s">
        <v>1585</v>
      </c>
      <c r="AI225" s="688">
        <v>64.8</v>
      </c>
      <c r="AJ225" s="689" t="s">
        <v>1588</v>
      </c>
      <c r="AK225" s="690"/>
    </row>
    <row r="226" spans="1:37" s="653" customFormat="1">
      <c r="A226" s="655">
        <v>2024</v>
      </c>
      <c r="B226" s="656" t="str">
        <f>INDEX('①基本情報 '!$C$2:$C$255,MATCH('②建物情報 '!E226,'①基本情報 '!$E$2:$E$255,0),1)</f>
        <v>124</v>
      </c>
      <c r="C226" s="657" t="str">
        <f>INDEX('①基本情報 '!$B$2:$B$255,MATCH('②建物情報 '!E226,'①基本情報 '!$E$2:$E$255,0),1)</f>
        <v>1029</v>
      </c>
      <c r="D226" s="658" t="s">
        <v>2418</v>
      </c>
      <c r="E226" s="612" t="s">
        <v>897</v>
      </c>
      <c r="F226" s="597" t="str">
        <f>INDEX('①基本情報 '!$G$2:$G$255,MATCH('②建物情報 '!E226,'①基本情報 '!$E$2:$E$255,0),1)</f>
        <v>教育委員会教育総務部、学校教育部、生涯学習部</v>
      </c>
      <c r="G226" s="678" t="s">
        <v>1591</v>
      </c>
      <c r="H226" s="612" t="s">
        <v>1639</v>
      </c>
      <c r="I226" s="663">
        <v>1969</v>
      </c>
      <c r="J226" s="663">
        <v>8</v>
      </c>
      <c r="K226" s="663">
        <f t="shared" si="3"/>
        <v>55</v>
      </c>
      <c r="L226" s="694">
        <v>593</v>
      </c>
      <c r="M226" s="704">
        <v>2399</v>
      </c>
      <c r="N226" s="704">
        <v>2399</v>
      </c>
      <c r="O226" s="681" t="s">
        <v>1812</v>
      </c>
      <c r="P226" s="663" t="s">
        <v>1581</v>
      </c>
      <c r="Q226" s="663">
        <v>4</v>
      </c>
      <c r="R226" s="690">
        <v>0</v>
      </c>
      <c r="S226" s="687" t="s">
        <v>1582</v>
      </c>
      <c r="T226" s="663" t="s">
        <v>1583</v>
      </c>
      <c r="U226" s="683" t="s">
        <v>63</v>
      </c>
      <c r="V226" s="690">
        <v>2009</v>
      </c>
      <c r="W226" s="687">
        <v>2009</v>
      </c>
      <c r="X226" s="686">
        <v>47</v>
      </c>
      <c r="Y226" s="687" t="s">
        <v>1585</v>
      </c>
      <c r="Z226" s="663" t="s">
        <v>1585</v>
      </c>
      <c r="AA226" s="663" t="s">
        <v>1585</v>
      </c>
      <c r="AB226" s="663" t="s">
        <v>1585</v>
      </c>
      <c r="AC226" s="663" t="s">
        <v>1585</v>
      </c>
      <c r="AD226" s="663" t="s">
        <v>1585</v>
      </c>
      <c r="AE226" s="663" t="s">
        <v>1596</v>
      </c>
      <c r="AF226" s="663" t="s">
        <v>1596</v>
      </c>
      <c r="AG226" s="663" t="s">
        <v>1596</v>
      </c>
      <c r="AH226" s="663" t="s">
        <v>1585</v>
      </c>
      <c r="AI226" s="688">
        <v>67.547169811320757</v>
      </c>
      <c r="AJ226" s="689" t="s">
        <v>1588</v>
      </c>
      <c r="AK226" s="690"/>
    </row>
    <row r="227" spans="1:37" s="653" customFormat="1">
      <c r="A227" s="655">
        <v>2024</v>
      </c>
      <c r="B227" s="656" t="str">
        <f>INDEX('①基本情報 '!$C$2:$C$255,MATCH('②建物情報 '!E227,'①基本情報 '!$E$2:$E$255,0),1)</f>
        <v>124</v>
      </c>
      <c r="C227" s="657" t="str">
        <f>INDEX('①基本情報 '!$B$2:$B$255,MATCH('②建物情報 '!E227,'①基本情報 '!$E$2:$E$255,0),1)</f>
        <v>1029</v>
      </c>
      <c r="D227" s="658" t="s">
        <v>2418</v>
      </c>
      <c r="E227" s="612" t="s">
        <v>897</v>
      </c>
      <c r="F227" s="597" t="str">
        <f>INDEX('①基本情報 '!$G$2:$G$255,MATCH('②建物情報 '!E227,'①基本情報 '!$E$2:$E$255,0),1)</f>
        <v>教育委員会教育総務部、学校教育部、生涯学習部</v>
      </c>
      <c r="G227" s="678" t="s">
        <v>1601</v>
      </c>
      <c r="H227" s="612" t="s">
        <v>1651</v>
      </c>
      <c r="I227" s="663">
        <v>1969</v>
      </c>
      <c r="J227" s="663">
        <v>8</v>
      </c>
      <c r="K227" s="663">
        <f t="shared" si="3"/>
        <v>55</v>
      </c>
      <c r="L227" s="694">
        <v>39</v>
      </c>
      <c r="M227" s="704">
        <v>96</v>
      </c>
      <c r="N227" s="704">
        <v>96</v>
      </c>
      <c r="O227" s="681" t="s">
        <v>1812</v>
      </c>
      <c r="P227" s="663" t="s">
        <v>1581</v>
      </c>
      <c r="Q227" s="663">
        <v>3</v>
      </c>
      <c r="R227" s="690">
        <v>0</v>
      </c>
      <c r="S227" s="687" t="s">
        <v>1582</v>
      </c>
      <c r="T227" s="663" t="s">
        <v>1583</v>
      </c>
      <c r="U227" s="683" t="s">
        <v>1846</v>
      </c>
      <c r="V227" s="690">
        <v>2009</v>
      </c>
      <c r="W227" s="687">
        <v>2009</v>
      </c>
      <c r="X227" s="686">
        <v>47</v>
      </c>
      <c r="Y227" s="687" t="s">
        <v>1585</v>
      </c>
      <c r="Z227" s="663" t="s">
        <v>1585</v>
      </c>
      <c r="AA227" s="663" t="s">
        <v>1585</v>
      </c>
      <c r="AB227" s="663" t="s">
        <v>1585</v>
      </c>
      <c r="AC227" s="663" t="s">
        <v>1585</v>
      </c>
      <c r="AD227" s="663" t="s">
        <v>825</v>
      </c>
      <c r="AE227" s="663" t="s">
        <v>825</v>
      </c>
      <c r="AF227" s="663" t="s">
        <v>825</v>
      </c>
      <c r="AG227" s="663" t="s">
        <v>825</v>
      </c>
      <c r="AH227" s="663" t="s">
        <v>1586</v>
      </c>
      <c r="AI227" s="688">
        <v>78.666666666666657</v>
      </c>
      <c r="AJ227" s="689" t="s">
        <v>1588</v>
      </c>
      <c r="AK227" s="690"/>
    </row>
    <row r="228" spans="1:37" s="653" customFormat="1">
      <c r="A228" s="655">
        <v>2024</v>
      </c>
      <c r="B228" s="656" t="str">
        <f>INDEX('①基本情報 '!$C$2:$C$255,MATCH('②建物情報 '!E228,'①基本情報 '!$E$2:$E$255,0),1)</f>
        <v>124</v>
      </c>
      <c r="C228" s="657" t="str">
        <f>INDEX('①基本情報 '!$B$2:$B$255,MATCH('②建物情報 '!E228,'①基本情報 '!$E$2:$E$255,0),1)</f>
        <v>1029</v>
      </c>
      <c r="D228" s="658" t="s">
        <v>2418</v>
      </c>
      <c r="E228" s="612" t="s">
        <v>897</v>
      </c>
      <c r="F228" s="597" t="str">
        <f>INDEX('①基本情報 '!$G$2:$G$255,MATCH('②建物情報 '!E228,'①基本情報 '!$E$2:$E$255,0),1)</f>
        <v>教育委員会教育総務部、学校教育部、生涯学習部</v>
      </c>
      <c r="G228" s="678" t="s">
        <v>1620</v>
      </c>
      <c r="H228" s="612" t="s">
        <v>1612</v>
      </c>
      <c r="I228" s="663">
        <v>1972</v>
      </c>
      <c r="J228" s="663">
        <v>9</v>
      </c>
      <c r="K228" s="663">
        <f t="shared" si="3"/>
        <v>52</v>
      </c>
      <c r="L228" s="694">
        <v>79</v>
      </c>
      <c r="M228" s="704">
        <v>79</v>
      </c>
      <c r="N228" s="704">
        <v>79</v>
      </c>
      <c r="O228" s="681" t="s">
        <v>1812</v>
      </c>
      <c r="P228" s="663" t="s">
        <v>1581</v>
      </c>
      <c r="Q228" s="663">
        <v>1</v>
      </c>
      <c r="R228" s="690">
        <v>0</v>
      </c>
      <c r="S228" s="687" t="s">
        <v>1582</v>
      </c>
      <c r="T228" s="683"/>
      <c r="U228" s="683" t="s">
        <v>1965</v>
      </c>
      <c r="V228" s="690"/>
      <c r="W228" s="687">
        <v>2009</v>
      </c>
      <c r="X228" s="686">
        <v>38</v>
      </c>
      <c r="Y228" s="687" t="s">
        <v>1585</v>
      </c>
      <c r="Z228" s="663" t="s">
        <v>1585</v>
      </c>
      <c r="AA228" s="663" t="s">
        <v>1585</v>
      </c>
      <c r="AB228" s="663" t="s">
        <v>1585</v>
      </c>
      <c r="AC228" s="663" t="s">
        <v>1585</v>
      </c>
      <c r="AD228" s="663" t="s">
        <v>825</v>
      </c>
      <c r="AE228" s="663" t="s">
        <v>825</v>
      </c>
      <c r="AF228" s="663" t="s">
        <v>825</v>
      </c>
      <c r="AG228" s="663" t="s">
        <v>825</v>
      </c>
      <c r="AH228" s="663" t="s">
        <v>1586</v>
      </c>
      <c r="AI228" s="688">
        <v>76.666666666666657</v>
      </c>
      <c r="AJ228" s="689" t="s">
        <v>1588</v>
      </c>
      <c r="AK228" s="690"/>
    </row>
    <row r="229" spans="1:37" s="653" customFormat="1">
      <c r="A229" s="655">
        <v>2024</v>
      </c>
      <c r="B229" s="656" t="str">
        <f>INDEX('①基本情報 '!$C$2:$C$255,MATCH('②建物情報 '!E229,'①基本情報 '!$E$2:$E$255,0),1)</f>
        <v>124</v>
      </c>
      <c r="C229" s="657" t="str">
        <f>INDEX('①基本情報 '!$B$2:$B$255,MATCH('②建物情報 '!E229,'①基本情報 '!$E$2:$E$255,0),1)</f>
        <v>1029</v>
      </c>
      <c r="D229" s="658" t="s">
        <v>2418</v>
      </c>
      <c r="E229" s="612" t="s">
        <v>897</v>
      </c>
      <c r="F229" s="597" t="str">
        <f>INDEX('①基本情報 '!$G$2:$G$255,MATCH('②建物情報 '!E229,'①基本情報 '!$E$2:$E$255,0),1)</f>
        <v>教育委員会教育総務部、学校教育部、生涯学習部</v>
      </c>
      <c r="G229" s="678" t="s">
        <v>1643</v>
      </c>
      <c r="H229" s="612" t="s">
        <v>1612</v>
      </c>
      <c r="I229" s="663">
        <v>1984</v>
      </c>
      <c r="J229" s="663">
        <v>3</v>
      </c>
      <c r="K229" s="663">
        <f t="shared" si="3"/>
        <v>40</v>
      </c>
      <c r="L229" s="694">
        <v>110</v>
      </c>
      <c r="M229" s="704">
        <v>211</v>
      </c>
      <c r="N229" s="704">
        <v>211</v>
      </c>
      <c r="O229" s="681" t="s">
        <v>1812</v>
      </c>
      <c r="P229" s="663" t="s">
        <v>1581</v>
      </c>
      <c r="Q229" s="663">
        <v>2</v>
      </c>
      <c r="R229" s="690">
        <v>0</v>
      </c>
      <c r="S229" s="687" t="s">
        <v>1593</v>
      </c>
      <c r="T229" s="683" t="s">
        <v>825</v>
      </c>
      <c r="U229" s="663" t="s">
        <v>63</v>
      </c>
      <c r="V229" s="690"/>
      <c r="W229" s="687">
        <v>2009</v>
      </c>
      <c r="X229" s="686">
        <v>38</v>
      </c>
      <c r="Y229" s="687" t="s">
        <v>1585</v>
      </c>
      <c r="Z229" s="663" t="s">
        <v>1585</v>
      </c>
      <c r="AA229" s="663" t="s">
        <v>1585</v>
      </c>
      <c r="AB229" s="663" t="s">
        <v>1585</v>
      </c>
      <c r="AC229" s="663" t="s">
        <v>1585</v>
      </c>
      <c r="AD229" s="663" t="s">
        <v>825</v>
      </c>
      <c r="AE229" s="663" t="s">
        <v>825</v>
      </c>
      <c r="AF229" s="663" t="s">
        <v>825</v>
      </c>
      <c r="AG229" s="663" t="s">
        <v>825</v>
      </c>
      <c r="AH229" s="663" t="s">
        <v>1585</v>
      </c>
      <c r="AI229" s="688">
        <v>68.666666666666671</v>
      </c>
      <c r="AJ229" s="689" t="s">
        <v>1588</v>
      </c>
      <c r="AK229" s="690"/>
    </row>
    <row r="230" spans="1:37" s="653" customFormat="1">
      <c r="A230" s="655">
        <v>2024</v>
      </c>
      <c r="B230" s="656" t="str">
        <f>INDEX('①基本情報 '!$C$2:$C$255,MATCH('②建物情報 '!E230,'①基本情報 '!$E$2:$E$255,0),1)</f>
        <v>124</v>
      </c>
      <c r="C230" s="657" t="str">
        <f>INDEX('①基本情報 '!$B$2:$B$255,MATCH('②建物情報 '!E230,'①基本情報 '!$E$2:$E$255,0),1)</f>
        <v>1029</v>
      </c>
      <c r="D230" s="658" t="s">
        <v>2418</v>
      </c>
      <c r="E230" s="612" t="s">
        <v>897</v>
      </c>
      <c r="F230" s="597" t="str">
        <f>INDEX('①基本情報 '!$G$2:$G$255,MATCH('②建物情報 '!E230,'①基本情報 '!$E$2:$E$255,0),1)</f>
        <v>教育委員会教育総務部、学校教育部、生涯学習部</v>
      </c>
      <c r="G230" s="678" t="s">
        <v>1645</v>
      </c>
      <c r="H230" s="612" t="s">
        <v>1644</v>
      </c>
      <c r="I230" s="663">
        <v>2003</v>
      </c>
      <c r="J230" s="663">
        <v>8</v>
      </c>
      <c r="K230" s="663">
        <f t="shared" si="3"/>
        <v>21</v>
      </c>
      <c r="L230" s="694">
        <v>14</v>
      </c>
      <c r="M230" s="704">
        <v>57</v>
      </c>
      <c r="N230" s="704">
        <v>57</v>
      </c>
      <c r="O230" s="681" t="s">
        <v>1812</v>
      </c>
      <c r="P230" s="663" t="s">
        <v>1603</v>
      </c>
      <c r="Q230" s="663">
        <v>4</v>
      </c>
      <c r="R230" s="690">
        <v>0</v>
      </c>
      <c r="S230" s="687" t="s">
        <v>1593</v>
      </c>
      <c r="T230" s="683" t="s">
        <v>825</v>
      </c>
      <c r="U230" s="683" t="s">
        <v>1846</v>
      </c>
      <c r="V230" s="690"/>
      <c r="W230" s="687"/>
      <c r="X230" s="702">
        <v>34</v>
      </c>
      <c r="Y230" s="687" t="s">
        <v>1596</v>
      </c>
      <c r="Z230" s="663" t="s">
        <v>1586</v>
      </c>
      <c r="AA230" s="663" t="s">
        <v>1586</v>
      </c>
      <c r="AB230" s="663" t="s">
        <v>1585</v>
      </c>
      <c r="AC230" s="663" t="s">
        <v>1586</v>
      </c>
      <c r="AD230" s="663" t="s">
        <v>825</v>
      </c>
      <c r="AE230" s="663" t="s">
        <v>825</v>
      </c>
      <c r="AF230" s="663" t="s">
        <v>825</v>
      </c>
      <c r="AG230" s="663" t="s">
        <v>825</v>
      </c>
      <c r="AH230" s="663" t="s">
        <v>1585</v>
      </c>
      <c r="AI230" s="688">
        <v>64</v>
      </c>
      <c r="AJ230" s="689" t="s">
        <v>1588</v>
      </c>
      <c r="AK230" s="690"/>
    </row>
    <row r="231" spans="1:37" s="653" customFormat="1">
      <c r="A231" s="655">
        <v>2024</v>
      </c>
      <c r="B231" s="656" t="str">
        <f>INDEX('①基本情報 '!$C$2:$C$255,MATCH('②建物情報 '!E231,'①基本情報 '!$E$2:$E$255,0),1)</f>
        <v>124</v>
      </c>
      <c r="C231" s="657" t="str">
        <f>INDEX('①基本情報 '!$B$2:$B$255,MATCH('②建物情報 '!E231,'①基本情報 '!$E$2:$E$255,0),1)</f>
        <v>1029</v>
      </c>
      <c r="D231" s="658" t="s">
        <v>2418</v>
      </c>
      <c r="E231" s="612" t="s">
        <v>897</v>
      </c>
      <c r="F231" s="597" t="str">
        <f>INDEX('①基本情報 '!$G$2:$G$255,MATCH('②建物情報 '!E231,'①基本情報 '!$E$2:$E$255,0),1)</f>
        <v>教育委員会教育総務部、学校教育部、生涯学習部</v>
      </c>
      <c r="G231" s="678" t="s">
        <v>1646</v>
      </c>
      <c r="H231" s="612" t="s">
        <v>1887</v>
      </c>
      <c r="I231" s="663">
        <v>1982</v>
      </c>
      <c r="J231" s="663">
        <v>6</v>
      </c>
      <c r="K231" s="663">
        <f t="shared" si="3"/>
        <v>42</v>
      </c>
      <c r="L231" s="694"/>
      <c r="M231" s="704">
        <v>9</v>
      </c>
      <c r="N231" s="704">
        <v>9</v>
      </c>
      <c r="O231" s="681" t="s">
        <v>1812</v>
      </c>
      <c r="P231" s="663" t="s">
        <v>1581</v>
      </c>
      <c r="Q231" s="663">
        <v>1</v>
      </c>
      <c r="R231" s="690">
        <v>0</v>
      </c>
      <c r="S231" s="687" t="s">
        <v>1593</v>
      </c>
      <c r="T231" s="683" t="s">
        <v>825</v>
      </c>
      <c r="U231" s="683" t="s">
        <v>1846</v>
      </c>
      <c r="V231" s="690"/>
      <c r="W231" s="687"/>
      <c r="X231" s="702">
        <v>38</v>
      </c>
      <c r="Y231" s="687" t="s">
        <v>1585</v>
      </c>
      <c r="Z231" s="663" t="s">
        <v>1586</v>
      </c>
      <c r="AA231" s="663" t="s">
        <v>1586</v>
      </c>
      <c r="AB231" s="663" t="s">
        <v>1585</v>
      </c>
      <c r="AC231" s="663" t="s">
        <v>1596</v>
      </c>
      <c r="AD231" s="663" t="s">
        <v>825</v>
      </c>
      <c r="AE231" s="663" t="s">
        <v>825</v>
      </c>
      <c r="AF231" s="663" t="s">
        <v>825</v>
      </c>
      <c r="AG231" s="663" t="s">
        <v>825</v>
      </c>
      <c r="AH231" s="663" t="s">
        <v>1586</v>
      </c>
      <c r="AI231" s="688">
        <v>70</v>
      </c>
      <c r="AJ231" s="689" t="s">
        <v>1588</v>
      </c>
      <c r="AK231" s="690"/>
    </row>
    <row r="232" spans="1:37" s="653" customFormat="1">
      <c r="A232" s="655">
        <v>2024</v>
      </c>
      <c r="B232" s="656" t="str">
        <f>INDEX('①基本情報 '!$C$2:$C$255,MATCH('②建物情報 '!E232,'①基本情報 '!$E$2:$E$255,0),1)</f>
        <v>124</v>
      </c>
      <c r="C232" s="657" t="str">
        <f>INDEX('①基本情報 '!$B$2:$B$255,MATCH('②建物情報 '!E232,'①基本情報 '!$E$2:$E$255,0),1)</f>
        <v>1029</v>
      </c>
      <c r="D232" s="658" t="s">
        <v>2418</v>
      </c>
      <c r="E232" s="612" t="s">
        <v>897</v>
      </c>
      <c r="F232" s="597" t="str">
        <f>INDEX('①基本情報 '!$G$2:$G$255,MATCH('②建物情報 '!E232,'①基本情報 '!$E$2:$E$255,0),1)</f>
        <v>教育委員会教育総務部、学校教育部、生涯学習部</v>
      </c>
      <c r="G232" s="678" t="s">
        <v>1647</v>
      </c>
      <c r="H232" s="612" t="s">
        <v>1653</v>
      </c>
      <c r="I232" s="663">
        <v>1992</v>
      </c>
      <c r="J232" s="663">
        <v>3</v>
      </c>
      <c r="K232" s="663">
        <f t="shared" si="3"/>
        <v>32</v>
      </c>
      <c r="L232" s="694"/>
      <c r="M232" s="704">
        <v>88</v>
      </c>
      <c r="N232" s="704">
        <v>88</v>
      </c>
      <c r="O232" s="681" t="s">
        <v>1812</v>
      </c>
      <c r="P232" s="663" t="s">
        <v>1603</v>
      </c>
      <c r="Q232" s="663">
        <v>1</v>
      </c>
      <c r="R232" s="690">
        <v>0</v>
      </c>
      <c r="S232" s="687" t="s">
        <v>1593</v>
      </c>
      <c r="T232" s="683" t="s">
        <v>825</v>
      </c>
      <c r="U232" s="683" t="s">
        <v>1846</v>
      </c>
      <c r="V232" s="690"/>
      <c r="W232" s="687"/>
      <c r="X232" s="702">
        <v>31</v>
      </c>
      <c r="Y232" s="687" t="s">
        <v>1596</v>
      </c>
      <c r="Z232" s="663" t="s">
        <v>1586</v>
      </c>
      <c r="AA232" s="663" t="s">
        <v>1586</v>
      </c>
      <c r="AB232" s="663" t="s">
        <v>1585</v>
      </c>
      <c r="AC232" s="663" t="s">
        <v>1586</v>
      </c>
      <c r="AD232" s="663" t="s">
        <v>825</v>
      </c>
      <c r="AE232" s="663" t="s">
        <v>825</v>
      </c>
      <c r="AF232" s="663" t="s">
        <v>1586</v>
      </c>
      <c r="AG232" s="663" t="s">
        <v>1586</v>
      </c>
      <c r="AH232" s="663" t="s">
        <v>1586</v>
      </c>
      <c r="AI232" s="688">
        <v>79.024390243902445</v>
      </c>
      <c r="AJ232" s="689" t="s">
        <v>1588</v>
      </c>
      <c r="AK232" s="690"/>
    </row>
    <row r="233" spans="1:37" s="653" customFormat="1">
      <c r="A233" s="655">
        <v>2024</v>
      </c>
      <c r="B233" s="656" t="str">
        <f>INDEX('①基本情報 '!$C$2:$C$255,MATCH('②建物情報 '!E233,'①基本情報 '!$E$2:$E$255,0),1)</f>
        <v>125</v>
      </c>
      <c r="C233" s="657" t="str">
        <f>INDEX('①基本情報 '!$B$2:$B$255,MATCH('②建物情報 '!E233,'①基本情報 '!$E$2:$E$255,0),1)</f>
        <v>1030</v>
      </c>
      <c r="D233" s="658" t="s">
        <v>2418</v>
      </c>
      <c r="E233" s="612" t="s">
        <v>902</v>
      </c>
      <c r="F233" s="597" t="str">
        <f>INDEX('①基本情報 '!$G$2:$G$255,MATCH('②建物情報 '!E233,'①基本情報 '!$E$2:$E$255,0),1)</f>
        <v>教育委員会教育総務部、学校教育部、生涯学習部</v>
      </c>
      <c r="G233" s="678" t="s">
        <v>1580</v>
      </c>
      <c r="H233" s="612" t="s">
        <v>1638</v>
      </c>
      <c r="I233" s="663">
        <v>1969</v>
      </c>
      <c r="J233" s="663">
        <v>3</v>
      </c>
      <c r="K233" s="663">
        <f t="shared" si="3"/>
        <v>55</v>
      </c>
      <c r="L233" s="694">
        <v>713</v>
      </c>
      <c r="M233" s="704">
        <v>2882</v>
      </c>
      <c r="N233" s="704">
        <v>2882</v>
      </c>
      <c r="O233" s="681" t="s">
        <v>1812</v>
      </c>
      <c r="P233" s="663" t="s">
        <v>1581</v>
      </c>
      <c r="Q233" s="663">
        <v>4</v>
      </c>
      <c r="R233" s="690">
        <v>0</v>
      </c>
      <c r="S233" s="687" t="s">
        <v>1582</v>
      </c>
      <c r="T233" s="663" t="s">
        <v>1583</v>
      </c>
      <c r="U233" s="683" t="s">
        <v>63</v>
      </c>
      <c r="V233" s="690">
        <v>1997</v>
      </c>
      <c r="W233" s="687">
        <v>2023</v>
      </c>
      <c r="X233" s="686">
        <v>47</v>
      </c>
      <c r="Y233" s="687" t="s">
        <v>1585</v>
      </c>
      <c r="Z233" s="663" t="s">
        <v>1587</v>
      </c>
      <c r="AA233" s="663" t="s">
        <v>1587</v>
      </c>
      <c r="AB233" s="663" t="s">
        <v>1596</v>
      </c>
      <c r="AC233" s="663" t="s">
        <v>1586</v>
      </c>
      <c r="AD233" s="663" t="s">
        <v>1596</v>
      </c>
      <c r="AE233" s="663" t="s">
        <v>1587</v>
      </c>
      <c r="AF233" s="663" t="s">
        <v>1587</v>
      </c>
      <c r="AG233" s="663" t="s">
        <v>1587</v>
      </c>
      <c r="AH233" s="663" t="s">
        <v>1596</v>
      </c>
      <c r="AI233" s="688">
        <v>43.2</v>
      </c>
      <c r="AJ233" s="689" t="s">
        <v>1588</v>
      </c>
      <c r="AK233" s="690"/>
    </row>
    <row r="234" spans="1:37" s="653" customFormat="1">
      <c r="A234" s="655">
        <v>2024</v>
      </c>
      <c r="B234" s="656" t="str">
        <f>INDEX('①基本情報 '!$C$2:$C$255,MATCH('②建物情報 '!E234,'①基本情報 '!$E$2:$E$255,0),1)</f>
        <v>125</v>
      </c>
      <c r="C234" s="657" t="str">
        <f>INDEX('①基本情報 '!$B$2:$B$255,MATCH('②建物情報 '!E234,'①基本情報 '!$E$2:$E$255,0),1)</f>
        <v>1030</v>
      </c>
      <c r="D234" s="658" t="s">
        <v>2418</v>
      </c>
      <c r="E234" s="612" t="s">
        <v>902</v>
      </c>
      <c r="F234" s="597" t="str">
        <f>INDEX('①基本情報 '!$G$2:$G$255,MATCH('②建物情報 '!E234,'①基本情報 '!$E$2:$E$255,0),1)</f>
        <v>教育委員会教育総務部、学校教育部、生涯学習部</v>
      </c>
      <c r="G234" s="678" t="s">
        <v>1589</v>
      </c>
      <c r="H234" s="612" t="s">
        <v>1639</v>
      </c>
      <c r="I234" s="663">
        <v>1971</v>
      </c>
      <c r="J234" s="663">
        <v>5</v>
      </c>
      <c r="K234" s="663">
        <f t="shared" si="3"/>
        <v>53</v>
      </c>
      <c r="L234" s="694">
        <v>259</v>
      </c>
      <c r="M234" s="704">
        <v>810</v>
      </c>
      <c r="N234" s="704">
        <v>810</v>
      </c>
      <c r="O234" s="681" t="s">
        <v>1812</v>
      </c>
      <c r="P234" s="663" t="s">
        <v>1581</v>
      </c>
      <c r="Q234" s="663">
        <v>3</v>
      </c>
      <c r="R234" s="690">
        <v>0</v>
      </c>
      <c r="S234" s="687" t="s">
        <v>1582</v>
      </c>
      <c r="T234" s="663" t="s">
        <v>1583</v>
      </c>
      <c r="U234" s="683" t="s">
        <v>63</v>
      </c>
      <c r="V234" s="690">
        <v>1997</v>
      </c>
      <c r="W234" s="687">
        <v>2024</v>
      </c>
      <c r="X234" s="686">
        <v>47</v>
      </c>
      <c r="Y234" s="687" t="s">
        <v>1585</v>
      </c>
      <c r="Z234" s="663" t="s">
        <v>1596</v>
      </c>
      <c r="AA234" s="663" t="s">
        <v>1587</v>
      </c>
      <c r="AB234" s="663" t="s">
        <v>1596</v>
      </c>
      <c r="AC234" s="663" t="s">
        <v>1587</v>
      </c>
      <c r="AD234" s="663" t="s">
        <v>1596</v>
      </c>
      <c r="AE234" s="663" t="s">
        <v>1587</v>
      </c>
      <c r="AF234" s="663" t="s">
        <v>1587</v>
      </c>
      <c r="AG234" s="663" t="s">
        <v>1587</v>
      </c>
      <c r="AH234" s="663" t="s">
        <v>1596</v>
      </c>
      <c r="AI234" s="688">
        <v>35.6</v>
      </c>
      <c r="AJ234" s="689" t="s">
        <v>1588</v>
      </c>
      <c r="AK234" s="690"/>
    </row>
    <row r="235" spans="1:37" s="653" customFormat="1">
      <c r="A235" s="655">
        <v>2024</v>
      </c>
      <c r="B235" s="656" t="str">
        <f>INDEX('①基本情報 '!$C$2:$C$255,MATCH('②建物情報 '!E235,'①基本情報 '!$E$2:$E$255,0),1)</f>
        <v>125</v>
      </c>
      <c r="C235" s="657" t="str">
        <f>INDEX('①基本情報 '!$B$2:$B$255,MATCH('②建物情報 '!E235,'①基本情報 '!$E$2:$E$255,0),1)</f>
        <v>1030</v>
      </c>
      <c r="D235" s="658" t="s">
        <v>2418</v>
      </c>
      <c r="E235" s="612" t="s">
        <v>902</v>
      </c>
      <c r="F235" s="597" t="str">
        <f>INDEX('①基本情報 '!$G$2:$G$255,MATCH('②建物情報 '!E235,'①基本情報 '!$E$2:$E$255,0),1)</f>
        <v>教育委員会教育総務部、学校教育部、生涯学習部</v>
      </c>
      <c r="G235" s="678" t="s">
        <v>1591</v>
      </c>
      <c r="H235" s="612" t="s">
        <v>1642</v>
      </c>
      <c r="I235" s="663">
        <v>1969</v>
      </c>
      <c r="J235" s="663">
        <v>8</v>
      </c>
      <c r="K235" s="663">
        <f t="shared" si="3"/>
        <v>55</v>
      </c>
      <c r="L235" s="694">
        <v>713</v>
      </c>
      <c r="M235" s="704">
        <v>1521</v>
      </c>
      <c r="N235" s="704">
        <v>1521</v>
      </c>
      <c r="O235" s="681" t="s">
        <v>1812</v>
      </c>
      <c r="P235" s="663" t="s">
        <v>1581</v>
      </c>
      <c r="Q235" s="663">
        <v>3</v>
      </c>
      <c r="R235" s="690">
        <v>0</v>
      </c>
      <c r="S235" s="687" t="s">
        <v>1582</v>
      </c>
      <c r="T235" s="663" t="s">
        <v>1583</v>
      </c>
      <c r="U235" s="683" t="s">
        <v>63</v>
      </c>
      <c r="V235" s="690">
        <v>2010</v>
      </c>
      <c r="W235" s="687">
        <v>2010</v>
      </c>
      <c r="X235" s="686">
        <v>47</v>
      </c>
      <c r="Y235" s="687" t="s">
        <v>1585</v>
      </c>
      <c r="Z235" s="663" t="s">
        <v>1585</v>
      </c>
      <c r="AA235" s="663" t="s">
        <v>1585</v>
      </c>
      <c r="AB235" s="663" t="s">
        <v>1596</v>
      </c>
      <c r="AC235" s="663" t="s">
        <v>1585</v>
      </c>
      <c r="AD235" s="663" t="s">
        <v>1596</v>
      </c>
      <c r="AE235" s="663" t="s">
        <v>1587</v>
      </c>
      <c r="AF235" s="663" t="s">
        <v>1596</v>
      </c>
      <c r="AG235" s="663" t="s">
        <v>1596</v>
      </c>
      <c r="AH235" s="663" t="s">
        <v>1585</v>
      </c>
      <c r="AI235" s="688">
        <v>60.8</v>
      </c>
      <c r="AJ235" s="689" t="s">
        <v>1588</v>
      </c>
      <c r="AK235" s="690"/>
    </row>
    <row r="236" spans="1:37" s="653" customFormat="1">
      <c r="A236" s="655">
        <v>2024</v>
      </c>
      <c r="B236" s="656" t="str">
        <f>INDEX('①基本情報 '!$C$2:$C$255,MATCH('②建物情報 '!E236,'①基本情報 '!$E$2:$E$255,0),1)</f>
        <v>125</v>
      </c>
      <c r="C236" s="657" t="str">
        <f>INDEX('①基本情報 '!$B$2:$B$255,MATCH('②建物情報 '!E236,'①基本情報 '!$E$2:$E$255,0),1)</f>
        <v>1030</v>
      </c>
      <c r="D236" s="658" t="s">
        <v>2418</v>
      </c>
      <c r="E236" s="612" t="s">
        <v>902</v>
      </c>
      <c r="F236" s="597" t="str">
        <f>INDEX('①基本情報 '!$G$2:$G$255,MATCH('②建物情報 '!E236,'①基本情報 '!$E$2:$E$255,0),1)</f>
        <v>教育委員会教育総務部、学校教育部、生涯学習部</v>
      </c>
      <c r="G236" s="678" t="s">
        <v>1645</v>
      </c>
      <c r="H236" s="612" t="s">
        <v>1640</v>
      </c>
      <c r="I236" s="663">
        <v>2008</v>
      </c>
      <c r="J236" s="663">
        <v>3</v>
      </c>
      <c r="K236" s="663">
        <f t="shared" si="3"/>
        <v>16</v>
      </c>
      <c r="L236" s="694">
        <v>141</v>
      </c>
      <c r="M236" s="704">
        <v>497</v>
      </c>
      <c r="N236" s="704">
        <v>282</v>
      </c>
      <c r="O236" s="681" t="s">
        <v>1594</v>
      </c>
      <c r="P236" s="663" t="s">
        <v>1603</v>
      </c>
      <c r="Q236" s="663">
        <v>2</v>
      </c>
      <c r="R236" s="690">
        <v>0</v>
      </c>
      <c r="S236" s="687" t="s">
        <v>1593</v>
      </c>
      <c r="T236" s="683" t="s">
        <v>825</v>
      </c>
      <c r="U236" s="663" t="s">
        <v>63</v>
      </c>
      <c r="V236" s="690"/>
      <c r="W236" s="687"/>
      <c r="X236" s="702">
        <v>34</v>
      </c>
      <c r="Y236" s="687" t="s">
        <v>1587</v>
      </c>
      <c r="Z236" s="663" t="s">
        <v>1585</v>
      </c>
      <c r="AA236" s="663" t="s">
        <v>1596</v>
      </c>
      <c r="AB236" s="663" t="s">
        <v>1596</v>
      </c>
      <c r="AC236" s="663" t="s">
        <v>1585</v>
      </c>
      <c r="AD236" s="663" t="s">
        <v>1586</v>
      </c>
      <c r="AE236" s="663" t="s">
        <v>1587</v>
      </c>
      <c r="AF236" s="663" t="s">
        <v>1585</v>
      </c>
      <c r="AG236" s="663" t="s">
        <v>1596</v>
      </c>
      <c r="AH236" s="663" t="s">
        <v>1596</v>
      </c>
      <c r="AI236" s="688">
        <v>48</v>
      </c>
      <c r="AJ236" s="689" t="s">
        <v>1588</v>
      </c>
      <c r="AK236" s="690"/>
    </row>
    <row r="237" spans="1:37" s="653" customFormat="1">
      <c r="A237" s="655">
        <v>2024</v>
      </c>
      <c r="B237" s="656" t="str">
        <f>INDEX('①基本情報 '!$C$2:$C$255,MATCH('②建物情報 '!E237,'①基本情報 '!$E$2:$E$255,0),1)</f>
        <v>125</v>
      </c>
      <c r="C237" s="657" t="str">
        <f>INDEX('①基本情報 '!$B$2:$B$255,MATCH('②建物情報 '!E237,'①基本情報 '!$E$2:$E$255,0),1)</f>
        <v>1030</v>
      </c>
      <c r="D237" s="658" t="s">
        <v>2418</v>
      </c>
      <c r="E237" s="612" t="s">
        <v>902</v>
      </c>
      <c r="F237" s="597" t="str">
        <f>INDEX('①基本情報 '!$G$2:$G$255,MATCH('②建物情報 '!E237,'①基本情報 '!$E$2:$E$255,0),1)</f>
        <v>教育委員会教育総務部、学校教育部、生涯学習部</v>
      </c>
      <c r="G237" s="678" t="s">
        <v>1646</v>
      </c>
      <c r="H237" s="612" t="s">
        <v>1644</v>
      </c>
      <c r="I237" s="663">
        <v>2007</v>
      </c>
      <c r="J237" s="663">
        <v>9</v>
      </c>
      <c r="K237" s="663">
        <f t="shared" si="3"/>
        <v>17</v>
      </c>
      <c r="L237" s="694">
        <v>15</v>
      </c>
      <c r="M237" s="704">
        <v>58</v>
      </c>
      <c r="N237" s="704">
        <v>58</v>
      </c>
      <c r="O237" s="681" t="s">
        <v>1812</v>
      </c>
      <c r="P237" s="663" t="s">
        <v>1603</v>
      </c>
      <c r="Q237" s="663">
        <v>4</v>
      </c>
      <c r="R237" s="690">
        <v>0</v>
      </c>
      <c r="S237" s="687" t="s">
        <v>1593</v>
      </c>
      <c r="T237" s="683" t="s">
        <v>825</v>
      </c>
      <c r="U237" s="683" t="s">
        <v>1846</v>
      </c>
      <c r="V237" s="690"/>
      <c r="W237" s="687">
        <v>2023</v>
      </c>
      <c r="X237" s="702">
        <v>34</v>
      </c>
      <c r="Y237" s="687" t="s">
        <v>1587</v>
      </c>
      <c r="Z237" s="663" t="s">
        <v>1587</v>
      </c>
      <c r="AA237" s="663" t="s">
        <v>1587</v>
      </c>
      <c r="AB237" s="663" t="s">
        <v>1596</v>
      </c>
      <c r="AC237" s="663" t="s">
        <v>1585</v>
      </c>
      <c r="AD237" s="663" t="s">
        <v>825</v>
      </c>
      <c r="AE237" s="663" t="s">
        <v>825</v>
      </c>
      <c r="AF237" s="663" t="s">
        <v>825</v>
      </c>
      <c r="AG237" s="663" t="s">
        <v>825</v>
      </c>
      <c r="AH237" s="663" t="s">
        <v>1596</v>
      </c>
      <c r="AI237" s="688">
        <v>33.333333333333336</v>
      </c>
      <c r="AJ237" s="689" t="s">
        <v>1588</v>
      </c>
      <c r="AK237" s="690"/>
    </row>
    <row r="238" spans="1:37" s="653" customFormat="1">
      <c r="A238" s="655">
        <v>2024</v>
      </c>
      <c r="B238" s="656" t="str">
        <f>INDEX('①基本情報 '!$C$2:$C$255,MATCH('②建物情報 '!E238,'①基本情報 '!$E$2:$E$255,0),1)</f>
        <v>125</v>
      </c>
      <c r="C238" s="657" t="str">
        <f>INDEX('①基本情報 '!$B$2:$B$255,MATCH('②建物情報 '!E238,'①基本情報 '!$E$2:$E$255,0),1)</f>
        <v>1030</v>
      </c>
      <c r="D238" s="658" t="s">
        <v>2418</v>
      </c>
      <c r="E238" s="612" t="s">
        <v>902</v>
      </c>
      <c r="F238" s="597" t="str">
        <f>INDEX('①基本情報 '!$G$2:$G$255,MATCH('②建物情報 '!E238,'①基本情報 '!$E$2:$E$255,0),1)</f>
        <v>教育委員会教育総務部、学校教育部、生涯学習部</v>
      </c>
      <c r="G238" s="678" t="s">
        <v>1647</v>
      </c>
      <c r="H238" s="612" t="s">
        <v>1653</v>
      </c>
      <c r="I238" s="663">
        <v>1988</v>
      </c>
      <c r="J238" s="663">
        <v>3</v>
      </c>
      <c r="K238" s="663">
        <f t="shared" si="3"/>
        <v>36</v>
      </c>
      <c r="L238" s="694"/>
      <c r="M238" s="704">
        <v>57</v>
      </c>
      <c r="N238" s="704">
        <v>57</v>
      </c>
      <c r="O238" s="681" t="s">
        <v>1812</v>
      </c>
      <c r="P238" s="663" t="s">
        <v>1603</v>
      </c>
      <c r="Q238" s="663">
        <v>1</v>
      </c>
      <c r="R238" s="690">
        <v>0</v>
      </c>
      <c r="S238" s="687" t="s">
        <v>1593</v>
      </c>
      <c r="T238" s="683" t="s">
        <v>825</v>
      </c>
      <c r="U238" s="683" t="s">
        <v>1846</v>
      </c>
      <c r="V238" s="690"/>
      <c r="W238" s="687"/>
      <c r="X238" s="702">
        <v>31</v>
      </c>
      <c r="Y238" s="687" t="s">
        <v>1596</v>
      </c>
      <c r="Z238" s="663" t="s">
        <v>1587</v>
      </c>
      <c r="AA238" s="663" t="s">
        <v>1586</v>
      </c>
      <c r="AB238" s="663" t="s">
        <v>1596</v>
      </c>
      <c r="AC238" s="663" t="s">
        <v>1587</v>
      </c>
      <c r="AD238" s="663" t="s">
        <v>825</v>
      </c>
      <c r="AE238" s="663" t="s">
        <v>825</v>
      </c>
      <c r="AF238" s="663" t="s">
        <v>1587</v>
      </c>
      <c r="AG238" s="663" t="s">
        <v>1587</v>
      </c>
      <c r="AH238" s="663" t="s">
        <v>1596</v>
      </c>
      <c r="AI238" s="688">
        <v>39.512195121951223</v>
      </c>
      <c r="AJ238" s="689" t="s">
        <v>1588</v>
      </c>
      <c r="AK238" s="690"/>
    </row>
    <row r="239" spans="1:37" s="653" customFormat="1">
      <c r="A239" s="655">
        <v>2024</v>
      </c>
      <c r="B239" s="656" t="str">
        <f>INDEX('①基本情報 '!$C$2:$C$255,MATCH('②建物情報 '!E239,'①基本情報 '!$E$2:$E$255,0),1)</f>
        <v>125</v>
      </c>
      <c r="C239" s="657" t="str">
        <f>INDEX('①基本情報 '!$B$2:$B$255,MATCH('②建物情報 '!E239,'①基本情報 '!$E$2:$E$255,0),1)</f>
        <v>1030</v>
      </c>
      <c r="D239" s="658" t="s">
        <v>2418</v>
      </c>
      <c r="E239" s="612" t="s">
        <v>902</v>
      </c>
      <c r="F239" s="597" t="str">
        <f>INDEX('①基本情報 '!$G$2:$G$255,MATCH('②建物情報 '!E239,'①基本情報 '!$E$2:$E$255,0),1)</f>
        <v>教育委員会教育総務部、学校教育部、生涯学習部</v>
      </c>
      <c r="G239" s="678" t="s">
        <v>1889</v>
      </c>
      <c r="H239" s="612" t="s">
        <v>1888</v>
      </c>
      <c r="I239" s="663">
        <v>2017</v>
      </c>
      <c r="J239" s="663">
        <v>3</v>
      </c>
      <c r="K239" s="663">
        <f t="shared" si="3"/>
        <v>7</v>
      </c>
      <c r="L239" s="694">
        <v>60</v>
      </c>
      <c r="M239" s="704">
        <v>2351</v>
      </c>
      <c r="N239" s="704">
        <v>2351</v>
      </c>
      <c r="O239" s="681" t="s">
        <v>1812</v>
      </c>
      <c r="P239" s="663" t="s">
        <v>1890</v>
      </c>
      <c r="Q239" s="663">
        <v>4</v>
      </c>
      <c r="R239" s="690">
        <v>0</v>
      </c>
      <c r="S239" s="687" t="s">
        <v>1593</v>
      </c>
      <c r="T239" s="683" t="s">
        <v>825</v>
      </c>
      <c r="U239" s="683" t="s">
        <v>1846</v>
      </c>
      <c r="V239" s="690"/>
      <c r="W239" s="687"/>
      <c r="X239" s="702"/>
      <c r="Y239" s="687" t="s">
        <v>1587</v>
      </c>
      <c r="Z239" s="663" t="s">
        <v>1596</v>
      </c>
      <c r="AA239" s="663" t="s">
        <v>1596</v>
      </c>
      <c r="AB239" s="663" t="s">
        <v>1596</v>
      </c>
      <c r="AC239" s="663" t="s">
        <v>1596</v>
      </c>
      <c r="AD239" s="663" t="s">
        <v>1596</v>
      </c>
      <c r="AE239" s="663" t="s">
        <v>1587</v>
      </c>
      <c r="AF239" s="663" t="s">
        <v>1587</v>
      </c>
      <c r="AG239" s="663" t="s">
        <v>1587</v>
      </c>
      <c r="AH239" s="663" t="s">
        <v>1587</v>
      </c>
      <c r="AI239" s="688">
        <v>28.000000000000004</v>
      </c>
      <c r="AJ239" s="689" t="s">
        <v>1588</v>
      </c>
      <c r="AK239" s="690"/>
    </row>
    <row r="240" spans="1:37" s="653" customFormat="1">
      <c r="A240" s="655">
        <v>2024</v>
      </c>
      <c r="B240" s="656" t="str">
        <f>INDEX('①基本情報 '!$C$2:$C$255,MATCH('②建物情報 '!E240,'①基本情報 '!$E$2:$E$255,0),1)</f>
        <v>126</v>
      </c>
      <c r="C240" s="657" t="str">
        <f>INDEX('①基本情報 '!$B$2:$B$255,MATCH('②建物情報 '!E240,'①基本情報 '!$E$2:$E$255,0),1)</f>
        <v>1031</v>
      </c>
      <c r="D240" s="658" t="s">
        <v>2418</v>
      </c>
      <c r="E240" s="612" t="s">
        <v>907</v>
      </c>
      <c r="F240" s="597" t="str">
        <f>INDEX('①基本情報 '!$G$2:$G$255,MATCH('②建物情報 '!E240,'①基本情報 '!$E$2:$E$255,0),1)</f>
        <v>教育委員会教育総務部、学校教育部、生涯学習部</v>
      </c>
      <c r="G240" s="678" t="s">
        <v>1580</v>
      </c>
      <c r="H240" s="612" t="s">
        <v>1638</v>
      </c>
      <c r="I240" s="663">
        <v>1970</v>
      </c>
      <c r="J240" s="663">
        <v>3</v>
      </c>
      <c r="K240" s="663">
        <f t="shared" si="3"/>
        <v>54</v>
      </c>
      <c r="L240" s="694">
        <v>689</v>
      </c>
      <c r="M240" s="704">
        <v>2787</v>
      </c>
      <c r="N240" s="704">
        <v>2787</v>
      </c>
      <c r="O240" s="681" t="s">
        <v>1812</v>
      </c>
      <c r="P240" s="663" t="s">
        <v>1581</v>
      </c>
      <c r="Q240" s="663">
        <v>4</v>
      </c>
      <c r="R240" s="690">
        <v>0</v>
      </c>
      <c r="S240" s="687" t="s">
        <v>1582</v>
      </c>
      <c r="T240" s="663" t="s">
        <v>1583</v>
      </c>
      <c r="U240" s="683" t="s">
        <v>63</v>
      </c>
      <c r="V240" s="690">
        <v>2008</v>
      </c>
      <c r="W240" s="687">
        <v>2020</v>
      </c>
      <c r="X240" s="686">
        <v>47</v>
      </c>
      <c r="Y240" s="687" t="s">
        <v>1585</v>
      </c>
      <c r="Z240" s="663" t="s">
        <v>1587</v>
      </c>
      <c r="AA240" s="663" t="s">
        <v>1587</v>
      </c>
      <c r="AB240" s="663" t="s">
        <v>1596</v>
      </c>
      <c r="AC240" s="663" t="s">
        <v>1587</v>
      </c>
      <c r="AD240" s="663" t="s">
        <v>1587</v>
      </c>
      <c r="AE240" s="663" t="s">
        <v>1596</v>
      </c>
      <c r="AF240" s="663" t="s">
        <v>1587</v>
      </c>
      <c r="AG240" s="663" t="s">
        <v>1596</v>
      </c>
      <c r="AH240" s="663" t="s">
        <v>1596</v>
      </c>
      <c r="AI240" s="688">
        <v>44.8</v>
      </c>
      <c r="AJ240" s="689" t="s">
        <v>1588</v>
      </c>
      <c r="AK240" s="690"/>
    </row>
    <row r="241" spans="1:37" s="653" customFormat="1">
      <c r="A241" s="655">
        <v>2024</v>
      </c>
      <c r="B241" s="656" t="str">
        <f>INDEX('①基本情報 '!$C$2:$C$255,MATCH('②建物情報 '!E241,'①基本情報 '!$E$2:$E$255,0),1)</f>
        <v>126</v>
      </c>
      <c r="C241" s="657" t="str">
        <f>INDEX('①基本情報 '!$B$2:$B$255,MATCH('②建物情報 '!E241,'①基本情報 '!$E$2:$E$255,0),1)</f>
        <v>1031</v>
      </c>
      <c r="D241" s="658" t="s">
        <v>2418</v>
      </c>
      <c r="E241" s="612" t="s">
        <v>907</v>
      </c>
      <c r="F241" s="597" t="str">
        <f>INDEX('①基本情報 '!$G$2:$G$255,MATCH('②建物情報 '!E241,'①基本情報 '!$E$2:$E$255,0),1)</f>
        <v>教育委員会教育総務部、学校教育部、生涯学習部</v>
      </c>
      <c r="G241" s="678" t="s">
        <v>1589</v>
      </c>
      <c r="H241" s="612" t="s">
        <v>1651</v>
      </c>
      <c r="I241" s="663">
        <v>1970</v>
      </c>
      <c r="J241" s="663">
        <v>6</v>
      </c>
      <c r="K241" s="663">
        <f t="shared" si="3"/>
        <v>54</v>
      </c>
      <c r="L241" s="694">
        <v>810</v>
      </c>
      <c r="M241" s="704">
        <v>1641</v>
      </c>
      <c r="N241" s="704">
        <v>1641</v>
      </c>
      <c r="O241" s="681" t="s">
        <v>1812</v>
      </c>
      <c r="P241" s="663" t="s">
        <v>1581</v>
      </c>
      <c r="Q241" s="663">
        <v>4</v>
      </c>
      <c r="R241" s="690">
        <v>0</v>
      </c>
      <c r="S241" s="687" t="s">
        <v>1582</v>
      </c>
      <c r="T241" s="663" t="s">
        <v>1583</v>
      </c>
      <c r="U241" s="683" t="s">
        <v>63</v>
      </c>
      <c r="V241" s="690">
        <v>2010</v>
      </c>
      <c r="W241" s="687">
        <v>2010</v>
      </c>
      <c r="X241" s="686">
        <v>47</v>
      </c>
      <c r="Y241" s="687" t="s">
        <v>1585</v>
      </c>
      <c r="Z241" s="663" t="s">
        <v>1585</v>
      </c>
      <c r="AA241" s="663" t="s">
        <v>1585</v>
      </c>
      <c r="AB241" s="663" t="s">
        <v>1596</v>
      </c>
      <c r="AC241" s="663" t="s">
        <v>1585</v>
      </c>
      <c r="AD241" s="663" t="s">
        <v>1596</v>
      </c>
      <c r="AE241" s="663" t="s">
        <v>825</v>
      </c>
      <c r="AF241" s="663" t="s">
        <v>1596</v>
      </c>
      <c r="AG241" s="663" t="s">
        <v>1596</v>
      </c>
      <c r="AH241" s="663" t="s">
        <v>1585</v>
      </c>
      <c r="AI241" s="688">
        <v>65.909090909090921</v>
      </c>
      <c r="AJ241" s="689" t="s">
        <v>1588</v>
      </c>
      <c r="AK241" s="690"/>
    </row>
    <row r="242" spans="1:37" s="720" customFormat="1">
      <c r="A242" s="655">
        <v>2024</v>
      </c>
      <c r="B242" s="656" t="str">
        <f>INDEX('①基本情報 '!$C$2:$C$255,MATCH('②建物情報 '!E242,'①基本情報 '!$E$2:$E$255,0),1)</f>
        <v>126</v>
      </c>
      <c r="C242" s="657" t="str">
        <f>INDEX('①基本情報 '!$B$2:$B$255,MATCH('②建物情報 '!E242,'①基本情報 '!$E$2:$E$255,0),1)</f>
        <v>1031</v>
      </c>
      <c r="D242" s="658" t="s">
        <v>2418</v>
      </c>
      <c r="E242" s="612" t="s">
        <v>907</v>
      </c>
      <c r="F242" s="597" t="str">
        <f>INDEX('①基本情報 '!$G$2:$G$255,MATCH('②建物情報 '!E242,'①基本情報 '!$E$2:$E$255,0),1)</f>
        <v>教育委員会教育総務部、学校教育部、生涯学習部</v>
      </c>
      <c r="G242" s="678" t="s">
        <v>1591</v>
      </c>
      <c r="H242" s="612" t="s">
        <v>1639</v>
      </c>
      <c r="I242" s="663">
        <v>1971</v>
      </c>
      <c r="J242" s="663">
        <v>5</v>
      </c>
      <c r="K242" s="663">
        <f t="shared" si="3"/>
        <v>53</v>
      </c>
      <c r="L242" s="694">
        <v>541</v>
      </c>
      <c r="M242" s="704">
        <v>2192</v>
      </c>
      <c r="N242" s="704">
        <v>2192</v>
      </c>
      <c r="O242" s="681" t="s">
        <v>1594</v>
      </c>
      <c r="P242" s="663" t="s">
        <v>1581</v>
      </c>
      <c r="Q242" s="663">
        <v>4</v>
      </c>
      <c r="R242" s="690">
        <v>0</v>
      </c>
      <c r="S242" s="687" t="s">
        <v>1582</v>
      </c>
      <c r="T242" s="663" t="s">
        <v>1583</v>
      </c>
      <c r="U242" s="683" t="s">
        <v>63</v>
      </c>
      <c r="V242" s="690">
        <v>2010</v>
      </c>
      <c r="W242" s="687">
        <v>2010</v>
      </c>
      <c r="X242" s="686">
        <v>47</v>
      </c>
      <c r="Y242" s="687" t="s">
        <v>1585</v>
      </c>
      <c r="Z242" s="663" t="s">
        <v>1585</v>
      </c>
      <c r="AA242" s="663" t="s">
        <v>1585</v>
      </c>
      <c r="AB242" s="663" t="s">
        <v>1596</v>
      </c>
      <c r="AC242" s="663" t="s">
        <v>1585</v>
      </c>
      <c r="AD242" s="663" t="s">
        <v>1587</v>
      </c>
      <c r="AE242" s="663" t="s">
        <v>1596</v>
      </c>
      <c r="AF242" s="663" t="s">
        <v>1596</v>
      </c>
      <c r="AG242" s="663" t="s">
        <v>1596</v>
      </c>
      <c r="AH242" s="663" t="s">
        <v>1585</v>
      </c>
      <c r="AI242" s="688">
        <v>61.199999999999996</v>
      </c>
      <c r="AJ242" s="689" t="s">
        <v>1588</v>
      </c>
      <c r="AK242" s="690"/>
    </row>
    <row r="243" spans="1:37" s="653" customFormat="1">
      <c r="A243" s="655">
        <v>2024</v>
      </c>
      <c r="B243" s="656" t="str">
        <f>INDEX('①基本情報 '!$C$2:$C$255,MATCH('②建物情報 '!E243,'①基本情報 '!$E$2:$E$255,0),1)</f>
        <v>126</v>
      </c>
      <c r="C243" s="657" t="str">
        <f>INDEX('①基本情報 '!$B$2:$B$255,MATCH('②建物情報 '!E243,'①基本情報 '!$E$2:$E$255,0),1)</f>
        <v>1031</v>
      </c>
      <c r="D243" s="658" t="s">
        <v>2418</v>
      </c>
      <c r="E243" s="612" t="s">
        <v>907</v>
      </c>
      <c r="F243" s="597" t="str">
        <f>INDEX('①基本情報 '!$G$2:$G$255,MATCH('②建物情報 '!E243,'①基本情報 '!$E$2:$E$255,0),1)</f>
        <v>教育委員会教育総務部、学校教育部、生涯学習部</v>
      </c>
      <c r="G243" s="678" t="s">
        <v>1601</v>
      </c>
      <c r="H243" s="612" t="s">
        <v>1642</v>
      </c>
      <c r="I243" s="663">
        <v>1970</v>
      </c>
      <c r="J243" s="663">
        <v>7</v>
      </c>
      <c r="K243" s="663">
        <f t="shared" si="3"/>
        <v>54</v>
      </c>
      <c r="L243" s="694">
        <v>640</v>
      </c>
      <c r="M243" s="704">
        <v>663</v>
      </c>
      <c r="N243" s="704">
        <v>663</v>
      </c>
      <c r="O243" s="681" t="s">
        <v>1812</v>
      </c>
      <c r="P243" s="663" t="s">
        <v>1581</v>
      </c>
      <c r="Q243" s="663">
        <v>2</v>
      </c>
      <c r="R243" s="690">
        <v>0</v>
      </c>
      <c r="S243" s="687" t="s">
        <v>1582</v>
      </c>
      <c r="T243" s="663" t="s">
        <v>1583</v>
      </c>
      <c r="U243" s="683" t="s">
        <v>63</v>
      </c>
      <c r="V243" s="690">
        <v>2008</v>
      </c>
      <c r="W243" s="687">
        <v>2020</v>
      </c>
      <c r="X243" s="686">
        <v>47</v>
      </c>
      <c r="Y243" s="687" t="s">
        <v>1585</v>
      </c>
      <c r="Z243" s="663" t="s">
        <v>1587</v>
      </c>
      <c r="AA243" s="663" t="s">
        <v>1587</v>
      </c>
      <c r="AB243" s="663" t="s">
        <v>1596</v>
      </c>
      <c r="AC243" s="663" t="s">
        <v>1587</v>
      </c>
      <c r="AD243" s="663" t="s">
        <v>825</v>
      </c>
      <c r="AE243" s="663" t="s">
        <v>1596</v>
      </c>
      <c r="AF243" s="663" t="s">
        <v>1586</v>
      </c>
      <c r="AG243" s="663" t="s">
        <v>1586</v>
      </c>
      <c r="AH243" s="663" t="s">
        <v>1585</v>
      </c>
      <c r="AI243" s="688">
        <v>62.127659574468083</v>
      </c>
      <c r="AJ243" s="689" t="s">
        <v>1588</v>
      </c>
      <c r="AK243" s="690"/>
    </row>
    <row r="244" spans="1:37" s="653" customFormat="1">
      <c r="A244" s="655">
        <v>2024</v>
      </c>
      <c r="B244" s="656" t="str">
        <f>INDEX('①基本情報 '!$C$2:$C$255,MATCH('②建物情報 '!E244,'①基本情報 '!$E$2:$E$255,0),1)</f>
        <v>126</v>
      </c>
      <c r="C244" s="657" t="str">
        <f>INDEX('①基本情報 '!$B$2:$B$255,MATCH('②建物情報 '!E244,'①基本情報 '!$E$2:$E$255,0),1)</f>
        <v>1031</v>
      </c>
      <c r="D244" s="658" t="s">
        <v>2418</v>
      </c>
      <c r="E244" s="612" t="s">
        <v>907</v>
      </c>
      <c r="F244" s="597" t="str">
        <f>INDEX('①基本情報 '!$G$2:$G$255,MATCH('②建物情報 '!E244,'①基本情報 '!$E$2:$E$255,0),1)</f>
        <v>教育委員会教育総務部、学校教育部、生涯学習部</v>
      </c>
      <c r="G244" s="678" t="s">
        <v>1620</v>
      </c>
      <c r="H244" s="612" t="s">
        <v>1656</v>
      </c>
      <c r="I244" s="663">
        <v>1985</v>
      </c>
      <c r="J244" s="663">
        <v>3</v>
      </c>
      <c r="K244" s="663">
        <f t="shared" si="3"/>
        <v>39</v>
      </c>
      <c r="L244" s="694">
        <v>202</v>
      </c>
      <c r="M244" s="704">
        <v>202</v>
      </c>
      <c r="N244" s="704">
        <v>202</v>
      </c>
      <c r="O244" s="681" t="s">
        <v>1812</v>
      </c>
      <c r="P244" s="663" t="s">
        <v>1603</v>
      </c>
      <c r="Q244" s="663">
        <v>1</v>
      </c>
      <c r="R244" s="690">
        <v>0</v>
      </c>
      <c r="S244" s="682" t="s">
        <v>1593</v>
      </c>
      <c r="T244" s="683" t="s">
        <v>825</v>
      </c>
      <c r="U244" s="683" t="s">
        <v>1846</v>
      </c>
      <c r="V244" s="690"/>
      <c r="W244" s="687">
        <v>2020</v>
      </c>
      <c r="X244" s="702">
        <v>34</v>
      </c>
      <c r="Y244" s="687" t="s">
        <v>1585</v>
      </c>
      <c r="Z244" s="663" t="s">
        <v>1587</v>
      </c>
      <c r="AA244" s="663" t="s">
        <v>1587</v>
      </c>
      <c r="AB244" s="663" t="s">
        <v>1596</v>
      </c>
      <c r="AC244" s="663" t="s">
        <v>1587</v>
      </c>
      <c r="AD244" s="663" t="s">
        <v>1586</v>
      </c>
      <c r="AE244" s="663" t="s">
        <v>1596</v>
      </c>
      <c r="AF244" s="663" t="s">
        <v>1586</v>
      </c>
      <c r="AG244" s="663" t="s">
        <v>1587</v>
      </c>
      <c r="AH244" s="663" t="s">
        <v>1596</v>
      </c>
      <c r="AI244" s="688">
        <v>49.6</v>
      </c>
      <c r="AJ244" s="689" t="s">
        <v>1588</v>
      </c>
      <c r="AK244" s="690"/>
    </row>
    <row r="245" spans="1:37" s="653" customFormat="1">
      <c r="A245" s="655">
        <v>2024</v>
      </c>
      <c r="B245" s="656" t="str">
        <f>INDEX('①基本情報 '!$C$2:$C$255,MATCH('②建物情報 '!E245,'①基本情報 '!$E$2:$E$255,0),1)</f>
        <v>126</v>
      </c>
      <c r="C245" s="657" t="str">
        <f>INDEX('①基本情報 '!$B$2:$B$255,MATCH('②建物情報 '!E245,'①基本情報 '!$E$2:$E$255,0),1)</f>
        <v>1031</v>
      </c>
      <c r="D245" s="658" t="s">
        <v>2418</v>
      </c>
      <c r="E245" s="612" t="s">
        <v>907</v>
      </c>
      <c r="F245" s="597" t="str">
        <f>INDEX('①基本情報 '!$G$2:$G$255,MATCH('②建物情報 '!E245,'①基本情報 '!$E$2:$E$255,0),1)</f>
        <v>教育委員会教育総務部、学校教育部、生涯学習部</v>
      </c>
      <c r="G245" s="678" t="s">
        <v>1643</v>
      </c>
      <c r="H245" s="612" t="s">
        <v>1644</v>
      </c>
      <c r="I245" s="663">
        <v>2008</v>
      </c>
      <c r="J245" s="663">
        <v>9</v>
      </c>
      <c r="K245" s="663">
        <f t="shared" si="3"/>
        <v>16</v>
      </c>
      <c r="L245" s="694">
        <v>17</v>
      </c>
      <c r="M245" s="704">
        <v>69</v>
      </c>
      <c r="N245" s="704">
        <v>69</v>
      </c>
      <c r="O245" s="681" t="s">
        <v>1812</v>
      </c>
      <c r="P245" s="663" t="s">
        <v>1603</v>
      </c>
      <c r="Q245" s="663">
        <v>4</v>
      </c>
      <c r="R245" s="690">
        <v>0</v>
      </c>
      <c r="S245" s="687" t="s">
        <v>1593</v>
      </c>
      <c r="T245" s="683" t="s">
        <v>825</v>
      </c>
      <c r="U245" s="683" t="s">
        <v>1846</v>
      </c>
      <c r="V245" s="690"/>
      <c r="W245" s="687">
        <v>2020</v>
      </c>
      <c r="X245" s="702">
        <v>34</v>
      </c>
      <c r="Y245" s="687" t="s">
        <v>1587</v>
      </c>
      <c r="Z245" s="663" t="s">
        <v>1587</v>
      </c>
      <c r="AA245" s="663" t="s">
        <v>1587</v>
      </c>
      <c r="AB245" s="663" t="s">
        <v>1596</v>
      </c>
      <c r="AC245" s="663" t="s">
        <v>1585</v>
      </c>
      <c r="AD245" s="663" t="s">
        <v>825</v>
      </c>
      <c r="AE245" s="663" t="s">
        <v>825</v>
      </c>
      <c r="AF245" s="663" t="s">
        <v>825</v>
      </c>
      <c r="AG245" s="663" t="s">
        <v>825</v>
      </c>
      <c r="AH245" s="663" t="s">
        <v>1596</v>
      </c>
      <c r="AI245" s="688">
        <v>34.666666666666671</v>
      </c>
      <c r="AJ245" s="689" t="s">
        <v>1588</v>
      </c>
      <c r="AK245" s="690"/>
    </row>
    <row r="246" spans="1:37" s="653" customFormat="1">
      <c r="A246" s="655">
        <v>2024</v>
      </c>
      <c r="B246" s="656" t="str">
        <f>INDEX('①基本情報 '!$C$2:$C$255,MATCH('②建物情報 '!E246,'①基本情報 '!$E$2:$E$255,0),1)</f>
        <v>127</v>
      </c>
      <c r="C246" s="657" t="str">
        <f>INDEX('①基本情報 '!$B$2:$B$255,MATCH('②建物情報 '!E246,'①基本情報 '!$E$2:$E$255,0),1)</f>
        <v>1032</v>
      </c>
      <c r="D246" s="658" t="s">
        <v>2418</v>
      </c>
      <c r="E246" s="612" t="s">
        <v>912</v>
      </c>
      <c r="F246" s="597" t="str">
        <f>INDEX('①基本情報 '!$G$2:$G$255,MATCH('②建物情報 '!E246,'①基本情報 '!$E$2:$E$255,0),1)</f>
        <v>教育委員会教育総務部、学校教育部、生涯学習部</v>
      </c>
      <c r="G246" s="678" t="s">
        <v>1580</v>
      </c>
      <c r="H246" s="612" t="s">
        <v>1638</v>
      </c>
      <c r="I246" s="663">
        <v>1973</v>
      </c>
      <c r="J246" s="663">
        <v>3</v>
      </c>
      <c r="K246" s="663">
        <f t="shared" si="3"/>
        <v>51</v>
      </c>
      <c r="L246" s="694">
        <v>550</v>
      </c>
      <c r="M246" s="704">
        <v>2351</v>
      </c>
      <c r="N246" s="704">
        <v>2351</v>
      </c>
      <c r="O246" s="681" t="s">
        <v>1594</v>
      </c>
      <c r="P246" s="663" t="s">
        <v>1581</v>
      </c>
      <c r="Q246" s="663">
        <v>5</v>
      </c>
      <c r="R246" s="690">
        <v>0</v>
      </c>
      <c r="S246" s="687" t="s">
        <v>1582</v>
      </c>
      <c r="T246" s="663" t="s">
        <v>1583</v>
      </c>
      <c r="U246" s="683" t="s">
        <v>63</v>
      </c>
      <c r="V246" s="690">
        <v>2009</v>
      </c>
      <c r="W246" s="687">
        <v>2009</v>
      </c>
      <c r="X246" s="686">
        <v>47</v>
      </c>
      <c r="Y246" s="687" t="s">
        <v>1585</v>
      </c>
      <c r="Z246" s="663" t="s">
        <v>1585</v>
      </c>
      <c r="AA246" s="663" t="s">
        <v>1586</v>
      </c>
      <c r="AB246" s="663" t="s">
        <v>1585</v>
      </c>
      <c r="AC246" s="663" t="s">
        <v>1585</v>
      </c>
      <c r="AD246" s="663" t="s">
        <v>1587</v>
      </c>
      <c r="AE246" s="663" t="s">
        <v>1596</v>
      </c>
      <c r="AF246" s="663" t="s">
        <v>1585</v>
      </c>
      <c r="AG246" s="663" t="s">
        <v>1596</v>
      </c>
      <c r="AH246" s="663" t="s">
        <v>1585</v>
      </c>
      <c r="AI246" s="688">
        <v>64.400000000000006</v>
      </c>
      <c r="AJ246" s="689" t="s">
        <v>1588</v>
      </c>
      <c r="AK246" s="690"/>
    </row>
    <row r="247" spans="1:37" s="653" customFormat="1">
      <c r="A247" s="655">
        <v>2024</v>
      </c>
      <c r="B247" s="656" t="str">
        <f>INDEX('①基本情報 '!$C$2:$C$255,MATCH('②建物情報 '!E247,'①基本情報 '!$E$2:$E$255,0),1)</f>
        <v>127</v>
      </c>
      <c r="C247" s="657" t="str">
        <f>INDEX('①基本情報 '!$B$2:$B$255,MATCH('②建物情報 '!E247,'①基本情報 '!$E$2:$E$255,0),1)</f>
        <v>1032</v>
      </c>
      <c r="D247" s="658" t="s">
        <v>2418</v>
      </c>
      <c r="E247" s="612" t="s">
        <v>912</v>
      </c>
      <c r="F247" s="597" t="str">
        <f>INDEX('①基本情報 '!$G$2:$G$255,MATCH('②建物情報 '!E247,'①基本情報 '!$E$2:$E$255,0),1)</f>
        <v>教育委員会教育総務部、学校教育部、生涯学習部</v>
      </c>
      <c r="G247" s="678" t="s">
        <v>1589</v>
      </c>
      <c r="H247" s="612" t="s">
        <v>1639</v>
      </c>
      <c r="I247" s="663">
        <v>1973</v>
      </c>
      <c r="J247" s="663">
        <v>5</v>
      </c>
      <c r="K247" s="663">
        <f t="shared" si="3"/>
        <v>51</v>
      </c>
      <c r="L247" s="694">
        <v>720</v>
      </c>
      <c r="M247" s="704">
        <v>3019</v>
      </c>
      <c r="N247" s="704">
        <v>3019</v>
      </c>
      <c r="O247" s="681" t="s">
        <v>1594</v>
      </c>
      <c r="P247" s="663" t="s">
        <v>1581</v>
      </c>
      <c r="Q247" s="663">
        <v>5</v>
      </c>
      <c r="R247" s="690">
        <v>0</v>
      </c>
      <c r="S247" s="687" t="s">
        <v>1582</v>
      </c>
      <c r="T247" s="663" t="s">
        <v>1583</v>
      </c>
      <c r="U247" s="683" t="s">
        <v>63</v>
      </c>
      <c r="V247" s="690">
        <v>2011</v>
      </c>
      <c r="W247" s="687">
        <v>2011</v>
      </c>
      <c r="X247" s="686">
        <v>47</v>
      </c>
      <c r="Y247" s="687" t="s">
        <v>1585</v>
      </c>
      <c r="Z247" s="663" t="s">
        <v>1586</v>
      </c>
      <c r="AA247" s="663" t="s">
        <v>1585</v>
      </c>
      <c r="AB247" s="663" t="s">
        <v>1585</v>
      </c>
      <c r="AC247" s="663" t="s">
        <v>1585</v>
      </c>
      <c r="AD247" s="663" t="s">
        <v>1596</v>
      </c>
      <c r="AE247" s="663" t="s">
        <v>1596</v>
      </c>
      <c r="AF247" s="663" t="s">
        <v>1596</v>
      </c>
      <c r="AG247" s="663" t="s">
        <v>1596</v>
      </c>
      <c r="AH247" s="663" t="s">
        <v>1585</v>
      </c>
      <c r="AI247" s="688">
        <v>66.399999999999991</v>
      </c>
      <c r="AJ247" s="689" t="s">
        <v>1588</v>
      </c>
      <c r="AK247" s="690"/>
    </row>
    <row r="248" spans="1:37" s="653" customFormat="1">
      <c r="A248" s="655">
        <v>2024</v>
      </c>
      <c r="B248" s="656" t="str">
        <f>INDEX('①基本情報 '!$C$2:$C$255,MATCH('②建物情報 '!E248,'①基本情報 '!$E$2:$E$255,0),1)</f>
        <v>127</v>
      </c>
      <c r="C248" s="657" t="str">
        <f>INDEX('①基本情報 '!$B$2:$B$255,MATCH('②建物情報 '!E248,'①基本情報 '!$E$2:$E$255,0),1)</f>
        <v>1032</v>
      </c>
      <c r="D248" s="658" t="s">
        <v>2418</v>
      </c>
      <c r="E248" s="612" t="s">
        <v>912</v>
      </c>
      <c r="F248" s="597" t="str">
        <f>INDEX('①基本情報 '!$G$2:$G$255,MATCH('②建物情報 '!E248,'①基本情報 '!$E$2:$E$255,0),1)</f>
        <v>教育委員会教育総務部、学校教育部、生涯学習部</v>
      </c>
      <c r="G248" s="678" t="s">
        <v>1591</v>
      </c>
      <c r="H248" s="612" t="s">
        <v>1649</v>
      </c>
      <c r="I248" s="663">
        <v>1973</v>
      </c>
      <c r="J248" s="663">
        <v>5</v>
      </c>
      <c r="K248" s="663">
        <f t="shared" si="3"/>
        <v>51</v>
      </c>
      <c r="L248" s="694">
        <v>960</v>
      </c>
      <c r="M248" s="704">
        <v>2073</v>
      </c>
      <c r="N248" s="704">
        <v>2073</v>
      </c>
      <c r="O248" s="681" t="s">
        <v>1812</v>
      </c>
      <c r="P248" s="663" t="s">
        <v>1581</v>
      </c>
      <c r="Q248" s="663">
        <v>3</v>
      </c>
      <c r="R248" s="690">
        <v>0</v>
      </c>
      <c r="S248" s="687" t="s">
        <v>1582</v>
      </c>
      <c r="T248" s="663" t="s">
        <v>1583</v>
      </c>
      <c r="U248" s="683" t="s">
        <v>63</v>
      </c>
      <c r="V248" s="690">
        <v>2011</v>
      </c>
      <c r="W248" s="687">
        <v>2011</v>
      </c>
      <c r="X248" s="686">
        <v>47</v>
      </c>
      <c r="Y248" s="687" t="s">
        <v>1585</v>
      </c>
      <c r="Z248" s="663" t="s">
        <v>1585</v>
      </c>
      <c r="AA248" s="663" t="s">
        <v>1585</v>
      </c>
      <c r="AB248" s="663" t="s">
        <v>1585</v>
      </c>
      <c r="AC248" s="663" t="s">
        <v>1585</v>
      </c>
      <c r="AD248" s="663" t="s">
        <v>1596</v>
      </c>
      <c r="AE248" s="663" t="s">
        <v>825</v>
      </c>
      <c r="AF248" s="663" t="s">
        <v>1596</v>
      </c>
      <c r="AG248" s="663" t="s">
        <v>1596</v>
      </c>
      <c r="AH248" s="663" t="s">
        <v>1585</v>
      </c>
      <c r="AI248" s="688">
        <v>65.454545454545453</v>
      </c>
      <c r="AJ248" s="689" t="s">
        <v>1588</v>
      </c>
      <c r="AK248" s="690"/>
    </row>
    <row r="249" spans="1:37" s="653" customFormat="1">
      <c r="A249" s="655">
        <v>2024</v>
      </c>
      <c r="B249" s="656" t="str">
        <f>INDEX('①基本情報 '!$C$2:$C$255,MATCH('②建物情報 '!E249,'①基本情報 '!$E$2:$E$255,0),1)</f>
        <v>127</v>
      </c>
      <c r="C249" s="657" t="str">
        <f>INDEX('①基本情報 '!$B$2:$B$255,MATCH('②建物情報 '!E249,'①基本情報 '!$E$2:$E$255,0),1)</f>
        <v>1032</v>
      </c>
      <c r="D249" s="658" t="s">
        <v>2418</v>
      </c>
      <c r="E249" s="612" t="s">
        <v>912</v>
      </c>
      <c r="F249" s="597" t="str">
        <f>INDEX('①基本情報 '!$G$2:$G$255,MATCH('②建物情報 '!E249,'①基本情報 '!$E$2:$E$255,0),1)</f>
        <v>教育委員会教育総務部、学校教育部、生涯学習部</v>
      </c>
      <c r="G249" s="678" t="s">
        <v>1601</v>
      </c>
      <c r="H249" s="612" t="s">
        <v>1644</v>
      </c>
      <c r="I249" s="663">
        <v>2008</v>
      </c>
      <c r="J249" s="663">
        <v>10</v>
      </c>
      <c r="K249" s="663">
        <f t="shared" si="3"/>
        <v>16</v>
      </c>
      <c r="L249" s="694">
        <v>13</v>
      </c>
      <c r="M249" s="704">
        <v>50</v>
      </c>
      <c r="N249" s="704">
        <v>50</v>
      </c>
      <c r="O249" s="681" t="s">
        <v>1812</v>
      </c>
      <c r="P249" s="663" t="s">
        <v>1603</v>
      </c>
      <c r="Q249" s="663">
        <v>4</v>
      </c>
      <c r="R249" s="690">
        <v>0</v>
      </c>
      <c r="S249" s="687" t="s">
        <v>1593</v>
      </c>
      <c r="T249" s="683" t="s">
        <v>825</v>
      </c>
      <c r="U249" s="683" t="s">
        <v>1846</v>
      </c>
      <c r="V249" s="690"/>
      <c r="W249" s="687"/>
      <c r="X249" s="702">
        <v>34</v>
      </c>
      <c r="Y249" s="687" t="s">
        <v>1587</v>
      </c>
      <c r="Z249" s="663" t="s">
        <v>1585</v>
      </c>
      <c r="AA249" s="663" t="s">
        <v>1586</v>
      </c>
      <c r="AB249" s="663" t="s">
        <v>1585</v>
      </c>
      <c r="AC249" s="663" t="s">
        <v>1585</v>
      </c>
      <c r="AD249" s="663" t="s">
        <v>825</v>
      </c>
      <c r="AE249" s="663" t="s">
        <v>825</v>
      </c>
      <c r="AF249" s="663" t="s">
        <v>825</v>
      </c>
      <c r="AG249" s="663" t="s">
        <v>825</v>
      </c>
      <c r="AH249" s="663" t="s">
        <v>1585</v>
      </c>
      <c r="AI249" s="688">
        <v>56.000000000000007</v>
      </c>
      <c r="AJ249" s="689" t="s">
        <v>1588</v>
      </c>
      <c r="AK249" s="690"/>
    </row>
    <row r="250" spans="1:37" s="653" customFormat="1">
      <c r="A250" s="655">
        <v>2024</v>
      </c>
      <c r="B250" s="656" t="str">
        <f>INDEX('①基本情報 '!$C$2:$C$255,MATCH('②建物情報 '!E250,'①基本情報 '!$E$2:$E$255,0),1)</f>
        <v>127</v>
      </c>
      <c r="C250" s="657" t="str">
        <f>INDEX('①基本情報 '!$B$2:$B$255,MATCH('②建物情報 '!E250,'①基本情報 '!$E$2:$E$255,0),1)</f>
        <v>1032</v>
      </c>
      <c r="D250" s="658" t="s">
        <v>2418</v>
      </c>
      <c r="E250" s="612" t="s">
        <v>912</v>
      </c>
      <c r="F250" s="597" t="str">
        <f>INDEX('①基本情報 '!$G$2:$G$255,MATCH('②建物情報 '!E250,'①基本情報 '!$E$2:$E$255,0),1)</f>
        <v>教育委員会教育総務部、学校教育部、生涯学習部</v>
      </c>
      <c r="G250" s="678" t="s">
        <v>1620</v>
      </c>
      <c r="H250" s="612" t="s">
        <v>1653</v>
      </c>
      <c r="I250" s="663">
        <v>2014</v>
      </c>
      <c r="J250" s="663">
        <v>10</v>
      </c>
      <c r="K250" s="663">
        <f t="shared" si="3"/>
        <v>10</v>
      </c>
      <c r="L250" s="694"/>
      <c r="M250" s="704">
        <v>70</v>
      </c>
      <c r="N250" s="704">
        <v>70</v>
      </c>
      <c r="O250" s="681" t="s">
        <v>1812</v>
      </c>
      <c r="P250" s="663" t="s">
        <v>1603</v>
      </c>
      <c r="Q250" s="663">
        <v>1</v>
      </c>
      <c r="R250" s="690">
        <v>0</v>
      </c>
      <c r="S250" s="687" t="s">
        <v>1593</v>
      </c>
      <c r="T250" s="683" t="s">
        <v>825</v>
      </c>
      <c r="U250" s="683" t="s">
        <v>1846</v>
      </c>
      <c r="V250" s="690"/>
      <c r="W250" s="687"/>
      <c r="X250" s="702">
        <v>31</v>
      </c>
      <c r="Y250" s="687" t="s">
        <v>1587</v>
      </c>
      <c r="Z250" s="663" t="s">
        <v>1596</v>
      </c>
      <c r="AA250" s="663" t="s">
        <v>1585</v>
      </c>
      <c r="AB250" s="663" t="s">
        <v>1585</v>
      </c>
      <c r="AC250" s="663" t="s">
        <v>1596</v>
      </c>
      <c r="AD250" s="663" t="s">
        <v>825</v>
      </c>
      <c r="AE250" s="663" t="s">
        <v>825</v>
      </c>
      <c r="AF250" s="663" t="s">
        <v>1596</v>
      </c>
      <c r="AG250" s="663" t="s">
        <v>1596</v>
      </c>
      <c r="AH250" s="663" t="s">
        <v>1596</v>
      </c>
      <c r="AI250" s="688">
        <v>39.512195121951223</v>
      </c>
      <c r="AJ250" s="689" t="s">
        <v>1588</v>
      </c>
      <c r="AK250" s="690"/>
    </row>
    <row r="251" spans="1:37" s="653" customFormat="1">
      <c r="A251" s="655">
        <v>2024</v>
      </c>
      <c r="B251" s="656" t="str">
        <f>INDEX('①基本情報 '!$C$2:$C$255,MATCH('②建物情報 '!E251,'①基本情報 '!$E$2:$E$255,0),1)</f>
        <v>127</v>
      </c>
      <c r="C251" s="657" t="str">
        <f>INDEX('①基本情報 '!$B$2:$B$255,MATCH('②建物情報 '!E251,'①基本情報 '!$E$2:$E$255,0),1)</f>
        <v>1032</v>
      </c>
      <c r="D251" s="658" t="s">
        <v>2418</v>
      </c>
      <c r="E251" s="612" t="s">
        <v>912</v>
      </c>
      <c r="F251" s="597" t="str">
        <f>INDEX('①基本情報 '!$G$2:$G$255,MATCH('②建物情報 '!E251,'①基本情報 '!$E$2:$E$255,0),1)</f>
        <v>教育委員会教育総務部、学校教育部、生涯学習部</v>
      </c>
      <c r="G251" s="678" t="s">
        <v>1643</v>
      </c>
      <c r="H251" s="612" t="s">
        <v>1612</v>
      </c>
      <c r="I251" s="663">
        <v>2014</v>
      </c>
      <c r="J251" s="663">
        <v>10</v>
      </c>
      <c r="K251" s="663">
        <f t="shared" si="3"/>
        <v>10</v>
      </c>
      <c r="L251" s="694"/>
      <c r="M251" s="704">
        <v>76</v>
      </c>
      <c r="N251" s="704">
        <v>76</v>
      </c>
      <c r="O251" s="681" t="s">
        <v>1812</v>
      </c>
      <c r="P251" s="663" t="s">
        <v>1603</v>
      </c>
      <c r="Q251" s="663">
        <v>1</v>
      </c>
      <c r="R251" s="690">
        <v>0</v>
      </c>
      <c r="S251" s="687" t="s">
        <v>1593</v>
      </c>
      <c r="T251" s="683" t="s">
        <v>825</v>
      </c>
      <c r="U251" s="683" t="s">
        <v>1846</v>
      </c>
      <c r="V251" s="690"/>
      <c r="W251" s="687"/>
      <c r="X251" s="702">
        <v>31</v>
      </c>
      <c r="Y251" s="687" t="s">
        <v>1587</v>
      </c>
      <c r="Z251" s="663" t="s">
        <v>1596</v>
      </c>
      <c r="AA251" s="663" t="s">
        <v>1585</v>
      </c>
      <c r="AB251" s="663" t="s">
        <v>1585</v>
      </c>
      <c r="AC251" s="663" t="s">
        <v>1596</v>
      </c>
      <c r="AD251" s="663" t="s">
        <v>825</v>
      </c>
      <c r="AE251" s="663" t="s">
        <v>825</v>
      </c>
      <c r="AF251" s="663" t="s">
        <v>1596</v>
      </c>
      <c r="AG251" s="663" t="s">
        <v>825</v>
      </c>
      <c r="AH251" s="663" t="s">
        <v>1596</v>
      </c>
      <c r="AI251" s="688">
        <v>40.571428571428569</v>
      </c>
      <c r="AJ251" s="689" t="s">
        <v>1588</v>
      </c>
      <c r="AK251" s="690"/>
    </row>
    <row r="252" spans="1:37" s="653" customFormat="1">
      <c r="A252" s="655">
        <v>2024</v>
      </c>
      <c r="B252" s="656" t="str">
        <f>INDEX('①基本情報 '!$C$2:$C$255,MATCH('②建物情報 '!E252,'①基本情報 '!$E$2:$E$255,0),1)</f>
        <v>128</v>
      </c>
      <c r="C252" s="657" t="str">
        <f>INDEX('①基本情報 '!$B$2:$B$255,MATCH('②建物情報 '!E252,'①基本情報 '!$E$2:$E$255,0),1)</f>
        <v>1033</v>
      </c>
      <c r="D252" s="658" t="s">
        <v>2418</v>
      </c>
      <c r="E252" s="612" t="s">
        <v>917</v>
      </c>
      <c r="F252" s="597" t="str">
        <f>INDEX('①基本情報 '!$G$2:$G$255,MATCH('②建物情報 '!E252,'①基本情報 '!$E$2:$E$255,0),1)</f>
        <v>教育委員会教育総務部、学校教育部、生涯学習部</v>
      </c>
      <c r="G252" s="678" t="s">
        <v>1580</v>
      </c>
      <c r="H252" s="612" t="s">
        <v>1638</v>
      </c>
      <c r="I252" s="663">
        <v>1974</v>
      </c>
      <c r="J252" s="663">
        <v>8</v>
      </c>
      <c r="K252" s="663">
        <f t="shared" si="3"/>
        <v>50</v>
      </c>
      <c r="L252" s="694">
        <v>549</v>
      </c>
      <c r="M252" s="704">
        <v>2354</v>
      </c>
      <c r="N252" s="704">
        <v>2354</v>
      </c>
      <c r="O252" s="681" t="s">
        <v>1812</v>
      </c>
      <c r="P252" s="663" t="s">
        <v>1581</v>
      </c>
      <c r="Q252" s="663">
        <v>5</v>
      </c>
      <c r="R252" s="690">
        <v>0</v>
      </c>
      <c r="S252" s="687" t="s">
        <v>1582</v>
      </c>
      <c r="T252" s="663" t="s">
        <v>1583</v>
      </c>
      <c r="U252" s="683" t="s">
        <v>63</v>
      </c>
      <c r="V252" s="690">
        <v>2010</v>
      </c>
      <c r="W252" s="687">
        <v>2010</v>
      </c>
      <c r="X252" s="686">
        <v>47</v>
      </c>
      <c r="Y252" s="687" t="s">
        <v>1585</v>
      </c>
      <c r="Z252" s="663" t="s">
        <v>1585</v>
      </c>
      <c r="AA252" s="663" t="s">
        <v>1585</v>
      </c>
      <c r="AB252" s="663" t="s">
        <v>1585</v>
      </c>
      <c r="AC252" s="663" t="s">
        <v>1585</v>
      </c>
      <c r="AD252" s="663" t="s">
        <v>1587</v>
      </c>
      <c r="AE252" s="663" t="s">
        <v>1585</v>
      </c>
      <c r="AF252" s="663" t="s">
        <v>1596</v>
      </c>
      <c r="AG252" s="663" t="s">
        <v>1596</v>
      </c>
      <c r="AH252" s="663" t="s">
        <v>1586</v>
      </c>
      <c r="AI252" s="688">
        <v>70</v>
      </c>
      <c r="AJ252" s="689" t="s">
        <v>1588</v>
      </c>
      <c r="AK252" s="690"/>
    </row>
    <row r="253" spans="1:37" s="653" customFormat="1">
      <c r="A253" s="655">
        <v>2024</v>
      </c>
      <c r="B253" s="656" t="str">
        <f>INDEX('①基本情報 '!$C$2:$C$255,MATCH('②建物情報 '!E253,'①基本情報 '!$E$2:$E$255,0),1)</f>
        <v>128</v>
      </c>
      <c r="C253" s="657" t="str">
        <f>INDEX('①基本情報 '!$B$2:$B$255,MATCH('②建物情報 '!E253,'①基本情報 '!$E$2:$E$255,0),1)</f>
        <v>1033</v>
      </c>
      <c r="D253" s="658" t="s">
        <v>2418</v>
      </c>
      <c r="E253" s="612" t="s">
        <v>917</v>
      </c>
      <c r="F253" s="597" t="str">
        <f>INDEX('①基本情報 '!$G$2:$G$255,MATCH('②建物情報 '!E253,'①基本情報 '!$E$2:$E$255,0),1)</f>
        <v>教育委員会教育総務部、学校教育部、生涯学習部</v>
      </c>
      <c r="G253" s="678" t="s">
        <v>1589</v>
      </c>
      <c r="H253" s="612" t="s">
        <v>1639</v>
      </c>
      <c r="I253" s="663">
        <v>1974</v>
      </c>
      <c r="J253" s="663">
        <v>8</v>
      </c>
      <c r="K253" s="663">
        <f t="shared" si="3"/>
        <v>50</v>
      </c>
      <c r="L253" s="694">
        <v>645</v>
      </c>
      <c r="M253" s="704">
        <v>2761</v>
      </c>
      <c r="N253" s="704">
        <v>2761</v>
      </c>
      <c r="O253" s="681" t="s">
        <v>1812</v>
      </c>
      <c r="P253" s="663" t="s">
        <v>1581</v>
      </c>
      <c r="Q253" s="663">
        <v>5</v>
      </c>
      <c r="R253" s="690">
        <v>0</v>
      </c>
      <c r="S253" s="687" t="s">
        <v>1582</v>
      </c>
      <c r="T253" s="663" t="s">
        <v>1583</v>
      </c>
      <c r="U253" s="683" t="s">
        <v>63</v>
      </c>
      <c r="V253" s="690">
        <v>2011</v>
      </c>
      <c r="W253" s="687">
        <v>2011</v>
      </c>
      <c r="X253" s="686">
        <v>47</v>
      </c>
      <c r="Y253" s="687" t="s">
        <v>1585</v>
      </c>
      <c r="Z253" s="663" t="s">
        <v>1585</v>
      </c>
      <c r="AA253" s="663" t="s">
        <v>1585</v>
      </c>
      <c r="AB253" s="663" t="s">
        <v>1585</v>
      </c>
      <c r="AC253" s="663" t="s">
        <v>1585</v>
      </c>
      <c r="AD253" s="663" t="s">
        <v>1587</v>
      </c>
      <c r="AE253" s="663" t="s">
        <v>1585</v>
      </c>
      <c r="AF253" s="663" t="s">
        <v>1596</v>
      </c>
      <c r="AG253" s="663" t="s">
        <v>1596</v>
      </c>
      <c r="AH253" s="663" t="s">
        <v>1585</v>
      </c>
      <c r="AI253" s="688">
        <v>69.199999999999989</v>
      </c>
      <c r="AJ253" s="689" t="s">
        <v>1588</v>
      </c>
      <c r="AK253" s="690"/>
    </row>
    <row r="254" spans="1:37" s="653" customFormat="1">
      <c r="A254" s="655">
        <v>2024</v>
      </c>
      <c r="B254" s="656" t="str">
        <f>INDEX('①基本情報 '!$C$2:$C$255,MATCH('②建物情報 '!E254,'①基本情報 '!$E$2:$E$255,0),1)</f>
        <v>128</v>
      </c>
      <c r="C254" s="657" t="str">
        <f>INDEX('①基本情報 '!$B$2:$B$255,MATCH('②建物情報 '!E254,'①基本情報 '!$E$2:$E$255,0),1)</f>
        <v>1033</v>
      </c>
      <c r="D254" s="658" t="s">
        <v>2418</v>
      </c>
      <c r="E254" s="612" t="s">
        <v>917</v>
      </c>
      <c r="F254" s="597" t="str">
        <f>INDEX('①基本情報 '!$G$2:$G$255,MATCH('②建物情報 '!E254,'①基本情報 '!$E$2:$E$255,0),1)</f>
        <v>教育委員会教育総務部、学校教育部、生涯学習部</v>
      </c>
      <c r="G254" s="678" t="s">
        <v>1591</v>
      </c>
      <c r="H254" s="612" t="s">
        <v>1642</v>
      </c>
      <c r="I254" s="663">
        <v>1974</v>
      </c>
      <c r="J254" s="663">
        <v>8</v>
      </c>
      <c r="K254" s="663">
        <f t="shared" si="3"/>
        <v>50</v>
      </c>
      <c r="L254" s="694">
        <v>955</v>
      </c>
      <c r="M254" s="704">
        <v>2050</v>
      </c>
      <c r="N254" s="704">
        <v>2050</v>
      </c>
      <c r="O254" s="681" t="s">
        <v>1812</v>
      </c>
      <c r="P254" s="663" t="s">
        <v>1581</v>
      </c>
      <c r="Q254" s="663">
        <v>3</v>
      </c>
      <c r="R254" s="690">
        <v>0</v>
      </c>
      <c r="S254" s="687" t="s">
        <v>1582</v>
      </c>
      <c r="T254" s="663" t="s">
        <v>1583</v>
      </c>
      <c r="U254" s="683" t="s">
        <v>63</v>
      </c>
      <c r="V254" s="690">
        <v>2010</v>
      </c>
      <c r="W254" s="687">
        <v>2010</v>
      </c>
      <c r="X254" s="686">
        <v>47</v>
      </c>
      <c r="Y254" s="687" t="s">
        <v>1585</v>
      </c>
      <c r="Z254" s="663" t="s">
        <v>1585</v>
      </c>
      <c r="AA254" s="663" t="s">
        <v>1585</v>
      </c>
      <c r="AB254" s="663" t="s">
        <v>1585</v>
      </c>
      <c r="AC254" s="663" t="s">
        <v>1585</v>
      </c>
      <c r="AD254" s="663" t="s">
        <v>1587</v>
      </c>
      <c r="AE254" s="663" t="s">
        <v>825</v>
      </c>
      <c r="AF254" s="663" t="s">
        <v>1596</v>
      </c>
      <c r="AG254" s="663" t="s">
        <v>1596</v>
      </c>
      <c r="AH254" s="663" t="s">
        <v>1585</v>
      </c>
      <c r="AI254" s="688">
        <v>68.636363636363626</v>
      </c>
      <c r="AJ254" s="689" t="s">
        <v>1588</v>
      </c>
      <c r="AK254" s="690"/>
    </row>
    <row r="255" spans="1:37" s="653" customFormat="1">
      <c r="A255" s="655">
        <v>2024</v>
      </c>
      <c r="B255" s="656" t="str">
        <f>INDEX('①基本情報 '!$C$2:$C$255,MATCH('②建物情報 '!E255,'①基本情報 '!$E$2:$E$255,0),1)</f>
        <v>128</v>
      </c>
      <c r="C255" s="657" t="str">
        <f>INDEX('①基本情報 '!$B$2:$B$255,MATCH('②建物情報 '!E255,'①基本情報 '!$E$2:$E$255,0),1)</f>
        <v>1033</v>
      </c>
      <c r="D255" s="658" t="s">
        <v>2418</v>
      </c>
      <c r="E255" s="612" t="s">
        <v>917</v>
      </c>
      <c r="F255" s="597" t="str">
        <f>INDEX('①基本情報 '!$G$2:$G$255,MATCH('②建物情報 '!E255,'①基本情報 '!$E$2:$E$255,0),1)</f>
        <v>教育委員会教育総務部、学校教育部、生涯学習部</v>
      </c>
      <c r="G255" s="678" t="s">
        <v>1601</v>
      </c>
      <c r="H255" s="612" t="s">
        <v>1640</v>
      </c>
      <c r="I255" s="663">
        <v>1975</v>
      </c>
      <c r="J255" s="663">
        <v>5</v>
      </c>
      <c r="K255" s="663">
        <f t="shared" si="3"/>
        <v>49</v>
      </c>
      <c r="L255" s="694">
        <v>172</v>
      </c>
      <c r="M255" s="704">
        <v>688</v>
      </c>
      <c r="N255" s="704">
        <v>688</v>
      </c>
      <c r="O255" s="681" t="s">
        <v>1813</v>
      </c>
      <c r="P255" s="663" t="s">
        <v>1581</v>
      </c>
      <c r="Q255" s="663">
        <v>4</v>
      </c>
      <c r="R255" s="690">
        <v>0</v>
      </c>
      <c r="S255" s="687" t="s">
        <v>1582</v>
      </c>
      <c r="T255" s="663" t="s">
        <v>1583</v>
      </c>
      <c r="U255" s="683" t="s">
        <v>63</v>
      </c>
      <c r="V255" s="690">
        <v>2011</v>
      </c>
      <c r="W255" s="687">
        <v>2011</v>
      </c>
      <c r="X255" s="686">
        <v>47</v>
      </c>
      <c r="Y255" s="687" t="s">
        <v>1585</v>
      </c>
      <c r="Z255" s="663" t="s">
        <v>1585</v>
      </c>
      <c r="AA255" s="663" t="s">
        <v>1585</v>
      </c>
      <c r="AB255" s="663" t="s">
        <v>1585</v>
      </c>
      <c r="AC255" s="663" t="s">
        <v>1585</v>
      </c>
      <c r="AD255" s="663" t="s">
        <v>1587</v>
      </c>
      <c r="AE255" s="663" t="s">
        <v>1585</v>
      </c>
      <c r="AF255" s="663" t="s">
        <v>1596</v>
      </c>
      <c r="AG255" s="663" t="s">
        <v>1596</v>
      </c>
      <c r="AH255" s="663" t="s">
        <v>1585</v>
      </c>
      <c r="AI255" s="688">
        <v>68.8</v>
      </c>
      <c r="AJ255" s="689" t="s">
        <v>1588</v>
      </c>
      <c r="AK255" s="690"/>
    </row>
    <row r="256" spans="1:37" s="653" customFormat="1">
      <c r="A256" s="655">
        <v>2024</v>
      </c>
      <c r="B256" s="656" t="str">
        <f>INDEX('①基本情報 '!$C$2:$C$255,MATCH('②建物情報 '!E256,'①基本情報 '!$E$2:$E$255,0),1)</f>
        <v>128</v>
      </c>
      <c r="C256" s="657" t="str">
        <f>INDEX('①基本情報 '!$B$2:$B$255,MATCH('②建物情報 '!E256,'①基本情報 '!$E$2:$E$255,0),1)</f>
        <v>1033</v>
      </c>
      <c r="D256" s="658" t="s">
        <v>2418</v>
      </c>
      <c r="E256" s="612" t="s">
        <v>917</v>
      </c>
      <c r="F256" s="597" t="str">
        <f>INDEX('①基本情報 '!$G$2:$G$255,MATCH('②建物情報 '!E256,'①基本情報 '!$E$2:$E$255,0),1)</f>
        <v>教育委員会教育総務部、学校教育部、生涯学習部</v>
      </c>
      <c r="G256" s="678" t="s">
        <v>1620</v>
      </c>
      <c r="H256" s="612" t="s">
        <v>1644</v>
      </c>
      <c r="I256" s="663">
        <v>2003</v>
      </c>
      <c r="J256" s="663">
        <v>8</v>
      </c>
      <c r="K256" s="663">
        <f t="shared" si="3"/>
        <v>21</v>
      </c>
      <c r="L256" s="694">
        <v>14</v>
      </c>
      <c r="M256" s="704">
        <v>54</v>
      </c>
      <c r="N256" s="704">
        <v>54</v>
      </c>
      <c r="O256" s="681" t="s">
        <v>1812</v>
      </c>
      <c r="P256" s="663" t="s">
        <v>1603</v>
      </c>
      <c r="Q256" s="663">
        <v>4</v>
      </c>
      <c r="R256" s="690">
        <v>0</v>
      </c>
      <c r="S256" s="687" t="s">
        <v>1593</v>
      </c>
      <c r="T256" s="683" t="s">
        <v>825</v>
      </c>
      <c r="U256" s="683" t="s">
        <v>1846</v>
      </c>
      <c r="V256" s="690"/>
      <c r="W256" s="687"/>
      <c r="X256" s="702">
        <v>34</v>
      </c>
      <c r="Y256" s="687" t="s">
        <v>1587</v>
      </c>
      <c r="Z256" s="663" t="s">
        <v>1586</v>
      </c>
      <c r="AA256" s="663" t="s">
        <v>1585</v>
      </c>
      <c r="AB256" s="663" t="s">
        <v>1585</v>
      </c>
      <c r="AC256" s="663" t="s">
        <v>1585</v>
      </c>
      <c r="AD256" s="663" t="s">
        <v>825</v>
      </c>
      <c r="AE256" s="663" t="s">
        <v>825</v>
      </c>
      <c r="AF256" s="663" t="s">
        <v>825</v>
      </c>
      <c r="AG256" s="663" t="s">
        <v>825</v>
      </c>
      <c r="AH256" s="663" t="s">
        <v>1585</v>
      </c>
      <c r="AI256" s="688">
        <v>63.333333333333329</v>
      </c>
      <c r="AJ256" s="689" t="s">
        <v>1588</v>
      </c>
      <c r="AK256" s="690"/>
    </row>
    <row r="257" spans="1:37" s="653" customFormat="1">
      <c r="A257" s="655">
        <v>2024</v>
      </c>
      <c r="B257" s="656" t="str">
        <f>INDEX('①基本情報 '!$C$2:$C$255,MATCH('②建物情報 '!E257,'①基本情報 '!$E$2:$E$255,0),1)</f>
        <v>128</v>
      </c>
      <c r="C257" s="657" t="str">
        <f>INDEX('①基本情報 '!$B$2:$B$255,MATCH('②建物情報 '!E257,'①基本情報 '!$E$2:$E$255,0),1)</f>
        <v>1033</v>
      </c>
      <c r="D257" s="658" t="s">
        <v>2418</v>
      </c>
      <c r="E257" s="612" t="s">
        <v>917</v>
      </c>
      <c r="F257" s="597" t="str">
        <f>INDEX('①基本情報 '!$G$2:$G$255,MATCH('②建物情報 '!E257,'①基本情報 '!$E$2:$E$255,0),1)</f>
        <v>教育委員会教育総務部、学校教育部、生涯学習部</v>
      </c>
      <c r="G257" s="678" t="s">
        <v>1643</v>
      </c>
      <c r="H257" s="612" t="s">
        <v>1612</v>
      </c>
      <c r="I257" s="663">
        <v>1974</v>
      </c>
      <c r="J257" s="663">
        <v>6</v>
      </c>
      <c r="K257" s="663">
        <f t="shared" si="3"/>
        <v>50</v>
      </c>
      <c r="L257" s="694"/>
      <c r="M257" s="704">
        <v>25</v>
      </c>
      <c r="N257" s="704">
        <v>25</v>
      </c>
      <c r="O257" s="681" t="s">
        <v>1812</v>
      </c>
      <c r="P257" s="663" t="s">
        <v>1603</v>
      </c>
      <c r="Q257" s="663">
        <v>1</v>
      </c>
      <c r="R257" s="690">
        <v>0</v>
      </c>
      <c r="S257" s="687" t="s">
        <v>1582</v>
      </c>
      <c r="T257" s="683"/>
      <c r="U257" s="683" t="s">
        <v>1965</v>
      </c>
      <c r="V257" s="690"/>
      <c r="W257" s="687"/>
      <c r="X257" s="702">
        <v>31</v>
      </c>
      <c r="Y257" s="687" t="s">
        <v>1585</v>
      </c>
      <c r="Z257" s="663" t="s">
        <v>1585</v>
      </c>
      <c r="AA257" s="663" t="s">
        <v>1585</v>
      </c>
      <c r="AB257" s="663" t="s">
        <v>1585</v>
      </c>
      <c r="AC257" s="663" t="s">
        <v>1585</v>
      </c>
      <c r="AD257" s="663" t="s">
        <v>825</v>
      </c>
      <c r="AE257" s="663" t="s">
        <v>825</v>
      </c>
      <c r="AF257" s="663" t="s">
        <v>1596</v>
      </c>
      <c r="AG257" s="663" t="s">
        <v>825</v>
      </c>
      <c r="AH257" s="663" t="s">
        <v>1586</v>
      </c>
      <c r="AI257" s="688">
        <v>74.857142857142861</v>
      </c>
      <c r="AJ257" s="689" t="s">
        <v>1588</v>
      </c>
      <c r="AK257" s="690"/>
    </row>
    <row r="258" spans="1:37" s="653" customFormat="1">
      <c r="A258" s="655">
        <v>2024</v>
      </c>
      <c r="B258" s="656" t="str">
        <f>INDEX('①基本情報 '!$C$2:$C$255,MATCH('②建物情報 '!E258,'①基本情報 '!$E$2:$E$255,0),1)</f>
        <v>128</v>
      </c>
      <c r="C258" s="657" t="str">
        <f>INDEX('①基本情報 '!$B$2:$B$255,MATCH('②建物情報 '!E258,'①基本情報 '!$E$2:$E$255,0),1)</f>
        <v>1033</v>
      </c>
      <c r="D258" s="658" t="s">
        <v>2418</v>
      </c>
      <c r="E258" s="612" t="s">
        <v>917</v>
      </c>
      <c r="F258" s="597" t="str">
        <f>INDEX('①基本情報 '!$G$2:$G$255,MATCH('②建物情報 '!E258,'①基本情報 '!$E$2:$E$255,0),1)</f>
        <v>教育委員会教育総務部、学校教育部、生涯学習部</v>
      </c>
      <c r="G258" s="678" t="s">
        <v>1645</v>
      </c>
      <c r="H258" s="612" t="s">
        <v>1653</v>
      </c>
      <c r="I258" s="663">
        <v>1974</v>
      </c>
      <c r="J258" s="663">
        <v>6</v>
      </c>
      <c r="K258" s="663">
        <f t="shared" si="3"/>
        <v>50</v>
      </c>
      <c r="L258" s="694"/>
      <c r="M258" s="704">
        <v>86</v>
      </c>
      <c r="N258" s="704">
        <v>86</v>
      </c>
      <c r="O258" s="681" t="s">
        <v>1812</v>
      </c>
      <c r="P258" s="663" t="s">
        <v>1603</v>
      </c>
      <c r="Q258" s="663">
        <v>1</v>
      </c>
      <c r="R258" s="690">
        <v>0</v>
      </c>
      <c r="S258" s="687" t="s">
        <v>1582</v>
      </c>
      <c r="T258" s="683"/>
      <c r="U258" s="683" t="s">
        <v>1965</v>
      </c>
      <c r="V258" s="690"/>
      <c r="W258" s="687"/>
      <c r="X258" s="702">
        <v>31</v>
      </c>
      <c r="Y258" s="687" t="s">
        <v>1585</v>
      </c>
      <c r="Z258" s="663" t="s">
        <v>1585</v>
      </c>
      <c r="AA258" s="663" t="s">
        <v>1585</v>
      </c>
      <c r="AB258" s="663" t="s">
        <v>1585</v>
      </c>
      <c r="AC258" s="663" t="s">
        <v>1585</v>
      </c>
      <c r="AD258" s="663" t="s">
        <v>825</v>
      </c>
      <c r="AE258" s="663" t="s">
        <v>825</v>
      </c>
      <c r="AF258" s="663" t="s">
        <v>1596</v>
      </c>
      <c r="AG258" s="663" t="s">
        <v>1596</v>
      </c>
      <c r="AH258" s="663" t="s">
        <v>1586</v>
      </c>
      <c r="AI258" s="688">
        <v>70.243902439024382</v>
      </c>
      <c r="AJ258" s="689" t="s">
        <v>1588</v>
      </c>
      <c r="AK258" s="690"/>
    </row>
    <row r="259" spans="1:37" s="653" customFormat="1">
      <c r="A259" s="655">
        <v>2024</v>
      </c>
      <c r="B259" s="656" t="str">
        <f>INDEX('①基本情報 '!$C$2:$C$255,MATCH('②建物情報 '!E259,'①基本情報 '!$E$2:$E$255,0),1)</f>
        <v>128</v>
      </c>
      <c r="C259" s="657" t="str">
        <f>INDEX('①基本情報 '!$B$2:$B$255,MATCH('②建物情報 '!E259,'①基本情報 '!$E$2:$E$255,0),1)</f>
        <v>1033</v>
      </c>
      <c r="D259" s="658" t="s">
        <v>2418</v>
      </c>
      <c r="E259" s="612" t="s">
        <v>917</v>
      </c>
      <c r="F259" s="597" t="str">
        <f>INDEX('①基本情報 '!$G$2:$G$255,MATCH('②建物情報 '!E259,'①基本情報 '!$E$2:$E$255,0),1)</f>
        <v>教育委員会教育総務部、学校教育部、生涯学習部</v>
      </c>
      <c r="G259" s="678" t="s">
        <v>1646</v>
      </c>
      <c r="H259" s="612" t="s">
        <v>1613</v>
      </c>
      <c r="I259" s="663">
        <v>1974</v>
      </c>
      <c r="J259" s="663">
        <v>6</v>
      </c>
      <c r="K259" s="663">
        <f t="shared" si="3"/>
        <v>50</v>
      </c>
      <c r="L259" s="694"/>
      <c r="M259" s="704">
        <v>23</v>
      </c>
      <c r="N259" s="704">
        <v>23</v>
      </c>
      <c r="O259" s="681" t="s">
        <v>1812</v>
      </c>
      <c r="P259" s="663" t="s">
        <v>1603</v>
      </c>
      <c r="Q259" s="663">
        <v>1</v>
      </c>
      <c r="R259" s="690">
        <v>0</v>
      </c>
      <c r="S259" s="687" t="s">
        <v>1582</v>
      </c>
      <c r="T259" s="683"/>
      <c r="U259" s="683" t="s">
        <v>1965</v>
      </c>
      <c r="V259" s="690"/>
      <c r="W259" s="687"/>
      <c r="X259" s="702">
        <v>31</v>
      </c>
      <c r="Y259" s="687" t="s">
        <v>1585</v>
      </c>
      <c r="Z259" s="663" t="s">
        <v>1585</v>
      </c>
      <c r="AA259" s="663" t="s">
        <v>1585</v>
      </c>
      <c r="AB259" s="663" t="s">
        <v>1585</v>
      </c>
      <c r="AC259" s="663" t="s">
        <v>1585</v>
      </c>
      <c r="AD259" s="663" t="s">
        <v>825</v>
      </c>
      <c r="AE259" s="663" t="s">
        <v>825</v>
      </c>
      <c r="AF259" s="663" t="s">
        <v>825</v>
      </c>
      <c r="AG259" s="663" t="s">
        <v>825</v>
      </c>
      <c r="AH259" s="663" t="s">
        <v>1586</v>
      </c>
      <c r="AI259" s="688">
        <v>78.666666666666657</v>
      </c>
      <c r="AJ259" s="689" t="s">
        <v>1588</v>
      </c>
      <c r="AK259" s="690"/>
    </row>
    <row r="260" spans="1:37" s="653" customFormat="1">
      <c r="A260" s="655">
        <v>2024</v>
      </c>
      <c r="B260" s="656" t="str">
        <f>INDEX('①基本情報 '!$C$2:$C$255,MATCH('②建物情報 '!E260,'①基本情報 '!$E$2:$E$255,0),1)</f>
        <v>129</v>
      </c>
      <c r="C260" s="657" t="str">
        <f>INDEX('①基本情報 '!$B$2:$B$255,MATCH('②建物情報 '!E260,'①基本情報 '!$E$2:$E$255,0),1)</f>
        <v>1034</v>
      </c>
      <c r="D260" s="658" t="s">
        <v>2418</v>
      </c>
      <c r="E260" s="612" t="s">
        <v>922</v>
      </c>
      <c r="F260" s="597" t="str">
        <f>INDEX('①基本情報 '!$G$2:$G$255,MATCH('②建物情報 '!E260,'①基本情報 '!$E$2:$E$255,0),1)</f>
        <v>教育委員会教育総務部、学校教育部、生涯学習部</v>
      </c>
      <c r="G260" s="678" t="s">
        <v>1580</v>
      </c>
      <c r="H260" s="612" t="s">
        <v>1638</v>
      </c>
      <c r="I260" s="663">
        <v>1974</v>
      </c>
      <c r="J260" s="663">
        <v>3</v>
      </c>
      <c r="K260" s="663">
        <f t="shared" si="3"/>
        <v>50</v>
      </c>
      <c r="L260" s="694">
        <v>715</v>
      </c>
      <c r="M260" s="704">
        <v>3017</v>
      </c>
      <c r="N260" s="704">
        <v>3017</v>
      </c>
      <c r="O260" s="681" t="s">
        <v>1813</v>
      </c>
      <c r="P260" s="663" t="s">
        <v>1581</v>
      </c>
      <c r="Q260" s="663">
        <v>5</v>
      </c>
      <c r="R260" s="690">
        <v>0</v>
      </c>
      <c r="S260" s="687" t="s">
        <v>1582</v>
      </c>
      <c r="T260" s="663" t="s">
        <v>1583</v>
      </c>
      <c r="U260" s="683" t="s">
        <v>63</v>
      </c>
      <c r="V260" s="690">
        <v>1998</v>
      </c>
      <c r="W260" s="687">
        <v>2023</v>
      </c>
      <c r="X260" s="686">
        <v>47</v>
      </c>
      <c r="Y260" s="687" t="s">
        <v>1585</v>
      </c>
      <c r="Z260" s="663" t="s">
        <v>1587</v>
      </c>
      <c r="AA260" s="663" t="s">
        <v>1587</v>
      </c>
      <c r="AB260" s="663" t="s">
        <v>1586</v>
      </c>
      <c r="AC260" s="663" t="s">
        <v>1586</v>
      </c>
      <c r="AD260" s="663" t="s">
        <v>1596</v>
      </c>
      <c r="AE260" s="663" t="s">
        <v>1587</v>
      </c>
      <c r="AF260" s="663" t="s">
        <v>1587</v>
      </c>
      <c r="AG260" s="663" t="s">
        <v>1587</v>
      </c>
      <c r="AH260" s="663" t="s">
        <v>1596</v>
      </c>
      <c r="AI260" s="688">
        <v>43.999999999999993</v>
      </c>
      <c r="AJ260" s="689" t="s">
        <v>1588</v>
      </c>
      <c r="AK260" s="690"/>
    </row>
    <row r="261" spans="1:37" s="653" customFormat="1">
      <c r="A261" s="655">
        <v>2024</v>
      </c>
      <c r="B261" s="656" t="str">
        <f>INDEX('①基本情報 '!$C$2:$C$255,MATCH('②建物情報 '!E261,'①基本情報 '!$E$2:$E$255,0),1)</f>
        <v>129</v>
      </c>
      <c r="C261" s="657" t="str">
        <f>INDEX('①基本情報 '!$B$2:$B$255,MATCH('②建物情報 '!E261,'①基本情報 '!$E$2:$E$255,0),1)</f>
        <v>1034</v>
      </c>
      <c r="D261" s="658" t="s">
        <v>2418</v>
      </c>
      <c r="E261" s="612" t="s">
        <v>922</v>
      </c>
      <c r="F261" s="597" t="str">
        <f>INDEX('①基本情報 '!$G$2:$G$255,MATCH('②建物情報 '!E261,'①基本情報 '!$E$2:$E$255,0),1)</f>
        <v>教育委員会教育総務部、学校教育部、生涯学習部</v>
      </c>
      <c r="G261" s="678" t="s">
        <v>1589</v>
      </c>
      <c r="H261" s="612" t="s">
        <v>1639</v>
      </c>
      <c r="I261" s="663">
        <v>1975</v>
      </c>
      <c r="J261" s="663">
        <v>5</v>
      </c>
      <c r="K261" s="663">
        <f t="shared" si="3"/>
        <v>49</v>
      </c>
      <c r="L261" s="694">
        <v>518</v>
      </c>
      <c r="M261" s="704">
        <v>2218</v>
      </c>
      <c r="N261" s="704">
        <v>2218</v>
      </c>
      <c r="O261" s="681" t="s">
        <v>1812</v>
      </c>
      <c r="P261" s="663" t="s">
        <v>1581</v>
      </c>
      <c r="Q261" s="663">
        <v>5</v>
      </c>
      <c r="R261" s="690">
        <v>0</v>
      </c>
      <c r="S261" s="687" t="s">
        <v>1582</v>
      </c>
      <c r="T261" s="663" t="s">
        <v>1583</v>
      </c>
      <c r="U261" s="683" t="s">
        <v>63</v>
      </c>
      <c r="V261" s="690">
        <v>1998</v>
      </c>
      <c r="W261" s="687">
        <v>1998</v>
      </c>
      <c r="X261" s="686">
        <v>47</v>
      </c>
      <c r="Y261" s="687" t="s">
        <v>1585</v>
      </c>
      <c r="Z261" s="663" t="s">
        <v>1586</v>
      </c>
      <c r="AA261" s="663" t="s">
        <v>1586</v>
      </c>
      <c r="AB261" s="663" t="s">
        <v>1586</v>
      </c>
      <c r="AC261" s="663" t="s">
        <v>1586</v>
      </c>
      <c r="AD261" s="663" t="s">
        <v>1587</v>
      </c>
      <c r="AE261" s="663" t="s">
        <v>1587</v>
      </c>
      <c r="AF261" s="663" t="s">
        <v>1586</v>
      </c>
      <c r="AG261" s="663" t="s">
        <v>1585</v>
      </c>
      <c r="AH261" s="663" t="s">
        <v>1586</v>
      </c>
      <c r="AI261" s="688">
        <v>76</v>
      </c>
      <c r="AJ261" s="689" t="s">
        <v>1588</v>
      </c>
      <c r="AK261" s="690"/>
    </row>
    <row r="262" spans="1:37" s="653" customFormat="1">
      <c r="A262" s="655">
        <v>2024</v>
      </c>
      <c r="B262" s="656" t="str">
        <f>INDEX('①基本情報 '!$C$2:$C$255,MATCH('②建物情報 '!E262,'①基本情報 '!$E$2:$E$255,0),1)</f>
        <v>129</v>
      </c>
      <c r="C262" s="657" t="str">
        <f>INDEX('①基本情報 '!$B$2:$B$255,MATCH('②建物情報 '!E262,'①基本情報 '!$E$2:$E$255,0),1)</f>
        <v>1034</v>
      </c>
      <c r="D262" s="658" t="s">
        <v>2418</v>
      </c>
      <c r="E262" s="612" t="s">
        <v>922</v>
      </c>
      <c r="F262" s="597" t="str">
        <f>INDEX('①基本情報 '!$G$2:$G$255,MATCH('②建物情報 '!E262,'①基本情報 '!$E$2:$E$255,0),1)</f>
        <v>教育委員会教育総務部、学校教育部、生涯学習部</v>
      </c>
      <c r="G262" s="678" t="s">
        <v>1591</v>
      </c>
      <c r="H262" s="612" t="s">
        <v>1642</v>
      </c>
      <c r="I262" s="663">
        <v>1974</v>
      </c>
      <c r="J262" s="663">
        <v>8</v>
      </c>
      <c r="K262" s="663">
        <f t="shared" si="3"/>
        <v>50</v>
      </c>
      <c r="L262" s="694">
        <v>955</v>
      </c>
      <c r="M262" s="704">
        <v>2040</v>
      </c>
      <c r="N262" s="704">
        <v>2040</v>
      </c>
      <c r="O262" s="681" t="s">
        <v>1812</v>
      </c>
      <c r="P262" s="663" t="s">
        <v>1581</v>
      </c>
      <c r="Q262" s="663">
        <v>3</v>
      </c>
      <c r="R262" s="690">
        <v>0</v>
      </c>
      <c r="S262" s="687" t="s">
        <v>1582</v>
      </c>
      <c r="T262" s="663" t="s">
        <v>1583</v>
      </c>
      <c r="U262" s="683" t="s">
        <v>63</v>
      </c>
      <c r="V262" s="690"/>
      <c r="W262" s="687">
        <v>1997</v>
      </c>
      <c r="X262" s="686">
        <v>47</v>
      </c>
      <c r="Y262" s="687" t="s">
        <v>1585</v>
      </c>
      <c r="Z262" s="663" t="s">
        <v>1586</v>
      </c>
      <c r="AA262" s="663" t="s">
        <v>1586</v>
      </c>
      <c r="AB262" s="663" t="s">
        <v>1586</v>
      </c>
      <c r="AC262" s="663" t="s">
        <v>1586</v>
      </c>
      <c r="AD262" s="663" t="s">
        <v>1585</v>
      </c>
      <c r="AE262" s="663" t="s">
        <v>1587</v>
      </c>
      <c r="AF262" s="663" t="s">
        <v>1586</v>
      </c>
      <c r="AG262" s="663" t="s">
        <v>1585</v>
      </c>
      <c r="AH262" s="663" t="s">
        <v>1586</v>
      </c>
      <c r="AI262" s="688">
        <v>80</v>
      </c>
      <c r="AJ262" s="689" t="s">
        <v>1588</v>
      </c>
      <c r="AK262" s="690"/>
    </row>
    <row r="263" spans="1:37" s="653" customFormat="1">
      <c r="A263" s="655">
        <v>2024</v>
      </c>
      <c r="B263" s="656" t="str">
        <f>INDEX('①基本情報 '!$C$2:$C$255,MATCH('②建物情報 '!E263,'①基本情報 '!$E$2:$E$255,0),1)</f>
        <v>129</v>
      </c>
      <c r="C263" s="657" t="str">
        <f>INDEX('①基本情報 '!$B$2:$B$255,MATCH('②建物情報 '!E263,'①基本情報 '!$E$2:$E$255,0),1)</f>
        <v>1034</v>
      </c>
      <c r="D263" s="658" t="s">
        <v>2418</v>
      </c>
      <c r="E263" s="612" t="s">
        <v>922</v>
      </c>
      <c r="F263" s="597" t="str">
        <f>INDEX('①基本情報 '!$G$2:$G$255,MATCH('②建物情報 '!E263,'①基本情報 '!$E$2:$E$255,0),1)</f>
        <v>教育委員会教育総務部、学校教育部、生涯学習部</v>
      </c>
      <c r="G263" s="678" t="s">
        <v>1601</v>
      </c>
      <c r="H263" s="612" t="s">
        <v>1644</v>
      </c>
      <c r="I263" s="663">
        <v>2010</v>
      </c>
      <c r="J263" s="663">
        <v>9</v>
      </c>
      <c r="K263" s="663">
        <f t="shared" si="3"/>
        <v>14</v>
      </c>
      <c r="L263" s="694">
        <v>42</v>
      </c>
      <c r="M263" s="704">
        <v>87</v>
      </c>
      <c r="N263" s="704">
        <v>87</v>
      </c>
      <c r="O263" s="681" t="s">
        <v>1812</v>
      </c>
      <c r="P263" s="663" t="s">
        <v>1603</v>
      </c>
      <c r="Q263" s="663">
        <v>4</v>
      </c>
      <c r="R263" s="690">
        <v>0</v>
      </c>
      <c r="S263" s="687" t="s">
        <v>1593</v>
      </c>
      <c r="T263" s="683" t="s">
        <v>825</v>
      </c>
      <c r="U263" s="683" t="s">
        <v>1846</v>
      </c>
      <c r="V263" s="690"/>
      <c r="W263" s="687">
        <v>2023</v>
      </c>
      <c r="X263" s="702">
        <v>34</v>
      </c>
      <c r="Y263" s="687" t="s">
        <v>1587</v>
      </c>
      <c r="Z263" s="663" t="s">
        <v>1587</v>
      </c>
      <c r="AA263" s="663" t="s">
        <v>1587</v>
      </c>
      <c r="AB263" s="663" t="s">
        <v>1586</v>
      </c>
      <c r="AC263" s="663" t="s">
        <v>1585</v>
      </c>
      <c r="AD263" s="663" t="s">
        <v>825</v>
      </c>
      <c r="AE263" s="663" t="s">
        <v>825</v>
      </c>
      <c r="AF263" s="663" t="s">
        <v>825</v>
      </c>
      <c r="AG263" s="663" t="s">
        <v>825</v>
      </c>
      <c r="AH263" s="663" t="s">
        <v>1596</v>
      </c>
      <c r="AI263" s="688">
        <v>40</v>
      </c>
      <c r="AJ263" s="689" t="s">
        <v>1588</v>
      </c>
      <c r="AK263" s="690"/>
    </row>
    <row r="264" spans="1:37" s="653" customFormat="1">
      <c r="A264" s="655">
        <v>2024</v>
      </c>
      <c r="B264" s="656" t="str">
        <f>INDEX('①基本情報 '!$C$2:$C$255,MATCH('②建物情報 '!E264,'①基本情報 '!$E$2:$E$255,0),1)</f>
        <v>129</v>
      </c>
      <c r="C264" s="657" t="str">
        <f>INDEX('①基本情報 '!$B$2:$B$255,MATCH('②建物情報 '!E264,'①基本情報 '!$E$2:$E$255,0),1)</f>
        <v>1034</v>
      </c>
      <c r="D264" s="658" t="s">
        <v>2418</v>
      </c>
      <c r="E264" s="612" t="s">
        <v>922</v>
      </c>
      <c r="F264" s="597" t="str">
        <f>INDEX('①基本情報 '!$G$2:$G$255,MATCH('②建物情報 '!E264,'①基本情報 '!$E$2:$E$255,0),1)</f>
        <v>教育委員会教育総務部、学校教育部、生涯学習部</v>
      </c>
      <c r="G264" s="678" t="s">
        <v>1620</v>
      </c>
      <c r="H264" s="612" t="s">
        <v>1653</v>
      </c>
      <c r="I264" s="663">
        <v>1974</v>
      </c>
      <c r="J264" s="663">
        <v>6</v>
      </c>
      <c r="K264" s="663">
        <f t="shared" ref="K264:K327" si="4">IF(I264&lt;&gt;"",A264-I264,99)</f>
        <v>50</v>
      </c>
      <c r="L264" s="694"/>
      <c r="M264" s="704">
        <v>144</v>
      </c>
      <c r="N264" s="704">
        <v>144</v>
      </c>
      <c r="O264" s="681" t="s">
        <v>1812</v>
      </c>
      <c r="P264" s="663" t="s">
        <v>1603</v>
      </c>
      <c r="Q264" s="663">
        <v>1</v>
      </c>
      <c r="R264" s="690">
        <v>0</v>
      </c>
      <c r="S264" s="687" t="s">
        <v>1582</v>
      </c>
      <c r="T264" s="683"/>
      <c r="U264" s="683" t="s">
        <v>1965</v>
      </c>
      <c r="V264" s="690"/>
      <c r="W264" s="687"/>
      <c r="X264" s="702">
        <v>31</v>
      </c>
      <c r="Y264" s="687" t="s">
        <v>1585</v>
      </c>
      <c r="Z264" s="663" t="s">
        <v>1596</v>
      </c>
      <c r="AA264" s="663" t="s">
        <v>1585</v>
      </c>
      <c r="AB264" s="663" t="s">
        <v>1586</v>
      </c>
      <c r="AC264" s="663" t="s">
        <v>1596</v>
      </c>
      <c r="AD264" s="663" t="s">
        <v>825</v>
      </c>
      <c r="AE264" s="663" t="s">
        <v>825</v>
      </c>
      <c r="AF264" s="663" t="s">
        <v>1596</v>
      </c>
      <c r="AG264" s="663" t="s">
        <v>1596</v>
      </c>
      <c r="AH264" s="663" t="s">
        <v>1585</v>
      </c>
      <c r="AI264" s="688">
        <v>63.414634146341463</v>
      </c>
      <c r="AJ264" s="689" t="s">
        <v>1588</v>
      </c>
      <c r="AK264" s="690"/>
    </row>
    <row r="265" spans="1:37" s="653" customFormat="1">
      <c r="A265" s="655">
        <v>2024</v>
      </c>
      <c r="B265" s="656" t="str">
        <f>INDEX('①基本情報 '!$C$2:$C$255,MATCH('②建物情報 '!E265,'①基本情報 '!$E$2:$E$255,0),1)</f>
        <v>129</v>
      </c>
      <c r="C265" s="657" t="str">
        <f>INDEX('①基本情報 '!$B$2:$B$255,MATCH('②建物情報 '!E265,'①基本情報 '!$E$2:$E$255,0),1)</f>
        <v>1034</v>
      </c>
      <c r="D265" s="658" t="s">
        <v>2418</v>
      </c>
      <c r="E265" s="612" t="s">
        <v>922</v>
      </c>
      <c r="F265" s="597" t="str">
        <f>INDEX('①基本情報 '!$G$2:$G$255,MATCH('②建物情報 '!E265,'①基本情報 '!$E$2:$E$255,0),1)</f>
        <v>教育委員会教育総務部、学校教育部、生涯学習部</v>
      </c>
      <c r="G265" s="678" t="s">
        <v>1643</v>
      </c>
      <c r="H265" s="612" t="s">
        <v>1612</v>
      </c>
      <c r="I265" s="663">
        <v>2014</v>
      </c>
      <c r="J265" s="663">
        <v>3</v>
      </c>
      <c r="K265" s="663">
        <f t="shared" si="4"/>
        <v>10</v>
      </c>
      <c r="L265" s="694"/>
      <c r="M265" s="704">
        <v>25</v>
      </c>
      <c r="N265" s="704">
        <v>25</v>
      </c>
      <c r="O265" s="681" t="s">
        <v>1812</v>
      </c>
      <c r="P265" s="663" t="s">
        <v>1603</v>
      </c>
      <c r="Q265" s="663">
        <v>1</v>
      </c>
      <c r="R265" s="690">
        <v>0</v>
      </c>
      <c r="S265" s="687" t="s">
        <v>1593</v>
      </c>
      <c r="T265" s="683" t="s">
        <v>825</v>
      </c>
      <c r="U265" s="683" t="s">
        <v>1846</v>
      </c>
      <c r="V265" s="690"/>
      <c r="W265" s="687"/>
      <c r="X265" s="702">
        <v>31</v>
      </c>
      <c r="Y265" s="687" t="s">
        <v>1587</v>
      </c>
      <c r="Z265" s="663" t="s">
        <v>1596</v>
      </c>
      <c r="AA265" s="663" t="s">
        <v>1585</v>
      </c>
      <c r="AB265" s="663" t="s">
        <v>1586</v>
      </c>
      <c r="AC265" s="663" t="s">
        <v>1596</v>
      </c>
      <c r="AD265" s="663" t="s">
        <v>825</v>
      </c>
      <c r="AE265" s="663" t="s">
        <v>825</v>
      </c>
      <c r="AF265" s="663" t="s">
        <v>1596</v>
      </c>
      <c r="AG265" s="663" t="s">
        <v>825</v>
      </c>
      <c r="AH265" s="663" t="s">
        <v>1596</v>
      </c>
      <c r="AI265" s="688">
        <v>45.714285714285715</v>
      </c>
      <c r="AJ265" s="689" t="s">
        <v>1588</v>
      </c>
      <c r="AK265" s="690"/>
    </row>
    <row r="266" spans="1:37" s="653" customFormat="1">
      <c r="A266" s="655">
        <v>2024</v>
      </c>
      <c r="B266" s="656" t="str">
        <f>INDEX('①基本情報 '!$C$2:$C$255,MATCH('②建物情報 '!E266,'①基本情報 '!$E$2:$E$255,0),1)</f>
        <v>130</v>
      </c>
      <c r="C266" s="657" t="str">
        <f>INDEX('①基本情報 '!$B$2:$B$255,MATCH('②建物情報 '!E266,'①基本情報 '!$E$2:$E$255,0),1)</f>
        <v>1035</v>
      </c>
      <c r="D266" s="658" t="s">
        <v>2418</v>
      </c>
      <c r="E266" s="612" t="s">
        <v>927</v>
      </c>
      <c r="F266" s="597" t="str">
        <f>INDEX('①基本情報 '!$G$2:$G$255,MATCH('②建物情報 '!E266,'①基本情報 '!$E$2:$E$255,0),1)</f>
        <v>教育委員会教育総務部、学校教育部、生涯学習部</v>
      </c>
      <c r="G266" s="678" t="s">
        <v>1580</v>
      </c>
      <c r="H266" s="612" t="s">
        <v>1638</v>
      </c>
      <c r="I266" s="663">
        <v>1976</v>
      </c>
      <c r="J266" s="663">
        <v>5</v>
      </c>
      <c r="K266" s="663">
        <f t="shared" si="4"/>
        <v>48</v>
      </c>
      <c r="L266" s="694">
        <v>770</v>
      </c>
      <c r="M266" s="704">
        <v>3229</v>
      </c>
      <c r="N266" s="704">
        <v>3229</v>
      </c>
      <c r="O266" s="681" t="s">
        <v>1812</v>
      </c>
      <c r="P266" s="663" t="s">
        <v>1581</v>
      </c>
      <c r="Q266" s="663">
        <v>5</v>
      </c>
      <c r="R266" s="690">
        <v>0</v>
      </c>
      <c r="S266" s="687" t="s">
        <v>1582</v>
      </c>
      <c r="T266" s="663" t="s">
        <v>1583</v>
      </c>
      <c r="U266" s="683" t="s">
        <v>63</v>
      </c>
      <c r="V266" s="690">
        <v>2000</v>
      </c>
      <c r="W266" s="687">
        <v>2000</v>
      </c>
      <c r="X266" s="686">
        <v>47</v>
      </c>
      <c r="Y266" s="687" t="s">
        <v>1585</v>
      </c>
      <c r="Z266" s="663" t="s">
        <v>1586</v>
      </c>
      <c r="AA266" s="663" t="s">
        <v>1586</v>
      </c>
      <c r="AB266" s="663" t="s">
        <v>1586</v>
      </c>
      <c r="AC266" s="663" t="s">
        <v>1586</v>
      </c>
      <c r="AD266" s="663" t="s">
        <v>1587</v>
      </c>
      <c r="AE266" s="663" t="s">
        <v>1585</v>
      </c>
      <c r="AF266" s="663" t="s">
        <v>1586</v>
      </c>
      <c r="AG266" s="663" t="s">
        <v>1585</v>
      </c>
      <c r="AH266" s="663" t="s">
        <v>1586</v>
      </c>
      <c r="AI266" s="688">
        <v>83.2</v>
      </c>
      <c r="AJ266" s="689" t="s">
        <v>1588</v>
      </c>
      <c r="AK266" s="690"/>
    </row>
    <row r="267" spans="1:37" s="653" customFormat="1">
      <c r="A267" s="655">
        <v>2024</v>
      </c>
      <c r="B267" s="656" t="str">
        <f>INDEX('①基本情報 '!$C$2:$C$255,MATCH('②建物情報 '!E267,'①基本情報 '!$E$2:$E$255,0),1)</f>
        <v>130</v>
      </c>
      <c r="C267" s="657" t="str">
        <f>INDEX('①基本情報 '!$B$2:$B$255,MATCH('②建物情報 '!E267,'①基本情報 '!$E$2:$E$255,0),1)</f>
        <v>1035</v>
      </c>
      <c r="D267" s="658" t="s">
        <v>2418</v>
      </c>
      <c r="E267" s="612" t="s">
        <v>927</v>
      </c>
      <c r="F267" s="597" t="str">
        <f>INDEX('①基本情報 '!$G$2:$G$255,MATCH('②建物情報 '!E267,'①基本情報 '!$E$2:$E$255,0),1)</f>
        <v>教育委員会教育総務部、学校教育部、生涯学習部</v>
      </c>
      <c r="G267" s="678" t="s">
        <v>1589</v>
      </c>
      <c r="H267" s="612" t="s">
        <v>1639</v>
      </c>
      <c r="I267" s="663">
        <v>1976</v>
      </c>
      <c r="J267" s="663">
        <v>5</v>
      </c>
      <c r="K267" s="663">
        <f t="shared" si="4"/>
        <v>48</v>
      </c>
      <c r="L267" s="694">
        <v>726</v>
      </c>
      <c r="M267" s="704">
        <v>3038</v>
      </c>
      <c r="N267" s="704">
        <v>3038</v>
      </c>
      <c r="O267" s="681" t="s">
        <v>1812</v>
      </c>
      <c r="P267" s="663" t="s">
        <v>1581</v>
      </c>
      <c r="Q267" s="663">
        <v>5</v>
      </c>
      <c r="R267" s="690">
        <v>0</v>
      </c>
      <c r="S267" s="687" t="s">
        <v>1582</v>
      </c>
      <c r="T267" s="663" t="s">
        <v>1583</v>
      </c>
      <c r="U267" s="683" t="s">
        <v>63</v>
      </c>
      <c r="V267" s="690">
        <v>2000</v>
      </c>
      <c r="W267" s="687">
        <v>2000</v>
      </c>
      <c r="X267" s="686">
        <v>47</v>
      </c>
      <c r="Y267" s="687" t="s">
        <v>1585</v>
      </c>
      <c r="Z267" s="663" t="s">
        <v>1586</v>
      </c>
      <c r="AA267" s="663" t="s">
        <v>1586</v>
      </c>
      <c r="AB267" s="663" t="s">
        <v>1586</v>
      </c>
      <c r="AC267" s="663" t="s">
        <v>1586</v>
      </c>
      <c r="AD267" s="663" t="s">
        <v>1587</v>
      </c>
      <c r="AE267" s="663" t="s">
        <v>1585</v>
      </c>
      <c r="AF267" s="663" t="s">
        <v>1586</v>
      </c>
      <c r="AG267" s="663" t="s">
        <v>1585</v>
      </c>
      <c r="AH267" s="663" t="s">
        <v>1586</v>
      </c>
      <c r="AI267" s="688">
        <v>84.399999999999991</v>
      </c>
      <c r="AJ267" s="689" t="s">
        <v>1588</v>
      </c>
      <c r="AK267" s="690"/>
    </row>
    <row r="268" spans="1:37" s="653" customFormat="1">
      <c r="A268" s="655">
        <v>2024</v>
      </c>
      <c r="B268" s="656" t="str">
        <f>INDEX('①基本情報 '!$C$2:$C$255,MATCH('②建物情報 '!E268,'①基本情報 '!$E$2:$E$255,0),1)</f>
        <v>130</v>
      </c>
      <c r="C268" s="657" t="str">
        <f>INDEX('①基本情報 '!$B$2:$B$255,MATCH('②建物情報 '!E268,'①基本情報 '!$E$2:$E$255,0),1)</f>
        <v>1035</v>
      </c>
      <c r="D268" s="658" t="s">
        <v>2418</v>
      </c>
      <c r="E268" s="612" t="s">
        <v>927</v>
      </c>
      <c r="F268" s="597" t="str">
        <f>INDEX('①基本情報 '!$G$2:$G$255,MATCH('②建物情報 '!E268,'①基本情報 '!$E$2:$E$255,0),1)</f>
        <v>教育委員会教育総務部、学校教育部、生涯学習部</v>
      </c>
      <c r="G268" s="678" t="s">
        <v>1591</v>
      </c>
      <c r="H268" s="612" t="s">
        <v>1642</v>
      </c>
      <c r="I268" s="663">
        <v>1976</v>
      </c>
      <c r="J268" s="663">
        <v>5</v>
      </c>
      <c r="K268" s="663">
        <f t="shared" si="4"/>
        <v>48</v>
      </c>
      <c r="L268" s="694">
        <v>968</v>
      </c>
      <c r="M268" s="704">
        <v>2114</v>
      </c>
      <c r="N268" s="704">
        <v>2114</v>
      </c>
      <c r="O268" s="681" t="s">
        <v>1812</v>
      </c>
      <c r="P268" s="663" t="s">
        <v>1581</v>
      </c>
      <c r="Q268" s="663">
        <v>3</v>
      </c>
      <c r="R268" s="690">
        <v>0</v>
      </c>
      <c r="S268" s="687" t="s">
        <v>1582</v>
      </c>
      <c r="T268" s="663" t="s">
        <v>1583</v>
      </c>
      <c r="U268" s="683" t="s">
        <v>63</v>
      </c>
      <c r="V268" s="690">
        <v>2001</v>
      </c>
      <c r="W268" s="687">
        <v>2001</v>
      </c>
      <c r="X268" s="686">
        <v>47</v>
      </c>
      <c r="Y268" s="687" t="s">
        <v>1585</v>
      </c>
      <c r="Z268" s="663" t="s">
        <v>1586</v>
      </c>
      <c r="AA268" s="663" t="s">
        <v>1586</v>
      </c>
      <c r="AB268" s="663" t="s">
        <v>1586</v>
      </c>
      <c r="AC268" s="663" t="s">
        <v>1586</v>
      </c>
      <c r="AD268" s="663" t="s">
        <v>1587</v>
      </c>
      <c r="AE268" s="663" t="s">
        <v>825</v>
      </c>
      <c r="AF268" s="663" t="s">
        <v>1585</v>
      </c>
      <c r="AG268" s="663" t="s">
        <v>1585</v>
      </c>
      <c r="AH268" s="663" t="s">
        <v>1586</v>
      </c>
      <c r="AI268" s="688">
        <v>81.36363636363636</v>
      </c>
      <c r="AJ268" s="689" t="s">
        <v>1588</v>
      </c>
      <c r="AK268" s="690"/>
    </row>
    <row r="269" spans="1:37" s="653" customFormat="1">
      <c r="A269" s="655">
        <v>2024</v>
      </c>
      <c r="B269" s="656" t="str">
        <f>INDEX('①基本情報 '!$C$2:$C$255,MATCH('②建物情報 '!E269,'①基本情報 '!$E$2:$E$255,0),1)</f>
        <v>130</v>
      </c>
      <c r="C269" s="657" t="str">
        <f>INDEX('①基本情報 '!$B$2:$B$255,MATCH('②建物情報 '!E269,'①基本情報 '!$E$2:$E$255,0),1)</f>
        <v>1035</v>
      </c>
      <c r="D269" s="658" t="s">
        <v>2418</v>
      </c>
      <c r="E269" s="612" t="s">
        <v>927</v>
      </c>
      <c r="F269" s="597" t="str">
        <f>INDEX('①基本情報 '!$G$2:$G$255,MATCH('②建物情報 '!E269,'①基本情報 '!$E$2:$E$255,0),1)</f>
        <v>教育委員会教育総務部、学校教育部、生涯学習部</v>
      </c>
      <c r="G269" s="678" t="s">
        <v>1601</v>
      </c>
      <c r="H269" s="612" t="s">
        <v>1644</v>
      </c>
      <c r="I269" s="663">
        <v>2006</v>
      </c>
      <c r="J269" s="663">
        <v>11</v>
      </c>
      <c r="K269" s="663">
        <f t="shared" si="4"/>
        <v>18</v>
      </c>
      <c r="L269" s="694">
        <v>17</v>
      </c>
      <c r="M269" s="704">
        <v>68</v>
      </c>
      <c r="N269" s="704">
        <v>68</v>
      </c>
      <c r="O269" s="681" t="s">
        <v>1812</v>
      </c>
      <c r="P269" s="663" t="s">
        <v>1603</v>
      </c>
      <c r="Q269" s="663">
        <v>4</v>
      </c>
      <c r="R269" s="690">
        <v>0</v>
      </c>
      <c r="S269" s="687" t="s">
        <v>1593</v>
      </c>
      <c r="T269" s="683" t="s">
        <v>825</v>
      </c>
      <c r="U269" s="683" t="s">
        <v>1846</v>
      </c>
      <c r="V269" s="690"/>
      <c r="W269" s="687"/>
      <c r="X269" s="702">
        <v>34</v>
      </c>
      <c r="Y269" s="687" t="s">
        <v>1587</v>
      </c>
      <c r="Z269" s="663" t="s">
        <v>1585</v>
      </c>
      <c r="AA269" s="663" t="s">
        <v>1586</v>
      </c>
      <c r="AB269" s="663" t="s">
        <v>1586</v>
      </c>
      <c r="AC269" s="663" t="s">
        <v>1585</v>
      </c>
      <c r="AD269" s="663" t="s">
        <v>825</v>
      </c>
      <c r="AE269" s="663" t="s">
        <v>825</v>
      </c>
      <c r="AF269" s="663" t="s">
        <v>825</v>
      </c>
      <c r="AG269" s="663" t="s">
        <v>825</v>
      </c>
      <c r="AH269" s="663" t="s">
        <v>1585</v>
      </c>
      <c r="AI269" s="688">
        <v>65.999999999999986</v>
      </c>
      <c r="AJ269" s="689" t="s">
        <v>1588</v>
      </c>
      <c r="AK269" s="690"/>
    </row>
    <row r="270" spans="1:37" s="653" customFormat="1">
      <c r="A270" s="655">
        <v>2024</v>
      </c>
      <c r="B270" s="656" t="str">
        <f>INDEX('①基本情報 '!$C$2:$C$255,MATCH('②建物情報 '!E270,'①基本情報 '!$E$2:$E$255,0),1)</f>
        <v>130</v>
      </c>
      <c r="C270" s="657" t="str">
        <f>INDEX('①基本情報 '!$B$2:$B$255,MATCH('②建物情報 '!E270,'①基本情報 '!$E$2:$E$255,0),1)</f>
        <v>1035</v>
      </c>
      <c r="D270" s="658" t="s">
        <v>2418</v>
      </c>
      <c r="E270" s="612" t="s">
        <v>927</v>
      </c>
      <c r="F270" s="597" t="str">
        <f>INDEX('①基本情報 '!$G$2:$G$255,MATCH('②建物情報 '!E270,'①基本情報 '!$E$2:$E$255,0),1)</f>
        <v>教育委員会教育総務部、学校教育部、生涯学習部</v>
      </c>
      <c r="G270" s="678" t="s">
        <v>1620</v>
      </c>
      <c r="H270" s="612" t="s">
        <v>1653</v>
      </c>
      <c r="I270" s="663">
        <v>1976</v>
      </c>
      <c r="J270" s="663">
        <v>7</v>
      </c>
      <c r="K270" s="663">
        <f t="shared" si="4"/>
        <v>48</v>
      </c>
      <c r="L270" s="694"/>
      <c r="M270" s="704">
        <v>150</v>
      </c>
      <c r="N270" s="704">
        <v>150</v>
      </c>
      <c r="O270" s="681" t="s">
        <v>1812</v>
      </c>
      <c r="P270" s="663" t="s">
        <v>1603</v>
      </c>
      <c r="Q270" s="663">
        <v>1</v>
      </c>
      <c r="R270" s="690">
        <v>0</v>
      </c>
      <c r="S270" s="687" t="s">
        <v>1582</v>
      </c>
      <c r="T270" s="683"/>
      <c r="U270" s="683" t="s">
        <v>1965</v>
      </c>
      <c r="V270" s="690"/>
      <c r="W270" s="687">
        <v>1997</v>
      </c>
      <c r="X270" s="702">
        <v>31</v>
      </c>
      <c r="Y270" s="687" t="s">
        <v>1585</v>
      </c>
      <c r="Z270" s="663" t="s">
        <v>1586</v>
      </c>
      <c r="AA270" s="663" t="s">
        <v>1586</v>
      </c>
      <c r="AB270" s="663" t="s">
        <v>1586</v>
      </c>
      <c r="AC270" s="663" t="s">
        <v>1586</v>
      </c>
      <c r="AD270" s="663" t="s">
        <v>825</v>
      </c>
      <c r="AE270" s="663" t="s">
        <v>825</v>
      </c>
      <c r="AF270" s="663" t="s">
        <v>1586</v>
      </c>
      <c r="AG270" s="663" t="s">
        <v>1587</v>
      </c>
      <c r="AH270" s="663" t="s">
        <v>1586</v>
      </c>
      <c r="AI270" s="688">
        <v>80.487804878048792</v>
      </c>
      <c r="AJ270" s="689" t="s">
        <v>1588</v>
      </c>
      <c r="AK270" s="690"/>
    </row>
    <row r="271" spans="1:37" s="653" customFormat="1">
      <c r="A271" s="655">
        <v>2024</v>
      </c>
      <c r="B271" s="656" t="str">
        <f>INDEX('①基本情報 '!$C$2:$C$255,MATCH('②建物情報 '!E271,'①基本情報 '!$E$2:$E$255,0),1)</f>
        <v>130</v>
      </c>
      <c r="C271" s="657" t="str">
        <f>INDEX('①基本情報 '!$B$2:$B$255,MATCH('②建物情報 '!E271,'①基本情報 '!$E$2:$E$255,0),1)</f>
        <v>1035</v>
      </c>
      <c r="D271" s="658" t="s">
        <v>2418</v>
      </c>
      <c r="E271" s="612" t="s">
        <v>927</v>
      </c>
      <c r="F271" s="597" t="str">
        <f>INDEX('①基本情報 '!$G$2:$G$255,MATCH('②建物情報 '!E271,'①基本情報 '!$E$2:$E$255,0),1)</f>
        <v>教育委員会教育総務部、学校教育部、生涯学習部</v>
      </c>
      <c r="G271" s="678" t="s">
        <v>1643</v>
      </c>
      <c r="H271" s="612" t="s">
        <v>1612</v>
      </c>
      <c r="I271" s="663">
        <v>1976</v>
      </c>
      <c r="J271" s="663">
        <v>7</v>
      </c>
      <c r="K271" s="663">
        <f t="shared" si="4"/>
        <v>48</v>
      </c>
      <c r="L271" s="694"/>
      <c r="M271" s="704">
        <v>26</v>
      </c>
      <c r="N271" s="704">
        <v>26</v>
      </c>
      <c r="O271" s="681" t="s">
        <v>1812</v>
      </c>
      <c r="P271" s="663" t="s">
        <v>1603</v>
      </c>
      <c r="Q271" s="663">
        <v>1</v>
      </c>
      <c r="R271" s="690">
        <v>0</v>
      </c>
      <c r="S271" s="687" t="s">
        <v>1582</v>
      </c>
      <c r="T271" s="683"/>
      <c r="U271" s="683" t="s">
        <v>1965</v>
      </c>
      <c r="V271" s="690"/>
      <c r="W271" s="687"/>
      <c r="X271" s="702">
        <v>31</v>
      </c>
      <c r="Y271" s="687" t="s">
        <v>1585</v>
      </c>
      <c r="Z271" s="663" t="s">
        <v>1586</v>
      </c>
      <c r="AA271" s="663" t="s">
        <v>1586</v>
      </c>
      <c r="AB271" s="663" t="s">
        <v>1586</v>
      </c>
      <c r="AC271" s="663" t="s">
        <v>1586</v>
      </c>
      <c r="AD271" s="663" t="s">
        <v>825</v>
      </c>
      <c r="AE271" s="663" t="s">
        <v>825</v>
      </c>
      <c r="AF271" s="663" t="s">
        <v>1586</v>
      </c>
      <c r="AG271" s="663" t="s">
        <v>825</v>
      </c>
      <c r="AH271" s="663" t="s">
        <v>1586</v>
      </c>
      <c r="AI271" s="688">
        <v>90.285714285714278</v>
      </c>
      <c r="AJ271" s="689" t="s">
        <v>1588</v>
      </c>
      <c r="AK271" s="690"/>
    </row>
    <row r="272" spans="1:37" s="653" customFormat="1">
      <c r="A272" s="655">
        <v>2024</v>
      </c>
      <c r="B272" s="656" t="str">
        <f>INDEX('①基本情報 '!$C$2:$C$255,MATCH('②建物情報 '!E272,'①基本情報 '!$E$2:$E$255,0),1)</f>
        <v>131</v>
      </c>
      <c r="C272" s="657" t="str">
        <f>INDEX('①基本情報 '!$B$2:$B$255,MATCH('②建物情報 '!E272,'①基本情報 '!$E$2:$E$255,0),1)</f>
        <v>1036</v>
      </c>
      <c r="D272" s="658" t="s">
        <v>2418</v>
      </c>
      <c r="E272" s="612" t="s">
        <v>932</v>
      </c>
      <c r="F272" s="597" t="str">
        <f>INDEX('①基本情報 '!$G$2:$G$255,MATCH('②建物情報 '!E272,'①基本情報 '!$E$2:$E$255,0),1)</f>
        <v>教育委員会教育総務部、学校教育部、生涯学習部</v>
      </c>
      <c r="G272" s="678" t="s">
        <v>1580</v>
      </c>
      <c r="H272" s="612" t="s">
        <v>1638</v>
      </c>
      <c r="I272" s="663">
        <v>1977</v>
      </c>
      <c r="J272" s="663">
        <v>5</v>
      </c>
      <c r="K272" s="663">
        <f t="shared" si="4"/>
        <v>47</v>
      </c>
      <c r="L272" s="694">
        <v>985</v>
      </c>
      <c r="M272" s="704">
        <v>4125</v>
      </c>
      <c r="N272" s="704">
        <v>4125</v>
      </c>
      <c r="O272" s="681" t="s">
        <v>1594</v>
      </c>
      <c r="P272" s="663" t="s">
        <v>1581</v>
      </c>
      <c r="Q272" s="663">
        <v>5</v>
      </c>
      <c r="R272" s="690">
        <v>0</v>
      </c>
      <c r="S272" s="687" t="s">
        <v>1582</v>
      </c>
      <c r="T272" s="663" t="s">
        <v>1583</v>
      </c>
      <c r="U272" s="683" t="s">
        <v>63</v>
      </c>
      <c r="V272" s="690">
        <v>2002</v>
      </c>
      <c r="W272" s="687">
        <v>2002</v>
      </c>
      <c r="X272" s="686">
        <v>47</v>
      </c>
      <c r="Y272" s="687" t="s">
        <v>1585</v>
      </c>
      <c r="Z272" s="663" t="s">
        <v>1586</v>
      </c>
      <c r="AA272" s="663" t="s">
        <v>1586</v>
      </c>
      <c r="AB272" s="663" t="s">
        <v>1585</v>
      </c>
      <c r="AC272" s="663" t="s">
        <v>1586</v>
      </c>
      <c r="AD272" s="663" t="s">
        <v>1585</v>
      </c>
      <c r="AE272" s="663" t="s">
        <v>1585</v>
      </c>
      <c r="AF272" s="663" t="s">
        <v>1585</v>
      </c>
      <c r="AG272" s="663" t="s">
        <v>1585</v>
      </c>
      <c r="AH272" s="663" t="s">
        <v>1586</v>
      </c>
      <c r="AI272" s="688">
        <v>80.754716981132077</v>
      </c>
      <c r="AJ272" s="689" t="s">
        <v>1588</v>
      </c>
      <c r="AK272" s="690"/>
    </row>
    <row r="273" spans="1:37" s="653" customFormat="1">
      <c r="A273" s="655">
        <v>2024</v>
      </c>
      <c r="B273" s="656" t="str">
        <f>INDEX('①基本情報 '!$C$2:$C$255,MATCH('②建物情報 '!E273,'①基本情報 '!$E$2:$E$255,0),1)</f>
        <v>131</v>
      </c>
      <c r="C273" s="657" t="str">
        <f>INDEX('①基本情報 '!$B$2:$B$255,MATCH('②建物情報 '!E273,'①基本情報 '!$E$2:$E$255,0),1)</f>
        <v>1036</v>
      </c>
      <c r="D273" s="658" t="s">
        <v>2418</v>
      </c>
      <c r="E273" s="612" t="s">
        <v>932</v>
      </c>
      <c r="F273" s="597" t="str">
        <f>INDEX('①基本情報 '!$G$2:$G$255,MATCH('②建物情報 '!E273,'①基本情報 '!$E$2:$E$255,0),1)</f>
        <v>教育委員会教育総務部、学校教育部、生涯学習部</v>
      </c>
      <c r="G273" s="678" t="s">
        <v>1589</v>
      </c>
      <c r="H273" s="612" t="s">
        <v>1639</v>
      </c>
      <c r="I273" s="663">
        <v>1977</v>
      </c>
      <c r="J273" s="663">
        <v>5</v>
      </c>
      <c r="K273" s="663">
        <f t="shared" si="4"/>
        <v>47</v>
      </c>
      <c r="L273" s="694">
        <v>528</v>
      </c>
      <c r="M273" s="704">
        <v>2254</v>
      </c>
      <c r="N273" s="704">
        <v>2254</v>
      </c>
      <c r="O273" s="681" t="s">
        <v>1594</v>
      </c>
      <c r="P273" s="663" t="s">
        <v>1581</v>
      </c>
      <c r="Q273" s="663">
        <v>5</v>
      </c>
      <c r="R273" s="690">
        <v>0</v>
      </c>
      <c r="S273" s="687" t="s">
        <v>1582</v>
      </c>
      <c r="T273" s="663" t="s">
        <v>1583</v>
      </c>
      <c r="U273" s="683" t="s">
        <v>63</v>
      </c>
      <c r="V273" s="690">
        <v>2002</v>
      </c>
      <c r="W273" s="687">
        <v>2002</v>
      </c>
      <c r="X273" s="686">
        <v>47</v>
      </c>
      <c r="Y273" s="687" t="s">
        <v>1585</v>
      </c>
      <c r="Z273" s="663" t="s">
        <v>1586</v>
      </c>
      <c r="AA273" s="663" t="s">
        <v>1586</v>
      </c>
      <c r="AB273" s="663" t="s">
        <v>1585</v>
      </c>
      <c r="AC273" s="663" t="s">
        <v>1586</v>
      </c>
      <c r="AD273" s="663" t="s">
        <v>1587</v>
      </c>
      <c r="AE273" s="663" t="s">
        <v>1585</v>
      </c>
      <c r="AF273" s="663" t="s">
        <v>1585</v>
      </c>
      <c r="AG273" s="663" t="s">
        <v>1585</v>
      </c>
      <c r="AH273" s="663" t="s">
        <v>1586</v>
      </c>
      <c r="AI273" s="688">
        <v>77.600000000000009</v>
      </c>
      <c r="AJ273" s="689" t="s">
        <v>1588</v>
      </c>
      <c r="AK273" s="690"/>
    </row>
    <row r="274" spans="1:37" s="653" customFormat="1">
      <c r="A274" s="655">
        <v>2024</v>
      </c>
      <c r="B274" s="656" t="str">
        <f>INDEX('①基本情報 '!$C$2:$C$255,MATCH('②建物情報 '!E274,'①基本情報 '!$E$2:$E$255,0),1)</f>
        <v>131</v>
      </c>
      <c r="C274" s="657" t="str">
        <f>INDEX('①基本情報 '!$B$2:$B$255,MATCH('②建物情報 '!E274,'①基本情報 '!$E$2:$E$255,0),1)</f>
        <v>1036</v>
      </c>
      <c r="D274" s="658" t="s">
        <v>2418</v>
      </c>
      <c r="E274" s="612" t="s">
        <v>932</v>
      </c>
      <c r="F274" s="597" t="str">
        <f>INDEX('①基本情報 '!$G$2:$G$255,MATCH('②建物情報 '!E274,'①基本情報 '!$E$2:$E$255,0),1)</f>
        <v>教育委員会教育総務部、学校教育部、生涯学習部</v>
      </c>
      <c r="G274" s="678" t="s">
        <v>1591</v>
      </c>
      <c r="H274" s="612" t="s">
        <v>1649</v>
      </c>
      <c r="I274" s="663">
        <v>1978</v>
      </c>
      <c r="J274" s="663">
        <v>5</v>
      </c>
      <c r="K274" s="663">
        <f t="shared" si="4"/>
        <v>46</v>
      </c>
      <c r="L274" s="694">
        <v>1065</v>
      </c>
      <c r="M274" s="704">
        <v>1268</v>
      </c>
      <c r="N274" s="704">
        <v>1268</v>
      </c>
      <c r="O274" s="681" t="s">
        <v>1812</v>
      </c>
      <c r="P274" s="663" t="s">
        <v>1581</v>
      </c>
      <c r="Q274" s="663">
        <v>2</v>
      </c>
      <c r="R274" s="690">
        <v>0</v>
      </c>
      <c r="S274" s="687" t="s">
        <v>1582</v>
      </c>
      <c r="T274" s="663" t="s">
        <v>1583</v>
      </c>
      <c r="U274" s="663" t="s">
        <v>63</v>
      </c>
      <c r="V274" s="690"/>
      <c r="W274" s="687">
        <v>2003</v>
      </c>
      <c r="X274" s="686">
        <v>47</v>
      </c>
      <c r="Y274" s="687" t="s">
        <v>1585</v>
      </c>
      <c r="Z274" s="663" t="s">
        <v>1586</v>
      </c>
      <c r="AA274" s="663" t="s">
        <v>1586</v>
      </c>
      <c r="AB274" s="663" t="s">
        <v>1585</v>
      </c>
      <c r="AC274" s="663" t="s">
        <v>1586</v>
      </c>
      <c r="AD274" s="663" t="s">
        <v>1587</v>
      </c>
      <c r="AE274" s="663" t="s">
        <v>1585</v>
      </c>
      <c r="AF274" s="663" t="s">
        <v>1585</v>
      </c>
      <c r="AG274" s="663" t="s">
        <v>1585</v>
      </c>
      <c r="AH274" s="663" t="s">
        <v>1586</v>
      </c>
      <c r="AI274" s="688">
        <v>75.599999999999994</v>
      </c>
      <c r="AJ274" s="689" t="s">
        <v>1588</v>
      </c>
      <c r="AK274" s="690"/>
    </row>
    <row r="275" spans="1:37" s="653" customFormat="1">
      <c r="A275" s="655">
        <v>2024</v>
      </c>
      <c r="B275" s="656" t="str">
        <f>INDEX('①基本情報 '!$C$2:$C$255,MATCH('②建物情報 '!E275,'①基本情報 '!$E$2:$E$255,0),1)</f>
        <v>131</v>
      </c>
      <c r="C275" s="657" t="str">
        <f>INDEX('①基本情報 '!$B$2:$B$255,MATCH('②建物情報 '!E275,'①基本情報 '!$E$2:$E$255,0),1)</f>
        <v>1036</v>
      </c>
      <c r="D275" s="658" t="s">
        <v>2418</v>
      </c>
      <c r="E275" s="612" t="s">
        <v>932</v>
      </c>
      <c r="F275" s="597" t="str">
        <f>INDEX('①基本情報 '!$G$2:$G$255,MATCH('②建物情報 '!E275,'①基本情報 '!$E$2:$E$255,0),1)</f>
        <v>教育委員会教育総務部、学校教育部、生涯学習部</v>
      </c>
      <c r="G275" s="678" t="s">
        <v>1601</v>
      </c>
      <c r="H275" s="612" t="s">
        <v>1640</v>
      </c>
      <c r="I275" s="663">
        <v>2000</v>
      </c>
      <c r="J275" s="663">
        <v>12</v>
      </c>
      <c r="K275" s="663">
        <f t="shared" si="4"/>
        <v>24</v>
      </c>
      <c r="L275" s="694">
        <v>128</v>
      </c>
      <c r="M275" s="704">
        <v>256</v>
      </c>
      <c r="N275" s="704">
        <v>256</v>
      </c>
      <c r="O275" s="681" t="s">
        <v>1812</v>
      </c>
      <c r="P275" s="663" t="s">
        <v>1581</v>
      </c>
      <c r="Q275" s="663">
        <v>2</v>
      </c>
      <c r="R275" s="690">
        <v>0</v>
      </c>
      <c r="S275" s="687" t="s">
        <v>1593</v>
      </c>
      <c r="T275" s="683" t="s">
        <v>825</v>
      </c>
      <c r="U275" s="663" t="s">
        <v>63</v>
      </c>
      <c r="V275" s="690"/>
      <c r="W275" s="687"/>
      <c r="X275" s="686">
        <v>47</v>
      </c>
      <c r="Y275" s="687" t="s">
        <v>1596</v>
      </c>
      <c r="Z275" s="663" t="s">
        <v>1586</v>
      </c>
      <c r="AA275" s="663" t="s">
        <v>1586</v>
      </c>
      <c r="AB275" s="663" t="s">
        <v>1585</v>
      </c>
      <c r="AC275" s="663" t="s">
        <v>1586</v>
      </c>
      <c r="AD275" s="663" t="s">
        <v>1587</v>
      </c>
      <c r="AE275" s="663" t="s">
        <v>1585</v>
      </c>
      <c r="AF275" s="663" t="s">
        <v>1585</v>
      </c>
      <c r="AG275" s="663" t="s">
        <v>1585</v>
      </c>
      <c r="AH275" s="663" t="s">
        <v>1586</v>
      </c>
      <c r="AI275" s="688">
        <v>70</v>
      </c>
      <c r="AJ275" s="689" t="s">
        <v>1588</v>
      </c>
      <c r="AK275" s="690"/>
    </row>
    <row r="276" spans="1:37" s="653" customFormat="1">
      <c r="A276" s="655">
        <v>2024</v>
      </c>
      <c r="B276" s="656" t="str">
        <f>INDEX('①基本情報 '!$C$2:$C$255,MATCH('②建物情報 '!E276,'①基本情報 '!$E$2:$E$255,0),1)</f>
        <v>131</v>
      </c>
      <c r="C276" s="657" t="str">
        <f>INDEX('①基本情報 '!$B$2:$B$255,MATCH('②建物情報 '!E276,'①基本情報 '!$E$2:$E$255,0),1)</f>
        <v>1036</v>
      </c>
      <c r="D276" s="658" t="s">
        <v>2418</v>
      </c>
      <c r="E276" s="612" t="s">
        <v>932</v>
      </c>
      <c r="F276" s="597" t="str">
        <f>INDEX('①基本情報 '!$G$2:$G$255,MATCH('②建物情報 '!E276,'①基本情報 '!$E$2:$E$255,0),1)</f>
        <v>教育委員会教育総務部、学校教育部、生涯学習部</v>
      </c>
      <c r="G276" s="678" t="s">
        <v>1620</v>
      </c>
      <c r="H276" s="612" t="s">
        <v>1657</v>
      </c>
      <c r="I276" s="663">
        <v>2002</v>
      </c>
      <c r="J276" s="663">
        <v>8</v>
      </c>
      <c r="K276" s="663">
        <f t="shared" si="4"/>
        <v>22</v>
      </c>
      <c r="L276" s="694">
        <v>91</v>
      </c>
      <c r="M276" s="704">
        <v>91</v>
      </c>
      <c r="N276" s="704">
        <v>91</v>
      </c>
      <c r="O276" s="681" t="s">
        <v>1812</v>
      </c>
      <c r="P276" s="663" t="s">
        <v>1603</v>
      </c>
      <c r="Q276" s="663">
        <v>1</v>
      </c>
      <c r="R276" s="690">
        <v>0</v>
      </c>
      <c r="S276" s="687" t="s">
        <v>1593</v>
      </c>
      <c r="T276" s="683" t="s">
        <v>825</v>
      </c>
      <c r="U276" s="683" t="s">
        <v>1846</v>
      </c>
      <c r="V276" s="690"/>
      <c r="W276" s="687"/>
      <c r="X276" s="702">
        <v>34</v>
      </c>
      <c r="Y276" s="687" t="s">
        <v>1596</v>
      </c>
      <c r="Z276" s="663" t="s">
        <v>1586</v>
      </c>
      <c r="AA276" s="663" t="s">
        <v>1596</v>
      </c>
      <c r="AB276" s="663" t="s">
        <v>1585</v>
      </c>
      <c r="AC276" s="663" t="s">
        <v>1586</v>
      </c>
      <c r="AD276" s="663" t="s">
        <v>1587</v>
      </c>
      <c r="AE276" s="663" t="s">
        <v>1585</v>
      </c>
      <c r="AF276" s="663" t="s">
        <v>1585</v>
      </c>
      <c r="AG276" s="663" t="s">
        <v>1585</v>
      </c>
      <c r="AH276" s="663" t="s">
        <v>1585</v>
      </c>
      <c r="AI276" s="688">
        <v>58.666666666666664</v>
      </c>
      <c r="AJ276" s="689" t="s">
        <v>1588</v>
      </c>
      <c r="AK276" s="690"/>
    </row>
    <row r="277" spans="1:37" s="653" customFormat="1">
      <c r="A277" s="655">
        <v>2024</v>
      </c>
      <c r="B277" s="656" t="str">
        <f>INDEX('①基本情報 '!$C$2:$C$255,MATCH('②建物情報 '!E277,'①基本情報 '!$E$2:$E$255,0),1)</f>
        <v>131</v>
      </c>
      <c r="C277" s="657" t="str">
        <f>INDEX('①基本情報 '!$B$2:$B$255,MATCH('②建物情報 '!E277,'①基本情報 '!$E$2:$E$255,0),1)</f>
        <v>1036</v>
      </c>
      <c r="D277" s="658" t="s">
        <v>2418</v>
      </c>
      <c r="E277" s="612" t="s">
        <v>932</v>
      </c>
      <c r="F277" s="597" t="str">
        <f>INDEX('①基本情報 '!$G$2:$G$255,MATCH('②建物情報 '!E277,'①基本情報 '!$E$2:$E$255,0),1)</f>
        <v>教育委員会教育総務部、学校教育部、生涯学習部</v>
      </c>
      <c r="G277" s="678" t="s">
        <v>1643</v>
      </c>
      <c r="H277" s="612" t="s">
        <v>1644</v>
      </c>
      <c r="I277" s="663">
        <v>2002</v>
      </c>
      <c r="J277" s="663">
        <v>8</v>
      </c>
      <c r="K277" s="663">
        <f t="shared" si="4"/>
        <v>22</v>
      </c>
      <c r="L277" s="694">
        <v>12</v>
      </c>
      <c r="M277" s="704">
        <v>46</v>
      </c>
      <c r="N277" s="704">
        <v>46</v>
      </c>
      <c r="O277" s="681" t="s">
        <v>1812</v>
      </c>
      <c r="P277" s="663" t="s">
        <v>1603</v>
      </c>
      <c r="Q277" s="663">
        <v>4</v>
      </c>
      <c r="R277" s="690">
        <v>0</v>
      </c>
      <c r="S277" s="687" t="s">
        <v>1593</v>
      </c>
      <c r="T277" s="683" t="s">
        <v>825</v>
      </c>
      <c r="U277" s="683" t="s">
        <v>1846</v>
      </c>
      <c r="V277" s="690"/>
      <c r="W277" s="687"/>
      <c r="X277" s="702">
        <v>34</v>
      </c>
      <c r="Y277" s="687" t="s">
        <v>1596</v>
      </c>
      <c r="Z277" s="663" t="s">
        <v>1586</v>
      </c>
      <c r="AA277" s="663" t="s">
        <v>1586</v>
      </c>
      <c r="AB277" s="663" t="s">
        <v>1585</v>
      </c>
      <c r="AC277" s="663" t="s">
        <v>1586</v>
      </c>
      <c r="AD277" s="663" t="s">
        <v>825</v>
      </c>
      <c r="AE277" s="663" t="s">
        <v>825</v>
      </c>
      <c r="AF277" s="663" t="s">
        <v>825</v>
      </c>
      <c r="AG277" s="663" t="s">
        <v>825</v>
      </c>
      <c r="AH277" s="663" t="s">
        <v>1585</v>
      </c>
      <c r="AI277" s="688">
        <v>66.666666666666671</v>
      </c>
      <c r="AJ277" s="689" t="s">
        <v>1588</v>
      </c>
      <c r="AK277" s="690"/>
    </row>
    <row r="278" spans="1:37" s="653" customFormat="1">
      <c r="A278" s="655">
        <v>2024</v>
      </c>
      <c r="B278" s="656" t="str">
        <f>INDEX('①基本情報 '!$C$2:$C$255,MATCH('②建物情報 '!E278,'①基本情報 '!$E$2:$E$255,0),1)</f>
        <v>131</v>
      </c>
      <c r="C278" s="657" t="str">
        <f>INDEX('①基本情報 '!$B$2:$B$255,MATCH('②建物情報 '!E278,'①基本情報 '!$E$2:$E$255,0),1)</f>
        <v>1036</v>
      </c>
      <c r="D278" s="658" t="s">
        <v>2418</v>
      </c>
      <c r="E278" s="612" t="s">
        <v>932</v>
      </c>
      <c r="F278" s="597" t="str">
        <f>INDEX('①基本情報 '!$G$2:$G$255,MATCH('②建物情報 '!E278,'①基本情報 '!$E$2:$E$255,0),1)</f>
        <v>教育委員会教育総務部、学校教育部、生涯学習部</v>
      </c>
      <c r="G278" s="678" t="s">
        <v>1645</v>
      </c>
      <c r="H278" s="612" t="s">
        <v>1653</v>
      </c>
      <c r="I278" s="663">
        <v>1977</v>
      </c>
      <c r="J278" s="663">
        <v>6</v>
      </c>
      <c r="K278" s="663">
        <f t="shared" si="4"/>
        <v>47</v>
      </c>
      <c r="L278" s="694"/>
      <c r="M278" s="704">
        <v>64</v>
      </c>
      <c r="N278" s="704">
        <v>64</v>
      </c>
      <c r="O278" s="681" t="s">
        <v>1812</v>
      </c>
      <c r="P278" s="663" t="s">
        <v>1603</v>
      </c>
      <c r="Q278" s="663">
        <v>1</v>
      </c>
      <c r="R278" s="690">
        <v>0</v>
      </c>
      <c r="S278" s="687" t="s">
        <v>1582</v>
      </c>
      <c r="T278" s="683"/>
      <c r="U278" s="683" t="s">
        <v>1965</v>
      </c>
      <c r="V278" s="690"/>
      <c r="W278" s="687"/>
      <c r="X278" s="702">
        <v>31</v>
      </c>
      <c r="Y278" s="687" t="s">
        <v>1585</v>
      </c>
      <c r="Z278" s="663" t="s">
        <v>1586</v>
      </c>
      <c r="AA278" s="663" t="s">
        <v>1586</v>
      </c>
      <c r="AB278" s="663" t="s">
        <v>1585</v>
      </c>
      <c r="AC278" s="663" t="s">
        <v>1586</v>
      </c>
      <c r="AD278" s="663" t="s">
        <v>825</v>
      </c>
      <c r="AE278" s="663" t="s">
        <v>825</v>
      </c>
      <c r="AF278" s="663" t="s">
        <v>1586</v>
      </c>
      <c r="AG278" s="663" t="s">
        <v>1586</v>
      </c>
      <c r="AH278" s="663" t="s">
        <v>1586</v>
      </c>
      <c r="AI278" s="688">
        <v>87.804878048780495</v>
      </c>
      <c r="AJ278" s="689" t="s">
        <v>1588</v>
      </c>
      <c r="AK278" s="690"/>
    </row>
    <row r="279" spans="1:37" s="653" customFormat="1">
      <c r="A279" s="655">
        <v>2024</v>
      </c>
      <c r="B279" s="656" t="str">
        <f>INDEX('①基本情報 '!$C$2:$C$255,MATCH('②建物情報 '!E279,'①基本情報 '!$E$2:$E$255,0),1)</f>
        <v>131</v>
      </c>
      <c r="C279" s="657" t="str">
        <f>INDEX('①基本情報 '!$B$2:$B$255,MATCH('②建物情報 '!E279,'①基本情報 '!$E$2:$E$255,0),1)</f>
        <v>1036</v>
      </c>
      <c r="D279" s="658" t="s">
        <v>2418</v>
      </c>
      <c r="E279" s="612" t="s">
        <v>932</v>
      </c>
      <c r="F279" s="597" t="str">
        <f>INDEX('①基本情報 '!$G$2:$G$255,MATCH('②建物情報 '!E279,'①基本情報 '!$E$2:$E$255,0),1)</f>
        <v>教育委員会教育総務部、学校教育部、生涯学習部</v>
      </c>
      <c r="G279" s="678" t="s">
        <v>1646</v>
      </c>
      <c r="H279" s="612" t="s">
        <v>1612</v>
      </c>
      <c r="I279" s="663">
        <v>1977</v>
      </c>
      <c r="J279" s="663">
        <v>6</v>
      </c>
      <c r="K279" s="663">
        <f t="shared" si="4"/>
        <v>47</v>
      </c>
      <c r="L279" s="694"/>
      <c r="M279" s="704">
        <v>28</v>
      </c>
      <c r="N279" s="704">
        <v>28</v>
      </c>
      <c r="O279" s="681" t="s">
        <v>1812</v>
      </c>
      <c r="P279" s="663" t="s">
        <v>1603</v>
      </c>
      <c r="Q279" s="663">
        <v>1</v>
      </c>
      <c r="R279" s="690">
        <v>0</v>
      </c>
      <c r="S279" s="687" t="s">
        <v>1582</v>
      </c>
      <c r="T279" s="683"/>
      <c r="U279" s="683" t="s">
        <v>1965</v>
      </c>
      <c r="V279" s="690"/>
      <c r="W279" s="687"/>
      <c r="X279" s="702">
        <v>31</v>
      </c>
      <c r="Y279" s="687" t="s">
        <v>1585</v>
      </c>
      <c r="Z279" s="663" t="s">
        <v>1586</v>
      </c>
      <c r="AA279" s="663" t="s">
        <v>1586</v>
      </c>
      <c r="AB279" s="663" t="s">
        <v>1585</v>
      </c>
      <c r="AC279" s="663" t="s">
        <v>1586</v>
      </c>
      <c r="AD279" s="663" t="s">
        <v>825</v>
      </c>
      <c r="AE279" s="663" t="s">
        <v>825</v>
      </c>
      <c r="AF279" s="663" t="s">
        <v>1586</v>
      </c>
      <c r="AG279" s="663" t="s">
        <v>1586</v>
      </c>
      <c r="AH279" s="663" t="s">
        <v>1586</v>
      </c>
      <c r="AI279" s="688">
        <v>87.804878048780495</v>
      </c>
      <c r="AJ279" s="689" t="s">
        <v>1588</v>
      </c>
      <c r="AK279" s="690"/>
    </row>
    <row r="280" spans="1:37" s="653" customFormat="1">
      <c r="A280" s="655">
        <v>2024</v>
      </c>
      <c r="B280" s="656" t="str">
        <f>INDEX('①基本情報 '!$C$2:$C$255,MATCH('②建物情報 '!E280,'①基本情報 '!$E$2:$E$255,0),1)</f>
        <v>132</v>
      </c>
      <c r="C280" s="657" t="str">
        <f>INDEX('①基本情報 '!$B$2:$B$255,MATCH('②建物情報 '!E280,'①基本情報 '!$E$2:$E$255,0),1)</f>
        <v>1037</v>
      </c>
      <c r="D280" s="658" t="s">
        <v>2418</v>
      </c>
      <c r="E280" s="612" t="s">
        <v>937</v>
      </c>
      <c r="F280" s="597" t="str">
        <f>INDEX('①基本情報 '!$G$2:$G$255,MATCH('②建物情報 '!E280,'①基本情報 '!$E$2:$E$255,0),1)</f>
        <v>教育委員会教育総務部、学校教育部、生涯学習部</v>
      </c>
      <c r="G280" s="678" t="s">
        <v>1580</v>
      </c>
      <c r="H280" s="612" t="s">
        <v>1638</v>
      </c>
      <c r="I280" s="663">
        <v>1981</v>
      </c>
      <c r="J280" s="663">
        <v>5</v>
      </c>
      <c r="K280" s="663">
        <f t="shared" si="4"/>
        <v>43</v>
      </c>
      <c r="L280" s="694">
        <v>568</v>
      </c>
      <c r="M280" s="704">
        <v>2401</v>
      </c>
      <c r="N280" s="704">
        <v>2401</v>
      </c>
      <c r="O280" s="681" t="s">
        <v>1594</v>
      </c>
      <c r="P280" s="663" t="s">
        <v>1581</v>
      </c>
      <c r="Q280" s="663">
        <v>5</v>
      </c>
      <c r="R280" s="690">
        <v>0</v>
      </c>
      <c r="S280" s="687" t="s">
        <v>1593</v>
      </c>
      <c r="T280" s="683" t="s">
        <v>825</v>
      </c>
      <c r="U280" s="663" t="s">
        <v>63</v>
      </c>
      <c r="V280" s="690"/>
      <c r="W280" s="687"/>
      <c r="X280" s="686">
        <v>47</v>
      </c>
      <c r="Y280" s="687" t="s">
        <v>1585</v>
      </c>
      <c r="Z280" s="663" t="s">
        <v>1586</v>
      </c>
      <c r="AA280" s="663" t="s">
        <v>1585</v>
      </c>
      <c r="AB280" s="663" t="s">
        <v>1586</v>
      </c>
      <c r="AC280" s="663" t="s">
        <v>1586</v>
      </c>
      <c r="AD280" s="663" t="s">
        <v>1587</v>
      </c>
      <c r="AE280" s="663" t="s">
        <v>1587</v>
      </c>
      <c r="AF280" s="663" t="s">
        <v>1586</v>
      </c>
      <c r="AG280" s="663" t="s">
        <v>1586</v>
      </c>
      <c r="AH280" s="663" t="s">
        <v>1586</v>
      </c>
      <c r="AI280" s="688">
        <v>72.8</v>
      </c>
      <c r="AJ280" s="689" t="s">
        <v>1588</v>
      </c>
      <c r="AK280" s="690"/>
    </row>
    <row r="281" spans="1:37" s="653" customFormat="1">
      <c r="A281" s="655">
        <v>2024</v>
      </c>
      <c r="B281" s="656" t="str">
        <f>INDEX('①基本情報 '!$C$2:$C$255,MATCH('②建物情報 '!E281,'①基本情報 '!$E$2:$E$255,0),1)</f>
        <v>132</v>
      </c>
      <c r="C281" s="657" t="str">
        <f>INDEX('①基本情報 '!$B$2:$B$255,MATCH('②建物情報 '!E281,'①基本情報 '!$E$2:$E$255,0),1)</f>
        <v>1037</v>
      </c>
      <c r="D281" s="658" t="s">
        <v>2418</v>
      </c>
      <c r="E281" s="612" t="s">
        <v>937</v>
      </c>
      <c r="F281" s="597" t="str">
        <f>INDEX('①基本情報 '!$G$2:$G$255,MATCH('②建物情報 '!E281,'①基本情報 '!$E$2:$E$255,0),1)</f>
        <v>教育委員会教育総務部、学校教育部、生涯学習部</v>
      </c>
      <c r="G281" s="678" t="s">
        <v>1589</v>
      </c>
      <c r="H281" s="612" t="s">
        <v>1639</v>
      </c>
      <c r="I281" s="663">
        <v>1981</v>
      </c>
      <c r="J281" s="663">
        <v>5</v>
      </c>
      <c r="K281" s="663">
        <f t="shared" si="4"/>
        <v>43</v>
      </c>
      <c r="L281" s="694">
        <v>534</v>
      </c>
      <c r="M281" s="704">
        <v>2221</v>
      </c>
      <c r="N281" s="704">
        <v>2221</v>
      </c>
      <c r="O281" s="681" t="s">
        <v>1812</v>
      </c>
      <c r="P281" s="663" t="s">
        <v>1581</v>
      </c>
      <c r="Q281" s="663">
        <v>5</v>
      </c>
      <c r="R281" s="690">
        <v>0</v>
      </c>
      <c r="S281" s="687" t="s">
        <v>1593</v>
      </c>
      <c r="T281" s="683" t="s">
        <v>825</v>
      </c>
      <c r="U281" s="663" t="s">
        <v>63</v>
      </c>
      <c r="V281" s="690"/>
      <c r="W281" s="687"/>
      <c r="X281" s="686">
        <v>47</v>
      </c>
      <c r="Y281" s="687" t="s">
        <v>1585</v>
      </c>
      <c r="Z281" s="663" t="s">
        <v>1586</v>
      </c>
      <c r="AA281" s="663" t="s">
        <v>1585</v>
      </c>
      <c r="AB281" s="663" t="s">
        <v>1586</v>
      </c>
      <c r="AC281" s="663" t="s">
        <v>1586</v>
      </c>
      <c r="AD281" s="663" t="s">
        <v>1587</v>
      </c>
      <c r="AE281" s="663" t="s">
        <v>1587</v>
      </c>
      <c r="AF281" s="663" t="s">
        <v>1587</v>
      </c>
      <c r="AG281" s="663" t="s">
        <v>1596</v>
      </c>
      <c r="AH281" s="663" t="s">
        <v>1585</v>
      </c>
      <c r="AI281" s="688">
        <v>57.2</v>
      </c>
      <c r="AJ281" s="689" t="s">
        <v>1588</v>
      </c>
      <c r="AK281" s="690"/>
    </row>
    <row r="282" spans="1:37" s="653" customFormat="1">
      <c r="A282" s="655">
        <v>2024</v>
      </c>
      <c r="B282" s="656" t="str">
        <f>INDEX('①基本情報 '!$C$2:$C$255,MATCH('②建物情報 '!E282,'①基本情報 '!$E$2:$E$255,0),1)</f>
        <v>132</v>
      </c>
      <c r="C282" s="657" t="str">
        <f>INDEX('①基本情報 '!$B$2:$B$255,MATCH('②建物情報 '!E282,'①基本情報 '!$E$2:$E$255,0),1)</f>
        <v>1037</v>
      </c>
      <c r="D282" s="658" t="s">
        <v>2418</v>
      </c>
      <c r="E282" s="612" t="s">
        <v>937</v>
      </c>
      <c r="F282" s="597" t="str">
        <f>INDEX('①基本情報 '!$G$2:$G$255,MATCH('②建物情報 '!E282,'①基本情報 '!$E$2:$E$255,0),1)</f>
        <v>教育委員会教育総務部、学校教育部、生涯学習部</v>
      </c>
      <c r="G282" s="678" t="s">
        <v>1591</v>
      </c>
      <c r="H282" s="612" t="s">
        <v>1642</v>
      </c>
      <c r="I282" s="663">
        <v>1981</v>
      </c>
      <c r="J282" s="663">
        <v>5</v>
      </c>
      <c r="K282" s="663">
        <f t="shared" si="4"/>
        <v>43</v>
      </c>
      <c r="L282" s="694">
        <v>968</v>
      </c>
      <c r="M282" s="704">
        <v>2130</v>
      </c>
      <c r="N282" s="704">
        <v>2130</v>
      </c>
      <c r="O282" s="681" t="s">
        <v>1812</v>
      </c>
      <c r="P282" s="663" t="s">
        <v>1581</v>
      </c>
      <c r="Q282" s="663">
        <v>3</v>
      </c>
      <c r="R282" s="690">
        <v>0</v>
      </c>
      <c r="S282" s="687" t="s">
        <v>1593</v>
      </c>
      <c r="T282" s="683" t="s">
        <v>825</v>
      </c>
      <c r="U282" s="663" t="s">
        <v>63</v>
      </c>
      <c r="V282" s="690"/>
      <c r="W282" s="687"/>
      <c r="X282" s="686">
        <v>47</v>
      </c>
      <c r="Y282" s="687" t="s">
        <v>1585</v>
      </c>
      <c r="Z282" s="663" t="s">
        <v>1596</v>
      </c>
      <c r="AA282" s="663" t="s">
        <v>1586</v>
      </c>
      <c r="AB282" s="663" t="s">
        <v>1586</v>
      </c>
      <c r="AC282" s="663" t="s">
        <v>1586</v>
      </c>
      <c r="AD282" s="663" t="s">
        <v>1587</v>
      </c>
      <c r="AE282" s="663" t="s">
        <v>825</v>
      </c>
      <c r="AF282" s="663" t="s">
        <v>1586</v>
      </c>
      <c r="AG282" s="663" t="s">
        <v>1596</v>
      </c>
      <c r="AH282" s="663" t="s">
        <v>1586</v>
      </c>
      <c r="AI282" s="688">
        <v>71.818181818181827</v>
      </c>
      <c r="AJ282" s="689" t="s">
        <v>1588</v>
      </c>
      <c r="AK282" s="690"/>
    </row>
    <row r="283" spans="1:37" s="653" customFormat="1">
      <c r="A283" s="655">
        <v>2024</v>
      </c>
      <c r="B283" s="656" t="str">
        <f>INDEX('①基本情報 '!$C$2:$C$255,MATCH('②建物情報 '!E283,'①基本情報 '!$E$2:$E$255,0),1)</f>
        <v>132</v>
      </c>
      <c r="C283" s="657" t="str">
        <f>INDEX('①基本情報 '!$B$2:$B$255,MATCH('②建物情報 '!E283,'①基本情報 '!$E$2:$E$255,0),1)</f>
        <v>1037</v>
      </c>
      <c r="D283" s="658" t="s">
        <v>2418</v>
      </c>
      <c r="E283" s="612" t="s">
        <v>937</v>
      </c>
      <c r="F283" s="597" t="str">
        <f>INDEX('①基本情報 '!$G$2:$G$255,MATCH('②建物情報 '!E283,'①基本情報 '!$E$2:$E$255,0),1)</f>
        <v>教育委員会教育総務部、学校教育部、生涯学習部</v>
      </c>
      <c r="G283" s="678" t="s">
        <v>1601</v>
      </c>
      <c r="H283" s="612" t="s">
        <v>1650</v>
      </c>
      <c r="I283" s="663">
        <v>1983</v>
      </c>
      <c r="J283" s="663">
        <v>3</v>
      </c>
      <c r="K283" s="663">
        <f t="shared" si="4"/>
        <v>41</v>
      </c>
      <c r="L283" s="694">
        <v>354</v>
      </c>
      <c r="M283" s="704">
        <v>354</v>
      </c>
      <c r="N283" s="704">
        <v>354</v>
      </c>
      <c r="O283" s="681" t="s">
        <v>1812</v>
      </c>
      <c r="P283" s="663" t="s">
        <v>1581</v>
      </c>
      <c r="Q283" s="663">
        <v>1</v>
      </c>
      <c r="R283" s="690">
        <v>0</v>
      </c>
      <c r="S283" s="682" t="s">
        <v>1593</v>
      </c>
      <c r="T283" s="683" t="s">
        <v>825</v>
      </c>
      <c r="U283" s="683" t="s">
        <v>1846</v>
      </c>
      <c r="V283" s="690"/>
      <c r="W283" s="687"/>
      <c r="X283" s="686">
        <v>41</v>
      </c>
      <c r="Y283" s="687" t="s">
        <v>1585</v>
      </c>
      <c r="Z283" s="663" t="s">
        <v>1586</v>
      </c>
      <c r="AA283" s="663" t="s">
        <v>1586</v>
      </c>
      <c r="AB283" s="663" t="s">
        <v>1586</v>
      </c>
      <c r="AC283" s="663" t="s">
        <v>1586</v>
      </c>
      <c r="AD283" s="663" t="s">
        <v>1587</v>
      </c>
      <c r="AE283" s="663" t="s">
        <v>825</v>
      </c>
      <c r="AF283" s="663" t="s">
        <v>1586</v>
      </c>
      <c r="AG283" s="663" t="s">
        <v>1586</v>
      </c>
      <c r="AH283" s="663" t="s">
        <v>1586</v>
      </c>
      <c r="AI283" s="688">
        <v>84.090909090909093</v>
      </c>
      <c r="AJ283" s="689" t="s">
        <v>1588</v>
      </c>
      <c r="AK283" s="690"/>
    </row>
    <row r="284" spans="1:37" s="653" customFormat="1">
      <c r="A284" s="655">
        <v>2024</v>
      </c>
      <c r="B284" s="656" t="str">
        <f>INDEX('①基本情報 '!$C$2:$C$255,MATCH('②建物情報 '!E284,'①基本情報 '!$E$2:$E$255,0),1)</f>
        <v>132</v>
      </c>
      <c r="C284" s="657" t="str">
        <f>INDEX('①基本情報 '!$B$2:$B$255,MATCH('②建物情報 '!E284,'①基本情報 '!$E$2:$E$255,0),1)</f>
        <v>1037</v>
      </c>
      <c r="D284" s="658" t="s">
        <v>2418</v>
      </c>
      <c r="E284" s="612" t="s">
        <v>937</v>
      </c>
      <c r="F284" s="597" t="str">
        <f>INDEX('①基本情報 '!$G$2:$G$255,MATCH('②建物情報 '!E284,'①基本情報 '!$E$2:$E$255,0),1)</f>
        <v>教育委員会教育総務部、学校教育部、生涯学習部</v>
      </c>
      <c r="G284" s="678" t="s">
        <v>1620</v>
      </c>
      <c r="H284" s="612" t="s">
        <v>1640</v>
      </c>
      <c r="I284" s="663">
        <v>2006</v>
      </c>
      <c r="J284" s="663">
        <v>2</v>
      </c>
      <c r="K284" s="663">
        <f t="shared" si="4"/>
        <v>18</v>
      </c>
      <c r="L284" s="694">
        <v>279</v>
      </c>
      <c r="M284" s="704">
        <v>1116</v>
      </c>
      <c r="N284" s="704">
        <v>1116</v>
      </c>
      <c r="O284" s="681" t="s">
        <v>1594</v>
      </c>
      <c r="P284" s="663" t="s">
        <v>1581</v>
      </c>
      <c r="Q284" s="663">
        <v>4</v>
      </c>
      <c r="R284" s="690">
        <v>0</v>
      </c>
      <c r="S284" s="687" t="s">
        <v>1593</v>
      </c>
      <c r="T284" s="683" t="s">
        <v>825</v>
      </c>
      <c r="U284" s="663" t="s">
        <v>63</v>
      </c>
      <c r="V284" s="690"/>
      <c r="W284" s="687"/>
      <c r="X284" s="686">
        <v>47</v>
      </c>
      <c r="Y284" s="687" t="s">
        <v>1587</v>
      </c>
      <c r="Z284" s="663" t="s">
        <v>1585</v>
      </c>
      <c r="AA284" s="663" t="s">
        <v>1586</v>
      </c>
      <c r="AB284" s="663" t="s">
        <v>1586</v>
      </c>
      <c r="AC284" s="663" t="s">
        <v>1585</v>
      </c>
      <c r="AD284" s="663" t="s">
        <v>1587</v>
      </c>
      <c r="AE284" s="663" t="s">
        <v>1587</v>
      </c>
      <c r="AF284" s="663" t="s">
        <v>1585</v>
      </c>
      <c r="AG284" s="663" t="s">
        <v>1585</v>
      </c>
      <c r="AH284" s="663" t="s">
        <v>1585</v>
      </c>
      <c r="AI284" s="688">
        <v>55.2</v>
      </c>
      <c r="AJ284" s="689" t="s">
        <v>1588</v>
      </c>
      <c r="AK284" s="690"/>
    </row>
    <row r="285" spans="1:37" s="653" customFormat="1">
      <c r="A285" s="655">
        <v>2024</v>
      </c>
      <c r="B285" s="656" t="str">
        <f>INDEX('①基本情報 '!$C$2:$C$255,MATCH('②建物情報 '!E285,'①基本情報 '!$E$2:$E$255,0),1)</f>
        <v>132</v>
      </c>
      <c r="C285" s="657" t="str">
        <f>INDEX('①基本情報 '!$B$2:$B$255,MATCH('②建物情報 '!E285,'①基本情報 '!$E$2:$E$255,0),1)</f>
        <v>1037</v>
      </c>
      <c r="D285" s="658" t="s">
        <v>2418</v>
      </c>
      <c r="E285" s="612" t="s">
        <v>937</v>
      </c>
      <c r="F285" s="597" t="str">
        <f>INDEX('①基本情報 '!$G$2:$G$255,MATCH('②建物情報 '!E285,'①基本情報 '!$E$2:$E$255,0),1)</f>
        <v>教育委員会教育総務部、学校教育部、生涯学習部</v>
      </c>
      <c r="G285" s="678" t="s">
        <v>1643</v>
      </c>
      <c r="H285" s="612" t="s">
        <v>1644</v>
      </c>
      <c r="I285" s="663">
        <v>2006</v>
      </c>
      <c r="J285" s="663">
        <v>2</v>
      </c>
      <c r="K285" s="663">
        <f t="shared" si="4"/>
        <v>18</v>
      </c>
      <c r="L285" s="694">
        <v>17</v>
      </c>
      <c r="M285" s="704">
        <v>69</v>
      </c>
      <c r="N285" s="704">
        <v>69</v>
      </c>
      <c r="O285" s="681" t="s">
        <v>1812</v>
      </c>
      <c r="P285" s="663" t="s">
        <v>1603</v>
      </c>
      <c r="Q285" s="663">
        <v>4</v>
      </c>
      <c r="R285" s="690">
        <v>0</v>
      </c>
      <c r="S285" s="687" t="s">
        <v>1593</v>
      </c>
      <c r="T285" s="683" t="s">
        <v>825</v>
      </c>
      <c r="U285" s="683" t="s">
        <v>1846</v>
      </c>
      <c r="V285" s="690"/>
      <c r="W285" s="687"/>
      <c r="X285" s="702">
        <v>34</v>
      </c>
      <c r="Y285" s="687" t="s">
        <v>1587</v>
      </c>
      <c r="Z285" s="663" t="s">
        <v>1585</v>
      </c>
      <c r="AA285" s="663" t="s">
        <v>1586</v>
      </c>
      <c r="AB285" s="663" t="s">
        <v>1586</v>
      </c>
      <c r="AC285" s="663" t="s">
        <v>1585</v>
      </c>
      <c r="AD285" s="663" t="s">
        <v>825</v>
      </c>
      <c r="AE285" s="663" t="s">
        <v>825</v>
      </c>
      <c r="AF285" s="663" t="s">
        <v>825</v>
      </c>
      <c r="AG285" s="663" t="s">
        <v>825</v>
      </c>
      <c r="AH285" s="663" t="s">
        <v>1585</v>
      </c>
      <c r="AI285" s="688">
        <v>65.999999999999986</v>
      </c>
      <c r="AJ285" s="689" t="s">
        <v>1588</v>
      </c>
      <c r="AK285" s="690"/>
    </row>
    <row r="286" spans="1:37" s="653" customFormat="1">
      <c r="A286" s="655">
        <v>2024</v>
      </c>
      <c r="B286" s="656" t="str">
        <f>INDEX('①基本情報 '!$C$2:$C$255,MATCH('②建物情報 '!E286,'①基本情報 '!$E$2:$E$255,0),1)</f>
        <v>132</v>
      </c>
      <c r="C286" s="657" t="str">
        <f>INDEX('①基本情報 '!$B$2:$B$255,MATCH('②建物情報 '!E286,'①基本情報 '!$E$2:$E$255,0),1)</f>
        <v>1037</v>
      </c>
      <c r="D286" s="658" t="s">
        <v>2418</v>
      </c>
      <c r="E286" s="612" t="s">
        <v>937</v>
      </c>
      <c r="F286" s="597" t="str">
        <f>INDEX('①基本情報 '!$G$2:$G$255,MATCH('②建物情報 '!E286,'①基本情報 '!$E$2:$E$255,0),1)</f>
        <v>教育委員会教育総務部、学校教育部、生涯学習部</v>
      </c>
      <c r="G286" s="678" t="s">
        <v>1645</v>
      </c>
      <c r="H286" s="612" t="s">
        <v>1653</v>
      </c>
      <c r="I286" s="663">
        <v>1981</v>
      </c>
      <c r="J286" s="663">
        <v>10</v>
      </c>
      <c r="K286" s="663">
        <f t="shared" si="4"/>
        <v>43</v>
      </c>
      <c r="L286" s="694"/>
      <c r="M286" s="704">
        <v>24</v>
      </c>
      <c r="N286" s="704">
        <v>24</v>
      </c>
      <c r="O286" s="681" t="s">
        <v>1812</v>
      </c>
      <c r="P286" s="663" t="s">
        <v>1581</v>
      </c>
      <c r="Q286" s="663">
        <v>1</v>
      </c>
      <c r="R286" s="690">
        <v>0</v>
      </c>
      <c r="S286" s="687" t="s">
        <v>1593</v>
      </c>
      <c r="T286" s="683" t="s">
        <v>825</v>
      </c>
      <c r="U286" s="683" t="s">
        <v>1846</v>
      </c>
      <c r="V286" s="690"/>
      <c r="W286" s="687"/>
      <c r="X286" s="686">
        <v>38</v>
      </c>
      <c r="Y286" s="687" t="s">
        <v>1585</v>
      </c>
      <c r="Z286" s="663" t="s">
        <v>1586</v>
      </c>
      <c r="AA286" s="663" t="s">
        <v>1586</v>
      </c>
      <c r="AB286" s="663" t="s">
        <v>1586</v>
      </c>
      <c r="AC286" s="663" t="s">
        <v>1586</v>
      </c>
      <c r="AD286" s="663" t="s">
        <v>825</v>
      </c>
      <c r="AE286" s="663" t="s">
        <v>825</v>
      </c>
      <c r="AF286" s="663" t="s">
        <v>1586</v>
      </c>
      <c r="AG286" s="663" t="s">
        <v>1587</v>
      </c>
      <c r="AH286" s="663" t="s">
        <v>1586</v>
      </c>
      <c r="AI286" s="688">
        <v>78.536585365853668</v>
      </c>
      <c r="AJ286" s="689" t="s">
        <v>1588</v>
      </c>
      <c r="AK286" s="690"/>
    </row>
    <row r="287" spans="1:37" s="653" customFormat="1">
      <c r="A287" s="655">
        <v>2024</v>
      </c>
      <c r="B287" s="656" t="str">
        <f>INDEX('①基本情報 '!$C$2:$C$255,MATCH('②建物情報 '!E287,'①基本情報 '!$E$2:$E$255,0),1)</f>
        <v>133</v>
      </c>
      <c r="C287" s="657" t="str">
        <f>INDEX('①基本情報 '!$B$2:$B$255,MATCH('②建物情報 '!E287,'①基本情報 '!$E$2:$E$255,0),1)</f>
        <v>0360</v>
      </c>
      <c r="D287" s="658" t="s">
        <v>2418</v>
      </c>
      <c r="E287" s="612" t="s">
        <v>942</v>
      </c>
      <c r="F287" s="721" t="str">
        <f>INDEX('①基本情報 '!$G$2:$G$255,MATCH('②建物情報 '!E287,'①基本情報 '!$E$2:$E$255,0),1)</f>
        <v>こども未来部次世代育成課</v>
      </c>
      <c r="G287" s="678" t="s">
        <v>1580</v>
      </c>
      <c r="H287" s="612" t="s">
        <v>942</v>
      </c>
      <c r="I287" s="663">
        <v>2013</v>
      </c>
      <c r="J287" s="663">
        <v>4</v>
      </c>
      <c r="K287" s="663">
        <f t="shared" si="4"/>
        <v>11</v>
      </c>
      <c r="L287" s="694"/>
      <c r="M287" s="704">
        <v>410.17</v>
      </c>
      <c r="N287" s="704">
        <v>410.17</v>
      </c>
      <c r="O287" s="681" t="s">
        <v>1812</v>
      </c>
      <c r="P287" s="663" t="s">
        <v>1942</v>
      </c>
      <c r="Q287" s="663">
        <v>2</v>
      </c>
      <c r="R287" s="690">
        <v>0</v>
      </c>
      <c r="S287" s="687" t="s">
        <v>1593</v>
      </c>
      <c r="T287" s="683" t="s">
        <v>825</v>
      </c>
      <c r="U287" s="683" t="s">
        <v>63</v>
      </c>
      <c r="V287" s="690"/>
      <c r="W287" s="687"/>
      <c r="X287" s="686">
        <v>34</v>
      </c>
      <c r="Y287" s="687" t="s">
        <v>825</v>
      </c>
      <c r="Z287" s="663" t="s">
        <v>825</v>
      </c>
      <c r="AA287" s="663" t="s">
        <v>825</v>
      </c>
      <c r="AB287" s="663" t="s">
        <v>825</v>
      </c>
      <c r="AC287" s="663" t="s">
        <v>825</v>
      </c>
      <c r="AD287" s="663" t="s">
        <v>825</v>
      </c>
      <c r="AE287" s="663" t="s">
        <v>825</v>
      </c>
      <c r="AF287" s="663" t="s">
        <v>825</v>
      </c>
      <c r="AG287" s="663" t="s">
        <v>825</v>
      </c>
      <c r="AH287" s="663" t="s">
        <v>825</v>
      </c>
      <c r="AI287" s="688" t="s">
        <v>825</v>
      </c>
      <c r="AJ287" s="689" t="s">
        <v>1588</v>
      </c>
      <c r="AK287" s="690"/>
    </row>
    <row r="288" spans="1:37" s="653" customFormat="1">
      <c r="A288" s="655">
        <v>2024</v>
      </c>
      <c r="B288" s="656" t="str">
        <f>INDEX('①基本情報 '!$C$2:$C$255,MATCH('②建物情報 '!E288,'①基本情報 '!$E$2:$E$255,0),1)</f>
        <v>134</v>
      </c>
      <c r="C288" s="657" t="str">
        <f>INDEX('①基本情報 '!$B$2:$B$255,MATCH('②建物情報 '!E288,'①基本情報 '!$E$2:$E$255,0),1)</f>
        <v>0361</v>
      </c>
      <c r="D288" s="658" t="s">
        <v>2418</v>
      </c>
      <c r="E288" s="612" t="s">
        <v>950</v>
      </c>
      <c r="F288" s="721" t="str">
        <f>INDEX('①基本情報 '!$G$2:$G$255,MATCH('②建物情報 '!E288,'①基本情報 '!$E$2:$E$255,0),1)</f>
        <v>こども未来部次世代育成課</v>
      </c>
      <c r="G288" s="678" t="s">
        <v>1580</v>
      </c>
      <c r="H288" s="612" t="s">
        <v>2353</v>
      </c>
      <c r="I288" s="663">
        <v>1973</v>
      </c>
      <c r="J288" s="663">
        <v>3</v>
      </c>
      <c r="K288" s="663">
        <f t="shared" si="4"/>
        <v>51</v>
      </c>
      <c r="L288" s="694">
        <v>1847</v>
      </c>
      <c r="M288" s="704">
        <v>1036.1400000000001</v>
      </c>
      <c r="N288" s="704">
        <v>787.88</v>
      </c>
      <c r="O288" s="681" t="s">
        <v>1812</v>
      </c>
      <c r="P288" s="663" t="s">
        <v>1581</v>
      </c>
      <c r="Q288" s="663">
        <v>2</v>
      </c>
      <c r="R288" s="690">
        <v>0</v>
      </c>
      <c r="S288" s="687" t="s">
        <v>1582</v>
      </c>
      <c r="T288" s="683" t="s">
        <v>1583</v>
      </c>
      <c r="U288" s="683" t="s">
        <v>63</v>
      </c>
      <c r="V288" s="690"/>
      <c r="W288" s="687"/>
      <c r="X288" s="686">
        <v>47</v>
      </c>
      <c r="Y288" s="687" t="s">
        <v>825</v>
      </c>
      <c r="Z288" s="663" t="s">
        <v>825</v>
      </c>
      <c r="AA288" s="663" t="s">
        <v>825</v>
      </c>
      <c r="AB288" s="663" t="s">
        <v>825</v>
      </c>
      <c r="AC288" s="663" t="s">
        <v>825</v>
      </c>
      <c r="AD288" s="663" t="s">
        <v>825</v>
      </c>
      <c r="AE288" s="663" t="s">
        <v>825</v>
      </c>
      <c r="AF288" s="663" t="s">
        <v>825</v>
      </c>
      <c r="AG288" s="663" t="s">
        <v>825</v>
      </c>
      <c r="AH288" s="663" t="s">
        <v>825</v>
      </c>
      <c r="AI288" s="688" t="s">
        <v>825</v>
      </c>
      <c r="AJ288" s="689" t="s">
        <v>1588</v>
      </c>
      <c r="AK288" s="690"/>
    </row>
    <row r="289" spans="1:37" s="653" customFormat="1">
      <c r="A289" s="655">
        <v>2024</v>
      </c>
      <c r="B289" s="656" t="str">
        <f>INDEX('①基本情報 '!$C$2:$C$255,MATCH('②建物情報 '!E289,'①基本情報 '!$E$2:$E$255,0),1)</f>
        <v>135</v>
      </c>
      <c r="C289" s="657" t="str">
        <f>INDEX('①基本情報 '!$B$2:$B$255,MATCH('②建物情報 '!E289,'①基本情報 '!$E$2:$E$255,0),1)</f>
        <v>0377</v>
      </c>
      <c r="D289" s="658" t="s">
        <v>2418</v>
      </c>
      <c r="E289" s="612" t="s">
        <v>2781</v>
      </c>
      <c r="F289" s="721" t="str">
        <f>INDEX('①基本情報 '!$G$2:$G$255,MATCH('②建物情報 '!E289,'①基本情報 '!$E$2:$E$255,0),1)</f>
        <v>こども未来部次世代育成課</v>
      </c>
      <c r="G289" s="678" t="s">
        <v>1944</v>
      </c>
      <c r="H289" s="612" t="s">
        <v>2781</v>
      </c>
      <c r="I289" s="663">
        <v>2024</v>
      </c>
      <c r="J289" s="663">
        <v>3</v>
      </c>
      <c r="K289" s="663">
        <v>0</v>
      </c>
      <c r="L289" s="694"/>
      <c r="M289" s="704">
        <v>596.04999999999995</v>
      </c>
      <c r="N289" s="704">
        <v>596.04999999999995</v>
      </c>
      <c r="O289" s="681" t="s">
        <v>1812</v>
      </c>
      <c r="P289" s="663" t="s">
        <v>1942</v>
      </c>
      <c r="Q289" s="663">
        <v>2</v>
      </c>
      <c r="R289" s="690">
        <v>0</v>
      </c>
      <c r="S289" s="687" t="s">
        <v>1927</v>
      </c>
      <c r="T289" s="683" t="s">
        <v>1966</v>
      </c>
      <c r="U289" s="683" t="s">
        <v>2087</v>
      </c>
      <c r="V289" s="690"/>
      <c r="W289" s="687"/>
      <c r="X289" s="686">
        <v>34</v>
      </c>
      <c r="Y289" s="687" t="s">
        <v>1587</v>
      </c>
      <c r="Z289" s="663" t="s">
        <v>1587</v>
      </c>
      <c r="AA289" s="663" t="s">
        <v>1587</v>
      </c>
      <c r="AB289" s="663" t="s">
        <v>825</v>
      </c>
      <c r="AC289" s="663" t="s">
        <v>1587</v>
      </c>
      <c r="AD289" s="663" t="s">
        <v>1587</v>
      </c>
      <c r="AE289" s="663" t="s">
        <v>825</v>
      </c>
      <c r="AF289" s="663" t="s">
        <v>1587</v>
      </c>
      <c r="AG289" s="663" t="s">
        <v>1587</v>
      </c>
      <c r="AH289" s="663" t="s">
        <v>1587</v>
      </c>
      <c r="AI289" s="688">
        <v>0</v>
      </c>
      <c r="AJ289" s="689" t="s">
        <v>1588</v>
      </c>
      <c r="AK289" s="690"/>
    </row>
    <row r="290" spans="1:37" s="653" customFormat="1">
      <c r="A290" s="655">
        <v>2024</v>
      </c>
      <c r="B290" s="656" t="str">
        <f>INDEX('①基本情報 '!$C$2:$C$255,MATCH('②建物情報 '!E290,'①基本情報 '!$E$2:$E$255,0),1)</f>
        <v>136</v>
      </c>
      <c r="C290" s="657" t="str">
        <f>INDEX('①基本情報 '!$B$2:$B$255,MATCH('②建物情報 '!E290,'①基本情報 '!$E$2:$E$255,0),1)</f>
        <v>0363</v>
      </c>
      <c r="D290" s="658" t="s">
        <v>2418</v>
      </c>
      <c r="E290" s="612" t="s">
        <v>868</v>
      </c>
      <c r="F290" s="721" t="str">
        <f>INDEX('①基本情報 '!$G$2:$G$255,MATCH('②建物情報 '!E290,'①基本情報 '!$E$2:$E$255,0),1)</f>
        <v>こども未来部次世代育成課</v>
      </c>
      <c r="G290" s="678" t="s">
        <v>1580</v>
      </c>
      <c r="H290" s="612" t="s">
        <v>2354</v>
      </c>
      <c r="I290" s="663">
        <v>1979</v>
      </c>
      <c r="J290" s="663">
        <v>8</v>
      </c>
      <c r="K290" s="663">
        <f t="shared" si="4"/>
        <v>45</v>
      </c>
      <c r="L290" s="694">
        <v>956</v>
      </c>
      <c r="M290" s="704">
        <v>4027</v>
      </c>
      <c r="N290" s="704">
        <v>0</v>
      </c>
      <c r="O290" s="681" t="s">
        <v>1813</v>
      </c>
      <c r="P290" s="663" t="s">
        <v>1581</v>
      </c>
      <c r="Q290" s="663">
        <v>5</v>
      </c>
      <c r="R290" s="690">
        <v>0</v>
      </c>
      <c r="S290" s="687" t="s">
        <v>1582</v>
      </c>
      <c r="T290" s="683" t="s">
        <v>1583</v>
      </c>
      <c r="U290" s="683" t="s">
        <v>63</v>
      </c>
      <c r="V290" s="690">
        <v>2005</v>
      </c>
      <c r="W290" s="687">
        <v>2006</v>
      </c>
      <c r="X290" s="686">
        <v>47</v>
      </c>
      <c r="Y290" s="687" t="s">
        <v>825</v>
      </c>
      <c r="Z290" s="663" t="s">
        <v>825</v>
      </c>
      <c r="AA290" s="663" t="s">
        <v>825</v>
      </c>
      <c r="AB290" s="663" t="s">
        <v>825</v>
      </c>
      <c r="AC290" s="663" t="s">
        <v>825</v>
      </c>
      <c r="AD290" s="663" t="s">
        <v>825</v>
      </c>
      <c r="AE290" s="663" t="s">
        <v>825</v>
      </c>
      <c r="AF290" s="663" t="s">
        <v>825</v>
      </c>
      <c r="AG290" s="663" t="s">
        <v>825</v>
      </c>
      <c r="AH290" s="663" t="s">
        <v>825</v>
      </c>
      <c r="AI290" s="688" t="s">
        <v>825</v>
      </c>
      <c r="AJ290" s="689" t="s">
        <v>1588</v>
      </c>
      <c r="AK290" s="690"/>
    </row>
    <row r="291" spans="1:37" s="653" customFormat="1">
      <c r="A291" s="655">
        <v>2024</v>
      </c>
      <c r="B291" s="656" t="str">
        <f>INDEX('①基本情報 '!$C$2:$C$255,MATCH('②建物情報 '!E291,'①基本情報 '!$E$2:$E$255,0),1)</f>
        <v>137</v>
      </c>
      <c r="C291" s="657" t="str">
        <f>INDEX('①基本情報 '!$B$2:$B$255,MATCH('②建物情報 '!E291,'①基本情報 '!$E$2:$E$255,0),1)</f>
        <v>0364</v>
      </c>
      <c r="D291" s="658" t="s">
        <v>2418</v>
      </c>
      <c r="E291" s="612" t="s">
        <v>875</v>
      </c>
      <c r="F291" s="721" t="str">
        <f>INDEX('①基本情報 '!$G$2:$G$255,MATCH('②建物情報 '!E291,'①基本情報 '!$E$2:$E$255,0),1)</f>
        <v>こども未来部次世代育成課</v>
      </c>
      <c r="G291" s="678" t="s">
        <v>1580</v>
      </c>
      <c r="H291" s="612" t="s">
        <v>2355</v>
      </c>
      <c r="I291" s="663">
        <v>1979</v>
      </c>
      <c r="J291" s="663">
        <v>8</v>
      </c>
      <c r="K291" s="663">
        <f t="shared" si="4"/>
        <v>45</v>
      </c>
      <c r="L291" s="694">
        <v>546</v>
      </c>
      <c r="M291" s="704">
        <v>2301</v>
      </c>
      <c r="N291" s="704">
        <v>0</v>
      </c>
      <c r="O291" s="681" t="s">
        <v>1813</v>
      </c>
      <c r="P291" s="663" t="s">
        <v>1581</v>
      </c>
      <c r="Q291" s="663">
        <v>5</v>
      </c>
      <c r="R291" s="690">
        <v>0</v>
      </c>
      <c r="S291" s="687" t="s">
        <v>1582</v>
      </c>
      <c r="T291" s="683" t="s">
        <v>1583</v>
      </c>
      <c r="U291" s="683" t="s">
        <v>63</v>
      </c>
      <c r="V291" s="690">
        <v>2006</v>
      </c>
      <c r="W291" s="687">
        <v>2007</v>
      </c>
      <c r="X291" s="686">
        <v>47</v>
      </c>
      <c r="Y291" s="687" t="s">
        <v>825</v>
      </c>
      <c r="Z291" s="663" t="s">
        <v>825</v>
      </c>
      <c r="AA291" s="663" t="s">
        <v>825</v>
      </c>
      <c r="AB291" s="663" t="s">
        <v>825</v>
      </c>
      <c r="AC291" s="663" t="s">
        <v>825</v>
      </c>
      <c r="AD291" s="663" t="s">
        <v>825</v>
      </c>
      <c r="AE291" s="663" t="s">
        <v>825</v>
      </c>
      <c r="AF291" s="663" t="s">
        <v>825</v>
      </c>
      <c r="AG291" s="663" t="s">
        <v>825</v>
      </c>
      <c r="AH291" s="663" t="s">
        <v>825</v>
      </c>
      <c r="AI291" s="688" t="s">
        <v>825</v>
      </c>
      <c r="AJ291" s="689" t="s">
        <v>1588</v>
      </c>
      <c r="AK291" s="690"/>
    </row>
    <row r="292" spans="1:37" s="653" customFormat="1">
      <c r="A292" s="655">
        <v>2024</v>
      </c>
      <c r="B292" s="656" t="str">
        <f>INDEX('①基本情報 '!$C$2:$C$255,MATCH('②建物情報 '!E292,'①基本情報 '!$E$2:$E$255,0),1)</f>
        <v>138</v>
      </c>
      <c r="C292" s="657" t="str">
        <f>INDEX('①基本情報 '!$B$2:$B$255,MATCH('②建物情報 '!E292,'①基本情報 '!$E$2:$E$255,0),1)</f>
        <v>0365</v>
      </c>
      <c r="D292" s="658" t="s">
        <v>2418</v>
      </c>
      <c r="E292" s="612" t="s">
        <v>881</v>
      </c>
      <c r="F292" s="721" t="str">
        <f>INDEX('①基本情報 '!$G$2:$G$255,MATCH('②建物情報 '!E292,'①基本情報 '!$E$2:$E$255,0),1)</f>
        <v>こども未来部次世代育成課</v>
      </c>
      <c r="G292" s="678" t="s">
        <v>1580</v>
      </c>
      <c r="H292" s="612" t="s">
        <v>2356</v>
      </c>
      <c r="I292" s="663">
        <v>1969</v>
      </c>
      <c r="J292" s="663">
        <v>3</v>
      </c>
      <c r="K292" s="663">
        <f t="shared" si="4"/>
        <v>55</v>
      </c>
      <c r="L292" s="694">
        <v>539</v>
      </c>
      <c r="M292" s="704">
        <v>2186</v>
      </c>
      <c r="N292" s="704">
        <v>0</v>
      </c>
      <c r="O292" s="681" t="s">
        <v>1813</v>
      </c>
      <c r="P292" s="663" t="s">
        <v>1581</v>
      </c>
      <c r="Q292" s="663">
        <v>4</v>
      </c>
      <c r="R292" s="690">
        <v>0</v>
      </c>
      <c r="S292" s="687" t="s">
        <v>1582</v>
      </c>
      <c r="T292" s="683" t="s">
        <v>1583</v>
      </c>
      <c r="U292" s="683" t="s">
        <v>63</v>
      </c>
      <c r="V292" s="690">
        <v>2009</v>
      </c>
      <c r="W292" s="687">
        <v>2009</v>
      </c>
      <c r="X292" s="686">
        <v>47</v>
      </c>
      <c r="Y292" s="687" t="s">
        <v>825</v>
      </c>
      <c r="Z292" s="663" t="s">
        <v>825</v>
      </c>
      <c r="AA292" s="663" t="s">
        <v>825</v>
      </c>
      <c r="AB292" s="663" t="s">
        <v>825</v>
      </c>
      <c r="AC292" s="663" t="s">
        <v>825</v>
      </c>
      <c r="AD292" s="663" t="s">
        <v>825</v>
      </c>
      <c r="AE292" s="663" t="s">
        <v>825</v>
      </c>
      <c r="AF292" s="663" t="s">
        <v>825</v>
      </c>
      <c r="AG292" s="663" t="s">
        <v>825</v>
      </c>
      <c r="AH292" s="663" t="s">
        <v>825</v>
      </c>
      <c r="AI292" s="688" t="s">
        <v>825</v>
      </c>
      <c r="AJ292" s="689" t="s">
        <v>1588</v>
      </c>
      <c r="AK292" s="690"/>
    </row>
    <row r="293" spans="1:37" s="653" customFormat="1">
      <c r="A293" s="655">
        <v>2024</v>
      </c>
      <c r="B293" s="656" t="str">
        <f>INDEX('①基本情報 '!$C$2:$C$255,MATCH('②建物情報 '!E293,'①基本情報 '!$E$2:$E$255,0),1)</f>
        <v>139</v>
      </c>
      <c r="C293" s="657" t="str">
        <f>INDEX('①基本情報 '!$B$2:$B$255,MATCH('②建物情報 '!E293,'①基本情報 '!$E$2:$E$255,0),1)</f>
        <v>0366</v>
      </c>
      <c r="D293" s="658" t="s">
        <v>2418</v>
      </c>
      <c r="E293" s="612" t="s">
        <v>887</v>
      </c>
      <c r="F293" s="721" t="str">
        <f>INDEX('①基本情報 '!$G$2:$G$255,MATCH('②建物情報 '!E293,'①基本情報 '!$E$2:$E$255,0),1)</f>
        <v>こども未来部次世代育成課</v>
      </c>
      <c r="G293" s="678" t="s">
        <v>1580</v>
      </c>
      <c r="H293" s="612" t="s">
        <v>2357</v>
      </c>
      <c r="I293" s="663">
        <v>2000</v>
      </c>
      <c r="J293" s="663">
        <v>10</v>
      </c>
      <c r="K293" s="663">
        <f t="shared" si="4"/>
        <v>24</v>
      </c>
      <c r="L293" s="694">
        <v>180</v>
      </c>
      <c r="M293" s="704">
        <v>540</v>
      </c>
      <c r="N293" s="704">
        <v>0</v>
      </c>
      <c r="O293" s="681" t="s">
        <v>1812</v>
      </c>
      <c r="P293" s="663" t="s">
        <v>1603</v>
      </c>
      <c r="Q293" s="663">
        <v>3</v>
      </c>
      <c r="R293" s="690">
        <v>0</v>
      </c>
      <c r="S293" s="687" t="s">
        <v>1593</v>
      </c>
      <c r="T293" s="683" t="s">
        <v>825</v>
      </c>
      <c r="U293" s="683" t="s">
        <v>63</v>
      </c>
      <c r="V293" s="690"/>
      <c r="W293" s="687"/>
      <c r="X293" s="686">
        <v>34</v>
      </c>
      <c r="Y293" s="687" t="s">
        <v>825</v>
      </c>
      <c r="Z293" s="663" t="s">
        <v>825</v>
      </c>
      <c r="AA293" s="663" t="s">
        <v>825</v>
      </c>
      <c r="AB293" s="663" t="s">
        <v>825</v>
      </c>
      <c r="AC293" s="663" t="s">
        <v>825</v>
      </c>
      <c r="AD293" s="663" t="s">
        <v>825</v>
      </c>
      <c r="AE293" s="663" t="s">
        <v>825</v>
      </c>
      <c r="AF293" s="663" t="s">
        <v>825</v>
      </c>
      <c r="AG293" s="663" t="s">
        <v>825</v>
      </c>
      <c r="AH293" s="663" t="s">
        <v>825</v>
      </c>
      <c r="AI293" s="688" t="s">
        <v>825</v>
      </c>
      <c r="AJ293" s="689" t="s">
        <v>1588</v>
      </c>
      <c r="AK293" s="690"/>
    </row>
    <row r="294" spans="1:37" s="653" customFormat="1">
      <c r="A294" s="655">
        <v>2024</v>
      </c>
      <c r="B294" s="656" t="str">
        <f>INDEX('①基本情報 '!$C$2:$C$255,MATCH('②建物情報 '!E294,'①基本情報 '!$E$2:$E$255,0),1)</f>
        <v>140</v>
      </c>
      <c r="C294" s="657" t="str">
        <f>INDEX('①基本情報 '!$B$2:$B$255,MATCH('②建物情報 '!E294,'①基本情報 '!$E$2:$E$255,0),1)</f>
        <v>0367</v>
      </c>
      <c r="D294" s="658" t="s">
        <v>2418</v>
      </c>
      <c r="E294" s="612" t="s">
        <v>894</v>
      </c>
      <c r="F294" s="721" t="str">
        <f>INDEX('①基本情報 '!$G$2:$G$255,MATCH('②建物情報 '!E294,'①基本情報 '!$E$2:$E$255,0),1)</f>
        <v>こども未来部次世代育成課</v>
      </c>
      <c r="G294" s="678" t="s">
        <v>1580</v>
      </c>
      <c r="H294" s="612" t="s">
        <v>894</v>
      </c>
      <c r="I294" s="663">
        <v>2006</v>
      </c>
      <c r="J294" s="663">
        <v>7</v>
      </c>
      <c r="K294" s="663">
        <f t="shared" si="4"/>
        <v>18</v>
      </c>
      <c r="L294" s="694"/>
      <c r="M294" s="704">
        <v>160.74</v>
      </c>
      <c r="N294" s="704">
        <v>160.74</v>
      </c>
      <c r="O294" s="681" t="s">
        <v>1813</v>
      </c>
      <c r="P294" s="663" t="s">
        <v>1942</v>
      </c>
      <c r="Q294" s="663">
        <v>1</v>
      </c>
      <c r="R294" s="690">
        <v>0</v>
      </c>
      <c r="S294" s="687" t="s">
        <v>1593</v>
      </c>
      <c r="T294" s="683" t="s">
        <v>825</v>
      </c>
      <c r="U294" s="683" t="s">
        <v>63</v>
      </c>
      <c r="V294" s="690"/>
      <c r="W294" s="687"/>
      <c r="X294" s="702">
        <v>34</v>
      </c>
      <c r="Y294" s="687" t="s">
        <v>825</v>
      </c>
      <c r="Z294" s="663" t="s">
        <v>825</v>
      </c>
      <c r="AA294" s="663" t="s">
        <v>825</v>
      </c>
      <c r="AB294" s="663" t="s">
        <v>825</v>
      </c>
      <c r="AC294" s="663" t="s">
        <v>825</v>
      </c>
      <c r="AD294" s="663" t="s">
        <v>825</v>
      </c>
      <c r="AE294" s="663" t="s">
        <v>825</v>
      </c>
      <c r="AF294" s="663" t="s">
        <v>825</v>
      </c>
      <c r="AG294" s="663" t="s">
        <v>825</v>
      </c>
      <c r="AH294" s="663" t="s">
        <v>825</v>
      </c>
      <c r="AI294" s="688" t="s">
        <v>825</v>
      </c>
      <c r="AJ294" s="689" t="s">
        <v>1588</v>
      </c>
      <c r="AK294" s="690"/>
    </row>
    <row r="295" spans="1:37" s="653" customFormat="1">
      <c r="A295" s="655">
        <v>2024</v>
      </c>
      <c r="B295" s="656" t="str">
        <f>INDEX('①基本情報 '!$C$2:$C$255,MATCH('②建物情報 '!E295,'①基本情報 '!$E$2:$E$255,0),1)</f>
        <v>141</v>
      </c>
      <c r="C295" s="657" t="str">
        <f>INDEX('①基本情報 '!$B$2:$B$255,MATCH('②建物情報 '!E295,'①基本情報 '!$E$2:$E$255,0),1)</f>
        <v>0368</v>
      </c>
      <c r="D295" s="658" t="s">
        <v>2418</v>
      </c>
      <c r="E295" s="612" t="s">
        <v>899</v>
      </c>
      <c r="F295" s="721" t="str">
        <f>INDEX('①基本情報 '!$G$2:$G$255,MATCH('②建物情報 '!E295,'①基本情報 '!$E$2:$E$255,0),1)</f>
        <v>こども未来部次世代育成課</v>
      </c>
      <c r="G295" s="678" t="s">
        <v>1580</v>
      </c>
      <c r="H295" s="612" t="s">
        <v>899</v>
      </c>
      <c r="I295" s="663">
        <v>2010</v>
      </c>
      <c r="J295" s="663">
        <v>2</v>
      </c>
      <c r="K295" s="663">
        <f t="shared" si="4"/>
        <v>14</v>
      </c>
      <c r="L295" s="694"/>
      <c r="M295" s="704">
        <v>198.74</v>
      </c>
      <c r="N295" s="704">
        <v>198.74</v>
      </c>
      <c r="O295" s="681" t="s">
        <v>1812</v>
      </c>
      <c r="P295" s="663" t="s">
        <v>1942</v>
      </c>
      <c r="Q295" s="663">
        <v>2</v>
      </c>
      <c r="R295" s="690">
        <v>0</v>
      </c>
      <c r="S295" s="687" t="s">
        <v>1593</v>
      </c>
      <c r="T295" s="683" t="s">
        <v>825</v>
      </c>
      <c r="U295" s="683" t="s">
        <v>63</v>
      </c>
      <c r="V295" s="690"/>
      <c r="W295" s="687"/>
      <c r="X295" s="702">
        <v>34</v>
      </c>
      <c r="Y295" s="687" t="s">
        <v>825</v>
      </c>
      <c r="Z295" s="663" t="s">
        <v>825</v>
      </c>
      <c r="AA295" s="663" t="s">
        <v>825</v>
      </c>
      <c r="AB295" s="663" t="s">
        <v>825</v>
      </c>
      <c r="AC295" s="663" t="s">
        <v>825</v>
      </c>
      <c r="AD295" s="663" t="s">
        <v>825</v>
      </c>
      <c r="AE295" s="663" t="s">
        <v>825</v>
      </c>
      <c r="AF295" s="663" t="s">
        <v>825</v>
      </c>
      <c r="AG295" s="663" t="s">
        <v>825</v>
      </c>
      <c r="AH295" s="663" t="s">
        <v>825</v>
      </c>
      <c r="AI295" s="688" t="s">
        <v>825</v>
      </c>
      <c r="AJ295" s="689" t="s">
        <v>1588</v>
      </c>
      <c r="AK295" s="690"/>
    </row>
    <row r="296" spans="1:37" s="653" customFormat="1">
      <c r="A296" s="655">
        <v>2024</v>
      </c>
      <c r="B296" s="656" t="str">
        <f>INDEX('①基本情報 '!$C$2:$C$255,MATCH('②建物情報 '!E296,'①基本情報 '!$E$2:$E$255,0),1)</f>
        <v>142</v>
      </c>
      <c r="C296" s="657" t="str">
        <f>INDEX('①基本情報 '!$B$2:$B$255,MATCH('②建物情報 '!E296,'①基本情報 '!$E$2:$E$255,0),1)</f>
        <v>0369</v>
      </c>
      <c r="D296" s="658" t="s">
        <v>2418</v>
      </c>
      <c r="E296" s="612" t="s">
        <v>904</v>
      </c>
      <c r="F296" s="721" t="str">
        <f>INDEX('①基本情報 '!$G$2:$G$255,MATCH('②建物情報 '!E296,'①基本情報 '!$E$2:$E$255,0),1)</f>
        <v>こども未来部次世代育成課</v>
      </c>
      <c r="G296" s="678" t="s">
        <v>1580</v>
      </c>
      <c r="H296" s="612" t="s">
        <v>2358</v>
      </c>
      <c r="I296" s="663">
        <v>2008</v>
      </c>
      <c r="J296" s="663">
        <v>3</v>
      </c>
      <c r="K296" s="663">
        <f t="shared" si="4"/>
        <v>16</v>
      </c>
      <c r="L296" s="694">
        <v>141</v>
      </c>
      <c r="M296" s="704">
        <v>497</v>
      </c>
      <c r="N296" s="704">
        <v>211.64</v>
      </c>
      <c r="O296" s="681" t="s">
        <v>1813</v>
      </c>
      <c r="P296" s="663" t="s">
        <v>1603</v>
      </c>
      <c r="Q296" s="663">
        <v>2</v>
      </c>
      <c r="R296" s="690">
        <v>0</v>
      </c>
      <c r="S296" s="687" t="s">
        <v>1593</v>
      </c>
      <c r="T296" s="683" t="s">
        <v>825</v>
      </c>
      <c r="U296" s="663" t="s">
        <v>63</v>
      </c>
      <c r="V296" s="690"/>
      <c r="W296" s="687"/>
      <c r="X296" s="702">
        <v>34</v>
      </c>
      <c r="Y296" s="687" t="s">
        <v>825</v>
      </c>
      <c r="Z296" s="663" t="s">
        <v>825</v>
      </c>
      <c r="AA296" s="663" t="s">
        <v>825</v>
      </c>
      <c r="AB296" s="663" t="s">
        <v>825</v>
      </c>
      <c r="AC296" s="663" t="s">
        <v>825</v>
      </c>
      <c r="AD296" s="663" t="s">
        <v>825</v>
      </c>
      <c r="AE296" s="663" t="s">
        <v>825</v>
      </c>
      <c r="AF296" s="663" t="s">
        <v>825</v>
      </c>
      <c r="AG296" s="663" t="s">
        <v>825</v>
      </c>
      <c r="AH296" s="663" t="s">
        <v>825</v>
      </c>
      <c r="AI296" s="688" t="s">
        <v>825</v>
      </c>
      <c r="AJ296" s="689" t="s">
        <v>1588</v>
      </c>
      <c r="AK296" s="690"/>
    </row>
    <row r="297" spans="1:37" s="653" customFormat="1">
      <c r="A297" s="655">
        <v>2024</v>
      </c>
      <c r="B297" s="656" t="str">
        <f>INDEX('①基本情報 '!$C$2:$C$255,MATCH('②建物情報 '!E297,'①基本情報 '!$E$2:$E$255,0),1)</f>
        <v>143</v>
      </c>
      <c r="C297" s="657" t="str">
        <f>INDEX('①基本情報 '!$B$2:$B$255,MATCH('②建物情報 '!E297,'①基本情報 '!$E$2:$E$255,0),1)</f>
        <v>0370</v>
      </c>
      <c r="D297" s="658" t="s">
        <v>2418</v>
      </c>
      <c r="E297" s="612" t="s">
        <v>909</v>
      </c>
      <c r="F297" s="721" t="str">
        <f>INDEX('①基本情報 '!$G$2:$G$255,MATCH('②建物情報 '!E297,'①基本情報 '!$E$2:$E$255,0),1)</f>
        <v>こども未来部次世代育成課</v>
      </c>
      <c r="G297" s="678" t="s">
        <v>1580</v>
      </c>
      <c r="H297" s="612" t="s">
        <v>2359</v>
      </c>
      <c r="I297" s="663">
        <v>1971</v>
      </c>
      <c r="J297" s="663">
        <v>5</v>
      </c>
      <c r="K297" s="663">
        <f t="shared" si="4"/>
        <v>53</v>
      </c>
      <c r="L297" s="694">
        <v>541</v>
      </c>
      <c r="M297" s="704">
        <v>2192</v>
      </c>
      <c r="N297" s="704">
        <v>0</v>
      </c>
      <c r="O297" s="681" t="s">
        <v>1813</v>
      </c>
      <c r="P297" s="663" t="s">
        <v>1581</v>
      </c>
      <c r="Q297" s="663">
        <v>4</v>
      </c>
      <c r="R297" s="690">
        <v>0</v>
      </c>
      <c r="S297" s="687" t="s">
        <v>1582</v>
      </c>
      <c r="T297" s="683" t="s">
        <v>1583</v>
      </c>
      <c r="U297" s="683" t="s">
        <v>63</v>
      </c>
      <c r="V297" s="690">
        <v>2010</v>
      </c>
      <c r="W297" s="687">
        <v>2010</v>
      </c>
      <c r="X297" s="686">
        <v>47</v>
      </c>
      <c r="Y297" s="687" t="s">
        <v>825</v>
      </c>
      <c r="Z297" s="663" t="s">
        <v>825</v>
      </c>
      <c r="AA297" s="663" t="s">
        <v>825</v>
      </c>
      <c r="AB297" s="663" t="s">
        <v>825</v>
      </c>
      <c r="AC297" s="663" t="s">
        <v>825</v>
      </c>
      <c r="AD297" s="663" t="s">
        <v>825</v>
      </c>
      <c r="AE297" s="663" t="s">
        <v>825</v>
      </c>
      <c r="AF297" s="663" t="s">
        <v>825</v>
      </c>
      <c r="AG297" s="663" t="s">
        <v>825</v>
      </c>
      <c r="AH297" s="663" t="s">
        <v>825</v>
      </c>
      <c r="AI297" s="688" t="s">
        <v>825</v>
      </c>
      <c r="AJ297" s="689" t="s">
        <v>1588</v>
      </c>
      <c r="AK297" s="690"/>
    </row>
    <row r="298" spans="1:37" s="653" customFormat="1">
      <c r="A298" s="655">
        <v>2024</v>
      </c>
      <c r="B298" s="656" t="str">
        <f>INDEX('①基本情報 '!$C$2:$C$255,MATCH('②建物情報 '!E298,'①基本情報 '!$E$2:$E$255,0),1)</f>
        <v>144</v>
      </c>
      <c r="C298" s="657" t="str">
        <f>INDEX('①基本情報 '!$B$2:$B$255,MATCH('②建物情報 '!E298,'①基本情報 '!$E$2:$E$255,0),1)</f>
        <v>0371</v>
      </c>
      <c r="D298" s="658" t="s">
        <v>2418</v>
      </c>
      <c r="E298" s="612" t="s">
        <v>914</v>
      </c>
      <c r="F298" s="721" t="str">
        <f>INDEX('①基本情報 '!$G$2:$G$255,MATCH('②建物情報 '!E298,'①基本情報 '!$E$2:$E$255,0),1)</f>
        <v>こども未来部次世代育成課</v>
      </c>
      <c r="G298" s="678" t="s">
        <v>1580</v>
      </c>
      <c r="H298" s="612" t="s">
        <v>2360</v>
      </c>
      <c r="I298" s="663">
        <v>1973</v>
      </c>
      <c r="J298" s="663">
        <v>3</v>
      </c>
      <c r="K298" s="663">
        <f t="shared" si="4"/>
        <v>51</v>
      </c>
      <c r="L298" s="694">
        <v>550</v>
      </c>
      <c r="M298" s="704">
        <v>2351</v>
      </c>
      <c r="N298" s="704">
        <v>0</v>
      </c>
      <c r="O298" s="681" t="s">
        <v>1813</v>
      </c>
      <c r="P298" s="663" t="s">
        <v>1581</v>
      </c>
      <c r="Q298" s="663">
        <v>5</v>
      </c>
      <c r="R298" s="690">
        <v>0</v>
      </c>
      <c r="S298" s="687" t="s">
        <v>1582</v>
      </c>
      <c r="T298" s="683" t="s">
        <v>1583</v>
      </c>
      <c r="U298" s="683" t="s">
        <v>63</v>
      </c>
      <c r="V298" s="690">
        <v>2009</v>
      </c>
      <c r="W298" s="687">
        <v>2009</v>
      </c>
      <c r="X298" s="686">
        <v>47</v>
      </c>
      <c r="Y298" s="687" t="s">
        <v>825</v>
      </c>
      <c r="Z298" s="663" t="s">
        <v>825</v>
      </c>
      <c r="AA298" s="663" t="s">
        <v>825</v>
      </c>
      <c r="AB298" s="663" t="s">
        <v>825</v>
      </c>
      <c r="AC298" s="663" t="s">
        <v>825</v>
      </c>
      <c r="AD298" s="663" t="s">
        <v>825</v>
      </c>
      <c r="AE298" s="663" t="s">
        <v>825</v>
      </c>
      <c r="AF298" s="663" t="s">
        <v>825</v>
      </c>
      <c r="AG298" s="663" t="s">
        <v>825</v>
      </c>
      <c r="AH298" s="663" t="s">
        <v>825</v>
      </c>
      <c r="AI298" s="688" t="s">
        <v>825</v>
      </c>
      <c r="AJ298" s="689" t="s">
        <v>1588</v>
      </c>
      <c r="AK298" s="690"/>
    </row>
    <row r="299" spans="1:37" s="653" customFormat="1">
      <c r="A299" s="655">
        <v>2024</v>
      </c>
      <c r="B299" s="656" t="str">
        <f>INDEX('①基本情報 '!$C$2:$C$255,MATCH('②建物情報 '!E299,'①基本情報 '!$E$2:$E$255,0),1)</f>
        <v>145</v>
      </c>
      <c r="C299" s="657" t="str">
        <f>INDEX('①基本情報 '!$B$2:$B$255,MATCH('②建物情報 '!E299,'①基本情報 '!$E$2:$E$255,0),1)</f>
        <v>0372</v>
      </c>
      <c r="D299" s="658" t="s">
        <v>2418</v>
      </c>
      <c r="E299" s="612" t="s">
        <v>919</v>
      </c>
      <c r="F299" s="721" t="str">
        <f>INDEX('①基本情報 '!$G$2:$G$255,MATCH('②建物情報 '!E299,'①基本情報 '!$E$2:$E$255,0),1)</f>
        <v>こども未来部次世代育成課</v>
      </c>
      <c r="G299" s="678" t="s">
        <v>1580</v>
      </c>
      <c r="H299" s="612" t="s">
        <v>2361</v>
      </c>
      <c r="I299" s="663">
        <v>1975</v>
      </c>
      <c r="J299" s="663">
        <v>5</v>
      </c>
      <c r="K299" s="663">
        <f t="shared" si="4"/>
        <v>49</v>
      </c>
      <c r="L299" s="694">
        <v>172</v>
      </c>
      <c r="M299" s="704">
        <v>688</v>
      </c>
      <c r="N299" s="704">
        <v>0</v>
      </c>
      <c r="O299" s="681" t="s">
        <v>1813</v>
      </c>
      <c r="P299" s="663" t="s">
        <v>1581</v>
      </c>
      <c r="Q299" s="663">
        <v>4</v>
      </c>
      <c r="R299" s="690">
        <v>0</v>
      </c>
      <c r="S299" s="687" t="s">
        <v>1582</v>
      </c>
      <c r="T299" s="683" t="s">
        <v>1583</v>
      </c>
      <c r="U299" s="683" t="s">
        <v>63</v>
      </c>
      <c r="V299" s="690">
        <v>2011</v>
      </c>
      <c r="W299" s="687">
        <v>2011</v>
      </c>
      <c r="X299" s="686">
        <v>47</v>
      </c>
      <c r="Y299" s="687" t="s">
        <v>825</v>
      </c>
      <c r="Z299" s="663" t="s">
        <v>825</v>
      </c>
      <c r="AA299" s="663" t="s">
        <v>825</v>
      </c>
      <c r="AB299" s="663" t="s">
        <v>825</v>
      </c>
      <c r="AC299" s="663" t="s">
        <v>825</v>
      </c>
      <c r="AD299" s="663" t="s">
        <v>825</v>
      </c>
      <c r="AE299" s="663" t="s">
        <v>825</v>
      </c>
      <c r="AF299" s="663" t="s">
        <v>825</v>
      </c>
      <c r="AG299" s="663" t="s">
        <v>825</v>
      </c>
      <c r="AH299" s="663" t="s">
        <v>825</v>
      </c>
      <c r="AI299" s="688" t="s">
        <v>825</v>
      </c>
      <c r="AJ299" s="689" t="s">
        <v>1588</v>
      </c>
      <c r="AK299" s="690"/>
    </row>
    <row r="300" spans="1:37" s="653" customFormat="1">
      <c r="A300" s="655">
        <v>2024</v>
      </c>
      <c r="B300" s="656" t="str">
        <f>INDEX('①基本情報 '!$C$2:$C$255,MATCH('②建物情報 '!E300,'①基本情報 '!$E$2:$E$255,0),1)</f>
        <v>146</v>
      </c>
      <c r="C300" s="657" t="str">
        <f>INDEX('①基本情報 '!$B$2:$B$255,MATCH('②建物情報 '!E300,'①基本情報 '!$E$2:$E$255,0),1)</f>
        <v>0373</v>
      </c>
      <c r="D300" s="658" t="s">
        <v>2418</v>
      </c>
      <c r="E300" s="612" t="s">
        <v>924</v>
      </c>
      <c r="F300" s="721" t="str">
        <f>INDEX('①基本情報 '!$G$2:$G$255,MATCH('②建物情報 '!E300,'①基本情報 '!$E$2:$E$255,0),1)</f>
        <v>こども未来部次世代育成課</v>
      </c>
      <c r="G300" s="678" t="s">
        <v>1580</v>
      </c>
      <c r="H300" s="612" t="s">
        <v>2362</v>
      </c>
      <c r="I300" s="663">
        <v>1974</v>
      </c>
      <c r="J300" s="663">
        <v>3</v>
      </c>
      <c r="K300" s="663">
        <f t="shared" si="4"/>
        <v>50</v>
      </c>
      <c r="L300" s="694">
        <v>715</v>
      </c>
      <c r="M300" s="704">
        <v>3017</v>
      </c>
      <c r="N300" s="704">
        <v>0</v>
      </c>
      <c r="O300" s="681" t="s">
        <v>1813</v>
      </c>
      <c r="P300" s="663" t="s">
        <v>1581</v>
      </c>
      <c r="Q300" s="663">
        <v>5</v>
      </c>
      <c r="R300" s="690">
        <v>0</v>
      </c>
      <c r="S300" s="687" t="s">
        <v>1582</v>
      </c>
      <c r="T300" s="683" t="s">
        <v>1583</v>
      </c>
      <c r="U300" s="683" t="s">
        <v>63</v>
      </c>
      <c r="V300" s="690">
        <v>1998</v>
      </c>
      <c r="W300" s="687">
        <v>1997</v>
      </c>
      <c r="X300" s="686">
        <v>47</v>
      </c>
      <c r="Y300" s="687" t="s">
        <v>825</v>
      </c>
      <c r="Z300" s="663" t="s">
        <v>825</v>
      </c>
      <c r="AA300" s="663" t="s">
        <v>825</v>
      </c>
      <c r="AB300" s="663" t="s">
        <v>825</v>
      </c>
      <c r="AC300" s="663" t="s">
        <v>825</v>
      </c>
      <c r="AD300" s="663" t="s">
        <v>825</v>
      </c>
      <c r="AE300" s="663" t="s">
        <v>825</v>
      </c>
      <c r="AF300" s="663" t="s">
        <v>825</v>
      </c>
      <c r="AG300" s="663" t="s">
        <v>825</v>
      </c>
      <c r="AH300" s="663" t="s">
        <v>825</v>
      </c>
      <c r="AI300" s="688" t="s">
        <v>825</v>
      </c>
      <c r="AJ300" s="689" t="s">
        <v>1588</v>
      </c>
      <c r="AK300" s="690"/>
    </row>
    <row r="301" spans="1:37" s="653" customFormat="1">
      <c r="A301" s="655">
        <v>2024</v>
      </c>
      <c r="B301" s="656" t="str">
        <f>INDEX('①基本情報 '!$C$2:$C$255,MATCH('②建物情報 '!E301,'①基本情報 '!$E$2:$E$255,0),1)</f>
        <v>147</v>
      </c>
      <c r="C301" s="657" t="str">
        <f>INDEX('①基本情報 '!$B$2:$B$255,MATCH('②建物情報 '!E301,'①基本情報 '!$E$2:$E$255,0),1)</f>
        <v>0374</v>
      </c>
      <c r="D301" s="658" t="s">
        <v>2418</v>
      </c>
      <c r="E301" s="612" t="s">
        <v>929</v>
      </c>
      <c r="F301" s="721" t="str">
        <f>INDEX('①基本情報 '!$G$2:$G$255,MATCH('②建物情報 '!E301,'①基本情報 '!$E$2:$E$255,0),1)</f>
        <v>こども未来部次世代育成課</v>
      </c>
      <c r="G301" s="678" t="s">
        <v>1580</v>
      </c>
      <c r="H301" s="612" t="s">
        <v>929</v>
      </c>
      <c r="I301" s="663">
        <v>2011</v>
      </c>
      <c r="J301" s="663">
        <v>1</v>
      </c>
      <c r="K301" s="663">
        <f t="shared" si="4"/>
        <v>13</v>
      </c>
      <c r="L301" s="694"/>
      <c r="M301" s="704">
        <v>214.59</v>
      </c>
      <c r="N301" s="704">
        <v>214.59</v>
      </c>
      <c r="O301" s="681" t="s">
        <v>1812</v>
      </c>
      <c r="P301" s="663" t="s">
        <v>1942</v>
      </c>
      <c r="Q301" s="663">
        <v>2</v>
      </c>
      <c r="R301" s="690">
        <v>0</v>
      </c>
      <c r="S301" s="687" t="s">
        <v>1593</v>
      </c>
      <c r="T301" s="683" t="s">
        <v>825</v>
      </c>
      <c r="U301" s="663" t="s">
        <v>63</v>
      </c>
      <c r="V301" s="690"/>
      <c r="W301" s="687"/>
      <c r="X301" s="702">
        <v>34</v>
      </c>
      <c r="Y301" s="687" t="s">
        <v>825</v>
      </c>
      <c r="Z301" s="663" t="s">
        <v>825</v>
      </c>
      <c r="AA301" s="663" t="s">
        <v>825</v>
      </c>
      <c r="AB301" s="663" t="s">
        <v>825</v>
      </c>
      <c r="AC301" s="663" t="s">
        <v>825</v>
      </c>
      <c r="AD301" s="663" t="s">
        <v>825</v>
      </c>
      <c r="AE301" s="663" t="s">
        <v>825</v>
      </c>
      <c r="AF301" s="663" t="s">
        <v>825</v>
      </c>
      <c r="AG301" s="663" t="s">
        <v>825</v>
      </c>
      <c r="AH301" s="663" t="s">
        <v>825</v>
      </c>
      <c r="AI301" s="688" t="s">
        <v>825</v>
      </c>
      <c r="AJ301" s="689" t="s">
        <v>1588</v>
      </c>
      <c r="AK301" s="690"/>
    </row>
    <row r="302" spans="1:37" s="653" customFormat="1">
      <c r="A302" s="655">
        <v>2024</v>
      </c>
      <c r="B302" s="656" t="str">
        <f>INDEX('①基本情報 '!$C$2:$C$255,MATCH('②建物情報 '!E302,'①基本情報 '!$E$2:$E$255,0),1)</f>
        <v>148</v>
      </c>
      <c r="C302" s="657" t="str">
        <f>INDEX('①基本情報 '!$B$2:$B$255,MATCH('②建物情報 '!E302,'①基本情報 '!$E$2:$E$255,0),1)</f>
        <v>0375</v>
      </c>
      <c r="D302" s="658" t="s">
        <v>2418</v>
      </c>
      <c r="E302" s="612" t="s">
        <v>934</v>
      </c>
      <c r="F302" s="721" t="str">
        <f>INDEX('①基本情報 '!$G$2:$G$255,MATCH('②建物情報 '!E302,'①基本情報 '!$E$2:$E$255,0),1)</f>
        <v>こども未来部次世代育成課</v>
      </c>
      <c r="G302" s="678" t="s">
        <v>1580</v>
      </c>
      <c r="H302" s="612" t="s">
        <v>2363</v>
      </c>
      <c r="I302" s="663">
        <v>1977</v>
      </c>
      <c r="J302" s="663">
        <v>5</v>
      </c>
      <c r="K302" s="663">
        <f t="shared" si="4"/>
        <v>47</v>
      </c>
      <c r="L302" s="694">
        <v>528</v>
      </c>
      <c r="M302" s="704">
        <v>2254</v>
      </c>
      <c r="N302" s="704">
        <v>0</v>
      </c>
      <c r="O302" s="681" t="s">
        <v>1813</v>
      </c>
      <c r="P302" s="663" t="s">
        <v>1581</v>
      </c>
      <c r="Q302" s="663">
        <v>5</v>
      </c>
      <c r="R302" s="690">
        <v>0</v>
      </c>
      <c r="S302" s="687" t="s">
        <v>1582</v>
      </c>
      <c r="T302" s="683" t="s">
        <v>1583</v>
      </c>
      <c r="U302" s="683" t="s">
        <v>63</v>
      </c>
      <c r="V302" s="690">
        <v>2002</v>
      </c>
      <c r="W302" s="687">
        <v>2002</v>
      </c>
      <c r="X302" s="686">
        <v>47</v>
      </c>
      <c r="Y302" s="687" t="s">
        <v>825</v>
      </c>
      <c r="Z302" s="663" t="s">
        <v>825</v>
      </c>
      <c r="AA302" s="663" t="s">
        <v>825</v>
      </c>
      <c r="AB302" s="663" t="s">
        <v>825</v>
      </c>
      <c r="AC302" s="663" t="s">
        <v>825</v>
      </c>
      <c r="AD302" s="663" t="s">
        <v>825</v>
      </c>
      <c r="AE302" s="663" t="s">
        <v>825</v>
      </c>
      <c r="AF302" s="663" t="s">
        <v>825</v>
      </c>
      <c r="AG302" s="663" t="s">
        <v>825</v>
      </c>
      <c r="AH302" s="663" t="s">
        <v>825</v>
      </c>
      <c r="AI302" s="688" t="s">
        <v>825</v>
      </c>
      <c r="AJ302" s="689" t="s">
        <v>1588</v>
      </c>
      <c r="AK302" s="690"/>
    </row>
    <row r="303" spans="1:37" s="653" customFormat="1">
      <c r="A303" s="655">
        <v>2024</v>
      </c>
      <c r="B303" s="656" t="str">
        <f>INDEX('①基本情報 '!$C$2:$C$255,MATCH('②建物情報 '!E303,'①基本情報 '!$E$2:$E$255,0),1)</f>
        <v>149</v>
      </c>
      <c r="C303" s="657" t="str">
        <f>INDEX('①基本情報 '!$B$2:$B$255,MATCH('②建物情報 '!E303,'①基本情報 '!$E$2:$E$255,0),1)</f>
        <v>0376</v>
      </c>
      <c r="D303" s="658" t="s">
        <v>2418</v>
      </c>
      <c r="E303" s="612" t="s">
        <v>939</v>
      </c>
      <c r="F303" s="721" t="str">
        <f>INDEX('①基本情報 '!$G$2:$G$255,MATCH('②建物情報 '!E303,'①基本情報 '!$E$2:$E$255,0),1)</f>
        <v>こども未来部次世代育成課</v>
      </c>
      <c r="G303" s="678" t="s">
        <v>1580</v>
      </c>
      <c r="H303" s="612" t="s">
        <v>2364</v>
      </c>
      <c r="I303" s="663">
        <v>2006</v>
      </c>
      <c r="J303" s="663">
        <v>2</v>
      </c>
      <c r="K303" s="663">
        <f t="shared" si="4"/>
        <v>18</v>
      </c>
      <c r="L303" s="694">
        <v>279</v>
      </c>
      <c r="M303" s="704">
        <v>1116</v>
      </c>
      <c r="N303" s="704">
        <v>0</v>
      </c>
      <c r="O303" s="681" t="s">
        <v>1813</v>
      </c>
      <c r="P303" s="663" t="s">
        <v>1581</v>
      </c>
      <c r="Q303" s="663">
        <v>4</v>
      </c>
      <c r="R303" s="690">
        <v>0</v>
      </c>
      <c r="S303" s="687" t="s">
        <v>1593</v>
      </c>
      <c r="T303" s="683" t="s">
        <v>825</v>
      </c>
      <c r="U303" s="683" t="s">
        <v>63</v>
      </c>
      <c r="V303" s="690"/>
      <c r="W303" s="687"/>
      <c r="X303" s="686">
        <v>47</v>
      </c>
      <c r="Y303" s="687" t="s">
        <v>825</v>
      </c>
      <c r="Z303" s="663" t="s">
        <v>825</v>
      </c>
      <c r="AA303" s="663" t="s">
        <v>825</v>
      </c>
      <c r="AB303" s="663" t="s">
        <v>825</v>
      </c>
      <c r="AC303" s="663" t="s">
        <v>825</v>
      </c>
      <c r="AD303" s="663" t="s">
        <v>825</v>
      </c>
      <c r="AE303" s="663" t="s">
        <v>825</v>
      </c>
      <c r="AF303" s="663" t="s">
        <v>825</v>
      </c>
      <c r="AG303" s="663" t="s">
        <v>825</v>
      </c>
      <c r="AH303" s="663" t="s">
        <v>825</v>
      </c>
      <c r="AI303" s="688" t="s">
        <v>825</v>
      </c>
      <c r="AJ303" s="689" t="s">
        <v>1588</v>
      </c>
      <c r="AK303" s="690"/>
    </row>
    <row r="304" spans="1:37" s="653" customFormat="1">
      <c r="A304" s="655">
        <v>2024</v>
      </c>
      <c r="B304" s="656" t="str">
        <f>INDEX('①基本情報 '!$C$2:$C$255,MATCH('②建物情報 '!E304,'①基本情報 '!$E$2:$E$255,0),1)</f>
        <v>150</v>
      </c>
      <c r="C304" s="657" t="str">
        <f>INDEX('①基本情報 '!$B$2:$B$255,MATCH('②建物情報 '!E304,'①基本情報 '!$E$2:$E$255,0),1)</f>
        <v>1041</v>
      </c>
      <c r="D304" s="658" t="s">
        <v>2418</v>
      </c>
      <c r="E304" s="612" t="s">
        <v>990</v>
      </c>
      <c r="F304" s="597" t="str">
        <f>INDEX('①基本情報 '!$G$2:$G$255,MATCH('②建物情報 '!E304,'①基本情報 '!$E$2:$E$255,0),1)</f>
        <v>教育委員会教育総務部、学校教育部、生涯学習部</v>
      </c>
      <c r="G304" s="678" t="s">
        <v>1580</v>
      </c>
      <c r="H304" s="612" t="s">
        <v>1638</v>
      </c>
      <c r="I304" s="663">
        <v>1962</v>
      </c>
      <c r="J304" s="663">
        <v>3</v>
      </c>
      <c r="K304" s="663">
        <f t="shared" si="4"/>
        <v>62</v>
      </c>
      <c r="L304" s="694">
        <v>317</v>
      </c>
      <c r="M304" s="704">
        <v>982</v>
      </c>
      <c r="N304" s="704">
        <v>982</v>
      </c>
      <c r="O304" s="681" t="s">
        <v>1812</v>
      </c>
      <c r="P304" s="663" t="s">
        <v>1581</v>
      </c>
      <c r="Q304" s="663">
        <v>3</v>
      </c>
      <c r="R304" s="690">
        <v>0</v>
      </c>
      <c r="S304" s="687" t="s">
        <v>1582</v>
      </c>
      <c r="T304" s="663" t="s">
        <v>1583</v>
      </c>
      <c r="U304" s="683" t="s">
        <v>63</v>
      </c>
      <c r="V304" s="690">
        <v>2010</v>
      </c>
      <c r="W304" s="687">
        <v>2010</v>
      </c>
      <c r="X304" s="686">
        <v>47</v>
      </c>
      <c r="Y304" s="687" t="s">
        <v>1585</v>
      </c>
      <c r="Z304" s="663" t="s">
        <v>1585</v>
      </c>
      <c r="AA304" s="663" t="s">
        <v>1585</v>
      </c>
      <c r="AB304" s="663" t="s">
        <v>1587</v>
      </c>
      <c r="AC304" s="663" t="s">
        <v>1585</v>
      </c>
      <c r="AD304" s="663" t="s">
        <v>1596</v>
      </c>
      <c r="AE304" s="663" t="s">
        <v>825</v>
      </c>
      <c r="AF304" s="663" t="s">
        <v>1596</v>
      </c>
      <c r="AG304" s="663" t="s">
        <v>1596</v>
      </c>
      <c r="AH304" s="663" t="s">
        <v>1585</v>
      </c>
      <c r="AI304" s="688">
        <v>64.090909090909093</v>
      </c>
      <c r="AJ304" s="689" t="s">
        <v>1588</v>
      </c>
      <c r="AK304" s="690"/>
    </row>
    <row r="305" spans="1:37" s="653" customFormat="1">
      <c r="A305" s="655">
        <v>2024</v>
      </c>
      <c r="B305" s="656" t="str">
        <f>INDEX('①基本情報 '!$C$2:$C$255,MATCH('②建物情報 '!E305,'①基本情報 '!$E$2:$E$255,0),1)</f>
        <v>150</v>
      </c>
      <c r="C305" s="657" t="str">
        <f>INDEX('①基本情報 '!$B$2:$B$255,MATCH('②建物情報 '!E305,'①基本情報 '!$E$2:$E$255,0),1)</f>
        <v>1041</v>
      </c>
      <c r="D305" s="658" t="s">
        <v>2418</v>
      </c>
      <c r="E305" s="612" t="s">
        <v>990</v>
      </c>
      <c r="F305" s="597" t="str">
        <f>INDEX('①基本情報 '!$G$2:$G$255,MATCH('②建物情報 '!E305,'①基本情報 '!$E$2:$E$255,0),1)</f>
        <v>教育委員会教育総務部、学校教育部、生涯学習部</v>
      </c>
      <c r="G305" s="678" t="s">
        <v>1589</v>
      </c>
      <c r="H305" s="612" t="s">
        <v>1639</v>
      </c>
      <c r="I305" s="663">
        <v>1964</v>
      </c>
      <c r="J305" s="663">
        <v>10</v>
      </c>
      <c r="K305" s="663">
        <f t="shared" si="4"/>
        <v>60</v>
      </c>
      <c r="L305" s="694">
        <v>220</v>
      </c>
      <c r="M305" s="704">
        <v>695</v>
      </c>
      <c r="N305" s="704">
        <v>695</v>
      </c>
      <c r="O305" s="681" t="s">
        <v>1812</v>
      </c>
      <c r="P305" s="663" t="s">
        <v>1581</v>
      </c>
      <c r="Q305" s="663">
        <v>3</v>
      </c>
      <c r="R305" s="690">
        <v>0</v>
      </c>
      <c r="S305" s="687" t="s">
        <v>1582</v>
      </c>
      <c r="T305" s="663" t="s">
        <v>1583</v>
      </c>
      <c r="U305" s="683" t="s">
        <v>63</v>
      </c>
      <c r="V305" s="690">
        <v>2010</v>
      </c>
      <c r="W305" s="687">
        <v>2010</v>
      </c>
      <c r="X305" s="686">
        <v>47</v>
      </c>
      <c r="Y305" s="687" t="s">
        <v>1585</v>
      </c>
      <c r="Z305" s="663" t="s">
        <v>1585</v>
      </c>
      <c r="AA305" s="663" t="s">
        <v>1585</v>
      </c>
      <c r="AB305" s="663" t="s">
        <v>1587</v>
      </c>
      <c r="AC305" s="663" t="s">
        <v>1585</v>
      </c>
      <c r="AD305" s="663" t="s">
        <v>1587</v>
      </c>
      <c r="AE305" s="663" t="s">
        <v>825</v>
      </c>
      <c r="AF305" s="663" t="s">
        <v>825</v>
      </c>
      <c r="AG305" s="663" t="s">
        <v>825</v>
      </c>
      <c r="AH305" s="663" t="s">
        <v>1585</v>
      </c>
      <c r="AI305" s="688">
        <v>66.060606060606062</v>
      </c>
      <c r="AJ305" s="689" t="s">
        <v>1588</v>
      </c>
      <c r="AK305" s="690"/>
    </row>
    <row r="306" spans="1:37" s="653" customFormat="1">
      <c r="A306" s="655">
        <v>2024</v>
      </c>
      <c r="B306" s="656" t="str">
        <f>INDEX('①基本情報 '!$C$2:$C$255,MATCH('②建物情報 '!E306,'①基本情報 '!$E$2:$E$255,0),1)</f>
        <v>150</v>
      </c>
      <c r="C306" s="657" t="str">
        <f>INDEX('①基本情報 '!$B$2:$B$255,MATCH('②建物情報 '!E306,'①基本情報 '!$E$2:$E$255,0),1)</f>
        <v>1041</v>
      </c>
      <c r="D306" s="658" t="s">
        <v>2418</v>
      </c>
      <c r="E306" s="612" t="s">
        <v>990</v>
      </c>
      <c r="F306" s="597" t="str">
        <f>INDEX('①基本情報 '!$G$2:$G$255,MATCH('②建物情報 '!E306,'①基本情報 '!$E$2:$E$255,0),1)</f>
        <v>教育委員会教育総務部、学校教育部、生涯学習部</v>
      </c>
      <c r="G306" s="678" t="s">
        <v>1591</v>
      </c>
      <c r="H306" s="612" t="s">
        <v>1640</v>
      </c>
      <c r="I306" s="663">
        <v>1971</v>
      </c>
      <c r="J306" s="663">
        <v>3</v>
      </c>
      <c r="K306" s="663">
        <f t="shared" si="4"/>
        <v>53</v>
      </c>
      <c r="L306" s="694">
        <v>338</v>
      </c>
      <c r="M306" s="704">
        <v>1052</v>
      </c>
      <c r="N306" s="704">
        <v>1052</v>
      </c>
      <c r="O306" s="681" t="s">
        <v>1812</v>
      </c>
      <c r="P306" s="663" t="s">
        <v>1581</v>
      </c>
      <c r="Q306" s="663">
        <v>3</v>
      </c>
      <c r="R306" s="690">
        <v>0</v>
      </c>
      <c r="S306" s="687" t="s">
        <v>1582</v>
      </c>
      <c r="T306" s="663" t="s">
        <v>1583</v>
      </c>
      <c r="U306" s="683" t="s">
        <v>63</v>
      </c>
      <c r="V306" s="690">
        <v>2010</v>
      </c>
      <c r="W306" s="687">
        <v>2010</v>
      </c>
      <c r="X306" s="686">
        <v>47</v>
      </c>
      <c r="Y306" s="687" t="s">
        <v>1585</v>
      </c>
      <c r="Z306" s="663" t="s">
        <v>1585</v>
      </c>
      <c r="AA306" s="663" t="s">
        <v>1585</v>
      </c>
      <c r="AB306" s="663" t="s">
        <v>1587</v>
      </c>
      <c r="AC306" s="663" t="s">
        <v>1585</v>
      </c>
      <c r="AD306" s="663" t="s">
        <v>1587</v>
      </c>
      <c r="AE306" s="663" t="s">
        <v>1596</v>
      </c>
      <c r="AF306" s="663" t="s">
        <v>1596</v>
      </c>
      <c r="AG306" s="663" t="s">
        <v>1596</v>
      </c>
      <c r="AH306" s="663" t="s">
        <v>1585</v>
      </c>
      <c r="AI306" s="688">
        <v>58.400000000000006</v>
      </c>
      <c r="AJ306" s="689" t="s">
        <v>1588</v>
      </c>
      <c r="AK306" s="690"/>
    </row>
    <row r="307" spans="1:37" s="653" customFormat="1">
      <c r="A307" s="655">
        <v>2024</v>
      </c>
      <c r="B307" s="656" t="str">
        <f>INDEX('①基本情報 '!$C$2:$C$255,MATCH('②建物情報 '!E307,'①基本情報 '!$E$2:$E$255,0),1)</f>
        <v>150</v>
      </c>
      <c r="C307" s="657" t="str">
        <f>INDEX('①基本情報 '!$B$2:$B$255,MATCH('②建物情報 '!E307,'①基本情報 '!$E$2:$E$255,0),1)</f>
        <v>1041</v>
      </c>
      <c r="D307" s="658" t="s">
        <v>2418</v>
      </c>
      <c r="E307" s="612" t="s">
        <v>990</v>
      </c>
      <c r="F307" s="597" t="str">
        <f>INDEX('①基本情報 '!$G$2:$G$255,MATCH('②建物情報 '!E307,'①基本情報 '!$E$2:$E$255,0),1)</f>
        <v>教育委員会教育総務部、学校教育部、生涯学習部</v>
      </c>
      <c r="G307" s="678" t="s">
        <v>1601</v>
      </c>
      <c r="H307" s="612" t="s">
        <v>1641</v>
      </c>
      <c r="I307" s="663">
        <v>1972</v>
      </c>
      <c r="J307" s="663">
        <v>3</v>
      </c>
      <c r="K307" s="663">
        <f t="shared" si="4"/>
        <v>52</v>
      </c>
      <c r="L307" s="694">
        <v>845</v>
      </c>
      <c r="M307" s="704">
        <v>3447</v>
      </c>
      <c r="N307" s="704">
        <v>3447</v>
      </c>
      <c r="O307" s="681" t="s">
        <v>1812</v>
      </c>
      <c r="P307" s="663" t="s">
        <v>1581</v>
      </c>
      <c r="Q307" s="663">
        <v>3</v>
      </c>
      <c r="R307" s="690">
        <v>0</v>
      </c>
      <c r="S307" s="687" t="s">
        <v>1582</v>
      </c>
      <c r="T307" s="663" t="s">
        <v>1583</v>
      </c>
      <c r="U307" s="683" t="s">
        <v>63</v>
      </c>
      <c r="V307" s="690">
        <v>2008</v>
      </c>
      <c r="W307" s="687">
        <v>2020</v>
      </c>
      <c r="X307" s="686">
        <v>47</v>
      </c>
      <c r="Y307" s="687" t="s">
        <v>1585</v>
      </c>
      <c r="Z307" s="663" t="s">
        <v>1587</v>
      </c>
      <c r="AA307" s="663" t="s">
        <v>1587</v>
      </c>
      <c r="AB307" s="663" t="s">
        <v>1587</v>
      </c>
      <c r="AC307" s="663" t="s">
        <v>1587</v>
      </c>
      <c r="AD307" s="663" t="s">
        <v>1587</v>
      </c>
      <c r="AE307" s="663" t="s">
        <v>1596</v>
      </c>
      <c r="AF307" s="663" t="s">
        <v>1587</v>
      </c>
      <c r="AG307" s="663" t="s">
        <v>1596</v>
      </c>
      <c r="AH307" s="663" t="s">
        <v>1596</v>
      </c>
      <c r="AI307" s="688">
        <v>40</v>
      </c>
      <c r="AJ307" s="689" t="s">
        <v>1588</v>
      </c>
      <c r="AK307" s="690"/>
    </row>
    <row r="308" spans="1:37" s="653" customFormat="1">
      <c r="A308" s="655">
        <v>2024</v>
      </c>
      <c r="B308" s="656" t="str">
        <f>INDEX('①基本情報 '!$C$2:$C$255,MATCH('②建物情報 '!E308,'①基本情報 '!$E$2:$E$255,0),1)</f>
        <v>150</v>
      </c>
      <c r="C308" s="657" t="str">
        <f>INDEX('①基本情報 '!$B$2:$B$255,MATCH('②建物情報 '!E308,'①基本情報 '!$E$2:$E$255,0),1)</f>
        <v>1041</v>
      </c>
      <c r="D308" s="658" t="s">
        <v>2418</v>
      </c>
      <c r="E308" s="612" t="s">
        <v>990</v>
      </c>
      <c r="F308" s="597" t="str">
        <f>INDEX('①基本情報 '!$G$2:$G$255,MATCH('②建物情報 '!E308,'①基本情報 '!$E$2:$E$255,0),1)</f>
        <v>教育委員会教育総務部、学校教育部、生涯学習部</v>
      </c>
      <c r="G308" s="678" t="s">
        <v>1620</v>
      </c>
      <c r="H308" s="612" t="s">
        <v>1651</v>
      </c>
      <c r="I308" s="663">
        <v>1972</v>
      </c>
      <c r="J308" s="663">
        <v>3</v>
      </c>
      <c r="K308" s="663">
        <f t="shared" si="4"/>
        <v>52</v>
      </c>
      <c r="L308" s="694">
        <v>166</v>
      </c>
      <c r="M308" s="704">
        <v>290</v>
      </c>
      <c r="N308" s="704">
        <v>290</v>
      </c>
      <c r="O308" s="681" t="s">
        <v>1812</v>
      </c>
      <c r="P308" s="663" t="s">
        <v>1581</v>
      </c>
      <c r="Q308" s="663">
        <v>3</v>
      </c>
      <c r="R308" s="690">
        <v>0</v>
      </c>
      <c r="S308" s="687" t="s">
        <v>1582</v>
      </c>
      <c r="T308" s="663" t="s">
        <v>1583</v>
      </c>
      <c r="U308" s="683" t="s">
        <v>63</v>
      </c>
      <c r="V308" s="690">
        <v>2008</v>
      </c>
      <c r="W308" s="687">
        <v>2020</v>
      </c>
      <c r="X308" s="686">
        <v>47</v>
      </c>
      <c r="Y308" s="687" t="s">
        <v>1585</v>
      </c>
      <c r="Z308" s="663" t="s">
        <v>1587</v>
      </c>
      <c r="AA308" s="663" t="s">
        <v>1587</v>
      </c>
      <c r="AB308" s="663" t="s">
        <v>1587</v>
      </c>
      <c r="AC308" s="663" t="s">
        <v>1587</v>
      </c>
      <c r="AD308" s="663" t="s">
        <v>825</v>
      </c>
      <c r="AE308" s="663" t="s">
        <v>825</v>
      </c>
      <c r="AF308" s="663" t="s">
        <v>825</v>
      </c>
      <c r="AG308" s="663" t="s">
        <v>825</v>
      </c>
      <c r="AH308" s="663" t="s">
        <v>1596</v>
      </c>
      <c r="AI308" s="688">
        <v>42.666666666666664</v>
      </c>
      <c r="AJ308" s="689" t="s">
        <v>1588</v>
      </c>
      <c r="AK308" s="690"/>
    </row>
    <row r="309" spans="1:37" s="653" customFormat="1">
      <c r="A309" s="655">
        <v>2024</v>
      </c>
      <c r="B309" s="656" t="str">
        <f>INDEX('①基本情報 '!$C$2:$C$255,MATCH('②建物情報 '!E309,'①基本情報 '!$E$2:$E$255,0),1)</f>
        <v>150</v>
      </c>
      <c r="C309" s="657" t="str">
        <f>INDEX('①基本情報 '!$B$2:$B$255,MATCH('②建物情報 '!E309,'①基本情報 '!$E$2:$E$255,0),1)</f>
        <v>1041</v>
      </c>
      <c r="D309" s="658" t="s">
        <v>2418</v>
      </c>
      <c r="E309" s="612" t="s">
        <v>990</v>
      </c>
      <c r="F309" s="597" t="str">
        <f>INDEX('①基本情報 '!$G$2:$G$255,MATCH('②建物情報 '!E309,'①基本情報 '!$E$2:$E$255,0),1)</f>
        <v>教育委員会教育総務部、学校教育部、生涯学習部</v>
      </c>
      <c r="G309" s="678" t="s">
        <v>1643</v>
      </c>
      <c r="H309" s="612" t="s">
        <v>1642</v>
      </c>
      <c r="I309" s="663">
        <v>1985</v>
      </c>
      <c r="J309" s="663">
        <v>2</v>
      </c>
      <c r="K309" s="663">
        <f t="shared" si="4"/>
        <v>39</v>
      </c>
      <c r="L309" s="694">
        <v>1070</v>
      </c>
      <c r="M309" s="704">
        <v>2514</v>
      </c>
      <c r="N309" s="704">
        <v>2514</v>
      </c>
      <c r="O309" s="681" t="s">
        <v>1812</v>
      </c>
      <c r="P309" s="663" t="s">
        <v>1581</v>
      </c>
      <c r="Q309" s="663">
        <v>3</v>
      </c>
      <c r="R309" s="690">
        <v>0</v>
      </c>
      <c r="S309" s="687" t="s">
        <v>1593</v>
      </c>
      <c r="T309" s="683" t="s">
        <v>825</v>
      </c>
      <c r="U309" s="663" t="s">
        <v>63</v>
      </c>
      <c r="V309" s="690"/>
      <c r="W309" s="687"/>
      <c r="X309" s="686">
        <v>47</v>
      </c>
      <c r="Y309" s="687" t="s">
        <v>1585</v>
      </c>
      <c r="Z309" s="663" t="s">
        <v>1596</v>
      </c>
      <c r="AA309" s="663" t="s">
        <v>1586</v>
      </c>
      <c r="AB309" s="663" t="s">
        <v>1587</v>
      </c>
      <c r="AC309" s="663" t="s">
        <v>1586</v>
      </c>
      <c r="AD309" s="663" t="s">
        <v>1587</v>
      </c>
      <c r="AE309" s="663" t="s">
        <v>1596</v>
      </c>
      <c r="AF309" s="663" t="s">
        <v>1586</v>
      </c>
      <c r="AG309" s="663" t="s">
        <v>1587</v>
      </c>
      <c r="AH309" s="663" t="s">
        <v>1585</v>
      </c>
      <c r="AI309" s="688">
        <v>54</v>
      </c>
      <c r="AJ309" s="689" t="s">
        <v>1588</v>
      </c>
      <c r="AK309" s="690"/>
    </row>
    <row r="310" spans="1:37" s="653" customFormat="1">
      <c r="A310" s="655">
        <v>2024</v>
      </c>
      <c r="B310" s="656" t="str">
        <f>INDEX('①基本情報 '!$C$2:$C$255,MATCH('②建物情報 '!E310,'①基本情報 '!$E$2:$E$255,0),1)</f>
        <v>150</v>
      </c>
      <c r="C310" s="657" t="str">
        <f>INDEX('①基本情報 '!$B$2:$B$255,MATCH('②建物情報 '!E310,'①基本情報 '!$E$2:$E$255,0),1)</f>
        <v>1041</v>
      </c>
      <c r="D310" s="658" t="s">
        <v>2418</v>
      </c>
      <c r="E310" s="612" t="s">
        <v>990</v>
      </c>
      <c r="F310" s="597" t="str">
        <f>INDEX('①基本情報 '!$G$2:$G$255,MATCH('②建物情報 '!E310,'①基本情報 '!$E$2:$E$255,0),1)</f>
        <v>教育委員会教育総務部、学校教育部、生涯学習部</v>
      </c>
      <c r="G310" s="678" t="s">
        <v>1645</v>
      </c>
      <c r="H310" s="612" t="s">
        <v>2466</v>
      </c>
      <c r="I310" s="663">
        <v>1974</v>
      </c>
      <c r="J310" s="663">
        <v>3</v>
      </c>
      <c r="K310" s="663">
        <f t="shared" si="4"/>
        <v>50</v>
      </c>
      <c r="L310" s="694">
        <v>46</v>
      </c>
      <c r="M310" s="704">
        <v>46</v>
      </c>
      <c r="N310" s="704">
        <v>46</v>
      </c>
      <c r="O310" s="681" t="s">
        <v>1812</v>
      </c>
      <c r="P310" s="663" t="s">
        <v>1581</v>
      </c>
      <c r="Q310" s="663">
        <v>1</v>
      </c>
      <c r="R310" s="690">
        <v>0</v>
      </c>
      <c r="S310" s="687" t="s">
        <v>1582</v>
      </c>
      <c r="T310" s="683"/>
      <c r="U310" s="683" t="s">
        <v>1965</v>
      </c>
      <c r="V310" s="690"/>
      <c r="W310" s="687">
        <v>2020</v>
      </c>
      <c r="X310" s="686">
        <v>38</v>
      </c>
      <c r="Y310" s="687" t="s">
        <v>1585</v>
      </c>
      <c r="Z310" s="663" t="s">
        <v>1587</v>
      </c>
      <c r="AA310" s="663" t="s">
        <v>1587</v>
      </c>
      <c r="AB310" s="663" t="s">
        <v>1587</v>
      </c>
      <c r="AC310" s="663" t="s">
        <v>1587</v>
      </c>
      <c r="AD310" s="663" t="s">
        <v>825</v>
      </c>
      <c r="AE310" s="663" t="s">
        <v>825</v>
      </c>
      <c r="AF310" s="663" t="s">
        <v>1587</v>
      </c>
      <c r="AG310" s="663" t="s">
        <v>1587</v>
      </c>
      <c r="AH310" s="663" t="s">
        <v>1596</v>
      </c>
      <c r="AI310" s="688">
        <v>31.627906976744192</v>
      </c>
      <c r="AJ310" s="689" t="s">
        <v>1588</v>
      </c>
      <c r="AK310" s="690"/>
    </row>
    <row r="311" spans="1:37" s="653" customFormat="1">
      <c r="A311" s="655">
        <v>2024</v>
      </c>
      <c r="B311" s="656" t="str">
        <f>INDEX('①基本情報 '!$C$2:$C$255,MATCH('②建物情報 '!E311,'①基本情報 '!$E$2:$E$255,0),1)</f>
        <v>150</v>
      </c>
      <c r="C311" s="657" t="str">
        <f>INDEX('①基本情報 '!$B$2:$B$255,MATCH('②建物情報 '!E311,'①基本情報 '!$E$2:$E$255,0),1)</f>
        <v>1041</v>
      </c>
      <c r="D311" s="658" t="s">
        <v>2418</v>
      </c>
      <c r="E311" s="612" t="s">
        <v>990</v>
      </c>
      <c r="F311" s="597" t="str">
        <f>INDEX('①基本情報 '!$G$2:$G$255,MATCH('②建物情報 '!E311,'①基本情報 '!$E$2:$E$255,0),1)</f>
        <v>教育委員会教育総務部、学校教育部、生涯学習部</v>
      </c>
      <c r="G311" s="678" t="s">
        <v>1646</v>
      </c>
      <c r="H311" s="612" t="s">
        <v>1658</v>
      </c>
      <c r="I311" s="663">
        <v>1991</v>
      </c>
      <c r="J311" s="663">
        <v>3</v>
      </c>
      <c r="K311" s="663">
        <f t="shared" si="4"/>
        <v>33</v>
      </c>
      <c r="L311" s="694">
        <v>195</v>
      </c>
      <c r="M311" s="704">
        <v>390</v>
      </c>
      <c r="N311" s="704">
        <v>390</v>
      </c>
      <c r="O311" s="681" t="s">
        <v>1812</v>
      </c>
      <c r="P311" s="663" t="s">
        <v>1581</v>
      </c>
      <c r="Q311" s="663">
        <v>2</v>
      </c>
      <c r="R311" s="690">
        <v>0</v>
      </c>
      <c r="S311" s="687" t="s">
        <v>1593</v>
      </c>
      <c r="T311" s="683" t="s">
        <v>825</v>
      </c>
      <c r="U311" s="663" t="s">
        <v>63</v>
      </c>
      <c r="V311" s="690"/>
      <c r="W311" s="687"/>
      <c r="X311" s="686">
        <v>47</v>
      </c>
      <c r="Y311" s="687" t="s">
        <v>1596</v>
      </c>
      <c r="Z311" s="663" t="s">
        <v>1586</v>
      </c>
      <c r="AA311" s="663" t="s">
        <v>1586</v>
      </c>
      <c r="AB311" s="663" t="s">
        <v>1587</v>
      </c>
      <c r="AC311" s="663" t="s">
        <v>1586</v>
      </c>
      <c r="AD311" s="663" t="s">
        <v>825</v>
      </c>
      <c r="AE311" s="663" t="s">
        <v>1596</v>
      </c>
      <c r="AF311" s="663" t="s">
        <v>1586</v>
      </c>
      <c r="AG311" s="663" t="s">
        <v>1586</v>
      </c>
      <c r="AH311" s="663" t="s">
        <v>1585</v>
      </c>
      <c r="AI311" s="688">
        <v>68.936170212765958</v>
      </c>
      <c r="AJ311" s="689" t="s">
        <v>1588</v>
      </c>
      <c r="AK311" s="690"/>
    </row>
    <row r="312" spans="1:37" s="653" customFormat="1">
      <c r="A312" s="655">
        <v>2024</v>
      </c>
      <c r="B312" s="656" t="str">
        <f>INDEX('①基本情報 '!$C$2:$C$255,MATCH('②建物情報 '!E312,'①基本情報 '!$E$2:$E$255,0),1)</f>
        <v>150</v>
      </c>
      <c r="C312" s="657" t="str">
        <f>INDEX('①基本情報 '!$B$2:$B$255,MATCH('②建物情報 '!E312,'①基本情報 '!$E$2:$E$255,0),1)</f>
        <v>1041</v>
      </c>
      <c r="D312" s="658" t="s">
        <v>2418</v>
      </c>
      <c r="E312" s="612" t="s">
        <v>990</v>
      </c>
      <c r="F312" s="597" t="str">
        <f>INDEX('①基本情報 '!$G$2:$G$255,MATCH('②建物情報 '!E312,'①基本情報 '!$E$2:$E$255,0),1)</f>
        <v>教育委員会教育総務部、学校教育部、生涯学習部</v>
      </c>
      <c r="G312" s="678" t="s">
        <v>1647</v>
      </c>
      <c r="H312" s="612" t="s">
        <v>1644</v>
      </c>
      <c r="I312" s="663">
        <v>2008</v>
      </c>
      <c r="J312" s="663">
        <v>9</v>
      </c>
      <c r="K312" s="663">
        <f t="shared" si="4"/>
        <v>16</v>
      </c>
      <c r="L312" s="694">
        <v>16</v>
      </c>
      <c r="M312" s="704">
        <v>63</v>
      </c>
      <c r="N312" s="704">
        <v>63</v>
      </c>
      <c r="O312" s="681" t="s">
        <v>1812</v>
      </c>
      <c r="P312" s="663" t="s">
        <v>1603</v>
      </c>
      <c r="Q312" s="663">
        <v>4</v>
      </c>
      <c r="R312" s="690">
        <v>0</v>
      </c>
      <c r="S312" s="687" t="s">
        <v>1593</v>
      </c>
      <c r="T312" s="683" t="s">
        <v>825</v>
      </c>
      <c r="U312" s="683" t="s">
        <v>1846</v>
      </c>
      <c r="V312" s="690"/>
      <c r="W312" s="687">
        <v>2020</v>
      </c>
      <c r="X312" s="702">
        <v>34</v>
      </c>
      <c r="Y312" s="687" t="s">
        <v>1587</v>
      </c>
      <c r="Z312" s="663" t="s">
        <v>1587</v>
      </c>
      <c r="AA312" s="663" t="s">
        <v>1587</v>
      </c>
      <c r="AB312" s="663" t="s">
        <v>1587</v>
      </c>
      <c r="AC312" s="663" t="s">
        <v>1585</v>
      </c>
      <c r="AD312" s="663" t="s">
        <v>825</v>
      </c>
      <c r="AE312" s="663" t="s">
        <v>825</v>
      </c>
      <c r="AF312" s="663" t="s">
        <v>825</v>
      </c>
      <c r="AG312" s="663" t="s">
        <v>825</v>
      </c>
      <c r="AH312" s="663" t="s">
        <v>1587</v>
      </c>
      <c r="AI312" s="688">
        <v>28.666666666666664</v>
      </c>
      <c r="AJ312" s="689" t="s">
        <v>1588</v>
      </c>
      <c r="AK312" s="690"/>
    </row>
    <row r="313" spans="1:37" s="653" customFormat="1">
      <c r="A313" s="655">
        <v>2024</v>
      </c>
      <c r="B313" s="656" t="str">
        <f>INDEX('①基本情報 '!$C$2:$C$255,MATCH('②建物情報 '!E313,'①基本情報 '!$E$2:$E$255,0),1)</f>
        <v>150</v>
      </c>
      <c r="C313" s="657" t="str">
        <f>INDEX('①基本情報 '!$B$2:$B$255,MATCH('②建物情報 '!E313,'①基本情報 '!$E$2:$E$255,0),1)</f>
        <v>1041</v>
      </c>
      <c r="D313" s="658" t="s">
        <v>2418</v>
      </c>
      <c r="E313" s="612" t="s">
        <v>990</v>
      </c>
      <c r="F313" s="597" t="str">
        <f>INDEX('①基本情報 '!$G$2:$G$255,MATCH('②建物情報 '!E313,'①基本情報 '!$E$2:$E$255,0),1)</f>
        <v>教育委員会教育総務部、学校教育部、生涯学習部</v>
      </c>
      <c r="G313" s="678" t="s">
        <v>162</v>
      </c>
      <c r="H313" s="612" t="s">
        <v>1659</v>
      </c>
      <c r="I313" s="663">
        <v>2011</v>
      </c>
      <c r="J313" s="663">
        <v>1</v>
      </c>
      <c r="K313" s="663">
        <f t="shared" si="4"/>
        <v>13</v>
      </c>
      <c r="L313" s="694"/>
      <c r="M313" s="704">
        <v>546</v>
      </c>
      <c r="N313" s="704">
        <v>546</v>
      </c>
      <c r="O313" s="681" t="s">
        <v>1812</v>
      </c>
      <c r="P313" s="663" t="s">
        <v>1603</v>
      </c>
      <c r="Q313" s="663">
        <v>1</v>
      </c>
      <c r="R313" s="690">
        <v>0</v>
      </c>
      <c r="S313" s="687" t="s">
        <v>1593</v>
      </c>
      <c r="T313" s="683" t="s">
        <v>825</v>
      </c>
      <c r="U313" s="683" t="s">
        <v>1846</v>
      </c>
      <c r="V313" s="690"/>
      <c r="W313" s="687"/>
      <c r="X313" s="702">
        <v>34</v>
      </c>
      <c r="Y313" s="687" t="s">
        <v>1587</v>
      </c>
      <c r="Z313" s="663" t="s">
        <v>1585</v>
      </c>
      <c r="AA313" s="663" t="s">
        <v>1585</v>
      </c>
      <c r="AB313" s="663" t="s">
        <v>1587</v>
      </c>
      <c r="AC313" s="663" t="s">
        <v>1585</v>
      </c>
      <c r="AD313" s="663" t="s">
        <v>825</v>
      </c>
      <c r="AE313" s="663" t="s">
        <v>825</v>
      </c>
      <c r="AF313" s="663" t="s">
        <v>1596</v>
      </c>
      <c r="AG313" s="663" t="s">
        <v>1596</v>
      </c>
      <c r="AH313" s="663" t="s">
        <v>1596</v>
      </c>
      <c r="AI313" s="688">
        <v>39.512195121951223</v>
      </c>
      <c r="AJ313" s="689" t="s">
        <v>1588</v>
      </c>
      <c r="AK313" s="690"/>
    </row>
    <row r="314" spans="1:37" s="653" customFormat="1">
      <c r="A314" s="655">
        <v>2024</v>
      </c>
      <c r="B314" s="656" t="str">
        <f>INDEX('①基本情報 '!$C$2:$C$255,MATCH('②建物情報 '!E314,'①基本情報 '!$E$2:$E$255,0),1)</f>
        <v>150</v>
      </c>
      <c r="C314" s="657" t="str">
        <f>INDEX('①基本情報 '!$B$2:$B$255,MATCH('②建物情報 '!E314,'①基本情報 '!$E$2:$E$255,0),1)</f>
        <v>1041</v>
      </c>
      <c r="D314" s="658" t="s">
        <v>2418</v>
      </c>
      <c r="E314" s="612" t="s">
        <v>990</v>
      </c>
      <c r="F314" s="597" t="str">
        <f>INDEX('①基本情報 '!$G$2:$G$255,MATCH('②建物情報 '!E314,'①基本情報 '!$E$2:$E$255,0),1)</f>
        <v>教育委員会教育総務部、学校教育部、生涯学習部</v>
      </c>
      <c r="G314" s="678" t="s">
        <v>1652</v>
      </c>
      <c r="H314" s="612" t="s">
        <v>1612</v>
      </c>
      <c r="I314" s="663">
        <v>1991</v>
      </c>
      <c r="J314" s="663">
        <v>3</v>
      </c>
      <c r="K314" s="663">
        <f t="shared" si="4"/>
        <v>33</v>
      </c>
      <c r="L314" s="694"/>
      <c r="M314" s="704">
        <v>20</v>
      </c>
      <c r="N314" s="704">
        <v>20</v>
      </c>
      <c r="O314" s="681" t="s">
        <v>1812</v>
      </c>
      <c r="P314" s="663" t="s">
        <v>1603</v>
      </c>
      <c r="Q314" s="663">
        <v>1</v>
      </c>
      <c r="R314" s="690">
        <v>0</v>
      </c>
      <c r="S314" s="687" t="s">
        <v>1593</v>
      </c>
      <c r="T314" s="683" t="s">
        <v>825</v>
      </c>
      <c r="U314" s="683" t="s">
        <v>1846</v>
      </c>
      <c r="V314" s="690"/>
      <c r="W314" s="687">
        <v>2015</v>
      </c>
      <c r="X314" s="702">
        <v>31</v>
      </c>
      <c r="Y314" s="687" t="s">
        <v>1596</v>
      </c>
      <c r="Z314" s="663" t="s">
        <v>1596</v>
      </c>
      <c r="AA314" s="663" t="s">
        <v>1585</v>
      </c>
      <c r="AB314" s="663" t="s">
        <v>1587</v>
      </c>
      <c r="AC314" s="663" t="s">
        <v>1596</v>
      </c>
      <c r="AD314" s="663" t="s">
        <v>825</v>
      </c>
      <c r="AE314" s="663" t="s">
        <v>825</v>
      </c>
      <c r="AF314" s="663" t="s">
        <v>1596</v>
      </c>
      <c r="AG314" s="663" t="s">
        <v>825</v>
      </c>
      <c r="AH314" s="663" t="s">
        <v>1596</v>
      </c>
      <c r="AI314" s="688">
        <v>42.857142857142861</v>
      </c>
      <c r="AJ314" s="689" t="s">
        <v>1588</v>
      </c>
      <c r="AK314" s="690"/>
    </row>
    <row r="315" spans="1:37" s="653" customFormat="1">
      <c r="A315" s="655">
        <v>2024</v>
      </c>
      <c r="B315" s="656" t="str">
        <f>INDEX('①基本情報 '!$C$2:$C$255,MATCH('②建物情報 '!E315,'①基本情報 '!$E$2:$E$255,0),1)</f>
        <v>151</v>
      </c>
      <c r="C315" s="657" t="str">
        <f>INDEX('①基本情報 '!$B$2:$B$255,MATCH('②建物情報 '!E315,'①基本情報 '!$E$2:$E$255,0),1)</f>
        <v>1042</v>
      </c>
      <c r="D315" s="658" t="s">
        <v>2418</v>
      </c>
      <c r="E315" s="612" t="s">
        <v>999</v>
      </c>
      <c r="F315" s="597" t="str">
        <f>INDEX('①基本情報 '!$G$2:$G$255,MATCH('②建物情報 '!E315,'①基本情報 '!$E$2:$E$255,0),1)</f>
        <v>教育委員会教育総務部、学校教育部、生涯学習部</v>
      </c>
      <c r="G315" s="678" t="s">
        <v>1580</v>
      </c>
      <c r="H315" s="612" t="s">
        <v>1638</v>
      </c>
      <c r="I315" s="663">
        <v>1961</v>
      </c>
      <c r="J315" s="663">
        <v>3</v>
      </c>
      <c r="K315" s="663">
        <f t="shared" si="4"/>
        <v>63</v>
      </c>
      <c r="L315" s="694">
        <v>350</v>
      </c>
      <c r="M315" s="704">
        <v>1050</v>
      </c>
      <c r="N315" s="704">
        <v>1050</v>
      </c>
      <c r="O315" s="681" t="s">
        <v>1812</v>
      </c>
      <c r="P315" s="663" t="s">
        <v>1581</v>
      </c>
      <c r="Q315" s="663">
        <v>3</v>
      </c>
      <c r="R315" s="690">
        <v>0</v>
      </c>
      <c r="S315" s="687" t="s">
        <v>1582</v>
      </c>
      <c r="T315" s="663" t="s">
        <v>1583</v>
      </c>
      <c r="U315" s="683" t="s">
        <v>63</v>
      </c>
      <c r="V315" s="690">
        <v>1997</v>
      </c>
      <c r="W315" s="687">
        <v>2015</v>
      </c>
      <c r="X315" s="686">
        <v>47</v>
      </c>
      <c r="Y315" s="687" t="s">
        <v>1585</v>
      </c>
      <c r="Z315" s="663" t="s">
        <v>1596</v>
      </c>
      <c r="AA315" s="663" t="s">
        <v>1596</v>
      </c>
      <c r="AB315" s="663" t="s">
        <v>1587</v>
      </c>
      <c r="AC315" s="663" t="s">
        <v>1585</v>
      </c>
      <c r="AD315" s="663" t="s">
        <v>1596</v>
      </c>
      <c r="AE315" s="663" t="s">
        <v>1587</v>
      </c>
      <c r="AF315" s="663" t="s">
        <v>1587</v>
      </c>
      <c r="AG315" s="663" t="s">
        <v>1587</v>
      </c>
      <c r="AH315" s="663" t="s">
        <v>1596</v>
      </c>
      <c r="AI315" s="688">
        <v>48.4</v>
      </c>
      <c r="AJ315" s="689" t="s">
        <v>1588</v>
      </c>
      <c r="AK315" s="690"/>
    </row>
    <row r="316" spans="1:37" s="653" customFormat="1">
      <c r="A316" s="655">
        <v>2024</v>
      </c>
      <c r="B316" s="656" t="str">
        <f>INDEX('①基本情報 '!$C$2:$C$255,MATCH('②建物情報 '!E316,'①基本情報 '!$E$2:$E$255,0),1)</f>
        <v>151</v>
      </c>
      <c r="C316" s="657" t="str">
        <f>INDEX('①基本情報 '!$B$2:$B$255,MATCH('②建物情報 '!E316,'①基本情報 '!$E$2:$E$255,0),1)</f>
        <v>1042</v>
      </c>
      <c r="D316" s="658" t="s">
        <v>2418</v>
      </c>
      <c r="E316" s="612" t="s">
        <v>999</v>
      </c>
      <c r="F316" s="597" t="str">
        <f>INDEX('①基本情報 '!$G$2:$G$255,MATCH('②建物情報 '!E316,'①基本情報 '!$E$2:$E$255,0),1)</f>
        <v>教育委員会教育総務部、学校教育部、生涯学習部</v>
      </c>
      <c r="G316" s="678" t="s">
        <v>1589</v>
      </c>
      <c r="H316" s="612" t="s">
        <v>1639</v>
      </c>
      <c r="I316" s="663">
        <v>1966</v>
      </c>
      <c r="J316" s="663">
        <v>3</v>
      </c>
      <c r="K316" s="663">
        <f t="shared" si="4"/>
        <v>58</v>
      </c>
      <c r="L316" s="694">
        <v>972</v>
      </c>
      <c r="M316" s="704">
        <v>3156</v>
      </c>
      <c r="N316" s="704">
        <v>3156</v>
      </c>
      <c r="O316" s="681" t="s">
        <v>1812</v>
      </c>
      <c r="P316" s="663" t="s">
        <v>1581</v>
      </c>
      <c r="Q316" s="663">
        <v>3</v>
      </c>
      <c r="R316" s="690">
        <v>0</v>
      </c>
      <c r="S316" s="687" t="s">
        <v>1582</v>
      </c>
      <c r="T316" s="663" t="s">
        <v>1583</v>
      </c>
      <c r="U316" s="683" t="s">
        <v>63</v>
      </c>
      <c r="V316" s="690">
        <v>1997</v>
      </c>
      <c r="W316" s="687">
        <v>2019</v>
      </c>
      <c r="X316" s="686">
        <v>47</v>
      </c>
      <c r="Y316" s="687" t="s">
        <v>1585</v>
      </c>
      <c r="Z316" s="663" t="s">
        <v>1587</v>
      </c>
      <c r="AA316" s="663" t="s">
        <v>1596</v>
      </c>
      <c r="AB316" s="663" t="s">
        <v>1587</v>
      </c>
      <c r="AC316" s="663" t="s">
        <v>1587</v>
      </c>
      <c r="AD316" s="663" t="s">
        <v>1596</v>
      </c>
      <c r="AE316" s="663" t="s">
        <v>1587</v>
      </c>
      <c r="AF316" s="663" t="s">
        <v>1587</v>
      </c>
      <c r="AG316" s="663" t="s">
        <v>1596</v>
      </c>
      <c r="AH316" s="663" t="s">
        <v>1596</v>
      </c>
      <c r="AI316" s="688">
        <v>40.384615384615387</v>
      </c>
      <c r="AJ316" s="689" t="s">
        <v>1588</v>
      </c>
      <c r="AK316" s="690"/>
    </row>
    <row r="317" spans="1:37" s="653" customFormat="1">
      <c r="A317" s="655">
        <v>2024</v>
      </c>
      <c r="B317" s="656" t="str">
        <f>INDEX('①基本情報 '!$C$2:$C$255,MATCH('②建物情報 '!E317,'①基本情報 '!$E$2:$E$255,0),1)</f>
        <v>151</v>
      </c>
      <c r="C317" s="657" t="str">
        <f>INDEX('①基本情報 '!$B$2:$B$255,MATCH('②建物情報 '!E317,'①基本情報 '!$E$2:$E$255,0),1)</f>
        <v>1042</v>
      </c>
      <c r="D317" s="658" t="s">
        <v>2418</v>
      </c>
      <c r="E317" s="612" t="s">
        <v>999</v>
      </c>
      <c r="F317" s="597" t="str">
        <f>INDEX('①基本情報 '!$G$2:$G$255,MATCH('②建物情報 '!E317,'①基本情報 '!$E$2:$E$255,0),1)</f>
        <v>教育委員会教育総務部、学校教育部、生涯学習部</v>
      </c>
      <c r="G317" s="678" t="s">
        <v>1591</v>
      </c>
      <c r="H317" s="612" t="s">
        <v>1642</v>
      </c>
      <c r="I317" s="663">
        <v>1970</v>
      </c>
      <c r="J317" s="663">
        <v>3</v>
      </c>
      <c r="K317" s="663">
        <f t="shared" si="4"/>
        <v>54</v>
      </c>
      <c r="L317" s="694">
        <v>840</v>
      </c>
      <c r="M317" s="704">
        <v>1832</v>
      </c>
      <c r="N317" s="704">
        <v>1832</v>
      </c>
      <c r="O317" s="681" t="s">
        <v>1812</v>
      </c>
      <c r="P317" s="663" t="s">
        <v>1581</v>
      </c>
      <c r="Q317" s="663">
        <v>3</v>
      </c>
      <c r="R317" s="690">
        <v>0</v>
      </c>
      <c r="S317" s="687" t="s">
        <v>1582</v>
      </c>
      <c r="T317" s="663" t="s">
        <v>1583</v>
      </c>
      <c r="U317" s="683" t="s">
        <v>63</v>
      </c>
      <c r="V317" s="690">
        <v>2008</v>
      </c>
      <c r="W317" s="687">
        <v>2015</v>
      </c>
      <c r="X317" s="686">
        <v>47</v>
      </c>
      <c r="Y317" s="687" t="s">
        <v>1585</v>
      </c>
      <c r="Z317" s="663" t="s">
        <v>1585</v>
      </c>
      <c r="AA317" s="663" t="s">
        <v>825</v>
      </c>
      <c r="AB317" s="663" t="s">
        <v>1587</v>
      </c>
      <c r="AC317" s="663" t="s">
        <v>1585</v>
      </c>
      <c r="AD317" s="663" t="s">
        <v>1587</v>
      </c>
      <c r="AE317" s="663" t="s">
        <v>1587</v>
      </c>
      <c r="AF317" s="663" t="s">
        <v>1587</v>
      </c>
      <c r="AG317" s="663" t="s">
        <v>1596</v>
      </c>
      <c r="AH317" s="663" t="s">
        <v>1585</v>
      </c>
      <c r="AI317" s="688">
        <v>50</v>
      </c>
      <c r="AJ317" s="689" t="s">
        <v>1588</v>
      </c>
      <c r="AK317" s="690"/>
    </row>
    <row r="318" spans="1:37" s="653" customFormat="1">
      <c r="A318" s="655">
        <v>2024</v>
      </c>
      <c r="B318" s="656" t="str">
        <f>INDEX('①基本情報 '!$C$2:$C$255,MATCH('②建物情報 '!E318,'①基本情報 '!$E$2:$E$255,0),1)</f>
        <v>151</v>
      </c>
      <c r="C318" s="657" t="str">
        <f>INDEX('①基本情報 '!$B$2:$B$255,MATCH('②建物情報 '!E318,'①基本情報 '!$E$2:$E$255,0),1)</f>
        <v>1042</v>
      </c>
      <c r="D318" s="658" t="s">
        <v>2418</v>
      </c>
      <c r="E318" s="612" t="s">
        <v>999</v>
      </c>
      <c r="F318" s="597" t="str">
        <f>INDEX('①基本情報 '!$G$2:$G$255,MATCH('②建物情報 '!E318,'①基本情報 '!$E$2:$E$255,0),1)</f>
        <v>教育委員会教育総務部、学校教育部、生涯学習部</v>
      </c>
      <c r="G318" s="678" t="s">
        <v>1601</v>
      </c>
      <c r="H318" s="612" t="s">
        <v>1640</v>
      </c>
      <c r="I318" s="663">
        <v>1974</v>
      </c>
      <c r="J318" s="663">
        <v>8</v>
      </c>
      <c r="K318" s="663">
        <f t="shared" si="4"/>
        <v>50</v>
      </c>
      <c r="L318" s="694">
        <v>419</v>
      </c>
      <c r="M318" s="704">
        <v>1630</v>
      </c>
      <c r="N318" s="704">
        <v>1630</v>
      </c>
      <c r="O318" s="681" t="s">
        <v>1812</v>
      </c>
      <c r="P318" s="663" t="s">
        <v>1581</v>
      </c>
      <c r="Q318" s="663">
        <v>4</v>
      </c>
      <c r="R318" s="690">
        <v>0</v>
      </c>
      <c r="S318" s="687" t="s">
        <v>1582</v>
      </c>
      <c r="T318" s="663" t="s">
        <v>1583</v>
      </c>
      <c r="U318" s="683" t="s">
        <v>63</v>
      </c>
      <c r="V318" s="690">
        <v>2010</v>
      </c>
      <c r="W318" s="687">
        <v>2010</v>
      </c>
      <c r="X318" s="686">
        <v>47</v>
      </c>
      <c r="Y318" s="687" t="s">
        <v>1585</v>
      </c>
      <c r="Z318" s="663" t="s">
        <v>1585</v>
      </c>
      <c r="AA318" s="663" t="s">
        <v>1585</v>
      </c>
      <c r="AB318" s="663" t="s">
        <v>1587</v>
      </c>
      <c r="AC318" s="663" t="s">
        <v>1585</v>
      </c>
      <c r="AD318" s="663" t="s">
        <v>1596</v>
      </c>
      <c r="AE318" s="663" t="s">
        <v>1596</v>
      </c>
      <c r="AF318" s="663" t="s">
        <v>1596</v>
      </c>
      <c r="AG318" s="663" t="s">
        <v>1596</v>
      </c>
      <c r="AH318" s="663" t="s">
        <v>1585</v>
      </c>
      <c r="AI318" s="688">
        <v>58.800000000000011</v>
      </c>
      <c r="AJ318" s="689" t="s">
        <v>1588</v>
      </c>
      <c r="AK318" s="690"/>
    </row>
    <row r="319" spans="1:37" s="653" customFormat="1">
      <c r="A319" s="655">
        <v>2024</v>
      </c>
      <c r="B319" s="656" t="str">
        <f>INDEX('①基本情報 '!$C$2:$C$255,MATCH('②建物情報 '!E319,'①基本情報 '!$E$2:$E$255,0),1)</f>
        <v>151</v>
      </c>
      <c r="C319" s="657" t="str">
        <f>INDEX('①基本情報 '!$B$2:$B$255,MATCH('②建物情報 '!E319,'①基本情報 '!$E$2:$E$255,0),1)</f>
        <v>1042</v>
      </c>
      <c r="D319" s="658" t="s">
        <v>2418</v>
      </c>
      <c r="E319" s="612" t="s">
        <v>999</v>
      </c>
      <c r="F319" s="597" t="str">
        <f>INDEX('①基本情報 '!$G$2:$G$255,MATCH('②建物情報 '!E319,'①基本情報 '!$E$2:$E$255,0),1)</f>
        <v>教育委員会教育総務部、学校教育部、生涯学習部</v>
      </c>
      <c r="G319" s="678" t="s">
        <v>1620</v>
      </c>
      <c r="H319" s="612" t="s">
        <v>1660</v>
      </c>
      <c r="I319" s="663">
        <v>1990</v>
      </c>
      <c r="J319" s="663">
        <v>3</v>
      </c>
      <c r="K319" s="663">
        <f t="shared" si="4"/>
        <v>34</v>
      </c>
      <c r="L319" s="694">
        <v>497</v>
      </c>
      <c r="M319" s="704">
        <v>896</v>
      </c>
      <c r="N319" s="704">
        <v>896</v>
      </c>
      <c r="O319" s="681" t="s">
        <v>1812</v>
      </c>
      <c r="P319" s="663" t="s">
        <v>1581</v>
      </c>
      <c r="Q319" s="663">
        <v>2</v>
      </c>
      <c r="R319" s="690">
        <v>0</v>
      </c>
      <c r="S319" s="687" t="s">
        <v>1593</v>
      </c>
      <c r="T319" s="683" t="s">
        <v>825</v>
      </c>
      <c r="U319" s="663" t="s">
        <v>63</v>
      </c>
      <c r="V319" s="690"/>
      <c r="W319" s="687"/>
      <c r="X319" s="686">
        <v>47</v>
      </c>
      <c r="Y319" s="687" t="s">
        <v>1596</v>
      </c>
      <c r="Z319" s="663" t="s">
        <v>1586</v>
      </c>
      <c r="AA319" s="663" t="s">
        <v>1586</v>
      </c>
      <c r="AB319" s="663" t="s">
        <v>1587</v>
      </c>
      <c r="AC319" s="663" t="s">
        <v>1586</v>
      </c>
      <c r="AD319" s="663" t="s">
        <v>1586</v>
      </c>
      <c r="AE319" s="663" t="s">
        <v>1596</v>
      </c>
      <c r="AF319" s="663" t="s">
        <v>1586</v>
      </c>
      <c r="AG319" s="663" t="s">
        <v>1586</v>
      </c>
      <c r="AH319" s="663" t="s">
        <v>1586</v>
      </c>
      <c r="AI319" s="688">
        <v>70.399999999999991</v>
      </c>
      <c r="AJ319" s="689" t="s">
        <v>1588</v>
      </c>
      <c r="AK319" s="690"/>
    </row>
    <row r="320" spans="1:37" s="653" customFormat="1">
      <c r="A320" s="655">
        <v>2024</v>
      </c>
      <c r="B320" s="656" t="str">
        <f>INDEX('①基本情報 '!$C$2:$C$255,MATCH('②建物情報 '!E320,'①基本情報 '!$E$2:$E$255,0),1)</f>
        <v>151</v>
      </c>
      <c r="C320" s="657" t="str">
        <f>INDEX('①基本情報 '!$B$2:$B$255,MATCH('②建物情報 '!E320,'①基本情報 '!$E$2:$E$255,0),1)</f>
        <v>1042</v>
      </c>
      <c r="D320" s="658" t="s">
        <v>2418</v>
      </c>
      <c r="E320" s="612" t="s">
        <v>999</v>
      </c>
      <c r="F320" s="597" t="str">
        <f>INDEX('①基本情報 '!$G$2:$G$255,MATCH('②建物情報 '!E320,'①基本情報 '!$E$2:$E$255,0),1)</f>
        <v>教育委員会教育総務部、学校教育部、生涯学習部</v>
      </c>
      <c r="G320" s="678" t="s">
        <v>1643</v>
      </c>
      <c r="H320" s="612" t="s">
        <v>1644</v>
      </c>
      <c r="I320" s="663">
        <v>2007</v>
      </c>
      <c r="J320" s="663">
        <v>9</v>
      </c>
      <c r="K320" s="663">
        <f t="shared" si="4"/>
        <v>17</v>
      </c>
      <c r="L320" s="694">
        <v>16</v>
      </c>
      <c r="M320" s="704">
        <v>48</v>
      </c>
      <c r="N320" s="704">
        <v>48</v>
      </c>
      <c r="O320" s="681" t="s">
        <v>1812</v>
      </c>
      <c r="P320" s="663" t="s">
        <v>1603</v>
      </c>
      <c r="Q320" s="663">
        <v>3</v>
      </c>
      <c r="R320" s="690">
        <v>0</v>
      </c>
      <c r="S320" s="687" t="s">
        <v>1593</v>
      </c>
      <c r="T320" s="683" t="s">
        <v>825</v>
      </c>
      <c r="U320" s="683" t="s">
        <v>1846</v>
      </c>
      <c r="V320" s="690"/>
      <c r="W320" s="687">
        <v>2019</v>
      </c>
      <c r="X320" s="702">
        <v>34</v>
      </c>
      <c r="Y320" s="687" t="s">
        <v>1587</v>
      </c>
      <c r="Z320" s="663" t="s">
        <v>1587</v>
      </c>
      <c r="AA320" s="663" t="s">
        <v>1587</v>
      </c>
      <c r="AB320" s="663" t="s">
        <v>1587</v>
      </c>
      <c r="AC320" s="663" t="s">
        <v>1585</v>
      </c>
      <c r="AD320" s="663" t="s">
        <v>825</v>
      </c>
      <c r="AE320" s="663" t="s">
        <v>825</v>
      </c>
      <c r="AF320" s="663" t="s">
        <v>825</v>
      </c>
      <c r="AG320" s="663" t="s">
        <v>825</v>
      </c>
      <c r="AH320" s="663" t="s">
        <v>1587</v>
      </c>
      <c r="AI320" s="688">
        <v>28.666666666666664</v>
      </c>
      <c r="AJ320" s="689" t="s">
        <v>1588</v>
      </c>
      <c r="AK320" s="690"/>
    </row>
    <row r="321" spans="1:37" s="653" customFormat="1">
      <c r="A321" s="655">
        <v>2024</v>
      </c>
      <c r="B321" s="656" t="str">
        <f>INDEX('①基本情報 '!$C$2:$C$255,MATCH('②建物情報 '!E321,'①基本情報 '!$E$2:$E$255,0),1)</f>
        <v>152</v>
      </c>
      <c r="C321" s="657" t="str">
        <f>INDEX('①基本情報 '!$B$2:$B$255,MATCH('②建物情報 '!E321,'①基本情報 '!$E$2:$E$255,0),1)</f>
        <v>1043</v>
      </c>
      <c r="D321" s="658" t="s">
        <v>2418</v>
      </c>
      <c r="E321" s="612" t="s">
        <v>1004</v>
      </c>
      <c r="F321" s="597" t="str">
        <f>INDEX('①基本情報 '!$G$2:$G$255,MATCH('②建物情報 '!E321,'①基本情報 '!$E$2:$E$255,0),1)</f>
        <v>教育委員会教育総務部、学校教育部、生涯学習部</v>
      </c>
      <c r="G321" s="678" t="s">
        <v>1646</v>
      </c>
      <c r="H321" s="612" t="s">
        <v>1648</v>
      </c>
      <c r="I321" s="663">
        <v>1962</v>
      </c>
      <c r="J321" s="663">
        <v>3</v>
      </c>
      <c r="K321" s="663">
        <f t="shared" si="4"/>
        <v>62</v>
      </c>
      <c r="L321" s="694"/>
      <c r="M321" s="704">
        <v>142</v>
      </c>
      <c r="N321" s="704">
        <v>142</v>
      </c>
      <c r="O321" s="681" t="s">
        <v>1812</v>
      </c>
      <c r="P321" s="663" t="s">
        <v>1581</v>
      </c>
      <c r="Q321" s="663">
        <v>1</v>
      </c>
      <c r="R321" s="690">
        <v>0</v>
      </c>
      <c r="S321" s="687" t="s">
        <v>1582</v>
      </c>
      <c r="T321" s="683"/>
      <c r="U321" s="683" t="s">
        <v>1965</v>
      </c>
      <c r="V321" s="690"/>
      <c r="W321" s="687"/>
      <c r="X321" s="702">
        <v>47</v>
      </c>
      <c r="Y321" s="687" t="s">
        <v>1585</v>
      </c>
      <c r="Z321" s="663" t="s">
        <v>1596</v>
      </c>
      <c r="AA321" s="663" t="s">
        <v>1585</v>
      </c>
      <c r="AB321" s="663" t="s">
        <v>1586</v>
      </c>
      <c r="AC321" s="663" t="s">
        <v>1596</v>
      </c>
      <c r="AD321" s="663" t="s">
        <v>1585</v>
      </c>
      <c r="AE321" s="663" t="s">
        <v>1596</v>
      </c>
      <c r="AF321" s="663" t="s">
        <v>1596</v>
      </c>
      <c r="AG321" s="663" t="s">
        <v>1596</v>
      </c>
      <c r="AH321" s="663" t="s">
        <v>1585</v>
      </c>
      <c r="AI321" s="688">
        <v>65.999999999999986</v>
      </c>
      <c r="AJ321" s="689" t="s">
        <v>1588</v>
      </c>
      <c r="AK321" s="690"/>
    </row>
    <row r="322" spans="1:37" s="653" customFormat="1">
      <c r="A322" s="655">
        <v>2024</v>
      </c>
      <c r="B322" s="656" t="str">
        <f>INDEX('①基本情報 '!$C$2:$C$255,MATCH('②建物情報 '!E322,'①基本情報 '!$E$2:$E$255,0),1)</f>
        <v>152</v>
      </c>
      <c r="C322" s="657" t="str">
        <f>INDEX('①基本情報 '!$B$2:$B$255,MATCH('②建物情報 '!E322,'①基本情報 '!$E$2:$E$255,0),1)</f>
        <v>1043</v>
      </c>
      <c r="D322" s="658" t="s">
        <v>2418</v>
      </c>
      <c r="E322" s="612" t="s">
        <v>1004</v>
      </c>
      <c r="F322" s="597" t="str">
        <f>INDEX('①基本情報 '!$G$2:$G$255,MATCH('②建物情報 '!E322,'①基本情報 '!$E$2:$E$255,0),1)</f>
        <v>教育委員会教育総務部、学校教育部、生涯学習部</v>
      </c>
      <c r="G322" s="678" t="s">
        <v>1580</v>
      </c>
      <c r="H322" s="612" t="s">
        <v>1638</v>
      </c>
      <c r="I322" s="663">
        <v>1961</v>
      </c>
      <c r="J322" s="663">
        <v>3</v>
      </c>
      <c r="K322" s="663">
        <f t="shared" si="4"/>
        <v>63</v>
      </c>
      <c r="L322" s="694">
        <v>350</v>
      </c>
      <c r="M322" s="704">
        <v>1050</v>
      </c>
      <c r="N322" s="704">
        <v>1050</v>
      </c>
      <c r="O322" s="681" t="s">
        <v>1812</v>
      </c>
      <c r="P322" s="663" t="s">
        <v>1581</v>
      </c>
      <c r="Q322" s="663">
        <v>3</v>
      </c>
      <c r="R322" s="690">
        <v>0</v>
      </c>
      <c r="S322" s="687" t="s">
        <v>1582</v>
      </c>
      <c r="T322" s="663" t="s">
        <v>1583</v>
      </c>
      <c r="U322" s="683" t="s">
        <v>63</v>
      </c>
      <c r="V322" s="690">
        <v>1997</v>
      </c>
      <c r="W322" s="687">
        <v>2014</v>
      </c>
      <c r="X322" s="686">
        <v>47</v>
      </c>
      <c r="Y322" s="687" t="s">
        <v>1585</v>
      </c>
      <c r="Z322" s="663" t="s">
        <v>1585</v>
      </c>
      <c r="AA322" s="663" t="s">
        <v>1585</v>
      </c>
      <c r="AB322" s="663" t="s">
        <v>1586</v>
      </c>
      <c r="AC322" s="663" t="s">
        <v>1585</v>
      </c>
      <c r="AD322" s="663" t="s">
        <v>1585</v>
      </c>
      <c r="AE322" s="663" t="s">
        <v>1596</v>
      </c>
      <c r="AF322" s="663" t="s">
        <v>1596</v>
      </c>
      <c r="AG322" s="663" t="s">
        <v>1596</v>
      </c>
      <c r="AH322" s="663" t="s">
        <v>1586</v>
      </c>
      <c r="AI322" s="688">
        <v>72.399999999999991</v>
      </c>
      <c r="AJ322" s="689" t="s">
        <v>1588</v>
      </c>
      <c r="AK322" s="690"/>
    </row>
    <row r="323" spans="1:37" s="653" customFormat="1">
      <c r="A323" s="655">
        <v>2024</v>
      </c>
      <c r="B323" s="656" t="str">
        <f>INDEX('①基本情報 '!$C$2:$C$255,MATCH('②建物情報 '!E323,'①基本情報 '!$E$2:$E$255,0),1)</f>
        <v>152</v>
      </c>
      <c r="C323" s="657" t="str">
        <f>INDEX('①基本情報 '!$B$2:$B$255,MATCH('②建物情報 '!E323,'①基本情報 '!$E$2:$E$255,0),1)</f>
        <v>1043</v>
      </c>
      <c r="D323" s="658" t="s">
        <v>2418</v>
      </c>
      <c r="E323" s="612" t="s">
        <v>1004</v>
      </c>
      <c r="F323" s="597" t="str">
        <f>INDEX('①基本情報 '!$G$2:$G$255,MATCH('②建物情報 '!E323,'①基本情報 '!$E$2:$E$255,0),1)</f>
        <v>教育委員会教育総務部、学校教育部、生涯学習部</v>
      </c>
      <c r="G323" s="678" t="s">
        <v>1589</v>
      </c>
      <c r="H323" s="612" t="s">
        <v>1639</v>
      </c>
      <c r="I323" s="663">
        <v>1961</v>
      </c>
      <c r="J323" s="663">
        <v>10</v>
      </c>
      <c r="K323" s="663">
        <f t="shared" si="4"/>
        <v>63</v>
      </c>
      <c r="L323" s="694">
        <v>219</v>
      </c>
      <c r="M323" s="704">
        <v>658</v>
      </c>
      <c r="N323" s="704">
        <v>658</v>
      </c>
      <c r="O323" s="681" t="s">
        <v>1812</v>
      </c>
      <c r="P323" s="663" t="s">
        <v>1581</v>
      </c>
      <c r="Q323" s="663">
        <v>3</v>
      </c>
      <c r="R323" s="690">
        <v>0</v>
      </c>
      <c r="S323" s="687" t="s">
        <v>1582</v>
      </c>
      <c r="T323" s="663" t="s">
        <v>1583</v>
      </c>
      <c r="U323" s="683" t="s">
        <v>63</v>
      </c>
      <c r="V323" s="690">
        <v>1997</v>
      </c>
      <c r="W323" s="687">
        <v>2011</v>
      </c>
      <c r="X323" s="686">
        <v>47</v>
      </c>
      <c r="Y323" s="687" t="s">
        <v>1585</v>
      </c>
      <c r="Z323" s="663" t="s">
        <v>1585</v>
      </c>
      <c r="AA323" s="663" t="s">
        <v>1585</v>
      </c>
      <c r="AB323" s="663" t="s">
        <v>1586</v>
      </c>
      <c r="AC323" s="663" t="s">
        <v>1585</v>
      </c>
      <c r="AD323" s="663" t="s">
        <v>1585</v>
      </c>
      <c r="AE323" s="663" t="s">
        <v>825</v>
      </c>
      <c r="AF323" s="663" t="s">
        <v>1596</v>
      </c>
      <c r="AG323" s="663" t="s">
        <v>1596</v>
      </c>
      <c r="AH323" s="663" t="s">
        <v>1586</v>
      </c>
      <c r="AI323" s="688">
        <v>72.727272727272734</v>
      </c>
      <c r="AJ323" s="689" t="s">
        <v>1588</v>
      </c>
      <c r="AK323" s="690"/>
    </row>
    <row r="324" spans="1:37" s="653" customFormat="1">
      <c r="A324" s="655">
        <v>2024</v>
      </c>
      <c r="B324" s="656" t="str">
        <f>INDEX('①基本情報 '!$C$2:$C$255,MATCH('②建物情報 '!E324,'①基本情報 '!$E$2:$E$255,0),1)</f>
        <v>152</v>
      </c>
      <c r="C324" s="657" t="str">
        <f>INDEX('①基本情報 '!$B$2:$B$255,MATCH('②建物情報 '!E324,'①基本情報 '!$E$2:$E$255,0),1)</f>
        <v>1043</v>
      </c>
      <c r="D324" s="658" t="s">
        <v>2418</v>
      </c>
      <c r="E324" s="612" t="s">
        <v>1004</v>
      </c>
      <c r="F324" s="597" t="str">
        <f>INDEX('①基本情報 '!$G$2:$G$255,MATCH('②建物情報 '!E324,'①基本情報 '!$E$2:$E$255,0),1)</f>
        <v>教育委員会教育総務部、学校教育部、生涯学習部</v>
      </c>
      <c r="G324" s="678" t="s">
        <v>1591</v>
      </c>
      <c r="H324" s="612" t="s">
        <v>1642</v>
      </c>
      <c r="I324" s="663">
        <v>1972</v>
      </c>
      <c r="J324" s="663">
        <v>3</v>
      </c>
      <c r="K324" s="663">
        <f t="shared" si="4"/>
        <v>52</v>
      </c>
      <c r="L324" s="694">
        <v>1097</v>
      </c>
      <c r="M324" s="704">
        <v>2466</v>
      </c>
      <c r="N324" s="704">
        <v>2466</v>
      </c>
      <c r="O324" s="681" t="s">
        <v>1812</v>
      </c>
      <c r="P324" s="663" t="s">
        <v>1581</v>
      </c>
      <c r="Q324" s="663">
        <v>3</v>
      </c>
      <c r="R324" s="690">
        <v>0</v>
      </c>
      <c r="S324" s="687" t="s">
        <v>1582</v>
      </c>
      <c r="T324" s="663" t="s">
        <v>1583</v>
      </c>
      <c r="U324" s="663" t="s">
        <v>63</v>
      </c>
      <c r="V324" s="690">
        <v>2011</v>
      </c>
      <c r="W324" s="687">
        <v>2011</v>
      </c>
      <c r="X324" s="686">
        <v>47</v>
      </c>
      <c r="Y324" s="687" t="s">
        <v>1585</v>
      </c>
      <c r="Z324" s="663" t="s">
        <v>1585</v>
      </c>
      <c r="AA324" s="663" t="s">
        <v>1585</v>
      </c>
      <c r="AB324" s="663" t="s">
        <v>1586</v>
      </c>
      <c r="AC324" s="663" t="s">
        <v>1585</v>
      </c>
      <c r="AD324" s="663" t="s">
        <v>1587</v>
      </c>
      <c r="AE324" s="663" t="s">
        <v>1596</v>
      </c>
      <c r="AF324" s="663" t="s">
        <v>1596</v>
      </c>
      <c r="AG324" s="663" t="s">
        <v>1596</v>
      </c>
      <c r="AH324" s="663" t="s">
        <v>1585</v>
      </c>
      <c r="AI324" s="688">
        <v>65.999999999999986</v>
      </c>
      <c r="AJ324" s="689" t="s">
        <v>1588</v>
      </c>
      <c r="AK324" s="690"/>
    </row>
    <row r="325" spans="1:37" s="653" customFormat="1">
      <c r="A325" s="655">
        <v>2024</v>
      </c>
      <c r="B325" s="656" t="str">
        <f>INDEX('①基本情報 '!$C$2:$C$255,MATCH('②建物情報 '!E325,'①基本情報 '!$E$2:$E$255,0),1)</f>
        <v>152</v>
      </c>
      <c r="C325" s="657" t="str">
        <f>INDEX('①基本情報 '!$B$2:$B$255,MATCH('②建物情報 '!E325,'①基本情報 '!$E$2:$E$255,0),1)</f>
        <v>1043</v>
      </c>
      <c r="D325" s="658" t="s">
        <v>2418</v>
      </c>
      <c r="E325" s="612" t="s">
        <v>1004</v>
      </c>
      <c r="F325" s="597" t="str">
        <f>INDEX('①基本情報 '!$G$2:$G$255,MATCH('②建物情報 '!E325,'①基本情報 '!$E$2:$E$255,0),1)</f>
        <v>教育委員会教育総務部、学校教育部、生涯学習部</v>
      </c>
      <c r="G325" s="678" t="s">
        <v>1601</v>
      </c>
      <c r="H325" s="612" t="s">
        <v>1640</v>
      </c>
      <c r="I325" s="663">
        <v>1973</v>
      </c>
      <c r="J325" s="663">
        <v>3</v>
      </c>
      <c r="K325" s="663">
        <f t="shared" si="4"/>
        <v>51</v>
      </c>
      <c r="L325" s="694">
        <v>685</v>
      </c>
      <c r="M325" s="704">
        <v>3521</v>
      </c>
      <c r="N325" s="704">
        <v>3521</v>
      </c>
      <c r="O325" s="681" t="s">
        <v>1812</v>
      </c>
      <c r="P325" s="663" t="s">
        <v>1581</v>
      </c>
      <c r="Q325" s="663">
        <v>6</v>
      </c>
      <c r="R325" s="690">
        <v>0</v>
      </c>
      <c r="S325" s="687" t="s">
        <v>1582</v>
      </c>
      <c r="T325" s="663" t="s">
        <v>1583</v>
      </c>
      <c r="U325" s="683" t="s">
        <v>63</v>
      </c>
      <c r="V325" s="690">
        <v>2010</v>
      </c>
      <c r="W325" s="687">
        <v>2010</v>
      </c>
      <c r="X325" s="686">
        <v>47</v>
      </c>
      <c r="Y325" s="687" t="s">
        <v>1585</v>
      </c>
      <c r="Z325" s="663" t="s">
        <v>1585</v>
      </c>
      <c r="AA325" s="663" t="s">
        <v>1585</v>
      </c>
      <c r="AB325" s="663" t="s">
        <v>1586</v>
      </c>
      <c r="AC325" s="663" t="s">
        <v>1585</v>
      </c>
      <c r="AD325" s="663" t="s">
        <v>1585</v>
      </c>
      <c r="AE325" s="663" t="s">
        <v>1596</v>
      </c>
      <c r="AF325" s="663" t="s">
        <v>1596</v>
      </c>
      <c r="AG325" s="663" t="s">
        <v>1596</v>
      </c>
      <c r="AH325" s="663" t="s">
        <v>1585</v>
      </c>
      <c r="AI325" s="688">
        <v>67.599999999999994</v>
      </c>
      <c r="AJ325" s="689" t="s">
        <v>1588</v>
      </c>
      <c r="AK325" s="690"/>
    </row>
    <row r="326" spans="1:37" s="653" customFormat="1">
      <c r="A326" s="655">
        <v>2024</v>
      </c>
      <c r="B326" s="656" t="str">
        <f>INDEX('①基本情報 '!$C$2:$C$255,MATCH('②建物情報 '!E326,'①基本情報 '!$E$2:$E$255,0),1)</f>
        <v>152</v>
      </c>
      <c r="C326" s="657" t="str">
        <f>INDEX('①基本情報 '!$B$2:$B$255,MATCH('②建物情報 '!E326,'①基本情報 '!$E$2:$E$255,0),1)</f>
        <v>1043</v>
      </c>
      <c r="D326" s="658" t="s">
        <v>2418</v>
      </c>
      <c r="E326" s="612" t="s">
        <v>1004</v>
      </c>
      <c r="F326" s="597" t="str">
        <f>INDEX('①基本情報 '!$G$2:$G$255,MATCH('②建物情報 '!E326,'①基本情報 '!$E$2:$E$255,0),1)</f>
        <v>教育委員会教育総務部、学校教育部、生涯学習部</v>
      </c>
      <c r="G326" s="678" t="s">
        <v>1620</v>
      </c>
      <c r="H326" s="612" t="s">
        <v>1641</v>
      </c>
      <c r="I326" s="663">
        <v>1974</v>
      </c>
      <c r="J326" s="663">
        <v>5</v>
      </c>
      <c r="K326" s="663">
        <f t="shared" si="4"/>
        <v>50</v>
      </c>
      <c r="L326" s="694">
        <v>414</v>
      </c>
      <c r="M326" s="704">
        <v>1755</v>
      </c>
      <c r="N326" s="704">
        <v>1755</v>
      </c>
      <c r="O326" s="681" t="s">
        <v>1812</v>
      </c>
      <c r="P326" s="663" t="s">
        <v>1581</v>
      </c>
      <c r="Q326" s="663">
        <v>5</v>
      </c>
      <c r="R326" s="690">
        <v>0</v>
      </c>
      <c r="S326" s="687" t="s">
        <v>1582</v>
      </c>
      <c r="T326" s="663" t="s">
        <v>1583</v>
      </c>
      <c r="U326" s="663" t="s">
        <v>63</v>
      </c>
      <c r="V326" s="690">
        <v>2011</v>
      </c>
      <c r="W326" s="687">
        <v>2011</v>
      </c>
      <c r="X326" s="686">
        <v>47</v>
      </c>
      <c r="Y326" s="687" t="s">
        <v>1596</v>
      </c>
      <c r="Z326" s="663" t="s">
        <v>1586</v>
      </c>
      <c r="AA326" s="663" t="s">
        <v>1586</v>
      </c>
      <c r="AB326" s="663" t="s">
        <v>1586</v>
      </c>
      <c r="AC326" s="663" t="s">
        <v>1586</v>
      </c>
      <c r="AD326" s="663" t="s">
        <v>1586</v>
      </c>
      <c r="AE326" s="663" t="s">
        <v>1596</v>
      </c>
      <c r="AF326" s="663" t="s">
        <v>1586</v>
      </c>
      <c r="AG326" s="663" t="s">
        <v>1587</v>
      </c>
      <c r="AH326" s="663" t="s">
        <v>1586</v>
      </c>
      <c r="AI326" s="688">
        <v>72</v>
      </c>
      <c r="AJ326" s="689" t="s">
        <v>1588</v>
      </c>
      <c r="AK326" s="690"/>
    </row>
    <row r="327" spans="1:37" s="653" customFormat="1">
      <c r="A327" s="655">
        <v>2024</v>
      </c>
      <c r="B327" s="656" t="str">
        <f>INDEX('①基本情報 '!$C$2:$C$255,MATCH('②建物情報 '!E327,'①基本情報 '!$E$2:$E$255,0),1)</f>
        <v>152</v>
      </c>
      <c r="C327" s="657" t="str">
        <f>INDEX('①基本情報 '!$B$2:$B$255,MATCH('②建物情報 '!E327,'①基本情報 '!$E$2:$E$255,0),1)</f>
        <v>1043</v>
      </c>
      <c r="D327" s="658" t="s">
        <v>2418</v>
      </c>
      <c r="E327" s="612" t="s">
        <v>1004</v>
      </c>
      <c r="F327" s="597" t="str">
        <f>INDEX('①基本情報 '!$G$2:$G$255,MATCH('②建物情報 '!E327,'①基本情報 '!$E$2:$E$255,0),1)</f>
        <v>教育委員会教育総務部、学校教育部、生涯学習部</v>
      </c>
      <c r="G327" s="678" t="s">
        <v>1643</v>
      </c>
      <c r="H327" s="612" t="s">
        <v>1660</v>
      </c>
      <c r="I327" s="663">
        <v>1991</v>
      </c>
      <c r="J327" s="663">
        <v>5</v>
      </c>
      <c r="K327" s="663">
        <f t="shared" si="4"/>
        <v>33</v>
      </c>
      <c r="L327" s="694">
        <v>390</v>
      </c>
      <c r="M327" s="704">
        <v>780</v>
      </c>
      <c r="N327" s="704">
        <v>780</v>
      </c>
      <c r="O327" s="681" t="s">
        <v>1812</v>
      </c>
      <c r="P327" s="663" t="s">
        <v>1581</v>
      </c>
      <c r="Q327" s="663">
        <v>2</v>
      </c>
      <c r="R327" s="690">
        <v>0</v>
      </c>
      <c r="S327" s="687" t="s">
        <v>1593</v>
      </c>
      <c r="T327" s="683" t="s">
        <v>825</v>
      </c>
      <c r="U327" s="663" t="s">
        <v>63</v>
      </c>
      <c r="V327" s="690"/>
      <c r="W327" s="687"/>
      <c r="X327" s="686">
        <v>47</v>
      </c>
      <c r="Y327" s="687" t="s">
        <v>1596</v>
      </c>
      <c r="Z327" s="663" t="s">
        <v>1586</v>
      </c>
      <c r="AA327" s="663" t="s">
        <v>1586</v>
      </c>
      <c r="AB327" s="663" t="s">
        <v>1586</v>
      </c>
      <c r="AC327" s="663" t="s">
        <v>1586</v>
      </c>
      <c r="AD327" s="663" t="s">
        <v>825</v>
      </c>
      <c r="AE327" s="663" t="s">
        <v>825</v>
      </c>
      <c r="AF327" s="663" t="s">
        <v>825</v>
      </c>
      <c r="AG327" s="663" t="s">
        <v>825</v>
      </c>
      <c r="AH327" s="663" t="s">
        <v>1586</v>
      </c>
      <c r="AI327" s="688">
        <v>70.666666666666671</v>
      </c>
      <c r="AJ327" s="689" t="s">
        <v>1588</v>
      </c>
      <c r="AK327" s="690"/>
    </row>
    <row r="328" spans="1:37" s="653" customFormat="1">
      <c r="A328" s="655">
        <v>2024</v>
      </c>
      <c r="B328" s="656" t="str">
        <f>INDEX('①基本情報 '!$C$2:$C$255,MATCH('②建物情報 '!E328,'①基本情報 '!$E$2:$E$255,0),1)</f>
        <v>152</v>
      </c>
      <c r="C328" s="657" t="str">
        <f>INDEX('①基本情報 '!$B$2:$B$255,MATCH('②建物情報 '!E328,'①基本情報 '!$E$2:$E$255,0),1)</f>
        <v>1043</v>
      </c>
      <c r="D328" s="658" t="s">
        <v>2418</v>
      </c>
      <c r="E328" s="612" t="s">
        <v>1004</v>
      </c>
      <c r="F328" s="597" t="str">
        <f>INDEX('①基本情報 '!$G$2:$G$255,MATCH('②建物情報 '!E328,'①基本情報 '!$E$2:$E$255,0),1)</f>
        <v>教育委員会教育総務部、学校教育部、生涯学習部</v>
      </c>
      <c r="G328" s="678" t="s">
        <v>1645</v>
      </c>
      <c r="H328" s="612" t="s">
        <v>1644</v>
      </c>
      <c r="I328" s="663">
        <v>2003</v>
      </c>
      <c r="J328" s="663">
        <v>8</v>
      </c>
      <c r="K328" s="663">
        <f t="shared" ref="K328:K391" si="5">IF(I328&lt;&gt;"",A328-I328,99)</f>
        <v>21</v>
      </c>
      <c r="L328" s="694">
        <v>14</v>
      </c>
      <c r="M328" s="704">
        <v>70</v>
      </c>
      <c r="N328" s="704">
        <v>70</v>
      </c>
      <c r="O328" s="681" t="s">
        <v>1812</v>
      </c>
      <c r="P328" s="663" t="s">
        <v>1603</v>
      </c>
      <c r="Q328" s="663">
        <v>5</v>
      </c>
      <c r="R328" s="690">
        <v>0</v>
      </c>
      <c r="S328" s="687" t="s">
        <v>1593</v>
      </c>
      <c r="T328" s="683" t="s">
        <v>825</v>
      </c>
      <c r="U328" s="683" t="s">
        <v>1846</v>
      </c>
      <c r="V328" s="690"/>
      <c r="W328" s="687"/>
      <c r="X328" s="702">
        <v>34</v>
      </c>
      <c r="Y328" s="687" t="s">
        <v>1585</v>
      </c>
      <c r="Z328" s="663" t="s">
        <v>1585</v>
      </c>
      <c r="AA328" s="663" t="s">
        <v>1586</v>
      </c>
      <c r="AB328" s="663" t="s">
        <v>1586</v>
      </c>
      <c r="AC328" s="663" t="s">
        <v>1585</v>
      </c>
      <c r="AD328" s="663" t="s">
        <v>1585</v>
      </c>
      <c r="AE328" s="663" t="s">
        <v>825</v>
      </c>
      <c r="AF328" s="663" t="s">
        <v>1586</v>
      </c>
      <c r="AG328" s="663" t="s">
        <v>1586</v>
      </c>
      <c r="AH328" s="663" t="s">
        <v>1586</v>
      </c>
      <c r="AI328" s="688">
        <v>91.36363636363636</v>
      </c>
      <c r="AJ328" s="689" t="s">
        <v>1588</v>
      </c>
      <c r="AK328" s="690"/>
    </row>
    <row r="329" spans="1:37" s="653" customFormat="1">
      <c r="A329" s="655">
        <v>2024</v>
      </c>
      <c r="B329" s="656" t="str">
        <f>INDEX('①基本情報 '!$C$2:$C$255,MATCH('②建物情報 '!E329,'①基本情報 '!$E$2:$E$255,0),1)</f>
        <v>153</v>
      </c>
      <c r="C329" s="657" t="str">
        <f>INDEX('①基本情報 '!$B$2:$B$255,MATCH('②建物情報 '!E329,'①基本情報 '!$E$2:$E$255,0),1)</f>
        <v>1044</v>
      </c>
      <c r="D329" s="658" t="s">
        <v>2418</v>
      </c>
      <c r="E329" s="612" t="s">
        <v>1009</v>
      </c>
      <c r="F329" s="597" t="str">
        <f>INDEX('①基本情報 '!$G$2:$G$255,MATCH('②建物情報 '!E329,'①基本情報 '!$E$2:$E$255,0),1)</f>
        <v>教育委員会教育総務部、学校教育部、生涯学習部</v>
      </c>
      <c r="G329" s="678" t="s">
        <v>1580</v>
      </c>
      <c r="H329" s="612" t="s">
        <v>1638</v>
      </c>
      <c r="I329" s="663">
        <v>1961</v>
      </c>
      <c r="J329" s="663">
        <v>3</v>
      </c>
      <c r="K329" s="663">
        <f t="shared" si="5"/>
        <v>63</v>
      </c>
      <c r="L329" s="694">
        <v>310</v>
      </c>
      <c r="M329" s="704">
        <v>930</v>
      </c>
      <c r="N329" s="704">
        <v>930</v>
      </c>
      <c r="O329" s="681" t="s">
        <v>1812</v>
      </c>
      <c r="P329" s="663" t="s">
        <v>1581</v>
      </c>
      <c r="Q329" s="663">
        <v>3</v>
      </c>
      <c r="R329" s="690">
        <v>0</v>
      </c>
      <c r="S329" s="687" t="s">
        <v>1582</v>
      </c>
      <c r="T329" s="663" t="s">
        <v>1583</v>
      </c>
      <c r="U329" s="683" t="s">
        <v>63</v>
      </c>
      <c r="V329" s="690">
        <v>1995</v>
      </c>
      <c r="W329" s="687"/>
      <c r="X329" s="686">
        <v>47</v>
      </c>
      <c r="Y329" s="687" t="s">
        <v>1585</v>
      </c>
      <c r="Z329" s="663" t="s">
        <v>1596</v>
      </c>
      <c r="AA329" s="663" t="s">
        <v>1586</v>
      </c>
      <c r="AB329" s="663" t="s">
        <v>1596</v>
      </c>
      <c r="AC329" s="663" t="s">
        <v>1586</v>
      </c>
      <c r="AD329" s="663" t="s">
        <v>1586</v>
      </c>
      <c r="AE329" s="663" t="s">
        <v>1587</v>
      </c>
      <c r="AF329" s="663" t="s">
        <v>1586</v>
      </c>
      <c r="AG329" s="663" t="s">
        <v>1586</v>
      </c>
      <c r="AH329" s="663" t="s">
        <v>1586</v>
      </c>
      <c r="AI329" s="688">
        <v>79.2</v>
      </c>
      <c r="AJ329" s="689" t="s">
        <v>1588</v>
      </c>
      <c r="AK329" s="690"/>
    </row>
    <row r="330" spans="1:37" s="653" customFormat="1">
      <c r="A330" s="655">
        <v>2024</v>
      </c>
      <c r="B330" s="656" t="str">
        <f>INDEX('①基本情報 '!$C$2:$C$255,MATCH('②建物情報 '!E330,'①基本情報 '!$E$2:$E$255,0),1)</f>
        <v>153</v>
      </c>
      <c r="C330" s="657" t="str">
        <f>INDEX('①基本情報 '!$B$2:$B$255,MATCH('②建物情報 '!E330,'①基本情報 '!$E$2:$E$255,0),1)</f>
        <v>1044</v>
      </c>
      <c r="D330" s="658" t="s">
        <v>2418</v>
      </c>
      <c r="E330" s="612" t="s">
        <v>1009</v>
      </c>
      <c r="F330" s="597" t="str">
        <f>INDEX('①基本情報 '!$G$2:$G$255,MATCH('②建物情報 '!E330,'①基本情報 '!$E$2:$E$255,0),1)</f>
        <v>教育委員会教育総務部、学校教育部、生涯学習部</v>
      </c>
      <c r="G330" s="678" t="s">
        <v>1589</v>
      </c>
      <c r="H330" s="612" t="s">
        <v>1639</v>
      </c>
      <c r="I330" s="663">
        <v>1964</v>
      </c>
      <c r="J330" s="663">
        <v>10</v>
      </c>
      <c r="K330" s="663">
        <f t="shared" si="5"/>
        <v>60</v>
      </c>
      <c r="L330" s="694">
        <v>590</v>
      </c>
      <c r="M330" s="704">
        <v>1802</v>
      </c>
      <c r="N330" s="704">
        <v>1802</v>
      </c>
      <c r="O330" s="681" t="s">
        <v>1812</v>
      </c>
      <c r="P330" s="663" t="s">
        <v>1581</v>
      </c>
      <c r="Q330" s="663">
        <v>3</v>
      </c>
      <c r="R330" s="690">
        <v>0</v>
      </c>
      <c r="S330" s="687" t="s">
        <v>1582</v>
      </c>
      <c r="T330" s="663" t="s">
        <v>1583</v>
      </c>
      <c r="U330" s="683" t="s">
        <v>63</v>
      </c>
      <c r="V330" s="690">
        <v>2006</v>
      </c>
      <c r="W330" s="687"/>
      <c r="X330" s="686">
        <v>47</v>
      </c>
      <c r="Y330" s="687" t="s">
        <v>1585</v>
      </c>
      <c r="Z330" s="663" t="s">
        <v>1585</v>
      </c>
      <c r="AA330" s="663" t="s">
        <v>1585</v>
      </c>
      <c r="AB330" s="663" t="s">
        <v>1596</v>
      </c>
      <c r="AC330" s="663" t="s">
        <v>1586</v>
      </c>
      <c r="AD330" s="663" t="s">
        <v>1586</v>
      </c>
      <c r="AE330" s="663" t="s">
        <v>1587</v>
      </c>
      <c r="AF330" s="663" t="s">
        <v>1586</v>
      </c>
      <c r="AG330" s="663" t="s">
        <v>1596</v>
      </c>
      <c r="AH330" s="663" t="s">
        <v>1586</v>
      </c>
      <c r="AI330" s="688">
        <v>74.400000000000006</v>
      </c>
      <c r="AJ330" s="689" t="s">
        <v>1588</v>
      </c>
      <c r="AK330" s="690"/>
    </row>
    <row r="331" spans="1:37" s="653" customFormat="1">
      <c r="A331" s="655">
        <v>2024</v>
      </c>
      <c r="B331" s="656" t="str">
        <f>INDEX('①基本情報 '!$C$2:$C$255,MATCH('②建物情報 '!E331,'①基本情報 '!$E$2:$E$255,0),1)</f>
        <v>153</v>
      </c>
      <c r="C331" s="657" t="str">
        <f>INDEX('①基本情報 '!$B$2:$B$255,MATCH('②建物情報 '!E331,'①基本情報 '!$E$2:$E$255,0),1)</f>
        <v>1044</v>
      </c>
      <c r="D331" s="658" t="s">
        <v>2418</v>
      </c>
      <c r="E331" s="612" t="s">
        <v>1009</v>
      </c>
      <c r="F331" s="597" t="str">
        <f>INDEX('①基本情報 '!$G$2:$G$255,MATCH('②建物情報 '!E331,'①基本情報 '!$E$2:$E$255,0),1)</f>
        <v>教育委員会教育総務部、学校教育部、生涯学習部</v>
      </c>
      <c r="G331" s="678" t="s">
        <v>1591</v>
      </c>
      <c r="H331" s="612" t="s">
        <v>1649</v>
      </c>
      <c r="I331" s="663">
        <v>1966</v>
      </c>
      <c r="J331" s="663">
        <v>3</v>
      </c>
      <c r="K331" s="663">
        <f t="shared" si="5"/>
        <v>58</v>
      </c>
      <c r="L331" s="694">
        <v>936</v>
      </c>
      <c r="M331" s="704">
        <v>936</v>
      </c>
      <c r="N331" s="704">
        <v>936</v>
      </c>
      <c r="O331" s="681" t="s">
        <v>1812</v>
      </c>
      <c r="P331" s="663" t="s">
        <v>1581</v>
      </c>
      <c r="Q331" s="663">
        <v>1</v>
      </c>
      <c r="R331" s="690">
        <v>0</v>
      </c>
      <c r="S331" s="687" t="s">
        <v>1582</v>
      </c>
      <c r="T331" s="663" t="s">
        <v>1583</v>
      </c>
      <c r="U331" s="683" t="s">
        <v>1846</v>
      </c>
      <c r="V331" s="690">
        <v>2006</v>
      </c>
      <c r="W331" s="687"/>
      <c r="X331" s="686">
        <v>47</v>
      </c>
      <c r="Y331" s="687" t="s">
        <v>1585</v>
      </c>
      <c r="Z331" s="663" t="s">
        <v>1586</v>
      </c>
      <c r="AA331" s="663" t="s">
        <v>1586</v>
      </c>
      <c r="AB331" s="663" t="s">
        <v>1596</v>
      </c>
      <c r="AC331" s="663" t="s">
        <v>1586</v>
      </c>
      <c r="AD331" s="663" t="s">
        <v>825</v>
      </c>
      <c r="AE331" s="663" t="s">
        <v>1587</v>
      </c>
      <c r="AF331" s="663" t="s">
        <v>1586</v>
      </c>
      <c r="AG331" s="663" t="s">
        <v>1586</v>
      </c>
      <c r="AH331" s="663" t="s">
        <v>1586</v>
      </c>
      <c r="AI331" s="688">
        <v>81.276595744680847</v>
      </c>
      <c r="AJ331" s="689" t="s">
        <v>1588</v>
      </c>
      <c r="AK331" s="690"/>
    </row>
    <row r="332" spans="1:37" s="653" customFormat="1">
      <c r="A332" s="655">
        <v>2024</v>
      </c>
      <c r="B332" s="656" t="str">
        <f>INDEX('①基本情報 '!$C$2:$C$255,MATCH('②建物情報 '!E332,'①基本情報 '!$E$2:$E$255,0),1)</f>
        <v>153</v>
      </c>
      <c r="C332" s="657" t="str">
        <f>INDEX('①基本情報 '!$B$2:$B$255,MATCH('②建物情報 '!E332,'①基本情報 '!$E$2:$E$255,0),1)</f>
        <v>1044</v>
      </c>
      <c r="D332" s="658" t="s">
        <v>2418</v>
      </c>
      <c r="E332" s="612" t="s">
        <v>1009</v>
      </c>
      <c r="F332" s="597" t="str">
        <f>INDEX('①基本情報 '!$G$2:$G$255,MATCH('②建物情報 '!E332,'①基本情報 '!$E$2:$E$255,0),1)</f>
        <v>教育委員会教育総務部、学校教育部、生涯学習部</v>
      </c>
      <c r="G332" s="678" t="s">
        <v>1601</v>
      </c>
      <c r="H332" s="612" t="s">
        <v>1660</v>
      </c>
      <c r="I332" s="663">
        <v>1988</v>
      </c>
      <c r="J332" s="663">
        <v>3</v>
      </c>
      <c r="K332" s="663">
        <f t="shared" si="5"/>
        <v>36</v>
      </c>
      <c r="L332" s="694">
        <v>360</v>
      </c>
      <c r="M332" s="704">
        <v>720</v>
      </c>
      <c r="N332" s="704">
        <v>720</v>
      </c>
      <c r="O332" s="681" t="s">
        <v>1812</v>
      </c>
      <c r="P332" s="663" t="s">
        <v>1581</v>
      </c>
      <c r="Q332" s="663">
        <v>2</v>
      </c>
      <c r="R332" s="690">
        <v>0</v>
      </c>
      <c r="S332" s="682" t="s">
        <v>1593</v>
      </c>
      <c r="T332" s="683" t="s">
        <v>825</v>
      </c>
      <c r="U332" s="663" t="s">
        <v>63</v>
      </c>
      <c r="V332" s="690"/>
      <c r="W332" s="687"/>
      <c r="X332" s="686">
        <v>47</v>
      </c>
      <c r="Y332" s="687" t="s">
        <v>1596</v>
      </c>
      <c r="Z332" s="663" t="s">
        <v>1586</v>
      </c>
      <c r="AA332" s="663" t="s">
        <v>1586</v>
      </c>
      <c r="AB332" s="663" t="s">
        <v>1596</v>
      </c>
      <c r="AC332" s="663" t="s">
        <v>1586</v>
      </c>
      <c r="AD332" s="663" t="s">
        <v>825</v>
      </c>
      <c r="AE332" s="663" t="s">
        <v>1587</v>
      </c>
      <c r="AF332" s="663" t="s">
        <v>1586</v>
      </c>
      <c r="AG332" s="663" t="s">
        <v>1586</v>
      </c>
      <c r="AH332" s="663" t="s">
        <v>1586</v>
      </c>
      <c r="AI332" s="688">
        <v>71.914893617021278</v>
      </c>
      <c r="AJ332" s="689" t="s">
        <v>1588</v>
      </c>
      <c r="AK332" s="690"/>
    </row>
    <row r="333" spans="1:37" s="653" customFormat="1">
      <c r="A333" s="655">
        <v>2024</v>
      </c>
      <c r="B333" s="656" t="str">
        <f>INDEX('①基本情報 '!$C$2:$C$255,MATCH('②建物情報 '!E333,'①基本情報 '!$E$2:$E$255,0),1)</f>
        <v>153</v>
      </c>
      <c r="C333" s="657" t="str">
        <f>INDEX('①基本情報 '!$B$2:$B$255,MATCH('②建物情報 '!E333,'①基本情報 '!$E$2:$E$255,0),1)</f>
        <v>1044</v>
      </c>
      <c r="D333" s="658" t="s">
        <v>2418</v>
      </c>
      <c r="E333" s="612" t="s">
        <v>1009</v>
      </c>
      <c r="F333" s="597" t="str">
        <f>INDEX('①基本情報 '!$G$2:$G$255,MATCH('②建物情報 '!E333,'①基本情報 '!$E$2:$E$255,0),1)</f>
        <v>教育委員会教育総務部、学校教育部、生涯学習部</v>
      </c>
      <c r="G333" s="678" t="s">
        <v>1620</v>
      </c>
      <c r="H333" s="612" t="s">
        <v>1640</v>
      </c>
      <c r="I333" s="663">
        <v>1971</v>
      </c>
      <c r="J333" s="663">
        <v>3</v>
      </c>
      <c r="K333" s="663">
        <f t="shared" si="5"/>
        <v>53</v>
      </c>
      <c r="L333" s="694">
        <v>940</v>
      </c>
      <c r="M333" s="704">
        <v>3223</v>
      </c>
      <c r="N333" s="704">
        <v>3223</v>
      </c>
      <c r="O333" s="681" t="s">
        <v>1812</v>
      </c>
      <c r="P333" s="663" t="s">
        <v>1581</v>
      </c>
      <c r="Q333" s="663">
        <v>4</v>
      </c>
      <c r="R333" s="690">
        <v>0</v>
      </c>
      <c r="S333" s="687" t="s">
        <v>1582</v>
      </c>
      <c r="T333" s="663" t="s">
        <v>1583</v>
      </c>
      <c r="U333" s="683" t="s">
        <v>63</v>
      </c>
      <c r="V333" s="690">
        <v>2005</v>
      </c>
      <c r="W333" s="687"/>
      <c r="X333" s="686">
        <v>47</v>
      </c>
      <c r="Y333" s="687" t="s">
        <v>1585</v>
      </c>
      <c r="Z333" s="663" t="s">
        <v>1585</v>
      </c>
      <c r="AA333" s="663" t="s">
        <v>1585</v>
      </c>
      <c r="AB333" s="663" t="s">
        <v>1596</v>
      </c>
      <c r="AC333" s="663" t="s">
        <v>1586</v>
      </c>
      <c r="AD333" s="663" t="s">
        <v>1586</v>
      </c>
      <c r="AE333" s="663" t="s">
        <v>1587</v>
      </c>
      <c r="AF333" s="663" t="s">
        <v>1586</v>
      </c>
      <c r="AG333" s="663" t="s">
        <v>1585</v>
      </c>
      <c r="AH333" s="663" t="s">
        <v>1586</v>
      </c>
      <c r="AI333" s="688">
        <v>71.2</v>
      </c>
      <c r="AJ333" s="689" t="s">
        <v>1588</v>
      </c>
      <c r="AK333" s="690"/>
    </row>
    <row r="334" spans="1:37" s="653" customFormat="1">
      <c r="A334" s="655">
        <v>2024</v>
      </c>
      <c r="B334" s="656" t="str">
        <f>INDEX('①基本情報 '!$C$2:$C$255,MATCH('②建物情報 '!E334,'①基本情報 '!$E$2:$E$255,0),1)</f>
        <v>153</v>
      </c>
      <c r="C334" s="657" t="str">
        <f>INDEX('①基本情報 '!$B$2:$B$255,MATCH('②建物情報 '!E334,'①基本情報 '!$E$2:$E$255,0),1)</f>
        <v>1044</v>
      </c>
      <c r="D334" s="658" t="s">
        <v>2418</v>
      </c>
      <c r="E334" s="612" t="s">
        <v>1009</v>
      </c>
      <c r="F334" s="597" t="str">
        <f>INDEX('①基本情報 '!$G$2:$G$255,MATCH('②建物情報 '!E334,'①基本情報 '!$E$2:$E$255,0),1)</f>
        <v>教育委員会教育総務部、学校教育部、生涯学習部</v>
      </c>
      <c r="G334" s="678" t="s">
        <v>1643</v>
      </c>
      <c r="H334" s="612" t="s">
        <v>1641</v>
      </c>
      <c r="I334" s="663">
        <v>1985</v>
      </c>
      <c r="J334" s="663">
        <v>3</v>
      </c>
      <c r="K334" s="663">
        <f t="shared" si="5"/>
        <v>39</v>
      </c>
      <c r="L334" s="694">
        <v>115</v>
      </c>
      <c r="M334" s="704">
        <v>520</v>
      </c>
      <c r="N334" s="704">
        <v>520</v>
      </c>
      <c r="O334" s="681" t="s">
        <v>1812</v>
      </c>
      <c r="P334" s="663" t="s">
        <v>1581</v>
      </c>
      <c r="Q334" s="663">
        <v>4</v>
      </c>
      <c r="R334" s="690">
        <v>0</v>
      </c>
      <c r="S334" s="687" t="s">
        <v>1593</v>
      </c>
      <c r="T334" s="683" t="s">
        <v>825</v>
      </c>
      <c r="U334" s="663" t="s">
        <v>63</v>
      </c>
      <c r="V334" s="690"/>
      <c r="W334" s="687"/>
      <c r="X334" s="686">
        <v>47</v>
      </c>
      <c r="Y334" s="687" t="s">
        <v>1585</v>
      </c>
      <c r="Z334" s="663" t="s">
        <v>1586</v>
      </c>
      <c r="AA334" s="663" t="s">
        <v>1585</v>
      </c>
      <c r="AB334" s="663" t="s">
        <v>1596</v>
      </c>
      <c r="AC334" s="663" t="s">
        <v>1586</v>
      </c>
      <c r="AD334" s="663" t="s">
        <v>1586</v>
      </c>
      <c r="AE334" s="663" t="s">
        <v>1587</v>
      </c>
      <c r="AF334" s="663" t="s">
        <v>1586</v>
      </c>
      <c r="AG334" s="663" t="s">
        <v>1586</v>
      </c>
      <c r="AH334" s="663" t="s">
        <v>1586</v>
      </c>
      <c r="AI334" s="688">
        <v>72.8</v>
      </c>
      <c r="AJ334" s="689" t="s">
        <v>1588</v>
      </c>
      <c r="AK334" s="690"/>
    </row>
    <row r="335" spans="1:37" s="653" customFormat="1">
      <c r="A335" s="655">
        <v>2024</v>
      </c>
      <c r="B335" s="656" t="str">
        <f>INDEX('①基本情報 '!$C$2:$C$255,MATCH('②建物情報 '!E335,'①基本情報 '!$E$2:$E$255,0),1)</f>
        <v>153</v>
      </c>
      <c r="C335" s="657" t="str">
        <f>INDEX('①基本情報 '!$B$2:$B$255,MATCH('②建物情報 '!E335,'①基本情報 '!$E$2:$E$255,0),1)</f>
        <v>1044</v>
      </c>
      <c r="D335" s="658" t="s">
        <v>2418</v>
      </c>
      <c r="E335" s="612" t="s">
        <v>1009</v>
      </c>
      <c r="F335" s="597" t="str">
        <f>INDEX('①基本情報 '!$G$2:$G$255,MATCH('②建物情報 '!E335,'①基本情報 '!$E$2:$E$255,0),1)</f>
        <v>教育委員会教育総務部、学校教育部、生涯学習部</v>
      </c>
      <c r="G335" s="678" t="s">
        <v>1645</v>
      </c>
      <c r="H335" s="612" t="s">
        <v>1651</v>
      </c>
      <c r="I335" s="663">
        <v>1972</v>
      </c>
      <c r="J335" s="663">
        <v>3</v>
      </c>
      <c r="K335" s="663">
        <f t="shared" si="5"/>
        <v>52</v>
      </c>
      <c r="L335" s="694">
        <v>69</v>
      </c>
      <c r="M335" s="704">
        <v>137</v>
      </c>
      <c r="N335" s="704">
        <v>137</v>
      </c>
      <c r="O335" s="681" t="s">
        <v>1812</v>
      </c>
      <c r="P335" s="663" t="s">
        <v>1581</v>
      </c>
      <c r="Q335" s="663">
        <v>3</v>
      </c>
      <c r="R335" s="690">
        <v>0</v>
      </c>
      <c r="S335" s="687" t="s">
        <v>1582</v>
      </c>
      <c r="T335" s="663" t="s">
        <v>1583</v>
      </c>
      <c r="U335" s="683" t="s">
        <v>1846</v>
      </c>
      <c r="V335" s="690"/>
      <c r="W335" s="687"/>
      <c r="X335" s="686">
        <v>47</v>
      </c>
      <c r="Y335" s="687" t="s">
        <v>1585</v>
      </c>
      <c r="Z335" s="663" t="s">
        <v>1585</v>
      </c>
      <c r="AA335" s="663" t="s">
        <v>1585</v>
      </c>
      <c r="AB335" s="663" t="s">
        <v>1596</v>
      </c>
      <c r="AC335" s="663" t="s">
        <v>1586</v>
      </c>
      <c r="AD335" s="663" t="s">
        <v>825</v>
      </c>
      <c r="AE335" s="663" t="s">
        <v>825</v>
      </c>
      <c r="AF335" s="663" t="s">
        <v>825</v>
      </c>
      <c r="AG335" s="663" t="s">
        <v>825</v>
      </c>
      <c r="AH335" s="663" t="s">
        <v>1586</v>
      </c>
      <c r="AI335" s="688">
        <v>80.666666666666657</v>
      </c>
      <c r="AJ335" s="689" t="s">
        <v>1588</v>
      </c>
      <c r="AK335" s="690"/>
    </row>
    <row r="336" spans="1:37" s="653" customFormat="1">
      <c r="A336" s="655">
        <v>2024</v>
      </c>
      <c r="B336" s="656" t="str">
        <f>INDEX('①基本情報 '!$C$2:$C$255,MATCH('②建物情報 '!E336,'①基本情報 '!$E$2:$E$255,0),1)</f>
        <v>153</v>
      </c>
      <c r="C336" s="657" t="str">
        <f>INDEX('①基本情報 '!$B$2:$B$255,MATCH('②建物情報 '!E336,'①基本情報 '!$E$2:$E$255,0),1)</f>
        <v>1044</v>
      </c>
      <c r="D336" s="658" t="s">
        <v>2418</v>
      </c>
      <c r="E336" s="612" t="s">
        <v>1009</v>
      </c>
      <c r="F336" s="597" t="str">
        <f>INDEX('①基本情報 '!$G$2:$G$255,MATCH('②建物情報 '!E336,'①基本情報 '!$E$2:$E$255,0),1)</f>
        <v>教育委員会教育総務部、学校教育部、生涯学習部</v>
      </c>
      <c r="G336" s="678" t="s">
        <v>1646</v>
      </c>
      <c r="H336" s="612" t="s">
        <v>1648</v>
      </c>
      <c r="I336" s="663">
        <v>1981</v>
      </c>
      <c r="J336" s="663">
        <v>3</v>
      </c>
      <c r="K336" s="663">
        <f t="shared" si="5"/>
        <v>43</v>
      </c>
      <c r="L336" s="694">
        <v>393</v>
      </c>
      <c r="M336" s="704">
        <v>412</v>
      </c>
      <c r="N336" s="704">
        <v>412</v>
      </c>
      <c r="O336" s="681" t="s">
        <v>1812</v>
      </c>
      <c r="P336" s="663" t="s">
        <v>1581</v>
      </c>
      <c r="Q336" s="663">
        <v>2</v>
      </c>
      <c r="R336" s="690">
        <v>0</v>
      </c>
      <c r="S336" s="687" t="s">
        <v>1582</v>
      </c>
      <c r="T336" s="663" t="s">
        <v>1583</v>
      </c>
      <c r="U336" s="683" t="s">
        <v>63</v>
      </c>
      <c r="V336" s="690"/>
      <c r="W336" s="687"/>
      <c r="X336" s="686">
        <v>47</v>
      </c>
      <c r="Y336" s="687" t="s">
        <v>1585</v>
      </c>
      <c r="Z336" s="663" t="s">
        <v>1585</v>
      </c>
      <c r="AA336" s="663" t="s">
        <v>1586</v>
      </c>
      <c r="AB336" s="663" t="s">
        <v>1596</v>
      </c>
      <c r="AC336" s="663" t="s">
        <v>1586</v>
      </c>
      <c r="AD336" s="663" t="s">
        <v>1586</v>
      </c>
      <c r="AE336" s="663" t="s">
        <v>1587</v>
      </c>
      <c r="AF336" s="663" t="s">
        <v>1586</v>
      </c>
      <c r="AG336" s="663" t="s">
        <v>1596</v>
      </c>
      <c r="AH336" s="663" t="s">
        <v>1585</v>
      </c>
      <c r="AI336" s="688">
        <v>66.8</v>
      </c>
      <c r="AJ336" s="689" t="s">
        <v>1588</v>
      </c>
      <c r="AK336" s="690"/>
    </row>
    <row r="337" spans="1:37" s="653" customFormat="1">
      <c r="A337" s="655">
        <v>2024</v>
      </c>
      <c r="B337" s="656" t="str">
        <f>INDEX('①基本情報 '!$C$2:$C$255,MATCH('②建物情報 '!E337,'①基本情報 '!$E$2:$E$255,0),1)</f>
        <v>153</v>
      </c>
      <c r="C337" s="657" t="str">
        <f>INDEX('①基本情報 '!$B$2:$B$255,MATCH('②建物情報 '!E337,'①基本情報 '!$E$2:$E$255,0),1)</f>
        <v>1044</v>
      </c>
      <c r="D337" s="658" t="s">
        <v>2418</v>
      </c>
      <c r="E337" s="612" t="s">
        <v>1009</v>
      </c>
      <c r="F337" s="597" t="str">
        <f>INDEX('①基本情報 '!$G$2:$G$255,MATCH('②建物情報 '!E337,'①基本情報 '!$E$2:$E$255,0),1)</f>
        <v>教育委員会教育総務部、学校教育部、生涯学習部</v>
      </c>
      <c r="G337" s="678" t="s">
        <v>1647</v>
      </c>
      <c r="H337" s="612" t="s">
        <v>1612</v>
      </c>
      <c r="I337" s="663">
        <v>1973</v>
      </c>
      <c r="J337" s="663">
        <v>10</v>
      </c>
      <c r="K337" s="663">
        <f t="shared" si="5"/>
        <v>51</v>
      </c>
      <c r="L337" s="694">
        <v>24</v>
      </c>
      <c r="M337" s="704">
        <v>24</v>
      </c>
      <c r="N337" s="704">
        <v>24</v>
      </c>
      <c r="O337" s="681" t="s">
        <v>1812</v>
      </c>
      <c r="P337" s="663" t="s">
        <v>1581</v>
      </c>
      <c r="Q337" s="663">
        <v>1</v>
      </c>
      <c r="R337" s="690">
        <v>0</v>
      </c>
      <c r="S337" s="687" t="s">
        <v>1582</v>
      </c>
      <c r="T337" s="683"/>
      <c r="U337" s="683" t="s">
        <v>1965</v>
      </c>
      <c r="V337" s="690"/>
      <c r="W337" s="687"/>
      <c r="X337" s="686">
        <v>38</v>
      </c>
      <c r="Y337" s="687" t="s">
        <v>1585</v>
      </c>
      <c r="Z337" s="663" t="s">
        <v>1586</v>
      </c>
      <c r="AA337" s="663" t="s">
        <v>1585</v>
      </c>
      <c r="AB337" s="663" t="s">
        <v>1596</v>
      </c>
      <c r="AC337" s="663" t="s">
        <v>1586</v>
      </c>
      <c r="AD337" s="663" t="s">
        <v>825</v>
      </c>
      <c r="AE337" s="663" t="s">
        <v>825</v>
      </c>
      <c r="AF337" s="663" t="s">
        <v>825</v>
      </c>
      <c r="AG337" s="663" t="s">
        <v>825</v>
      </c>
      <c r="AH337" s="663" t="s">
        <v>1586</v>
      </c>
      <c r="AI337" s="688">
        <v>81.333333333333329</v>
      </c>
      <c r="AJ337" s="689" t="s">
        <v>1588</v>
      </c>
      <c r="AK337" s="690"/>
    </row>
    <row r="338" spans="1:37" s="653" customFormat="1">
      <c r="A338" s="655">
        <v>2024</v>
      </c>
      <c r="B338" s="656" t="str">
        <f>INDEX('①基本情報 '!$C$2:$C$255,MATCH('②建物情報 '!E338,'①基本情報 '!$E$2:$E$255,0),1)</f>
        <v>153</v>
      </c>
      <c r="C338" s="657" t="str">
        <f>INDEX('①基本情報 '!$B$2:$B$255,MATCH('②建物情報 '!E338,'①基本情報 '!$E$2:$E$255,0),1)</f>
        <v>1044</v>
      </c>
      <c r="D338" s="658" t="s">
        <v>2418</v>
      </c>
      <c r="E338" s="612" t="s">
        <v>1009</v>
      </c>
      <c r="F338" s="597" t="str">
        <f>INDEX('①基本情報 '!$G$2:$G$255,MATCH('②建物情報 '!E338,'①基本情報 '!$E$2:$E$255,0),1)</f>
        <v>教育委員会教育総務部、学校教育部、生涯学習部</v>
      </c>
      <c r="G338" s="678" t="s">
        <v>162</v>
      </c>
      <c r="H338" s="612" t="s">
        <v>1644</v>
      </c>
      <c r="I338" s="663">
        <v>2005</v>
      </c>
      <c r="J338" s="663">
        <v>8</v>
      </c>
      <c r="K338" s="663">
        <f t="shared" si="5"/>
        <v>19</v>
      </c>
      <c r="L338" s="694">
        <v>13</v>
      </c>
      <c r="M338" s="704">
        <v>50</v>
      </c>
      <c r="N338" s="704">
        <v>50</v>
      </c>
      <c r="O338" s="681" t="s">
        <v>1812</v>
      </c>
      <c r="P338" s="663" t="s">
        <v>1603</v>
      </c>
      <c r="Q338" s="663">
        <v>4</v>
      </c>
      <c r="R338" s="690">
        <v>0</v>
      </c>
      <c r="S338" s="687" t="s">
        <v>1593</v>
      </c>
      <c r="T338" s="683" t="s">
        <v>825</v>
      </c>
      <c r="U338" s="683" t="s">
        <v>1846</v>
      </c>
      <c r="V338" s="690"/>
      <c r="W338" s="687"/>
      <c r="X338" s="702">
        <v>34</v>
      </c>
      <c r="Y338" s="687" t="s">
        <v>1587</v>
      </c>
      <c r="Z338" s="663" t="s">
        <v>1585</v>
      </c>
      <c r="AA338" s="663" t="s">
        <v>1586</v>
      </c>
      <c r="AB338" s="663" t="s">
        <v>1596</v>
      </c>
      <c r="AC338" s="663" t="s">
        <v>1585</v>
      </c>
      <c r="AD338" s="663" t="s">
        <v>825</v>
      </c>
      <c r="AE338" s="663" t="s">
        <v>825</v>
      </c>
      <c r="AF338" s="663" t="s">
        <v>825</v>
      </c>
      <c r="AG338" s="663" t="s">
        <v>825</v>
      </c>
      <c r="AH338" s="663" t="s">
        <v>1585</v>
      </c>
      <c r="AI338" s="688">
        <v>59.333333333333329</v>
      </c>
      <c r="AJ338" s="689" t="s">
        <v>1588</v>
      </c>
      <c r="AK338" s="690"/>
    </row>
    <row r="339" spans="1:37" s="653" customFormat="1">
      <c r="A339" s="655">
        <v>2024</v>
      </c>
      <c r="B339" s="656" t="str">
        <f>INDEX('①基本情報 '!$C$2:$C$255,MATCH('②建物情報 '!E339,'①基本情報 '!$E$2:$E$255,0),1)</f>
        <v>154</v>
      </c>
      <c r="C339" s="657" t="str">
        <f>INDEX('①基本情報 '!$B$2:$B$255,MATCH('②建物情報 '!E339,'①基本情報 '!$E$2:$E$255,0),1)</f>
        <v>1045</v>
      </c>
      <c r="D339" s="658" t="s">
        <v>2418</v>
      </c>
      <c r="E339" s="612" t="s">
        <v>1014</v>
      </c>
      <c r="F339" s="597" t="str">
        <f>INDEX('①基本情報 '!$G$2:$G$255,MATCH('②建物情報 '!E339,'①基本情報 '!$E$2:$E$255,0),1)</f>
        <v>教育委員会教育総務部、学校教育部、生涯学習部</v>
      </c>
      <c r="G339" s="678" t="s">
        <v>1580</v>
      </c>
      <c r="H339" s="612" t="s">
        <v>1638</v>
      </c>
      <c r="I339" s="663">
        <v>1970</v>
      </c>
      <c r="J339" s="663">
        <v>3</v>
      </c>
      <c r="K339" s="663">
        <f t="shared" si="5"/>
        <v>54</v>
      </c>
      <c r="L339" s="694">
        <v>681</v>
      </c>
      <c r="M339" s="704">
        <v>2825</v>
      </c>
      <c r="N339" s="704">
        <v>2825</v>
      </c>
      <c r="O339" s="681" t="s">
        <v>1812</v>
      </c>
      <c r="P339" s="663" t="s">
        <v>1581</v>
      </c>
      <c r="Q339" s="663">
        <v>5</v>
      </c>
      <c r="R339" s="690">
        <v>0</v>
      </c>
      <c r="S339" s="687" t="s">
        <v>1582</v>
      </c>
      <c r="T339" s="663" t="s">
        <v>1583</v>
      </c>
      <c r="U339" s="683" t="s">
        <v>63</v>
      </c>
      <c r="V339" s="690">
        <v>1997</v>
      </c>
      <c r="W339" s="687"/>
      <c r="X339" s="686">
        <v>47</v>
      </c>
      <c r="Y339" s="687" t="s">
        <v>1585</v>
      </c>
      <c r="Z339" s="663" t="s">
        <v>1585</v>
      </c>
      <c r="AA339" s="663" t="s">
        <v>1585</v>
      </c>
      <c r="AB339" s="663" t="s">
        <v>1596</v>
      </c>
      <c r="AC339" s="663" t="s">
        <v>1586</v>
      </c>
      <c r="AD339" s="663" t="s">
        <v>1587</v>
      </c>
      <c r="AE339" s="663" t="s">
        <v>1596</v>
      </c>
      <c r="AF339" s="663" t="s">
        <v>1586</v>
      </c>
      <c r="AG339" s="663" t="s">
        <v>1596</v>
      </c>
      <c r="AH339" s="663" t="s">
        <v>1585</v>
      </c>
      <c r="AI339" s="688">
        <v>67.199999999999989</v>
      </c>
      <c r="AJ339" s="689" t="s">
        <v>1588</v>
      </c>
      <c r="AK339" s="690"/>
    </row>
    <row r="340" spans="1:37" s="653" customFormat="1">
      <c r="A340" s="655">
        <v>2024</v>
      </c>
      <c r="B340" s="656" t="str">
        <f>INDEX('①基本情報 '!$C$2:$C$255,MATCH('②建物情報 '!E340,'①基本情報 '!$E$2:$E$255,0),1)</f>
        <v>154</v>
      </c>
      <c r="C340" s="657" t="str">
        <f>INDEX('①基本情報 '!$B$2:$B$255,MATCH('②建物情報 '!E340,'①基本情報 '!$E$2:$E$255,0),1)</f>
        <v>1045</v>
      </c>
      <c r="D340" s="658" t="s">
        <v>2418</v>
      </c>
      <c r="E340" s="612" t="s">
        <v>1014</v>
      </c>
      <c r="F340" s="597" t="str">
        <f>INDEX('①基本情報 '!$G$2:$G$255,MATCH('②建物情報 '!E340,'①基本情報 '!$E$2:$E$255,0),1)</f>
        <v>教育委員会教育総務部、学校教育部、生涯学習部</v>
      </c>
      <c r="G340" s="678" t="s">
        <v>1589</v>
      </c>
      <c r="H340" s="612" t="s">
        <v>1651</v>
      </c>
      <c r="I340" s="663">
        <v>1970</v>
      </c>
      <c r="J340" s="663">
        <v>6</v>
      </c>
      <c r="K340" s="663">
        <f t="shared" si="5"/>
        <v>54</v>
      </c>
      <c r="L340" s="694">
        <v>223</v>
      </c>
      <c r="M340" s="704">
        <v>611</v>
      </c>
      <c r="N340" s="704">
        <v>611</v>
      </c>
      <c r="O340" s="681" t="s">
        <v>1812</v>
      </c>
      <c r="P340" s="663" t="s">
        <v>1581</v>
      </c>
      <c r="Q340" s="663">
        <v>4</v>
      </c>
      <c r="R340" s="690">
        <v>0</v>
      </c>
      <c r="S340" s="687" t="s">
        <v>1582</v>
      </c>
      <c r="T340" s="663" t="s">
        <v>1583</v>
      </c>
      <c r="U340" s="683" t="s">
        <v>63</v>
      </c>
      <c r="V340" s="690">
        <v>2010</v>
      </c>
      <c r="W340" s="687">
        <v>2010</v>
      </c>
      <c r="X340" s="686">
        <v>47</v>
      </c>
      <c r="Y340" s="687" t="s">
        <v>1585</v>
      </c>
      <c r="Z340" s="663" t="s">
        <v>1585</v>
      </c>
      <c r="AA340" s="663" t="s">
        <v>1585</v>
      </c>
      <c r="AB340" s="663" t="s">
        <v>1596</v>
      </c>
      <c r="AC340" s="663" t="s">
        <v>1585</v>
      </c>
      <c r="AD340" s="663" t="s">
        <v>825</v>
      </c>
      <c r="AE340" s="663" t="s">
        <v>1596</v>
      </c>
      <c r="AF340" s="663" t="s">
        <v>1596</v>
      </c>
      <c r="AG340" s="663" t="s">
        <v>1596</v>
      </c>
      <c r="AH340" s="663" t="s">
        <v>1585</v>
      </c>
      <c r="AI340" s="688">
        <v>64.680851063829792</v>
      </c>
      <c r="AJ340" s="689" t="s">
        <v>1588</v>
      </c>
      <c r="AK340" s="690"/>
    </row>
    <row r="341" spans="1:37" s="653" customFormat="1">
      <c r="A341" s="655">
        <v>2024</v>
      </c>
      <c r="B341" s="656" t="str">
        <f>INDEX('①基本情報 '!$C$2:$C$255,MATCH('②建物情報 '!E341,'①基本情報 '!$E$2:$E$255,0),1)</f>
        <v>154</v>
      </c>
      <c r="C341" s="657" t="str">
        <f>INDEX('①基本情報 '!$B$2:$B$255,MATCH('②建物情報 '!E341,'①基本情報 '!$E$2:$E$255,0),1)</f>
        <v>1045</v>
      </c>
      <c r="D341" s="658" t="s">
        <v>2418</v>
      </c>
      <c r="E341" s="612" t="s">
        <v>1014</v>
      </c>
      <c r="F341" s="597" t="str">
        <f>INDEX('①基本情報 '!$G$2:$G$255,MATCH('②建物情報 '!E341,'①基本情報 '!$E$2:$E$255,0),1)</f>
        <v>教育委員会教育総務部、学校教育部、生涯学習部</v>
      </c>
      <c r="G341" s="678" t="s">
        <v>1591</v>
      </c>
      <c r="H341" s="612" t="s">
        <v>1639</v>
      </c>
      <c r="I341" s="663">
        <v>1970</v>
      </c>
      <c r="J341" s="663">
        <v>6</v>
      </c>
      <c r="K341" s="663">
        <f t="shared" si="5"/>
        <v>54</v>
      </c>
      <c r="L341" s="694">
        <v>955</v>
      </c>
      <c r="M341" s="704">
        <v>3938</v>
      </c>
      <c r="N341" s="704">
        <v>3938</v>
      </c>
      <c r="O341" s="681" t="s">
        <v>1812</v>
      </c>
      <c r="P341" s="663" t="s">
        <v>1581</v>
      </c>
      <c r="Q341" s="663">
        <v>5</v>
      </c>
      <c r="R341" s="690">
        <v>0</v>
      </c>
      <c r="S341" s="687" t="s">
        <v>1582</v>
      </c>
      <c r="T341" s="663" t="s">
        <v>1583</v>
      </c>
      <c r="U341" s="683" t="s">
        <v>63</v>
      </c>
      <c r="V341" s="690">
        <v>1997</v>
      </c>
      <c r="W341" s="687"/>
      <c r="X341" s="686">
        <v>47</v>
      </c>
      <c r="Y341" s="687" t="s">
        <v>1585</v>
      </c>
      <c r="Z341" s="663" t="s">
        <v>1585</v>
      </c>
      <c r="AA341" s="663" t="s">
        <v>1585</v>
      </c>
      <c r="AB341" s="663" t="s">
        <v>1596</v>
      </c>
      <c r="AC341" s="663" t="s">
        <v>1586</v>
      </c>
      <c r="AD341" s="663" t="s">
        <v>1587</v>
      </c>
      <c r="AE341" s="663" t="s">
        <v>1596</v>
      </c>
      <c r="AF341" s="663" t="s">
        <v>1586</v>
      </c>
      <c r="AG341" s="663" t="s">
        <v>1596</v>
      </c>
      <c r="AH341" s="663" t="s">
        <v>1585</v>
      </c>
      <c r="AI341" s="688">
        <v>68</v>
      </c>
      <c r="AJ341" s="689" t="s">
        <v>1588</v>
      </c>
      <c r="AK341" s="690"/>
    </row>
    <row r="342" spans="1:37" s="653" customFormat="1">
      <c r="A342" s="655">
        <v>2024</v>
      </c>
      <c r="B342" s="656" t="str">
        <f>INDEX('①基本情報 '!$C$2:$C$255,MATCH('②建物情報 '!E342,'①基本情報 '!$E$2:$E$255,0),1)</f>
        <v>154</v>
      </c>
      <c r="C342" s="657" t="str">
        <f>INDEX('①基本情報 '!$B$2:$B$255,MATCH('②建物情報 '!E342,'①基本情報 '!$E$2:$E$255,0),1)</f>
        <v>1045</v>
      </c>
      <c r="D342" s="658" t="s">
        <v>2418</v>
      </c>
      <c r="E342" s="612" t="s">
        <v>1014</v>
      </c>
      <c r="F342" s="597" t="str">
        <f>INDEX('①基本情報 '!$G$2:$G$255,MATCH('②建物情報 '!E342,'①基本情報 '!$E$2:$E$255,0),1)</f>
        <v>教育委員会教育総務部、学校教育部、生涯学習部</v>
      </c>
      <c r="G342" s="678" t="s">
        <v>1601</v>
      </c>
      <c r="H342" s="612" t="s">
        <v>1642</v>
      </c>
      <c r="I342" s="663">
        <v>1970</v>
      </c>
      <c r="J342" s="663">
        <v>7</v>
      </c>
      <c r="K342" s="663">
        <f t="shared" si="5"/>
        <v>54</v>
      </c>
      <c r="L342" s="694">
        <v>800</v>
      </c>
      <c r="M342" s="704">
        <v>1672</v>
      </c>
      <c r="N342" s="704">
        <v>1672</v>
      </c>
      <c r="O342" s="681" t="s">
        <v>1812</v>
      </c>
      <c r="P342" s="663" t="s">
        <v>1581</v>
      </c>
      <c r="Q342" s="663">
        <v>3</v>
      </c>
      <c r="R342" s="690">
        <v>0</v>
      </c>
      <c r="S342" s="687" t="s">
        <v>1582</v>
      </c>
      <c r="T342" s="663" t="s">
        <v>1583</v>
      </c>
      <c r="U342" s="683" t="s">
        <v>63</v>
      </c>
      <c r="V342" s="690">
        <v>2009</v>
      </c>
      <c r="W342" s="687">
        <v>2009</v>
      </c>
      <c r="X342" s="686">
        <v>47</v>
      </c>
      <c r="Y342" s="687" t="s">
        <v>1585</v>
      </c>
      <c r="Z342" s="663" t="s">
        <v>1585</v>
      </c>
      <c r="AA342" s="663" t="s">
        <v>1586</v>
      </c>
      <c r="AB342" s="663" t="s">
        <v>1596</v>
      </c>
      <c r="AC342" s="663" t="s">
        <v>1585</v>
      </c>
      <c r="AD342" s="663" t="s">
        <v>1587</v>
      </c>
      <c r="AE342" s="663" t="s">
        <v>1596</v>
      </c>
      <c r="AF342" s="663" t="s">
        <v>1585</v>
      </c>
      <c r="AG342" s="663" t="s">
        <v>1596</v>
      </c>
      <c r="AH342" s="663" t="s">
        <v>1585</v>
      </c>
      <c r="AI342" s="688">
        <v>62.8</v>
      </c>
      <c r="AJ342" s="689" t="s">
        <v>1588</v>
      </c>
      <c r="AK342" s="690"/>
    </row>
    <row r="343" spans="1:37" s="653" customFormat="1">
      <c r="A343" s="655">
        <v>2024</v>
      </c>
      <c r="B343" s="656" t="str">
        <f>INDEX('①基本情報 '!$C$2:$C$255,MATCH('②建物情報 '!E343,'①基本情報 '!$E$2:$E$255,0),1)</f>
        <v>154</v>
      </c>
      <c r="C343" s="657" t="str">
        <f>INDEX('①基本情報 '!$B$2:$B$255,MATCH('②建物情報 '!E343,'①基本情報 '!$E$2:$E$255,0),1)</f>
        <v>1045</v>
      </c>
      <c r="D343" s="658" t="s">
        <v>2418</v>
      </c>
      <c r="E343" s="612" t="s">
        <v>1014</v>
      </c>
      <c r="F343" s="597" t="str">
        <f>INDEX('①基本情報 '!$G$2:$G$255,MATCH('②建物情報 '!E343,'①基本情報 '!$E$2:$E$255,0),1)</f>
        <v>教育委員会教育総務部、学校教育部、生涯学習部</v>
      </c>
      <c r="G343" s="678" t="s">
        <v>1620</v>
      </c>
      <c r="H343" s="612" t="s">
        <v>1640</v>
      </c>
      <c r="I343" s="663">
        <v>1972</v>
      </c>
      <c r="J343" s="663">
        <v>3</v>
      </c>
      <c r="K343" s="663">
        <f t="shared" si="5"/>
        <v>52</v>
      </c>
      <c r="L343" s="694">
        <v>378</v>
      </c>
      <c r="M343" s="704">
        <v>378</v>
      </c>
      <c r="N343" s="704">
        <v>378</v>
      </c>
      <c r="O343" s="681" t="s">
        <v>1812</v>
      </c>
      <c r="P343" s="663" t="s">
        <v>1603</v>
      </c>
      <c r="Q343" s="663">
        <v>1</v>
      </c>
      <c r="R343" s="690">
        <v>0</v>
      </c>
      <c r="S343" s="687" t="s">
        <v>1582</v>
      </c>
      <c r="T343" s="663" t="s">
        <v>1583</v>
      </c>
      <c r="U343" s="683" t="s">
        <v>1846</v>
      </c>
      <c r="V343" s="690">
        <v>2010</v>
      </c>
      <c r="W343" s="687">
        <v>2010</v>
      </c>
      <c r="X343" s="702">
        <v>34</v>
      </c>
      <c r="Y343" s="687" t="s">
        <v>1585</v>
      </c>
      <c r="Z343" s="663" t="s">
        <v>1585</v>
      </c>
      <c r="AA343" s="663" t="s">
        <v>1585</v>
      </c>
      <c r="AB343" s="663" t="s">
        <v>1596</v>
      </c>
      <c r="AC343" s="663" t="s">
        <v>1586</v>
      </c>
      <c r="AD343" s="663" t="s">
        <v>1587</v>
      </c>
      <c r="AE343" s="663" t="s">
        <v>1596</v>
      </c>
      <c r="AF343" s="663" t="s">
        <v>1586</v>
      </c>
      <c r="AG343" s="663" t="s">
        <v>1596</v>
      </c>
      <c r="AH343" s="663" t="s">
        <v>1585</v>
      </c>
      <c r="AI343" s="688">
        <v>67.599999999999994</v>
      </c>
      <c r="AJ343" s="689" t="s">
        <v>1588</v>
      </c>
      <c r="AK343" s="690"/>
    </row>
    <row r="344" spans="1:37" s="653" customFormat="1">
      <c r="A344" s="655">
        <v>2024</v>
      </c>
      <c r="B344" s="656" t="str">
        <f>INDEX('①基本情報 '!$C$2:$C$255,MATCH('②建物情報 '!E344,'①基本情報 '!$E$2:$E$255,0),1)</f>
        <v>154</v>
      </c>
      <c r="C344" s="657" t="str">
        <f>INDEX('①基本情報 '!$B$2:$B$255,MATCH('②建物情報 '!E344,'①基本情報 '!$E$2:$E$255,0),1)</f>
        <v>1045</v>
      </c>
      <c r="D344" s="658" t="s">
        <v>2418</v>
      </c>
      <c r="E344" s="612" t="s">
        <v>1014</v>
      </c>
      <c r="F344" s="597" t="str">
        <f>INDEX('①基本情報 '!$G$2:$G$255,MATCH('②建物情報 '!E344,'①基本情報 '!$E$2:$E$255,0),1)</f>
        <v>教育委員会教育総務部、学校教育部、生涯学習部</v>
      </c>
      <c r="G344" s="678" t="s">
        <v>1643</v>
      </c>
      <c r="H344" s="612" t="s">
        <v>1661</v>
      </c>
      <c r="I344" s="663">
        <v>1985</v>
      </c>
      <c r="J344" s="663">
        <v>3</v>
      </c>
      <c r="K344" s="663">
        <f t="shared" si="5"/>
        <v>39</v>
      </c>
      <c r="L344" s="694">
        <v>147</v>
      </c>
      <c r="M344" s="704">
        <v>147</v>
      </c>
      <c r="N344" s="704">
        <v>147</v>
      </c>
      <c r="O344" s="681" t="s">
        <v>1812</v>
      </c>
      <c r="P344" s="663" t="s">
        <v>1603</v>
      </c>
      <c r="Q344" s="663">
        <v>1</v>
      </c>
      <c r="R344" s="690">
        <v>0</v>
      </c>
      <c r="S344" s="687" t="s">
        <v>1593</v>
      </c>
      <c r="T344" s="683" t="s">
        <v>825</v>
      </c>
      <c r="U344" s="683" t="s">
        <v>1846</v>
      </c>
      <c r="V344" s="690"/>
      <c r="W344" s="687">
        <v>2010</v>
      </c>
      <c r="X344" s="702">
        <v>34</v>
      </c>
      <c r="Y344" s="687" t="s">
        <v>1585</v>
      </c>
      <c r="Z344" s="663" t="s">
        <v>1585</v>
      </c>
      <c r="AA344" s="663" t="s">
        <v>1585</v>
      </c>
      <c r="AB344" s="663" t="s">
        <v>1596</v>
      </c>
      <c r="AC344" s="663" t="s">
        <v>1586</v>
      </c>
      <c r="AD344" s="663" t="s">
        <v>825</v>
      </c>
      <c r="AE344" s="663" t="s">
        <v>825</v>
      </c>
      <c r="AF344" s="663" t="s">
        <v>825</v>
      </c>
      <c r="AG344" s="663" t="s">
        <v>825</v>
      </c>
      <c r="AH344" s="663" t="s">
        <v>1585</v>
      </c>
      <c r="AI344" s="688">
        <v>67.333333333333329</v>
      </c>
      <c r="AJ344" s="689" t="s">
        <v>1588</v>
      </c>
      <c r="AK344" s="690"/>
    </row>
    <row r="345" spans="1:37" s="653" customFormat="1">
      <c r="A345" s="655">
        <v>2024</v>
      </c>
      <c r="B345" s="656" t="str">
        <f>INDEX('①基本情報 '!$C$2:$C$255,MATCH('②建物情報 '!E345,'①基本情報 '!$E$2:$E$255,0),1)</f>
        <v>154</v>
      </c>
      <c r="C345" s="657" t="str">
        <f>INDEX('①基本情報 '!$B$2:$B$255,MATCH('②建物情報 '!E345,'①基本情報 '!$E$2:$E$255,0),1)</f>
        <v>1045</v>
      </c>
      <c r="D345" s="658" t="s">
        <v>2418</v>
      </c>
      <c r="E345" s="612" t="s">
        <v>1014</v>
      </c>
      <c r="F345" s="597" t="str">
        <f>INDEX('①基本情報 '!$G$2:$G$255,MATCH('②建物情報 '!E345,'①基本情報 '!$E$2:$E$255,0),1)</f>
        <v>教育委員会教育総務部、学校教育部、生涯学習部</v>
      </c>
      <c r="G345" s="678" t="s">
        <v>1645</v>
      </c>
      <c r="H345" s="612" t="s">
        <v>1660</v>
      </c>
      <c r="I345" s="663">
        <v>1989</v>
      </c>
      <c r="J345" s="663">
        <v>3</v>
      </c>
      <c r="K345" s="663">
        <f t="shared" si="5"/>
        <v>35</v>
      </c>
      <c r="L345" s="694">
        <v>370</v>
      </c>
      <c r="M345" s="704">
        <v>739</v>
      </c>
      <c r="N345" s="704">
        <v>739</v>
      </c>
      <c r="O345" s="681" t="s">
        <v>1812</v>
      </c>
      <c r="P345" s="663" t="s">
        <v>1581</v>
      </c>
      <c r="Q345" s="663">
        <v>2</v>
      </c>
      <c r="R345" s="690">
        <v>0</v>
      </c>
      <c r="S345" s="687" t="s">
        <v>1593</v>
      </c>
      <c r="T345" s="683" t="s">
        <v>825</v>
      </c>
      <c r="U345" s="663" t="s">
        <v>63</v>
      </c>
      <c r="V345" s="690"/>
      <c r="W345" s="687"/>
      <c r="X345" s="686">
        <v>47</v>
      </c>
      <c r="Y345" s="687" t="s">
        <v>1596</v>
      </c>
      <c r="Z345" s="663" t="s">
        <v>1586</v>
      </c>
      <c r="AA345" s="663" t="s">
        <v>1586</v>
      </c>
      <c r="AB345" s="663" t="s">
        <v>1596</v>
      </c>
      <c r="AC345" s="663" t="s">
        <v>1586</v>
      </c>
      <c r="AD345" s="663" t="s">
        <v>1586</v>
      </c>
      <c r="AE345" s="663" t="s">
        <v>1596</v>
      </c>
      <c r="AF345" s="663" t="s">
        <v>1586</v>
      </c>
      <c r="AG345" s="663" t="s">
        <v>1586</v>
      </c>
      <c r="AH345" s="663" t="s">
        <v>1586</v>
      </c>
      <c r="AI345" s="688">
        <v>75.2</v>
      </c>
      <c r="AJ345" s="689" t="s">
        <v>1588</v>
      </c>
      <c r="AK345" s="690"/>
    </row>
    <row r="346" spans="1:37" s="653" customFormat="1">
      <c r="A346" s="655">
        <v>2024</v>
      </c>
      <c r="B346" s="656" t="str">
        <f>INDEX('①基本情報 '!$C$2:$C$255,MATCH('②建物情報 '!E346,'①基本情報 '!$E$2:$E$255,0),1)</f>
        <v>154</v>
      </c>
      <c r="C346" s="657" t="str">
        <f>INDEX('①基本情報 '!$B$2:$B$255,MATCH('②建物情報 '!E346,'①基本情報 '!$E$2:$E$255,0),1)</f>
        <v>1045</v>
      </c>
      <c r="D346" s="658" t="s">
        <v>2418</v>
      </c>
      <c r="E346" s="612" t="s">
        <v>1014</v>
      </c>
      <c r="F346" s="597" t="str">
        <f>INDEX('①基本情報 '!$G$2:$G$255,MATCH('②建物情報 '!E346,'①基本情報 '!$E$2:$E$255,0),1)</f>
        <v>教育委員会教育総務部、学校教育部、生涯学習部</v>
      </c>
      <c r="G346" s="678" t="s">
        <v>1646</v>
      </c>
      <c r="H346" s="612" t="s">
        <v>1644</v>
      </c>
      <c r="I346" s="663">
        <v>2006</v>
      </c>
      <c r="J346" s="663">
        <v>10</v>
      </c>
      <c r="K346" s="663">
        <f t="shared" si="5"/>
        <v>18</v>
      </c>
      <c r="L346" s="694">
        <v>17</v>
      </c>
      <c r="M346" s="704">
        <v>68</v>
      </c>
      <c r="N346" s="704">
        <v>68</v>
      </c>
      <c r="O346" s="681" t="s">
        <v>1812</v>
      </c>
      <c r="P346" s="663" t="s">
        <v>1603</v>
      </c>
      <c r="Q346" s="663">
        <v>4</v>
      </c>
      <c r="R346" s="690">
        <v>0</v>
      </c>
      <c r="S346" s="687" t="s">
        <v>1593</v>
      </c>
      <c r="T346" s="683" t="s">
        <v>825</v>
      </c>
      <c r="U346" s="683" t="s">
        <v>1846</v>
      </c>
      <c r="V346" s="690"/>
      <c r="W346" s="687"/>
      <c r="X346" s="702">
        <v>34</v>
      </c>
      <c r="Y346" s="687" t="s">
        <v>1587</v>
      </c>
      <c r="Z346" s="663" t="s">
        <v>1585</v>
      </c>
      <c r="AA346" s="663" t="s">
        <v>1586</v>
      </c>
      <c r="AB346" s="663" t="s">
        <v>1596</v>
      </c>
      <c r="AC346" s="663" t="s">
        <v>1585</v>
      </c>
      <c r="AD346" s="663" t="s">
        <v>825</v>
      </c>
      <c r="AE346" s="663" t="s">
        <v>825</v>
      </c>
      <c r="AF346" s="663" t="s">
        <v>825</v>
      </c>
      <c r="AG346" s="663" t="s">
        <v>825</v>
      </c>
      <c r="AH346" s="663" t="s">
        <v>1585</v>
      </c>
      <c r="AI346" s="688">
        <v>55.333333333333336</v>
      </c>
      <c r="AJ346" s="689" t="s">
        <v>1588</v>
      </c>
      <c r="AK346" s="690"/>
    </row>
    <row r="347" spans="1:37" s="653" customFormat="1">
      <c r="A347" s="655">
        <v>2024</v>
      </c>
      <c r="B347" s="656" t="str">
        <f>INDEX('①基本情報 '!$C$2:$C$255,MATCH('②建物情報 '!E347,'①基本情報 '!$E$2:$E$255,0),1)</f>
        <v>154</v>
      </c>
      <c r="C347" s="657" t="str">
        <f>INDEX('①基本情報 '!$B$2:$B$255,MATCH('②建物情報 '!E347,'①基本情報 '!$E$2:$E$255,0),1)</f>
        <v>1045</v>
      </c>
      <c r="D347" s="658" t="s">
        <v>2418</v>
      </c>
      <c r="E347" s="612" t="s">
        <v>1014</v>
      </c>
      <c r="F347" s="597" t="str">
        <f>INDEX('①基本情報 '!$G$2:$G$255,MATCH('②建物情報 '!E347,'①基本情報 '!$E$2:$E$255,0),1)</f>
        <v>教育委員会教育総務部、学校教育部、生涯学習部</v>
      </c>
      <c r="G347" s="678" t="s">
        <v>1647</v>
      </c>
      <c r="H347" s="612" t="s">
        <v>1653</v>
      </c>
      <c r="I347" s="663">
        <v>2014</v>
      </c>
      <c r="J347" s="663">
        <v>3</v>
      </c>
      <c r="K347" s="663">
        <f t="shared" si="5"/>
        <v>10</v>
      </c>
      <c r="L347" s="694"/>
      <c r="M347" s="704">
        <v>83</v>
      </c>
      <c r="N347" s="704">
        <v>83</v>
      </c>
      <c r="O347" s="681" t="s">
        <v>1812</v>
      </c>
      <c r="P347" s="663" t="s">
        <v>1603</v>
      </c>
      <c r="Q347" s="663">
        <v>1</v>
      </c>
      <c r="R347" s="690">
        <v>0</v>
      </c>
      <c r="S347" s="687" t="s">
        <v>1593</v>
      </c>
      <c r="T347" s="683" t="s">
        <v>825</v>
      </c>
      <c r="U347" s="683" t="s">
        <v>1846</v>
      </c>
      <c r="V347" s="690"/>
      <c r="W347" s="687">
        <v>2015</v>
      </c>
      <c r="X347" s="702">
        <v>31</v>
      </c>
      <c r="Y347" s="687" t="s">
        <v>1587</v>
      </c>
      <c r="Z347" s="663" t="s">
        <v>1596</v>
      </c>
      <c r="AA347" s="663" t="s">
        <v>1585</v>
      </c>
      <c r="AB347" s="663" t="s">
        <v>1596</v>
      </c>
      <c r="AC347" s="663" t="s">
        <v>1596</v>
      </c>
      <c r="AD347" s="663" t="s">
        <v>825</v>
      </c>
      <c r="AE347" s="663" t="s">
        <v>825</v>
      </c>
      <c r="AF347" s="663" t="s">
        <v>1596</v>
      </c>
      <c r="AG347" s="663" t="s">
        <v>1596</v>
      </c>
      <c r="AH347" s="663" t="s">
        <v>1596</v>
      </c>
      <c r="AI347" s="688">
        <v>36.097560975609753</v>
      </c>
      <c r="AJ347" s="689" t="s">
        <v>1588</v>
      </c>
      <c r="AK347" s="690"/>
    </row>
    <row r="348" spans="1:37" s="653" customFormat="1">
      <c r="A348" s="655">
        <v>2024</v>
      </c>
      <c r="B348" s="656" t="str">
        <f>INDEX('①基本情報 '!$C$2:$C$255,MATCH('②建物情報 '!E348,'①基本情報 '!$E$2:$E$255,0),1)</f>
        <v>155</v>
      </c>
      <c r="C348" s="657" t="str">
        <f>INDEX('①基本情報 '!$B$2:$B$255,MATCH('②建物情報 '!E348,'①基本情報 '!$E$2:$E$255,0),1)</f>
        <v>1046</v>
      </c>
      <c r="D348" s="658" t="s">
        <v>2418</v>
      </c>
      <c r="E348" s="612" t="s">
        <v>1018</v>
      </c>
      <c r="F348" s="597" t="str">
        <f>INDEX('①基本情報 '!$G$2:$G$255,MATCH('②建物情報 '!E348,'①基本情報 '!$E$2:$E$255,0),1)</f>
        <v>教育委員会教育総務部、学校教育部、生涯学習部</v>
      </c>
      <c r="G348" s="678" t="s">
        <v>1580</v>
      </c>
      <c r="H348" s="612" t="s">
        <v>1638</v>
      </c>
      <c r="I348" s="663">
        <v>1975</v>
      </c>
      <c r="J348" s="663">
        <v>5</v>
      </c>
      <c r="K348" s="663">
        <f t="shared" si="5"/>
        <v>49</v>
      </c>
      <c r="L348" s="694">
        <v>556</v>
      </c>
      <c r="M348" s="704">
        <v>2912</v>
      </c>
      <c r="N348" s="704">
        <v>2912</v>
      </c>
      <c r="O348" s="681" t="s">
        <v>1812</v>
      </c>
      <c r="P348" s="663" t="s">
        <v>1581</v>
      </c>
      <c r="Q348" s="663">
        <v>6</v>
      </c>
      <c r="R348" s="690">
        <v>0</v>
      </c>
      <c r="S348" s="687" t="s">
        <v>1582</v>
      </c>
      <c r="T348" s="663" t="s">
        <v>1583</v>
      </c>
      <c r="U348" s="683" t="s">
        <v>63</v>
      </c>
      <c r="V348" s="690">
        <v>2004</v>
      </c>
      <c r="W348" s="687">
        <v>2004</v>
      </c>
      <c r="X348" s="686">
        <v>47</v>
      </c>
      <c r="Y348" s="687" t="s">
        <v>1585</v>
      </c>
      <c r="Z348" s="663" t="s">
        <v>1586</v>
      </c>
      <c r="AA348" s="663" t="s">
        <v>1586</v>
      </c>
      <c r="AB348" s="663" t="s">
        <v>1585</v>
      </c>
      <c r="AC348" s="663" t="s">
        <v>1586</v>
      </c>
      <c r="AD348" s="663" t="s">
        <v>1585</v>
      </c>
      <c r="AE348" s="663" t="s">
        <v>1585</v>
      </c>
      <c r="AF348" s="663" t="s">
        <v>1585</v>
      </c>
      <c r="AG348" s="663" t="s">
        <v>1585</v>
      </c>
      <c r="AH348" s="663" t="s">
        <v>1586</v>
      </c>
      <c r="AI348" s="688">
        <v>78.49056603773586</v>
      </c>
      <c r="AJ348" s="689" t="s">
        <v>1588</v>
      </c>
      <c r="AK348" s="690"/>
    </row>
    <row r="349" spans="1:37" s="653" customFormat="1">
      <c r="A349" s="655">
        <v>2024</v>
      </c>
      <c r="B349" s="656" t="str">
        <f>INDEX('①基本情報 '!$C$2:$C$255,MATCH('②建物情報 '!E349,'①基本情報 '!$E$2:$E$255,0),1)</f>
        <v>155</v>
      </c>
      <c r="C349" s="657" t="str">
        <f>INDEX('①基本情報 '!$B$2:$B$255,MATCH('②建物情報 '!E349,'①基本情報 '!$E$2:$E$255,0),1)</f>
        <v>1046</v>
      </c>
      <c r="D349" s="658" t="s">
        <v>2418</v>
      </c>
      <c r="E349" s="612" t="s">
        <v>1018</v>
      </c>
      <c r="F349" s="597" t="str">
        <f>INDEX('①基本情報 '!$G$2:$G$255,MATCH('②建物情報 '!E349,'①基本情報 '!$E$2:$E$255,0),1)</f>
        <v>教育委員会教育総務部、学校教育部、生涯学習部</v>
      </c>
      <c r="G349" s="678" t="s">
        <v>1589</v>
      </c>
      <c r="H349" s="612" t="s">
        <v>1639</v>
      </c>
      <c r="I349" s="663">
        <v>1975</v>
      </c>
      <c r="J349" s="663">
        <v>5</v>
      </c>
      <c r="K349" s="663">
        <f t="shared" si="5"/>
        <v>49</v>
      </c>
      <c r="L349" s="694">
        <v>677</v>
      </c>
      <c r="M349" s="704">
        <v>3583</v>
      </c>
      <c r="N349" s="704">
        <v>3583</v>
      </c>
      <c r="O349" s="681" t="s">
        <v>1812</v>
      </c>
      <c r="P349" s="663" t="s">
        <v>1581</v>
      </c>
      <c r="Q349" s="663">
        <v>6</v>
      </c>
      <c r="R349" s="690">
        <v>0</v>
      </c>
      <c r="S349" s="687" t="s">
        <v>1582</v>
      </c>
      <c r="T349" s="663" t="s">
        <v>1583</v>
      </c>
      <c r="U349" s="683" t="s">
        <v>63</v>
      </c>
      <c r="V349" s="690">
        <v>2003</v>
      </c>
      <c r="W349" s="687">
        <v>2003</v>
      </c>
      <c r="X349" s="686">
        <v>47</v>
      </c>
      <c r="Y349" s="687" t="s">
        <v>1585</v>
      </c>
      <c r="Z349" s="663" t="s">
        <v>1586</v>
      </c>
      <c r="AA349" s="663" t="s">
        <v>1586</v>
      </c>
      <c r="AB349" s="663" t="s">
        <v>1585</v>
      </c>
      <c r="AC349" s="663" t="s">
        <v>1586</v>
      </c>
      <c r="AD349" s="663" t="s">
        <v>1587</v>
      </c>
      <c r="AE349" s="663" t="s">
        <v>1585</v>
      </c>
      <c r="AF349" s="663" t="s">
        <v>1585</v>
      </c>
      <c r="AG349" s="663" t="s">
        <v>1585</v>
      </c>
      <c r="AH349" s="663" t="s">
        <v>1586</v>
      </c>
      <c r="AI349" s="688">
        <v>76.400000000000006</v>
      </c>
      <c r="AJ349" s="689" t="s">
        <v>1588</v>
      </c>
      <c r="AK349" s="690"/>
    </row>
    <row r="350" spans="1:37" s="653" customFormat="1">
      <c r="A350" s="655">
        <v>2024</v>
      </c>
      <c r="B350" s="656" t="str">
        <f>INDEX('①基本情報 '!$C$2:$C$255,MATCH('②建物情報 '!E350,'①基本情報 '!$E$2:$E$255,0),1)</f>
        <v>155</v>
      </c>
      <c r="C350" s="657" t="str">
        <f>INDEX('①基本情報 '!$B$2:$B$255,MATCH('②建物情報 '!E350,'①基本情報 '!$E$2:$E$255,0),1)</f>
        <v>1046</v>
      </c>
      <c r="D350" s="658" t="s">
        <v>2418</v>
      </c>
      <c r="E350" s="612" t="s">
        <v>1018</v>
      </c>
      <c r="F350" s="597" t="str">
        <f>INDEX('①基本情報 '!$G$2:$G$255,MATCH('②建物情報 '!E350,'①基本情報 '!$E$2:$E$255,0),1)</f>
        <v>教育委員会教育総務部、学校教育部、生涯学習部</v>
      </c>
      <c r="G350" s="678" t="s">
        <v>1591</v>
      </c>
      <c r="H350" s="612" t="s">
        <v>1642</v>
      </c>
      <c r="I350" s="663">
        <v>1975</v>
      </c>
      <c r="J350" s="663">
        <v>5</v>
      </c>
      <c r="K350" s="663">
        <f t="shared" si="5"/>
        <v>49</v>
      </c>
      <c r="L350" s="694">
        <v>968</v>
      </c>
      <c r="M350" s="704">
        <v>2093</v>
      </c>
      <c r="N350" s="704">
        <v>2093</v>
      </c>
      <c r="O350" s="681" t="s">
        <v>1812</v>
      </c>
      <c r="P350" s="663" t="s">
        <v>1581</v>
      </c>
      <c r="Q350" s="663">
        <v>3</v>
      </c>
      <c r="R350" s="690">
        <v>0</v>
      </c>
      <c r="S350" s="687" t="s">
        <v>1582</v>
      </c>
      <c r="T350" s="663" t="s">
        <v>1583</v>
      </c>
      <c r="U350" s="683" t="s">
        <v>63</v>
      </c>
      <c r="V350" s="690">
        <v>2004</v>
      </c>
      <c r="W350" s="687">
        <v>2004</v>
      </c>
      <c r="X350" s="686">
        <v>47</v>
      </c>
      <c r="Y350" s="687" t="s">
        <v>1585</v>
      </c>
      <c r="Z350" s="663" t="s">
        <v>1586</v>
      </c>
      <c r="AA350" s="663" t="s">
        <v>1586</v>
      </c>
      <c r="AB350" s="663" t="s">
        <v>1585</v>
      </c>
      <c r="AC350" s="663" t="s">
        <v>1586</v>
      </c>
      <c r="AD350" s="663" t="s">
        <v>1587</v>
      </c>
      <c r="AE350" s="663" t="s">
        <v>825</v>
      </c>
      <c r="AF350" s="663" t="s">
        <v>1585</v>
      </c>
      <c r="AG350" s="663" t="s">
        <v>1585</v>
      </c>
      <c r="AH350" s="663" t="s">
        <v>1586</v>
      </c>
      <c r="AI350" s="688">
        <v>76.363636363636374</v>
      </c>
      <c r="AJ350" s="689" t="s">
        <v>1588</v>
      </c>
      <c r="AK350" s="690"/>
    </row>
    <row r="351" spans="1:37" s="653" customFormat="1">
      <c r="A351" s="655">
        <v>2024</v>
      </c>
      <c r="B351" s="656" t="str">
        <f>INDEX('①基本情報 '!$C$2:$C$255,MATCH('②建物情報 '!E351,'①基本情報 '!$E$2:$E$255,0),1)</f>
        <v>155</v>
      </c>
      <c r="C351" s="657" t="str">
        <f>INDEX('①基本情報 '!$B$2:$B$255,MATCH('②建物情報 '!E351,'①基本情報 '!$E$2:$E$255,0),1)</f>
        <v>1046</v>
      </c>
      <c r="D351" s="658" t="s">
        <v>2418</v>
      </c>
      <c r="E351" s="612" t="s">
        <v>1018</v>
      </c>
      <c r="F351" s="597" t="str">
        <f>INDEX('①基本情報 '!$G$2:$G$255,MATCH('②建物情報 '!E351,'①基本情報 '!$E$2:$E$255,0),1)</f>
        <v>教育委員会教育総務部、学校教育部、生涯学習部</v>
      </c>
      <c r="G351" s="678" t="s">
        <v>1601</v>
      </c>
      <c r="H351" s="612" t="s">
        <v>1640</v>
      </c>
      <c r="I351" s="663">
        <v>1986</v>
      </c>
      <c r="J351" s="663">
        <v>3</v>
      </c>
      <c r="K351" s="663">
        <f t="shared" si="5"/>
        <v>38</v>
      </c>
      <c r="L351" s="694">
        <v>179</v>
      </c>
      <c r="M351" s="704">
        <v>516</v>
      </c>
      <c r="N351" s="704">
        <v>516</v>
      </c>
      <c r="O351" s="681" t="s">
        <v>1812</v>
      </c>
      <c r="P351" s="663" t="s">
        <v>1581</v>
      </c>
      <c r="Q351" s="663">
        <v>3</v>
      </c>
      <c r="R351" s="690">
        <v>0</v>
      </c>
      <c r="S351" s="687" t="s">
        <v>1593</v>
      </c>
      <c r="T351" s="683" t="s">
        <v>825</v>
      </c>
      <c r="U351" s="663" t="s">
        <v>63</v>
      </c>
      <c r="V351" s="690">
        <v>2003</v>
      </c>
      <c r="W351" s="687">
        <v>2003</v>
      </c>
      <c r="X351" s="686">
        <v>47</v>
      </c>
      <c r="Y351" s="687" t="s">
        <v>1596</v>
      </c>
      <c r="Z351" s="663" t="s">
        <v>1586</v>
      </c>
      <c r="AA351" s="663" t="s">
        <v>1586</v>
      </c>
      <c r="AB351" s="663" t="s">
        <v>1585</v>
      </c>
      <c r="AC351" s="663" t="s">
        <v>1586</v>
      </c>
      <c r="AD351" s="663" t="s">
        <v>1587</v>
      </c>
      <c r="AE351" s="663" t="s">
        <v>1585</v>
      </c>
      <c r="AF351" s="663" t="s">
        <v>1585</v>
      </c>
      <c r="AG351" s="663" t="s">
        <v>1585</v>
      </c>
      <c r="AH351" s="663" t="s">
        <v>1586</v>
      </c>
      <c r="AI351" s="688">
        <v>72</v>
      </c>
      <c r="AJ351" s="689" t="s">
        <v>1588</v>
      </c>
      <c r="AK351" s="690"/>
    </row>
    <row r="352" spans="1:37" s="653" customFormat="1">
      <c r="A352" s="655">
        <v>2024</v>
      </c>
      <c r="B352" s="656" t="str">
        <f>INDEX('①基本情報 '!$C$2:$C$255,MATCH('②建物情報 '!E352,'①基本情報 '!$E$2:$E$255,0),1)</f>
        <v>155</v>
      </c>
      <c r="C352" s="657" t="str">
        <f>INDEX('①基本情報 '!$B$2:$B$255,MATCH('②建物情報 '!E352,'①基本情報 '!$E$2:$E$255,0),1)</f>
        <v>1046</v>
      </c>
      <c r="D352" s="658" t="s">
        <v>2418</v>
      </c>
      <c r="E352" s="612" t="s">
        <v>1018</v>
      </c>
      <c r="F352" s="597" t="str">
        <f>INDEX('①基本情報 '!$G$2:$G$255,MATCH('②建物情報 '!E352,'①基本情報 '!$E$2:$E$255,0),1)</f>
        <v>教育委員会教育総務部、学校教育部、生涯学習部</v>
      </c>
      <c r="G352" s="678" t="s">
        <v>1620</v>
      </c>
      <c r="H352" s="612" t="s">
        <v>1660</v>
      </c>
      <c r="I352" s="663">
        <v>1987</v>
      </c>
      <c r="J352" s="663">
        <v>3</v>
      </c>
      <c r="K352" s="663">
        <f t="shared" si="5"/>
        <v>37</v>
      </c>
      <c r="L352" s="694">
        <v>384</v>
      </c>
      <c r="M352" s="704">
        <v>384</v>
      </c>
      <c r="N352" s="704">
        <v>384</v>
      </c>
      <c r="O352" s="681" t="s">
        <v>1812</v>
      </c>
      <c r="P352" s="663" t="s">
        <v>1581</v>
      </c>
      <c r="Q352" s="663">
        <v>1</v>
      </c>
      <c r="R352" s="690">
        <v>0</v>
      </c>
      <c r="S352" s="687" t="s">
        <v>1593</v>
      </c>
      <c r="T352" s="683" t="s">
        <v>825</v>
      </c>
      <c r="U352" s="683" t="s">
        <v>1846</v>
      </c>
      <c r="V352" s="690"/>
      <c r="W352" s="687">
        <v>2003</v>
      </c>
      <c r="X352" s="686">
        <v>47</v>
      </c>
      <c r="Y352" s="687" t="s">
        <v>1596</v>
      </c>
      <c r="Z352" s="663" t="s">
        <v>1586</v>
      </c>
      <c r="AA352" s="663" t="s">
        <v>1586</v>
      </c>
      <c r="AB352" s="663" t="s">
        <v>1585</v>
      </c>
      <c r="AC352" s="663" t="s">
        <v>1586</v>
      </c>
      <c r="AD352" s="663" t="s">
        <v>825</v>
      </c>
      <c r="AE352" s="663" t="s">
        <v>825</v>
      </c>
      <c r="AF352" s="663" t="s">
        <v>825</v>
      </c>
      <c r="AG352" s="663" t="s">
        <v>825</v>
      </c>
      <c r="AH352" s="663" t="s">
        <v>1586</v>
      </c>
      <c r="AI352" s="688">
        <v>77.5</v>
      </c>
      <c r="AJ352" s="689" t="s">
        <v>1588</v>
      </c>
      <c r="AK352" s="690"/>
    </row>
    <row r="353" spans="1:37" s="653" customFormat="1">
      <c r="A353" s="655">
        <v>2024</v>
      </c>
      <c r="B353" s="656" t="str">
        <f>INDEX('①基本情報 '!$C$2:$C$255,MATCH('②建物情報 '!E353,'①基本情報 '!$E$2:$E$255,0),1)</f>
        <v>155</v>
      </c>
      <c r="C353" s="657" t="str">
        <f>INDEX('①基本情報 '!$B$2:$B$255,MATCH('②建物情報 '!E353,'①基本情報 '!$E$2:$E$255,0),1)</f>
        <v>1046</v>
      </c>
      <c r="D353" s="658" t="s">
        <v>2418</v>
      </c>
      <c r="E353" s="612" t="s">
        <v>1018</v>
      </c>
      <c r="F353" s="597" t="str">
        <f>INDEX('①基本情報 '!$G$2:$G$255,MATCH('②建物情報 '!E353,'①基本情報 '!$E$2:$E$255,0),1)</f>
        <v>教育委員会教育総務部、学校教育部、生涯学習部</v>
      </c>
      <c r="G353" s="678" t="s">
        <v>1643</v>
      </c>
      <c r="H353" s="612" t="s">
        <v>1662</v>
      </c>
      <c r="I353" s="663">
        <v>1993</v>
      </c>
      <c r="J353" s="663">
        <v>8</v>
      </c>
      <c r="K353" s="663">
        <f t="shared" si="5"/>
        <v>31</v>
      </c>
      <c r="L353" s="694">
        <v>187</v>
      </c>
      <c r="M353" s="704">
        <v>378</v>
      </c>
      <c r="N353" s="704">
        <v>378</v>
      </c>
      <c r="O353" s="681" t="s">
        <v>1812</v>
      </c>
      <c r="P353" s="663" t="s">
        <v>1581</v>
      </c>
      <c r="Q353" s="663">
        <v>2</v>
      </c>
      <c r="R353" s="690">
        <v>0</v>
      </c>
      <c r="S353" s="687" t="s">
        <v>1593</v>
      </c>
      <c r="T353" s="683" t="s">
        <v>825</v>
      </c>
      <c r="U353" s="663" t="s">
        <v>63</v>
      </c>
      <c r="V353" s="690"/>
      <c r="W353" s="687"/>
      <c r="X353" s="686">
        <v>47</v>
      </c>
      <c r="Y353" s="687" t="s">
        <v>1596</v>
      </c>
      <c r="Z353" s="663" t="s">
        <v>1586</v>
      </c>
      <c r="AA353" s="663" t="s">
        <v>1586</v>
      </c>
      <c r="AB353" s="663" t="s">
        <v>1585</v>
      </c>
      <c r="AC353" s="663" t="s">
        <v>1586</v>
      </c>
      <c r="AD353" s="663" t="s">
        <v>1586</v>
      </c>
      <c r="AE353" s="663" t="s">
        <v>1585</v>
      </c>
      <c r="AF353" s="663" t="s">
        <v>1586</v>
      </c>
      <c r="AG353" s="663" t="s">
        <v>1586</v>
      </c>
      <c r="AH353" s="663" t="s">
        <v>1586</v>
      </c>
      <c r="AI353" s="688">
        <v>79.600000000000009</v>
      </c>
      <c r="AJ353" s="689" t="s">
        <v>1588</v>
      </c>
      <c r="AK353" s="690"/>
    </row>
    <row r="354" spans="1:37" s="653" customFormat="1">
      <c r="A354" s="655">
        <v>2024</v>
      </c>
      <c r="B354" s="656" t="str">
        <f>INDEX('①基本情報 '!$C$2:$C$255,MATCH('②建物情報 '!E354,'①基本情報 '!$E$2:$E$255,0),1)</f>
        <v>155</v>
      </c>
      <c r="C354" s="657" t="str">
        <f>INDEX('①基本情報 '!$B$2:$B$255,MATCH('②建物情報 '!E354,'①基本情報 '!$E$2:$E$255,0),1)</f>
        <v>1046</v>
      </c>
      <c r="D354" s="658" t="s">
        <v>2418</v>
      </c>
      <c r="E354" s="612" t="s">
        <v>1018</v>
      </c>
      <c r="F354" s="597" t="str">
        <f>INDEX('①基本情報 '!$G$2:$G$255,MATCH('②建物情報 '!E354,'①基本情報 '!$E$2:$E$255,0),1)</f>
        <v>教育委員会教育総務部、学校教育部、生涯学習部</v>
      </c>
      <c r="G354" s="678" t="s">
        <v>1645</v>
      </c>
      <c r="H354" s="612" t="s">
        <v>1644</v>
      </c>
      <c r="I354" s="663">
        <v>2003</v>
      </c>
      <c r="J354" s="663">
        <v>9</v>
      </c>
      <c r="K354" s="663">
        <f t="shared" si="5"/>
        <v>21</v>
      </c>
      <c r="L354" s="694">
        <v>13</v>
      </c>
      <c r="M354" s="704">
        <v>60</v>
      </c>
      <c r="N354" s="704">
        <v>60</v>
      </c>
      <c r="O354" s="681" t="s">
        <v>1812</v>
      </c>
      <c r="P354" s="663" t="s">
        <v>1603</v>
      </c>
      <c r="Q354" s="663">
        <v>5</v>
      </c>
      <c r="R354" s="690">
        <v>0</v>
      </c>
      <c r="S354" s="687" t="s">
        <v>1593</v>
      </c>
      <c r="T354" s="683" t="s">
        <v>825</v>
      </c>
      <c r="U354" s="683" t="s">
        <v>1846</v>
      </c>
      <c r="V354" s="690"/>
      <c r="W354" s="687"/>
      <c r="X354" s="702">
        <v>34</v>
      </c>
      <c r="Y354" s="687" t="s">
        <v>1596</v>
      </c>
      <c r="Z354" s="663" t="s">
        <v>1586</v>
      </c>
      <c r="AA354" s="663" t="s">
        <v>1586</v>
      </c>
      <c r="AB354" s="663" t="s">
        <v>1585</v>
      </c>
      <c r="AC354" s="663" t="s">
        <v>1586</v>
      </c>
      <c r="AD354" s="663" t="s">
        <v>825</v>
      </c>
      <c r="AE354" s="663" t="s">
        <v>825</v>
      </c>
      <c r="AF354" s="663" t="s">
        <v>825</v>
      </c>
      <c r="AG354" s="663" t="s">
        <v>825</v>
      </c>
      <c r="AH354" s="663" t="s">
        <v>1585</v>
      </c>
      <c r="AI354" s="688">
        <v>65.333333333333329</v>
      </c>
      <c r="AJ354" s="689" t="s">
        <v>1588</v>
      </c>
      <c r="AK354" s="690"/>
    </row>
    <row r="355" spans="1:37" s="653" customFormat="1">
      <c r="A355" s="655">
        <v>2024</v>
      </c>
      <c r="B355" s="656" t="str">
        <f>INDEX('①基本情報 '!$C$2:$C$255,MATCH('②建物情報 '!E355,'①基本情報 '!$E$2:$E$255,0),1)</f>
        <v>155</v>
      </c>
      <c r="C355" s="657" t="str">
        <f>INDEX('①基本情報 '!$B$2:$B$255,MATCH('②建物情報 '!E355,'①基本情報 '!$E$2:$E$255,0),1)</f>
        <v>1046</v>
      </c>
      <c r="D355" s="658" t="s">
        <v>2418</v>
      </c>
      <c r="E355" s="612" t="s">
        <v>1018</v>
      </c>
      <c r="F355" s="597" t="str">
        <f>INDEX('①基本情報 '!$G$2:$G$255,MATCH('②建物情報 '!E355,'①基本情報 '!$E$2:$E$255,0),1)</f>
        <v>教育委員会教育総務部、学校教育部、生涯学習部</v>
      </c>
      <c r="G355" s="678" t="s">
        <v>1646</v>
      </c>
      <c r="H355" s="612" t="s">
        <v>1641</v>
      </c>
      <c r="I355" s="663">
        <v>2004</v>
      </c>
      <c r="J355" s="663">
        <v>9</v>
      </c>
      <c r="K355" s="663">
        <f t="shared" si="5"/>
        <v>20</v>
      </c>
      <c r="L355" s="694">
        <v>14</v>
      </c>
      <c r="M355" s="704">
        <v>71</v>
      </c>
      <c r="N355" s="704">
        <v>71</v>
      </c>
      <c r="O355" s="681" t="s">
        <v>1812</v>
      </c>
      <c r="P355" s="663" t="s">
        <v>1603</v>
      </c>
      <c r="Q355" s="663">
        <v>5</v>
      </c>
      <c r="R355" s="690">
        <v>0</v>
      </c>
      <c r="S355" s="687" t="s">
        <v>1593</v>
      </c>
      <c r="T355" s="683" t="s">
        <v>825</v>
      </c>
      <c r="U355" s="683" t="s">
        <v>1846</v>
      </c>
      <c r="V355" s="690"/>
      <c r="W355" s="687"/>
      <c r="X355" s="702">
        <v>34</v>
      </c>
      <c r="Y355" s="687" t="s">
        <v>1596</v>
      </c>
      <c r="Z355" s="663" t="s">
        <v>1586</v>
      </c>
      <c r="AA355" s="663" t="s">
        <v>1586</v>
      </c>
      <c r="AB355" s="663" t="s">
        <v>1585</v>
      </c>
      <c r="AC355" s="663" t="s">
        <v>1586</v>
      </c>
      <c r="AD355" s="663" t="s">
        <v>825</v>
      </c>
      <c r="AE355" s="663" t="s">
        <v>1585</v>
      </c>
      <c r="AF355" s="663" t="s">
        <v>1585</v>
      </c>
      <c r="AG355" s="663" t="s">
        <v>1585</v>
      </c>
      <c r="AH355" s="663" t="s">
        <v>1585</v>
      </c>
      <c r="AI355" s="688">
        <v>67.2340425531915</v>
      </c>
      <c r="AJ355" s="689" t="s">
        <v>1588</v>
      </c>
      <c r="AK355" s="690"/>
    </row>
    <row r="356" spans="1:37" s="653" customFormat="1">
      <c r="A356" s="655">
        <v>2024</v>
      </c>
      <c r="B356" s="656" t="str">
        <f>INDEX('①基本情報 '!$C$2:$C$255,MATCH('②建物情報 '!E356,'①基本情報 '!$E$2:$E$255,0),1)</f>
        <v>155</v>
      </c>
      <c r="C356" s="657" t="str">
        <f>INDEX('①基本情報 '!$B$2:$B$255,MATCH('②建物情報 '!E356,'①基本情報 '!$E$2:$E$255,0),1)</f>
        <v>1046</v>
      </c>
      <c r="D356" s="658" t="s">
        <v>2418</v>
      </c>
      <c r="E356" s="612" t="s">
        <v>1018</v>
      </c>
      <c r="F356" s="597" t="str">
        <f>INDEX('①基本情報 '!$G$2:$G$255,MATCH('②建物情報 '!E356,'①基本情報 '!$E$2:$E$255,0),1)</f>
        <v>教育委員会教育総務部、学校教育部、生涯学習部</v>
      </c>
      <c r="G356" s="678" t="s">
        <v>1647</v>
      </c>
      <c r="H356" s="612" t="s">
        <v>1613</v>
      </c>
      <c r="I356" s="663">
        <v>1975</v>
      </c>
      <c r="J356" s="663">
        <v>5</v>
      </c>
      <c r="K356" s="663">
        <f t="shared" si="5"/>
        <v>49</v>
      </c>
      <c r="L356" s="694"/>
      <c r="M356" s="704">
        <v>23</v>
      </c>
      <c r="N356" s="704">
        <v>23</v>
      </c>
      <c r="O356" s="681" t="s">
        <v>1812</v>
      </c>
      <c r="P356" s="663" t="s">
        <v>1603</v>
      </c>
      <c r="Q356" s="663">
        <v>1</v>
      </c>
      <c r="R356" s="690">
        <v>0</v>
      </c>
      <c r="S356" s="687" t="s">
        <v>1582</v>
      </c>
      <c r="T356" s="683"/>
      <c r="U356" s="683" t="s">
        <v>1965</v>
      </c>
      <c r="V356" s="690"/>
      <c r="W356" s="687"/>
      <c r="X356" s="702">
        <v>31</v>
      </c>
      <c r="Y356" s="687" t="s">
        <v>1585</v>
      </c>
      <c r="Z356" s="663" t="s">
        <v>1596</v>
      </c>
      <c r="AA356" s="663" t="s">
        <v>1585</v>
      </c>
      <c r="AB356" s="663" t="s">
        <v>1585</v>
      </c>
      <c r="AC356" s="663" t="s">
        <v>1596</v>
      </c>
      <c r="AD356" s="663" t="s">
        <v>825</v>
      </c>
      <c r="AE356" s="663" t="s">
        <v>825</v>
      </c>
      <c r="AF356" s="663" t="s">
        <v>825</v>
      </c>
      <c r="AG356" s="663" t="s">
        <v>825</v>
      </c>
      <c r="AH356" s="663" t="s">
        <v>1585</v>
      </c>
      <c r="AI356" s="688">
        <v>67.333333333333329</v>
      </c>
      <c r="AJ356" s="689" t="s">
        <v>1588</v>
      </c>
      <c r="AK356" s="690"/>
    </row>
    <row r="357" spans="1:37" s="653" customFormat="1">
      <c r="A357" s="655">
        <v>2024</v>
      </c>
      <c r="B357" s="656" t="str">
        <f>INDEX('①基本情報 '!$C$2:$C$255,MATCH('②建物情報 '!E357,'①基本情報 '!$E$2:$E$255,0),1)</f>
        <v>155</v>
      </c>
      <c r="C357" s="657" t="str">
        <f>INDEX('①基本情報 '!$B$2:$B$255,MATCH('②建物情報 '!E357,'①基本情報 '!$E$2:$E$255,0),1)</f>
        <v>1046</v>
      </c>
      <c r="D357" s="658" t="s">
        <v>2418</v>
      </c>
      <c r="E357" s="612" t="s">
        <v>1018</v>
      </c>
      <c r="F357" s="597" t="str">
        <f>INDEX('①基本情報 '!$G$2:$G$255,MATCH('②建物情報 '!E357,'①基本情報 '!$E$2:$E$255,0),1)</f>
        <v>教育委員会教育総務部、学校教育部、生涯学習部</v>
      </c>
      <c r="G357" s="678" t="s">
        <v>162</v>
      </c>
      <c r="H357" s="612" t="s">
        <v>1613</v>
      </c>
      <c r="I357" s="663">
        <v>2014</v>
      </c>
      <c r="J357" s="663">
        <v>3</v>
      </c>
      <c r="K357" s="663">
        <f t="shared" si="5"/>
        <v>10</v>
      </c>
      <c r="L357" s="694"/>
      <c r="M357" s="704">
        <v>45</v>
      </c>
      <c r="N357" s="704">
        <v>45</v>
      </c>
      <c r="O357" s="681" t="s">
        <v>1812</v>
      </c>
      <c r="P357" s="663" t="s">
        <v>1603</v>
      </c>
      <c r="Q357" s="663">
        <v>1</v>
      </c>
      <c r="R357" s="690">
        <v>0</v>
      </c>
      <c r="S357" s="687" t="s">
        <v>1593</v>
      </c>
      <c r="T357" s="683" t="s">
        <v>825</v>
      </c>
      <c r="U357" s="683" t="s">
        <v>1846</v>
      </c>
      <c r="V357" s="690"/>
      <c r="W357" s="687"/>
      <c r="X357" s="702">
        <v>31</v>
      </c>
      <c r="Y357" s="687" t="s">
        <v>1587</v>
      </c>
      <c r="Z357" s="663" t="s">
        <v>1596</v>
      </c>
      <c r="AA357" s="663" t="s">
        <v>1585</v>
      </c>
      <c r="AB357" s="663" t="s">
        <v>1585</v>
      </c>
      <c r="AC357" s="663" t="s">
        <v>1596</v>
      </c>
      <c r="AD357" s="663" t="s">
        <v>825</v>
      </c>
      <c r="AE357" s="663" t="s">
        <v>825</v>
      </c>
      <c r="AF357" s="663" t="s">
        <v>825</v>
      </c>
      <c r="AG357" s="663" t="s">
        <v>825</v>
      </c>
      <c r="AH357" s="663" t="s">
        <v>1596</v>
      </c>
      <c r="AI357" s="688">
        <v>41.333333333333336</v>
      </c>
      <c r="AJ357" s="689" t="s">
        <v>1588</v>
      </c>
      <c r="AK357" s="690"/>
    </row>
    <row r="358" spans="1:37" s="653" customFormat="1">
      <c r="A358" s="655">
        <v>2024</v>
      </c>
      <c r="B358" s="656" t="str">
        <f>INDEX('①基本情報 '!$C$2:$C$255,MATCH('②建物情報 '!E358,'①基本情報 '!$E$2:$E$255,0),1)</f>
        <v>155</v>
      </c>
      <c r="C358" s="657" t="str">
        <f>INDEX('①基本情報 '!$B$2:$B$255,MATCH('②建物情報 '!E358,'①基本情報 '!$E$2:$E$255,0),1)</f>
        <v>1046</v>
      </c>
      <c r="D358" s="658" t="s">
        <v>2418</v>
      </c>
      <c r="E358" s="612" t="s">
        <v>1018</v>
      </c>
      <c r="F358" s="597" t="str">
        <f>INDEX('①基本情報 '!$G$2:$G$255,MATCH('②建物情報 '!E358,'①基本情報 '!$E$2:$E$255,0),1)</f>
        <v>教育委員会教育総務部、学校教育部、生涯学習部</v>
      </c>
      <c r="G358" s="678" t="s">
        <v>1652</v>
      </c>
      <c r="H358" s="612" t="s">
        <v>1653</v>
      </c>
      <c r="I358" s="663">
        <v>2014</v>
      </c>
      <c r="J358" s="663">
        <v>3</v>
      </c>
      <c r="K358" s="663">
        <f t="shared" si="5"/>
        <v>10</v>
      </c>
      <c r="L358" s="694"/>
      <c r="M358" s="704">
        <v>87</v>
      </c>
      <c r="N358" s="704">
        <v>87</v>
      </c>
      <c r="O358" s="681" t="s">
        <v>1812</v>
      </c>
      <c r="P358" s="663" t="s">
        <v>1603</v>
      </c>
      <c r="Q358" s="663">
        <v>1</v>
      </c>
      <c r="R358" s="690">
        <v>0</v>
      </c>
      <c r="S358" s="687" t="s">
        <v>1593</v>
      </c>
      <c r="T358" s="683" t="s">
        <v>825</v>
      </c>
      <c r="U358" s="683" t="s">
        <v>1846</v>
      </c>
      <c r="V358" s="690"/>
      <c r="W358" s="687">
        <v>2015</v>
      </c>
      <c r="X358" s="702">
        <v>31</v>
      </c>
      <c r="Y358" s="687" t="s">
        <v>1587</v>
      </c>
      <c r="Z358" s="663" t="s">
        <v>1596</v>
      </c>
      <c r="AA358" s="663" t="s">
        <v>1585</v>
      </c>
      <c r="AB358" s="663" t="s">
        <v>1585</v>
      </c>
      <c r="AC358" s="663" t="s">
        <v>1596</v>
      </c>
      <c r="AD358" s="663" t="s">
        <v>825</v>
      </c>
      <c r="AE358" s="663" t="s">
        <v>825</v>
      </c>
      <c r="AF358" s="663" t="s">
        <v>1596</v>
      </c>
      <c r="AG358" s="663" t="s">
        <v>1596</v>
      </c>
      <c r="AH358" s="663" t="s">
        <v>1596</v>
      </c>
      <c r="AI358" s="688">
        <v>40</v>
      </c>
      <c r="AJ358" s="689" t="s">
        <v>1588</v>
      </c>
      <c r="AK358" s="690"/>
    </row>
    <row r="359" spans="1:37" s="653" customFormat="1">
      <c r="A359" s="655">
        <v>2024</v>
      </c>
      <c r="B359" s="656" t="str">
        <f>INDEX('①基本情報 '!$C$2:$C$255,MATCH('②建物情報 '!E359,'①基本情報 '!$E$2:$E$255,0),1)</f>
        <v>155</v>
      </c>
      <c r="C359" s="657" t="str">
        <f>INDEX('①基本情報 '!$B$2:$B$255,MATCH('②建物情報 '!E359,'①基本情報 '!$E$2:$E$255,0),1)</f>
        <v>1046</v>
      </c>
      <c r="D359" s="658" t="s">
        <v>2418</v>
      </c>
      <c r="E359" s="612" t="s">
        <v>1018</v>
      </c>
      <c r="F359" s="597" t="str">
        <f>INDEX('①基本情報 '!$G$2:$G$255,MATCH('②建物情報 '!E359,'①基本情報 '!$E$2:$E$255,0),1)</f>
        <v>教育委員会教育総務部、学校教育部、生涯学習部</v>
      </c>
      <c r="G359" s="678" t="s">
        <v>2782</v>
      </c>
      <c r="H359" s="612" t="s">
        <v>1887</v>
      </c>
      <c r="I359" s="663">
        <v>2023</v>
      </c>
      <c r="J359" s="663">
        <v>3</v>
      </c>
      <c r="K359" s="663">
        <f t="shared" si="5"/>
        <v>1</v>
      </c>
      <c r="L359" s="694"/>
      <c r="M359" s="704">
        <v>17</v>
      </c>
      <c r="N359" s="704">
        <v>17</v>
      </c>
      <c r="O359" s="681" t="s">
        <v>1812</v>
      </c>
      <c r="P359" s="663" t="s">
        <v>1942</v>
      </c>
      <c r="Q359" s="663">
        <v>1</v>
      </c>
      <c r="R359" s="690">
        <v>0</v>
      </c>
      <c r="S359" s="687" t="s">
        <v>2537</v>
      </c>
      <c r="T359" s="683" t="s">
        <v>1966</v>
      </c>
      <c r="U359" s="683" t="s">
        <v>2087</v>
      </c>
      <c r="V359" s="690"/>
      <c r="W359" s="687"/>
      <c r="X359" s="702"/>
      <c r="Y359" s="687" t="s">
        <v>1587</v>
      </c>
      <c r="Z359" s="663" t="s">
        <v>1587</v>
      </c>
      <c r="AA359" s="663" t="s">
        <v>1587</v>
      </c>
      <c r="AB359" s="663" t="s">
        <v>1587</v>
      </c>
      <c r="AC359" s="663" t="s">
        <v>1587</v>
      </c>
      <c r="AD359" s="663" t="s">
        <v>825</v>
      </c>
      <c r="AE359" s="663" t="s">
        <v>825</v>
      </c>
      <c r="AF359" s="663" t="s">
        <v>1587</v>
      </c>
      <c r="AG359" s="663" t="s">
        <v>1587</v>
      </c>
      <c r="AH359" s="663" t="s">
        <v>1587</v>
      </c>
      <c r="AI359" s="688">
        <v>3.0434782608695699</v>
      </c>
      <c r="AJ359" s="689" t="s">
        <v>1588</v>
      </c>
      <c r="AK359" s="690"/>
    </row>
    <row r="360" spans="1:37" s="653" customFormat="1">
      <c r="A360" s="655">
        <v>2024</v>
      </c>
      <c r="B360" s="656" t="str">
        <f>INDEX('①基本情報 '!$C$2:$C$255,MATCH('②建物情報 '!E360,'①基本情報 '!$E$2:$E$255,0),1)</f>
        <v>156</v>
      </c>
      <c r="C360" s="657" t="str">
        <f>INDEX('①基本情報 '!$B$2:$B$255,MATCH('②建物情報 '!E360,'①基本情報 '!$E$2:$E$255,0),1)</f>
        <v>1047</v>
      </c>
      <c r="D360" s="658" t="s">
        <v>2418</v>
      </c>
      <c r="E360" s="612" t="s">
        <v>1023</v>
      </c>
      <c r="F360" s="597" t="str">
        <f>INDEX('①基本情報 '!$G$2:$G$255,MATCH('②建物情報 '!E360,'①基本情報 '!$E$2:$E$255,0),1)</f>
        <v>教育委員会教育総務部、学校教育部、生涯学習部</v>
      </c>
      <c r="G360" s="678" t="s">
        <v>1580</v>
      </c>
      <c r="H360" s="612" t="s">
        <v>1642</v>
      </c>
      <c r="I360" s="663">
        <v>1980</v>
      </c>
      <c r="J360" s="663">
        <v>5</v>
      </c>
      <c r="K360" s="663">
        <f t="shared" si="5"/>
        <v>44</v>
      </c>
      <c r="L360" s="694">
        <v>973</v>
      </c>
      <c r="M360" s="704">
        <v>2103</v>
      </c>
      <c r="N360" s="704">
        <v>2103</v>
      </c>
      <c r="O360" s="681" t="s">
        <v>1812</v>
      </c>
      <c r="P360" s="663" t="s">
        <v>1581</v>
      </c>
      <c r="Q360" s="663">
        <v>3</v>
      </c>
      <c r="R360" s="690">
        <v>0</v>
      </c>
      <c r="S360" s="687" t="s">
        <v>1582</v>
      </c>
      <c r="T360" s="663" t="s">
        <v>1583</v>
      </c>
      <c r="U360" s="683" t="s">
        <v>63</v>
      </c>
      <c r="V360" s="690">
        <v>2009</v>
      </c>
      <c r="W360" s="687">
        <v>2009</v>
      </c>
      <c r="X360" s="686">
        <v>47</v>
      </c>
      <c r="Y360" s="687" t="s">
        <v>1585</v>
      </c>
      <c r="Z360" s="663" t="s">
        <v>1585</v>
      </c>
      <c r="AA360" s="663" t="s">
        <v>1586</v>
      </c>
      <c r="AB360" s="663" t="s">
        <v>1585</v>
      </c>
      <c r="AC360" s="663" t="s">
        <v>1585</v>
      </c>
      <c r="AD360" s="663" t="s">
        <v>1596</v>
      </c>
      <c r="AE360" s="663" t="s">
        <v>825</v>
      </c>
      <c r="AF360" s="663" t="s">
        <v>1585</v>
      </c>
      <c r="AG360" s="663" t="s">
        <v>1596</v>
      </c>
      <c r="AH360" s="663" t="s">
        <v>1585</v>
      </c>
      <c r="AI360" s="688">
        <v>68.636363636363626</v>
      </c>
      <c r="AJ360" s="689" t="s">
        <v>1588</v>
      </c>
      <c r="AK360" s="690"/>
    </row>
    <row r="361" spans="1:37" s="653" customFormat="1">
      <c r="A361" s="655">
        <v>2024</v>
      </c>
      <c r="B361" s="656" t="str">
        <f>INDEX('①基本情報 '!$C$2:$C$255,MATCH('②建物情報 '!E361,'①基本情報 '!$E$2:$E$255,0),1)</f>
        <v>156</v>
      </c>
      <c r="C361" s="657" t="str">
        <f>INDEX('①基本情報 '!$B$2:$B$255,MATCH('②建物情報 '!E361,'①基本情報 '!$E$2:$E$255,0),1)</f>
        <v>1047</v>
      </c>
      <c r="D361" s="658" t="s">
        <v>2418</v>
      </c>
      <c r="E361" s="612" t="s">
        <v>1023</v>
      </c>
      <c r="F361" s="597" t="str">
        <f>INDEX('①基本情報 '!$G$2:$G$255,MATCH('②建物情報 '!E361,'①基本情報 '!$E$2:$E$255,0),1)</f>
        <v>教育委員会教育総務部、学校教育部、生涯学習部</v>
      </c>
      <c r="G361" s="678" t="s">
        <v>1589</v>
      </c>
      <c r="H361" s="612" t="s">
        <v>1638</v>
      </c>
      <c r="I361" s="663">
        <v>1980</v>
      </c>
      <c r="J361" s="663">
        <v>5</v>
      </c>
      <c r="K361" s="663">
        <f t="shared" si="5"/>
        <v>44</v>
      </c>
      <c r="L361" s="694">
        <v>470</v>
      </c>
      <c r="M361" s="704">
        <v>2496</v>
      </c>
      <c r="N361" s="704">
        <v>2496</v>
      </c>
      <c r="O361" s="681" t="s">
        <v>1812</v>
      </c>
      <c r="P361" s="663" t="s">
        <v>1581</v>
      </c>
      <c r="Q361" s="663">
        <v>6</v>
      </c>
      <c r="R361" s="690">
        <v>0</v>
      </c>
      <c r="S361" s="687" t="s">
        <v>1582</v>
      </c>
      <c r="T361" s="663" t="s">
        <v>1583</v>
      </c>
      <c r="U361" s="683" t="s">
        <v>63</v>
      </c>
      <c r="V361" s="690">
        <v>2008</v>
      </c>
      <c r="W361" s="687">
        <v>2008</v>
      </c>
      <c r="X361" s="686">
        <v>47</v>
      </c>
      <c r="Y361" s="687" t="s">
        <v>1585</v>
      </c>
      <c r="Z361" s="663" t="s">
        <v>1585</v>
      </c>
      <c r="AA361" s="663" t="s">
        <v>1586</v>
      </c>
      <c r="AB361" s="663" t="s">
        <v>1585</v>
      </c>
      <c r="AC361" s="663" t="s">
        <v>1585</v>
      </c>
      <c r="AD361" s="663" t="s">
        <v>1585</v>
      </c>
      <c r="AE361" s="663" t="s">
        <v>1596</v>
      </c>
      <c r="AF361" s="663" t="s">
        <v>1585</v>
      </c>
      <c r="AG361" s="663" t="s">
        <v>1596</v>
      </c>
      <c r="AH361" s="663" t="s">
        <v>1586</v>
      </c>
      <c r="AI361" s="688">
        <v>71.320754716981142</v>
      </c>
      <c r="AJ361" s="689" t="s">
        <v>1588</v>
      </c>
      <c r="AK361" s="690"/>
    </row>
    <row r="362" spans="1:37" s="653" customFormat="1">
      <c r="A362" s="655">
        <v>2024</v>
      </c>
      <c r="B362" s="656" t="str">
        <f>INDEX('①基本情報 '!$C$2:$C$255,MATCH('②建物情報 '!E362,'①基本情報 '!$E$2:$E$255,0),1)</f>
        <v>156</v>
      </c>
      <c r="C362" s="657" t="str">
        <f>INDEX('①基本情報 '!$B$2:$B$255,MATCH('②建物情報 '!E362,'①基本情報 '!$E$2:$E$255,0),1)</f>
        <v>1047</v>
      </c>
      <c r="D362" s="658" t="s">
        <v>2418</v>
      </c>
      <c r="E362" s="612" t="s">
        <v>1023</v>
      </c>
      <c r="F362" s="597" t="str">
        <f>INDEX('①基本情報 '!$G$2:$G$255,MATCH('②建物情報 '!E362,'①基本情報 '!$E$2:$E$255,0),1)</f>
        <v>教育委員会教育総務部、学校教育部、生涯学習部</v>
      </c>
      <c r="G362" s="678" t="s">
        <v>1591</v>
      </c>
      <c r="H362" s="612" t="s">
        <v>1639</v>
      </c>
      <c r="I362" s="663">
        <v>1983</v>
      </c>
      <c r="J362" s="663">
        <v>3</v>
      </c>
      <c r="K362" s="663">
        <f t="shared" si="5"/>
        <v>41</v>
      </c>
      <c r="L362" s="694">
        <v>312</v>
      </c>
      <c r="M362" s="704">
        <v>1072</v>
      </c>
      <c r="N362" s="704">
        <v>1072</v>
      </c>
      <c r="O362" s="681" t="s">
        <v>1812</v>
      </c>
      <c r="P362" s="663" t="s">
        <v>1581</v>
      </c>
      <c r="Q362" s="663">
        <v>6</v>
      </c>
      <c r="R362" s="690">
        <v>0</v>
      </c>
      <c r="S362" s="687" t="s">
        <v>1593</v>
      </c>
      <c r="T362" s="683" t="s">
        <v>825</v>
      </c>
      <c r="U362" s="663" t="s">
        <v>63</v>
      </c>
      <c r="V362" s="690"/>
      <c r="W362" s="687">
        <v>2008</v>
      </c>
      <c r="X362" s="686">
        <v>47</v>
      </c>
      <c r="Y362" s="687" t="s">
        <v>1585</v>
      </c>
      <c r="Z362" s="663" t="s">
        <v>1585</v>
      </c>
      <c r="AA362" s="663" t="s">
        <v>1586</v>
      </c>
      <c r="AB362" s="663" t="s">
        <v>1585</v>
      </c>
      <c r="AC362" s="663" t="s">
        <v>1585</v>
      </c>
      <c r="AD362" s="663" t="s">
        <v>1585</v>
      </c>
      <c r="AE362" s="663" t="s">
        <v>1596</v>
      </c>
      <c r="AF362" s="663" t="s">
        <v>1585</v>
      </c>
      <c r="AG362" s="663" t="s">
        <v>1596</v>
      </c>
      <c r="AH362" s="663" t="s">
        <v>1586</v>
      </c>
      <c r="AI362" s="688">
        <v>70.188679245283026</v>
      </c>
      <c r="AJ362" s="689" t="s">
        <v>1588</v>
      </c>
      <c r="AK362" s="690"/>
    </row>
    <row r="363" spans="1:37" s="653" customFormat="1">
      <c r="A363" s="655">
        <v>2024</v>
      </c>
      <c r="B363" s="656" t="str">
        <f>INDEX('①基本情報 '!$C$2:$C$255,MATCH('②建物情報 '!E363,'①基本情報 '!$E$2:$E$255,0),1)</f>
        <v>156</v>
      </c>
      <c r="C363" s="657" t="str">
        <f>INDEX('①基本情報 '!$B$2:$B$255,MATCH('②建物情報 '!E363,'①基本情報 '!$E$2:$E$255,0),1)</f>
        <v>1047</v>
      </c>
      <c r="D363" s="658" t="s">
        <v>2418</v>
      </c>
      <c r="E363" s="612" t="s">
        <v>1023</v>
      </c>
      <c r="F363" s="597" t="str">
        <f>INDEX('①基本情報 '!$G$2:$G$255,MATCH('②建物情報 '!E363,'①基本情報 '!$E$2:$E$255,0),1)</f>
        <v>教育委員会教育総務部、学校教育部、生涯学習部</v>
      </c>
      <c r="G363" s="678" t="s">
        <v>1601</v>
      </c>
      <c r="H363" s="612" t="s">
        <v>1660</v>
      </c>
      <c r="I363" s="663">
        <v>1983</v>
      </c>
      <c r="J363" s="663">
        <v>3</v>
      </c>
      <c r="K363" s="663">
        <f t="shared" si="5"/>
        <v>41</v>
      </c>
      <c r="L363" s="694">
        <v>276</v>
      </c>
      <c r="M363" s="704">
        <v>443</v>
      </c>
      <c r="N363" s="704">
        <v>443</v>
      </c>
      <c r="O363" s="681" t="s">
        <v>1812</v>
      </c>
      <c r="P363" s="663" t="s">
        <v>1581</v>
      </c>
      <c r="Q363" s="663">
        <v>2</v>
      </c>
      <c r="R363" s="690">
        <v>0</v>
      </c>
      <c r="S363" s="687" t="s">
        <v>1593</v>
      </c>
      <c r="T363" s="683" t="s">
        <v>825</v>
      </c>
      <c r="U363" s="663" t="s">
        <v>63</v>
      </c>
      <c r="V363" s="690"/>
      <c r="W363" s="687">
        <v>2008</v>
      </c>
      <c r="X363" s="686">
        <v>47</v>
      </c>
      <c r="Y363" s="687" t="s">
        <v>1585</v>
      </c>
      <c r="Z363" s="663" t="s">
        <v>1585</v>
      </c>
      <c r="AA363" s="663" t="s">
        <v>1586</v>
      </c>
      <c r="AB363" s="663" t="s">
        <v>1585</v>
      </c>
      <c r="AC363" s="663" t="s">
        <v>1585</v>
      </c>
      <c r="AD363" s="663" t="s">
        <v>825</v>
      </c>
      <c r="AE363" s="663" t="s">
        <v>825</v>
      </c>
      <c r="AF363" s="663" t="s">
        <v>1585</v>
      </c>
      <c r="AG363" s="663" t="s">
        <v>1596</v>
      </c>
      <c r="AH363" s="663" t="s">
        <v>1586</v>
      </c>
      <c r="AI363" s="688">
        <v>70.731707317073173</v>
      </c>
      <c r="AJ363" s="689" t="s">
        <v>1588</v>
      </c>
      <c r="AK363" s="690"/>
    </row>
    <row r="364" spans="1:37" s="653" customFormat="1">
      <c r="A364" s="655">
        <v>2024</v>
      </c>
      <c r="B364" s="656" t="str">
        <f>INDEX('①基本情報 '!$C$2:$C$255,MATCH('②建物情報 '!E364,'①基本情報 '!$E$2:$E$255,0),1)</f>
        <v>156</v>
      </c>
      <c r="C364" s="657" t="str">
        <f>INDEX('①基本情報 '!$B$2:$B$255,MATCH('②建物情報 '!E364,'①基本情報 '!$E$2:$E$255,0),1)</f>
        <v>1047</v>
      </c>
      <c r="D364" s="658" t="s">
        <v>2418</v>
      </c>
      <c r="E364" s="612" t="s">
        <v>1023</v>
      </c>
      <c r="F364" s="597" t="str">
        <f>INDEX('①基本情報 '!$G$2:$G$255,MATCH('②建物情報 '!E364,'①基本情報 '!$E$2:$E$255,0),1)</f>
        <v>教育委員会教育総務部、学校教育部、生涯学習部</v>
      </c>
      <c r="G364" s="678" t="s">
        <v>1620</v>
      </c>
      <c r="H364" s="612" t="s">
        <v>1640</v>
      </c>
      <c r="I364" s="663">
        <v>1980</v>
      </c>
      <c r="J364" s="663">
        <v>5</v>
      </c>
      <c r="K364" s="663">
        <f t="shared" si="5"/>
        <v>44</v>
      </c>
      <c r="L364" s="694">
        <v>441</v>
      </c>
      <c r="M364" s="704">
        <v>2342</v>
      </c>
      <c r="N364" s="704">
        <v>2342</v>
      </c>
      <c r="O364" s="681" t="s">
        <v>1812</v>
      </c>
      <c r="P364" s="663" t="s">
        <v>1581</v>
      </c>
      <c r="Q364" s="663">
        <v>6</v>
      </c>
      <c r="R364" s="690">
        <v>0</v>
      </c>
      <c r="S364" s="687" t="s">
        <v>1582</v>
      </c>
      <c r="T364" s="663" t="s">
        <v>1583</v>
      </c>
      <c r="U364" s="683" t="s">
        <v>63</v>
      </c>
      <c r="V364" s="690">
        <v>2009</v>
      </c>
      <c r="W364" s="687">
        <v>2009</v>
      </c>
      <c r="X364" s="686">
        <v>47</v>
      </c>
      <c r="Y364" s="687" t="s">
        <v>1585</v>
      </c>
      <c r="Z364" s="663" t="s">
        <v>1585</v>
      </c>
      <c r="AA364" s="663" t="s">
        <v>1586</v>
      </c>
      <c r="AB364" s="663" t="s">
        <v>1585</v>
      </c>
      <c r="AC364" s="663" t="s">
        <v>1585</v>
      </c>
      <c r="AD364" s="663" t="s">
        <v>1596</v>
      </c>
      <c r="AE364" s="663" t="s">
        <v>1596</v>
      </c>
      <c r="AF364" s="663" t="s">
        <v>1585</v>
      </c>
      <c r="AG364" s="663" t="s">
        <v>1596</v>
      </c>
      <c r="AH364" s="663" t="s">
        <v>1586</v>
      </c>
      <c r="AI364" s="688">
        <v>70.8</v>
      </c>
      <c r="AJ364" s="689" t="s">
        <v>1588</v>
      </c>
      <c r="AK364" s="690"/>
    </row>
    <row r="365" spans="1:37" s="653" customFormat="1">
      <c r="A365" s="655">
        <v>2024</v>
      </c>
      <c r="B365" s="656" t="str">
        <f>INDEX('①基本情報 '!$C$2:$C$255,MATCH('②建物情報 '!E365,'①基本情報 '!$E$2:$E$255,0),1)</f>
        <v>156</v>
      </c>
      <c r="C365" s="657" t="str">
        <f>INDEX('①基本情報 '!$B$2:$B$255,MATCH('②建物情報 '!E365,'①基本情報 '!$E$2:$E$255,0),1)</f>
        <v>1047</v>
      </c>
      <c r="D365" s="658" t="s">
        <v>2418</v>
      </c>
      <c r="E365" s="612" t="s">
        <v>1023</v>
      </c>
      <c r="F365" s="597" t="str">
        <f>INDEX('①基本情報 '!$G$2:$G$255,MATCH('②建物情報 '!E365,'①基本情報 '!$E$2:$E$255,0),1)</f>
        <v>教育委員会教育総務部、学校教育部、生涯学習部</v>
      </c>
      <c r="G365" s="678" t="s">
        <v>1643</v>
      </c>
      <c r="H365" s="612" t="s">
        <v>1662</v>
      </c>
      <c r="I365" s="663">
        <v>1992</v>
      </c>
      <c r="J365" s="663">
        <v>3</v>
      </c>
      <c r="K365" s="663">
        <f t="shared" si="5"/>
        <v>32</v>
      </c>
      <c r="L365" s="694">
        <v>176</v>
      </c>
      <c r="M365" s="704">
        <v>357</v>
      </c>
      <c r="N365" s="704">
        <v>357</v>
      </c>
      <c r="O365" s="681" t="s">
        <v>1812</v>
      </c>
      <c r="P365" s="663" t="s">
        <v>1581</v>
      </c>
      <c r="Q365" s="663">
        <v>2</v>
      </c>
      <c r="R365" s="690">
        <v>0</v>
      </c>
      <c r="S365" s="687" t="s">
        <v>1593</v>
      </c>
      <c r="T365" s="683" t="s">
        <v>825</v>
      </c>
      <c r="U365" s="663" t="s">
        <v>63</v>
      </c>
      <c r="V365" s="690"/>
      <c r="W365" s="687"/>
      <c r="X365" s="686">
        <v>47</v>
      </c>
      <c r="Y365" s="687" t="s">
        <v>1596</v>
      </c>
      <c r="Z365" s="663" t="s">
        <v>1586</v>
      </c>
      <c r="AA365" s="663" t="s">
        <v>1585</v>
      </c>
      <c r="AB365" s="663" t="s">
        <v>1585</v>
      </c>
      <c r="AC365" s="663" t="s">
        <v>1585</v>
      </c>
      <c r="AD365" s="663" t="s">
        <v>825</v>
      </c>
      <c r="AE365" s="663" t="s">
        <v>825</v>
      </c>
      <c r="AF365" s="663" t="s">
        <v>1586</v>
      </c>
      <c r="AG365" s="663" t="s">
        <v>1586</v>
      </c>
      <c r="AH365" s="663" t="s">
        <v>1586</v>
      </c>
      <c r="AI365" s="688">
        <v>78.260869565217391</v>
      </c>
      <c r="AJ365" s="689" t="s">
        <v>1588</v>
      </c>
      <c r="AK365" s="690"/>
    </row>
    <row r="366" spans="1:37" s="653" customFormat="1">
      <c r="A366" s="655">
        <v>2024</v>
      </c>
      <c r="B366" s="656" t="str">
        <f>INDEX('①基本情報 '!$C$2:$C$255,MATCH('②建物情報 '!E366,'①基本情報 '!$E$2:$E$255,0),1)</f>
        <v>156</v>
      </c>
      <c r="C366" s="657" t="str">
        <f>INDEX('①基本情報 '!$B$2:$B$255,MATCH('②建物情報 '!E366,'①基本情報 '!$E$2:$E$255,0),1)</f>
        <v>1047</v>
      </c>
      <c r="D366" s="658" t="s">
        <v>2418</v>
      </c>
      <c r="E366" s="612" t="s">
        <v>1023</v>
      </c>
      <c r="F366" s="597" t="str">
        <f>INDEX('①基本情報 '!$G$2:$G$255,MATCH('②建物情報 '!E366,'①基本情報 '!$E$2:$E$255,0),1)</f>
        <v>教育委員会教育総務部、学校教育部、生涯学習部</v>
      </c>
      <c r="G366" s="678" t="s">
        <v>1645</v>
      </c>
      <c r="H366" s="612" t="s">
        <v>1644</v>
      </c>
      <c r="I366" s="663">
        <v>2003</v>
      </c>
      <c r="J366" s="663">
        <v>8</v>
      </c>
      <c r="K366" s="663">
        <f t="shared" si="5"/>
        <v>21</v>
      </c>
      <c r="L366" s="694">
        <v>15</v>
      </c>
      <c r="M366" s="704">
        <v>73</v>
      </c>
      <c r="N366" s="704">
        <v>73</v>
      </c>
      <c r="O366" s="681" t="s">
        <v>1812</v>
      </c>
      <c r="P366" s="663" t="s">
        <v>1603</v>
      </c>
      <c r="Q366" s="663">
        <v>5</v>
      </c>
      <c r="R366" s="690">
        <v>0</v>
      </c>
      <c r="S366" s="687" t="s">
        <v>1593</v>
      </c>
      <c r="T366" s="683" t="s">
        <v>825</v>
      </c>
      <c r="U366" s="683" t="s">
        <v>1846</v>
      </c>
      <c r="V366" s="690"/>
      <c r="W366" s="687"/>
      <c r="X366" s="702">
        <v>34</v>
      </c>
      <c r="Y366" s="687" t="s">
        <v>1596</v>
      </c>
      <c r="Z366" s="663" t="s">
        <v>1586</v>
      </c>
      <c r="AA366" s="663" t="s">
        <v>1586</v>
      </c>
      <c r="AB366" s="663" t="s">
        <v>1585</v>
      </c>
      <c r="AC366" s="663" t="s">
        <v>1586</v>
      </c>
      <c r="AD366" s="663" t="s">
        <v>825</v>
      </c>
      <c r="AE366" s="663" t="s">
        <v>825</v>
      </c>
      <c r="AF366" s="663" t="s">
        <v>825</v>
      </c>
      <c r="AG366" s="663" t="s">
        <v>825</v>
      </c>
      <c r="AH366" s="663" t="s">
        <v>1585</v>
      </c>
      <c r="AI366" s="688">
        <v>67.333333333333329</v>
      </c>
      <c r="AJ366" s="689" t="s">
        <v>1588</v>
      </c>
      <c r="AK366" s="690"/>
    </row>
    <row r="367" spans="1:37" s="653" customFormat="1">
      <c r="A367" s="655">
        <v>2024</v>
      </c>
      <c r="B367" s="656" t="str">
        <f>INDEX('①基本情報 '!$C$2:$C$255,MATCH('②建物情報 '!E367,'①基本情報 '!$E$2:$E$255,0),1)</f>
        <v>156</v>
      </c>
      <c r="C367" s="657" t="str">
        <f>INDEX('①基本情報 '!$B$2:$B$255,MATCH('②建物情報 '!E367,'①基本情報 '!$E$2:$E$255,0),1)</f>
        <v>1047</v>
      </c>
      <c r="D367" s="658" t="s">
        <v>2418</v>
      </c>
      <c r="E367" s="612" t="s">
        <v>1023</v>
      </c>
      <c r="F367" s="597" t="str">
        <f>INDEX('①基本情報 '!$G$2:$G$255,MATCH('②建物情報 '!E367,'①基本情報 '!$E$2:$E$255,0),1)</f>
        <v>教育委員会教育総務部、学校教育部、生涯学習部</v>
      </c>
      <c r="G367" s="678" t="s">
        <v>1646</v>
      </c>
      <c r="H367" s="612" t="s">
        <v>1641</v>
      </c>
      <c r="I367" s="663">
        <v>2008</v>
      </c>
      <c r="J367" s="663">
        <v>9</v>
      </c>
      <c r="K367" s="663">
        <f t="shared" si="5"/>
        <v>16</v>
      </c>
      <c r="L367" s="694">
        <v>22</v>
      </c>
      <c r="M367" s="704">
        <v>109</v>
      </c>
      <c r="N367" s="704">
        <v>109</v>
      </c>
      <c r="O367" s="681" t="s">
        <v>1812</v>
      </c>
      <c r="P367" s="663" t="s">
        <v>1581</v>
      </c>
      <c r="Q367" s="663">
        <v>5</v>
      </c>
      <c r="R367" s="690">
        <v>0</v>
      </c>
      <c r="S367" s="687" t="s">
        <v>1593</v>
      </c>
      <c r="T367" s="683" t="s">
        <v>825</v>
      </c>
      <c r="U367" s="683" t="s">
        <v>1846</v>
      </c>
      <c r="V367" s="690"/>
      <c r="W367" s="687"/>
      <c r="X367" s="686">
        <v>47</v>
      </c>
      <c r="Y367" s="687" t="s">
        <v>1587</v>
      </c>
      <c r="Z367" s="663" t="s">
        <v>1585</v>
      </c>
      <c r="AA367" s="663" t="s">
        <v>1586</v>
      </c>
      <c r="AB367" s="663" t="s">
        <v>1585</v>
      </c>
      <c r="AC367" s="663" t="s">
        <v>1585</v>
      </c>
      <c r="AD367" s="663" t="s">
        <v>825</v>
      </c>
      <c r="AE367" s="663" t="s">
        <v>1596</v>
      </c>
      <c r="AF367" s="663" t="s">
        <v>1585</v>
      </c>
      <c r="AG367" s="663" t="s">
        <v>1596</v>
      </c>
      <c r="AH367" s="663" t="s">
        <v>1585</v>
      </c>
      <c r="AI367" s="688">
        <v>57.87234042553191</v>
      </c>
      <c r="AJ367" s="689" t="s">
        <v>1588</v>
      </c>
      <c r="AK367" s="690"/>
    </row>
    <row r="368" spans="1:37" s="653" customFormat="1">
      <c r="A368" s="655">
        <v>2024</v>
      </c>
      <c r="B368" s="656" t="str">
        <f>INDEX('①基本情報 '!$C$2:$C$255,MATCH('②建物情報 '!E368,'①基本情報 '!$E$2:$E$255,0),1)</f>
        <v>156</v>
      </c>
      <c r="C368" s="657" t="str">
        <f>INDEX('①基本情報 '!$B$2:$B$255,MATCH('②建物情報 '!E368,'①基本情報 '!$E$2:$E$255,0),1)</f>
        <v>1047</v>
      </c>
      <c r="D368" s="658" t="s">
        <v>2418</v>
      </c>
      <c r="E368" s="612" t="s">
        <v>1023</v>
      </c>
      <c r="F368" s="597" t="str">
        <f>INDEX('①基本情報 '!$G$2:$G$255,MATCH('②建物情報 '!E368,'①基本情報 '!$E$2:$E$255,0),1)</f>
        <v>教育委員会教育総務部、学校教育部、生涯学習部</v>
      </c>
      <c r="G368" s="678" t="s">
        <v>1647</v>
      </c>
      <c r="H368" s="612" t="s">
        <v>1653</v>
      </c>
      <c r="I368" s="663">
        <v>1980</v>
      </c>
      <c r="J368" s="663">
        <v>7</v>
      </c>
      <c r="K368" s="663">
        <f t="shared" si="5"/>
        <v>44</v>
      </c>
      <c r="L368" s="694"/>
      <c r="M368" s="704">
        <v>123</v>
      </c>
      <c r="N368" s="704">
        <v>123</v>
      </c>
      <c r="O368" s="681" t="s">
        <v>1812</v>
      </c>
      <c r="P368" s="663" t="s">
        <v>1603</v>
      </c>
      <c r="Q368" s="663">
        <v>1</v>
      </c>
      <c r="R368" s="690">
        <v>0</v>
      </c>
      <c r="S368" s="687" t="s">
        <v>1582</v>
      </c>
      <c r="T368" s="683"/>
      <c r="U368" s="683" t="s">
        <v>1965</v>
      </c>
      <c r="V368" s="690"/>
      <c r="W368" s="687"/>
      <c r="X368" s="686">
        <v>31</v>
      </c>
      <c r="Y368" s="687" t="s">
        <v>1585</v>
      </c>
      <c r="Z368" s="663" t="s">
        <v>1585</v>
      </c>
      <c r="AA368" s="663" t="s">
        <v>1585</v>
      </c>
      <c r="AB368" s="663" t="s">
        <v>1585</v>
      </c>
      <c r="AC368" s="663" t="s">
        <v>1586</v>
      </c>
      <c r="AD368" s="663" t="s">
        <v>825</v>
      </c>
      <c r="AE368" s="663" t="s">
        <v>825</v>
      </c>
      <c r="AF368" s="663" t="s">
        <v>1586</v>
      </c>
      <c r="AG368" s="663" t="s">
        <v>1587</v>
      </c>
      <c r="AH368" s="663" t="s">
        <v>1586</v>
      </c>
      <c r="AI368" s="688">
        <v>72.195121951219505</v>
      </c>
      <c r="AJ368" s="689" t="s">
        <v>1588</v>
      </c>
      <c r="AK368" s="690"/>
    </row>
    <row r="369" spans="1:37" s="653" customFormat="1">
      <c r="A369" s="655">
        <v>2024</v>
      </c>
      <c r="B369" s="656" t="str">
        <f>INDEX('①基本情報 '!$C$2:$C$255,MATCH('②建物情報 '!E369,'①基本情報 '!$E$2:$E$255,0),1)</f>
        <v>157</v>
      </c>
      <c r="C369" s="657" t="str">
        <f>INDEX('①基本情報 '!$B$2:$B$255,MATCH('②建物情報 '!E369,'①基本情報 '!$E$2:$E$255,0),1)</f>
        <v>1048</v>
      </c>
      <c r="D369" s="658" t="s">
        <v>2418</v>
      </c>
      <c r="E369" s="612" t="s">
        <v>1027</v>
      </c>
      <c r="F369" s="597" t="str">
        <f>INDEX('①基本情報 '!$G$2:$G$255,MATCH('②建物情報 '!E369,'①基本情報 '!$E$2:$E$255,0),1)</f>
        <v>教育委員会教育総務部、学校教育部、生涯学習部</v>
      </c>
      <c r="G369" s="678" t="s">
        <v>1580</v>
      </c>
      <c r="H369" s="612" t="s">
        <v>1638</v>
      </c>
      <c r="I369" s="663">
        <v>1983</v>
      </c>
      <c r="J369" s="663">
        <v>5</v>
      </c>
      <c r="K369" s="663">
        <f t="shared" si="5"/>
        <v>41</v>
      </c>
      <c r="L369" s="694">
        <v>436</v>
      </c>
      <c r="M369" s="704">
        <v>1324</v>
      </c>
      <c r="N369" s="704">
        <v>1324</v>
      </c>
      <c r="O369" s="681" t="s">
        <v>1812</v>
      </c>
      <c r="P369" s="663" t="s">
        <v>1581</v>
      </c>
      <c r="Q369" s="663">
        <v>4</v>
      </c>
      <c r="R369" s="690">
        <v>0</v>
      </c>
      <c r="S369" s="687" t="s">
        <v>1593</v>
      </c>
      <c r="T369" s="683" t="s">
        <v>825</v>
      </c>
      <c r="U369" s="663" t="s">
        <v>63</v>
      </c>
      <c r="V369" s="690"/>
      <c r="W369" s="687">
        <v>2015</v>
      </c>
      <c r="X369" s="686">
        <v>47</v>
      </c>
      <c r="Y369" s="687" t="s">
        <v>1585</v>
      </c>
      <c r="Z369" s="663" t="s">
        <v>1596</v>
      </c>
      <c r="AA369" s="663" t="s">
        <v>1596</v>
      </c>
      <c r="AB369" s="663" t="s">
        <v>1587</v>
      </c>
      <c r="AC369" s="663" t="s">
        <v>1587</v>
      </c>
      <c r="AD369" s="663" t="s">
        <v>1596</v>
      </c>
      <c r="AE369" s="663" t="s">
        <v>1587</v>
      </c>
      <c r="AF369" s="663" t="s">
        <v>1587</v>
      </c>
      <c r="AG369" s="663" t="s">
        <v>1585</v>
      </c>
      <c r="AH369" s="663" t="s">
        <v>1596</v>
      </c>
      <c r="AI369" s="688">
        <v>38</v>
      </c>
      <c r="AJ369" s="689" t="s">
        <v>1588</v>
      </c>
      <c r="AK369" s="690"/>
    </row>
    <row r="370" spans="1:37" s="653" customFormat="1">
      <c r="A370" s="655">
        <v>2024</v>
      </c>
      <c r="B370" s="656" t="str">
        <f>INDEX('①基本情報 '!$C$2:$C$255,MATCH('②建物情報 '!E370,'①基本情報 '!$E$2:$E$255,0),1)</f>
        <v>157</v>
      </c>
      <c r="C370" s="657" t="str">
        <f>INDEX('①基本情報 '!$B$2:$B$255,MATCH('②建物情報 '!E370,'①基本情報 '!$E$2:$E$255,0),1)</f>
        <v>1048</v>
      </c>
      <c r="D370" s="658" t="s">
        <v>2418</v>
      </c>
      <c r="E370" s="612" t="s">
        <v>1027</v>
      </c>
      <c r="F370" s="597" t="str">
        <f>INDEX('①基本情報 '!$G$2:$G$255,MATCH('②建物情報 '!E370,'①基本情報 '!$E$2:$E$255,0),1)</f>
        <v>教育委員会教育総務部、学校教育部、生涯学習部</v>
      </c>
      <c r="G370" s="678" t="s">
        <v>1589</v>
      </c>
      <c r="H370" s="612" t="s">
        <v>1639</v>
      </c>
      <c r="I370" s="663">
        <v>1983</v>
      </c>
      <c r="J370" s="663">
        <v>5</v>
      </c>
      <c r="K370" s="663">
        <f t="shared" si="5"/>
        <v>41</v>
      </c>
      <c r="L370" s="694">
        <v>587</v>
      </c>
      <c r="M370" s="704">
        <v>1821</v>
      </c>
      <c r="N370" s="704">
        <v>1821</v>
      </c>
      <c r="O370" s="681" t="s">
        <v>1812</v>
      </c>
      <c r="P370" s="663" t="s">
        <v>1581</v>
      </c>
      <c r="Q370" s="663">
        <v>4</v>
      </c>
      <c r="R370" s="690">
        <v>0</v>
      </c>
      <c r="S370" s="687" t="s">
        <v>1593</v>
      </c>
      <c r="T370" s="683" t="s">
        <v>825</v>
      </c>
      <c r="U370" s="663" t="s">
        <v>63</v>
      </c>
      <c r="V370" s="690"/>
      <c r="W370" s="687">
        <v>2015</v>
      </c>
      <c r="X370" s="686">
        <v>47</v>
      </c>
      <c r="Y370" s="687" t="s">
        <v>1585</v>
      </c>
      <c r="Z370" s="663" t="s">
        <v>1596</v>
      </c>
      <c r="AA370" s="663" t="s">
        <v>1596</v>
      </c>
      <c r="AB370" s="663" t="s">
        <v>1587</v>
      </c>
      <c r="AC370" s="663" t="s">
        <v>1587</v>
      </c>
      <c r="AD370" s="663" t="s">
        <v>1596</v>
      </c>
      <c r="AE370" s="663" t="s">
        <v>1587</v>
      </c>
      <c r="AF370" s="663" t="s">
        <v>1587</v>
      </c>
      <c r="AG370" s="663" t="s">
        <v>1596</v>
      </c>
      <c r="AH370" s="663" t="s">
        <v>1596</v>
      </c>
      <c r="AI370" s="688">
        <v>35.199999999999996</v>
      </c>
      <c r="AJ370" s="689" t="s">
        <v>1588</v>
      </c>
      <c r="AK370" s="690"/>
    </row>
    <row r="371" spans="1:37" s="653" customFormat="1">
      <c r="A371" s="655">
        <v>2024</v>
      </c>
      <c r="B371" s="656" t="str">
        <f>INDEX('①基本情報 '!$C$2:$C$255,MATCH('②建物情報 '!E371,'①基本情報 '!$E$2:$E$255,0),1)</f>
        <v>157</v>
      </c>
      <c r="C371" s="657" t="str">
        <f>INDEX('①基本情報 '!$B$2:$B$255,MATCH('②建物情報 '!E371,'①基本情報 '!$E$2:$E$255,0),1)</f>
        <v>1048</v>
      </c>
      <c r="D371" s="658" t="s">
        <v>2418</v>
      </c>
      <c r="E371" s="612" t="s">
        <v>1027</v>
      </c>
      <c r="F371" s="597" t="str">
        <f>INDEX('①基本情報 '!$G$2:$G$255,MATCH('②建物情報 '!E371,'①基本情報 '!$E$2:$E$255,0),1)</f>
        <v>教育委員会教育総務部、学校教育部、生涯学習部</v>
      </c>
      <c r="G371" s="678" t="s">
        <v>1591</v>
      </c>
      <c r="H371" s="612" t="s">
        <v>1640</v>
      </c>
      <c r="I371" s="663">
        <v>1983</v>
      </c>
      <c r="J371" s="663">
        <v>5</v>
      </c>
      <c r="K371" s="663">
        <f t="shared" si="5"/>
        <v>41</v>
      </c>
      <c r="L371" s="694">
        <v>790</v>
      </c>
      <c r="M371" s="704">
        <v>2500</v>
      </c>
      <c r="N371" s="704">
        <v>2500</v>
      </c>
      <c r="O371" s="681" t="s">
        <v>1812</v>
      </c>
      <c r="P371" s="663" t="s">
        <v>1581</v>
      </c>
      <c r="Q371" s="663">
        <v>4</v>
      </c>
      <c r="R371" s="690">
        <v>0</v>
      </c>
      <c r="S371" s="687" t="s">
        <v>1593</v>
      </c>
      <c r="T371" s="683" t="s">
        <v>825</v>
      </c>
      <c r="U371" s="663" t="s">
        <v>63</v>
      </c>
      <c r="V371" s="690"/>
      <c r="W371" s="687"/>
      <c r="X371" s="686">
        <v>47</v>
      </c>
      <c r="Y371" s="687" t="s">
        <v>1585</v>
      </c>
      <c r="Z371" s="663" t="s">
        <v>1587</v>
      </c>
      <c r="AA371" s="663" t="s">
        <v>1587</v>
      </c>
      <c r="AB371" s="663" t="s">
        <v>1587</v>
      </c>
      <c r="AC371" s="663" t="s">
        <v>1587</v>
      </c>
      <c r="AD371" s="663" t="s">
        <v>1587</v>
      </c>
      <c r="AE371" s="663" t="s">
        <v>1587</v>
      </c>
      <c r="AF371" s="663" t="s">
        <v>1587</v>
      </c>
      <c r="AG371" s="663" t="s">
        <v>1587</v>
      </c>
      <c r="AH371" s="663" t="s">
        <v>1587</v>
      </c>
      <c r="AI371" s="688">
        <v>29.600000000000005</v>
      </c>
      <c r="AJ371" s="689" t="s">
        <v>1588</v>
      </c>
      <c r="AK371" s="690"/>
    </row>
    <row r="372" spans="1:37" s="653" customFormat="1">
      <c r="A372" s="655">
        <v>2024</v>
      </c>
      <c r="B372" s="656" t="str">
        <f>INDEX('①基本情報 '!$C$2:$C$255,MATCH('②建物情報 '!E372,'①基本情報 '!$E$2:$E$255,0),1)</f>
        <v>157</v>
      </c>
      <c r="C372" s="657" t="str">
        <f>INDEX('①基本情報 '!$B$2:$B$255,MATCH('②建物情報 '!E372,'①基本情報 '!$E$2:$E$255,0),1)</f>
        <v>1048</v>
      </c>
      <c r="D372" s="658" t="s">
        <v>2418</v>
      </c>
      <c r="E372" s="612" t="s">
        <v>1027</v>
      </c>
      <c r="F372" s="597" t="str">
        <f>INDEX('①基本情報 '!$G$2:$G$255,MATCH('②建物情報 '!E372,'①基本情報 '!$E$2:$E$255,0),1)</f>
        <v>教育委員会教育総務部、学校教育部、生涯学習部</v>
      </c>
      <c r="G372" s="678" t="s">
        <v>1601</v>
      </c>
      <c r="H372" s="612" t="s">
        <v>1642</v>
      </c>
      <c r="I372" s="663">
        <v>1983</v>
      </c>
      <c r="J372" s="663">
        <v>5</v>
      </c>
      <c r="K372" s="663">
        <f t="shared" si="5"/>
        <v>41</v>
      </c>
      <c r="L372" s="694">
        <v>964</v>
      </c>
      <c r="M372" s="704">
        <v>2078</v>
      </c>
      <c r="N372" s="704">
        <v>2078</v>
      </c>
      <c r="O372" s="681" t="s">
        <v>1812</v>
      </c>
      <c r="P372" s="663" t="s">
        <v>1581</v>
      </c>
      <c r="Q372" s="663">
        <v>3</v>
      </c>
      <c r="R372" s="690">
        <v>0</v>
      </c>
      <c r="S372" s="687" t="s">
        <v>1593</v>
      </c>
      <c r="T372" s="683" t="s">
        <v>825</v>
      </c>
      <c r="U372" s="663" t="s">
        <v>63</v>
      </c>
      <c r="V372" s="690"/>
      <c r="W372" s="687"/>
      <c r="X372" s="686">
        <v>47</v>
      </c>
      <c r="Y372" s="687" t="s">
        <v>1585</v>
      </c>
      <c r="Z372" s="663" t="s">
        <v>1596</v>
      </c>
      <c r="AA372" s="663" t="s">
        <v>1596</v>
      </c>
      <c r="AB372" s="663" t="s">
        <v>1587</v>
      </c>
      <c r="AC372" s="663" t="s">
        <v>1587</v>
      </c>
      <c r="AD372" s="663" t="s">
        <v>1596</v>
      </c>
      <c r="AE372" s="663" t="s">
        <v>1587</v>
      </c>
      <c r="AF372" s="663" t="s">
        <v>1587</v>
      </c>
      <c r="AG372" s="663" t="s">
        <v>1596</v>
      </c>
      <c r="AH372" s="663" t="s">
        <v>1596</v>
      </c>
      <c r="AI372" s="688">
        <v>37.200000000000003</v>
      </c>
      <c r="AJ372" s="689" t="s">
        <v>1588</v>
      </c>
      <c r="AK372" s="690"/>
    </row>
    <row r="373" spans="1:37" s="653" customFormat="1">
      <c r="A373" s="655">
        <v>2024</v>
      </c>
      <c r="B373" s="656" t="str">
        <f>INDEX('①基本情報 '!$C$2:$C$255,MATCH('②建物情報 '!E373,'①基本情報 '!$E$2:$E$255,0),1)</f>
        <v>157</v>
      </c>
      <c r="C373" s="657" t="str">
        <f>INDEX('①基本情報 '!$B$2:$B$255,MATCH('②建物情報 '!E373,'①基本情報 '!$E$2:$E$255,0),1)</f>
        <v>1048</v>
      </c>
      <c r="D373" s="658" t="s">
        <v>2418</v>
      </c>
      <c r="E373" s="612" t="s">
        <v>1027</v>
      </c>
      <c r="F373" s="597" t="str">
        <f>INDEX('①基本情報 '!$G$2:$G$255,MATCH('②建物情報 '!E373,'①基本情報 '!$E$2:$E$255,0),1)</f>
        <v>教育委員会教育総務部、学校教育部、生涯学習部</v>
      </c>
      <c r="G373" s="678" t="s">
        <v>1620</v>
      </c>
      <c r="H373" s="612" t="s">
        <v>1660</v>
      </c>
      <c r="I373" s="663">
        <v>1983</v>
      </c>
      <c r="J373" s="663">
        <v>7</v>
      </c>
      <c r="K373" s="663">
        <f t="shared" si="5"/>
        <v>41</v>
      </c>
      <c r="L373" s="694">
        <v>1193</v>
      </c>
      <c r="M373" s="704">
        <v>1197</v>
      </c>
      <c r="N373" s="704">
        <v>1197</v>
      </c>
      <c r="O373" s="681" t="s">
        <v>1812</v>
      </c>
      <c r="P373" s="663" t="s">
        <v>1581</v>
      </c>
      <c r="Q373" s="663">
        <v>2</v>
      </c>
      <c r="R373" s="690">
        <v>0</v>
      </c>
      <c r="S373" s="687" t="s">
        <v>1593</v>
      </c>
      <c r="T373" s="683" t="s">
        <v>825</v>
      </c>
      <c r="U373" s="663" t="s">
        <v>63</v>
      </c>
      <c r="V373" s="690"/>
      <c r="W373" s="687"/>
      <c r="X373" s="686">
        <v>47</v>
      </c>
      <c r="Y373" s="687" t="s">
        <v>1585</v>
      </c>
      <c r="Z373" s="663" t="s">
        <v>1587</v>
      </c>
      <c r="AA373" s="663" t="s">
        <v>1587</v>
      </c>
      <c r="AB373" s="663" t="s">
        <v>1587</v>
      </c>
      <c r="AC373" s="663" t="s">
        <v>1587</v>
      </c>
      <c r="AD373" s="663" t="s">
        <v>825</v>
      </c>
      <c r="AE373" s="663" t="s">
        <v>1587</v>
      </c>
      <c r="AF373" s="663" t="s">
        <v>1587</v>
      </c>
      <c r="AG373" s="663" t="s">
        <v>1587</v>
      </c>
      <c r="AH373" s="663" t="s">
        <v>1596</v>
      </c>
      <c r="AI373" s="688">
        <v>30.384615384615387</v>
      </c>
      <c r="AJ373" s="689" t="s">
        <v>1588</v>
      </c>
      <c r="AK373" s="690"/>
    </row>
    <row r="374" spans="1:37" s="653" customFormat="1">
      <c r="A374" s="655">
        <v>2024</v>
      </c>
      <c r="B374" s="656" t="str">
        <f>INDEX('①基本情報 '!$C$2:$C$255,MATCH('②建物情報 '!E374,'①基本情報 '!$E$2:$E$255,0),1)</f>
        <v>157</v>
      </c>
      <c r="C374" s="657" t="str">
        <f>INDEX('①基本情報 '!$B$2:$B$255,MATCH('②建物情報 '!E374,'①基本情報 '!$E$2:$E$255,0),1)</f>
        <v>1048</v>
      </c>
      <c r="D374" s="658" t="s">
        <v>2418</v>
      </c>
      <c r="E374" s="612" t="s">
        <v>1027</v>
      </c>
      <c r="F374" s="597" t="str">
        <f>INDEX('①基本情報 '!$G$2:$G$255,MATCH('②建物情報 '!E374,'①基本情報 '!$E$2:$E$255,0),1)</f>
        <v>教育委員会教育総務部、学校教育部、生涯学習部</v>
      </c>
      <c r="G374" s="678" t="s">
        <v>1643</v>
      </c>
      <c r="H374" s="612" t="s">
        <v>1644</v>
      </c>
      <c r="I374" s="663">
        <v>2004</v>
      </c>
      <c r="J374" s="663">
        <v>9</v>
      </c>
      <c r="K374" s="663">
        <f t="shared" si="5"/>
        <v>20</v>
      </c>
      <c r="L374" s="694">
        <v>16</v>
      </c>
      <c r="M374" s="704">
        <v>48</v>
      </c>
      <c r="N374" s="704">
        <v>48</v>
      </c>
      <c r="O374" s="681" t="s">
        <v>1812</v>
      </c>
      <c r="P374" s="663" t="s">
        <v>1603</v>
      </c>
      <c r="Q374" s="663">
        <v>3</v>
      </c>
      <c r="R374" s="690">
        <v>0</v>
      </c>
      <c r="S374" s="687" t="s">
        <v>1593</v>
      </c>
      <c r="T374" s="683" t="s">
        <v>825</v>
      </c>
      <c r="U374" s="683" t="s">
        <v>1846</v>
      </c>
      <c r="V374" s="690"/>
      <c r="W374" s="687"/>
      <c r="X374" s="702">
        <v>34</v>
      </c>
      <c r="Y374" s="687" t="s">
        <v>1596</v>
      </c>
      <c r="Z374" s="663" t="s">
        <v>1596</v>
      </c>
      <c r="AA374" s="663" t="s">
        <v>1596</v>
      </c>
      <c r="AB374" s="663" t="s">
        <v>1587</v>
      </c>
      <c r="AC374" s="663" t="s">
        <v>1586</v>
      </c>
      <c r="AD374" s="663" t="s">
        <v>825</v>
      </c>
      <c r="AE374" s="663" t="s">
        <v>825</v>
      </c>
      <c r="AF374" s="663" t="s">
        <v>825</v>
      </c>
      <c r="AG374" s="663" t="s">
        <v>825</v>
      </c>
      <c r="AH374" s="663" t="s">
        <v>1596</v>
      </c>
      <c r="AI374" s="688">
        <v>37.333333333333329</v>
      </c>
      <c r="AJ374" s="689" t="s">
        <v>1588</v>
      </c>
      <c r="AK374" s="690"/>
    </row>
    <row r="375" spans="1:37" s="653" customFormat="1">
      <c r="A375" s="655">
        <v>2024</v>
      </c>
      <c r="B375" s="656" t="str">
        <f>INDEX('①基本情報 '!$C$2:$C$255,MATCH('②建物情報 '!E375,'①基本情報 '!$E$2:$E$255,0),1)</f>
        <v>157</v>
      </c>
      <c r="C375" s="657" t="str">
        <f>INDEX('①基本情報 '!$B$2:$B$255,MATCH('②建物情報 '!E375,'①基本情報 '!$E$2:$E$255,0),1)</f>
        <v>1048</v>
      </c>
      <c r="D375" s="658" t="s">
        <v>2418</v>
      </c>
      <c r="E375" s="612" t="s">
        <v>1027</v>
      </c>
      <c r="F375" s="597" t="str">
        <f>INDEX('①基本情報 '!$G$2:$G$255,MATCH('②建物情報 '!E375,'①基本情報 '!$E$2:$E$255,0),1)</f>
        <v>教育委員会教育総務部、学校教育部、生涯学習部</v>
      </c>
      <c r="G375" s="678" t="s">
        <v>1645</v>
      </c>
      <c r="H375" s="612" t="s">
        <v>1609</v>
      </c>
      <c r="I375" s="663">
        <v>1983</v>
      </c>
      <c r="J375" s="663">
        <v>5</v>
      </c>
      <c r="K375" s="663">
        <f t="shared" si="5"/>
        <v>41</v>
      </c>
      <c r="L375" s="694"/>
      <c r="M375" s="704">
        <v>32</v>
      </c>
      <c r="N375" s="704">
        <v>32</v>
      </c>
      <c r="O375" s="681" t="s">
        <v>1812</v>
      </c>
      <c r="P375" s="663" t="s">
        <v>1581</v>
      </c>
      <c r="Q375" s="663">
        <v>1</v>
      </c>
      <c r="R375" s="690">
        <v>0</v>
      </c>
      <c r="S375" s="687" t="s">
        <v>1593</v>
      </c>
      <c r="T375" s="683" t="s">
        <v>825</v>
      </c>
      <c r="U375" s="683" t="s">
        <v>1846</v>
      </c>
      <c r="V375" s="690"/>
      <c r="W375" s="687"/>
      <c r="X375" s="702">
        <v>38</v>
      </c>
      <c r="Y375" s="687" t="s">
        <v>1596</v>
      </c>
      <c r="Z375" s="663" t="s">
        <v>1587</v>
      </c>
      <c r="AA375" s="663" t="s">
        <v>1587</v>
      </c>
      <c r="AB375" s="663" t="s">
        <v>1587</v>
      </c>
      <c r="AC375" s="663" t="s">
        <v>1587</v>
      </c>
      <c r="AD375" s="663" t="s">
        <v>825</v>
      </c>
      <c r="AE375" s="663" t="s">
        <v>1587</v>
      </c>
      <c r="AF375" s="663" t="s">
        <v>1587</v>
      </c>
      <c r="AG375" s="663" t="s">
        <v>825</v>
      </c>
      <c r="AH375" s="663" t="s">
        <v>1587</v>
      </c>
      <c r="AI375" s="688">
        <v>21.463414634146339</v>
      </c>
      <c r="AJ375" s="689" t="s">
        <v>1588</v>
      </c>
      <c r="AK375" s="690"/>
    </row>
    <row r="376" spans="1:37" s="653" customFormat="1">
      <c r="A376" s="655">
        <v>2024</v>
      </c>
      <c r="B376" s="656" t="str">
        <f>INDEX('①基本情報 '!$C$2:$C$255,MATCH('②建物情報 '!E376,'①基本情報 '!$E$2:$E$255,0),1)</f>
        <v>158</v>
      </c>
      <c r="C376" s="657" t="str">
        <f>INDEX('①基本情報 '!$B$2:$B$255,MATCH('②建物情報 '!E376,'①基本情報 '!$E$2:$E$255,0),1)</f>
        <v>1061</v>
      </c>
      <c r="D376" s="658" t="s">
        <v>2418</v>
      </c>
      <c r="E376" s="612" t="s">
        <v>1031</v>
      </c>
      <c r="F376" s="597" t="str">
        <f>INDEX('①基本情報 '!$G$2:$G$255,MATCH('②建物情報 '!E376,'①基本情報 '!$E$2:$E$255,0),1)</f>
        <v>教育委員会教育総務部、学校教育部、生涯学習部</v>
      </c>
      <c r="G376" s="678" t="s">
        <v>1580</v>
      </c>
      <c r="H376" s="612" t="s">
        <v>1638</v>
      </c>
      <c r="I376" s="663">
        <v>1963</v>
      </c>
      <c r="J376" s="663">
        <v>3</v>
      </c>
      <c r="K376" s="663">
        <f t="shared" si="5"/>
        <v>61</v>
      </c>
      <c r="L376" s="694">
        <v>529</v>
      </c>
      <c r="M376" s="704">
        <v>2080</v>
      </c>
      <c r="N376" s="704">
        <v>2080</v>
      </c>
      <c r="O376" s="681" t="s">
        <v>1812</v>
      </c>
      <c r="P376" s="663" t="s">
        <v>1581</v>
      </c>
      <c r="Q376" s="663">
        <v>4</v>
      </c>
      <c r="R376" s="690">
        <v>0</v>
      </c>
      <c r="S376" s="687" t="s">
        <v>1582</v>
      </c>
      <c r="T376" s="663" t="s">
        <v>1583</v>
      </c>
      <c r="U376" s="683" t="s">
        <v>63</v>
      </c>
      <c r="V376" s="690">
        <v>1995</v>
      </c>
      <c r="W376" s="687">
        <v>2013</v>
      </c>
      <c r="X376" s="686">
        <v>47</v>
      </c>
      <c r="Y376" s="687" t="s">
        <v>1585</v>
      </c>
      <c r="Z376" s="663" t="s">
        <v>1596</v>
      </c>
      <c r="AA376" s="663" t="s">
        <v>1585</v>
      </c>
      <c r="AB376" s="663" t="s">
        <v>1596</v>
      </c>
      <c r="AC376" s="663" t="s">
        <v>1596</v>
      </c>
      <c r="AD376" s="663" t="s">
        <v>1585</v>
      </c>
      <c r="AE376" s="663" t="s">
        <v>1585</v>
      </c>
      <c r="AF376" s="663" t="s">
        <v>1596</v>
      </c>
      <c r="AG376" s="663" t="s">
        <v>1596</v>
      </c>
      <c r="AH376" s="663" t="s">
        <v>1585</v>
      </c>
      <c r="AI376" s="688">
        <v>64.8</v>
      </c>
      <c r="AJ376" s="689" t="s">
        <v>1588</v>
      </c>
      <c r="AK376" s="690"/>
    </row>
    <row r="377" spans="1:37" s="653" customFormat="1">
      <c r="A377" s="655">
        <v>2024</v>
      </c>
      <c r="B377" s="656" t="str">
        <f>INDEX('①基本情報 '!$C$2:$C$255,MATCH('②建物情報 '!E377,'①基本情報 '!$E$2:$E$255,0),1)</f>
        <v>158</v>
      </c>
      <c r="C377" s="657" t="str">
        <f>INDEX('①基本情報 '!$B$2:$B$255,MATCH('②建物情報 '!E377,'①基本情報 '!$E$2:$E$255,0),1)</f>
        <v>1061</v>
      </c>
      <c r="D377" s="658" t="s">
        <v>2418</v>
      </c>
      <c r="E377" s="612" t="s">
        <v>1031</v>
      </c>
      <c r="F377" s="597" t="str">
        <f>INDEX('①基本情報 '!$G$2:$G$255,MATCH('②建物情報 '!E377,'①基本情報 '!$E$2:$E$255,0),1)</f>
        <v>教育委員会教育総務部、学校教育部、生涯学習部</v>
      </c>
      <c r="G377" s="678" t="s">
        <v>1589</v>
      </c>
      <c r="H377" s="612" t="s">
        <v>1639</v>
      </c>
      <c r="I377" s="663">
        <v>1963</v>
      </c>
      <c r="J377" s="663">
        <v>8</v>
      </c>
      <c r="K377" s="663">
        <f t="shared" si="5"/>
        <v>61</v>
      </c>
      <c r="L377" s="694">
        <v>58</v>
      </c>
      <c r="M377" s="704">
        <v>232</v>
      </c>
      <c r="N377" s="704">
        <v>232</v>
      </c>
      <c r="O377" s="681" t="s">
        <v>1812</v>
      </c>
      <c r="P377" s="663" t="s">
        <v>1581</v>
      </c>
      <c r="Q377" s="663">
        <v>4</v>
      </c>
      <c r="R377" s="690">
        <v>0</v>
      </c>
      <c r="S377" s="687" t="s">
        <v>1582</v>
      </c>
      <c r="T377" s="663" t="s">
        <v>1583</v>
      </c>
      <c r="U377" s="683" t="s">
        <v>63</v>
      </c>
      <c r="V377" s="690">
        <v>2011</v>
      </c>
      <c r="W377" s="687">
        <v>2011</v>
      </c>
      <c r="X377" s="686">
        <v>47</v>
      </c>
      <c r="Y377" s="687" t="s">
        <v>1585</v>
      </c>
      <c r="Z377" s="663" t="s">
        <v>1585</v>
      </c>
      <c r="AA377" s="663" t="s">
        <v>1585</v>
      </c>
      <c r="AB377" s="663" t="s">
        <v>1596</v>
      </c>
      <c r="AC377" s="663" t="s">
        <v>1596</v>
      </c>
      <c r="AD377" s="663" t="s">
        <v>825</v>
      </c>
      <c r="AE377" s="663" t="s">
        <v>1585</v>
      </c>
      <c r="AF377" s="663" t="s">
        <v>1596</v>
      </c>
      <c r="AG377" s="663" t="s">
        <v>1596</v>
      </c>
      <c r="AH377" s="663" t="s">
        <v>1585</v>
      </c>
      <c r="AI377" s="688">
        <v>67.659574468085111</v>
      </c>
      <c r="AJ377" s="689" t="s">
        <v>1588</v>
      </c>
      <c r="AK377" s="690"/>
    </row>
    <row r="378" spans="1:37" s="653" customFormat="1">
      <c r="A378" s="655">
        <v>2024</v>
      </c>
      <c r="B378" s="656" t="str">
        <f>INDEX('①基本情報 '!$C$2:$C$255,MATCH('②建物情報 '!E378,'①基本情報 '!$E$2:$E$255,0),1)</f>
        <v>158</v>
      </c>
      <c r="C378" s="657" t="str">
        <f>INDEX('①基本情報 '!$B$2:$B$255,MATCH('②建物情報 '!E378,'①基本情報 '!$E$2:$E$255,0),1)</f>
        <v>1061</v>
      </c>
      <c r="D378" s="658" t="s">
        <v>2418</v>
      </c>
      <c r="E378" s="612" t="s">
        <v>1031</v>
      </c>
      <c r="F378" s="597" t="str">
        <f>INDEX('①基本情報 '!$G$2:$G$255,MATCH('②建物情報 '!E378,'①基本情報 '!$E$2:$E$255,0),1)</f>
        <v>教育委員会教育総務部、学校教育部、生涯学習部</v>
      </c>
      <c r="G378" s="678" t="s">
        <v>1591</v>
      </c>
      <c r="H378" s="612" t="s">
        <v>1640</v>
      </c>
      <c r="I378" s="663">
        <v>1997</v>
      </c>
      <c r="J378" s="663">
        <v>1</v>
      </c>
      <c r="K378" s="663">
        <f t="shared" si="5"/>
        <v>27</v>
      </c>
      <c r="L378" s="694">
        <v>533</v>
      </c>
      <c r="M378" s="704">
        <v>2205</v>
      </c>
      <c r="N378" s="704">
        <v>2205</v>
      </c>
      <c r="O378" s="681" t="s">
        <v>1812</v>
      </c>
      <c r="P378" s="663" t="s">
        <v>1581</v>
      </c>
      <c r="Q378" s="663">
        <v>4</v>
      </c>
      <c r="R378" s="690">
        <v>0</v>
      </c>
      <c r="S378" s="687" t="s">
        <v>1593</v>
      </c>
      <c r="T378" s="683" t="s">
        <v>825</v>
      </c>
      <c r="U378" s="663" t="s">
        <v>63</v>
      </c>
      <c r="V378" s="690"/>
      <c r="W378" s="687"/>
      <c r="X378" s="686">
        <v>47</v>
      </c>
      <c r="Y378" s="687" t="s">
        <v>1596</v>
      </c>
      <c r="Z378" s="663" t="s">
        <v>1586</v>
      </c>
      <c r="AA378" s="663" t="s">
        <v>1585</v>
      </c>
      <c r="AB378" s="663" t="s">
        <v>1596</v>
      </c>
      <c r="AC378" s="663" t="s">
        <v>1586</v>
      </c>
      <c r="AD378" s="663" t="s">
        <v>1585</v>
      </c>
      <c r="AE378" s="663" t="s">
        <v>1585</v>
      </c>
      <c r="AF378" s="663" t="s">
        <v>1586</v>
      </c>
      <c r="AG378" s="663" t="s">
        <v>1587</v>
      </c>
      <c r="AH378" s="663" t="s">
        <v>1585</v>
      </c>
      <c r="AI378" s="688">
        <v>62.545454545454547</v>
      </c>
      <c r="AJ378" s="689" t="s">
        <v>1588</v>
      </c>
      <c r="AK378" s="690"/>
    </row>
    <row r="379" spans="1:37" s="653" customFormat="1">
      <c r="A379" s="655">
        <v>2024</v>
      </c>
      <c r="B379" s="656" t="str">
        <f>INDEX('①基本情報 '!$C$2:$C$255,MATCH('②建物情報 '!E379,'①基本情報 '!$E$2:$E$255,0),1)</f>
        <v>158</v>
      </c>
      <c r="C379" s="657" t="str">
        <f>INDEX('①基本情報 '!$B$2:$B$255,MATCH('②建物情報 '!E379,'①基本情報 '!$E$2:$E$255,0),1)</f>
        <v>1061</v>
      </c>
      <c r="D379" s="658" t="s">
        <v>2418</v>
      </c>
      <c r="E379" s="612" t="s">
        <v>1031</v>
      </c>
      <c r="F379" s="597" t="str">
        <f>INDEX('①基本情報 '!$G$2:$G$255,MATCH('②建物情報 '!E379,'①基本情報 '!$E$2:$E$255,0),1)</f>
        <v>教育委員会教育総務部、学校教育部、生涯学習部</v>
      </c>
      <c r="G379" s="678" t="s">
        <v>1601</v>
      </c>
      <c r="H379" s="612" t="s">
        <v>1641</v>
      </c>
      <c r="I379" s="663">
        <v>1973</v>
      </c>
      <c r="J379" s="663">
        <v>3</v>
      </c>
      <c r="K379" s="663">
        <f t="shared" si="5"/>
        <v>51</v>
      </c>
      <c r="L379" s="694">
        <v>666</v>
      </c>
      <c r="M379" s="704">
        <v>3494</v>
      </c>
      <c r="N379" s="704">
        <v>3494</v>
      </c>
      <c r="O379" s="681" t="s">
        <v>1812</v>
      </c>
      <c r="P379" s="663" t="s">
        <v>1581</v>
      </c>
      <c r="Q379" s="663">
        <v>5</v>
      </c>
      <c r="R379" s="690">
        <v>1</v>
      </c>
      <c r="S379" s="687" t="s">
        <v>1582</v>
      </c>
      <c r="T379" s="663" t="s">
        <v>1583</v>
      </c>
      <c r="U379" s="663" t="s">
        <v>63</v>
      </c>
      <c r="V379" s="690">
        <v>2010</v>
      </c>
      <c r="W379" s="687"/>
      <c r="X379" s="686">
        <v>47</v>
      </c>
      <c r="Y379" s="687" t="s">
        <v>1585</v>
      </c>
      <c r="Z379" s="663" t="s">
        <v>1585</v>
      </c>
      <c r="AA379" s="663" t="s">
        <v>1586</v>
      </c>
      <c r="AB379" s="663" t="s">
        <v>1586</v>
      </c>
      <c r="AC379" s="663" t="s">
        <v>1586</v>
      </c>
      <c r="AD379" s="663" t="s">
        <v>1585</v>
      </c>
      <c r="AE379" s="663" t="s">
        <v>1585</v>
      </c>
      <c r="AF379" s="663" t="s">
        <v>1585</v>
      </c>
      <c r="AG379" s="663" t="s">
        <v>1585</v>
      </c>
      <c r="AH379" s="663" t="s">
        <v>1586</v>
      </c>
      <c r="AI379" s="688">
        <v>85.384615384615387</v>
      </c>
      <c r="AJ379" s="689" t="s">
        <v>1588</v>
      </c>
      <c r="AK379" s="690"/>
    </row>
    <row r="380" spans="1:37" s="653" customFormat="1">
      <c r="A380" s="655">
        <v>2024</v>
      </c>
      <c r="B380" s="656" t="str">
        <f>INDEX('①基本情報 '!$C$2:$C$255,MATCH('②建物情報 '!E380,'①基本情報 '!$E$2:$E$255,0),1)</f>
        <v>158</v>
      </c>
      <c r="C380" s="657" t="str">
        <f>INDEX('①基本情報 '!$B$2:$B$255,MATCH('②建物情報 '!E380,'①基本情報 '!$E$2:$E$255,0),1)</f>
        <v>1061</v>
      </c>
      <c r="D380" s="658" t="s">
        <v>2418</v>
      </c>
      <c r="E380" s="612" t="s">
        <v>1031</v>
      </c>
      <c r="F380" s="597" t="str">
        <f>INDEX('①基本情報 '!$G$2:$G$255,MATCH('②建物情報 '!E380,'①基本情報 '!$E$2:$E$255,0),1)</f>
        <v>教育委員会教育総務部、学校教育部、生涯学習部</v>
      </c>
      <c r="G380" s="678" t="s">
        <v>1620</v>
      </c>
      <c r="H380" s="612" t="s">
        <v>1648</v>
      </c>
      <c r="I380" s="663">
        <v>1979</v>
      </c>
      <c r="J380" s="663">
        <v>12</v>
      </c>
      <c r="K380" s="663">
        <f t="shared" si="5"/>
        <v>45</v>
      </c>
      <c r="L380" s="694">
        <v>386</v>
      </c>
      <c r="M380" s="704">
        <v>1158</v>
      </c>
      <c r="N380" s="704">
        <v>1158</v>
      </c>
      <c r="O380" s="681" t="s">
        <v>1812</v>
      </c>
      <c r="P380" s="663" t="s">
        <v>1581</v>
      </c>
      <c r="Q380" s="663">
        <v>4</v>
      </c>
      <c r="R380" s="690">
        <v>0</v>
      </c>
      <c r="S380" s="687" t="s">
        <v>1582</v>
      </c>
      <c r="T380" s="663" t="s">
        <v>1583</v>
      </c>
      <c r="U380" s="663" t="s">
        <v>63</v>
      </c>
      <c r="V380" s="690">
        <v>2010</v>
      </c>
      <c r="W380" s="687"/>
      <c r="X380" s="686">
        <v>47</v>
      </c>
      <c r="Y380" s="687" t="s">
        <v>1585</v>
      </c>
      <c r="Z380" s="663" t="s">
        <v>1585</v>
      </c>
      <c r="AA380" s="663" t="s">
        <v>1586</v>
      </c>
      <c r="AB380" s="663" t="s">
        <v>1586</v>
      </c>
      <c r="AC380" s="663" t="s">
        <v>1586</v>
      </c>
      <c r="AD380" s="663" t="s">
        <v>1585</v>
      </c>
      <c r="AE380" s="663" t="s">
        <v>1585</v>
      </c>
      <c r="AF380" s="663" t="s">
        <v>1585</v>
      </c>
      <c r="AG380" s="663" t="s">
        <v>1586</v>
      </c>
      <c r="AH380" s="663" t="s">
        <v>1586</v>
      </c>
      <c r="AI380" s="688">
        <v>85.384615384615387</v>
      </c>
      <c r="AJ380" s="689" t="s">
        <v>1588</v>
      </c>
      <c r="AK380" s="690"/>
    </row>
    <row r="381" spans="1:37" s="653" customFormat="1">
      <c r="A381" s="655">
        <v>2024</v>
      </c>
      <c r="B381" s="656" t="str">
        <f>INDEX('①基本情報 '!$C$2:$C$255,MATCH('②建物情報 '!E381,'①基本情報 '!$E$2:$E$255,0),1)</f>
        <v>158</v>
      </c>
      <c r="C381" s="657" t="str">
        <f>INDEX('①基本情報 '!$B$2:$B$255,MATCH('②建物情報 '!E381,'①基本情報 '!$E$2:$E$255,0),1)</f>
        <v>1061</v>
      </c>
      <c r="D381" s="658" t="s">
        <v>2418</v>
      </c>
      <c r="E381" s="612" t="s">
        <v>1031</v>
      </c>
      <c r="F381" s="597" t="str">
        <f>INDEX('①基本情報 '!$G$2:$G$255,MATCH('②建物情報 '!E381,'①基本情報 '!$E$2:$E$255,0),1)</f>
        <v>教育委員会教育総務部、学校教育部、生涯学習部</v>
      </c>
      <c r="G381" s="678" t="s">
        <v>1643</v>
      </c>
      <c r="H381" s="612" t="s">
        <v>1663</v>
      </c>
      <c r="I381" s="663">
        <v>1987</v>
      </c>
      <c r="J381" s="663">
        <v>1</v>
      </c>
      <c r="K381" s="663">
        <f t="shared" si="5"/>
        <v>37</v>
      </c>
      <c r="L381" s="694">
        <v>90</v>
      </c>
      <c r="M381" s="704">
        <v>160</v>
      </c>
      <c r="N381" s="704">
        <v>160</v>
      </c>
      <c r="O381" s="681" t="s">
        <v>1812</v>
      </c>
      <c r="P381" s="663" t="s">
        <v>1581</v>
      </c>
      <c r="Q381" s="663">
        <v>2</v>
      </c>
      <c r="R381" s="690">
        <v>0</v>
      </c>
      <c r="S381" s="682" t="s">
        <v>1593</v>
      </c>
      <c r="T381" s="683" t="s">
        <v>825</v>
      </c>
      <c r="U381" s="683" t="s">
        <v>1846</v>
      </c>
      <c r="V381" s="690"/>
      <c r="W381" s="687"/>
      <c r="X381" s="686">
        <v>47</v>
      </c>
      <c r="Y381" s="687" t="s">
        <v>1596</v>
      </c>
      <c r="Z381" s="663" t="s">
        <v>1586</v>
      </c>
      <c r="AA381" s="663" t="s">
        <v>1586</v>
      </c>
      <c r="AB381" s="663" t="s">
        <v>1596</v>
      </c>
      <c r="AC381" s="663" t="s">
        <v>1586</v>
      </c>
      <c r="AD381" s="663" t="s">
        <v>1586</v>
      </c>
      <c r="AE381" s="663" t="s">
        <v>1585</v>
      </c>
      <c r="AF381" s="663" t="s">
        <v>1586</v>
      </c>
      <c r="AG381" s="663" t="s">
        <v>1586</v>
      </c>
      <c r="AH381" s="663" t="s">
        <v>1586</v>
      </c>
      <c r="AI381" s="688">
        <v>78.8</v>
      </c>
      <c r="AJ381" s="689" t="s">
        <v>1588</v>
      </c>
      <c r="AK381" s="690"/>
    </row>
    <row r="382" spans="1:37" s="653" customFormat="1">
      <c r="A382" s="655">
        <v>2024</v>
      </c>
      <c r="B382" s="656" t="str">
        <f>INDEX('①基本情報 '!$C$2:$C$255,MATCH('②建物情報 '!E382,'①基本情報 '!$E$2:$E$255,0),1)</f>
        <v>158</v>
      </c>
      <c r="C382" s="657" t="str">
        <f>INDEX('①基本情報 '!$B$2:$B$255,MATCH('②建物情報 '!E382,'①基本情報 '!$E$2:$E$255,0),1)</f>
        <v>1061</v>
      </c>
      <c r="D382" s="658" t="s">
        <v>2418</v>
      </c>
      <c r="E382" s="612" t="s">
        <v>1031</v>
      </c>
      <c r="F382" s="597" t="str">
        <f>INDEX('①基本情報 '!$G$2:$G$255,MATCH('②建物情報 '!E382,'①基本情報 '!$E$2:$E$255,0),1)</f>
        <v>教育委員会教育総務部、学校教育部、生涯学習部</v>
      </c>
      <c r="G382" s="678" t="s">
        <v>1645</v>
      </c>
      <c r="H382" s="612" t="s">
        <v>1612</v>
      </c>
      <c r="I382" s="663">
        <v>1977</v>
      </c>
      <c r="J382" s="663">
        <v>3</v>
      </c>
      <c r="K382" s="663">
        <f t="shared" si="5"/>
        <v>47</v>
      </c>
      <c r="L382" s="694">
        <v>154</v>
      </c>
      <c r="M382" s="704">
        <v>154</v>
      </c>
      <c r="N382" s="704">
        <v>154</v>
      </c>
      <c r="O382" s="681" t="s">
        <v>1812</v>
      </c>
      <c r="P382" s="663" t="s">
        <v>1581</v>
      </c>
      <c r="Q382" s="663">
        <v>1</v>
      </c>
      <c r="R382" s="690">
        <v>0</v>
      </c>
      <c r="S382" s="687" t="s">
        <v>1582</v>
      </c>
      <c r="T382" s="683"/>
      <c r="U382" s="683" t="s">
        <v>1965</v>
      </c>
      <c r="V382" s="690"/>
      <c r="W382" s="687"/>
      <c r="X382" s="686">
        <v>38</v>
      </c>
      <c r="Y382" s="687" t="s">
        <v>1585</v>
      </c>
      <c r="Z382" s="663" t="s">
        <v>1586</v>
      </c>
      <c r="AA382" s="663" t="s">
        <v>1586</v>
      </c>
      <c r="AB382" s="663" t="s">
        <v>1596</v>
      </c>
      <c r="AC382" s="663" t="s">
        <v>1586</v>
      </c>
      <c r="AD382" s="663" t="s">
        <v>825</v>
      </c>
      <c r="AE382" s="663" t="s">
        <v>825</v>
      </c>
      <c r="AF382" s="663" t="s">
        <v>825</v>
      </c>
      <c r="AG382" s="663" t="s">
        <v>825</v>
      </c>
      <c r="AH382" s="663" t="s">
        <v>1586</v>
      </c>
      <c r="AI382" s="688">
        <v>76.875</v>
      </c>
      <c r="AJ382" s="689" t="s">
        <v>1588</v>
      </c>
      <c r="AK382" s="690"/>
    </row>
    <row r="383" spans="1:37" s="653" customFormat="1">
      <c r="A383" s="655">
        <v>2024</v>
      </c>
      <c r="B383" s="656" t="str">
        <f>INDEX('①基本情報 '!$C$2:$C$255,MATCH('②建物情報 '!E383,'①基本情報 '!$E$2:$E$255,0),1)</f>
        <v>158</v>
      </c>
      <c r="C383" s="657" t="str">
        <f>INDEX('①基本情報 '!$B$2:$B$255,MATCH('②建物情報 '!E383,'①基本情報 '!$E$2:$E$255,0),1)</f>
        <v>1061</v>
      </c>
      <c r="D383" s="658" t="s">
        <v>2418</v>
      </c>
      <c r="E383" s="612" t="s">
        <v>1031</v>
      </c>
      <c r="F383" s="597" t="str">
        <f>INDEX('①基本情報 '!$G$2:$G$255,MATCH('②建物情報 '!E383,'①基本情報 '!$E$2:$E$255,0),1)</f>
        <v>教育委員会教育総務部、学校教育部、生涯学習部</v>
      </c>
      <c r="G383" s="678" t="s">
        <v>1646</v>
      </c>
      <c r="H383" s="612" t="s">
        <v>1612</v>
      </c>
      <c r="I383" s="663">
        <v>1977</v>
      </c>
      <c r="J383" s="663">
        <v>10</v>
      </c>
      <c r="K383" s="663">
        <f t="shared" si="5"/>
        <v>47</v>
      </c>
      <c r="L383" s="694">
        <v>154</v>
      </c>
      <c r="M383" s="704">
        <v>154</v>
      </c>
      <c r="N383" s="704">
        <v>154</v>
      </c>
      <c r="O383" s="681" t="s">
        <v>1812</v>
      </c>
      <c r="P383" s="663" t="s">
        <v>1581</v>
      </c>
      <c r="Q383" s="663">
        <v>1</v>
      </c>
      <c r="R383" s="690">
        <v>0</v>
      </c>
      <c r="S383" s="687" t="s">
        <v>1582</v>
      </c>
      <c r="T383" s="683"/>
      <c r="U383" s="683" t="s">
        <v>1965</v>
      </c>
      <c r="V383" s="690"/>
      <c r="W383" s="687"/>
      <c r="X383" s="686">
        <v>38</v>
      </c>
      <c r="Y383" s="687" t="s">
        <v>1585</v>
      </c>
      <c r="Z383" s="663" t="s">
        <v>1596</v>
      </c>
      <c r="AA383" s="663" t="s">
        <v>1585</v>
      </c>
      <c r="AB383" s="663" t="s">
        <v>1596</v>
      </c>
      <c r="AC383" s="663" t="s">
        <v>1596</v>
      </c>
      <c r="AD383" s="663" t="s">
        <v>825</v>
      </c>
      <c r="AE383" s="663" t="s">
        <v>825</v>
      </c>
      <c r="AF383" s="663" t="s">
        <v>825</v>
      </c>
      <c r="AG383" s="663" t="s">
        <v>825</v>
      </c>
      <c r="AH383" s="663" t="s">
        <v>1585</v>
      </c>
      <c r="AI383" s="688">
        <v>60.666666666666671</v>
      </c>
      <c r="AJ383" s="689" t="s">
        <v>1588</v>
      </c>
      <c r="AK383" s="690"/>
    </row>
    <row r="384" spans="1:37" s="653" customFormat="1">
      <c r="A384" s="655">
        <v>2024</v>
      </c>
      <c r="B384" s="656" t="str">
        <f>INDEX('①基本情報 '!$C$2:$C$255,MATCH('②建物情報 '!E384,'①基本情報 '!$E$2:$E$255,0),1)</f>
        <v>158</v>
      </c>
      <c r="C384" s="657" t="str">
        <f>INDEX('①基本情報 '!$B$2:$B$255,MATCH('②建物情報 '!E384,'①基本情報 '!$E$2:$E$255,0),1)</f>
        <v>1061</v>
      </c>
      <c r="D384" s="658" t="s">
        <v>2418</v>
      </c>
      <c r="E384" s="612" t="s">
        <v>1031</v>
      </c>
      <c r="F384" s="597" t="str">
        <f>INDEX('①基本情報 '!$G$2:$G$255,MATCH('②建物情報 '!E384,'①基本情報 '!$E$2:$E$255,0),1)</f>
        <v>教育委員会教育総務部、学校教育部、生涯学習部</v>
      </c>
      <c r="G384" s="678" t="s">
        <v>1647</v>
      </c>
      <c r="H384" s="612" t="s">
        <v>1662</v>
      </c>
      <c r="I384" s="663">
        <v>2012</v>
      </c>
      <c r="J384" s="663">
        <v>3</v>
      </c>
      <c r="K384" s="663">
        <f t="shared" si="5"/>
        <v>12</v>
      </c>
      <c r="L384" s="694">
        <v>207</v>
      </c>
      <c r="M384" s="704">
        <v>414</v>
      </c>
      <c r="N384" s="704">
        <v>414</v>
      </c>
      <c r="O384" s="681" t="s">
        <v>1812</v>
      </c>
      <c r="P384" s="663" t="s">
        <v>1603</v>
      </c>
      <c r="Q384" s="663">
        <v>2</v>
      </c>
      <c r="R384" s="690">
        <v>0</v>
      </c>
      <c r="S384" s="687" t="s">
        <v>1593</v>
      </c>
      <c r="T384" s="683" t="s">
        <v>825</v>
      </c>
      <c r="U384" s="663" t="s">
        <v>63</v>
      </c>
      <c r="V384" s="690"/>
      <c r="W384" s="687"/>
      <c r="X384" s="702">
        <v>34</v>
      </c>
      <c r="Y384" s="687" t="s">
        <v>1587</v>
      </c>
      <c r="Z384" s="663" t="s">
        <v>1585</v>
      </c>
      <c r="AA384" s="663" t="s">
        <v>1585</v>
      </c>
      <c r="AB384" s="663" t="s">
        <v>1586</v>
      </c>
      <c r="AC384" s="663" t="s">
        <v>1585</v>
      </c>
      <c r="AD384" s="663" t="s">
        <v>825</v>
      </c>
      <c r="AE384" s="663" t="s">
        <v>825</v>
      </c>
      <c r="AF384" s="663" t="s">
        <v>1596</v>
      </c>
      <c r="AG384" s="663" t="s">
        <v>1596</v>
      </c>
      <c r="AH384" s="663" t="s">
        <v>1596</v>
      </c>
      <c r="AI384" s="688">
        <v>49.756097560975611</v>
      </c>
      <c r="AJ384" s="689" t="s">
        <v>1588</v>
      </c>
      <c r="AK384" s="690"/>
    </row>
    <row r="385" spans="1:37" s="653" customFormat="1">
      <c r="A385" s="655">
        <v>2024</v>
      </c>
      <c r="B385" s="656" t="str">
        <f>INDEX('①基本情報 '!$C$2:$C$255,MATCH('②建物情報 '!E385,'①基本情報 '!$E$2:$E$255,0),1)</f>
        <v>158</v>
      </c>
      <c r="C385" s="657" t="str">
        <f>INDEX('①基本情報 '!$B$2:$B$255,MATCH('②建物情報 '!E385,'①基本情報 '!$E$2:$E$255,0),1)</f>
        <v>1061</v>
      </c>
      <c r="D385" s="658" t="s">
        <v>2418</v>
      </c>
      <c r="E385" s="612" t="s">
        <v>1031</v>
      </c>
      <c r="F385" s="597" t="str">
        <f>INDEX('①基本情報 '!$G$2:$G$255,MATCH('②建物情報 '!E385,'①基本情報 '!$E$2:$E$255,0),1)</f>
        <v>教育委員会教育総務部、学校教育部、生涯学習部</v>
      </c>
      <c r="G385" s="678" t="s">
        <v>162</v>
      </c>
      <c r="H385" s="612" t="s">
        <v>1642</v>
      </c>
      <c r="I385" s="663">
        <v>1966</v>
      </c>
      <c r="J385" s="663">
        <v>2</v>
      </c>
      <c r="K385" s="663">
        <f t="shared" si="5"/>
        <v>58</v>
      </c>
      <c r="L385" s="694">
        <v>1138</v>
      </c>
      <c r="M385" s="704">
        <v>2568</v>
      </c>
      <c r="N385" s="704">
        <v>2568</v>
      </c>
      <c r="O385" s="681" t="s">
        <v>1812</v>
      </c>
      <c r="P385" s="663" t="s">
        <v>1581</v>
      </c>
      <c r="Q385" s="663">
        <v>3</v>
      </c>
      <c r="R385" s="690">
        <v>0</v>
      </c>
      <c r="S385" s="687" t="s">
        <v>1582</v>
      </c>
      <c r="T385" s="663" t="s">
        <v>1583</v>
      </c>
      <c r="U385" s="663" t="s">
        <v>63</v>
      </c>
      <c r="V385" s="690">
        <v>1997</v>
      </c>
      <c r="W385" s="687">
        <v>2009</v>
      </c>
      <c r="X385" s="686">
        <v>47</v>
      </c>
      <c r="Y385" s="687" t="s">
        <v>1585</v>
      </c>
      <c r="Z385" s="663" t="s">
        <v>1587</v>
      </c>
      <c r="AA385" s="663" t="s">
        <v>1586</v>
      </c>
      <c r="AB385" s="663" t="s">
        <v>1586</v>
      </c>
      <c r="AC385" s="663" t="s">
        <v>1585</v>
      </c>
      <c r="AD385" s="663" t="s">
        <v>1586</v>
      </c>
      <c r="AE385" s="663" t="s">
        <v>825</v>
      </c>
      <c r="AF385" s="663" t="s">
        <v>1586</v>
      </c>
      <c r="AG385" s="663" t="s">
        <v>1596</v>
      </c>
      <c r="AH385" s="663" t="s">
        <v>1586</v>
      </c>
      <c r="AI385" s="688">
        <v>81.818181818181813</v>
      </c>
      <c r="AJ385" s="689" t="s">
        <v>1588</v>
      </c>
      <c r="AK385" s="690"/>
    </row>
    <row r="386" spans="1:37" s="653" customFormat="1">
      <c r="A386" s="655">
        <v>2024</v>
      </c>
      <c r="B386" s="656" t="str">
        <f>INDEX('①基本情報 '!$C$2:$C$255,MATCH('②建物情報 '!E386,'①基本情報 '!$E$2:$E$255,0),1)</f>
        <v>158</v>
      </c>
      <c r="C386" s="657" t="str">
        <f>INDEX('①基本情報 '!$B$2:$B$255,MATCH('②建物情報 '!E386,'①基本情報 '!$E$2:$E$255,0),1)</f>
        <v>1061</v>
      </c>
      <c r="D386" s="658" t="s">
        <v>2418</v>
      </c>
      <c r="E386" s="612" t="s">
        <v>1031</v>
      </c>
      <c r="F386" s="597" t="str">
        <f>INDEX('①基本情報 '!$G$2:$G$255,MATCH('②建物情報 '!E386,'①基本情報 '!$E$2:$E$255,0),1)</f>
        <v>教育委員会教育総務部、学校教育部、生涯学習部</v>
      </c>
      <c r="G386" s="678" t="s">
        <v>1652</v>
      </c>
      <c r="H386" s="612" t="s">
        <v>1664</v>
      </c>
      <c r="I386" s="663">
        <v>1967</v>
      </c>
      <c r="J386" s="663">
        <v>7</v>
      </c>
      <c r="K386" s="663">
        <f t="shared" si="5"/>
        <v>57</v>
      </c>
      <c r="L386" s="694"/>
      <c r="M386" s="704">
        <v>81</v>
      </c>
      <c r="N386" s="704">
        <v>81</v>
      </c>
      <c r="O386" s="681" t="s">
        <v>1812</v>
      </c>
      <c r="P386" s="663" t="s">
        <v>1581</v>
      </c>
      <c r="Q386" s="663">
        <v>1</v>
      </c>
      <c r="R386" s="690">
        <v>0</v>
      </c>
      <c r="S386" s="687" t="s">
        <v>1582</v>
      </c>
      <c r="T386" s="683"/>
      <c r="U386" s="683" t="s">
        <v>1965</v>
      </c>
      <c r="V386" s="690"/>
      <c r="W386" s="687">
        <v>2013</v>
      </c>
      <c r="X386" s="686">
        <v>47</v>
      </c>
      <c r="Y386" s="687" t="s">
        <v>1585</v>
      </c>
      <c r="Z386" s="663" t="s">
        <v>1596</v>
      </c>
      <c r="AA386" s="663" t="s">
        <v>1585</v>
      </c>
      <c r="AB386" s="663" t="s">
        <v>1596</v>
      </c>
      <c r="AC386" s="663" t="s">
        <v>1596</v>
      </c>
      <c r="AD386" s="663" t="s">
        <v>1585</v>
      </c>
      <c r="AE386" s="663" t="s">
        <v>1596</v>
      </c>
      <c r="AF386" s="663" t="s">
        <v>1596</v>
      </c>
      <c r="AG386" s="663" t="s">
        <v>1596</v>
      </c>
      <c r="AH386" s="663" t="s">
        <v>1585</v>
      </c>
      <c r="AI386" s="688">
        <v>58.000000000000007</v>
      </c>
      <c r="AJ386" s="689" t="s">
        <v>1588</v>
      </c>
      <c r="AK386" s="690"/>
    </row>
    <row r="387" spans="1:37" s="653" customFormat="1">
      <c r="A387" s="655">
        <v>2024</v>
      </c>
      <c r="B387" s="656" t="str">
        <f>INDEX('①基本情報 '!$C$2:$C$255,MATCH('②建物情報 '!E387,'①基本情報 '!$E$2:$E$255,0),1)</f>
        <v>158</v>
      </c>
      <c r="C387" s="657" t="str">
        <f>INDEX('①基本情報 '!$B$2:$B$255,MATCH('②建物情報 '!E387,'①基本情報 '!$E$2:$E$255,0),1)</f>
        <v>1061</v>
      </c>
      <c r="D387" s="658" t="s">
        <v>2418</v>
      </c>
      <c r="E387" s="612" t="s">
        <v>1031</v>
      </c>
      <c r="F387" s="597" t="str">
        <f>INDEX('①基本情報 '!$G$2:$G$255,MATCH('②建物情報 '!E387,'①基本情報 '!$E$2:$E$255,0),1)</f>
        <v>教育委員会教育総務部、学校教育部、生涯学習部</v>
      </c>
      <c r="G387" s="678" t="s">
        <v>861</v>
      </c>
      <c r="H387" s="612" t="s">
        <v>1665</v>
      </c>
      <c r="I387" s="663">
        <v>1975</v>
      </c>
      <c r="J387" s="663">
        <v>3</v>
      </c>
      <c r="K387" s="663">
        <f t="shared" si="5"/>
        <v>49</v>
      </c>
      <c r="L387" s="694"/>
      <c r="M387" s="704">
        <v>119</v>
      </c>
      <c r="N387" s="704">
        <v>119</v>
      </c>
      <c r="O387" s="681" t="s">
        <v>1812</v>
      </c>
      <c r="P387" s="663" t="s">
        <v>1581</v>
      </c>
      <c r="Q387" s="663">
        <v>1</v>
      </c>
      <c r="R387" s="690">
        <v>0</v>
      </c>
      <c r="S387" s="687" t="s">
        <v>1582</v>
      </c>
      <c r="T387" s="683"/>
      <c r="U387" s="683" t="s">
        <v>1965</v>
      </c>
      <c r="V387" s="690"/>
      <c r="W387" s="687">
        <v>2013</v>
      </c>
      <c r="X387" s="686">
        <v>47</v>
      </c>
      <c r="Y387" s="687" t="s">
        <v>1585</v>
      </c>
      <c r="Z387" s="663" t="s">
        <v>1596</v>
      </c>
      <c r="AA387" s="663" t="s">
        <v>1585</v>
      </c>
      <c r="AB387" s="663" t="s">
        <v>1596</v>
      </c>
      <c r="AC387" s="663" t="s">
        <v>1596</v>
      </c>
      <c r="AD387" s="663" t="s">
        <v>1585</v>
      </c>
      <c r="AE387" s="663" t="s">
        <v>1596</v>
      </c>
      <c r="AF387" s="663" t="s">
        <v>1596</v>
      </c>
      <c r="AG387" s="663" t="s">
        <v>1596</v>
      </c>
      <c r="AH387" s="663" t="s">
        <v>1585</v>
      </c>
      <c r="AI387" s="688">
        <v>54.800000000000004</v>
      </c>
      <c r="AJ387" s="689" t="s">
        <v>1588</v>
      </c>
      <c r="AK387" s="690"/>
    </row>
    <row r="388" spans="1:37" s="653" customFormat="1">
      <c r="A388" s="655">
        <v>2024</v>
      </c>
      <c r="B388" s="656" t="str">
        <f>INDEX('①基本情報 '!$C$2:$C$255,MATCH('②建物情報 '!E388,'①基本情報 '!$E$2:$E$255,0),1)</f>
        <v>159</v>
      </c>
      <c r="C388" s="657" t="str">
        <f>INDEX('①基本情報 '!$B$2:$B$255,MATCH('②建物情報 '!E388,'①基本情報 '!$E$2:$E$255,0),1)</f>
        <v>1071</v>
      </c>
      <c r="D388" s="658" t="s">
        <v>2418</v>
      </c>
      <c r="E388" s="612" t="s">
        <v>1039</v>
      </c>
      <c r="F388" s="597" t="str">
        <f>INDEX('①基本情報 '!$G$2:$G$255,MATCH('②建物情報 '!E388,'①基本情報 '!$E$2:$E$255,0),1)</f>
        <v>教育委員会教育総務部、学校教育部、生涯学習部</v>
      </c>
      <c r="G388" s="678" t="s">
        <v>1580</v>
      </c>
      <c r="H388" s="612" t="s">
        <v>1638</v>
      </c>
      <c r="I388" s="663">
        <v>1975</v>
      </c>
      <c r="J388" s="663">
        <v>5</v>
      </c>
      <c r="K388" s="663">
        <f t="shared" si="5"/>
        <v>49</v>
      </c>
      <c r="L388" s="694">
        <v>858</v>
      </c>
      <c r="M388" s="704">
        <v>1761</v>
      </c>
      <c r="N388" s="704">
        <v>1761</v>
      </c>
      <c r="O388" s="681" t="s">
        <v>1812</v>
      </c>
      <c r="P388" s="663" t="s">
        <v>1581</v>
      </c>
      <c r="Q388" s="663">
        <v>2</v>
      </c>
      <c r="R388" s="690">
        <v>0</v>
      </c>
      <c r="S388" s="687" t="s">
        <v>1582</v>
      </c>
      <c r="T388" s="663" t="s">
        <v>1583</v>
      </c>
      <c r="U388" s="683" t="s">
        <v>63</v>
      </c>
      <c r="V388" s="690">
        <v>2010</v>
      </c>
      <c r="W388" s="687">
        <v>2010</v>
      </c>
      <c r="X388" s="686">
        <v>47</v>
      </c>
      <c r="Y388" s="687" t="s">
        <v>1585</v>
      </c>
      <c r="Z388" s="663" t="s">
        <v>1585</v>
      </c>
      <c r="AA388" s="663" t="s">
        <v>1585</v>
      </c>
      <c r="AB388" s="663" t="s">
        <v>1585</v>
      </c>
      <c r="AC388" s="663" t="s">
        <v>1585</v>
      </c>
      <c r="AD388" s="663" t="s">
        <v>1596</v>
      </c>
      <c r="AE388" s="663" t="s">
        <v>1596</v>
      </c>
      <c r="AF388" s="663" t="s">
        <v>1596</v>
      </c>
      <c r="AG388" s="663" t="s">
        <v>1596</v>
      </c>
      <c r="AH388" s="663" t="s">
        <v>1585</v>
      </c>
      <c r="AI388" s="688">
        <v>63.6</v>
      </c>
      <c r="AJ388" s="689" t="s">
        <v>1588</v>
      </c>
      <c r="AK388" s="690"/>
    </row>
    <row r="389" spans="1:37" s="653" customFormat="1">
      <c r="A389" s="655">
        <v>2024</v>
      </c>
      <c r="B389" s="656" t="str">
        <f>INDEX('①基本情報 '!$C$2:$C$255,MATCH('②建物情報 '!E389,'①基本情報 '!$E$2:$E$255,0),1)</f>
        <v>159</v>
      </c>
      <c r="C389" s="657" t="str">
        <f>INDEX('①基本情報 '!$B$2:$B$255,MATCH('②建物情報 '!E389,'①基本情報 '!$E$2:$E$255,0),1)</f>
        <v>1071</v>
      </c>
      <c r="D389" s="658" t="s">
        <v>2418</v>
      </c>
      <c r="E389" s="612" t="s">
        <v>1039</v>
      </c>
      <c r="F389" s="597" t="str">
        <f>INDEX('①基本情報 '!$G$2:$G$255,MATCH('②建物情報 '!E389,'①基本情報 '!$E$2:$E$255,0),1)</f>
        <v>教育委員会教育総務部、学校教育部、生涯学習部</v>
      </c>
      <c r="G389" s="678" t="s">
        <v>1589</v>
      </c>
      <c r="H389" s="612" t="s">
        <v>1639</v>
      </c>
      <c r="I389" s="663">
        <v>1976</v>
      </c>
      <c r="J389" s="663">
        <v>5</v>
      </c>
      <c r="K389" s="663">
        <f t="shared" si="5"/>
        <v>48</v>
      </c>
      <c r="L389" s="694">
        <v>733</v>
      </c>
      <c r="M389" s="704">
        <v>1735</v>
      </c>
      <c r="N389" s="704">
        <v>1735</v>
      </c>
      <c r="O389" s="681" t="s">
        <v>1812</v>
      </c>
      <c r="P389" s="663" t="s">
        <v>1581</v>
      </c>
      <c r="Q389" s="663">
        <v>3</v>
      </c>
      <c r="R389" s="690">
        <v>0</v>
      </c>
      <c r="S389" s="687" t="s">
        <v>1582</v>
      </c>
      <c r="T389" s="663" t="s">
        <v>1583</v>
      </c>
      <c r="U389" s="663" t="s">
        <v>63</v>
      </c>
      <c r="V389" s="690">
        <v>2011</v>
      </c>
      <c r="W389" s="687">
        <v>2011</v>
      </c>
      <c r="X389" s="686">
        <v>47</v>
      </c>
      <c r="Y389" s="687" t="s">
        <v>1585</v>
      </c>
      <c r="Z389" s="663" t="s">
        <v>1585</v>
      </c>
      <c r="AA389" s="663" t="s">
        <v>1585</v>
      </c>
      <c r="AB389" s="663" t="s">
        <v>1585</v>
      </c>
      <c r="AC389" s="663" t="s">
        <v>1585</v>
      </c>
      <c r="AD389" s="663" t="s">
        <v>1596</v>
      </c>
      <c r="AE389" s="663" t="s">
        <v>1596</v>
      </c>
      <c r="AF389" s="663" t="s">
        <v>1596</v>
      </c>
      <c r="AG389" s="663" t="s">
        <v>1596</v>
      </c>
      <c r="AH389" s="663" t="s">
        <v>1585</v>
      </c>
      <c r="AI389" s="688">
        <v>62</v>
      </c>
      <c r="AJ389" s="689" t="s">
        <v>1588</v>
      </c>
      <c r="AK389" s="690"/>
    </row>
    <row r="390" spans="1:37" s="653" customFormat="1">
      <c r="A390" s="655">
        <v>2024</v>
      </c>
      <c r="B390" s="656" t="str">
        <f>INDEX('①基本情報 '!$C$2:$C$255,MATCH('②建物情報 '!E390,'①基本情報 '!$E$2:$E$255,0),1)</f>
        <v>159</v>
      </c>
      <c r="C390" s="657" t="str">
        <f>INDEX('①基本情報 '!$B$2:$B$255,MATCH('②建物情報 '!E390,'①基本情報 '!$E$2:$E$255,0),1)</f>
        <v>1071</v>
      </c>
      <c r="D390" s="658" t="s">
        <v>2418</v>
      </c>
      <c r="E390" s="612" t="s">
        <v>1039</v>
      </c>
      <c r="F390" s="597" t="str">
        <f>INDEX('①基本情報 '!$G$2:$G$255,MATCH('②建物情報 '!E390,'①基本情報 '!$E$2:$E$255,0),1)</f>
        <v>教育委員会教育総務部、学校教育部、生涯学習部</v>
      </c>
      <c r="G390" s="678" t="s">
        <v>1591</v>
      </c>
      <c r="H390" s="612" t="s">
        <v>1640</v>
      </c>
      <c r="I390" s="663">
        <v>1982</v>
      </c>
      <c r="J390" s="663">
        <v>3</v>
      </c>
      <c r="K390" s="663">
        <f t="shared" si="5"/>
        <v>42</v>
      </c>
      <c r="L390" s="694">
        <v>329</v>
      </c>
      <c r="M390" s="704">
        <v>360</v>
      </c>
      <c r="N390" s="704">
        <v>360</v>
      </c>
      <c r="O390" s="681" t="s">
        <v>1812</v>
      </c>
      <c r="P390" s="663" t="s">
        <v>1581</v>
      </c>
      <c r="Q390" s="663">
        <v>1</v>
      </c>
      <c r="R390" s="690">
        <v>0</v>
      </c>
      <c r="S390" s="687" t="s">
        <v>1593</v>
      </c>
      <c r="T390" s="683" t="s">
        <v>825</v>
      </c>
      <c r="U390" s="683" t="s">
        <v>1846</v>
      </c>
      <c r="V390" s="690"/>
      <c r="W390" s="687">
        <v>2011</v>
      </c>
      <c r="X390" s="686">
        <v>47</v>
      </c>
      <c r="Y390" s="687" t="s">
        <v>1585</v>
      </c>
      <c r="Z390" s="663" t="s">
        <v>1585</v>
      </c>
      <c r="AA390" s="663" t="s">
        <v>1585</v>
      </c>
      <c r="AB390" s="663" t="s">
        <v>1585</v>
      </c>
      <c r="AC390" s="663" t="s">
        <v>1585</v>
      </c>
      <c r="AD390" s="663" t="s">
        <v>1596</v>
      </c>
      <c r="AE390" s="663" t="s">
        <v>1596</v>
      </c>
      <c r="AF390" s="663" t="s">
        <v>1596</v>
      </c>
      <c r="AG390" s="663" t="s">
        <v>1596</v>
      </c>
      <c r="AH390" s="663" t="s">
        <v>1585</v>
      </c>
      <c r="AI390" s="688">
        <v>59.599999999999994</v>
      </c>
      <c r="AJ390" s="689" t="s">
        <v>1588</v>
      </c>
      <c r="AK390" s="690"/>
    </row>
    <row r="391" spans="1:37" s="653" customFormat="1">
      <c r="A391" s="655">
        <v>2024</v>
      </c>
      <c r="B391" s="656" t="str">
        <f>INDEX('①基本情報 '!$C$2:$C$255,MATCH('②建物情報 '!E391,'①基本情報 '!$E$2:$E$255,0),1)</f>
        <v>160</v>
      </c>
      <c r="C391" s="657" t="str">
        <f>INDEX('①基本情報 '!$B$2:$B$255,MATCH('②建物情報 '!E391,'①基本情報 '!$E$2:$E$255,0),1)</f>
        <v>1079</v>
      </c>
      <c r="D391" s="658" t="s">
        <v>2418</v>
      </c>
      <c r="E391" s="612" t="s">
        <v>1045</v>
      </c>
      <c r="F391" s="611" t="str">
        <f>INDEX('①基本情報 '!$G$2:$G$255,MATCH('②建物情報 '!E391,'①基本情報 '!$E$2:$E$255,0),1)</f>
        <v>教育委員会学校教育部学校給食センター</v>
      </c>
      <c r="G391" s="678" t="s">
        <v>1580</v>
      </c>
      <c r="H391" s="612" t="s">
        <v>1666</v>
      </c>
      <c r="I391" s="663">
        <v>1999</v>
      </c>
      <c r="J391" s="663">
        <v>3</v>
      </c>
      <c r="K391" s="663">
        <f t="shared" si="5"/>
        <v>25</v>
      </c>
      <c r="L391" s="679">
        <v>1319.72</v>
      </c>
      <c r="M391" s="695">
        <v>1608.53</v>
      </c>
      <c r="N391" s="695">
        <v>1608.53</v>
      </c>
      <c r="O391" s="681" t="s">
        <v>1812</v>
      </c>
      <c r="P391" s="259" t="s">
        <v>1603</v>
      </c>
      <c r="Q391" s="259">
        <v>2</v>
      </c>
      <c r="R391" s="260">
        <v>0</v>
      </c>
      <c r="S391" s="682" t="s">
        <v>1593</v>
      </c>
      <c r="T391" s="683" t="s">
        <v>825</v>
      </c>
      <c r="U391" s="683" t="s">
        <v>63</v>
      </c>
      <c r="V391" s="684"/>
      <c r="W391" s="685"/>
      <c r="X391" s="702">
        <v>31</v>
      </c>
      <c r="Y391" s="687" t="s">
        <v>1596</v>
      </c>
      <c r="Z391" s="663" t="s">
        <v>1586</v>
      </c>
      <c r="AA391" s="663" t="s">
        <v>1586</v>
      </c>
      <c r="AB391" s="663" t="s">
        <v>1587</v>
      </c>
      <c r="AC391" s="663" t="s">
        <v>1587</v>
      </c>
      <c r="AD391" s="663" t="s">
        <v>1587</v>
      </c>
      <c r="AE391" s="663" t="s">
        <v>1585</v>
      </c>
      <c r="AF391" s="663" t="s">
        <v>825</v>
      </c>
      <c r="AG391" s="663" t="s">
        <v>825</v>
      </c>
      <c r="AH391" s="663" t="s">
        <v>1585</v>
      </c>
      <c r="AI391" s="688">
        <v>50.769230769230766</v>
      </c>
      <c r="AJ391" s="689" t="s">
        <v>1588</v>
      </c>
      <c r="AK391" s="690"/>
    </row>
    <row r="392" spans="1:37" s="653" customFormat="1">
      <c r="A392" s="655">
        <v>2024</v>
      </c>
      <c r="B392" s="656" t="str">
        <f>INDEX('①基本情報 '!$C$2:$C$255,MATCH('②建物情報 '!E392,'①基本情報 '!$E$2:$E$255,0),1)</f>
        <v>160</v>
      </c>
      <c r="C392" s="657" t="str">
        <f>INDEX('①基本情報 '!$B$2:$B$255,MATCH('②建物情報 '!E392,'①基本情報 '!$E$2:$E$255,0),1)</f>
        <v>1079</v>
      </c>
      <c r="D392" s="261" t="s">
        <v>2418</v>
      </c>
      <c r="E392" s="262" t="s">
        <v>1045</v>
      </c>
      <c r="F392" s="263" t="str">
        <f>INDEX('①基本情報 '!$G$2:$G$255,MATCH('②建物情報 '!E392,'①基本情報 '!$E$2:$E$255,0),1)</f>
        <v>教育委員会学校教育部学校給食センター</v>
      </c>
      <c r="G392" s="264" t="s">
        <v>1589</v>
      </c>
      <c r="H392" s="262" t="s">
        <v>1667</v>
      </c>
      <c r="I392" s="265">
        <v>1999</v>
      </c>
      <c r="J392" s="265">
        <v>3</v>
      </c>
      <c r="K392" s="265">
        <f t="shared" ref="K392:K456" si="6">IF(I392&lt;&gt;"",A392-I392,99)</f>
        <v>25</v>
      </c>
      <c r="L392" s="266">
        <v>37.5</v>
      </c>
      <c r="M392" s="279">
        <v>14.56</v>
      </c>
      <c r="N392" s="279">
        <v>14.56</v>
      </c>
      <c r="O392" s="268" t="s">
        <v>1812</v>
      </c>
      <c r="P392" s="269" t="s">
        <v>1603</v>
      </c>
      <c r="Q392" s="269">
        <v>1</v>
      </c>
      <c r="R392" s="270">
        <v>0</v>
      </c>
      <c r="S392" s="271" t="s">
        <v>1593</v>
      </c>
      <c r="T392" s="272" t="s">
        <v>825</v>
      </c>
      <c r="U392" s="272" t="s">
        <v>63</v>
      </c>
      <c r="V392" s="273"/>
      <c r="W392" s="274"/>
      <c r="X392" s="291">
        <v>31</v>
      </c>
      <c r="Y392" s="276" t="s">
        <v>825</v>
      </c>
      <c r="Z392" s="265" t="s">
        <v>825</v>
      </c>
      <c r="AA392" s="265" t="s">
        <v>825</v>
      </c>
      <c r="AB392" s="265" t="s">
        <v>825</v>
      </c>
      <c r="AC392" s="265" t="s">
        <v>825</v>
      </c>
      <c r="AD392" s="265" t="s">
        <v>825</v>
      </c>
      <c r="AE392" s="265" t="s">
        <v>825</v>
      </c>
      <c r="AF392" s="265" t="s">
        <v>825</v>
      </c>
      <c r="AG392" s="265" t="s">
        <v>825</v>
      </c>
      <c r="AH392" s="265" t="s">
        <v>825</v>
      </c>
      <c r="AI392" s="277" t="s">
        <v>825</v>
      </c>
      <c r="AJ392" s="278" t="s">
        <v>1606</v>
      </c>
      <c r="AK392" s="693" t="s">
        <v>2330</v>
      </c>
    </row>
    <row r="393" spans="1:37" s="653" customFormat="1">
      <c r="A393" s="655">
        <v>2024</v>
      </c>
      <c r="B393" s="656" t="str">
        <f>INDEX('①基本情報 '!$C$2:$C$255,MATCH('②建物情報 '!E393,'①基本情報 '!$E$2:$E$255,0),1)</f>
        <v>160</v>
      </c>
      <c r="C393" s="657" t="str">
        <f>INDEX('①基本情報 '!$B$2:$B$255,MATCH('②建物情報 '!E393,'①基本情報 '!$E$2:$E$255,0),1)</f>
        <v>1079</v>
      </c>
      <c r="D393" s="261" t="s">
        <v>2418</v>
      </c>
      <c r="E393" s="262" t="s">
        <v>1045</v>
      </c>
      <c r="F393" s="263" t="str">
        <f>INDEX('①基本情報 '!$G$2:$G$255,MATCH('②建物情報 '!E393,'①基本情報 '!$E$2:$E$255,0),1)</f>
        <v>教育委員会学校教育部学校給食センター</v>
      </c>
      <c r="G393" s="264" t="s">
        <v>1591</v>
      </c>
      <c r="H393" s="262" t="s">
        <v>1668</v>
      </c>
      <c r="I393" s="265">
        <v>1999</v>
      </c>
      <c r="J393" s="265">
        <v>3</v>
      </c>
      <c r="K393" s="265">
        <f t="shared" si="6"/>
        <v>25</v>
      </c>
      <c r="L393" s="266">
        <v>35.200000000000003</v>
      </c>
      <c r="M393" s="279">
        <v>35.200000000000003</v>
      </c>
      <c r="N393" s="279">
        <v>35.200000000000003</v>
      </c>
      <c r="O393" s="268" t="s">
        <v>1812</v>
      </c>
      <c r="P393" s="269" t="s">
        <v>1603</v>
      </c>
      <c r="Q393" s="269">
        <v>1</v>
      </c>
      <c r="R393" s="270">
        <v>0</v>
      </c>
      <c r="S393" s="271" t="s">
        <v>1593</v>
      </c>
      <c r="T393" s="272" t="s">
        <v>825</v>
      </c>
      <c r="U393" s="272" t="s">
        <v>63</v>
      </c>
      <c r="V393" s="273"/>
      <c r="W393" s="274"/>
      <c r="X393" s="291">
        <v>31</v>
      </c>
      <c r="Y393" s="276" t="s">
        <v>825</v>
      </c>
      <c r="Z393" s="265" t="s">
        <v>825</v>
      </c>
      <c r="AA393" s="265" t="s">
        <v>825</v>
      </c>
      <c r="AB393" s="265" t="s">
        <v>825</v>
      </c>
      <c r="AC393" s="265" t="s">
        <v>825</v>
      </c>
      <c r="AD393" s="265" t="s">
        <v>825</v>
      </c>
      <c r="AE393" s="265" t="s">
        <v>825</v>
      </c>
      <c r="AF393" s="265" t="s">
        <v>825</v>
      </c>
      <c r="AG393" s="265" t="s">
        <v>825</v>
      </c>
      <c r="AH393" s="265" t="s">
        <v>825</v>
      </c>
      <c r="AI393" s="277" t="s">
        <v>825</v>
      </c>
      <c r="AJ393" s="278" t="s">
        <v>1604</v>
      </c>
      <c r="AK393" s="696" t="s">
        <v>2332</v>
      </c>
    </row>
    <row r="394" spans="1:37" s="653" customFormat="1">
      <c r="A394" s="655">
        <v>2024</v>
      </c>
      <c r="B394" s="656" t="str">
        <f>INDEX('①基本情報 '!$C$2:$C$255,MATCH('②建物情報 '!E394,'①基本情報 '!$E$2:$E$255,0),1)</f>
        <v>160</v>
      </c>
      <c r="C394" s="657" t="str">
        <f>INDEX('①基本情報 '!$B$2:$B$255,MATCH('②建物情報 '!E394,'①基本情報 '!$E$2:$E$255,0),1)</f>
        <v>1079</v>
      </c>
      <c r="D394" s="261" t="s">
        <v>2418</v>
      </c>
      <c r="E394" s="262" t="s">
        <v>1045</v>
      </c>
      <c r="F394" s="263" t="str">
        <f>INDEX('①基本情報 '!$G$2:$G$255,MATCH('②建物情報 '!E394,'①基本情報 '!$E$2:$E$255,0),1)</f>
        <v>教育委員会学校教育部学校給食センター</v>
      </c>
      <c r="G394" s="264" t="s">
        <v>1601</v>
      </c>
      <c r="H394" s="262" t="s">
        <v>1669</v>
      </c>
      <c r="I394" s="265">
        <v>1999</v>
      </c>
      <c r="J394" s="265">
        <v>3</v>
      </c>
      <c r="K394" s="265">
        <f t="shared" si="6"/>
        <v>25</v>
      </c>
      <c r="L394" s="266">
        <v>46.04</v>
      </c>
      <c r="M394" s="279">
        <v>46.04</v>
      </c>
      <c r="N394" s="279">
        <v>46.04</v>
      </c>
      <c r="O394" s="268" t="s">
        <v>1812</v>
      </c>
      <c r="P394" s="269" t="s">
        <v>1603</v>
      </c>
      <c r="Q394" s="269">
        <v>1</v>
      </c>
      <c r="R394" s="270">
        <v>0</v>
      </c>
      <c r="S394" s="271" t="s">
        <v>1593</v>
      </c>
      <c r="T394" s="272" t="s">
        <v>825</v>
      </c>
      <c r="U394" s="272" t="s">
        <v>63</v>
      </c>
      <c r="V394" s="273"/>
      <c r="W394" s="274"/>
      <c r="X394" s="291">
        <v>41</v>
      </c>
      <c r="Y394" s="276" t="s">
        <v>825</v>
      </c>
      <c r="Z394" s="265" t="s">
        <v>825</v>
      </c>
      <c r="AA394" s="265" t="s">
        <v>825</v>
      </c>
      <c r="AB394" s="265" t="s">
        <v>825</v>
      </c>
      <c r="AC394" s="265" t="s">
        <v>825</v>
      </c>
      <c r="AD394" s="265" t="s">
        <v>825</v>
      </c>
      <c r="AE394" s="265" t="s">
        <v>825</v>
      </c>
      <c r="AF394" s="265" t="s">
        <v>825</v>
      </c>
      <c r="AG394" s="265" t="s">
        <v>825</v>
      </c>
      <c r="AH394" s="265" t="s">
        <v>825</v>
      </c>
      <c r="AI394" s="277" t="s">
        <v>825</v>
      </c>
      <c r="AJ394" s="278" t="s">
        <v>1604</v>
      </c>
      <c r="AK394" s="696" t="s">
        <v>2332</v>
      </c>
    </row>
    <row r="395" spans="1:37" s="653" customFormat="1">
      <c r="A395" s="655">
        <v>2024</v>
      </c>
      <c r="B395" s="656" t="str">
        <f>INDEX('①基本情報 '!$C$2:$C$255,MATCH('②建物情報 '!E395,'①基本情報 '!$E$2:$E$255,0),1)</f>
        <v>160</v>
      </c>
      <c r="C395" s="657" t="str">
        <f>INDEX('①基本情報 '!$B$2:$B$255,MATCH('②建物情報 '!E395,'①基本情報 '!$E$2:$E$255,0),1)</f>
        <v>1079</v>
      </c>
      <c r="D395" s="261" t="s">
        <v>2418</v>
      </c>
      <c r="E395" s="262" t="s">
        <v>1045</v>
      </c>
      <c r="F395" s="263" t="str">
        <f>INDEX('①基本情報 '!$G$2:$G$255,MATCH('②建物情報 '!E395,'①基本情報 '!$E$2:$E$255,0),1)</f>
        <v>教育委員会学校教育部学校給食センター</v>
      </c>
      <c r="G395" s="264" t="s">
        <v>1620</v>
      </c>
      <c r="H395" s="262" t="s">
        <v>1670</v>
      </c>
      <c r="I395" s="265">
        <v>1999</v>
      </c>
      <c r="J395" s="265">
        <v>3</v>
      </c>
      <c r="K395" s="265">
        <f t="shared" si="6"/>
        <v>25</v>
      </c>
      <c r="L395" s="266">
        <v>8.61</v>
      </c>
      <c r="M395" s="279">
        <v>8.61</v>
      </c>
      <c r="N395" s="279">
        <v>8.61</v>
      </c>
      <c r="O395" s="268" t="s">
        <v>1812</v>
      </c>
      <c r="P395" s="269" t="s">
        <v>1596</v>
      </c>
      <c r="Q395" s="269">
        <v>1</v>
      </c>
      <c r="R395" s="270">
        <v>0</v>
      </c>
      <c r="S395" s="271" t="s">
        <v>1593</v>
      </c>
      <c r="T395" s="272" t="s">
        <v>825</v>
      </c>
      <c r="U395" s="272" t="s">
        <v>63</v>
      </c>
      <c r="V395" s="273"/>
      <c r="W395" s="274"/>
      <c r="X395" s="275">
        <v>38</v>
      </c>
      <c r="Y395" s="276" t="s">
        <v>825</v>
      </c>
      <c r="Z395" s="265" t="s">
        <v>825</v>
      </c>
      <c r="AA395" s="265" t="s">
        <v>825</v>
      </c>
      <c r="AB395" s="265" t="s">
        <v>825</v>
      </c>
      <c r="AC395" s="265" t="s">
        <v>825</v>
      </c>
      <c r="AD395" s="265" t="s">
        <v>825</v>
      </c>
      <c r="AE395" s="265" t="s">
        <v>825</v>
      </c>
      <c r="AF395" s="265" t="s">
        <v>825</v>
      </c>
      <c r="AG395" s="265" t="s">
        <v>825</v>
      </c>
      <c r="AH395" s="265" t="s">
        <v>825</v>
      </c>
      <c r="AI395" s="277" t="s">
        <v>825</v>
      </c>
      <c r="AJ395" s="278" t="s">
        <v>1604</v>
      </c>
      <c r="AK395" s="696" t="s">
        <v>2332</v>
      </c>
    </row>
    <row r="396" spans="1:37" s="653" customFormat="1">
      <c r="A396" s="655">
        <v>2024</v>
      </c>
      <c r="B396" s="656" t="str">
        <f>INDEX('①基本情報 '!$C$2:$C$255,MATCH('②建物情報 '!E396,'①基本情報 '!$E$2:$E$255,0),1)</f>
        <v>160</v>
      </c>
      <c r="C396" s="657" t="str">
        <f>INDEX('①基本情報 '!$B$2:$B$255,MATCH('②建物情報 '!E396,'①基本情報 '!$E$2:$E$255,0),1)</f>
        <v>1079</v>
      </c>
      <c r="D396" s="658" t="s">
        <v>2418</v>
      </c>
      <c r="E396" s="612" t="s">
        <v>1045</v>
      </c>
      <c r="F396" s="611" t="str">
        <f>INDEX('①基本情報 '!$G$2:$G$255,MATCH('②建物情報 '!E396,'①基本情報 '!$E$2:$E$255,0),1)</f>
        <v>教育委員会学校教育部学校給食センター</v>
      </c>
      <c r="G396" s="678" t="s">
        <v>1643</v>
      </c>
      <c r="H396" s="612" t="s">
        <v>1671</v>
      </c>
      <c r="I396" s="663">
        <v>1976</v>
      </c>
      <c r="J396" s="663">
        <v>9</v>
      </c>
      <c r="K396" s="663">
        <f t="shared" si="6"/>
        <v>48</v>
      </c>
      <c r="L396" s="679">
        <v>1019.1</v>
      </c>
      <c r="M396" s="695">
        <v>1130.8900000000001</v>
      </c>
      <c r="N396" s="695">
        <v>1130.8900000000001</v>
      </c>
      <c r="O396" s="681" t="s">
        <v>1812</v>
      </c>
      <c r="P396" s="259" t="s">
        <v>1603</v>
      </c>
      <c r="Q396" s="259">
        <v>2</v>
      </c>
      <c r="R396" s="260">
        <v>0</v>
      </c>
      <c r="S396" s="682" t="s">
        <v>1582</v>
      </c>
      <c r="T396" s="683"/>
      <c r="U396" s="683" t="s">
        <v>1584</v>
      </c>
      <c r="V396" s="684"/>
      <c r="W396" s="685">
        <v>2000</v>
      </c>
      <c r="X396" s="702">
        <v>31</v>
      </c>
      <c r="Y396" s="687" t="s">
        <v>1596</v>
      </c>
      <c r="Z396" s="663" t="s">
        <v>1585</v>
      </c>
      <c r="AA396" s="663" t="s">
        <v>1586</v>
      </c>
      <c r="AB396" s="663" t="s">
        <v>825</v>
      </c>
      <c r="AC396" s="663" t="s">
        <v>1587</v>
      </c>
      <c r="AD396" s="663" t="s">
        <v>1587</v>
      </c>
      <c r="AE396" s="663" t="s">
        <v>1585</v>
      </c>
      <c r="AF396" s="663" t="s">
        <v>825</v>
      </c>
      <c r="AG396" s="663" t="s">
        <v>825</v>
      </c>
      <c r="AH396" s="663" t="s">
        <v>1585</v>
      </c>
      <c r="AI396" s="688">
        <v>54.285714285714292</v>
      </c>
      <c r="AJ396" s="689" t="s">
        <v>1588</v>
      </c>
      <c r="AK396" s="690"/>
    </row>
    <row r="397" spans="1:37" s="653" customFormat="1">
      <c r="A397" s="655">
        <v>2024</v>
      </c>
      <c r="B397" s="656" t="str">
        <f>INDEX('①基本情報 '!$C$2:$C$255,MATCH('②建物情報 '!E397,'①基本情報 '!$E$2:$E$255,0),1)</f>
        <v>160</v>
      </c>
      <c r="C397" s="657" t="str">
        <f>INDEX('①基本情報 '!$B$2:$B$255,MATCH('②建物情報 '!E397,'①基本情報 '!$E$2:$E$255,0),1)</f>
        <v>1079</v>
      </c>
      <c r="D397" s="261" t="s">
        <v>2418</v>
      </c>
      <c r="E397" s="262" t="s">
        <v>1045</v>
      </c>
      <c r="F397" s="263" t="str">
        <f>INDEX('①基本情報 '!$G$2:$G$255,MATCH('②建物情報 '!E397,'①基本情報 '!$E$2:$E$255,0),1)</f>
        <v>教育委員会学校教育部学校給食センター</v>
      </c>
      <c r="G397" s="264" t="s">
        <v>1645</v>
      </c>
      <c r="H397" s="262" t="s">
        <v>1672</v>
      </c>
      <c r="I397" s="265">
        <v>2000</v>
      </c>
      <c r="J397" s="265">
        <v>1</v>
      </c>
      <c r="K397" s="265">
        <f t="shared" si="6"/>
        <v>24</v>
      </c>
      <c r="L397" s="266">
        <v>161.16999999999999</v>
      </c>
      <c r="M397" s="279">
        <v>37.5</v>
      </c>
      <c r="N397" s="279">
        <v>37.5</v>
      </c>
      <c r="O397" s="268" t="s">
        <v>1812</v>
      </c>
      <c r="P397" s="269" t="s">
        <v>1603</v>
      </c>
      <c r="Q397" s="269">
        <v>1</v>
      </c>
      <c r="R397" s="270">
        <v>0</v>
      </c>
      <c r="S397" s="271" t="s">
        <v>1593</v>
      </c>
      <c r="T397" s="272" t="s">
        <v>825</v>
      </c>
      <c r="U397" s="272" t="s">
        <v>63</v>
      </c>
      <c r="V397" s="273"/>
      <c r="W397" s="274"/>
      <c r="X397" s="291"/>
      <c r="Y397" s="276" t="s">
        <v>825</v>
      </c>
      <c r="Z397" s="265" t="s">
        <v>825</v>
      </c>
      <c r="AA397" s="265" t="s">
        <v>825</v>
      </c>
      <c r="AB397" s="265" t="s">
        <v>825</v>
      </c>
      <c r="AC397" s="265" t="s">
        <v>825</v>
      </c>
      <c r="AD397" s="265" t="s">
        <v>825</v>
      </c>
      <c r="AE397" s="265" t="s">
        <v>825</v>
      </c>
      <c r="AF397" s="265" t="s">
        <v>825</v>
      </c>
      <c r="AG397" s="265" t="s">
        <v>825</v>
      </c>
      <c r="AH397" s="265" t="s">
        <v>825</v>
      </c>
      <c r="AI397" s="277" t="s">
        <v>825</v>
      </c>
      <c r="AJ397" s="278" t="s">
        <v>1606</v>
      </c>
      <c r="AK397" s="693" t="s">
        <v>2330</v>
      </c>
    </row>
    <row r="398" spans="1:37" s="653" customFormat="1">
      <c r="A398" s="655">
        <v>2024</v>
      </c>
      <c r="B398" s="656" t="str">
        <f>INDEX('①基本情報 '!$C$2:$C$255,MATCH('②建物情報 '!E398,'①基本情報 '!$E$2:$E$255,0),1)</f>
        <v>160</v>
      </c>
      <c r="C398" s="657" t="str">
        <f>INDEX('①基本情報 '!$B$2:$B$255,MATCH('②建物情報 '!E398,'①基本情報 '!$E$2:$E$255,0),1)</f>
        <v>1079</v>
      </c>
      <c r="D398" s="658" t="s">
        <v>2418</v>
      </c>
      <c r="E398" s="612" t="s">
        <v>1045</v>
      </c>
      <c r="F398" s="611" t="str">
        <f>INDEX('①基本情報 '!$G$2:$G$255,MATCH('②建物情報 '!E398,'①基本情報 '!$E$2:$E$255,0),1)</f>
        <v>教育委員会学校教育部学校給食センター</v>
      </c>
      <c r="G398" s="678" t="s">
        <v>1646</v>
      </c>
      <c r="H398" s="612" t="s">
        <v>1671</v>
      </c>
      <c r="I398" s="663">
        <v>2000</v>
      </c>
      <c r="J398" s="663">
        <v>1</v>
      </c>
      <c r="K398" s="663">
        <f t="shared" si="6"/>
        <v>24</v>
      </c>
      <c r="L398" s="679">
        <v>14.56</v>
      </c>
      <c r="M398" s="695">
        <v>267.49</v>
      </c>
      <c r="N398" s="695">
        <v>267.49</v>
      </c>
      <c r="O398" s="681" t="s">
        <v>1812</v>
      </c>
      <c r="P398" s="259" t="s">
        <v>1603</v>
      </c>
      <c r="Q398" s="259">
        <v>1</v>
      </c>
      <c r="R398" s="260">
        <v>0</v>
      </c>
      <c r="S398" s="682" t="s">
        <v>1593</v>
      </c>
      <c r="T398" s="683" t="s">
        <v>825</v>
      </c>
      <c r="U398" s="683" t="s">
        <v>63</v>
      </c>
      <c r="V398" s="684"/>
      <c r="W398" s="685">
        <v>2000</v>
      </c>
      <c r="X398" s="702">
        <v>31</v>
      </c>
      <c r="Y398" s="687" t="s">
        <v>1596</v>
      </c>
      <c r="Z398" s="663" t="s">
        <v>1585</v>
      </c>
      <c r="AA398" s="663" t="s">
        <v>1586</v>
      </c>
      <c r="AB398" s="663" t="s">
        <v>825</v>
      </c>
      <c r="AC398" s="663" t="s">
        <v>1587</v>
      </c>
      <c r="AD398" s="663" t="s">
        <v>1587</v>
      </c>
      <c r="AE398" s="663" t="s">
        <v>1585</v>
      </c>
      <c r="AF398" s="663" t="s">
        <v>825</v>
      </c>
      <c r="AG398" s="663" t="s">
        <v>825</v>
      </c>
      <c r="AH398" s="663" t="s">
        <v>1585</v>
      </c>
      <c r="AI398" s="688">
        <v>54.285714285714292</v>
      </c>
      <c r="AJ398" s="689" t="s">
        <v>1588</v>
      </c>
      <c r="AK398" s="690"/>
    </row>
    <row r="399" spans="1:37" s="653" customFormat="1">
      <c r="A399" s="655">
        <v>2024</v>
      </c>
      <c r="B399" s="656" t="str">
        <f>INDEX('①基本情報 '!$C$2:$C$255,MATCH('②建物情報 '!E399,'①基本情報 '!$E$2:$E$255,0),1)</f>
        <v>160</v>
      </c>
      <c r="C399" s="657" t="str">
        <f>INDEX('①基本情報 '!$B$2:$B$255,MATCH('②建物情報 '!E399,'①基本情報 '!$E$2:$E$255,0),1)</f>
        <v>1079</v>
      </c>
      <c r="D399" s="261" t="s">
        <v>2418</v>
      </c>
      <c r="E399" s="262" t="s">
        <v>1045</v>
      </c>
      <c r="F399" s="263" t="str">
        <f>INDEX('①基本情報 '!$G$2:$G$255,MATCH('②建物情報 '!E399,'①基本情報 '!$E$2:$E$255,0),1)</f>
        <v>教育委員会学校教育部学校給食センター</v>
      </c>
      <c r="G399" s="264" t="s">
        <v>1647</v>
      </c>
      <c r="H399" s="262" t="s">
        <v>1673</v>
      </c>
      <c r="I399" s="265">
        <v>2000</v>
      </c>
      <c r="J399" s="265">
        <v>1</v>
      </c>
      <c r="K399" s="265">
        <f t="shared" si="6"/>
        <v>24</v>
      </c>
      <c r="L399" s="266">
        <v>35.200000000000003</v>
      </c>
      <c r="M399" s="279">
        <v>35.200000000000003</v>
      </c>
      <c r="N399" s="279">
        <v>35.200000000000003</v>
      </c>
      <c r="O399" s="268" t="s">
        <v>1812</v>
      </c>
      <c r="P399" s="269" t="s">
        <v>1603</v>
      </c>
      <c r="Q399" s="269">
        <v>1</v>
      </c>
      <c r="R399" s="270">
        <v>0</v>
      </c>
      <c r="S399" s="271" t="s">
        <v>1593</v>
      </c>
      <c r="T399" s="272" t="s">
        <v>825</v>
      </c>
      <c r="U399" s="272" t="s">
        <v>63</v>
      </c>
      <c r="V399" s="273"/>
      <c r="W399" s="274"/>
      <c r="X399" s="291"/>
      <c r="Y399" s="276" t="s">
        <v>825</v>
      </c>
      <c r="Z399" s="265" t="s">
        <v>825</v>
      </c>
      <c r="AA399" s="265" t="s">
        <v>825</v>
      </c>
      <c r="AB399" s="265" t="s">
        <v>825</v>
      </c>
      <c r="AC399" s="265" t="s">
        <v>825</v>
      </c>
      <c r="AD399" s="265" t="s">
        <v>825</v>
      </c>
      <c r="AE399" s="265" t="s">
        <v>825</v>
      </c>
      <c r="AF399" s="265" t="s">
        <v>825</v>
      </c>
      <c r="AG399" s="265" t="s">
        <v>825</v>
      </c>
      <c r="AH399" s="265" t="s">
        <v>825</v>
      </c>
      <c r="AI399" s="277" t="s">
        <v>825</v>
      </c>
      <c r="AJ399" s="278" t="s">
        <v>1604</v>
      </c>
      <c r="AK399" s="696" t="s">
        <v>2332</v>
      </c>
    </row>
    <row r="400" spans="1:37" s="653" customFormat="1">
      <c r="A400" s="655">
        <v>2024</v>
      </c>
      <c r="B400" s="656" t="str">
        <f>INDEX('①基本情報 '!$C$2:$C$255,MATCH('②建物情報 '!E400,'①基本情報 '!$E$2:$E$255,0),1)</f>
        <v>160</v>
      </c>
      <c r="C400" s="657" t="str">
        <f>INDEX('①基本情報 '!$B$2:$B$255,MATCH('②建物情報 '!E400,'①基本情報 '!$E$2:$E$255,0),1)</f>
        <v>1079</v>
      </c>
      <c r="D400" s="261" t="s">
        <v>2418</v>
      </c>
      <c r="E400" s="262" t="s">
        <v>1045</v>
      </c>
      <c r="F400" s="263" t="str">
        <f>INDEX('①基本情報 '!$G$2:$G$255,MATCH('②建物情報 '!E400,'①基本情報 '!$E$2:$E$255,0),1)</f>
        <v>教育委員会学校教育部学校給食センター</v>
      </c>
      <c r="G400" s="264" t="s">
        <v>162</v>
      </c>
      <c r="H400" s="262" t="s">
        <v>1674</v>
      </c>
      <c r="I400" s="265">
        <v>2000</v>
      </c>
      <c r="J400" s="265">
        <v>1</v>
      </c>
      <c r="K400" s="265">
        <f t="shared" si="6"/>
        <v>24</v>
      </c>
      <c r="L400" s="266"/>
      <c r="M400" s="279">
        <v>5</v>
      </c>
      <c r="N400" s="279">
        <v>5</v>
      </c>
      <c r="O400" s="268" t="s">
        <v>1812</v>
      </c>
      <c r="P400" s="269" t="s">
        <v>1603</v>
      </c>
      <c r="Q400" s="269">
        <v>1</v>
      </c>
      <c r="R400" s="270">
        <v>0</v>
      </c>
      <c r="S400" s="271" t="s">
        <v>1593</v>
      </c>
      <c r="T400" s="272" t="s">
        <v>825</v>
      </c>
      <c r="U400" s="272" t="s">
        <v>63</v>
      </c>
      <c r="V400" s="273"/>
      <c r="W400" s="274"/>
      <c r="X400" s="291"/>
      <c r="Y400" s="276" t="s">
        <v>825</v>
      </c>
      <c r="Z400" s="265" t="s">
        <v>825</v>
      </c>
      <c r="AA400" s="265" t="s">
        <v>825</v>
      </c>
      <c r="AB400" s="265" t="s">
        <v>825</v>
      </c>
      <c r="AC400" s="265" t="s">
        <v>825</v>
      </c>
      <c r="AD400" s="265" t="s">
        <v>825</v>
      </c>
      <c r="AE400" s="265" t="s">
        <v>825</v>
      </c>
      <c r="AF400" s="265" t="s">
        <v>825</v>
      </c>
      <c r="AG400" s="265" t="s">
        <v>825</v>
      </c>
      <c r="AH400" s="265" t="s">
        <v>825</v>
      </c>
      <c r="AI400" s="277" t="s">
        <v>825</v>
      </c>
      <c r="AJ400" s="278" t="s">
        <v>1604</v>
      </c>
      <c r="AK400" s="696" t="s">
        <v>2332</v>
      </c>
    </row>
    <row r="401" spans="1:37" s="653" customFormat="1">
      <c r="A401" s="655">
        <v>2024</v>
      </c>
      <c r="B401" s="656" t="str">
        <f>INDEX('①基本情報 '!$C$2:$C$255,MATCH('②建物情報 '!E401,'①基本情報 '!$E$2:$E$255,0),1)</f>
        <v>161</v>
      </c>
      <c r="C401" s="657" t="str">
        <f>INDEX('①基本情報 '!$B$2:$B$255,MATCH('②建物情報 '!E401,'①基本情報 '!$E$2:$E$255,0),1)</f>
        <v>1081</v>
      </c>
      <c r="D401" s="658" t="s">
        <v>2418</v>
      </c>
      <c r="E401" s="612" t="s">
        <v>2149</v>
      </c>
      <c r="F401" s="597" t="str">
        <f>INDEX('①基本情報 '!$G$2:$G$255,MATCH('②建物情報 '!E401,'①基本情報 '!$E$2:$E$255,0),1)</f>
        <v>教育委員会学校教育部中学校給食センター</v>
      </c>
      <c r="G401" s="678" t="s">
        <v>1944</v>
      </c>
      <c r="H401" s="612" t="s">
        <v>2150</v>
      </c>
      <c r="I401" s="663">
        <v>2017</v>
      </c>
      <c r="J401" s="663">
        <v>3</v>
      </c>
      <c r="K401" s="663">
        <f t="shared" si="6"/>
        <v>7</v>
      </c>
      <c r="L401" s="679">
        <v>2000.58</v>
      </c>
      <c r="M401" s="695">
        <v>2813.28</v>
      </c>
      <c r="N401" s="695">
        <v>2813.28</v>
      </c>
      <c r="O401" s="681" t="s">
        <v>1812</v>
      </c>
      <c r="P401" s="259" t="s">
        <v>1942</v>
      </c>
      <c r="Q401" s="259">
        <v>2</v>
      </c>
      <c r="R401" s="260">
        <v>0</v>
      </c>
      <c r="S401" s="682" t="s">
        <v>1927</v>
      </c>
      <c r="T401" s="683" t="s">
        <v>1966</v>
      </c>
      <c r="U401" s="683" t="s">
        <v>1846</v>
      </c>
      <c r="V401" s="684"/>
      <c r="W401" s="685"/>
      <c r="X401" s="702"/>
      <c r="Y401" s="687" t="s">
        <v>1587</v>
      </c>
      <c r="Z401" s="663" t="s">
        <v>1587</v>
      </c>
      <c r="AA401" s="663" t="s">
        <v>1596</v>
      </c>
      <c r="AB401" s="663" t="s">
        <v>1587</v>
      </c>
      <c r="AC401" s="663" t="s">
        <v>1596</v>
      </c>
      <c r="AD401" s="663" t="s">
        <v>1596</v>
      </c>
      <c r="AE401" s="663" t="s">
        <v>1587</v>
      </c>
      <c r="AF401" s="663" t="s">
        <v>825</v>
      </c>
      <c r="AG401" s="663" t="s">
        <v>825</v>
      </c>
      <c r="AH401" s="663" t="s">
        <v>1587</v>
      </c>
      <c r="AI401" s="688">
        <v>23.902439024390244</v>
      </c>
      <c r="AJ401" s="689" t="s">
        <v>2123</v>
      </c>
      <c r="AK401" s="690"/>
    </row>
    <row r="402" spans="1:37" s="653" customFormat="1">
      <c r="A402" s="655">
        <v>2024</v>
      </c>
      <c r="B402" s="656" t="str">
        <f>INDEX('①基本情報 '!$C$2:$C$255,MATCH('②建物情報 '!E402,'①基本情報 '!$E$2:$E$255,0),1)</f>
        <v>162</v>
      </c>
      <c r="C402" s="657" t="str">
        <f>INDEX('①基本情報 '!$B$2:$B$255,MATCH('②建物情報 '!E402,'①基本情報 '!$E$2:$E$255,0),1)</f>
        <v>0301</v>
      </c>
      <c r="D402" s="658" t="s">
        <v>2418</v>
      </c>
      <c r="E402" s="612" t="s">
        <v>1056</v>
      </c>
      <c r="F402" s="611" t="str">
        <f>INDEX('①基本情報 '!$G$2:$G$255,MATCH('②建物情報 '!E402,'①基本情報 '!$E$2:$E$255,0),1)</f>
        <v>教育委員会教育総務部・こども未来部</v>
      </c>
      <c r="G402" s="678" t="s">
        <v>1580</v>
      </c>
      <c r="H402" s="612" t="s">
        <v>1675</v>
      </c>
      <c r="I402" s="663">
        <v>1974</v>
      </c>
      <c r="J402" s="663">
        <v>3</v>
      </c>
      <c r="K402" s="663">
        <f t="shared" si="6"/>
        <v>50</v>
      </c>
      <c r="L402" s="694">
        <v>632.08000000000004</v>
      </c>
      <c r="M402" s="704">
        <v>1220.77</v>
      </c>
      <c r="N402" s="704">
        <v>1220.77</v>
      </c>
      <c r="O402" s="681" t="s">
        <v>1812</v>
      </c>
      <c r="P402" s="663" t="s">
        <v>1581</v>
      </c>
      <c r="Q402" s="663">
        <v>2</v>
      </c>
      <c r="R402" s="690">
        <v>0</v>
      </c>
      <c r="S402" s="687" t="s">
        <v>1582</v>
      </c>
      <c r="T402" s="663" t="s">
        <v>1583</v>
      </c>
      <c r="U402" s="683" t="s">
        <v>63</v>
      </c>
      <c r="V402" s="690"/>
      <c r="W402" s="687"/>
      <c r="X402" s="686">
        <v>47</v>
      </c>
      <c r="Y402" s="687" t="s">
        <v>1585</v>
      </c>
      <c r="Z402" s="663" t="s">
        <v>1586</v>
      </c>
      <c r="AA402" s="663" t="s">
        <v>1586</v>
      </c>
      <c r="AB402" s="663" t="s">
        <v>825</v>
      </c>
      <c r="AC402" s="663" t="s">
        <v>1585</v>
      </c>
      <c r="AD402" s="663" t="s">
        <v>1586</v>
      </c>
      <c r="AE402" s="663" t="s">
        <v>1585</v>
      </c>
      <c r="AF402" s="663" t="s">
        <v>825</v>
      </c>
      <c r="AG402" s="663" t="s">
        <v>825</v>
      </c>
      <c r="AH402" s="663" t="s">
        <v>1586</v>
      </c>
      <c r="AI402" s="688">
        <v>83.428571428571431</v>
      </c>
      <c r="AJ402" s="689" t="s">
        <v>1588</v>
      </c>
      <c r="AK402" s="690"/>
    </row>
    <row r="403" spans="1:37" s="653" customFormat="1">
      <c r="A403" s="655">
        <v>2024</v>
      </c>
      <c r="B403" s="656" t="str">
        <f>INDEX('①基本情報 '!$C$2:$C$255,MATCH('②建物情報 '!E403,'①基本情報 '!$E$2:$E$255,0),1)</f>
        <v>163</v>
      </c>
      <c r="C403" s="657" t="str">
        <f>INDEX('①基本情報 '!$B$2:$B$255,MATCH('②建物情報 '!E403,'①基本情報 '!$E$2:$E$255,0),1)</f>
        <v>0303</v>
      </c>
      <c r="D403" s="658" t="s">
        <v>2418</v>
      </c>
      <c r="E403" s="612" t="s">
        <v>1072</v>
      </c>
      <c r="F403" s="611" t="str">
        <f>INDEX('①基本情報 '!$G$2:$G$255,MATCH('②建物情報 '!E403,'①基本情報 '!$E$2:$E$255,0),1)</f>
        <v>教育委員会教育総務部・こども未来部</v>
      </c>
      <c r="G403" s="678" t="s">
        <v>1580</v>
      </c>
      <c r="H403" s="612" t="s">
        <v>1676</v>
      </c>
      <c r="I403" s="663">
        <v>2013</v>
      </c>
      <c r="J403" s="663">
        <v>3</v>
      </c>
      <c r="K403" s="663">
        <f t="shared" si="6"/>
        <v>11</v>
      </c>
      <c r="L403" s="694">
        <v>1806</v>
      </c>
      <c r="M403" s="704">
        <v>1873.72</v>
      </c>
      <c r="N403" s="704">
        <v>1873.72</v>
      </c>
      <c r="O403" s="681" t="s">
        <v>1812</v>
      </c>
      <c r="P403" s="663" t="s">
        <v>1581</v>
      </c>
      <c r="Q403" s="663">
        <v>1</v>
      </c>
      <c r="R403" s="690">
        <v>0</v>
      </c>
      <c r="S403" s="687" t="s">
        <v>1593</v>
      </c>
      <c r="T403" s="683" t="s">
        <v>825</v>
      </c>
      <c r="U403" s="683" t="s">
        <v>63</v>
      </c>
      <c r="V403" s="690"/>
      <c r="W403" s="687"/>
      <c r="X403" s="686">
        <v>47</v>
      </c>
      <c r="Y403" s="687" t="s">
        <v>1587</v>
      </c>
      <c r="Z403" s="663" t="s">
        <v>1596</v>
      </c>
      <c r="AA403" s="663" t="s">
        <v>1585</v>
      </c>
      <c r="AB403" s="663" t="s">
        <v>825</v>
      </c>
      <c r="AC403" s="663" t="s">
        <v>1596</v>
      </c>
      <c r="AD403" s="663" t="s">
        <v>1585</v>
      </c>
      <c r="AE403" s="663" t="s">
        <v>1596</v>
      </c>
      <c r="AF403" s="663" t="s">
        <v>825</v>
      </c>
      <c r="AG403" s="663" t="s">
        <v>825</v>
      </c>
      <c r="AH403" s="663" t="s">
        <v>1596</v>
      </c>
      <c r="AI403" s="688">
        <v>37.714285714285708</v>
      </c>
      <c r="AJ403" s="689" t="s">
        <v>1588</v>
      </c>
      <c r="AK403" s="690"/>
    </row>
    <row r="404" spans="1:37" s="653" customFormat="1">
      <c r="A404" s="655">
        <v>2024</v>
      </c>
      <c r="B404" s="656" t="str">
        <f>INDEX('①基本情報 '!$C$2:$C$255,MATCH('②建物情報 '!E404,'①基本情報 '!$E$2:$E$255,0),1)</f>
        <v>164</v>
      </c>
      <c r="C404" s="657" t="str">
        <f>INDEX('①基本情報 '!$B$2:$B$255,MATCH('②建物情報 '!E404,'①基本情報 '!$E$2:$E$255,0),1)</f>
        <v>0305</v>
      </c>
      <c r="D404" s="658" t="s">
        <v>2418</v>
      </c>
      <c r="E404" s="612" t="s">
        <v>1078</v>
      </c>
      <c r="F404" s="611" t="str">
        <f>INDEX('①基本情報 '!$G$2:$G$255,MATCH('②建物情報 '!E404,'①基本情報 '!$E$2:$E$255,0),1)</f>
        <v>教育委員会教育総務部・こども未来部</v>
      </c>
      <c r="G404" s="678" t="s">
        <v>1580</v>
      </c>
      <c r="H404" s="700" t="s">
        <v>1676</v>
      </c>
      <c r="I404" s="663">
        <v>1973</v>
      </c>
      <c r="J404" s="663">
        <v>3</v>
      </c>
      <c r="K404" s="663">
        <v>51</v>
      </c>
      <c r="L404" s="694">
        <v>903.14</v>
      </c>
      <c r="M404" s="704">
        <v>1504</v>
      </c>
      <c r="N404" s="680">
        <v>624.62</v>
      </c>
      <c r="O404" s="681" t="s">
        <v>1594</v>
      </c>
      <c r="P404" s="663" t="s">
        <v>1581</v>
      </c>
      <c r="Q404" s="663">
        <v>2</v>
      </c>
      <c r="R404" s="690">
        <v>0</v>
      </c>
      <c r="S404" s="687" t="s">
        <v>1582</v>
      </c>
      <c r="T404" s="663" t="s">
        <v>1583</v>
      </c>
      <c r="U404" s="683" t="s">
        <v>63</v>
      </c>
      <c r="V404" s="690"/>
      <c r="W404" s="687"/>
      <c r="X404" s="686">
        <v>47</v>
      </c>
      <c r="Y404" s="687" t="s">
        <v>1585</v>
      </c>
      <c r="Z404" s="663" t="s">
        <v>1587</v>
      </c>
      <c r="AA404" s="663" t="s">
        <v>1586</v>
      </c>
      <c r="AB404" s="663" t="s">
        <v>825</v>
      </c>
      <c r="AC404" s="663" t="s">
        <v>1586</v>
      </c>
      <c r="AD404" s="663" t="s">
        <v>1586</v>
      </c>
      <c r="AE404" s="663" t="s">
        <v>1585</v>
      </c>
      <c r="AF404" s="663" t="s">
        <v>825</v>
      </c>
      <c r="AG404" s="663" t="s">
        <v>825</v>
      </c>
      <c r="AH404" s="663" t="s">
        <v>1586</v>
      </c>
      <c r="AI404" s="688">
        <v>76.969696969696969</v>
      </c>
      <c r="AJ404" s="689" t="s">
        <v>1588</v>
      </c>
      <c r="AK404" s="690"/>
    </row>
    <row r="405" spans="1:37" s="653" customFormat="1">
      <c r="A405" s="655">
        <v>2024</v>
      </c>
      <c r="B405" s="656" t="s">
        <v>2808</v>
      </c>
      <c r="C405" s="657" t="s">
        <v>1077</v>
      </c>
      <c r="D405" s="658" t="s">
        <v>2804</v>
      </c>
      <c r="E405" s="612" t="s">
        <v>1078</v>
      </c>
      <c r="F405" s="611" t="s">
        <v>2809</v>
      </c>
      <c r="G405" s="678" t="s">
        <v>1589</v>
      </c>
      <c r="H405" s="700" t="s">
        <v>2810</v>
      </c>
      <c r="I405" s="663">
        <v>1985</v>
      </c>
      <c r="J405" s="663">
        <v>3</v>
      </c>
      <c r="K405" s="663">
        <v>39</v>
      </c>
      <c r="L405" s="694">
        <v>903.14</v>
      </c>
      <c r="M405" s="704">
        <v>12.96</v>
      </c>
      <c r="N405" s="680">
        <v>12.96</v>
      </c>
      <c r="O405" s="681" t="s">
        <v>2806</v>
      </c>
      <c r="P405" s="663" t="s">
        <v>1603</v>
      </c>
      <c r="Q405" s="663">
        <v>1</v>
      </c>
      <c r="R405" s="690">
        <v>0</v>
      </c>
      <c r="S405" s="687" t="s">
        <v>1582</v>
      </c>
      <c r="T405" s="663" t="s">
        <v>1583</v>
      </c>
      <c r="U405" s="683" t="s">
        <v>63</v>
      </c>
      <c r="V405" s="690"/>
      <c r="W405" s="687"/>
      <c r="X405" s="686">
        <v>27</v>
      </c>
      <c r="Y405" s="687" t="s">
        <v>1585</v>
      </c>
      <c r="Z405" s="663" t="s">
        <v>1586</v>
      </c>
      <c r="AA405" s="663" t="s">
        <v>1586</v>
      </c>
      <c r="AB405" s="663" t="s">
        <v>825</v>
      </c>
      <c r="AC405" s="663" t="s">
        <v>1586</v>
      </c>
      <c r="AD405" s="663" t="s">
        <v>1586</v>
      </c>
      <c r="AE405" s="663" t="s">
        <v>1585</v>
      </c>
      <c r="AF405" s="663" t="s">
        <v>825</v>
      </c>
      <c r="AG405" s="663" t="s">
        <v>825</v>
      </c>
      <c r="AH405" s="663" t="s">
        <v>1586</v>
      </c>
      <c r="AI405" s="688">
        <v>85.454545454545453</v>
      </c>
      <c r="AJ405" s="689" t="s">
        <v>2807</v>
      </c>
      <c r="AK405" s="690"/>
    </row>
    <row r="406" spans="1:37" s="653" customFormat="1">
      <c r="A406" s="655">
        <v>2024</v>
      </c>
      <c r="B406" s="656" t="str">
        <f>INDEX('①基本情報 '!$C$2:$C$255,MATCH('②建物情報 '!E406,'①基本情報 '!$E$2:$E$255,0),1)</f>
        <v>164</v>
      </c>
      <c r="C406" s="657" t="str">
        <f>INDEX('①基本情報 '!$B$2:$B$255,MATCH('②建物情報 '!E406,'①基本情報 '!$E$2:$E$255,0),1)</f>
        <v>0305</v>
      </c>
      <c r="D406" s="658" t="s">
        <v>2418</v>
      </c>
      <c r="E406" s="612" t="s">
        <v>1078</v>
      </c>
      <c r="F406" s="611" t="str">
        <f>INDEX('①基本情報 '!$G$2:$G$255,MATCH('②建物情報 '!E406,'①基本情報 '!$E$2:$E$255,0),1)</f>
        <v>教育委員会教育総務部・こども未来部</v>
      </c>
      <c r="G406" s="678" t="s">
        <v>1591</v>
      </c>
      <c r="H406" s="700" t="s">
        <v>2811</v>
      </c>
      <c r="I406" s="663">
        <v>1998</v>
      </c>
      <c r="J406" s="663">
        <v>3</v>
      </c>
      <c r="K406" s="663">
        <v>26</v>
      </c>
      <c r="L406" s="694">
        <v>903.14</v>
      </c>
      <c r="M406" s="680">
        <v>64.08</v>
      </c>
      <c r="N406" s="680">
        <v>64.08</v>
      </c>
      <c r="O406" s="681" t="s">
        <v>1812</v>
      </c>
      <c r="P406" s="663" t="s">
        <v>1603</v>
      </c>
      <c r="Q406" s="663">
        <v>2</v>
      </c>
      <c r="R406" s="690">
        <v>0</v>
      </c>
      <c r="S406" s="687" t="s">
        <v>1582</v>
      </c>
      <c r="T406" s="663" t="s">
        <v>1583</v>
      </c>
      <c r="U406" s="683" t="s">
        <v>63</v>
      </c>
      <c r="V406" s="690"/>
      <c r="W406" s="687"/>
      <c r="X406" s="702">
        <v>34</v>
      </c>
      <c r="Y406" s="687" t="s">
        <v>1585</v>
      </c>
      <c r="Z406" s="663" t="s">
        <v>1586</v>
      </c>
      <c r="AA406" s="663" t="s">
        <v>1586</v>
      </c>
      <c r="AB406" s="663" t="s">
        <v>825</v>
      </c>
      <c r="AC406" s="663" t="s">
        <v>1586</v>
      </c>
      <c r="AD406" s="663" t="s">
        <v>1586</v>
      </c>
      <c r="AE406" s="663" t="s">
        <v>1585</v>
      </c>
      <c r="AF406" s="663" t="s">
        <v>825</v>
      </c>
      <c r="AG406" s="663" t="s">
        <v>825</v>
      </c>
      <c r="AH406" s="663" t="s">
        <v>1586</v>
      </c>
      <c r="AI406" s="688">
        <v>86.666666666666671</v>
      </c>
      <c r="AJ406" s="689" t="s">
        <v>1588</v>
      </c>
      <c r="AK406" s="690"/>
    </row>
    <row r="407" spans="1:37" s="653" customFormat="1">
      <c r="A407" s="655">
        <v>2024</v>
      </c>
      <c r="B407" s="656" t="str">
        <f>INDEX('①基本情報 '!$C$2:$C$255,MATCH('②建物情報 '!E407,'①基本情報 '!$E$2:$E$255,0),1)</f>
        <v>164</v>
      </c>
      <c r="C407" s="657" t="str">
        <f>INDEX('①基本情報 '!$B$2:$B$255,MATCH('②建物情報 '!E407,'①基本情報 '!$E$2:$E$255,0),1)</f>
        <v>0305</v>
      </c>
      <c r="D407" s="658" t="s">
        <v>2418</v>
      </c>
      <c r="E407" s="612" t="s">
        <v>1078</v>
      </c>
      <c r="F407" s="611" t="str">
        <f>INDEX('①基本情報 '!$G$2:$G$255,MATCH('②建物情報 '!E407,'①基本情報 '!$E$2:$E$255,0),1)</f>
        <v>教育委員会教育総務部・こども未来部</v>
      </c>
      <c r="G407" s="678" t="s">
        <v>1601</v>
      </c>
      <c r="H407" s="700" t="s">
        <v>1676</v>
      </c>
      <c r="I407" s="663">
        <v>2001</v>
      </c>
      <c r="J407" s="663">
        <v>3</v>
      </c>
      <c r="K407" s="663">
        <v>23</v>
      </c>
      <c r="L407" s="694">
        <v>903.14</v>
      </c>
      <c r="M407" s="680">
        <v>173.67</v>
      </c>
      <c r="N407" s="680">
        <v>173.67</v>
      </c>
      <c r="O407" s="681" t="s">
        <v>1812</v>
      </c>
      <c r="P407" s="663" t="s">
        <v>1581</v>
      </c>
      <c r="Q407" s="663">
        <v>1</v>
      </c>
      <c r="R407" s="690">
        <v>0</v>
      </c>
      <c r="S407" s="687" t="s">
        <v>1582</v>
      </c>
      <c r="T407" s="663" t="s">
        <v>1583</v>
      </c>
      <c r="U407" s="683" t="s">
        <v>63</v>
      </c>
      <c r="V407" s="690"/>
      <c r="W407" s="687"/>
      <c r="X407" s="686">
        <v>47</v>
      </c>
      <c r="Y407" s="687" t="s">
        <v>1585</v>
      </c>
      <c r="Z407" s="663" t="s">
        <v>1587</v>
      </c>
      <c r="AA407" s="663" t="s">
        <v>1586</v>
      </c>
      <c r="AB407" s="663" t="s">
        <v>825</v>
      </c>
      <c r="AC407" s="663" t="s">
        <v>1586</v>
      </c>
      <c r="AD407" s="663" t="s">
        <v>1586</v>
      </c>
      <c r="AE407" s="663" t="s">
        <v>1585</v>
      </c>
      <c r="AF407" s="663" t="s">
        <v>825</v>
      </c>
      <c r="AG407" s="663" t="s">
        <v>825</v>
      </c>
      <c r="AH407" s="663" t="s">
        <v>1586</v>
      </c>
      <c r="AI407" s="688">
        <v>76.969696969696969</v>
      </c>
      <c r="AJ407" s="689" t="s">
        <v>1588</v>
      </c>
      <c r="AK407" s="690"/>
    </row>
    <row r="408" spans="1:37" s="653" customFormat="1">
      <c r="A408" s="655">
        <v>2024</v>
      </c>
      <c r="B408" s="656" t="str">
        <f>INDEX('①基本情報 '!$C$2:$C$255,MATCH('②建物情報 '!E408,'①基本情報 '!$E$2:$E$255,0),1)</f>
        <v>165</v>
      </c>
      <c r="C408" s="657" t="str">
        <f>INDEX('①基本情報 '!$B$2:$B$255,MATCH('②建物情報 '!E408,'①基本情報 '!$E$2:$E$255,0),1)</f>
        <v>0307</v>
      </c>
      <c r="D408" s="658" t="s">
        <v>2418</v>
      </c>
      <c r="E408" s="612" t="s">
        <v>1084</v>
      </c>
      <c r="F408" s="611" t="str">
        <f>INDEX('①基本情報 '!$G$2:$G$255,MATCH('②建物情報 '!E408,'①基本情報 '!$E$2:$E$255,0),1)</f>
        <v>教育委員会教育総務部・こども未来部</v>
      </c>
      <c r="G408" s="678" t="s">
        <v>1580</v>
      </c>
      <c r="H408" s="612" t="s">
        <v>1675</v>
      </c>
      <c r="I408" s="663">
        <v>1974</v>
      </c>
      <c r="J408" s="663">
        <v>7</v>
      </c>
      <c r="K408" s="663">
        <f t="shared" si="6"/>
        <v>50</v>
      </c>
      <c r="L408" s="694">
        <v>628.17999999999995</v>
      </c>
      <c r="M408" s="680">
        <v>1149.3399999999999</v>
      </c>
      <c r="N408" s="680">
        <v>1149.3399999999999</v>
      </c>
      <c r="O408" s="681" t="s">
        <v>1812</v>
      </c>
      <c r="P408" s="663" t="s">
        <v>1581</v>
      </c>
      <c r="Q408" s="663">
        <v>2</v>
      </c>
      <c r="R408" s="690">
        <v>0</v>
      </c>
      <c r="S408" s="687" t="s">
        <v>1582</v>
      </c>
      <c r="T408" s="663" t="s">
        <v>1583</v>
      </c>
      <c r="U408" s="683" t="s">
        <v>63</v>
      </c>
      <c r="V408" s="690"/>
      <c r="W408" s="687"/>
      <c r="X408" s="686">
        <v>47</v>
      </c>
      <c r="Y408" s="687" t="s">
        <v>1585</v>
      </c>
      <c r="Z408" s="663" t="s">
        <v>1586</v>
      </c>
      <c r="AA408" s="663" t="s">
        <v>1586</v>
      </c>
      <c r="AB408" s="663" t="s">
        <v>825</v>
      </c>
      <c r="AC408" s="663" t="s">
        <v>1586</v>
      </c>
      <c r="AD408" s="663" t="s">
        <v>1586</v>
      </c>
      <c r="AE408" s="663" t="s">
        <v>1586</v>
      </c>
      <c r="AF408" s="663" t="s">
        <v>825</v>
      </c>
      <c r="AG408" s="663" t="s">
        <v>825</v>
      </c>
      <c r="AH408" s="663" t="s">
        <v>1586</v>
      </c>
      <c r="AI408" s="688">
        <v>90.909090909090907</v>
      </c>
      <c r="AJ408" s="689" t="s">
        <v>1588</v>
      </c>
      <c r="AK408" s="690"/>
    </row>
    <row r="409" spans="1:37" s="653" customFormat="1">
      <c r="A409" s="655">
        <v>2024</v>
      </c>
      <c r="B409" s="656" t="str">
        <f>INDEX('①基本情報 '!$C$2:$C$255,MATCH('②建物情報 '!E409,'①基本情報 '!$E$2:$E$255,0),1)</f>
        <v>166</v>
      </c>
      <c r="C409" s="657" t="str">
        <f>INDEX('①基本情報 '!$B$2:$B$255,MATCH('②建物情報 '!E409,'①基本情報 '!$E$2:$E$255,0),1)</f>
        <v>0308</v>
      </c>
      <c r="D409" s="658" t="s">
        <v>2418</v>
      </c>
      <c r="E409" s="612" t="s">
        <v>1089</v>
      </c>
      <c r="F409" s="611" t="str">
        <f>INDEX('①基本情報 '!$G$2:$G$255,MATCH('②建物情報 '!E409,'①基本情報 '!$E$2:$E$255,0),1)</f>
        <v>教育委員会教育総務部・こども未来部</v>
      </c>
      <c r="G409" s="678" t="s">
        <v>1580</v>
      </c>
      <c r="H409" s="612" t="s">
        <v>1675</v>
      </c>
      <c r="I409" s="663">
        <v>2016</v>
      </c>
      <c r="J409" s="663">
        <v>3</v>
      </c>
      <c r="K409" s="663">
        <f t="shared" si="6"/>
        <v>8</v>
      </c>
      <c r="L409" s="694">
        <v>709</v>
      </c>
      <c r="M409" s="680">
        <v>1096.3</v>
      </c>
      <c r="N409" s="680">
        <v>1096.3</v>
      </c>
      <c r="O409" s="681" t="s">
        <v>1812</v>
      </c>
      <c r="P409" s="663" t="s">
        <v>1581</v>
      </c>
      <c r="Q409" s="663">
        <v>2</v>
      </c>
      <c r="R409" s="690">
        <v>0</v>
      </c>
      <c r="S409" s="687" t="s">
        <v>1865</v>
      </c>
      <c r="T409" s="663" t="s">
        <v>1866</v>
      </c>
      <c r="U409" s="683" t="s">
        <v>1867</v>
      </c>
      <c r="V409" s="690"/>
      <c r="W409" s="687"/>
      <c r="X409" s="686">
        <v>47</v>
      </c>
      <c r="Y409" s="687" t="s">
        <v>1587</v>
      </c>
      <c r="Z409" s="663" t="s">
        <v>1596</v>
      </c>
      <c r="AA409" s="663" t="s">
        <v>1585</v>
      </c>
      <c r="AB409" s="663" t="s">
        <v>825</v>
      </c>
      <c r="AC409" s="663" t="s">
        <v>1596</v>
      </c>
      <c r="AD409" s="663" t="s">
        <v>1585</v>
      </c>
      <c r="AE409" s="663" t="s">
        <v>1596</v>
      </c>
      <c r="AF409" s="663" t="s">
        <v>825</v>
      </c>
      <c r="AG409" s="663" t="s">
        <v>825</v>
      </c>
      <c r="AH409" s="663" t="s">
        <v>1596</v>
      </c>
      <c r="AI409" s="688">
        <v>32.727272727272727</v>
      </c>
      <c r="AJ409" s="689" t="s">
        <v>1588</v>
      </c>
      <c r="AK409" s="690"/>
    </row>
    <row r="410" spans="1:37" s="653" customFormat="1">
      <c r="A410" s="655">
        <v>2024</v>
      </c>
      <c r="B410" s="656" t="str">
        <f>INDEX('①基本情報 '!$C$2:$C$255,MATCH('②建物情報 '!E410,'①基本情報 '!$E$2:$E$255,0),1)</f>
        <v>167</v>
      </c>
      <c r="C410" s="657" t="str">
        <f>INDEX('①基本情報 '!$B$2:$B$255,MATCH('②建物情報 '!E410,'①基本情報 '!$E$2:$E$255,0),1)</f>
        <v>1001</v>
      </c>
      <c r="D410" s="658" t="s">
        <v>2418</v>
      </c>
      <c r="E410" s="612" t="s">
        <v>1093</v>
      </c>
      <c r="F410" s="611" t="str">
        <f>INDEX('①基本情報 '!$G$2:$G$255,MATCH('②建物情報 '!E410,'①基本情報 '!$E$2:$E$255,0),1)</f>
        <v>教育委員会教育総務部・こども未来部</v>
      </c>
      <c r="G410" s="678" t="s">
        <v>1580</v>
      </c>
      <c r="H410" s="612" t="s">
        <v>1676</v>
      </c>
      <c r="I410" s="663">
        <v>1975</v>
      </c>
      <c r="J410" s="663">
        <v>3</v>
      </c>
      <c r="K410" s="663">
        <f t="shared" si="6"/>
        <v>49</v>
      </c>
      <c r="L410" s="694">
        <v>436</v>
      </c>
      <c r="M410" s="704">
        <v>832</v>
      </c>
      <c r="N410" s="704">
        <v>832</v>
      </c>
      <c r="O410" s="681" t="s">
        <v>1594</v>
      </c>
      <c r="P410" s="663" t="s">
        <v>1581</v>
      </c>
      <c r="Q410" s="663">
        <v>2</v>
      </c>
      <c r="R410" s="690">
        <v>0</v>
      </c>
      <c r="S410" s="687" t="s">
        <v>1582</v>
      </c>
      <c r="T410" s="663" t="s">
        <v>1583</v>
      </c>
      <c r="U410" s="683" t="s">
        <v>63</v>
      </c>
      <c r="V410" s="690"/>
      <c r="W410" s="687"/>
      <c r="X410" s="686">
        <v>47</v>
      </c>
      <c r="Y410" s="687" t="s">
        <v>1585</v>
      </c>
      <c r="Z410" s="663" t="s">
        <v>1587</v>
      </c>
      <c r="AA410" s="663" t="s">
        <v>1587</v>
      </c>
      <c r="AB410" s="663" t="s">
        <v>1587</v>
      </c>
      <c r="AC410" s="663" t="s">
        <v>1587</v>
      </c>
      <c r="AD410" s="663" t="s">
        <v>1587</v>
      </c>
      <c r="AE410" s="663" t="s">
        <v>825</v>
      </c>
      <c r="AF410" s="663" t="s">
        <v>1587</v>
      </c>
      <c r="AG410" s="663" t="s">
        <v>1587</v>
      </c>
      <c r="AH410" s="663" t="s">
        <v>1596</v>
      </c>
      <c r="AI410" s="688">
        <v>35</v>
      </c>
      <c r="AJ410" s="689" t="s">
        <v>1588</v>
      </c>
      <c r="AK410" s="690"/>
    </row>
    <row r="411" spans="1:37" s="653" customFormat="1">
      <c r="A411" s="655">
        <v>2024</v>
      </c>
      <c r="B411" s="656" t="str">
        <f>INDEX('①基本情報 '!$C$2:$C$255,MATCH('②建物情報 '!E411,'①基本情報 '!$E$2:$E$255,0),1)</f>
        <v>168</v>
      </c>
      <c r="C411" s="657" t="str">
        <f>INDEX('①基本情報 '!$B$2:$B$255,MATCH('②建物情報 '!E411,'①基本情報 '!$E$2:$E$255,0),1)</f>
        <v>1009</v>
      </c>
      <c r="D411" s="658" t="s">
        <v>2418</v>
      </c>
      <c r="E411" s="612" t="s">
        <v>1105</v>
      </c>
      <c r="F411" s="611" t="str">
        <f>INDEX('①基本情報 '!$G$2:$G$255,MATCH('②建物情報 '!E411,'①基本情報 '!$E$2:$E$255,0),1)</f>
        <v>教育委員会教育総務部・こども未来部</v>
      </c>
      <c r="G411" s="678" t="s">
        <v>1580</v>
      </c>
      <c r="H411" s="612" t="s">
        <v>1677</v>
      </c>
      <c r="I411" s="663">
        <v>1968</v>
      </c>
      <c r="J411" s="663">
        <v>8</v>
      </c>
      <c r="K411" s="663">
        <f t="shared" si="6"/>
        <v>56</v>
      </c>
      <c r="L411" s="694">
        <v>147</v>
      </c>
      <c r="M411" s="704">
        <v>294</v>
      </c>
      <c r="N411" s="704">
        <v>294</v>
      </c>
      <c r="O411" s="681" t="s">
        <v>1812</v>
      </c>
      <c r="P411" s="663" t="s">
        <v>1603</v>
      </c>
      <c r="Q411" s="663">
        <v>2</v>
      </c>
      <c r="R411" s="690">
        <v>0</v>
      </c>
      <c r="S411" s="687" t="s">
        <v>1582</v>
      </c>
      <c r="T411" s="663" t="s">
        <v>1583</v>
      </c>
      <c r="U411" s="683" t="s">
        <v>63</v>
      </c>
      <c r="V411" s="690">
        <v>2013</v>
      </c>
      <c r="W411" s="687"/>
      <c r="X411" s="702">
        <v>34</v>
      </c>
      <c r="Y411" s="687" t="s">
        <v>1585</v>
      </c>
      <c r="Z411" s="663" t="s">
        <v>1586</v>
      </c>
      <c r="AA411" s="663" t="s">
        <v>1586</v>
      </c>
      <c r="AB411" s="663" t="s">
        <v>825</v>
      </c>
      <c r="AC411" s="663" t="s">
        <v>1586</v>
      </c>
      <c r="AD411" s="663" t="s">
        <v>1587</v>
      </c>
      <c r="AE411" s="663" t="s">
        <v>825</v>
      </c>
      <c r="AF411" s="663" t="s">
        <v>1587</v>
      </c>
      <c r="AG411" s="663" t="s">
        <v>1586</v>
      </c>
      <c r="AH411" s="663" t="s">
        <v>1586</v>
      </c>
      <c r="AI411" s="688">
        <v>79</v>
      </c>
      <c r="AJ411" s="689" t="s">
        <v>1588</v>
      </c>
      <c r="AK411" s="690"/>
    </row>
    <row r="412" spans="1:37" s="653" customFormat="1">
      <c r="A412" s="655">
        <v>2024</v>
      </c>
      <c r="B412" s="656" t="str">
        <f>INDEX('①基本情報 '!$C$2:$C$255,MATCH('②建物情報 '!E412,'①基本情報 '!$E$2:$E$255,0),1)</f>
        <v>168</v>
      </c>
      <c r="C412" s="657" t="str">
        <f>INDEX('①基本情報 '!$B$2:$B$255,MATCH('②建物情報 '!E412,'①基本情報 '!$E$2:$E$255,0),1)</f>
        <v>1009</v>
      </c>
      <c r="D412" s="658" t="s">
        <v>2418</v>
      </c>
      <c r="E412" s="612" t="s">
        <v>1105</v>
      </c>
      <c r="F412" s="611" t="str">
        <f>INDEX('①基本情報 '!$G$2:$G$255,MATCH('②建物情報 '!E412,'①基本情報 '!$E$2:$E$255,0),1)</f>
        <v>教育委員会教育総務部・こども未来部</v>
      </c>
      <c r="G412" s="678" t="s">
        <v>1589</v>
      </c>
      <c r="H412" s="612" t="s">
        <v>1678</v>
      </c>
      <c r="I412" s="663">
        <v>1975</v>
      </c>
      <c r="J412" s="663">
        <v>3</v>
      </c>
      <c r="K412" s="663">
        <f t="shared" si="6"/>
        <v>49</v>
      </c>
      <c r="L412" s="694">
        <v>338</v>
      </c>
      <c r="M412" s="704">
        <v>499</v>
      </c>
      <c r="N412" s="704">
        <v>499</v>
      </c>
      <c r="O412" s="681" t="s">
        <v>1812</v>
      </c>
      <c r="P412" s="663" t="s">
        <v>1581</v>
      </c>
      <c r="Q412" s="663">
        <v>2</v>
      </c>
      <c r="R412" s="690">
        <v>0</v>
      </c>
      <c r="S412" s="687" t="s">
        <v>1582</v>
      </c>
      <c r="T412" s="663" t="s">
        <v>1583</v>
      </c>
      <c r="U412" s="683" t="s">
        <v>63</v>
      </c>
      <c r="V412" s="690">
        <v>2013</v>
      </c>
      <c r="W412" s="687"/>
      <c r="X412" s="686">
        <v>47</v>
      </c>
      <c r="Y412" s="687" t="s">
        <v>1585</v>
      </c>
      <c r="Z412" s="663" t="s">
        <v>1586</v>
      </c>
      <c r="AA412" s="663" t="s">
        <v>1586</v>
      </c>
      <c r="AB412" s="663" t="s">
        <v>825</v>
      </c>
      <c r="AC412" s="663" t="s">
        <v>1586</v>
      </c>
      <c r="AD412" s="663" t="s">
        <v>1587</v>
      </c>
      <c r="AE412" s="663" t="s">
        <v>825</v>
      </c>
      <c r="AF412" s="663" t="s">
        <v>1587</v>
      </c>
      <c r="AG412" s="663" t="s">
        <v>1586</v>
      </c>
      <c r="AH412" s="663" t="s">
        <v>1586</v>
      </c>
      <c r="AI412" s="688">
        <v>71.578947368421055</v>
      </c>
      <c r="AJ412" s="689" t="s">
        <v>1588</v>
      </c>
      <c r="AK412" s="690"/>
    </row>
    <row r="413" spans="1:37" s="653" customFormat="1">
      <c r="A413" s="655">
        <v>2024</v>
      </c>
      <c r="B413" s="656" t="str">
        <f>INDEX('①基本情報 '!$C$2:$C$255,MATCH('②建物情報 '!E413,'①基本情報 '!$E$2:$E$255,0),1)</f>
        <v>169</v>
      </c>
      <c r="C413" s="657" t="str">
        <f>INDEX('①基本情報 '!$B$2:$B$255,MATCH('②建物情報 '!E413,'①基本情報 '!$E$2:$E$255,0),1)</f>
        <v>1010</v>
      </c>
      <c r="D413" s="658" t="s">
        <v>2418</v>
      </c>
      <c r="E413" s="612" t="s">
        <v>1109</v>
      </c>
      <c r="F413" s="611" t="str">
        <f>INDEX('①基本情報 '!$G$2:$G$255,MATCH('②建物情報 '!E413,'①基本情報 '!$E$2:$E$255,0),1)</f>
        <v>教育委員会教育総務部・こども未来部</v>
      </c>
      <c r="G413" s="678" t="s">
        <v>1580</v>
      </c>
      <c r="H413" s="612" t="s">
        <v>1676</v>
      </c>
      <c r="I413" s="663">
        <v>1969</v>
      </c>
      <c r="J413" s="663">
        <v>3</v>
      </c>
      <c r="K413" s="663">
        <f t="shared" si="6"/>
        <v>55</v>
      </c>
      <c r="L413" s="694">
        <v>156</v>
      </c>
      <c r="M413" s="704">
        <v>328</v>
      </c>
      <c r="N413" s="704">
        <v>328</v>
      </c>
      <c r="O413" s="681" t="s">
        <v>1812</v>
      </c>
      <c r="P413" s="663" t="s">
        <v>1581</v>
      </c>
      <c r="Q413" s="663">
        <v>2</v>
      </c>
      <c r="R413" s="690">
        <v>0</v>
      </c>
      <c r="S413" s="687" t="s">
        <v>1582</v>
      </c>
      <c r="T413" s="663" t="s">
        <v>1583</v>
      </c>
      <c r="U413" s="683" t="s">
        <v>63</v>
      </c>
      <c r="V413" s="690"/>
      <c r="W413" s="687"/>
      <c r="X413" s="686">
        <v>47</v>
      </c>
      <c r="Y413" s="687" t="s">
        <v>1585</v>
      </c>
      <c r="Z413" s="663" t="s">
        <v>1586</v>
      </c>
      <c r="AA413" s="663" t="s">
        <v>1586</v>
      </c>
      <c r="AB413" s="663" t="s">
        <v>825</v>
      </c>
      <c r="AC413" s="663" t="s">
        <v>1586</v>
      </c>
      <c r="AD413" s="663" t="s">
        <v>1586</v>
      </c>
      <c r="AE413" s="663" t="s">
        <v>825</v>
      </c>
      <c r="AF413" s="663" t="s">
        <v>1586</v>
      </c>
      <c r="AG413" s="663" t="s">
        <v>1586</v>
      </c>
      <c r="AH413" s="663" t="s">
        <v>1586</v>
      </c>
      <c r="AI413" s="688">
        <v>94.736842105263165</v>
      </c>
      <c r="AJ413" s="689" t="s">
        <v>1588</v>
      </c>
      <c r="AK413" s="690"/>
    </row>
    <row r="414" spans="1:37" s="653" customFormat="1">
      <c r="A414" s="655">
        <v>2024</v>
      </c>
      <c r="B414" s="656" t="str">
        <f>INDEX('①基本情報 '!$C$2:$C$255,MATCH('②建物情報 '!E414,'①基本情報 '!$E$2:$E$255,0),1)</f>
        <v>169</v>
      </c>
      <c r="C414" s="657" t="str">
        <f>INDEX('①基本情報 '!$B$2:$B$255,MATCH('②建物情報 '!E414,'①基本情報 '!$E$2:$E$255,0),1)</f>
        <v>1010</v>
      </c>
      <c r="D414" s="658" t="s">
        <v>2418</v>
      </c>
      <c r="E414" s="612" t="s">
        <v>1109</v>
      </c>
      <c r="F414" s="611" t="str">
        <f>INDEX('①基本情報 '!$G$2:$G$255,MATCH('②建物情報 '!E414,'①基本情報 '!$E$2:$E$255,0),1)</f>
        <v>教育委員会教育総務部・こども未来部</v>
      </c>
      <c r="G414" s="678" t="s">
        <v>1589</v>
      </c>
      <c r="H414" s="612" t="s">
        <v>1612</v>
      </c>
      <c r="I414" s="663">
        <v>1978</v>
      </c>
      <c r="J414" s="663">
        <v>10</v>
      </c>
      <c r="K414" s="663">
        <f t="shared" si="6"/>
        <v>46</v>
      </c>
      <c r="L414" s="694">
        <v>30</v>
      </c>
      <c r="M414" s="704">
        <v>30</v>
      </c>
      <c r="N414" s="704">
        <v>30</v>
      </c>
      <c r="O414" s="681" t="s">
        <v>1812</v>
      </c>
      <c r="P414" s="663" t="s">
        <v>1581</v>
      </c>
      <c r="Q414" s="663">
        <v>1</v>
      </c>
      <c r="R414" s="690">
        <v>0</v>
      </c>
      <c r="S414" s="687" t="s">
        <v>1582</v>
      </c>
      <c r="T414" s="683"/>
      <c r="U414" s="683" t="s">
        <v>1584</v>
      </c>
      <c r="V414" s="690"/>
      <c r="W414" s="687"/>
      <c r="X414" s="686">
        <v>38</v>
      </c>
      <c r="Y414" s="687" t="s">
        <v>1585</v>
      </c>
      <c r="Z414" s="663" t="s">
        <v>1586</v>
      </c>
      <c r="AA414" s="663" t="s">
        <v>1586</v>
      </c>
      <c r="AB414" s="663" t="s">
        <v>825</v>
      </c>
      <c r="AC414" s="663" t="s">
        <v>1586</v>
      </c>
      <c r="AD414" s="663" t="s">
        <v>825</v>
      </c>
      <c r="AE414" s="663" t="s">
        <v>825</v>
      </c>
      <c r="AF414" s="663" t="s">
        <v>825</v>
      </c>
      <c r="AG414" s="663" t="s">
        <v>825</v>
      </c>
      <c r="AH414" s="663" t="s">
        <v>1586</v>
      </c>
      <c r="AI414" s="688">
        <v>84.166666666666671</v>
      </c>
      <c r="AJ414" s="689" t="s">
        <v>1588</v>
      </c>
      <c r="AK414" s="690"/>
    </row>
    <row r="415" spans="1:37" s="653" customFormat="1">
      <c r="A415" s="655">
        <v>2024</v>
      </c>
      <c r="B415" s="656" t="str">
        <f>INDEX('①基本情報 '!$C$2:$C$255,MATCH('②建物情報 '!E415,'①基本情報 '!$E$2:$E$255,0),1)</f>
        <v>169</v>
      </c>
      <c r="C415" s="657" t="str">
        <f>INDEX('①基本情報 '!$B$2:$B$255,MATCH('②建物情報 '!E415,'①基本情報 '!$E$2:$E$255,0),1)</f>
        <v>1010</v>
      </c>
      <c r="D415" s="658" t="s">
        <v>2418</v>
      </c>
      <c r="E415" s="612" t="s">
        <v>1109</v>
      </c>
      <c r="F415" s="611" t="str">
        <f>INDEX('①基本情報 '!$G$2:$G$255,MATCH('②建物情報 '!E415,'①基本情報 '!$E$2:$E$255,0),1)</f>
        <v>教育委員会教育総務部・こども未来部</v>
      </c>
      <c r="G415" s="678" t="s">
        <v>1591</v>
      </c>
      <c r="H415" s="612" t="s">
        <v>1679</v>
      </c>
      <c r="I415" s="663">
        <v>1988</v>
      </c>
      <c r="J415" s="663">
        <v>3</v>
      </c>
      <c r="K415" s="663">
        <f t="shared" si="6"/>
        <v>36</v>
      </c>
      <c r="L415" s="694">
        <v>159</v>
      </c>
      <c r="M415" s="704">
        <v>159</v>
      </c>
      <c r="N415" s="704">
        <v>159</v>
      </c>
      <c r="O415" s="681" t="s">
        <v>1812</v>
      </c>
      <c r="P415" s="663" t="s">
        <v>1581</v>
      </c>
      <c r="Q415" s="663">
        <v>1</v>
      </c>
      <c r="R415" s="690">
        <v>0</v>
      </c>
      <c r="S415" s="687" t="s">
        <v>1593</v>
      </c>
      <c r="T415" s="683" t="s">
        <v>825</v>
      </c>
      <c r="U415" s="663" t="s">
        <v>63</v>
      </c>
      <c r="V415" s="690"/>
      <c r="W415" s="687"/>
      <c r="X415" s="686">
        <v>47</v>
      </c>
      <c r="Y415" s="687" t="s">
        <v>1596</v>
      </c>
      <c r="Z415" s="663" t="s">
        <v>1586</v>
      </c>
      <c r="AA415" s="663" t="s">
        <v>1585</v>
      </c>
      <c r="AB415" s="663" t="s">
        <v>825</v>
      </c>
      <c r="AC415" s="663" t="s">
        <v>1586</v>
      </c>
      <c r="AD415" s="663" t="s">
        <v>1586</v>
      </c>
      <c r="AE415" s="663" t="s">
        <v>825</v>
      </c>
      <c r="AF415" s="663" t="s">
        <v>825</v>
      </c>
      <c r="AG415" s="663" t="s">
        <v>825</v>
      </c>
      <c r="AH415" s="663" t="s">
        <v>1586</v>
      </c>
      <c r="AI415" s="688">
        <v>80.588235294117652</v>
      </c>
      <c r="AJ415" s="689" t="s">
        <v>1588</v>
      </c>
      <c r="AK415" s="690"/>
    </row>
    <row r="416" spans="1:37" s="653" customFormat="1">
      <c r="A416" s="655">
        <v>2024</v>
      </c>
      <c r="B416" s="656" t="str">
        <f>INDEX('①基本情報 '!$C$2:$C$255,MATCH('②建物情報 '!E416,'①基本情報 '!$E$2:$E$255,0),1)</f>
        <v>170</v>
      </c>
      <c r="C416" s="657" t="str">
        <f>INDEX('①基本情報 '!$B$2:$B$255,MATCH('②建物情報 '!E416,'①基本情報 '!$E$2:$E$255,0),1)</f>
        <v>1015</v>
      </c>
      <c r="D416" s="658" t="s">
        <v>2418</v>
      </c>
      <c r="E416" s="612" t="s">
        <v>1122</v>
      </c>
      <c r="F416" s="611" t="str">
        <f>INDEX('①基本情報 '!$G$2:$G$255,MATCH('②建物情報 '!E416,'①基本情報 '!$E$2:$E$255,0),1)</f>
        <v>教育委員会教育総務部・こども未来部</v>
      </c>
      <c r="G416" s="678" t="s">
        <v>1580</v>
      </c>
      <c r="H416" s="612" t="s">
        <v>1676</v>
      </c>
      <c r="I416" s="663">
        <v>1977</v>
      </c>
      <c r="J416" s="663">
        <v>3</v>
      </c>
      <c r="K416" s="663">
        <f t="shared" si="6"/>
        <v>47</v>
      </c>
      <c r="L416" s="694">
        <v>456</v>
      </c>
      <c r="M416" s="704">
        <v>848</v>
      </c>
      <c r="N416" s="704">
        <v>848</v>
      </c>
      <c r="O416" s="681" t="s">
        <v>1812</v>
      </c>
      <c r="P416" s="663" t="s">
        <v>1581</v>
      </c>
      <c r="Q416" s="663">
        <v>2</v>
      </c>
      <c r="R416" s="690">
        <v>0</v>
      </c>
      <c r="S416" s="687" t="s">
        <v>1582</v>
      </c>
      <c r="T416" s="663" t="s">
        <v>1583</v>
      </c>
      <c r="U416" s="683" t="s">
        <v>63</v>
      </c>
      <c r="V416" s="690"/>
      <c r="W416" s="687"/>
      <c r="X416" s="686">
        <v>47</v>
      </c>
      <c r="Y416" s="687" t="s">
        <v>1585</v>
      </c>
      <c r="Z416" s="663" t="s">
        <v>1586</v>
      </c>
      <c r="AA416" s="663" t="s">
        <v>1586</v>
      </c>
      <c r="AB416" s="663" t="s">
        <v>825</v>
      </c>
      <c r="AC416" s="663" t="s">
        <v>1586</v>
      </c>
      <c r="AD416" s="663" t="s">
        <v>1596</v>
      </c>
      <c r="AE416" s="663" t="s">
        <v>825</v>
      </c>
      <c r="AF416" s="663" t="s">
        <v>1586</v>
      </c>
      <c r="AG416" s="663" t="s">
        <v>1586</v>
      </c>
      <c r="AH416" s="663" t="s">
        <v>1586</v>
      </c>
      <c r="AI416" s="688">
        <v>85.263157894736835</v>
      </c>
      <c r="AJ416" s="689" t="s">
        <v>1588</v>
      </c>
      <c r="AK416" s="690"/>
    </row>
    <row r="417" spans="1:37" s="653" customFormat="1">
      <c r="A417" s="655">
        <v>2024</v>
      </c>
      <c r="B417" s="656" t="str">
        <f>INDEX('①基本情報 '!$C$2:$C$255,MATCH('②建物情報 '!E417,'①基本情報 '!$E$2:$E$255,0),1)</f>
        <v>171</v>
      </c>
      <c r="C417" s="657" t="str">
        <f>INDEX('①基本情報 '!$B$2:$B$255,MATCH('②建物情報 '!E417,'①基本情報 '!$E$2:$E$255,0),1)</f>
        <v>1016</v>
      </c>
      <c r="D417" s="658" t="s">
        <v>2418</v>
      </c>
      <c r="E417" s="612" t="s">
        <v>1126</v>
      </c>
      <c r="F417" s="611" t="str">
        <f>INDEX('①基本情報 '!$G$2:$G$255,MATCH('②建物情報 '!E417,'①基本情報 '!$E$2:$E$255,0),1)</f>
        <v>教育委員会教育総務部・こども未来部</v>
      </c>
      <c r="G417" s="678" t="s">
        <v>1580</v>
      </c>
      <c r="H417" s="612" t="s">
        <v>1676</v>
      </c>
      <c r="I417" s="663">
        <v>1979</v>
      </c>
      <c r="J417" s="663">
        <v>5</v>
      </c>
      <c r="K417" s="663">
        <f t="shared" si="6"/>
        <v>45</v>
      </c>
      <c r="L417" s="694">
        <v>443</v>
      </c>
      <c r="M417" s="704">
        <v>849</v>
      </c>
      <c r="N417" s="704">
        <v>849</v>
      </c>
      <c r="O417" s="681" t="s">
        <v>1812</v>
      </c>
      <c r="P417" s="663" t="s">
        <v>1581</v>
      </c>
      <c r="Q417" s="663">
        <v>2</v>
      </c>
      <c r="R417" s="690">
        <v>0</v>
      </c>
      <c r="S417" s="687" t="s">
        <v>1582</v>
      </c>
      <c r="T417" s="663" t="s">
        <v>1583</v>
      </c>
      <c r="U417" s="683" t="s">
        <v>63</v>
      </c>
      <c r="V417" s="690"/>
      <c r="W417" s="687"/>
      <c r="X417" s="686">
        <v>47</v>
      </c>
      <c r="Y417" s="687" t="s">
        <v>1585</v>
      </c>
      <c r="Z417" s="663" t="s">
        <v>1585</v>
      </c>
      <c r="AA417" s="663" t="s">
        <v>1586</v>
      </c>
      <c r="AB417" s="663" t="s">
        <v>1585</v>
      </c>
      <c r="AC417" s="663" t="s">
        <v>1586</v>
      </c>
      <c r="AD417" s="663" t="s">
        <v>1587</v>
      </c>
      <c r="AE417" s="663" t="s">
        <v>825</v>
      </c>
      <c r="AF417" s="663" t="s">
        <v>1586</v>
      </c>
      <c r="AG417" s="663" t="s">
        <v>1586</v>
      </c>
      <c r="AH417" s="663" t="s">
        <v>1586</v>
      </c>
      <c r="AI417" s="688">
        <v>81.818181818181813</v>
      </c>
      <c r="AJ417" s="689" t="s">
        <v>1588</v>
      </c>
      <c r="AK417" s="690"/>
    </row>
    <row r="418" spans="1:37" s="653" customFormat="1">
      <c r="A418" s="655">
        <v>2024</v>
      </c>
      <c r="B418" s="656" t="str">
        <f>INDEX('①基本情報 '!$C$2:$C$255,MATCH('②建物情報 '!E418,'①基本情報 '!$E$2:$E$255,0),1)</f>
        <v>172</v>
      </c>
      <c r="C418" s="657" t="str">
        <f>INDEX('①基本情報 '!$B$2:$B$255,MATCH('②建物情報 '!E418,'①基本情報 '!$E$2:$E$255,0),1)</f>
        <v>1017</v>
      </c>
      <c r="D418" s="658" t="s">
        <v>2418</v>
      </c>
      <c r="E418" s="612" t="s">
        <v>1130</v>
      </c>
      <c r="F418" s="611" t="str">
        <f>INDEX('①基本情報 '!$G$2:$G$255,MATCH('②建物情報 '!E418,'①基本情報 '!$E$2:$E$255,0),1)</f>
        <v>教育委員会教育総務部・こども未来部</v>
      </c>
      <c r="G418" s="678" t="s">
        <v>1580</v>
      </c>
      <c r="H418" s="612" t="s">
        <v>1677</v>
      </c>
      <c r="I418" s="663">
        <v>1982</v>
      </c>
      <c r="J418" s="663">
        <v>5</v>
      </c>
      <c r="K418" s="663">
        <f t="shared" si="6"/>
        <v>42</v>
      </c>
      <c r="L418" s="694">
        <v>230</v>
      </c>
      <c r="M418" s="704">
        <v>230</v>
      </c>
      <c r="N418" s="704">
        <v>230</v>
      </c>
      <c r="O418" s="681" t="s">
        <v>1812</v>
      </c>
      <c r="P418" s="663" t="s">
        <v>1581</v>
      </c>
      <c r="Q418" s="663">
        <v>1</v>
      </c>
      <c r="R418" s="690">
        <v>0</v>
      </c>
      <c r="S418" s="687" t="s">
        <v>1593</v>
      </c>
      <c r="T418" s="683" t="s">
        <v>825</v>
      </c>
      <c r="U418" s="683" t="s">
        <v>63</v>
      </c>
      <c r="V418" s="690"/>
      <c r="W418" s="687"/>
      <c r="X418" s="686">
        <v>47</v>
      </c>
      <c r="Y418" s="687" t="s">
        <v>1585</v>
      </c>
      <c r="Z418" s="663" t="s">
        <v>1586</v>
      </c>
      <c r="AA418" s="663" t="s">
        <v>1585</v>
      </c>
      <c r="AB418" s="663" t="s">
        <v>825</v>
      </c>
      <c r="AC418" s="663" t="s">
        <v>1586</v>
      </c>
      <c r="AD418" s="663" t="s">
        <v>1587</v>
      </c>
      <c r="AE418" s="663" t="s">
        <v>825</v>
      </c>
      <c r="AF418" s="663" t="s">
        <v>1586</v>
      </c>
      <c r="AG418" s="663" t="s">
        <v>1586</v>
      </c>
      <c r="AH418" s="663" t="s">
        <v>1586</v>
      </c>
      <c r="AI418" s="688">
        <v>78.94736842105263</v>
      </c>
      <c r="AJ418" s="689" t="s">
        <v>1588</v>
      </c>
      <c r="AK418" s="690"/>
    </row>
    <row r="419" spans="1:37" s="653" customFormat="1">
      <c r="A419" s="655">
        <v>2024</v>
      </c>
      <c r="B419" s="656" t="str">
        <f>INDEX('①基本情報 '!$C$2:$C$255,MATCH('②建物情報 '!E419,'①基本情報 '!$E$2:$E$255,0),1)</f>
        <v>172</v>
      </c>
      <c r="C419" s="657" t="str">
        <f>INDEX('①基本情報 '!$B$2:$B$255,MATCH('②建物情報 '!E419,'①基本情報 '!$E$2:$E$255,0),1)</f>
        <v>1017</v>
      </c>
      <c r="D419" s="658" t="s">
        <v>2418</v>
      </c>
      <c r="E419" s="612" t="s">
        <v>1130</v>
      </c>
      <c r="F419" s="611" t="str">
        <f>INDEX('①基本情報 '!$G$2:$G$255,MATCH('②建物情報 '!E419,'①基本情報 '!$E$2:$E$255,0),1)</f>
        <v>教育委員会教育総務部・こども未来部</v>
      </c>
      <c r="G419" s="678" t="s">
        <v>1589</v>
      </c>
      <c r="H419" s="612" t="s">
        <v>1679</v>
      </c>
      <c r="I419" s="663">
        <v>1982</v>
      </c>
      <c r="J419" s="663">
        <v>5</v>
      </c>
      <c r="K419" s="663">
        <f t="shared" si="6"/>
        <v>42</v>
      </c>
      <c r="L419" s="694">
        <v>203</v>
      </c>
      <c r="M419" s="704">
        <v>203</v>
      </c>
      <c r="N419" s="704">
        <v>203</v>
      </c>
      <c r="O419" s="681" t="s">
        <v>1812</v>
      </c>
      <c r="P419" s="663" t="s">
        <v>1581</v>
      </c>
      <c r="Q419" s="663">
        <v>1</v>
      </c>
      <c r="R419" s="690">
        <v>0</v>
      </c>
      <c r="S419" s="687" t="s">
        <v>1593</v>
      </c>
      <c r="T419" s="683" t="s">
        <v>825</v>
      </c>
      <c r="U419" s="683" t="s">
        <v>63</v>
      </c>
      <c r="V419" s="690"/>
      <c r="W419" s="687"/>
      <c r="X419" s="686">
        <v>47</v>
      </c>
      <c r="Y419" s="687" t="s">
        <v>1585</v>
      </c>
      <c r="Z419" s="663" t="s">
        <v>1586</v>
      </c>
      <c r="AA419" s="663" t="s">
        <v>1585</v>
      </c>
      <c r="AB419" s="663" t="s">
        <v>825</v>
      </c>
      <c r="AC419" s="663" t="s">
        <v>1586</v>
      </c>
      <c r="AD419" s="663" t="s">
        <v>1587</v>
      </c>
      <c r="AE419" s="663" t="s">
        <v>825</v>
      </c>
      <c r="AF419" s="663" t="s">
        <v>1586</v>
      </c>
      <c r="AG419" s="663" t="s">
        <v>1586</v>
      </c>
      <c r="AH419" s="663" t="s">
        <v>1586</v>
      </c>
      <c r="AI419" s="688">
        <v>78.94736842105263</v>
      </c>
      <c r="AJ419" s="689" t="s">
        <v>1588</v>
      </c>
      <c r="AK419" s="690"/>
    </row>
    <row r="420" spans="1:37" s="653" customFormat="1">
      <c r="A420" s="655">
        <v>2024</v>
      </c>
      <c r="B420" s="656" t="str">
        <f>INDEX('①基本情報 '!$C$2:$C$255,MATCH('②建物情報 '!E420,'①基本情報 '!$E$2:$E$255,0),1)</f>
        <v>172</v>
      </c>
      <c r="C420" s="657" t="str">
        <f>INDEX('①基本情報 '!$B$2:$B$255,MATCH('②建物情報 '!E420,'①基本情報 '!$E$2:$E$255,0),1)</f>
        <v>1017</v>
      </c>
      <c r="D420" s="658" t="s">
        <v>2418</v>
      </c>
      <c r="E420" s="612" t="s">
        <v>1130</v>
      </c>
      <c r="F420" s="611" t="str">
        <f>INDEX('①基本情報 '!$G$2:$G$255,MATCH('②建物情報 '!E420,'①基本情報 '!$E$2:$E$255,0),1)</f>
        <v>教育委員会教育総務部・こども未来部</v>
      </c>
      <c r="G420" s="678" t="s">
        <v>1591</v>
      </c>
      <c r="H420" s="612" t="s">
        <v>1678</v>
      </c>
      <c r="I420" s="663">
        <v>1982</v>
      </c>
      <c r="J420" s="663">
        <v>5</v>
      </c>
      <c r="K420" s="663">
        <f t="shared" si="6"/>
        <v>42</v>
      </c>
      <c r="L420" s="694">
        <v>79</v>
      </c>
      <c r="M420" s="704">
        <v>79</v>
      </c>
      <c r="N420" s="704">
        <v>79</v>
      </c>
      <c r="O420" s="681" t="s">
        <v>1812</v>
      </c>
      <c r="P420" s="663" t="s">
        <v>1581</v>
      </c>
      <c r="Q420" s="663">
        <v>1</v>
      </c>
      <c r="R420" s="690">
        <v>0</v>
      </c>
      <c r="S420" s="687" t="s">
        <v>1593</v>
      </c>
      <c r="T420" s="683" t="s">
        <v>825</v>
      </c>
      <c r="U420" s="683" t="s">
        <v>63</v>
      </c>
      <c r="V420" s="690"/>
      <c r="W420" s="687"/>
      <c r="X420" s="686">
        <v>47</v>
      </c>
      <c r="Y420" s="687" t="s">
        <v>1585</v>
      </c>
      <c r="Z420" s="663" t="s">
        <v>1586</v>
      </c>
      <c r="AA420" s="663" t="s">
        <v>1585</v>
      </c>
      <c r="AB420" s="663" t="s">
        <v>825</v>
      </c>
      <c r="AC420" s="663" t="s">
        <v>1586</v>
      </c>
      <c r="AD420" s="663" t="s">
        <v>1587</v>
      </c>
      <c r="AE420" s="663" t="s">
        <v>825</v>
      </c>
      <c r="AF420" s="663" t="s">
        <v>1586</v>
      </c>
      <c r="AG420" s="663" t="s">
        <v>1586</v>
      </c>
      <c r="AH420" s="663" t="s">
        <v>1586</v>
      </c>
      <c r="AI420" s="688">
        <v>78.94736842105263</v>
      </c>
      <c r="AJ420" s="689" t="s">
        <v>1588</v>
      </c>
      <c r="AK420" s="690"/>
    </row>
    <row r="421" spans="1:37" s="653" customFormat="1">
      <c r="A421" s="655">
        <v>2024</v>
      </c>
      <c r="B421" s="656" t="str">
        <f>INDEX('①基本情報 '!$C$2:$C$255,MATCH('②建物情報 '!E421,'①基本情報 '!$E$2:$E$255,0),1)</f>
        <v>172</v>
      </c>
      <c r="C421" s="657" t="str">
        <f>INDEX('①基本情報 '!$B$2:$B$255,MATCH('②建物情報 '!E421,'①基本情報 '!$E$2:$E$255,0),1)</f>
        <v>1017</v>
      </c>
      <c r="D421" s="658" t="s">
        <v>2418</v>
      </c>
      <c r="E421" s="612" t="s">
        <v>1130</v>
      </c>
      <c r="F421" s="611" t="str">
        <f>INDEX('①基本情報 '!$G$2:$G$255,MATCH('②建物情報 '!E421,'①基本情報 '!$E$2:$E$255,0),1)</f>
        <v>教育委員会教育総務部・こども未来部</v>
      </c>
      <c r="G421" s="678" t="s">
        <v>1601</v>
      </c>
      <c r="H421" s="612" t="s">
        <v>1680</v>
      </c>
      <c r="I421" s="663">
        <v>2002</v>
      </c>
      <c r="J421" s="663">
        <v>2</v>
      </c>
      <c r="K421" s="663">
        <f t="shared" si="6"/>
        <v>22</v>
      </c>
      <c r="L421" s="694">
        <v>80</v>
      </c>
      <c r="M421" s="704">
        <v>80</v>
      </c>
      <c r="N421" s="704">
        <v>80</v>
      </c>
      <c r="O421" s="681" t="s">
        <v>1812</v>
      </c>
      <c r="P421" s="663" t="s">
        <v>1581</v>
      </c>
      <c r="Q421" s="663">
        <v>1</v>
      </c>
      <c r="R421" s="690">
        <v>0</v>
      </c>
      <c r="S421" s="687" t="s">
        <v>1593</v>
      </c>
      <c r="T421" s="683" t="s">
        <v>825</v>
      </c>
      <c r="U421" s="683" t="s">
        <v>63</v>
      </c>
      <c r="V421" s="690"/>
      <c r="W421" s="687"/>
      <c r="X421" s="686">
        <v>47</v>
      </c>
      <c r="Y421" s="687" t="s">
        <v>1596</v>
      </c>
      <c r="Z421" s="663" t="s">
        <v>1586</v>
      </c>
      <c r="AA421" s="663" t="s">
        <v>1586</v>
      </c>
      <c r="AB421" s="663" t="s">
        <v>825</v>
      </c>
      <c r="AC421" s="663" t="s">
        <v>1586</v>
      </c>
      <c r="AD421" s="663" t="s">
        <v>1587</v>
      </c>
      <c r="AE421" s="663" t="s">
        <v>825</v>
      </c>
      <c r="AF421" s="663" t="s">
        <v>1585</v>
      </c>
      <c r="AG421" s="663" t="s">
        <v>1585</v>
      </c>
      <c r="AH421" s="663" t="s">
        <v>1585</v>
      </c>
      <c r="AI421" s="688">
        <v>64.21052631578948</v>
      </c>
      <c r="AJ421" s="689" t="s">
        <v>1588</v>
      </c>
      <c r="AK421" s="690"/>
    </row>
    <row r="422" spans="1:37" s="653" customFormat="1">
      <c r="A422" s="655">
        <v>2024</v>
      </c>
      <c r="B422" s="656" t="str">
        <f>INDEX('①基本情報 '!$C$2:$C$255,MATCH('②建物情報 '!E422,'①基本情報 '!$E$2:$E$255,0),1)</f>
        <v>172</v>
      </c>
      <c r="C422" s="657" t="str">
        <f>INDEX('①基本情報 '!$B$2:$B$255,MATCH('②建物情報 '!E422,'①基本情報 '!$E$2:$E$255,0),1)</f>
        <v>1017</v>
      </c>
      <c r="D422" s="658" t="s">
        <v>2418</v>
      </c>
      <c r="E422" s="612" t="s">
        <v>1130</v>
      </c>
      <c r="F422" s="611" t="str">
        <f>INDEX('①基本情報 '!$G$2:$G$255,MATCH('②建物情報 '!E422,'①基本情報 '!$E$2:$E$255,0),1)</f>
        <v>教育委員会教育総務部・こども未来部</v>
      </c>
      <c r="G422" s="678" t="s">
        <v>1620</v>
      </c>
      <c r="H422" s="612" t="s">
        <v>1613</v>
      </c>
      <c r="I422" s="663">
        <v>1982</v>
      </c>
      <c r="J422" s="663">
        <v>5</v>
      </c>
      <c r="K422" s="663">
        <f t="shared" si="6"/>
        <v>42</v>
      </c>
      <c r="L422" s="694"/>
      <c r="M422" s="704">
        <v>10</v>
      </c>
      <c r="N422" s="704">
        <v>10</v>
      </c>
      <c r="O422" s="681" t="s">
        <v>1812</v>
      </c>
      <c r="P422" s="663" t="s">
        <v>1581</v>
      </c>
      <c r="Q422" s="663">
        <v>1</v>
      </c>
      <c r="R422" s="690">
        <v>0</v>
      </c>
      <c r="S422" s="687" t="s">
        <v>1593</v>
      </c>
      <c r="T422" s="683" t="s">
        <v>825</v>
      </c>
      <c r="U422" s="683" t="s">
        <v>63</v>
      </c>
      <c r="V422" s="690"/>
      <c r="W422" s="687"/>
      <c r="X422" s="686">
        <v>38</v>
      </c>
      <c r="Y422" s="687" t="s">
        <v>1585</v>
      </c>
      <c r="Z422" s="663" t="s">
        <v>1586</v>
      </c>
      <c r="AA422" s="663" t="s">
        <v>1586</v>
      </c>
      <c r="AB422" s="663" t="s">
        <v>825</v>
      </c>
      <c r="AC422" s="663" t="s">
        <v>1586</v>
      </c>
      <c r="AD422" s="663" t="s">
        <v>825</v>
      </c>
      <c r="AE422" s="663" t="s">
        <v>825</v>
      </c>
      <c r="AF422" s="663" t="s">
        <v>825</v>
      </c>
      <c r="AG422" s="663" t="s">
        <v>825</v>
      </c>
      <c r="AH422" s="663" t="s">
        <v>1586</v>
      </c>
      <c r="AI422" s="688">
        <v>80.833333333333329</v>
      </c>
      <c r="AJ422" s="689" t="s">
        <v>1588</v>
      </c>
      <c r="AK422" s="690"/>
    </row>
    <row r="423" spans="1:37" s="653" customFormat="1">
      <c r="A423" s="655">
        <v>2024</v>
      </c>
      <c r="B423" s="656" t="str">
        <f>INDEX('①基本情報 '!$C$2:$C$255,MATCH('②建物情報 '!E423,'①基本情報 '!$E$2:$E$255,0),1)</f>
        <v>173</v>
      </c>
      <c r="C423" s="657" t="str">
        <f>INDEX('①基本情報 '!$B$2:$B$255,MATCH('②建物情報 '!E423,'①基本情報 '!$E$2:$E$255,0),1)</f>
        <v>1018</v>
      </c>
      <c r="D423" s="658" t="s">
        <v>2418</v>
      </c>
      <c r="E423" s="578" t="s">
        <v>2140</v>
      </c>
      <c r="F423" s="611" t="str">
        <f>INDEX('①基本情報 '!$G$2:$G$255,MATCH('②建物情報 '!E423,'①基本情報 '!$E$2:$E$255,0),1)</f>
        <v>教育委員会教育総務部・こども未来部</v>
      </c>
      <c r="G423" s="678" t="s">
        <v>1580</v>
      </c>
      <c r="H423" s="612" t="s">
        <v>2200</v>
      </c>
      <c r="I423" s="663">
        <v>2020</v>
      </c>
      <c r="J423" s="663">
        <v>3</v>
      </c>
      <c r="K423" s="663">
        <f t="shared" si="6"/>
        <v>4</v>
      </c>
      <c r="L423" s="694">
        <v>1952</v>
      </c>
      <c r="M423" s="704">
        <v>3085.97</v>
      </c>
      <c r="N423" s="704">
        <v>3085.97</v>
      </c>
      <c r="O423" s="681" t="s">
        <v>1812</v>
      </c>
      <c r="P423" s="663" t="s">
        <v>1581</v>
      </c>
      <c r="Q423" s="663">
        <v>2</v>
      </c>
      <c r="R423" s="690">
        <v>0</v>
      </c>
      <c r="S423" s="687" t="s">
        <v>1593</v>
      </c>
      <c r="T423" s="683" t="s">
        <v>825</v>
      </c>
      <c r="U423" s="683" t="s">
        <v>63</v>
      </c>
      <c r="V423" s="690"/>
      <c r="W423" s="687"/>
      <c r="X423" s="686">
        <v>47</v>
      </c>
      <c r="Y423" s="687" t="s">
        <v>1587</v>
      </c>
      <c r="Z423" s="663" t="s">
        <v>1587</v>
      </c>
      <c r="AA423" s="663" t="s">
        <v>1596</v>
      </c>
      <c r="AB423" s="663" t="s">
        <v>1587</v>
      </c>
      <c r="AC423" s="663" t="s">
        <v>1596</v>
      </c>
      <c r="AD423" s="663" t="s">
        <v>1596</v>
      </c>
      <c r="AE423" s="663" t="s">
        <v>825</v>
      </c>
      <c r="AF423" s="663" t="s">
        <v>1587</v>
      </c>
      <c r="AG423" s="663" t="s">
        <v>1587</v>
      </c>
      <c r="AH423" s="663" t="s">
        <v>1587</v>
      </c>
      <c r="AI423" s="688">
        <v>20.869565217391305</v>
      </c>
      <c r="AJ423" s="689" t="s">
        <v>2123</v>
      </c>
      <c r="AK423" s="690"/>
    </row>
    <row r="424" spans="1:37" s="653" customFormat="1">
      <c r="A424" s="655">
        <v>2024</v>
      </c>
      <c r="B424" s="656" t="str">
        <f>INDEX('①基本情報 '!$C$2:$C$255,MATCH('②建物情報 '!E424,'①基本情報 '!$E$2:$E$255,0),1)</f>
        <v>174</v>
      </c>
      <c r="C424" s="657" t="str">
        <f>INDEX('①基本情報 '!$B$2:$B$255,MATCH('②建物情報 '!E424,'①基本情報 '!$E$2:$E$255,0),1)</f>
        <v>1019</v>
      </c>
      <c r="D424" s="658" t="s">
        <v>2418</v>
      </c>
      <c r="E424" s="578" t="s">
        <v>2139</v>
      </c>
      <c r="F424" s="611" t="str">
        <f>INDEX('①基本情報 '!$G$2:$G$255,MATCH('②建物情報 '!E424,'①基本情報 '!$E$2:$E$255,0),1)</f>
        <v>教育委員会教育総務部・こども未来部</v>
      </c>
      <c r="G424" s="678" t="s">
        <v>1580</v>
      </c>
      <c r="H424" s="612" t="s">
        <v>2124</v>
      </c>
      <c r="I424" s="663">
        <v>1972</v>
      </c>
      <c r="J424" s="663">
        <v>9</v>
      </c>
      <c r="K424" s="663">
        <f t="shared" si="6"/>
        <v>52</v>
      </c>
      <c r="L424" s="694">
        <v>528</v>
      </c>
      <c r="M424" s="704">
        <v>998.47</v>
      </c>
      <c r="N424" s="704">
        <v>998.47</v>
      </c>
      <c r="O424" s="681" t="s">
        <v>1812</v>
      </c>
      <c r="P424" s="663" t="s">
        <v>1581</v>
      </c>
      <c r="Q424" s="663">
        <v>2</v>
      </c>
      <c r="R424" s="690">
        <v>0</v>
      </c>
      <c r="S424" s="687" t="s">
        <v>1582</v>
      </c>
      <c r="T424" s="683" t="s">
        <v>1583</v>
      </c>
      <c r="U424" s="683" t="s">
        <v>63</v>
      </c>
      <c r="V424" s="690">
        <v>2011</v>
      </c>
      <c r="W424" s="687">
        <v>2011</v>
      </c>
      <c r="X424" s="686">
        <v>47</v>
      </c>
      <c r="Y424" s="687" t="s">
        <v>1587</v>
      </c>
      <c r="Z424" s="663" t="s">
        <v>1587</v>
      </c>
      <c r="AA424" s="663" t="s">
        <v>1596</v>
      </c>
      <c r="AB424" s="663" t="s">
        <v>1587</v>
      </c>
      <c r="AC424" s="663" t="s">
        <v>1596</v>
      </c>
      <c r="AD424" s="663" t="s">
        <v>1596</v>
      </c>
      <c r="AE424" s="663" t="s">
        <v>825</v>
      </c>
      <c r="AF424" s="663" t="s">
        <v>1587</v>
      </c>
      <c r="AG424" s="663" t="s">
        <v>1587</v>
      </c>
      <c r="AH424" s="663" t="s">
        <v>1587</v>
      </c>
      <c r="AI424" s="688">
        <v>20.869565217391305</v>
      </c>
      <c r="AJ424" s="689" t="s">
        <v>2123</v>
      </c>
      <c r="AK424" s="690"/>
    </row>
    <row r="425" spans="1:37" s="653" customFormat="1">
      <c r="A425" s="655">
        <v>2024</v>
      </c>
      <c r="B425" s="656" t="str">
        <f>INDEX('①基本情報 '!$C$2:$C$255,MATCH('②建物情報 '!E425,'①基本情報 '!$E$2:$E$255,0),1)</f>
        <v>174</v>
      </c>
      <c r="C425" s="657" t="str">
        <f>INDEX('①基本情報 '!$B$2:$B$255,MATCH('②建物情報 '!E425,'①基本情報 '!$E$2:$E$255,0),1)</f>
        <v>1019</v>
      </c>
      <c r="D425" s="658" t="s">
        <v>2418</v>
      </c>
      <c r="E425" s="612" t="s">
        <v>2139</v>
      </c>
      <c r="F425" s="611" t="str">
        <f>INDEX('①基本情報 '!$G$2:$G$255,MATCH('②建物情報 '!E425,'①基本情報 '!$E$2:$E$255,0),1)</f>
        <v>教育委員会教育総務部・こども未来部</v>
      </c>
      <c r="G425" s="678" t="s">
        <v>2592</v>
      </c>
      <c r="H425" s="612" t="s">
        <v>2201</v>
      </c>
      <c r="I425" s="663">
        <v>2020</v>
      </c>
      <c r="J425" s="663">
        <v>3</v>
      </c>
      <c r="K425" s="663">
        <f t="shared" si="6"/>
        <v>4</v>
      </c>
      <c r="L425" s="694">
        <v>1447</v>
      </c>
      <c r="M425" s="704">
        <v>1796.14</v>
      </c>
      <c r="N425" s="704">
        <v>1796.14</v>
      </c>
      <c r="O425" s="681" t="s">
        <v>1812</v>
      </c>
      <c r="P425" s="663" t="s">
        <v>1890</v>
      </c>
      <c r="Q425" s="663">
        <v>2</v>
      </c>
      <c r="R425" s="690">
        <v>0</v>
      </c>
      <c r="S425" s="687" t="s">
        <v>1927</v>
      </c>
      <c r="T425" s="683" t="s">
        <v>1966</v>
      </c>
      <c r="U425" s="683" t="s">
        <v>1846</v>
      </c>
      <c r="V425" s="690"/>
      <c r="W425" s="687"/>
      <c r="X425" s="686">
        <v>47</v>
      </c>
      <c r="Y425" s="655" t="s">
        <v>1587</v>
      </c>
      <c r="Z425" s="722" t="s">
        <v>1587</v>
      </c>
      <c r="AA425" s="722" t="s">
        <v>1596</v>
      </c>
      <c r="AB425" s="722" t="s">
        <v>1587</v>
      </c>
      <c r="AC425" s="722" t="s">
        <v>1596</v>
      </c>
      <c r="AD425" s="722" t="s">
        <v>1596</v>
      </c>
      <c r="AE425" s="722" t="s">
        <v>825</v>
      </c>
      <c r="AF425" s="722" t="s">
        <v>1587</v>
      </c>
      <c r="AG425" s="722" t="s">
        <v>1587</v>
      </c>
      <c r="AH425" s="722" t="s">
        <v>1587</v>
      </c>
      <c r="AI425" s="384">
        <v>20.869565217391305</v>
      </c>
      <c r="AJ425" s="689" t="s">
        <v>2123</v>
      </c>
      <c r="AK425" s="690"/>
    </row>
    <row r="426" spans="1:37" s="653" customFormat="1">
      <c r="A426" s="655">
        <v>2024</v>
      </c>
      <c r="B426" s="656" t="str">
        <f>INDEX('①基本情報 '!$C$2:$C$255,MATCH('②建物情報 '!E426,'①基本情報 '!$E$2:$E$255,0),1)</f>
        <v>175</v>
      </c>
      <c r="C426" s="657" t="str">
        <f>INDEX('①基本情報 '!$B$2:$B$255,MATCH('②建物情報 '!E426,'①基本情報 '!$E$2:$E$255,0),1)</f>
        <v>1020</v>
      </c>
      <c r="D426" s="658" t="s">
        <v>2418</v>
      </c>
      <c r="E426" s="612" t="s">
        <v>2427</v>
      </c>
      <c r="F426" s="611" t="str">
        <f>INDEX('①基本情報 '!$G$2:$G$255,MATCH('②建物情報 '!E426,'①基本情報 '!$E$2:$E$255,0),1)</f>
        <v>教育委員会教育総務部・こども未来部</v>
      </c>
      <c r="G426" s="678" t="s">
        <v>1944</v>
      </c>
      <c r="H426" s="612" t="s">
        <v>2200</v>
      </c>
      <c r="I426" s="663">
        <v>2020</v>
      </c>
      <c r="J426" s="663">
        <v>3</v>
      </c>
      <c r="K426" s="663">
        <f t="shared" si="6"/>
        <v>4</v>
      </c>
      <c r="L426" s="694">
        <v>599</v>
      </c>
      <c r="M426" s="704">
        <v>922.03</v>
      </c>
      <c r="N426" s="704">
        <v>922.03</v>
      </c>
      <c r="O426" s="681" t="s">
        <v>1812</v>
      </c>
      <c r="P426" s="663" t="s">
        <v>1942</v>
      </c>
      <c r="Q426" s="663">
        <v>2</v>
      </c>
      <c r="R426" s="690">
        <v>0</v>
      </c>
      <c r="S426" s="687" t="s">
        <v>1927</v>
      </c>
      <c r="T426" s="683" t="s">
        <v>1966</v>
      </c>
      <c r="U426" s="683" t="s">
        <v>1846</v>
      </c>
      <c r="V426" s="690"/>
      <c r="W426" s="687"/>
      <c r="X426" s="686">
        <v>34</v>
      </c>
      <c r="Y426" s="655" t="s">
        <v>1587</v>
      </c>
      <c r="Z426" s="722" t="s">
        <v>1587</v>
      </c>
      <c r="AA426" s="722" t="s">
        <v>1596</v>
      </c>
      <c r="AB426" s="722" t="s">
        <v>825</v>
      </c>
      <c r="AC426" s="722" t="s">
        <v>1587</v>
      </c>
      <c r="AD426" s="722" t="s">
        <v>1596</v>
      </c>
      <c r="AE426" s="722" t="s">
        <v>825</v>
      </c>
      <c r="AF426" s="722" t="s">
        <v>1587</v>
      </c>
      <c r="AG426" s="722" t="s">
        <v>1587</v>
      </c>
      <c r="AH426" s="722" t="s">
        <v>1587</v>
      </c>
      <c r="AI426" s="723">
        <v>17.500000000000004</v>
      </c>
      <c r="AJ426" s="689" t="s">
        <v>2123</v>
      </c>
      <c r="AK426" s="690"/>
    </row>
    <row r="427" spans="1:37" s="653" customFormat="1">
      <c r="A427" s="655">
        <v>2024</v>
      </c>
      <c r="B427" s="656" t="str">
        <f>INDEX('①基本情報 '!$C$2:$C$255,MATCH('②建物情報 '!E427,'①基本情報 '!$E$2:$E$255,0),1)</f>
        <v>176</v>
      </c>
      <c r="C427" s="657" t="str">
        <f>INDEX('①基本情報 '!$B$2:$B$255,MATCH('②建物情報 '!E427,'①基本情報 '!$E$2:$E$255,0),1)</f>
        <v>1000</v>
      </c>
      <c r="D427" s="658" t="s">
        <v>2418</v>
      </c>
      <c r="E427" s="612" t="s">
        <v>2501</v>
      </c>
      <c r="F427" s="611" t="str">
        <f>INDEX('①基本情報 '!$G$2:$G$255,MATCH('②建物情報 '!E427,'①基本情報 '!$E$2:$E$255,0),1)</f>
        <v>教育委員会教育総務部・こども未来部</v>
      </c>
      <c r="G427" s="678" t="s">
        <v>1944</v>
      </c>
      <c r="H427" s="612" t="s">
        <v>2200</v>
      </c>
      <c r="I427" s="663">
        <v>2022</v>
      </c>
      <c r="J427" s="663">
        <v>3</v>
      </c>
      <c r="K427" s="663">
        <f t="shared" si="6"/>
        <v>2</v>
      </c>
      <c r="L427" s="694">
        <v>1186.29</v>
      </c>
      <c r="M427" s="704">
        <v>2809.34</v>
      </c>
      <c r="N427" s="704">
        <v>2809.34</v>
      </c>
      <c r="O427" s="681" t="s">
        <v>1812</v>
      </c>
      <c r="P427" s="663" t="s">
        <v>1890</v>
      </c>
      <c r="Q427" s="663">
        <v>3</v>
      </c>
      <c r="R427" s="690">
        <v>0</v>
      </c>
      <c r="S427" s="687" t="s">
        <v>1927</v>
      </c>
      <c r="T427" s="683" t="s">
        <v>1966</v>
      </c>
      <c r="U427" s="683" t="s">
        <v>1846</v>
      </c>
      <c r="V427" s="690"/>
      <c r="W427" s="687"/>
      <c r="X427" s="686">
        <v>47</v>
      </c>
      <c r="Y427" s="655" t="s">
        <v>1587</v>
      </c>
      <c r="Z427" s="722" t="s">
        <v>1587</v>
      </c>
      <c r="AA427" s="722" t="s">
        <v>1587</v>
      </c>
      <c r="AB427" s="722" t="s">
        <v>1587</v>
      </c>
      <c r="AC427" s="722" t="s">
        <v>1587</v>
      </c>
      <c r="AD427" s="722" t="s">
        <v>1587</v>
      </c>
      <c r="AE427" s="722" t="s">
        <v>825</v>
      </c>
      <c r="AF427" s="722" t="s">
        <v>1587</v>
      </c>
      <c r="AG427" s="722" t="s">
        <v>1587</v>
      </c>
      <c r="AH427" s="722" t="s">
        <v>1587</v>
      </c>
      <c r="AI427" s="723">
        <v>6.086956521739129</v>
      </c>
      <c r="AJ427" s="689" t="s">
        <v>2123</v>
      </c>
      <c r="AK427" s="690"/>
    </row>
    <row r="428" spans="1:37" s="653" customFormat="1">
      <c r="A428" s="655">
        <v>2024</v>
      </c>
      <c r="B428" s="656" t="str">
        <f>INDEX('①基本情報 '!$C$2:$C$255,MATCH('②建物情報 '!E428,'①基本情報 '!$E$2:$E$255,0),1)</f>
        <v>177</v>
      </c>
      <c r="C428" s="657" t="str">
        <f>INDEX('①基本情報 '!$B$2:$B$255,MATCH('②建物情報 '!E428,'①基本情報 '!$E$2:$E$255,0),1)</f>
        <v>0350</v>
      </c>
      <c r="D428" s="658" t="s">
        <v>2418</v>
      </c>
      <c r="E428" s="612" t="s">
        <v>1134</v>
      </c>
      <c r="F428" s="611" t="str">
        <f>INDEX('①基本情報 '!$G$2:$G$255,MATCH('②建物情報 '!E428,'①基本情報 '!$E$2:$E$255,0),1)</f>
        <v>健康福祉部地域福祉室地域・高年福祉課</v>
      </c>
      <c r="G428" s="678" t="s">
        <v>1580</v>
      </c>
      <c r="H428" s="612" t="s">
        <v>1681</v>
      </c>
      <c r="I428" s="663">
        <v>2001</v>
      </c>
      <c r="J428" s="663">
        <v>2</v>
      </c>
      <c r="K428" s="663">
        <f t="shared" si="6"/>
        <v>23</v>
      </c>
      <c r="L428" s="679">
        <v>842.27</v>
      </c>
      <c r="M428" s="695">
        <v>2556.71</v>
      </c>
      <c r="N428" s="695">
        <v>2556.71</v>
      </c>
      <c r="O428" s="681" t="s">
        <v>1812</v>
      </c>
      <c r="P428" s="259" t="s">
        <v>1581</v>
      </c>
      <c r="Q428" s="259">
        <v>4</v>
      </c>
      <c r="R428" s="260">
        <v>0</v>
      </c>
      <c r="S428" s="682" t="s">
        <v>1593</v>
      </c>
      <c r="T428" s="683" t="s">
        <v>825</v>
      </c>
      <c r="U428" s="683" t="s">
        <v>63</v>
      </c>
      <c r="V428" s="684"/>
      <c r="W428" s="685"/>
      <c r="X428" s="686">
        <v>50</v>
      </c>
      <c r="Y428" s="687" t="s">
        <v>1596</v>
      </c>
      <c r="Z428" s="663" t="s">
        <v>1585</v>
      </c>
      <c r="AA428" s="663" t="s">
        <v>1586</v>
      </c>
      <c r="AB428" s="663" t="s">
        <v>825</v>
      </c>
      <c r="AC428" s="663" t="s">
        <v>1586</v>
      </c>
      <c r="AD428" s="663" t="s">
        <v>1596</v>
      </c>
      <c r="AE428" s="663" t="s">
        <v>1585</v>
      </c>
      <c r="AF428" s="663" t="s">
        <v>825</v>
      </c>
      <c r="AG428" s="663" t="s">
        <v>825</v>
      </c>
      <c r="AH428" s="663" t="s">
        <v>1585</v>
      </c>
      <c r="AI428" s="688">
        <v>62.285714285714278</v>
      </c>
      <c r="AJ428" s="689" t="s">
        <v>1588</v>
      </c>
      <c r="AK428" s="690"/>
    </row>
    <row r="429" spans="1:37" s="653" customFormat="1">
      <c r="A429" s="655">
        <v>2024</v>
      </c>
      <c r="B429" s="656" t="str">
        <f>INDEX('①基本情報 '!$C$2:$C$255,MATCH('②建物情報 '!E429,'①基本情報 '!$E$2:$E$255,0),1)</f>
        <v>178</v>
      </c>
      <c r="C429" s="657" t="str">
        <f>INDEX('①基本情報 '!$B$2:$B$255,MATCH('②建物情報 '!E429,'①基本情報 '!$E$2:$E$255,0),1)</f>
        <v>0337</v>
      </c>
      <c r="D429" s="658" t="s">
        <v>2418</v>
      </c>
      <c r="E429" s="612" t="s">
        <v>1147</v>
      </c>
      <c r="F429" s="611" t="str">
        <f>INDEX('①基本情報 '!$G$2:$G$255,MATCH('②建物情報 '!E429,'①基本情報 '!$E$2:$E$255,0),1)</f>
        <v>健康福祉部地域福祉室地域・高年福祉課</v>
      </c>
      <c r="G429" s="678" t="s">
        <v>1580</v>
      </c>
      <c r="H429" s="612" t="s">
        <v>1682</v>
      </c>
      <c r="I429" s="663">
        <v>1990</v>
      </c>
      <c r="J429" s="663">
        <v>3</v>
      </c>
      <c r="K429" s="663">
        <f t="shared" si="6"/>
        <v>34</v>
      </c>
      <c r="L429" s="679">
        <v>1870.89</v>
      </c>
      <c r="M429" s="680">
        <v>3177.31</v>
      </c>
      <c r="N429" s="680">
        <v>3177.31</v>
      </c>
      <c r="O429" s="681" t="s">
        <v>1812</v>
      </c>
      <c r="P429" s="259" t="s">
        <v>1581</v>
      </c>
      <c r="Q429" s="259">
        <v>2</v>
      </c>
      <c r="R429" s="260">
        <v>0</v>
      </c>
      <c r="S429" s="682" t="s">
        <v>1593</v>
      </c>
      <c r="T429" s="683" t="s">
        <v>825</v>
      </c>
      <c r="U429" s="683" t="s">
        <v>63</v>
      </c>
      <c r="V429" s="684"/>
      <c r="W429" s="685"/>
      <c r="X429" s="686">
        <v>50</v>
      </c>
      <c r="Y429" s="687" t="s">
        <v>1596</v>
      </c>
      <c r="Z429" s="663" t="s">
        <v>1586</v>
      </c>
      <c r="AA429" s="663" t="s">
        <v>1585</v>
      </c>
      <c r="AB429" s="663" t="s">
        <v>1596</v>
      </c>
      <c r="AC429" s="663" t="s">
        <v>1586</v>
      </c>
      <c r="AD429" s="663" t="s">
        <v>1596</v>
      </c>
      <c r="AE429" s="663" t="s">
        <v>1586</v>
      </c>
      <c r="AF429" s="663" t="s">
        <v>825</v>
      </c>
      <c r="AG429" s="663" t="s">
        <v>825</v>
      </c>
      <c r="AH429" s="663" t="s">
        <v>1586</v>
      </c>
      <c r="AI429" s="688">
        <v>70</v>
      </c>
      <c r="AJ429" s="689" t="s">
        <v>1588</v>
      </c>
      <c r="AK429" s="690"/>
    </row>
    <row r="430" spans="1:37" s="653" customFormat="1">
      <c r="A430" s="655">
        <v>2024</v>
      </c>
      <c r="B430" s="656" t="str">
        <f>INDEX('①基本情報 '!$C$2:$C$255,MATCH('②建物情報 '!E430,'①基本情報 '!$E$2:$E$255,0),1)</f>
        <v>178</v>
      </c>
      <c r="C430" s="657" t="str">
        <f>INDEX('①基本情報 '!$B$2:$B$255,MATCH('②建物情報 '!E430,'①基本情報 '!$E$2:$E$255,0),1)</f>
        <v>0337</v>
      </c>
      <c r="D430" s="658" t="s">
        <v>2418</v>
      </c>
      <c r="E430" s="612" t="s">
        <v>1147</v>
      </c>
      <c r="F430" s="611" t="str">
        <f>INDEX('①基本情報 '!$G$2:$G$255,MATCH('②建物情報 '!E430,'①基本情報 '!$E$2:$E$255,0),1)</f>
        <v>健康福祉部地域福祉室地域・高年福祉課</v>
      </c>
      <c r="G430" s="678" t="s">
        <v>1589</v>
      </c>
      <c r="H430" s="612" t="s">
        <v>1609</v>
      </c>
      <c r="I430" s="663">
        <v>1990</v>
      </c>
      <c r="J430" s="663">
        <v>3</v>
      </c>
      <c r="K430" s="663">
        <f t="shared" si="6"/>
        <v>34</v>
      </c>
      <c r="L430" s="679"/>
      <c r="M430" s="680">
        <v>67.88</v>
      </c>
      <c r="N430" s="680">
        <v>67.88</v>
      </c>
      <c r="O430" s="681" t="s">
        <v>1812</v>
      </c>
      <c r="P430" s="259"/>
      <c r="Q430" s="259"/>
      <c r="R430" s="260"/>
      <c r="S430" s="682" t="s">
        <v>1593</v>
      </c>
      <c r="T430" s="683" t="s">
        <v>825</v>
      </c>
      <c r="U430" s="683" t="s">
        <v>63</v>
      </c>
      <c r="V430" s="684"/>
      <c r="W430" s="685"/>
      <c r="X430" s="686">
        <v>38</v>
      </c>
      <c r="Y430" s="687" t="s">
        <v>825</v>
      </c>
      <c r="Z430" s="663" t="s">
        <v>825</v>
      </c>
      <c r="AA430" s="663" t="s">
        <v>825</v>
      </c>
      <c r="AB430" s="663" t="s">
        <v>825</v>
      </c>
      <c r="AC430" s="663" t="s">
        <v>825</v>
      </c>
      <c r="AD430" s="663" t="s">
        <v>825</v>
      </c>
      <c r="AE430" s="663" t="s">
        <v>825</v>
      </c>
      <c r="AF430" s="663" t="s">
        <v>825</v>
      </c>
      <c r="AG430" s="663" t="s">
        <v>825</v>
      </c>
      <c r="AH430" s="663" t="s">
        <v>825</v>
      </c>
      <c r="AI430" s="688" t="s">
        <v>825</v>
      </c>
      <c r="AJ430" s="689" t="s">
        <v>1588</v>
      </c>
      <c r="AK430" s="690"/>
    </row>
    <row r="431" spans="1:37" s="653" customFormat="1">
      <c r="A431" s="655">
        <v>2024</v>
      </c>
      <c r="B431" s="656" t="str">
        <f>INDEX('①基本情報 '!$C$2:$C$255,MATCH('②建物情報 '!E431,'①基本情報 '!$E$2:$E$255,0),1)</f>
        <v>179</v>
      </c>
      <c r="C431" s="657" t="str">
        <f>INDEX('①基本情報 '!$B$2:$B$255,MATCH('②建物情報 '!E431,'①基本情報 '!$E$2:$E$255,0),1)</f>
        <v>0347</v>
      </c>
      <c r="D431" s="658" t="s">
        <v>2418</v>
      </c>
      <c r="E431" s="612" t="s">
        <v>1157</v>
      </c>
      <c r="F431" s="611" t="str">
        <f>INDEX('①基本情報 '!$G$2:$G$255,MATCH('②建物情報 '!E431,'①基本情報 '!$E$2:$E$255,0),1)</f>
        <v>健康福祉部地域福祉室地域・高年福祉課</v>
      </c>
      <c r="G431" s="678" t="s">
        <v>1580</v>
      </c>
      <c r="H431" s="612" t="s">
        <v>1683</v>
      </c>
      <c r="I431" s="663">
        <v>1999</v>
      </c>
      <c r="J431" s="663"/>
      <c r="K431" s="663">
        <f t="shared" si="6"/>
        <v>25</v>
      </c>
      <c r="L431" s="679">
        <v>2721.42</v>
      </c>
      <c r="M431" s="680">
        <v>1190.1300000000001</v>
      </c>
      <c r="N431" s="680">
        <v>1190.1300000000001</v>
      </c>
      <c r="O431" s="681" t="s">
        <v>1594</v>
      </c>
      <c r="P431" s="259" t="s">
        <v>1581</v>
      </c>
      <c r="Q431" s="259">
        <v>4</v>
      </c>
      <c r="R431" s="260">
        <v>0</v>
      </c>
      <c r="S431" s="682" t="s">
        <v>1593</v>
      </c>
      <c r="T431" s="683" t="s">
        <v>825</v>
      </c>
      <c r="U431" s="683" t="s">
        <v>63</v>
      </c>
      <c r="V431" s="684"/>
      <c r="W431" s="685"/>
      <c r="X431" s="686">
        <v>50</v>
      </c>
      <c r="Y431" s="687" t="s">
        <v>1596</v>
      </c>
      <c r="Z431" s="663" t="s">
        <v>1585</v>
      </c>
      <c r="AA431" s="663" t="s">
        <v>1596</v>
      </c>
      <c r="AB431" s="663" t="s">
        <v>825</v>
      </c>
      <c r="AC431" s="663" t="s">
        <v>1586</v>
      </c>
      <c r="AD431" s="663" t="s">
        <v>1596</v>
      </c>
      <c r="AE431" s="663" t="s">
        <v>1585</v>
      </c>
      <c r="AF431" s="663" t="s">
        <v>825</v>
      </c>
      <c r="AG431" s="663" t="s">
        <v>825</v>
      </c>
      <c r="AH431" s="663" t="s">
        <v>1585</v>
      </c>
      <c r="AI431" s="688">
        <v>55.555555555555557</v>
      </c>
      <c r="AJ431" s="689" t="s">
        <v>1588</v>
      </c>
      <c r="AK431" s="690"/>
    </row>
    <row r="432" spans="1:37" s="653" customFormat="1">
      <c r="A432" s="655">
        <v>2024</v>
      </c>
      <c r="B432" s="656" t="str">
        <f>INDEX('①基本情報 '!$C$2:$C$255,MATCH('②建物情報 '!E432,'①基本情報 '!$E$2:$E$255,0),1)</f>
        <v>180</v>
      </c>
      <c r="C432" s="657" t="str">
        <f>INDEX('①基本情報 '!$B$2:$B$255,MATCH('②建物情報 '!E432,'①基本情報 '!$E$2:$E$255,0),1)</f>
        <v>0321</v>
      </c>
      <c r="D432" s="658" t="s">
        <v>2418</v>
      </c>
      <c r="E432" s="612" t="s">
        <v>1166</v>
      </c>
      <c r="F432" s="611" t="str">
        <f>INDEX('①基本情報 '!$G$2:$G$255,MATCH('②建物情報 '!E432,'①基本情報 '!$E$2:$E$255,0),1)</f>
        <v>健康福祉部地域福祉室地域・高年福祉課</v>
      </c>
      <c r="G432" s="678" t="s">
        <v>1580</v>
      </c>
      <c r="H432" s="612" t="s">
        <v>1684</v>
      </c>
      <c r="I432" s="663">
        <v>1981</v>
      </c>
      <c r="J432" s="663">
        <v>11</v>
      </c>
      <c r="K432" s="663">
        <f t="shared" si="6"/>
        <v>43</v>
      </c>
      <c r="L432" s="679">
        <v>380.07</v>
      </c>
      <c r="M432" s="680">
        <v>291.45</v>
      </c>
      <c r="N432" s="680">
        <v>291.45</v>
      </c>
      <c r="O432" s="681" t="s">
        <v>1594</v>
      </c>
      <c r="P432" s="259" t="s">
        <v>1581</v>
      </c>
      <c r="Q432" s="259">
        <v>2</v>
      </c>
      <c r="R432" s="260">
        <v>0</v>
      </c>
      <c r="S432" s="682" t="s">
        <v>1582</v>
      </c>
      <c r="T432" s="683"/>
      <c r="U432" s="683" t="s">
        <v>1584</v>
      </c>
      <c r="V432" s="684"/>
      <c r="W432" s="685"/>
      <c r="X432" s="686">
        <v>50</v>
      </c>
      <c r="Y432" s="687" t="s">
        <v>1585</v>
      </c>
      <c r="Z432" s="663" t="s">
        <v>1586</v>
      </c>
      <c r="AA432" s="663" t="s">
        <v>1586</v>
      </c>
      <c r="AB432" s="663" t="s">
        <v>825</v>
      </c>
      <c r="AC432" s="663" t="s">
        <v>1586</v>
      </c>
      <c r="AD432" s="663" t="s">
        <v>1586</v>
      </c>
      <c r="AE432" s="663" t="s">
        <v>1586</v>
      </c>
      <c r="AF432" s="663" t="s">
        <v>825</v>
      </c>
      <c r="AG432" s="663" t="s">
        <v>825</v>
      </c>
      <c r="AH432" s="663" t="s">
        <v>1586</v>
      </c>
      <c r="AI432" s="688">
        <v>87.428571428571431</v>
      </c>
      <c r="AJ432" s="689" t="s">
        <v>1588</v>
      </c>
      <c r="AK432" s="690"/>
    </row>
    <row r="433" spans="1:37" s="653" customFormat="1">
      <c r="A433" s="655">
        <v>2024</v>
      </c>
      <c r="B433" s="656" t="str">
        <f>INDEX('①基本情報 '!$C$2:$C$255,MATCH('②建物情報 '!E433,'①基本情報 '!$E$2:$E$255,0),1)</f>
        <v>181</v>
      </c>
      <c r="C433" s="657" t="str">
        <f>INDEX('①基本情報 '!$B$2:$B$255,MATCH('②建物情報 '!E433,'①基本情報 '!$E$2:$E$255,0),1)</f>
        <v>0344</v>
      </c>
      <c r="D433" s="658" t="s">
        <v>2418</v>
      </c>
      <c r="E433" s="612" t="s">
        <v>1172</v>
      </c>
      <c r="F433" s="611" t="str">
        <f>INDEX('①基本情報 '!$G$2:$G$255,MATCH('②建物情報 '!E433,'①基本情報 '!$E$2:$E$255,0),1)</f>
        <v>市民自治部共生推進室人権啓発センター</v>
      </c>
      <c r="G433" s="678" t="s">
        <v>1580</v>
      </c>
      <c r="H433" s="612" t="s">
        <v>1685</v>
      </c>
      <c r="I433" s="663">
        <v>1994</v>
      </c>
      <c r="J433" s="663">
        <v>3</v>
      </c>
      <c r="K433" s="663">
        <f t="shared" si="6"/>
        <v>30</v>
      </c>
      <c r="L433" s="679">
        <v>461.58</v>
      </c>
      <c r="M433" s="680">
        <v>735.91</v>
      </c>
      <c r="N433" s="680">
        <v>735.91</v>
      </c>
      <c r="O433" s="681" t="s">
        <v>1812</v>
      </c>
      <c r="P433" s="259" t="s">
        <v>1581</v>
      </c>
      <c r="Q433" s="259">
        <v>2</v>
      </c>
      <c r="R433" s="260">
        <v>0</v>
      </c>
      <c r="S433" s="682" t="s">
        <v>1593</v>
      </c>
      <c r="T433" s="683" t="s">
        <v>825</v>
      </c>
      <c r="U433" s="683" t="s">
        <v>63</v>
      </c>
      <c r="V433" s="684"/>
      <c r="W433" s="685">
        <v>2019</v>
      </c>
      <c r="X433" s="686">
        <v>47</v>
      </c>
      <c r="Y433" s="687" t="s">
        <v>1596</v>
      </c>
      <c r="Z433" s="663" t="s">
        <v>1587</v>
      </c>
      <c r="AA433" s="663" t="s">
        <v>1587</v>
      </c>
      <c r="AB433" s="663" t="s">
        <v>825</v>
      </c>
      <c r="AC433" s="663" t="s">
        <v>1596</v>
      </c>
      <c r="AD433" s="663" t="s">
        <v>1596</v>
      </c>
      <c r="AE433" s="663" t="s">
        <v>1586</v>
      </c>
      <c r="AF433" s="663" t="s">
        <v>825</v>
      </c>
      <c r="AG433" s="663" t="s">
        <v>825</v>
      </c>
      <c r="AH433" s="663" t="s">
        <v>1596</v>
      </c>
      <c r="AI433" s="688">
        <v>38.139534883720927</v>
      </c>
      <c r="AJ433" s="689" t="s">
        <v>1588</v>
      </c>
      <c r="AK433" s="690"/>
    </row>
    <row r="434" spans="1:37" s="653" customFormat="1">
      <c r="A434" s="655">
        <v>2024</v>
      </c>
      <c r="B434" s="656" t="str">
        <f>INDEX('①基本情報 '!$C$2:$C$255,MATCH('②建物情報 '!E434,'①基本情報 '!$E$2:$E$255,0),1)</f>
        <v>182</v>
      </c>
      <c r="C434" s="657" t="str">
        <f>INDEX('①基本情報 '!$B$2:$B$255,MATCH('②建物情報 '!E434,'①基本情報 '!$E$2:$E$255,0),1)</f>
        <v>0319</v>
      </c>
      <c r="D434" s="658" t="s">
        <v>2418</v>
      </c>
      <c r="E434" s="612" t="s">
        <v>1179</v>
      </c>
      <c r="F434" s="611" t="str">
        <f>INDEX('①基本情報 '!$G$2:$G$255,MATCH('②建物情報 '!E434,'①基本情報 '!$E$2:$E$255,0),1)</f>
        <v>健康福祉部地域福祉室障害福祉課</v>
      </c>
      <c r="G434" s="678" t="s">
        <v>1580</v>
      </c>
      <c r="H434" s="700" t="s">
        <v>1686</v>
      </c>
      <c r="I434" s="663">
        <v>1974</v>
      </c>
      <c r="J434" s="663">
        <v>3</v>
      </c>
      <c r="K434" s="663">
        <f t="shared" si="6"/>
        <v>50</v>
      </c>
      <c r="L434" s="679">
        <v>1675.29</v>
      </c>
      <c r="M434" s="680">
        <v>2813.27</v>
      </c>
      <c r="N434" s="680">
        <v>2813.27</v>
      </c>
      <c r="O434" s="681" t="s">
        <v>1812</v>
      </c>
      <c r="P434" s="259" t="s">
        <v>1581</v>
      </c>
      <c r="Q434" s="259">
        <v>4</v>
      </c>
      <c r="R434" s="260">
        <v>0</v>
      </c>
      <c r="S434" s="682" t="s">
        <v>1582</v>
      </c>
      <c r="T434" s="683" t="s">
        <v>1583</v>
      </c>
      <c r="U434" s="683" t="s">
        <v>63</v>
      </c>
      <c r="V434" s="716">
        <v>2014</v>
      </c>
      <c r="W434" s="685">
        <v>2014</v>
      </c>
      <c r="X434" s="686">
        <v>50</v>
      </c>
      <c r="Y434" s="687" t="s">
        <v>1585</v>
      </c>
      <c r="Z434" s="663" t="s">
        <v>1596</v>
      </c>
      <c r="AA434" s="663" t="s">
        <v>1585</v>
      </c>
      <c r="AB434" s="663" t="s">
        <v>825</v>
      </c>
      <c r="AC434" s="663" t="s">
        <v>1596</v>
      </c>
      <c r="AD434" s="663" t="s">
        <v>1585</v>
      </c>
      <c r="AE434" s="663" t="s">
        <v>1596</v>
      </c>
      <c r="AF434" s="663" t="s">
        <v>825</v>
      </c>
      <c r="AG434" s="663" t="s">
        <v>825</v>
      </c>
      <c r="AH434" s="663" t="s">
        <v>1585</v>
      </c>
      <c r="AI434" s="688">
        <v>60.606060606060609</v>
      </c>
      <c r="AJ434" s="689" t="s">
        <v>1588</v>
      </c>
      <c r="AK434" s="690"/>
    </row>
    <row r="435" spans="1:37" s="653" customFormat="1">
      <c r="A435" s="655">
        <v>2024</v>
      </c>
      <c r="B435" s="656" t="str">
        <f>INDEX('①基本情報 '!$C$2:$C$255,MATCH('②建物情報 '!E435,'①基本情報 '!$E$2:$E$255,0),1)</f>
        <v>182</v>
      </c>
      <c r="C435" s="657" t="str">
        <f>INDEX('①基本情報 '!$B$2:$B$255,MATCH('②建物情報 '!E435,'①基本情報 '!$E$2:$E$255,0),1)</f>
        <v>0319</v>
      </c>
      <c r="D435" s="658" t="s">
        <v>2418</v>
      </c>
      <c r="E435" s="612" t="s">
        <v>1179</v>
      </c>
      <c r="F435" s="611" t="str">
        <f>INDEX('①基本情報 '!$G$2:$G$255,MATCH('②建物情報 '!E435,'①基本情報 '!$E$2:$E$255,0),1)</f>
        <v>健康福祉部地域福祉室障害福祉課</v>
      </c>
      <c r="G435" s="678" t="s">
        <v>1589</v>
      </c>
      <c r="H435" s="700" t="s">
        <v>1687</v>
      </c>
      <c r="I435" s="663">
        <v>1974</v>
      </c>
      <c r="J435" s="663">
        <v>3</v>
      </c>
      <c r="K435" s="663">
        <f t="shared" si="6"/>
        <v>50</v>
      </c>
      <c r="L435" s="679"/>
      <c r="M435" s="680">
        <v>459.12</v>
      </c>
      <c r="N435" s="680">
        <v>459.12</v>
      </c>
      <c r="O435" s="681" t="s">
        <v>1812</v>
      </c>
      <c r="P435" s="259"/>
      <c r="Q435" s="259"/>
      <c r="R435" s="260"/>
      <c r="S435" s="682" t="s">
        <v>1582</v>
      </c>
      <c r="T435" s="683" t="s">
        <v>1583</v>
      </c>
      <c r="U435" s="683" t="s">
        <v>63</v>
      </c>
      <c r="V435" s="716">
        <v>2014</v>
      </c>
      <c r="W435" s="685">
        <v>2014</v>
      </c>
      <c r="X435" s="686">
        <v>50</v>
      </c>
      <c r="Y435" s="687" t="s">
        <v>825</v>
      </c>
      <c r="Z435" s="663" t="s">
        <v>825</v>
      </c>
      <c r="AA435" s="663" t="s">
        <v>825</v>
      </c>
      <c r="AB435" s="663" t="s">
        <v>825</v>
      </c>
      <c r="AC435" s="663" t="s">
        <v>825</v>
      </c>
      <c r="AD435" s="663" t="s">
        <v>825</v>
      </c>
      <c r="AE435" s="663" t="s">
        <v>825</v>
      </c>
      <c r="AF435" s="663" t="s">
        <v>825</v>
      </c>
      <c r="AG435" s="663" t="s">
        <v>825</v>
      </c>
      <c r="AH435" s="663" t="s">
        <v>825</v>
      </c>
      <c r="AI435" s="688" t="s">
        <v>825</v>
      </c>
      <c r="AJ435" s="689" t="s">
        <v>1588</v>
      </c>
      <c r="AK435" s="690"/>
    </row>
    <row r="436" spans="1:37" s="653" customFormat="1">
      <c r="A436" s="655">
        <v>2024</v>
      </c>
      <c r="B436" s="656" t="str">
        <f>INDEX('①基本情報 '!$C$2:$C$255,MATCH('②建物情報 '!E436,'①基本情報 '!$E$2:$E$255,0),1)</f>
        <v>182</v>
      </c>
      <c r="C436" s="657" t="str">
        <f>INDEX('①基本情報 '!$B$2:$B$255,MATCH('②建物情報 '!E436,'①基本情報 '!$E$2:$E$255,0),1)</f>
        <v>0319</v>
      </c>
      <c r="D436" s="658" t="s">
        <v>2418</v>
      </c>
      <c r="E436" s="612" t="s">
        <v>1179</v>
      </c>
      <c r="F436" s="611" t="str">
        <f>INDEX('①基本情報 '!$G$2:$G$255,MATCH('②建物情報 '!E436,'①基本情報 '!$E$2:$E$255,0),1)</f>
        <v>健康福祉部地域福祉室障害福祉課</v>
      </c>
      <c r="G436" s="678" t="s">
        <v>1591</v>
      </c>
      <c r="H436" s="700" t="s">
        <v>1688</v>
      </c>
      <c r="I436" s="663">
        <v>1974</v>
      </c>
      <c r="J436" s="663">
        <v>3</v>
      </c>
      <c r="K436" s="663">
        <f t="shared" si="6"/>
        <v>50</v>
      </c>
      <c r="L436" s="679"/>
      <c r="M436" s="680">
        <v>172.75</v>
      </c>
      <c r="N436" s="680">
        <v>172.75</v>
      </c>
      <c r="O436" s="681" t="s">
        <v>1812</v>
      </c>
      <c r="P436" s="259"/>
      <c r="Q436" s="259"/>
      <c r="R436" s="260"/>
      <c r="S436" s="682" t="s">
        <v>1582</v>
      </c>
      <c r="T436" s="683" t="s">
        <v>1583</v>
      </c>
      <c r="U436" s="683" t="s">
        <v>1846</v>
      </c>
      <c r="V436" s="716">
        <v>2014</v>
      </c>
      <c r="W436" s="685">
        <v>2014</v>
      </c>
      <c r="X436" s="686">
        <v>50</v>
      </c>
      <c r="Y436" s="687" t="s">
        <v>825</v>
      </c>
      <c r="Z436" s="663" t="s">
        <v>825</v>
      </c>
      <c r="AA436" s="663" t="s">
        <v>825</v>
      </c>
      <c r="AB436" s="663" t="s">
        <v>825</v>
      </c>
      <c r="AC436" s="663" t="s">
        <v>825</v>
      </c>
      <c r="AD436" s="663" t="s">
        <v>825</v>
      </c>
      <c r="AE436" s="663" t="s">
        <v>825</v>
      </c>
      <c r="AF436" s="663" t="s">
        <v>825</v>
      </c>
      <c r="AG436" s="663" t="s">
        <v>825</v>
      </c>
      <c r="AH436" s="663" t="s">
        <v>825</v>
      </c>
      <c r="AI436" s="688" t="s">
        <v>825</v>
      </c>
      <c r="AJ436" s="689" t="s">
        <v>1588</v>
      </c>
      <c r="AK436" s="690"/>
    </row>
    <row r="437" spans="1:37" s="653" customFormat="1">
      <c r="A437" s="655">
        <v>2024</v>
      </c>
      <c r="B437" s="656" t="str">
        <f>INDEX('①基本情報 '!$C$2:$C$255,MATCH('②建物情報 '!E437,'①基本情報 '!$E$2:$E$255,0),1)</f>
        <v>183</v>
      </c>
      <c r="C437" s="657" t="str">
        <f>INDEX('①基本情報 '!$B$2:$B$255,MATCH('②建物情報 '!E437,'①基本情報 '!$E$2:$E$255,0),1)</f>
        <v>0354</v>
      </c>
      <c r="D437" s="658" t="s">
        <v>2418</v>
      </c>
      <c r="E437" s="612" t="s">
        <v>1191</v>
      </c>
      <c r="F437" s="611" t="str">
        <f>INDEX('①基本情報 '!$G$2:$G$255,MATCH('②建物情報 '!E437,'①基本情報 '!$E$2:$E$255,0),1)</f>
        <v>健康福祉部地域福祉室障害福祉課</v>
      </c>
      <c r="G437" s="678" t="s">
        <v>1580</v>
      </c>
      <c r="H437" s="612" t="s">
        <v>1689</v>
      </c>
      <c r="I437" s="663">
        <v>1996</v>
      </c>
      <c r="J437" s="663">
        <v>3</v>
      </c>
      <c r="K437" s="663">
        <f t="shared" si="6"/>
        <v>28</v>
      </c>
      <c r="L437" s="679">
        <v>415.74</v>
      </c>
      <c r="M437" s="680">
        <v>998.2</v>
      </c>
      <c r="N437" s="680">
        <v>998.2</v>
      </c>
      <c r="O437" s="681" t="s">
        <v>1812</v>
      </c>
      <c r="P437" s="259" t="s">
        <v>1581</v>
      </c>
      <c r="Q437" s="259">
        <v>2</v>
      </c>
      <c r="R437" s="260">
        <v>0</v>
      </c>
      <c r="S437" s="682" t="s">
        <v>1593</v>
      </c>
      <c r="T437" s="683" t="s">
        <v>825</v>
      </c>
      <c r="U437" s="683" t="s">
        <v>63</v>
      </c>
      <c r="V437" s="684"/>
      <c r="W437" s="685">
        <v>2023</v>
      </c>
      <c r="X437" s="686">
        <v>50</v>
      </c>
      <c r="Y437" s="687" t="s">
        <v>1596</v>
      </c>
      <c r="Z437" s="663" t="s">
        <v>1587</v>
      </c>
      <c r="AA437" s="663" t="s">
        <v>1587</v>
      </c>
      <c r="AB437" s="663" t="s">
        <v>825</v>
      </c>
      <c r="AC437" s="663" t="s">
        <v>1587</v>
      </c>
      <c r="AD437" s="663" t="s">
        <v>1587</v>
      </c>
      <c r="AE437" s="663" t="s">
        <v>1585</v>
      </c>
      <c r="AF437" s="663" t="s">
        <v>825</v>
      </c>
      <c r="AG437" s="663" t="s">
        <v>825</v>
      </c>
      <c r="AH437" s="663" t="s">
        <v>1596</v>
      </c>
      <c r="AI437" s="688">
        <v>31.578947368421051</v>
      </c>
      <c r="AJ437" s="689" t="s">
        <v>1588</v>
      </c>
      <c r="AK437" s="690"/>
    </row>
    <row r="438" spans="1:37" s="653" customFormat="1">
      <c r="A438" s="655">
        <v>2024</v>
      </c>
      <c r="B438" s="656" t="str">
        <f>INDEX('①基本情報 '!$C$2:$C$255,MATCH('②建物情報 '!E438,'①基本情報 '!$E$2:$E$255,0),1)</f>
        <v>184</v>
      </c>
      <c r="C438" s="657" t="str">
        <f>INDEX('①基本情報 '!$B$2:$B$255,MATCH('②建物情報 '!E438,'①基本情報 '!$E$2:$E$255,0),1)</f>
        <v>0312</v>
      </c>
      <c r="D438" s="658" t="s">
        <v>2418</v>
      </c>
      <c r="E438" s="612" t="s">
        <v>1200</v>
      </c>
      <c r="F438" s="611" t="str">
        <f>INDEX('①基本情報 '!$G$2:$G$255,MATCH('②建物情報 '!E438,'①基本情報 '!$E$2:$E$255,0),1)</f>
        <v>こども未来部幼児教育保育室こども発達支援センター</v>
      </c>
      <c r="G438" s="678" t="s">
        <v>1580</v>
      </c>
      <c r="H438" s="612" t="s">
        <v>1200</v>
      </c>
      <c r="I438" s="663">
        <v>2016</v>
      </c>
      <c r="J438" s="663">
        <v>3</v>
      </c>
      <c r="K438" s="663">
        <f t="shared" si="6"/>
        <v>8</v>
      </c>
      <c r="L438" s="679"/>
      <c r="M438" s="695">
        <v>2795.75</v>
      </c>
      <c r="N438" s="695">
        <v>2795.75</v>
      </c>
      <c r="O438" s="681" t="s">
        <v>1812</v>
      </c>
      <c r="P438" s="259" t="s">
        <v>1581</v>
      </c>
      <c r="Q438" s="259">
        <v>4</v>
      </c>
      <c r="R438" s="260">
        <v>0</v>
      </c>
      <c r="S438" s="682" t="s">
        <v>1593</v>
      </c>
      <c r="T438" s="683" t="s">
        <v>825</v>
      </c>
      <c r="U438" s="683" t="s">
        <v>63</v>
      </c>
      <c r="V438" s="684"/>
      <c r="W438" s="685"/>
      <c r="X438" s="686">
        <v>50</v>
      </c>
      <c r="Y438" s="687" t="s">
        <v>1587</v>
      </c>
      <c r="Z438" s="663" t="s">
        <v>1596</v>
      </c>
      <c r="AA438" s="663" t="s">
        <v>1596</v>
      </c>
      <c r="AB438" s="663" t="s">
        <v>1587</v>
      </c>
      <c r="AC438" s="663" t="s">
        <v>1596</v>
      </c>
      <c r="AD438" s="663" t="s">
        <v>1596</v>
      </c>
      <c r="AE438" s="663" t="s">
        <v>1587</v>
      </c>
      <c r="AF438" s="663" t="s">
        <v>1596</v>
      </c>
      <c r="AG438" s="663" t="s">
        <v>1587</v>
      </c>
      <c r="AH438" s="663" t="s">
        <v>1587</v>
      </c>
      <c r="AI438" s="688">
        <v>28.800000000000004</v>
      </c>
      <c r="AJ438" s="689" t="s">
        <v>1588</v>
      </c>
      <c r="AK438" s="690"/>
    </row>
    <row r="439" spans="1:37" s="653" customFormat="1">
      <c r="A439" s="655">
        <v>2024</v>
      </c>
      <c r="B439" s="656" t="str">
        <f>INDEX('①基本情報 '!$C$2:$C$255,MATCH('②建物情報 '!E439,'①基本情報 '!$E$2:$E$255,0),1)</f>
        <v>185</v>
      </c>
      <c r="C439" s="657" t="str">
        <f>INDEX('①基本情報 '!$B$2:$B$255,MATCH('②建物情報 '!E439,'①基本情報 '!$E$2:$E$255,0),1)</f>
        <v>0822</v>
      </c>
      <c r="D439" s="658" t="s">
        <v>2418</v>
      </c>
      <c r="E439" s="612" t="s">
        <v>1206</v>
      </c>
      <c r="F439" s="611" t="str">
        <f>INDEX('①基本情報 '!$G$2:$G$255,MATCH('②建物情報 '!E439,'①基本情報 '!$E$2:$E$255,0),1)</f>
        <v>都市活力部都市整備室住宅政策課</v>
      </c>
      <c r="G439" s="678" t="s">
        <v>1580</v>
      </c>
      <c r="H439" s="612" t="s">
        <v>1690</v>
      </c>
      <c r="I439" s="663">
        <v>1997</v>
      </c>
      <c r="J439" s="663"/>
      <c r="K439" s="663">
        <f t="shared" si="6"/>
        <v>27</v>
      </c>
      <c r="L439" s="694">
        <v>726.68</v>
      </c>
      <c r="M439" s="680">
        <v>2410.17</v>
      </c>
      <c r="N439" s="680">
        <v>2410.17</v>
      </c>
      <c r="O439" s="681" t="s">
        <v>1812</v>
      </c>
      <c r="P439" s="663" t="s">
        <v>1581</v>
      </c>
      <c r="Q439" s="663">
        <v>4</v>
      </c>
      <c r="R439" s="690">
        <v>0</v>
      </c>
      <c r="S439" s="687" t="s">
        <v>1593</v>
      </c>
      <c r="T439" s="683" t="s">
        <v>825</v>
      </c>
      <c r="U439" s="683" t="s">
        <v>63</v>
      </c>
      <c r="V439" s="690"/>
      <c r="W439" s="687"/>
      <c r="X439" s="686">
        <v>47</v>
      </c>
      <c r="Y439" s="687" t="s">
        <v>1596</v>
      </c>
      <c r="Z439" s="663" t="s">
        <v>1596</v>
      </c>
      <c r="AA439" s="663" t="s">
        <v>1585</v>
      </c>
      <c r="AB439" s="663" t="s">
        <v>825</v>
      </c>
      <c r="AC439" s="663" t="s">
        <v>825</v>
      </c>
      <c r="AD439" s="663" t="s">
        <v>825</v>
      </c>
      <c r="AE439" s="663" t="s">
        <v>1585</v>
      </c>
      <c r="AF439" s="663" t="s">
        <v>1586</v>
      </c>
      <c r="AG439" s="663" t="s">
        <v>825</v>
      </c>
      <c r="AH439" s="663" t="s">
        <v>1585</v>
      </c>
      <c r="AI439" s="688">
        <v>63.87096774193548</v>
      </c>
      <c r="AJ439" s="689" t="s">
        <v>1588</v>
      </c>
      <c r="AK439" s="690"/>
    </row>
    <row r="440" spans="1:37" s="653" customFormat="1">
      <c r="A440" s="655">
        <v>2024</v>
      </c>
      <c r="B440" s="656" t="str">
        <f>INDEX('①基本情報 '!$C$2:$C$255,MATCH('②建物情報 '!E440,'①基本情報 '!$E$2:$E$255,0),1)</f>
        <v>185</v>
      </c>
      <c r="C440" s="657" t="str">
        <f>INDEX('①基本情報 '!$B$2:$B$255,MATCH('②建物情報 '!E440,'①基本情報 '!$E$2:$E$255,0),1)</f>
        <v>0822</v>
      </c>
      <c r="D440" s="658" t="s">
        <v>2418</v>
      </c>
      <c r="E440" s="612" t="s">
        <v>1206</v>
      </c>
      <c r="F440" s="611" t="str">
        <f>INDEX('①基本情報 '!$G$2:$G$255,MATCH('②建物情報 '!E440,'①基本情報 '!$E$2:$E$255,0),1)</f>
        <v>都市活力部都市整備室住宅政策課</v>
      </c>
      <c r="G440" s="678" t="s">
        <v>1589</v>
      </c>
      <c r="H440" s="612" t="s">
        <v>1691</v>
      </c>
      <c r="I440" s="663">
        <v>1997</v>
      </c>
      <c r="J440" s="663"/>
      <c r="K440" s="663">
        <f t="shared" si="6"/>
        <v>27</v>
      </c>
      <c r="L440" s="694">
        <v>547.9348</v>
      </c>
      <c r="M440" s="680">
        <v>3344.58</v>
      </c>
      <c r="N440" s="680">
        <v>3344.58</v>
      </c>
      <c r="O440" s="681" t="s">
        <v>1812</v>
      </c>
      <c r="P440" s="663" t="s">
        <v>1581</v>
      </c>
      <c r="Q440" s="663">
        <v>3</v>
      </c>
      <c r="R440" s="690">
        <v>0</v>
      </c>
      <c r="S440" s="687" t="s">
        <v>1593</v>
      </c>
      <c r="T440" s="683" t="s">
        <v>825</v>
      </c>
      <c r="U440" s="683" t="s">
        <v>63</v>
      </c>
      <c r="V440" s="690"/>
      <c r="W440" s="687"/>
      <c r="X440" s="686">
        <v>47</v>
      </c>
      <c r="Y440" s="687" t="s">
        <v>1596</v>
      </c>
      <c r="Z440" s="663" t="s">
        <v>1596</v>
      </c>
      <c r="AA440" s="663" t="s">
        <v>1585</v>
      </c>
      <c r="AB440" s="663" t="s">
        <v>825</v>
      </c>
      <c r="AC440" s="663" t="s">
        <v>825</v>
      </c>
      <c r="AD440" s="663" t="s">
        <v>825</v>
      </c>
      <c r="AE440" s="663" t="s">
        <v>1585</v>
      </c>
      <c r="AF440" s="663" t="s">
        <v>1586</v>
      </c>
      <c r="AG440" s="663" t="s">
        <v>825</v>
      </c>
      <c r="AH440" s="663" t="s">
        <v>1585</v>
      </c>
      <c r="AI440" s="688">
        <v>63.87096774193548</v>
      </c>
      <c r="AJ440" s="689" t="s">
        <v>1588</v>
      </c>
      <c r="AK440" s="690"/>
    </row>
    <row r="441" spans="1:37" s="653" customFormat="1">
      <c r="A441" s="655">
        <v>2024</v>
      </c>
      <c r="B441" s="656" t="str">
        <f>INDEX('①基本情報 '!$C$2:$C$255,MATCH('②建物情報 '!E441,'①基本情報 '!$E$2:$E$255,0),1)</f>
        <v>185</v>
      </c>
      <c r="C441" s="657" t="str">
        <f>INDEX('①基本情報 '!$B$2:$B$255,MATCH('②建物情報 '!E441,'①基本情報 '!$E$2:$E$255,0),1)</f>
        <v>0822</v>
      </c>
      <c r="D441" s="658" t="s">
        <v>2418</v>
      </c>
      <c r="E441" s="612" t="s">
        <v>1206</v>
      </c>
      <c r="F441" s="611" t="str">
        <f>INDEX('①基本情報 '!$G$2:$G$255,MATCH('②建物情報 '!E441,'①基本情報 '!$E$2:$E$255,0),1)</f>
        <v>都市活力部都市整備室住宅政策課</v>
      </c>
      <c r="G441" s="678" t="s">
        <v>1591</v>
      </c>
      <c r="H441" s="612" t="s">
        <v>1692</v>
      </c>
      <c r="I441" s="663">
        <v>1998</v>
      </c>
      <c r="J441" s="663"/>
      <c r="K441" s="663">
        <f t="shared" si="6"/>
        <v>26</v>
      </c>
      <c r="L441" s="694">
        <v>769.96</v>
      </c>
      <c r="M441" s="680">
        <v>2430.81</v>
      </c>
      <c r="N441" s="680">
        <v>2430.81</v>
      </c>
      <c r="O441" s="681" t="s">
        <v>1812</v>
      </c>
      <c r="P441" s="663" t="s">
        <v>1581</v>
      </c>
      <c r="Q441" s="663">
        <v>4</v>
      </c>
      <c r="R441" s="690">
        <v>0</v>
      </c>
      <c r="S441" s="687" t="s">
        <v>1593</v>
      </c>
      <c r="T441" s="683" t="s">
        <v>825</v>
      </c>
      <c r="U441" s="683" t="s">
        <v>63</v>
      </c>
      <c r="V441" s="690"/>
      <c r="W441" s="687"/>
      <c r="X441" s="686">
        <v>47</v>
      </c>
      <c r="Y441" s="687" t="s">
        <v>1596</v>
      </c>
      <c r="Z441" s="663" t="s">
        <v>1596</v>
      </c>
      <c r="AA441" s="663" t="s">
        <v>1585</v>
      </c>
      <c r="AB441" s="663" t="s">
        <v>825</v>
      </c>
      <c r="AC441" s="663" t="s">
        <v>825</v>
      </c>
      <c r="AD441" s="663" t="s">
        <v>825</v>
      </c>
      <c r="AE441" s="663" t="s">
        <v>1585</v>
      </c>
      <c r="AF441" s="663" t="s">
        <v>1586</v>
      </c>
      <c r="AG441" s="663" t="s">
        <v>825</v>
      </c>
      <c r="AH441" s="663" t="s">
        <v>1585</v>
      </c>
      <c r="AI441" s="688">
        <v>65.161290322580641</v>
      </c>
      <c r="AJ441" s="689" t="s">
        <v>1588</v>
      </c>
      <c r="AK441" s="690"/>
    </row>
    <row r="442" spans="1:37" s="653" customFormat="1">
      <c r="A442" s="655">
        <v>2024</v>
      </c>
      <c r="B442" s="656" t="str">
        <f>INDEX('①基本情報 '!$C$2:$C$255,MATCH('②建物情報 '!E442,'①基本情報 '!$E$2:$E$255,0),1)</f>
        <v>186</v>
      </c>
      <c r="C442" s="657" t="str">
        <f>INDEX('①基本情報 '!$B$2:$B$255,MATCH('②建物情報 '!E442,'①基本情報 '!$E$2:$E$255,0),1)</f>
        <v>0827</v>
      </c>
      <c r="D442" s="658" t="s">
        <v>2418</v>
      </c>
      <c r="E442" s="612" t="s">
        <v>1218</v>
      </c>
      <c r="F442" s="611" t="str">
        <f>INDEX('①基本情報 '!$G$2:$G$255,MATCH('②建物情報 '!E442,'①基本情報 '!$E$2:$E$255,0),1)</f>
        <v>都市活力部都市整備室住宅政策課</v>
      </c>
      <c r="G442" s="678" t="s">
        <v>1580</v>
      </c>
      <c r="H442" s="612" t="s">
        <v>1218</v>
      </c>
      <c r="I442" s="663">
        <v>1997</v>
      </c>
      <c r="J442" s="663"/>
      <c r="K442" s="663">
        <f t="shared" si="6"/>
        <v>27</v>
      </c>
      <c r="L442" s="694">
        <v>778.18</v>
      </c>
      <c r="M442" s="680">
        <v>2731.48</v>
      </c>
      <c r="N442" s="680">
        <v>2731.48</v>
      </c>
      <c r="O442" s="681" t="s">
        <v>1812</v>
      </c>
      <c r="P442" s="663" t="s">
        <v>1581</v>
      </c>
      <c r="Q442" s="663">
        <v>4</v>
      </c>
      <c r="R442" s="690">
        <v>0</v>
      </c>
      <c r="S442" s="687" t="s">
        <v>1593</v>
      </c>
      <c r="T442" s="683" t="s">
        <v>825</v>
      </c>
      <c r="U442" s="683" t="s">
        <v>63</v>
      </c>
      <c r="V442" s="690"/>
      <c r="W442" s="687"/>
      <c r="X442" s="686">
        <v>47</v>
      </c>
      <c r="Y442" s="687" t="s">
        <v>1596</v>
      </c>
      <c r="Z442" s="663" t="s">
        <v>1596</v>
      </c>
      <c r="AA442" s="663" t="s">
        <v>1585</v>
      </c>
      <c r="AB442" s="663" t="s">
        <v>825</v>
      </c>
      <c r="AC442" s="663" t="s">
        <v>825</v>
      </c>
      <c r="AD442" s="663" t="s">
        <v>825</v>
      </c>
      <c r="AE442" s="663" t="s">
        <v>1585</v>
      </c>
      <c r="AF442" s="663" t="s">
        <v>1596</v>
      </c>
      <c r="AG442" s="663" t="s">
        <v>825</v>
      </c>
      <c r="AH442" s="663" t="s">
        <v>1585</v>
      </c>
      <c r="AI442" s="688">
        <v>53.548387096774185</v>
      </c>
      <c r="AJ442" s="689" t="s">
        <v>1588</v>
      </c>
      <c r="AK442" s="690"/>
    </row>
    <row r="443" spans="1:37" s="653" customFormat="1">
      <c r="A443" s="655">
        <v>2024</v>
      </c>
      <c r="B443" s="656" t="str">
        <f>INDEX('①基本情報 '!$C$2:$C$255,MATCH('②建物情報 '!E443,'①基本情報 '!$E$2:$E$255,0),1)</f>
        <v>187</v>
      </c>
      <c r="C443" s="657" t="str">
        <f>INDEX('①基本情報 '!$B$2:$B$255,MATCH('②建物情報 '!E443,'①基本情報 '!$E$2:$E$255,0),1)</f>
        <v>0806</v>
      </c>
      <c r="D443" s="658" t="s">
        <v>2418</v>
      </c>
      <c r="E443" s="612" t="s">
        <v>1223</v>
      </c>
      <c r="F443" s="611" t="str">
        <f>INDEX('①基本情報 '!$G$2:$G$255,MATCH('②建物情報 '!E443,'①基本情報 '!$E$2:$E$255,0),1)</f>
        <v>都市活力部都市整備室住宅政策課</v>
      </c>
      <c r="G443" s="678" t="s">
        <v>1580</v>
      </c>
      <c r="H443" s="700" t="s">
        <v>1690</v>
      </c>
      <c r="I443" s="663">
        <v>1962</v>
      </c>
      <c r="J443" s="663"/>
      <c r="K443" s="663">
        <f t="shared" si="6"/>
        <v>62</v>
      </c>
      <c r="L443" s="694">
        <v>230.66</v>
      </c>
      <c r="M443" s="680">
        <v>934.08</v>
      </c>
      <c r="N443" s="680">
        <v>934.08</v>
      </c>
      <c r="O443" s="681" t="s">
        <v>1812</v>
      </c>
      <c r="P443" s="663" t="s">
        <v>1581</v>
      </c>
      <c r="Q443" s="663">
        <v>4</v>
      </c>
      <c r="R443" s="690">
        <v>0</v>
      </c>
      <c r="S443" s="687" t="s">
        <v>1582</v>
      </c>
      <c r="T443" s="663"/>
      <c r="U443" s="683" t="s">
        <v>1584</v>
      </c>
      <c r="V443" s="690"/>
      <c r="W443" s="687"/>
      <c r="X443" s="686">
        <v>47</v>
      </c>
      <c r="Y443" s="687" t="s">
        <v>1585</v>
      </c>
      <c r="Z443" s="663" t="s">
        <v>1586</v>
      </c>
      <c r="AA443" s="663" t="s">
        <v>1586</v>
      </c>
      <c r="AB443" s="663" t="s">
        <v>825</v>
      </c>
      <c r="AC443" s="663" t="s">
        <v>825</v>
      </c>
      <c r="AD443" s="663" t="s">
        <v>825</v>
      </c>
      <c r="AE443" s="663" t="s">
        <v>1585</v>
      </c>
      <c r="AF443" s="663" t="s">
        <v>1586</v>
      </c>
      <c r="AG443" s="663" t="s">
        <v>825</v>
      </c>
      <c r="AH443" s="663" t="s">
        <v>1586</v>
      </c>
      <c r="AI443" s="688">
        <v>93.548387096774206</v>
      </c>
      <c r="AJ443" s="689" t="s">
        <v>1588</v>
      </c>
      <c r="AK443" s="690"/>
    </row>
    <row r="444" spans="1:37" s="653" customFormat="1">
      <c r="A444" s="655">
        <v>2024</v>
      </c>
      <c r="B444" s="656" t="str">
        <f>INDEX('①基本情報 '!$C$2:$C$255,MATCH('②建物情報 '!E444,'①基本情報 '!$E$2:$E$255,0),1)</f>
        <v>187</v>
      </c>
      <c r="C444" s="657" t="str">
        <f>INDEX('①基本情報 '!$B$2:$B$255,MATCH('②建物情報 '!E444,'①基本情報 '!$E$2:$E$255,0),1)</f>
        <v>0806</v>
      </c>
      <c r="D444" s="658" t="s">
        <v>2418</v>
      </c>
      <c r="E444" s="612" t="s">
        <v>1223</v>
      </c>
      <c r="F444" s="611" t="str">
        <f>INDEX('①基本情報 '!$G$2:$G$255,MATCH('②建物情報 '!E444,'①基本情報 '!$E$2:$E$255,0),1)</f>
        <v>都市活力部都市整備室住宅政策課</v>
      </c>
      <c r="G444" s="678" t="s">
        <v>1589</v>
      </c>
      <c r="H444" s="700" t="s">
        <v>1691</v>
      </c>
      <c r="I444" s="663">
        <v>1964</v>
      </c>
      <c r="J444" s="663"/>
      <c r="K444" s="663">
        <f t="shared" si="6"/>
        <v>60</v>
      </c>
      <c r="L444" s="694">
        <v>373.07799999999997</v>
      </c>
      <c r="M444" s="680">
        <v>1071.98</v>
      </c>
      <c r="N444" s="680">
        <v>1071.98</v>
      </c>
      <c r="O444" s="681" t="s">
        <v>1812</v>
      </c>
      <c r="P444" s="663" t="s">
        <v>1581</v>
      </c>
      <c r="Q444" s="663">
        <v>4</v>
      </c>
      <c r="R444" s="690">
        <v>0</v>
      </c>
      <c r="S444" s="687" t="s">
        <v>1582</v>
      </c>
      <c r="T444" s="663"/>
      <c r="U444" s="683" t="s">
        <v>1584</v>
      </c>
      <c r="V444" s="690"/>
      <c r="W444" s="687"/>
      <c r="X444" s="686">
        <v>47</v>
      </c>
      <c r="Y444" s="687" t="s">
        <v>1585</v>
      </c>
      <c r="Z444" s="663" t="s">
        <v>1586</v>
      </c>
      <c r="AA444" s="663" t="s">
        <v>1586</v>
      </c>
      <c r="AB444" s="663" t="s">
        <v>825</v>
      </c>
      <c r="AC444" s="663" t="s">
        <v>825</v>
      </c>
      <c r="AD444" s="663" t="s">
        <v>825</v>
      </c>
      <c r="AE444" s="663" t="s">
        <v>1585</v>
      </c>
      <c r="AF444" s="663" t="s">
        <v>1586</v>
      </c>
      <c r="AG444" s="663" t="s">
        <v>825</v>
      </c>
      <c r="AH444" s="663" t="s">
        <v>1586</v>
      </c>
      <c r="AI444" s="688">
        <v>92.903225806451616</v>
      </c>
      <c r="AJ444" s="689" t="s">
        <v>1588</v>
      </c>
      <c r="AK444" s="690"/>
    </row>
    <row r="445" spans="1:37" s="653" customFormat="1">
      <c r="A445" s="655">
        <v>2024</v>
      </c>
      <c r="B445" s="656" t="str">
        <f>INDEX('①基本情報 '!$C$2:$C$255,MATCH('②建物情報 '!E445,'①基本情報 '!$E$2:$E$255,0),1)</f>
        <v>187</v>
      </c>
      <c r="C445" s="657" t="str">
        <f>INDEX('①基本情報 '!$B$2:$B$255,MATCH('②建物情報 '!E445,'①基本情報 '!$E$2:$E$255,0),1)</f>
        <v>0806</v>
      </c>
      <c r="D445" s="658" t="s">
        <v>2418</v>
      </c>
      <c r="E445" s="612" t="s">
        <v>1223</v>
      </c>
      <c r="F445" s="611" t="str">
        <f>INDEX('①基本情報 '!$G$2:$G$255,MATCH('②建物情報 '!E445,'①基本情報 '!$E$2:$E$255,0),1)</f>
        <v>都市活力部都市整備室住宅政策課</v>
      </c>
      <c r="G445" s="678" t="s">
        <v>1591</v>
      </c>
      <c r="H445" s="700" t="s">
        <v>1692</v>
      </c>
      <c r="I445" s="663">
        <v>1964</v>
      </c>
      <c r="J445" s="663"/>
      <c r="K445" s="663">
        <f t="shared" si="6"/>
        <v>60</v>
      </c>
      <c r="L445" s="694">
        <v>264.86</v>
      </c>
      <c r="M445" s="680">
        <v>1046</v>
      </c>
      <c r="N445" s="680">
        <v>1046</v>
      </c>
      <c r="O445" s="681" t="s">
        <v>1812</v>
      </c>
      <c r="P445" s="663" t="s">
        <v>1581</v>
      </c>
      <c r="Q445" s="663">
        <v>5</v>
      </c>
      <c r="R445" s="690">
        <v>0</v>
      </c>
      <c r="S445" s="687" t="s">
        <v>1582</v>
      </c>
      <c r="T445" s="663"/>
      <c r="U445" s="683" t="s">
        <v>1584</v>
      </c>
      <c r="V445" s="690"/>
      <c r="W445" s="687"/>
      <c r="X445" s="686">
        <v>47</v>
      </c>
      <c r="Y445" s="687" t="s">
        <v>1585</v>
      </c>
      <c r="Z445" s="663" t="s">
        <v>1596</v>
      </c>
      <c r="AA445" s="663" t="s">
        <v>1586</v>
      </c>
      <c r="AB445" s="663" t="s">
        <v>825</v>
      </c>
      <c r="AC445" s="663" t="s">
        <v>825</v>
      </c>
      <c r="AD445" s="663" t="s">
        <v>825</v>
      </c>
      <c r="AE445" s="663" t="s">
        <v>1585</v>
      </c>
      <c r="AF445" s="663" t="s">
        <v>1586</v>
      </c>
      <c r="AG445" s="663" t="s">
        <v>825</v>
      </c>
      <c r="AH445" s="663" t="s">
        <v>1586</v>
      </c>
      <c r="AI445" s="688">
        <v>82.58064516129032</v>
      </c>
      <c r="AJ445" s="689" t="s">
        <v>1588</v>
      </c>
      <c r="AK445" s="690"/>
    </row>
    <row r="446" spans="1:37" s="653" customFormat="1">
      <c r="A446" s="655">
        <v>2024</v>
      </c>
      <c r="B446" s="656" t="str">
        <f>INDEX('①基本情報 '!$C$2:$C$255,MATCH('②建物情報 '!E446,'①基本情報 '!$E$2:$E$255,0),1)</f>
        <v>187</v>
      </c>
      <c r="C446" s="657" t="str">
        <f>INDEX('①基本情報 '!$B$2:$B$255,MATCH('②建物情報 '!E446,'①基本情報 '!$E$2:$E$255,0),1)</f>
        <v>0806</v>
      </c>
      <c r="D446" s="658" t="s">
        <v>2418</v>
      </c>
      <c r="E446" s="612" t="s">
        <v>1223</v>
      </c>
      <c r="F446" s="611" t="str">
        <f>INDEX('①基本情報 '!$G$2:$G$255,MATCH('②建物情報 '!E446,'①基本情報 '!$E$2:$E$255,0),1)</f>
        <v>都市活力部都市整備室住宅政策課</v>
      </c>
      <c r="G446" s="678" t="s">
        <v>1601</v>
      </c>
      <c r="H446" s="700" t="s">
        <v>1693</v>
      </c>
      <c r="I446" s="663">
        <v>1964</v>
      </c>
      <c r="J446" s="663"/>
      <c r="K446" s="663">
        <f t="shared" si="6"/>
        <v>60</v>
      </c>
      <c r="L446" s="694">
        <v>170.22</v>
      </c>
      <c r="M446" s="680">
        <v>697.35</v>
      </c>
      <c r="N446" s="680">
        <v>697.35</v>
      </c>
      <c r="O446" s="681" t="s">
        <v>1812</v>
      </c>
      <c r="P446" s="663" t="s">
        <v>1581</v>
      </c>
      <c r="Q446" s="663">
        <v>5</v>
      </c>
      <c r="R446" s="690">
        <v>0</v>
      </c>
      <c r="S446" s="687" t="s">
        <v>1582</v>
      </c>
      <c r="T446" s="663"/>
      <c r="U446" s="683" t="s">
        <v>1584</v>
      </c>
      <c r="V446" s="690"/>
      <c r="W446" s="687"/>
      <c r="X446" s="686">
        <v>47</v>
      </c>
      <c r="Y446" s="687" t="s">
        <v>1585</v>
      </c>
      <c r="Z446" s="663" t="s">
        <v>1596</v>
      </c>
      <c r="AA446" s="663" t="s">
        <v>1586</v>
      </c>
      <c r="AB446" s="663" t="s">
        <v>825</v>
      </c>
      <c r="AC446" s="663" t="s">
        <v>825</v>
      </c>
      <c r="AD446" s="663" t="s">
        <v>825</v>
      </c>
      <c r="AE446" s="663" t="s">
        <v>1585</v>
      </c>
      <c r="AF446" s="663" t="s">
        <v>1586</v>
      </c>
      <c r="AG446" s="663" t="s">
        <v>825</v>
      </c>
      <c r="AH446" s="663" t="s">
        <v>1586</v>
      </c>
      <c r="AI446" s="688">
        <v>82.58064516129032</v>
      </c>
      <c r="AJ446" s="689" t="s">
        <v>1588</v>
      </c>
      <c r="AK446" s="690"/>
    </row>
    <row r="447" spans="1:37" s="653" customFormat="1">
      <c r="A447" s="655">
        <v>2024</v>
      </c>
      <c r="B447" s="656" t="str">
        <f>INDEX('①基本情報 '!$C$2:$C$255,MATCH('②建物情報 '!E447,'①基本情報 '!$E$2:$E$255,0),1)</f>
        <v>187</v>
      </c>
      <c r="C447" s="657" t="str">
        <f>INDEX('①基本情報 '!$B$2:$B$255,MATCH('②建物情報 '!E447,'①基本情報 '!$E$2:$E$255,0),1)</f>
        <v>0806</v>
      </c>
      <c r="D447" s="658" t="s">
        <v>2418</v>
      </c>
      <c r="E447" s="612" t="s">
        <v>1223</v>
      </c>
      <c r="F447" s="611" t="str">
        <f>INDEX('①基本情報 '!$G$2:$G$255,MATCH('②建物情報 '!E447,'①基本情報 '!$E$2:$E$255,0),1)</f>
        <v>都市活力部都市整備室住宅政策課</v>
      </c>
      <c r="G447" s="678" t="s">
        <v>1620</v>
      </c>
      <c r="H447" s="700" t="s">
        <v>1694</v>
      </c>
      <c r="I447" s="663">
        <v>1985</v>
      </c>
      <c r="J447" s="663"/>
      <c r="K447" s="663">
        <f t="shared" si="6"/>
        <v>39</v>
      </c>
      <c r="L447" s="694">
        <v>499.15</v>
      </c>
      <c r="M447" s="680">
        <v>2404.3200000000002</v>
      </c>
      <c r="N447" s="680">
        <v>2404.3200000000002</v>
      </c>
      <c r="O447" s="681" t="s">
        <v>1812</v>
      </c>
      <c r="P447" s="663" t="s">
        <v>1581</v>
      </c>
      <c r="Q447" s="663">
        <v>5</v>
      </c>
      <c r="R447" s="690">
        <v>0</v>
      </c>
      <c r="S447" s="687" t="s">
        <v>1593</v>
      </c>
      <c r="T447" s="683" t="s">
        <v>825</v>
      </c>
      <c r="U447" s="683" t="s">
        <v>63</v>
      </c>
      <c r="V447" s="690"/>
      <c r="W447" s="687"/>
      <c r="X447" s="686">
        <v>47</v>
      </c>
      <c r="Y447" s="687" t="s">
        <v>1596</v>
      </c>
      <c r="Z447" s="663" t="s">
        <v>1596</v>
      </c>
      <c r="AA447" s="663" t="s">
        <v>1585</v>
      </c>
      <c r="AB447" s="663" t="s">
        <v>825</v>
      </c>
      <c r="AC447" s="663" t="s">
        <v>825</v>
      </c>
      <c r="AD447" s="663" t="s">
        <v>825</v>
      </c>
      <c r="AE447" s="663" t="s">
        <v>1586</v>
      </c>
      <c r="AF447" s="663" t="s">
        <v>1586</v>
      </c>
      <c r="AG447" s="663" t="s">
        <v>825</v>
      </c>
      <c r="AH447" s="663" t="s">
        <v>1586</v>
      </c>
      <c r="AI447" s="688">
        <v>74.193548387096769</v>
      </c>
      <c r="AJ447" s="689" t="s">
        <v>1588</v>
      </c>
      <c r="AK447" s="690"/>
    </row>
    <row r="448" spans="1:37" s="653" customFormat="1">
      <c r="A448" s="655">
        <v>2024</v>
      </c>
      <c r="B448" s="656" t="str">
        <f>INDEX('①基本情報 '!$C$2:$C$255,MATCH('②建物情報 '!E448,'①基本情報 '!$E$2:$E$255,0),1)</f>
        <v>187</v>
      </c>
      <c r="C448" s="657" t="str">
        <f>INDEX('①基本情報 '!$B$2:$B$255,MATCH('②建物情報 '!E448,'①基本情報 '!$E$2:$E$255,0),1)</f>
        <v>0806</v>
      </c>
      <c r="D448" s="658" t="s">
        <v>2418</v>
      </c>
      <c r="E448" s="612" t="s">
        <v>1223</v>
      </c>
      <c r="F448" s="611" t="str">
        <f>INDEX('①基本情報 '!$G$2:$G$255,MATCH('②建物情報 '!E448,'①基本情報 '!$E$2:$E$255,0),1)</f>
        <v>都市活力部都市整備室住宅政策課</v>
      </c>
      <c r="G448" s="678" t="s">
        <v>1643</v>
      </c>
      <c r="H448" s="700" t="s">
        <v>1695</v>
      </c>
      <c r="I448" s="663">
        <v>1986</v>
      </c>
      <c r="J448" s="663"/>
      <c r="K448" s="663">
        <f t="shared" si="6"/>
        <v>38</v>
      </c>
      <c r="L448" s="694">
        <v>520.24</v>
      </c>
      <c r="M448" s="680">
        <v>1912.52</v>
      </c>
      <c r="N448" s="680">
        <v>1912.52</v>
      </c>
      <c r="O448" s="681" t="s">
        <v>1812</v>
      </c>
      <c r="P448" s="663" t="s">
        <v>1581</v>
      </c>
      <c r="Q448" s="663">
        <v>4</v>
      </c>
      <c r="R448" s="690">
        <v>0</v>
      </c>
      <c r="S448" s="687" t="s">
        <v>1593</v>
      </c>
      <c r="T448" s="683" t="s">
        <v>825</v>
      </c>
      <c r="U448" s="683" t="s">
        <v>63</v>
      </c>
      <c r="V448" s="690"/>
      <c r="W448" s="687"/>
      <c r="X448" s="686">
        <v>47</v>
      </c>
      <c r="Y448" s="687" t="s">
        <v>1596</v>
      </c>
      <c r="Z448" s="663" t="s">
        <v>1596</v>
      </c>
      <c r="AA448" s="663" t="s">
        <v>1585</v>
      </c>
      <c r="AB448" s="663" t="s">
        <v>825</v>
      </c>
      <c r="AC448" s="663" t="s">
        <v>825</v>
      </c>
      <c r="AD448" s="663" t="s">
        <v>825</v>
      </c>
      <c r="AE448" s="663" t="s">
        <v>1586</v>
      </c>
      <c r="AF448" s="663" t="s">
        <v>1586</v>
      </c>
      <c r="AG448" s="663" t="s">
        <v>825</v>
      </c>
      <c r="AH448" s="663" t="s">
        <v>1586</v>
      </c>
      <c r="AI448" s="688">
        <v>74.193548387096769</v>
      </c>
      <c r="AJ448" s="689" t="s">
        <v>1588</v>
      </c>
      <c r="AK448" s="690"/>
    </row>
    <row r="449" spans="1:37" s="653" customFormat="1">
      <c r="A449" s="655">
        <v>2024</v>
      </c>
      <c r="B449" s="656" t="str">
        <f>INDEX('①基本情報 '!$C$2:$C$255,MATCH('②建物情報 '!E449,'①基本情報 '!$E$2:$E$255,0),1)</f>
        <v>187</v>
      </c>
      <c r="C449" s="657" t="str">
        <f>INDEX('①基本情報 '!$B$2:$B$255,MATCH('②建物情報 '!E449,'①基本情報 '!$E$2:$E$255,0),1)</f>
        <v>0806</v>
      </c>
      <c r="D449" s="658" t="s">
        <v>2418</v>
      </c>
      <c r="E449" s="612" t="s">
        <v>1223</v>
      </c>
      <c r="F449" s="611" t="str">
        <f>INDEX('①基本情報 '!$G$2:$G$255,MATCH('②建物情報 '!E449,'①基本情報 '!$E$2:$E$255,0),1)</f>
        <v>都市活力部都市整備室住宅政策課</v>
      </c>
      <c r="G449" s="678" t="s">
        <v>1645</v>
      </c>
      <c r="H449" s="700" t="s">
        <v>1696</v>
      </c>
      <c r="I449" s="663">
        <v>1987</v>
      </c>
      <c r="J449" s="663"/>
      <c r="K449" s="663">
        <f t="shared" si="6"/>
        <v>37</v>
      </c>
      <c r="L449" s="694">
        <v>349.51</v>
      </c>
      <c r="M449" s="680">
        <v>1289.1600000000001</v>
      </c>
      <c r="N449" s="680">
        <v>1289.1600000000001</v>
      </c>
      <c r="O449" s="681" t="s">
        <v>1812</v>
      </c>
      <c r="P449" s="663" t="s">
        <v>1581</v>
      </c>
      <c r="Q449" s="663">
        <v>4</v>
      </c>
      <c r="R449" s="690">
        <v>0</v>
      </c>
      <c r="S449" s="687" t="s">
        <v>1593</v>
      </c>
      <c r="T449" s="683" t="s">
        <v>825</v>
      </c>
      <c r="U449" s="683" t="s">
        <v>63</v>
      </c>
      <c r="V449" s="690"/>
      <c r="W449" s="687"/>
      <c r="X449" s="686">
        <v>47</v>
      </c>
      <c r="Y449" s="687" t="s">
        <v>1596</v>
      </c>
      <c r="Z449" s="663" t="s">
        <v>1596</v>
      </c>
      <c r="AA449" s="663" t="s">
        <v>1585</v>
      </c>
      <c r="AB449" s="663" t="s">
        <v>825</v>
      </c>
      <c r="AC449" s="663" t="s">
        <v>825</v>
      </c>
      <c r="AD449" s="663" t="s">
        <v>825</v>
      </c>
      <c r="AE449" s="663" t="s">
        <v>1586</v>
      </c>
      <c r="AF449" s="663" t="s">
        <v>1586</v>
      </c>
      <c r="AG449" s="663" t="s">
        <v>825</v>
      </c>
      <c r="AH449" s="663" t="s">
        <v>1586</v>
      </c>
      <c r="AI449" s="688">
        <v>73.548387096774192</v>
      </c>
      <c r="AJ449" s="689" t="s">
        <v>1588</v>
      </c>
      <c r="AK449" s="690"/>
    </row>
    <row r="450" spans="1:37" s="653" customFormat="1">
      <c r="A450" s="655">
        <v>2024</v>
      </c>
      <c r="B450" s="656" t="str">
        <f>INDEX('①基本情報 '!$C$2:$C$255,MATCH('②建物情報 '!E450,'①基本情報 '!$E$2:$E$255,0),1)</f>
        <v>187</v>
      </c>
      <c r="C450" s="657" t="str">
        <f>INDEX('①基本情報 '!$B$2:$B$255,MATCH('②建物情報 '!E450,'①基本情報 '!$E$2:$E$255,0),1)</f>
        <v>0806</v>
      </c>
      <c r="D450" s="658" t="s">
        <v>2418</v>
      </c>
      <c r="E450" s="612" t="s">
        <v>1223</v>
      </c>
      <c r="F450" s="611" t="str">
        <f>INDEX('①基本情報 '!$G$2:$G$255,MATCH('②建物情報 '!E450,'①基本情報 '!$E$2:$E$255,0),1)</f>
        <v>都市活力部都市整備室住宅政策課</v>
      </c>
      <c r="G450" s="678" t="s">
        <v>1646</v>
      </c>
      <c r="H450" s="700" t="s">
        <v>1697</v>
      </c>
      <c r="I450" s="663">
        <v>1988</v>
      </c>
      <c r="J450" s="663"/>
      <c r="K450" s="663">
        <f t="shared" si="6"/>
        <v>36</v>
      </c>
      <c r="L450" s="694">
        <v>320.33999999999997</v>
      </c>
      <c r="M450" s="680">
        <v>1212.6600000000001</v>
      </c>
      <c r="N450" s="680">
        <v>1212.6600000000001</v>
      </c>
      <c r="O450" s="681" t="s">
        <v>1812</v>
      </c>
      <c r="P450" s="663" t="s">
        <v>1581</v>
      </c>
      <c r="Q450" s="663">
        <v>4</v>
      </c>
      <c r="R450" s="690">
        <v>0</v>
      </c>
      <c r="S450" s="687" t="s">
        <v>1593</v>
      </c>
      <c r="T450" s="683" t="s">
        <v>825</v>
      </c>
      <c r="U450" s="683" t="s">
        <v>63</v>
      </c>
      <c r="V450" s="690"/>
      <c r="W450" s="687"/>
      <c r="X450" s="686">
        <v>47</v>
      </c>
      <c r="Y450" s="687" t="s">
        <v>1596</v>
      </c>
      <c r="Z450" s="663" t="s">
        <v>1596</v>
      </c>
      <c r="AA450" s="663" t="s">
        <v>1585</v>
      </c>
      <c r="AB450" s="663" t="s">
        <v>825</v>
      </c>
      <c r="AC450" s="663" t="s">
        <v>825</v>
      </c>
      <c r="AD450" s="663" t="s">
        <v>825</v>
      </c>
      <c r="AE450" s="663" t="s">
        <v>1586</v>
      </c>
      <c r="AF450" s="663" t="s">
        <v>1586</v>
      </c>
      <c r="AG450" s="663" t="s">
        <v>825</v>
      </c>
      <c r="AH450" s="663" t="s">
        <v>1586</v>
      </c>
      <c r="AI450" s="688">
        <v>72.258064516129039</v>
      </c>
      <c r="AJ450" s="689" t="s">
        <v>1588</v>
      </c>
      <c r="AK450" s="690"/>
    </row>
    <row r="451" spans="1:37" s="653" customFormat="1">
      <c r="A451" s="655">
        <v>2024</v>
      </c>
      <c r="B451" s="656" t="str">
        <f>INDEX('①基本情報 '!$C$2:$C$255,MATCH('②建物情報 '!E451,'①基本情報 '!$E$2:$E$255,0),1)</f>
        <v>187</v>
      </c>
      <c r="C451" s="657" t="str">
        <f>INDEX('①基本情報 '!$B$2:$B$255,MATCH('②建物情報 '!E451,'①基本情報 '!$E$2:$E$255,0),1)</f>
        <v>0806</v>
      </c>
      <c r="D451" s="658" t="s">
        <v>2418</v>
      </c>
      <c r="E451" s="612" t="s">
        <v>1223</v>
      </c>
      <c r="F451" s="611" t="str">
        <f>INDEX('①基本情報 '!$G$2:$G$255,MATCH('②建物情報 '!E451,'①基本情報 '!$E$2:$E$255,0),1)</f>
        <v>都市活力部都市整備室住宅政策課</v>
      </c>
      <c r="G451" s="678" t="s">
        <v>1647</v>
      </c>
      <c r="H451" s="700" t="s">
        <v>1698</v>
      </c>
      <c r="I451" s="663">
        <v>1964</v>
      </c>
      <c r="J451" s="663">
        <v>4</v>
      </c>
      <c r="K451" s="663">
        <f t="shared" si="6"/>
        <v>60</v>
      </c>
      <c r="L451" s="694"/>
      <c r="M451" s="680">
        <v>63</v>
      </c>
      <c r="N451" s="680">
        <v>63</v>
      </c>
      <c r="O451" s="681" t="s">
        <v>1812</v>
      </c>
      <c r="P451" s="663" t="s">
        <v>1581</v>
      </c>
      <c r="Q451" s="663"/>
      <c r="R451" s="690"/>
      <c r="S451" s="687" t="s">
        <v>1967</v>
      </c>
      <c r="T451" s="683" t="s">
        <v>1966</v>
      </c>
      <c r="U451" s="683" t="s">
        <v>1965</v>
      </c>
      <c r="V451" s="690"/>
      <c r="W451" s="687"/>
      <c r="X451" s="686">
        <v>47</v>
      </c>
      <c r="Y451" s="687" t="s">
        <v>825</v>
      </c>
      <c r="Z451" s="663" t="s">
        <v>825</v>
      </c>
      <c r="AA451" s="663" t="s">
        <v>825</v>
      </c>
      <c r="AB451" s="663" t="s">
        <v>825</v>
      </c>
      <c r="AC451" s="663" t="s">
        <v>825</v>
      </c>
      <c r="AD451" s="663" t="s">
        <v>825</v>
      </c>
      <c r="AE451" s="663" t="s">
        <v>825</v>
      </c>
      <c r="AF451" s="663" t="s">
        <v>825</v>
      </c>
      <c r="AG451" s="663" t="s">
        <v>825</v>
      </c>
      <c r="AH451" s="663" t="s">
        <v>825</v>
      </c>
      <c r="AI451" s="688" t="s">
        <v>825</v>
      </c>
      <c r="AJ451" s="689" t="s">
        <v>1588</v>
      </c>
      <c r="AK451" s="690"/>
    </row>
    <row r="452" spans="1:37" s="653" customFormat="1">
      <c r="A452" s="655">
        <v>2024</v>
      </c>
      <c r="B452" s="656" t="str">
        <f>INDEX('①基本情報 '!$C$2:$C$255,MATCH('②建物情報 '!E452,'①基本情報 '!$E$2:$E$255,0),1)</f>
        <v>187</v>
      </c>
      <c r="C452" s="657" t="str">
        <f>INDEX('①基本情報 '!$B$2:$B$255,MATCH('②建物情報 '!E452,'①基本情報 '!$E$2:$E$255,0),1)</f>
        <v>0806</v>
      </c>
      <c r="D452" s="261" t="s">
        <v>2418</v>
      </c>
      <c r="E452" s="262" t="s">
        <v>1223</v>
      </c>
      <c r="F452" s="263" t="str">
        <f>INDEX('①基本情報 '!$G$2:$G$255,MATCH('②建物情報 '!E452,'①基本情報 '!$E$2:$E$255,0),1)</f>
        <v>都市活力部都市整備室住宅政策課</v>
      </c>
      <c r="G452" s="264" t="s">
        <v>162</v>
      </c>
      <c r="H452" s="282" t="s">
        <v>1699</v>
      </c>
      <c r="I452" s="265">
        <v>1962</v>
      </c>
      <c r="J452" s="265">
        <v>4</v>
      </c>
      <c r="K452" s="265">
        <f t="shared" si="6"/>
        <v>62</v>
      </c>
      <c r="L452" s="281"/>
      <c r="M452" s="267">
        <v>6.1</v>
      </c>
      <c r="N452" s="267">
        <v>6.1</v>
      </c>
      <c r="O452" s="268" t="s">
        <v>1812</v>
      </c>
      <c r="P452" s="265" t="s">
        <v>1581</v>
      </c>
      <c r="Q452" s="265"/>
      <c r="R452" s="292"/>
      <c r="S452" s="276"/>
      <c r="T452" s="272"/>
      <c r="U452" s="272"/>
      <c r="V452" s="292"/>
      <c r="W452" s="276"/>
      <c r="X452" s="275">
        <v>38</v>
      </c>
      <c r="Y452" s="276" t="s">
        <v>825</v>
      </c>
      <c r="Z452" s="265" t="s">
        <v>825</v>
      </c>
      <c r="AA452" s="265" t="s">
        <v>825</v>
      </c>
      <c r="AB452" s="265" t="s">
        <v>825</v>
      </c>
      <c r="AC452" s="265" t="s">
        <v>825</v>
      </c>
      <c r="AD452" s="265" t="s">
        <v>825</v>
      </c>
      <c r="AE452" s="265" t="s">
        <v>825</v>
      </c>
      <c r="AF452" s="265" t="s">
        <v>825</v>
      </c>
      <c r="AG452" s="265" t="s">
        <v>825</v>
      </c>
      <c r="AH452" s="265" t="s">
        <v>825</v>
      </c>
      <c r="AI452" s="277" t="s">
        <v>825</v>
      </c>
      <c r="AJ452" s="278" t="s">
        <v>1604</v>
      </c>
      <c r="AK452" s="696" t="s">
        <v>2332</v>
      </c>
    </row>
    <row r="453" spans="1:37" s="653" customFormat="1">
      <c r="A453" s="655">
        <v>2024</v>
      </c>
      <c r="B453" s="656" t="str">
        <f>INDEX('①基本情報 '!$C$2:$C$255,MATCH('②建物情報 '!E453,'①基本情報 '!$E$2:$E$255,0),1)</f>
        <v>187</v>
      </c>
      <c r="C453" s="657" t="str">
        <f>INDEX('①基本情報 '!$B$2:$B$255,MATCH('②建物情報 '!E453,'①基本情報 '!$E$2:$E$255,0),1)</f>
        <v>0806</v>
      </c>
      <c r="D453" s="261" t="s">
        <v>2418</v>
      </c>
      <c r="E453" s="262" t="s">
        <v>1223</v>
      </c>
      <c r="F453" s="263" t="str">
        <f>INDEX('①基本情報 '!$G$2:$G$255,MATCH('②建物情報 '!E453,'①基本情報 '!$E$2:$E$255,0),1)</f>
        <v>都市活力部都市整備室住宅政策課</v>
      </c>
      <c r="G453" s="264" t="s">
        <v>1652</v>
      </c>
      <c r="H453" s="282" t="s">
        <v>1700</v>
      </c>
      <c r="I453" s="265">
        <v>1962</v>
      </c>
      <c r="J453" s="265">
        <v>4</v>
      </c>
      <c r="K453" s="265">
        <f t="shared" si="6"/>
        <v>62</v>
      </c>
      <c r="L453" s="281"/>
      <c r="M453" s="267">
        <v>1.72</v>
      </c>
      <c r="N453" s="267">
        <v>1.72</v>
      </c>
      <c r="O453" s="268" t="s">
        <v>1812</v>
      </c>
      <c r="P453" s="265" t="s">
        <v>1581</v>
      </c>
      <c r="Q453" s="265"/>
      <c r="R453" s="292"/>
      <c r="S453" s="276"/>
      <c r="T453" s="272"/>
      <c r="U453" s="272"/>
      <c r="V453" s="292"/>
      <c r="W453" s="276"/>
      <c r="X453" s="275">
        <v>38</v>
      </c>
      <c r="Y453" s="276" t="s">
        <v>825</v>
      </c>
      <c r="Z453" s="265" t="s">
        <v>825</v>
      </c>
      <c r="AA453" s="265" t="s">
        <v>825</v>
      </c>
      <c r="AB453" s="265" t="s">
        <v>825</v>
      </c>
      <c r="AC453" s="265" t="s">
        <v>825</v>
      </c>
      <c r="AD453" s="265" t="s">
        <v>825</v>
      </c>
      <c r="AE453" s="265" t="s">
        <v>825</v>
      </c>
      <c r="AF453" s="265" t="s">
        <v>825</v>
      </c>
      <c r="AG453" s="265" t="s">
        <v>825</v>
      </c>
      <c r="AH453" s="265" t="s">
        <v>825</v>
      </c>
      <c r="AI453" s="277" t="s">
        <v>825</v>
      </c>
      <c r="AJ453" s="278" t="s">
        <v>1604</v>
      </c>
      <c r="AK453" s="696" t="s">
        <v>2332</v>
      </c>
    </row>
    <row r="454" spans="1:37" s="653" customFormat="1">
      <c r="A454" s="655">
        <v>2024</v>
      </c>
      <c r="B454" s="656" t="str">
        <f>INDEX('①基本情報 '!$C$2:$C$255,MATCH('②建物情報 '!E454,'①基本情報 '!$E$2:$E$255,0),1)</f>
        <v>187</v>
      </c>
      <c r="C454" s="657" t="str">
        <f>INDEX('①基本情報 '!$B$2:$B$255,MATCH('②建物情報 '!E454,'①基本情報 '!$E$2:$E$255,0),1)</f>
        <v>0806</v>
      </c>
      <c r="D454" s="261" t="s">
        <v>2418</v>
      </c>
      <c r="E454" s="262" t="s">
        <v>1223</v>
      </c>
      <c r="F454" s="263" t="str">
        <f>INDEX('①基本情報 '!$G$2:$G$255,MATCH('②建物情報 '!E454,'①基本情報 '!$E$2:$E$255,0),1)</f>
        <v>都市活力部都市整備室住宅政策課</v>
      </c>
      <c r="G454" s="264" t="s">
        <v>861</v>
      </c>
      <c r="H454" s="282" t="s">
        <v>1700</v>
      </c>
      <c r="I454" s="265">
        <v>1964</v>
      </c>
      <c r="J454" s="265">
        <v>4</v>
      </c>
      <c r="K454" s="265">
        <f t="shared" si="6"/>
        <v>60</v>
      </c>
      <c r="L454" s="281"/>
      <c r="M454" s="267">
        <v>2.79</v>
      </c>
      <c r="N454" s="267">
        <v>2.79</v>
      </c>
      <c r="O454" s="268" t="s">
        <v>1812</v>
      </c>
      <c r="P454" s="265" t="s">
        <v>1617</v>
      </c>
      <c r="Q454" s="265"/>
      <c r="R454" s="292"/>
      <c r="S454" s="276"/>
      <c r="T454" s="272"/>
      <c r="U454" s="272"/>
      <c r="V454" s="292"/>
      <c r="W454" s="276"/>
      <c r="X454" s="275">
        <v>34</v>
      </c>
      <c r="Y454" s="276" t="s">
        <v>825</v>
      </c>
      <c r="Z454" s="265" t="s">
        <v>825</v>
      </c>
      <c r="AA454" s="265" t="s">
        <v>825</v>
      </c>
      <c r="AB454" s="265" t="s">
        <v>825</v>
      </c>
      <c r="AC454" s="265" t="s">
        <v>825</v>
      </c>
      <c r="AD454" s="265" t="s">
        <v>825</v>
      </c>
      <c r="AE454" s="265" t="s">
        <v>825</v>
      </c>
      <c r="AF454" s="265" t="s">
        <v>825</v>
      </c>
      <c r="AG454" s="265" t="s">
        <v>825</v>
      </c>
      <c r="AH454" s="265" t="s">
        <v>825</v>
      </c>
      <c r="AI454" s="277" t="s">
        <v>825</v>
      </c>
      <c r="AJ454" s="278" t="s">
        <v>1604</v>
      </c>
      <c r="AK454" s="696" t="s">
        <v>2332</v>
      </c>
    </row>
    <row r="455" spans="1:37" s="653" customFormat="1">
      <c r="A455" s="655">
        <v>2024</v>
      </c>
      <c r="B455" s="656" t="str">
        <f>INDEX('①基本情報 '!$C$2:$C$255,MATCH('②建物情報 '!E455,'①基本情報 '!$E$2:$E$255,0),1)</f>
        <v>187</v>
      </c>
      <c r="C455" s="657" t="str">
        <f>INDEX('①基本情報 '!$B$2:$B$255,MATCH('②建物情報 '!E455,'①基本情報 '!$E$2:$E$255,0),1)</f>
        <v>0806</v>
      </c>
      <c r="D455" s="261" t="s">
        <v>2418</v>
      </c>
      <c r="E455" s="262" t="s">
        <v>1223</v>
      </c>
      <c r="F455" s="263" t="str">
        <f>INDEX('①基本情報 '!$G$2:$G$255,MATCH('②建物情報 '!E455,'①基本情報 '!$E$2:$E$255,0),1)</f>
        <v>都市活力部都市整備室住宅政策課</v>
      </c>
      <c r="G455" s="264" t="s">
        <v>338</v>
      </c>
      <c r="H455" s="282" t="s">
        <v>1615</v>
      </c>
      <c r="I455" s="265">
        <v>1964</v>
      </c>
      <c r="J455" s="265">
        <v>4</v>
      </c>
      <c r="K455" s="265">
        <f t="shared" si="6"/>
        <v>60</v>
      </c>
      <c r="L455" s="281"/>
      <c r="M455" s="267">
        <v>37.799999999999997</v>
      </c>
      <c r="N455" s="267">
        <v>37.799999999999997</v>
      </c>
      <c r="O455" s="268" t="s">
        <v>1812</v>
      </c>
      <c r="P455" s="265" t="s">
        <v>1614</v>
      </c>
      <c r="Q455" s="265"/>
      <c r="R455" s="292"/>
      <c r="S455" s="276"/>
      <c r="T455" s="272"/>
      <c r="U455" s="272"/>
      <c r="V455" s="292"/>
      <c r="W455" s="276"/>
      <c r="X455" s="275">
        <v>15</v>
      </c>
      <c r="Y455" s="276" t="s">
        <v>825</v>
      </c>
      <c r="Z455" s="265" t="s">
        <v>825</v>
      </c>
      <c r="AA455" s="265" t="s">
        <v>825</v>
      </c>
      <c r="AB455" s="265" t="s">
        <v>825</v>
      </c>
      <c r="AC455" s="265" t="s">
        <v>825</v>
      </c>
      <c r="AD455" s="265" t="s">
        <v>825</v>
      </c>
      <c r="AE455" s="265" t="s">
        <v>825</v>
      </c>
      <c r="AF455" s="265" t="s">
        <v>825</v>
      </c>
      <c r="AG455" s="265" t="s">
        <v>825</v>
      </c>
      <c r="AH455" s="265" t="s">
        <v>825</v>
      </c>
      <c r="AI455" s="277" t="s">
        <v>825</v>
      </c>
      <c r="AJ455" s="278" t="s">
        <v>1606</v>
      </c>
      <c r="AK455" s="693" t="s">
        <v>2330</v>
      </c>
    </row>
    <row r="456" spans="1:37" s="653" customFormat="1">
      <c r="A456" s="655">
        <v>2024</v>
      </c>
      <c r="B456" s="656" t="str">
        <f>INDEX('①基本情報 '!$C$2:$C$255,MATCH('②建物情報 '!E456,'①基本情報 '!$E$2:$E$255,0),1)</f>
        <v>187</v>
      </c>
      <c r="C456" s="657" t="str">
        <f>INDEX('①基本情報 '!$B$2:$B$255,MATCH('②建物情報 '!E456,'①基本情報 '!$E$2:$E$255,0),1)</f>
        <v>0806</v>
      </c>
      <c r="D456" s="261" t="s">
        <v>2418</v>
      </c>
      <c r="E456" s="262" t="s">
        <v>1223</v>
      </c>
      <c r="F456" s="263" t="str">
        <f>INDEX('①基本情報 '!$G$2:$G$255,MATCH('②建物情報 '!E456,'①基本情報 '!$E$2:$E$255,0),1)</f>
        <v>都市活力部都市整備室住宅政策課</v>
      </c>
      <c r="G456" s="264" t="s">
        <v>344</v>
      </c>
      <c r="H456" s="282" t="s">
        <v>1701</v>
      </c>
      <c r="I456" s="265">
        <v>1964</v>
      </c>
      <c r="J456" s="265">
        <v>4</v>
      </c>
      <c r="K456" s="265">
        <f t="shared" si="6"/>
        <v>60</v>
      </c>
      <c r="L456" s="281"/>
      <c r="M456" s="267">
        <v>2.44</v>
      </c>
      <c r="N456" s="267">
        <v>2.44</v>
      </c>
      <c r="O456" s="268" t="s">
        <v>1812</v>
      </c>
      <c r="P456" s="265" t="s">
        <v>1614</v>
      </c>
      <c r="Q456" s="265"/>
      <c r="R456" s="292"/>
      <c r="S456" s="276"/>
      <c r="T456" s="272"/>
      <c r="U456" s="272"/>
      <c r="V456" s="292"/>
      <c r="W456" s="276"/>
      <c r="X456" s="275">
        <v>15</v>
      </c>
      <c r="Y456" s="276" t="s">
        <v>825</v>
      </c>
      <c r="Z456" s="265" t="s">
        <v>825</v>
      </c>
      <c r="AA456" s="265" t="s">
        <v>825</v>
      </c>
      <c r="AB456" s="265" t="s">
        <v>825</v>
      </c>
      <c r="AC456" s="265" t="s">
        <v>825</v>
      </c>
      <c r="AD456" s="265" t="s">
        <v>825</v>
      </c>
      <c r="AE456" s="265" t="s">
        <v>825</v>
      </c>
      <c r="AF456" s="265" t="s">
        <v>825</v>
      </c>
      <c r="AG456" s="265" t="s">
        <v>825</v>
      </c>
      <c r="AH456" s="265" t="s">
        <v>825</v>
      </c>
      <c r="AI456" s="277" t="s">
        <v>825</v>
      </c>
      <c r="AJ456" s="278" t="s">
        <v>1604</v>
      </c>
      <c r="AK456" s="696" t="s">
        <v>2332</v>
      </c>
    </row>
    <row r="457" spans="1:37" s="653" customFormat="1">
      <c r="A457" s="655">
        <v>2024</v>
      </c>
      <c r="B457" s="656" t="str">
        <f>INDEX('①基本情報 '!$C$2:$C$255,MATCH('②建物情報 '!E457,'①基本情報 '!$E$2:$E$255,0),1)</f>
        <v>187</v>
      </c>
      <c r="C457" s="657" t="str">
        <f>INDEX('①基本情報 '!$B$2:$B$255,MATCH('②建物情報 '!E457,'①基本情報 '!$E$2:$E$255,0),1)</f>
        <v>0806</v>
      </c>
      <c r="D457" s="261" t="s">
        <v>2418</v>
      </c>
      <c r="E457" s="262" t="s">
        <v>1223</v>
      </c>
      <c r="F457" s="263" t="str">
        <f>INDEX('①基本情報 '!$G$2:$G$255,MATCH('②建物情報 '!E457,'①基本情報 '!$E$2:$E$255,0),1)</f>
        <v>都市活力部都市整備室住宅政策課</v>
      </c>
      <c r="G457" s="264" t="s">
        <v>510</v>
      </c>
      <c r="H457" s="282" t="s">
        <v>1615</v>
      </c>
      <c r="I457" s="265">
        <v>1964</v>
      </c>
      <c r="J457" s="265">
        <v>4</v>
      </c>
      <c r="K457" s="265">
        <f t="shared" ref="K457:K520" si="7">IF(I457&lt;&gt;"",A457-I457,99)</f>
        <v>60</v>
      </c>
      <c r="L457" s="281"/>
      <c r="M457" s="267">
        <v>12.6</v>
      </c>
      <c r="N457" s="267">
        <v>12.6</v>
      </c>
      <c r="O457" s="268" t="s">
        <v>1812</v>
      </c>
      <c r="P457" s="265" t="s">
        <v>1614</v>
      </c>
      <c r="Q457" s="265"/>
      <c r="R457" s="292"/>
      <c r="S457" s="276"/>
      <c r="T457" s="272"/>
      <c r="U457" s="272"/>
      <c r="V457" s="292"/>
      <c r="W457" s="276"/>
      <c r="X457" s="275">
        <v>15</v>
      </c>
      <c r="Y457" s="276" t="s">
        <v>825</v>
      </c>
      <c r="Z457" s="265" t="s">
        <v>825</v>
      </c>
      <c r="AA457" s="265" t="s">
        <v>825</v>
      </c>
      <c r="AB457" s="265" t="s">
        <v>825</v>
      </c>
      <c r="AC457" s="265" t="s">
        <v>825</v>
      </c>
      <c r="AD457" s="265" t="s">
        <v>825</v>
      </c>
      <c r="AE457" s="265" t="s">
        <v>825</v>
      </c>
      <c r="AF457" s="265" t="s">
        <v>825</v>
      </c>
      <c r="AG457" s="265" t="s">
        <v>825</v>
      </c>
      <c r="AH457" s="265" t="s">
        <v>825</v>
      </c>
      <c r="AI457" s="277" t="s">
        <v>825</v>
      </c>
      <c r="AJ457" s="278" t="s">
        <v>1606</v>
      </c>
      <c r="AK457" s="693" t="s">
        <v>2330</v>
      </c>
    </row>
    <row r="458" spans="1:37" s="653" customFormat="1">
      <c r="A458" s="655">
        <v>2024</v>
      </c>
      <c r="B458" s="656" t="str">
        <f>INDEX('①基本情報 '!$C$2:$C$255,MATCH('②建物情報 '!E458,'①基本情報 '!$E$2:$E$255,0),1)</f>
        <v>187</v>
      </c>
      <c r="C458" s="657" t="str">
        <f>INDEX('①基本情報 '!$B$2:$B$255,MATCH('②建物情報 '!E458,'①基本情報 '!$E$2:$E$255,0),1)</f>
        <v>0806</v>
      </c>
      <c r="D458" s="261" t="s">
        <v>2418</v>
      </c>
      <c r="E458" s="262" t="s">
        <v>1223</v>
      </c>
      <c r="F458" s="263" t="str">
        <f>INDEX('①基本情報 '!$G$2:$G$255,MATCH('②建物情報 '!E458,'①基本情報 '!$E$2:$E$255,0),1)</f>
        <v>都市活力部都市整備室住宅政策課</v>
      </c>
      <c r="G458" s="264" t="s">
        <v>577</v>
      </c>
      <c r="H458" s="282" t="s">
        <v>1700</v>
      </c>
      <c r="I458" s="265">
        <v>1964</v>
      </c>
      <c r="J458" s="265">
        <v>4</v>
      </c>
      <c r="K458" s="265">
        <f t="shared" si="7"/>
        <v>60</v>
      </c>
      <c r="L458" s="281"/>
      <c r="M458" s="267">
        <v>3.24</v>
      </c>
      <c r="N458" s="267">
        <v>3.24</v>
      </c>
      <c r="O458" s="268" t="s">
        <v>1812</v>
      </c>
      <c r="P458" s="265" t="s">
        <v>1617</v>
      </c>
      <c r="Q458" s="265"/>
      <c r="R458" s="292"/>
      <c r="S458" s="276"/>
      <c r="T458" s="272"/>
      <c r="U458" s="272"/>
      <c r="V458" s="292"/>
      <c r="W458" s="276"/>
      <c r="X458" s="275">
        <v>34</v>
      </c>
      <c r="Y458" s="276" t="s">
        <v>825</v>
      </c>
      <c r="Z458" s="265" t="s">
        <v>825</v>
      </c>
      <c r="AA458" s="265" t="s">
        <v>825</v>
      </c>
      <c r="AB458" s="265" t="s">
        <v>825</v>
      </c>
      <c r="AC458" s="265" t="s">
        <v>825</v>
      </c>
      <c r="AD458" s="265" t="s">
        <v>825</v>
      </c>
      <c r="AE458" s="265" t="s">
        <v>825</v>
      </c>
      <c r="AF458" s="265" t="s">
        <v>825</v>
      </c>
      <c r="AG458" s="265" t="s">
        <v>825</v>
      </c>
      <c r="AH458" s="265" t="s">
        <v>825</v>
      </c>
      <c r="AI458" s="277" t="s">
        <v>825</v>
      </c>
      <c r="AJ458" s="278" t="s">
        <v>1604</v>
      </c>
      <c r="AK458" s="696" t="s">
        <v>2332</v>
      </c>
    </row>
    <row r="459" spans="1:37" s="653" customFormat="1">
      <c r="A459" s="655">
        <v>2024</v>
      </c>
      <c r="B459" s="656" t="str">
        <f>INDEX('①基本情報 '!$C$2:$C$255,MATCH('②建物情報 '!E459,'①基本情報 '!$E$2:$E$255,0),1)</f>
        <v>187</v>
      </c>
      <c r="C459" s="657" t="str">
        <f>INDEX('①基本情報 '!$B$2:$B$255,MATCH('②建物情報 '!E459,'①基本情報 '!$E$2:$E$255,0),1)</f>
        <v>0806</v>
      </c>
      <c r="D459" s="261" t="s">
        <v>2418</v>
      </c>
      <c r="E459" s="262" t="s">
        <v>1223</v>
      </c>
      <c r="F459" s="263" t="str">
        <f>INDEX('①基本情報 '!$G$2:$G$255,MATCH('②建物情報 '!E459,'①基本情報 '!$E$2:$E$255,0),1)</f>
        <v>都市活力部都市整備室住宅政策課</v>
      </c>
      <c r="G459" s="264" t="s">
        <v>1020</v>
      </c>
      <c r="H459" s="282" t="s">
        <v>1699</v>
      </c>
      <c r="I459" s="265">
        <v>1964</v>
      </c>
      <c r="J459" s="265">
        <v>4</v>
      </c>
      <c r="K459" s="265">
        <f t="shared" si="7"/>
        <v>60</v>
      </c>
      <c r="L459" s="281"/>
      <c r="M459" s="267">
        <v>12</v>
      </c>
      <c r="N459" s="267">
        <v>12</v>
      </c>
      <c r="O459" s="268" t="s">
        <v>1812</v>
      </c>
      <c r="P459" s="265" t="s">
        <v>1617</v>
      </c>
      <c r="Q459" s="265"/>
      <c r="R459" s="292"/>
      <c r="S459" s="276"/>
      <c r="T459" s="272"/>
      <c r="U459" s="272"/>
      <c r="V459" s="292"/>
      <c r="W459" s="276"/>
      <c r="X459" s="275">
        <v>34</v>
      </c>
      <c r="Y459" s="276" t="s">
        <v>825</v>
      </c>
      <c r="Z459" s="265" t="s">
        <v>825</v>
      </c>
      <c r="AA459" s="265" t="s">
        <v>825</v>
      </c>
      <c r="AB459" s="265" t="s">
        <v>825</v>
      </c>
      <c r="AC459" s="265" t="s">
        <v>825</v>
      </c>
      <c r="AD459" s="265" t="s">
        <v>825</v>
      </c>
      <c r="AE459" s="265" t="s">
        <v>825</v>
      </c>
      <c r="AF459" s="265" t="s">
        <v>825</v>
      </c>
      <c r="AG459" s="265" t="s">
        <v>825</v>
      </c>
      <c r="AH459" s="265" t="s">
        <v>825</v>
      </c>
      <c r="AI459" s="277" t="s">
        <v>825</v>
      </c>
      <c r="AJ459" s="278" t="s">
        <v>1604</v>
      </c>
      <c r="AK459" s="696" t="s">
        <v>2332</v>
      </c>
    </row>
    <row r="460" spans="1:37" s="653" customFormat="1">
      <c r="A460" s="655">
        <v>2024</v>
      </c>
      <c r="B460" s="656" t="str">
        <f>INDEX('①基本情報 '!$C$2:$C$255,MATCH('②建物情報 '!E460,'①基本情報 '!$E$2:$E$255,0),1)</f>
        <v>187</v>
      </c>
      <c r="C460" s="657" t="str">
        <f>INDEX('①基本情報 '!$B$2:$B$255,MATCH('②建物情報 '!E460,'①基本情報 '!$E$2:$E$255,0),1)</f>
        <v>0806</v>
      </c>
      <c r="D460" s="261" t="s">
        <v>2418</v>
      </c>
      <c r="E460" s="262" t="s">
        <v>1223</v>
      </c>
      <c r="F460" s="263" t="str">
        <f>INDEX('①基本情報 '!$G$2:$G$255,MATCH('②建物情報 '!E460,'①基本情報 '!$E$2:$E$255,0),1)</f>
        <v>都市活力部都市整備室住宅政策課</v>
      </c>
      <c r="G460" s="264" t="s">
        <v>1702</v>
      </c>
      <c r="H460" s="282" t="s">
        <v>1615</v>
      </c>
      <c r="I460" s="265">
        <v>1964</v>
      </c>
      <c r="J460" s="265">
        <v>4</v>
      </c>
      <c r="K460" s="265">
        <f t="shared" si="7"/>
        <v>60</v>
      </c>
      <c r="L460" s="281"/>
      <c r="M460" s="267">
        <v>25.2</v>
      </c>
      <c r="N460" s="267">
        <v>25.2</v>
      </c>
      <c r="O460" s="268" t="s">
        <v>1812</v>
      </c>
      <c r="P460" s="265" t="s">
        <v>1614</v>
      </c>
      <c r="Q460" s="265"/>
      <c r="R460" s="292"/>
      <c r="S460" s="276"/>
      <c r="T460" s="272"/>
      <c r="U460" s="272"/>
      <c r="V460" s="292"/>
      <c r="W460" s="276"/>
      <c r="X460" s="275">
        <v>15</v>
      </c>
      <c r="Y460" s="276" t="s">
        <v>825</v>
      </c>
      <c r="Z460" s="265" t="s">
        <v>825</v>
      </c>
      <c r="AA460" s="265" t="s">
        <v>825</v>
      </c>
      <c r="AB460" s="265" t="s">
        <v>825</v>
      </c>
      <c r="AC460" s="265" t="s">
        <v>825</v>
      </c>
      <c r="AD460" s="265" t="s">
        <v>825</v>
      </c>
      <c r="AE460" s="265" t="s">
        <v>825</v>
      </c>
      <c r="AF460" s="265" t="s">
        <v>825</v>
      </c>
      <c r="AG460" s="265" t="s">
        <v>825</v>
      </c>
      <c r="AH460" s="265" t="s">
        <v>825</v>
      </c>
      <c r="AI460" s="277" t="s">
        <v>825</v>
      </c>
      <c r="AJ460" s="278" t="s">
        <v>1606</v>
      </c>
      <c r="AK460" s="693" t="s">
        <v>2330</v>
      </c>
    </row>
    <row r="461" spans="1:37" s="653" customFormat="1">
      <c r="A461" s="655">
        <v>2024</v>
      </c>
      <c r="B461" s="656" t="str">
        <f>INDEX('①基本情報 '!$C$2:$C$255,MATCH('②建物情報 '!E461,'①基本情報 '!$E$2:$E$255,0),1)</f>
        <v>187</v>
      </c>
      <c r="C461" s="657" t="str">
        <f>INDEX('①基本情報 '!$B$2:$B$255,MATCH('②建物情報 '!E461,'①基本情報 '!$E$2:$E$255,0),1)</f>
        <v>0806</v>
      </c>
      <c r="D461" s="261" t="s">
        <v>2418</v>
      </c>
      <c r="E461" s="262" t="s">
        <v>1223</v>
      </c>
      <c r="F461" s="263" t="str">
        <f>INDEX('①基本情報 '!$G$2:$G$255,MATCH('②建物情報 '!E461,'①基本情報 '!$E$2:$E$255,0),1)</f>
        <v>都市活力部都市整備室住宅政策課</v>
      </c>
      <c r="G461" s="264" t="s">
        <v>843</v>
      </c>
      <c r="H461" s="282" t="s">
        <v>1615</v>
      </c>
      <c r="I461" s="265">
        <v>1964</v>
      </c>
      <c r="J461" s="265">
        <v>10</v>
      </c>
      <c r="K461" s="265">
        <f t="shared" si="7"/>
        <v>60</v>
      </c>
      <c r="L461" s="281"/>
      <c r="M461" s="267">
        <v>41.58</v>
      </c>
      <c r="N461" s="267">
        <v>41.58</v>
      </c>
      <c r="O461" s="268" t="s">
        <v>1812</v>
      </c>
      <c r="P461" s="265" t="s">
        <v>1603</v>
      </c>
      <c r="Q461" s="265"/>
      <c r="R461" s="292"/>
      <c r="S461" s="276"/>
      <c r="T461" s="272"/>
      <c r="U461" s="272"/>
      <c r="V461" s="292"/>
      <c r="W461" s="276"/>
      <c r="X461" s="275">
        <v>24</v>
      </c>
      <c r="Y461" s="276" t="s">
        <v>825</v>
      </c>
      <c r="Z461" s="265" t="s">
        <v>825</v>
      </c>
      <c r="AA461" s="265" t="s">
        <v>825</v>
      </c>
      <c r="AB461" s="265" t="s">
        <v>825</v>
      </c>
      <c r="AC461" s="265" t="s">
        <v>825</v>
      </c>
      <c r="AD461" s="265" t="s">
        <v>825</v>
      </c>
      <c r="AE461" s="265" t="s">
        <v>825</v>
      </c>
      <c r="AF461" s="265" t="s">
        <v>825</v>
      </c>
      <c r="AG461" s="265" t="s">
        <v>825</v>
      </c>
      <c r="AH461" s="265" t="s">
        <v>825</v>
      </c>
      <c r="AI461" s="277" t="s">
        <v>825</v>
      </c>
      <c r="AJ461" s="278" t="s">
        <v>1606</v>
      </c>
      <c r="AK461" s="693" t="s">
        <v>2330</v>
      </c>
    </row>
    <row r="462" spans="1:37" s="653" customFormat="1">
      <c r="A462" s="655">
        <v>2024</v>
      </c>
      <c r="B462" s="656" t="str">
        <f>INDEX('①基本情報 '!$C$2:$C$255,MATCH('②建物情報 '!E462,'①基本情報 '!$E$2:$E$255,0),1)</f>
        <v>187</v>
      </c>
      <c r="C462" s="657" t="str">
        <f>INDEX('①基本情報 '!$B$2:$B$255,MATCH('②建物情報 '!E462,'①基本情報 '!$E$2:$E$255,0),1)</f>
        <v>0806</v>
      </c>
      <c r="D462" s="261" t="s">
        <v>2418</v>
      </c>
      <c r="E462" s="262" t="s">
        <v>1223</v>
      </c>
      <c r="F462" s="263" t="str">
        <f>INDEX('①基本情報 '!$G$2:$G$255,MATCH('②建物情報 '!E462,'①基本情報 '!$E$2:$E$255,0),1)</f>
        <v>都市活力部都市整備室住宅政策課</v>
      </c>
      <c r="G462" s="264" t="s">
        <v>1011</v>
      </c>
      <c r="H462" s="282" t="s">
        <v>1703</v>
      </c>
      <c r="I462" s="265">
        <v>1978</v>
      </c>
      <c r="J462" s="265">
        <v>3</v>
      </c>
      <c r="K462" s="265">
        <f t="shared" si="7"/>
        <v>46</v>
      </c>
      <c r="L462" s="281"/>
      <c r="M462" s="267">
        <v>25.8</v>
      </c>
      <c r="N462" s="267">
        <v>25.8</v>
      </c>
      <c r="O462" s="268" t="s">
        <v>1812</v>
      </c>
      <c r="P462" s="265" t="s">
        <v>1603</v>
      </c>
      <c r="Q462" s="265"/>
      <c r="R462" s="292"/>
      <c r="S462" s="276"/>
      <c r="T462" s="272"/>
      <c r="U462" s="272"/>
      <c r="V462" s="292"/>
      <c r="W462" s="276"/>
      <c r="X462" s="275">
        <v>24</v>
      </c>
      <c r="Y462" s="276" t="s">
        <v>825</v>
      </c>
      <c r="Z462" s="265" t="s">
        <v>825</v>
      </c>
      <c r="AA462" s="265" t="s">
        <v>825</v>
      </c>
      <c r="AB462" s="265" t="s">
        <v>825</v>
      </c>
      <c r="AC462" s="265" t="s">
        <v>825</v>
      </c>
      <c r="AD462" s="265" t="s">
        <v>825</v>
      </c>
      <c r="AE462" s="265" t="s">
        <v>825</v>
      </c>
      <c r="AF462" s="265" t="s">
        <v>825</v>
      </c>
      <c r="AG462" s="265" t="s">
        <v>825</v>
      </c>
      <c r="AH462" s="265" t="s">
        <v>825</v>
      </c>
      <c r="AI462" s="277" t="s">
        <v>825</v>
      </c>
      <c r="AJ462" s="278" t="s">
        <v>1606</v>
      </c>
      <c r="AK462" s="693" t="s">
        <v>2330</v>
      </c>
    </row>
    <row r="463" spans="1:37" s="653" customFormat="1">
      <c r="A463" s="655">
        <v>2024</v>
      </c>
      <c r="B463" s="656" t="str">
        <f>INDEX('①基本情報 '!$C$2:$C$255,MATCH('②建物情報 '!E463,'①基本情報 '!$E$2:$E$255,0),1)</f>
        <v>187</v>
      </c>
      <c r="C463" s="657" t="str">
        <f>INDEX('①基本情報 '!$B$2:$B$255,MATCH('②建物情報 '!E463,'①基本情報 '!$E$2:$E$255,0),1)</f>
        <v>0806</v>
      </c>
      <c r="D463" s="261" t="s">
        <v>2418</v>
      </c>
      <c r="E463" s="262" t="s">
        <v>1223</v>
      </c>
      <c r="F463" s="263" t="str">
        <f>INDEX('①基本情報 '!$G$2:$G$255,MATCH('②建物情報 '!E463,'①基本情報 '!$E$2:$E$255,0),1)</f>
        <v>都市活力部都市整備室住宅政策課</v>
      </c>
      <c r="G463" s="264" t="s">
        <v>449</v>
      </c>
      <c r="H463" s="282" t="s">
        <v>1704</v>
      </c>
      <c r="I463" s="265">
        <v>1984</v>
      </c>
      <c r="J463" s="265">
        <v>9</v>
      </c>
      <c r="K463" s="265">
        <f t="shared" si="7"/>
        <v>40</v>
      </c>
      <c r="L463" s="281"/>
      <c r="M463" s="267">
        <v>36.36</v>
      </c>
      <c r="N463" s="267">
        <v>36.36</v>
      </c>
      <c r="O463" s="268" t="s">
        <v>1812</v>
      </c>
      <c r="P463" s="265" t="s">
        <v>1603</v>
      </c>
      <c r="Q463" s="265"/>
      <c r="R463" s="292"/>
      <c r="S463" s="276"/>
      <c r="T463" s="272"/>
      <c r="U463" s="272"/>
      <c r="V463" s="292"/>
      <c r="W463" s="276"/>
      <c r="X463" s="275">
        <v>24</v>
      </c>
      <c r="Y463" s="276" t="s">
        <v>825</v>
      </c>
      <c r="Z463" s="265" t="s">
        <v>825</v>
      </c>
      <c r="AA463" s="265" t="s">
        <v>825</v>
      </c>
      <c r="AB463" s="265" t="s">
        <v>825</v>
      </c>
      <c r="AC463" s="265" t="s">
        <v>825</v>
      </c>
      <c r="AD463" s="265" t="s">
        <v>825</v>
      </c>
      <c r="AE463" s="265" t="s">
        <v>825</v>
      </c>
      <c r="AF463" s="265" t="s">
        <v>825</v>
      </c>
      <c r="AG463" s="265" t="s">
        <v>825</v>
      </c>
      <c r="AH463" s="265" t="s">
        <v>825</v>
      </c>
      <c r="AI463" s="277" t="s">
        <v>825</v>
      </c>
      <c r="AJ463" s="278" t="s">
        <v>1606</v>
      </c>
      <c r="AK463" s="693" t="s">
        <v>2330</v>
      </c>
    </row>
    <row r="464" spans="1:37" s="653" customFormat="1">
      <c r="A464" s="655">
        <v>2024</v>
      </c>
      <c r="B464" s="656" t="str">
        <f>INDEX('①基本情報 '!$C$2:$C$255,MATCH('②建物情報 '!E464,'①基本情報 '!$E$2:$E$255,0),1)</f>
        <v>187</v>
      </c>
      <c r="C464" s="657" t="str">
        <f>INDEX('①基本情報 '!$B$2:$B$255,MATCH('②建物情報 '!E464,'①基本情報 '!$E$2:$E$255,0),1)</f>
        <v>0806</v>
      </c>
      <c r="D464" s="261" t="s">
        <v>2418</v>
      </c>
      <c r="E464" s="262" t="s">
        <v>1223</v>
      </c>
      <c r="F464" s="263" t="str">
        <f>INDEX('①基本情報 '!$G$2:$G$255,MATCH('②建物情報 '!E464,'①基本情報 '!$E$2:$E$255,0),1)</f>
        <v>都市活力部都市整備室住宅政策課</v>
      </c>
      <c r="G464" s="264" t="s">
        <v>537</v>
      </c>
      <c r="H464" s="282" t="s">
        <v>1609</v>
      </c>
      <c r="I464" s="265">
        <v>1986</v>
      </c>
      <c r="J464" s="265">
        <v>9</v>
      </c>
      <c r="K464" s="265">
        <f t="shared" si="7"/>
        <v>38</v>
      </c>
      <c r="L464" s="281"/>
      <c r="M464" s="267">
        <v>14</v>
      </c>
      <c r="N464" s="267">
        <v>14</v>
      </c>
      <c r="O464" s="268" t="s">
        <v>1812</v>
      </c>
      <c r="P464" s="265" t="s">
        <v>1617</v>
      </c>
      <c r="Q464" s="265"/>
      <c r="R464" s="292"/>
      <c r="S464" s="276"/>
      <c r="T464" s="272"/>
      <c r="U464" s="272"/>
      <c r="V464" s="292"/>
      <c r="W464" s="276"/>
      <c r="X464" s="275">
        <v>34</v>
      </c>
      <c r="Y464" s="276" t="s">
        <v>825</v>
      </c>
      <c r="Z464" s="265" t="s">
        <v>825</v>
      </c>
      <c r="AA464" s="265" t="s">
        <v>825</v>
      </c>
      <c r="AB464" s="265" t="s">
        <v>825</v>
      </c>
      <c r="AC464" s="265" t="s">
        <v>825</v>
      </c>
      <c r="AD464" s="265" t="s">
        <v>825</v>
      </c>
      <c r="AE464" s="265" t="s">
        <v>825</v>
      </c>
      <c r="AF464" s="265" t="s">
        <v>825</v>
      </c>
      <c r="AG464" s="265" t="s">
        <v>825</v>
      </c>
      <c r="AH464" s="265" t="s">
        <v>825</v>
      </c>
      <c r="AI464" s="277" t="s">
        <v>825</v>
      </c>
      <c r="AJ464" s="278" t="s">
        <v>1604</v>
      </c>
      <c r="AK464" s="696" t="s">
        <v>2332</v>
      </c>
    </row>
    <row r="465" spans="1:37" s="653" customFormat="1">
      <c r="A465" s="655">
        <v>2024</v>
      </c>
      <c r="B465" s="656" t="str">
        <f>INDEX('①基本情報 '!$C$2:$C$255,MATCH('②建物情報 '!E465,'①基本情報 '!$E$2:$E$255,0),1)</f>
        <v>187</v>
      </c>
      <c r="C465" s="657" t="str">
        <f>INDEX('①基本情報 '!$B$2:$B$255,MATCH('②建物情報 '!E465,'①基本情報 '!$E$2:$E$255,0),1)</f>
        <v>0806</v>
      </c>
      <c r="D465" s="261" t="s">
        <v>2418</v>
      </c>
      <c r="E465" s="262" t="s">
        <v>1223</v>
      </c>
      <c r="F465" s="263" t="str">
        <f>INDEX('①基本情報 '!$G$2:$G$255,MATCH('②建物情報 '!E465,'①基本情報 '!$E$2:$E$255,0),1)</f>
        <v>都市活力部都市整備室住宅政策課</v>
      </c>
      <c r="G465" s="264" t="s">
        <v>525</v>
      </c>
      <c r="H465" s="282" t="s">
        <v>1705</v>
      </c>
      <c r="I465" s="265">
        <v>1986</v>
      </c>
      <c r="J465" s="265">
        <v>6</v>
      </c>
      <c r="K465" s="265">
        <f t="shared" si="7"/>
        <v>38</v>
      </c>
      <c r="L465" s="281"/>
      <c r="M465" s="267">
        <v>64</v>
      </c>
      <c r="N465" s="267">
        <v>64</v>
      </c>
      <c r="O465" s="268" t="s">
        <v>1812</v>
      </c>
      <c r="P465" s="265" t="s">
        <v>1603</v>
      </c>
      <c r="Q465" s="265"/>
      <c r="R465" s="292"/>
      <c r="S465" s="276"/>
      <c r="T465" s="272"/>
      <c r="U465" s="272"/>
      <c r="V465" s="292"/>
      <c r="W465" s="276"/>
      <c r="X465" s="275">
        <v>31</v>
      </c>
      <c r="Y465" s="276" t="s">
        <v>825</v>
      </c>
      <c r="Z465" s="265" t="s">
        <v>825</v>
      </c>
      <c r="AA465" s="265" t="s">
        <v>825</v>
      </c>
      <c r="AB465" s="265" t="s">
        <v>825</v>
      </c>
      <c r="AC465" s="265" t="s">
        <v>825</v>
      </c>
      <c r="AD465" s="265" t="s">
        <v>825</v>
      </c>
      <c r="AE465" s="265" t="s">
        <v>825</v>
      </c>
      <c r="AF465" s="265" t="s">
        <v>825</v>
      </c>
      <c r="AG465" s="265" t="s">
        <v>825</v>
      </c>
      <c r="AH465" s="265" t="s">
        <v>825</v>
      </c>
      <c r="AI465" s="277" t="s">
        <v>825</v>
      </c>
      <c r="AJ465" s="278" t="s">
        <v>1606</v>
      </c>
      <c r="AK465" s="693" t="s">
        <v>2330</v>
      </c>
    </row>
    <row r="466" spans="1:37" s="653" customFormat="1">
      <c r="A466" s="655">
        <v>2024</v>
      </c>
      <c r="B466" s="656" t="str">
        <f>INDEX('①基本情報 '!$C$2:$C$255,MATCH('②建物情報 '!E466,'①基本情報 '!$E$2:$E$255,0),1)</f>
        <v>187</v>
      </c>
      <c r="C466" s="657" t="str">
        <f>INDEX('①基本情報 '!$B$2:$B$255,MATCH('②建物情報 '!E466,'①基本情報 '!$E$2:$E$255,0),1)</f>
        <v>0806</v>
      </c>
      <c r="D466" s="261" t="s">
        <v>2418</v>
      </c>
      <c r="E466" s="262" t="s">
        <v>1223</v>
      </c>
      <c r="F466" s="263" t="str">
        <f>INDEX('①基本情報 '!$G$2:$G$255,MATCH('②建物情報 '!E466,'①基本情報 '!$E$2:$E$255,0),1)</f>
        <v>都市活力部都市整備室住宅政策課</v>
      </c>
      <c r="G466" s="264" t="s">
        <v>1706</v>
      </c>
      <c r="H466" s="282" t="s">
        <v>1707</v>
      </c>
      <c r="I466" s="265">
        <v>1987</v>
      </c>
      <c r="J466" s="265">
        <v>6</v>
      </c>
      <c r="K466" s="265">
        <f t="shared" si="7"/>
        <v>37</v>
      </c>
      <c r="L466" s="281"/>
      <c r="M466" s="267">
        <v>24</v>
      </c>
      <c r="N466" s="267">
        <v>24</v>
      </c>
      <c r="O466" s="268" t="s">
        <v>1812</v>
      </c>
      <c r="P466" s="265" t="s">
        <v>1603</v>
      </c>
      <c r="Q466" s="265"/>
      <c r="R466" s="292"/>
      <c r="S466" s="276"/>
      <c r="T466" s="272"/>
      <c r="U466" s="272"/>
      <c r="V466" s="292"/>
      <c r="W466" s="276"/>
      <c r="X466" s="275">
        <v>31</v>
      </c>
      <c r="Y466" s="276" t="s">
        <v>825</v>
      </c>
      <c r="Z466" s="265" t="s">
        <v>825</v>
      </c>
      <c r="AA466" s="265" t="s">
        <v>825</v>
      </c>
      <c r="AB466" s="265" t="s">
        <v>825</v>
      </c>
      <c r="AC466" s="265" t="s">
        <v>825</v>
      </c>
      <c r="AD466" s="265" t="s">
        <v>825</v>
      </c>
      <c r="AE466" s="265" t="s">
        <v>825</v>
      </c>
      <c r="AF466" s="265" t="s">
        <v>825</v>
      </c>
      <c r="AG466" s="265" t="s">
        <v>825</v>
      </c>
      <c r="AH466" s="265" t="s">
        <v>825</v>
      </c>
      <c r="AI466" s="277" t="s">
        <v>825</v>
      </c>
      <c r="AJ466" s="278" t="s">
        <v>1606</v>
      </c>
      <c r="AK466" s="693" t="s">
        <v>2330</v>
      </c>
    </row>
    <row r="467" spans="1:37" s="653" customFormat="1">
      <c r="A467" s="655">
        <v>2024</v>
      </c>
      <c r="B467" s="656" t="str">
        <f>INDEX('①基本情報 '!$C$2:$C$255,MATCH('②建物情報 '!E467,'①基本情報 '!$E$2:$E$255,0),1)</f>
        <v>187</v>
      </c>
      <c r="C467" s="657" t="str">
        <f>INDEX('①基本情報 '!$B$2:$B$255,MATCH('②建物情報 '!E467,'①基本情報 '!$E$2:$E$255,0),1)</f>
        <v>0806</v>
      </c>
      <c r="D467" s="261" t="s">
        <v>2418</v>
      </c>
      <c r="E467" s="262" t="s">
        <v>1223</v>
      </c>
      <c r="F467" s="263" t="str">
        <f>INDEX('①基本情報 '!$G$2:$G$255,MATCH('②建物情報 '!E467,'①基本情報 '!$E$2:$E$255,0),1)</f>
        <v>都市活力部都市整備室住宅政策課</v>
      </c>
      <c r="G467" s="264" t="s">
        <v>490</v>
      </c>
      <c r="H467" s="282" t="s">
        <v>1707</v>
      </c>
      <c r="I467" s="265">
        <v>1987</v>
      </c>
      <c r="J467" s="265">
        <v>6</v>
      </c>
      <c r="K467" s="265">
        <f t="shared" si="7"/>
        <v>37</v>
      </c>
      <c r="L467" s="281"/>
      <c r="M467" s="267">
        <v>20</v>
      </c>
      <c r="N467" s="267">
        <v>20</v>
      </c>
      <c r="O467" s="268" t="s">
        <v>1812</v>
      </c>
      <c r="P467" s="265" t="s">
        <v>1603</v>
      </c>
      <c r="Q467" s="265"/>
      <c r="R467" s="292"/>
      <c r="S467" s="276"/>
      <c r="T467" s="272"/>
      <c r="U467" s="272"/>
      <c r="V467" s="292"/>
      <c r="W467" s="276"/>
      <c r="X467" s="275">
        <v>31</v>
      </c>
      <c r="Y467" s="276" t="s">
        <v>825</v>
      </c>
      <c r="Z467" s="265" t="s">
        <v>825</v>
      </c>
      <c r="AA467" s="265" t="s">
        <v>825</v>
      </c>
      <c r="AB467" s="265" t="s">
        <v>825</v>
      </c>
      <c r="AC467" s="265" t="s">
        <v>825</v>
      </c>
      <c r="AD467" s="265" t="s">
        <v>825</v>
      </c>
      <c r="AE467" s="265" t="s">
        <v>825</v>
      </c>
      <c r="AF467" s="265" t="s">
        <v>825</v>
      </c>
      <c r="AG467" s="265" t="s">
        <v>825</v>
      </c>
      <c r="AH467" s="265" t="s">
        <v>825</v>
      </c>
      <c r="AI467" s="277" t="s">
        <v>825</v>
      </c>
      <c r="AJ467" s="278" t="s">
        <v>1606</v>
      </c>
      <c r="AK467" s="693" t="s">
        <v>2330</v>
      </c>
    </row>
    <row r="468" spans="1:37" s="653" customFormat="1">
      <c r="A468" s="655">
        <v>2024</v>
      </c>
      <c r="B468" s="656" t="str">
        <f>INDEX('①基本情報 '!$C$2:$C$255,MATCH('②建物情報 '!E468,'①基本情報 '!$E$2:$E$255,0),1)</f>
        <v>187</v>
      </c>
      <c r="C468" s="657" t="str">
        <f>INDEX('①基本情報 '!$B$2:$B$255,MATCH('②建物情報 '!E468,'①基本情報 '!$E$2:$E$255,0),1)</f>
        <v>0806</v>
      </c>
      <c r="D468" s="261" t="s">
        <v>2418</v>
      </c>
      <c r="E468" s="262" t="s">
        <v>1223</v>
      </c>
      <c r="F468" s="263" t="str">
        <f>INDEX('①基本情報 '!$G$2:$G$255,MATCH('②建物情報 '!E468,'①基本情報 '!$E$2:$E$255,0),1)</f>
        <v>都市活力部都市整備室住宅政策課</v>
      </c>
      <c r="G468" s="264" t="s">
        <v>663</v>
      </c>
      <c r="H468" s="282" t="s">
        <v>1708</v>
      </c>
      <c r="I468" s="265">
        <v>1988</v>
      </c>
      <c r="J468" s="265">
        <v>10</v>
      </c>
      <c r="K468" s="265">
        <f t="shared" si="7"/>
        <v>36</v>
      </c>
      <c r="L468" s="281"/>
      <c r="M468" s="267">
        <v>32</v>
      </c>
      <c r="N468" s="267">
        <v>32</v>
      </c>
      <c r="O468" s="268" t="s">
        <v>1812</v>
      </c>
      <c r="P468" s="265" t="s">
        <v>1603</v>
      </c>
      <c r="Q468" s="265"/>
      <c r="R468" s="292"/>
      <c r="S468" s="276"/>
      <c r="T468" s="272"/>
      <c r="U468" s="272"/>
      <c r="V468" s="292"/>
      <c r="W468" s="276"/>
      <c r="X468" s="275">
        <v>31</v>
      </c>
      <c r="Y468" s="276" t="s">
        <v>825</v>
      </c>
      <c r="Z468" s="265" t="s">
        <v>825</v>
      </c>
      <c r="AA468" s="265" t="s">
        <v>825</v>
      </c>
      <c r="AB468" s="265" t="s">
        <v>825</v>
      </c>
      <c r="AC468" s="265" t="s">
        <v>825</v>
      </c>
      <c r="AD468" s="265" t="s">
        <v>825</v>
      </c>
      <c r="AE468" s="265" t="s">
        <v>825</v>
      </c>
      <c r="AF468" s="265" t="s">
        <v>825</v>
      </c>
      <c r="AG468" s="265" t="s">
        <v>825</v>
      </c>
      <c r="AH468" s="265" t="s">
        <v>825</v>
      </c>
      <c r="AI468" s="277" t="s">
        <v>825</v>
      </c>
      <c r="AJ468" s="278" t="s">
        <v>1606</v>
      </c>
      <c r="AK468" s="693" t="s">
        <v>2330</v>
      </c>
    </row>
    <row r="469" spans="1:37" s="653" customFormat="1">
      <c r="A469" s="655">
        <v>2024</v>
      </c>
      <c r="B469" s="656" t="str">
        <f>INDEX('①基本情報 '!$C$2:$C$255,MATCH('②建物情報 '!E469,'①基本情報 '!$E$2:$E$255,0),1)</f>
        <v>187</v>
      </c>
      <c r="C469" s="657" t="str">
        <f>INDEX('①基本情報 '!$B$2:$B$255,MATCH('②建物情報 '!E469,'①基本情報 '!$E$2:$E$255,0),1)</f>
        <v>0806</v>
      </c>
      <c r="D469" s="261" t="s">
        <v>2418</v>
      </c>
      <c r="E469" s="262" t="s">
        <v>1223</v>
      </c>
      <c r="F469" s="263" t="str">
        <f>INDEX('①基本情報 '!$G$2:$G$255,MATCH('②建物情報 '!E469,'①基本情報 '!$E$2:$E$255,0),1)</f>
        <v>都市活力部都市整備室住宅政策課</v>
      </c>
      <c r="G469" s="264" t="s">
        <v>1709</v>
      </c>
      <c r="H469" s="282" t="s">
        <v>1710</v>
      </c>
      <c r="I469" s="265">
        <v>1974</v>
      </c>
      <c r="J469" s="265">
        <v>3</v>
      </c>
      <c r="K469" s="265">
        <f t="shared" si="7"/>
        <v>50</v>
      </c>
      <c r="L469" s="281"/>
      <c r="M469" s="267">
        <v>20.420000000000002</v>
      </c>
      <c r="N469" s="267">
        <v>20.420000000000002</v>
      </c>
      <c r="O469" s="268" t="s">
        <v>1812</v>
      </c>
      <c r="P469" s="265" t="s">
        <v>1603</v>
      </c>
      <c r="Q469" s="265"/>
      <c r="R469" s="292"/>
      <c r="S469" s="276"/>
      <c r="T469" s="272"/>
      <c r="U469" s="272"/>
      <c r="V469" s="292"/>
      <c r="W469" s="276"/>
      <c r="X469" s="275">
        <v>24</v>
      </c>
      <c r="Y469" s="276" t="s">
        <v>825</v>
      </c>
      <c r="Z469" s="265" t="s">
        <v>825</v>
      </c>
      <c r="AA469" s="265" t="s">
        <v>825</v>
      </c>
      <c r="AB469" s="265" t="s">
        <v>825</v>
      </c>
      <c r="AC469" s="265" t="s">
        <v>825</v>
      </c>
      <c r="AD469" s="265" t="s">
        <v>825</v>
      </c>
      <c r="AE469" s="265" t="s">
        <v>825</v>
      </c>
      <c r="AF469" s="265" t="s">
        <v>825</v>
      </c>
      <c r="AG469" s="265" t="s">
        <v>825</v>
      </c>
      <c r="AH469" s="265" t="s">
        <v>825</v>
      </c>
      <c r="AI469" s="277" t="s">
        <v>825</v>
      </c>
      <c r="AJ469" s="278" t="s">
        <v>1604</v>
      </c>
      <c r="AK469" s="696" t="s">
        <v>2332</v>
      </c>
    </row>
    <row r="470" spans="1:37" s="653" customFormat="1">
      <c r="A470" s="655">
        <v>2024</v>
      </c>
      <c r="B470" s="656" t="str">
        <f>INDEX('①基本情報 '!$C$2:$C$255,MATCH('②建物情報 '!E470,'①基本情報 '!$E$2:$E$255,0),1)</f>
        <v>187</v>
      </c>
      <c r="C470" s="657" t="str">
        <f>INDEX('①基本情報 '!$B$2:$B$255,MATCH('②建物情報 '!E470,'①基本情報 '!$E$2:$E$255,0),1)</f>
        <v>0806</v>
      </c>
      <c r="D470" s="261" t="s">
        <v>2418</v>
      </c>
      <c r="E470" s="262" t="s">
        <v>1223</v>
      </c>
      <c r="F470" s="263" t="str">
        <f>INDEX('①基本情報 '!$G$2:$G$255,MATCH('②建物情報 '!E470,'①基本情報 '!$E$2:$E$255,0),1)</f>
        <v>都市活力部都市整備室住宅政策課</v>
      </c>
      <c r="G470" s="264" t="s">
        <v>1711</v>
      </c>
      <c r="H470" s="282" t="s">
        <v>1710</v>
      </c>
      <c r="I470" s="265">
        <v>2003</v>
      </c>
      <c r="J470" s="265"/>
      <c r="K470" s="265">
        <f t="shared" si="7"/>
        <v>21</v>
      </c>
      <c r="L470" s="281"/>
      <c r="M470" s="267">
        <v>20.14</v>
      </c>
      <c r="N470" s="267">
        <v>20.14</v>
      </c>
      <c r="O470" s="268" t="s">
        <v>1812</v>
      </c>
      <c r="P470" s="265" t="s">
        <v>1603</v>
      </c>
      <c r="Q470" s="265"/>
      <c r="R470" s="292"/>
      <c r="S470" s="276"/>
      <c r="T470" s="272"/>
      <c r="U470" s="272"/>
      <c r="V470" s="292"/>
      <c r="W470" s="276"/>
      <c r="X470" s="275">
        <v>24</v>
      </c>
      <c r="Y470" s="276" t="s">
        <v>825</v>
      </c>
      <c r="Z470" s="265" t="s">
        <v>825</v>
      </c>
      <c r="AA470" s="265" t="s">
        <v>825</v>
      </c>
      <c r="AB470" s="265" t="s">
        <v>825</v>
      </c>
      <c r="AC470" s="265" t="s">
        <v>825</v>
      </c>
      <c r="AD470" s="265" t="s">
        <v>825</v>
      </c>
      <c r="AE470" s="265" t="s">
        <v>825</v>
      </c>
      <c r="AF470" s="265" t="s">
        <v>825</v>
      </c>
      <c r="AG470" s="265" t="s">
        <v>825</v>
      </c>
      <c r="AH470" s="265" t="s">
        <v>825</v>
      </c>
      <c r="AI470" s="277" t="s">
        <v>825</v>
      </c>
      <c r="AJ470" s="278" t="s">
        <v>1604</v>
      </c>
      <c r="AK470" s="696" t="s">
        <v>2332</v>
      </c>
    </row>
    <row r="471" spans="1:37" s="653" customFormat="1">
      <c r="A471" s="655">
        <v>2024</v>
      </c>
      <c r="B471" s="656" t="str">
        <f>INDEX('①基本情報 '!$C$2:$C$255,MATCH('②建物情報 '!E471,'①基本情報 '!$E$2:$E$255,0),1)</f>
        <v>188</v>
      </c>
      <c r="C471" s="657" t="str">
        <f>INDEX('①基本情報 '!$B$2:$B$255,MATCH('②建物情報 '!E471,'①基本情報 '!$E$2:$E$255,0),1)</f>
        <v>0807</v>
      </c>
      <c r="D471" s="658" t="s">
        <v>2418</v>
      </c>
      <c r="E471" s="612" t="s">
        <v>1233</v>
      </c>
      <c r="F471" s="611" t="str">
        <f>INDEX('①基本情報 '!$G$2:$G$255,MATCH('②建物情報 '!E471,'①基本情報 '!$E$2:$E$255,0),1)</f>
        <v>都市活力部都市整備室住宅政策課</v>
      </c>
      <c r="G471" s="678" t="s">
        <v>1580</v>
      </c>
      <c r="H471" s="612" t="s">
        <v>1690</v>
      </c>
      <c r="I471" s="663">
        <v>1965</v>
      </c>
      <c r="J471" s="663"/>
      <c r="K471" s="663">
        <f t="shared" si="7"/>
        <v>59</v>
      </c>
      <c r="L471" s="694">
        <v>181.44</v>
      </c>
      <c r="M471" s="680">
        <v>751.56</v>
      </c>
      <c r="N471" s="680">
        <v>751.56</v>
      </c>
      <c r="O471" s="681" t="s">
        <v>1812</v>
      </c>
      <c r="P471" s="663" t="s">
        <v>1581</v>
      </c>
      <c r="Q471" s="663">
        <v>5</v>
      </c>
      <c r="R471" s="690">
        <v>0</v>
      </c>
      <c r="S471" s="687" t="s">
        <v>1582</v>
      </c>
      <c r="T471" s="663"/>
      <c r="U471" s="683" t="s">
        <v>2479</v>
      </c>
      <c r="V471" s="690" t="s">
        <v>2480</v>
      </c>
      <c r="W471" s="687"/>
      <c r="X471" s="686">
        <v>47</v>
      </c>
      <c r="Y471" s="687" t="s">
        <v>1585</v>
      </c>
      <c r="Z471" s="663" t="s">
        <v>1585</v>
      </c>
      <c r="AA471" s="663" t="s">
        <v>1587</v>
      </c>
      <c r="AB471" s="663" t="s">
        <v>825</v>
      </c>
      <c r="AC471" s="663" t="s">
        <v>825</v>
      </c>
      <c r="AD471" s="663" t="s">
        <v>825</v>
      </c>
      <c r="AE471" s="663" t="s">
        <v>1585</v>
      </c>
      <c r="AF471" s="663" t="s">
        <v>1586</v>
      </c>
      <c r="AG471" s="663" t="s">
        <v>825</v>
      </c>
      <c r="AH471" s="663" t="s">
        <v>1586</v>
      </c>
      <c r="AI471" s="688">
        <v>80</v>
      </c>
      <c r="AJ471" s="689" t="s">
        <v>1588</v>
      </c>
      <c r="AK471" s="690"/>
    </row>
    <row r="472" spans="1:37" s="653" customFormat="1">
      <c r="A472" s="655">
        <v>2024</v>
      </c>
      <c r="B472" s="656" t="str">
        <f>INDEX('①基本情報 '!$C$2:$C$255,MATCH('②建物情報 '!E472,'①基本情報 '!$E$2:$E$255,0),1)</f>
        <v>188</v>
      </c>
      <c r="C472" s="657" t="str">
        <f>INDEX('①基本情報 '!$B$2:$B$255,MATCH('②建物情報 '!E472,'①基本情報 '!$E$2:$E$255,0),1)</f>
        <v>0807</v>
      </c>
      <c r="D472" s="658" t="s">
        <v>2418</v>
      </c>
      <c r="E472" s="612" t="s">
        <v>1233</v>
      </c>
      <c r="F472" s="611" t="str">
        <f>INDEX('①基本情報 '!$G$2:$G$255,MATCH('②建物情報 '!E472,'①基本情報 '!$E$2:$E$255,0),1)</f>
        <v>都市活力部都市整備室住宅政策課</v>
      </c>
      <c r="G472" s="678" t="s">
        <v>1589</v>
      </c>
      <c r="H472" s="612" t="s">
        <v>1691</v>
      </c>
      <c r="I472" s="663">
        <v>1965</v>
      </c>
      <c r="J472" s="663"/>
      <c r="K472" s="663">
        <f t="shared" si="7"/>
        <v>59</v>
      </c>
      <c r="L472" s="694">
        <v>295.56</v>
      </c>
      <c r="M472" s="680">
        <v>1254.78</v>
      </c>
      <c r="N472" s="680">
        <v>1254.78</v>
      </c>
      <c r="O472" s="681" t="s">
        <v>1812</v>
      </c>
      <c r="P472" s="663" t="s">
        <v>1581</v>
      </c>
      <c r="Q472" s="663">
        <v>5</v>
      </c>
      <c r="R472" s="690">
        <v>0</v>
      </c>
      <c r="S472" s="687" t="s">
        <v>1582</v>
      </c>
      <c r="T472" s="663"/>
      <c r="U472" s="683" t="s">
        <v>2479</v>
      </c>
      <c r="V472" s="690" t="s">
        <v>2480</v>
      </c>
      <c r="W472" s="687"/>
      <c r="X472" s="686">
        <v>50</v>
      </c>
      <c r="Y472" s="687" t="s">
        <v>1585</v>
      </c>
      <c r="Z472" s="663" t="s">
        <v>1587</v>
      </c>
      <c r="AA472" s="663" t="s">
        <v>1587</v>
      </c>
      <c r="AB472" s="663" t="s">
        <v>825</v>
      </c>
      <c r="AC472" s="663" t="s">
        <v>825</v>
      </c>
      <c r="AD472" s="663" t="s">
        <v>825</v>
      </c>
      <c r="AE472" s="663" t="s">
        <v>1585</v>
      </c>
      <c r="AF472" s="663" t="s">
        <v>1586</v>
      </c>
      <c r="AG472" s="663" t="s">
        <v>825</v>
      </c>
      <c r="AH472" s="663" t="s">
        <v>1586</v>
      </c>
      <c r="AI472" s="688">
        <v>72.903225806451616</v>
      </c>
      <c r="AJ472" s="689" t="s">
        <v>1588</v>
      </c>
      <c r="AK472" s="690"/>
    </row>
    <row r="473" spans="1:37" s="653" customFormat="1">
      <c r="A473" s="655">
        <v>2024</v>
      </c>
      <c r="B473" s="656" t="str">
        <f>INDEX('①基本情報 '!$C$2:$C$255,MATCH('②建物情報 '!E473,'①基本情報 '!$E$2:$E$255,0),1)</f>
        <v>188</v>
      </c>
      <c r="C473" s="657" t="str">
        <f>INDEX('①基本情報 '!$B$2:$B$255,MATCH('②建物情報 '!E473,'①基本情報 '!$E$2:$E$255,0),1)</f>
        <v>0807</v>
      </c>
      <c r="D473" s="658" t="s">
        <v>2418</v>
      </c>
      <c r="E473" s="612" t="s">
        <v>1233</v>
      </c>
      <c r="F473" s="611" t="str">
        <f>INDEX('①基本情報 '!$G$2:$G$255,MATCH('②建物情報 '!E473,'①基本情報 '!$E$2:$E$255,0),1)</f>
        <v>都市活力部都市整備室住宅政策課</v>
      </c>
      <c r="G473" s="678" t="s">
        <v>1591</v>
      </c>
      <c r="H473" s="612" t="s">
        <v>1692</v>
      </c>
      <c r="I473" s="663">
        <v>1966</v>
      </c>
      <c r="J473" s="663"/>
      <c r="K473" s="663">
        <f t="shared" si="7"/>
        <v>58</v>
      </c>
      <c r="L473" s="694">
        <v>197.04</v>
      </c>
      <c r="M473" s="680">
        <v>773.76</v>
      </c>
      <c r="N473" s="680">
        <v>773.76</v>
      </c>
      <c r="O473" s="681" t="s">
        <v>1812</v>
      </c>
      <c r="P473" s="663" t="s">
        <v>1581</v>
      </c>
      <c r="Q473" s="663">
        <v>4</v>
      </c>
      <c r="R473" s="690">
        <v>0</v>
      </c>
      <c r="S473" s="687" t="s">
        <v>1582</v>
      </c>
      <c r="T473" s="663"/>
      <c r="U473" s="683" t="s">
        <v>1892</v>
      </c>
      <c r="V473" s="690"/>
      <c r="W473" s="687">
        <v>2022</v>
      </c>
      <c r="X473" s="686">
        <v>50</v>
      </c>
      <c r="Y473" s="687" t="s">
        <v>1585</v>
      </c>
      <c r="Z473" s="663" t="s">
        <v>1585</v>
      </c>
      <c r="AA473" s="663" t="s">
        <v>1587</v>
      </c>
      <c r="AB473" s="663" t="s">
        <v>825</v>
      </c>
      <c r="AC473" s="663" t="s">
        <v>825</v>
      </c>
      <c r="AD473" s="663" t="s">
        <v>825</v>
      </c>
      <c r="AE473" s="663" t="s">
        <v>1585</v>
      </c>
      <c r="AF473" s="663" t="s">
        <v>1586</v>
      </c>
      <c r="AG473" s="663" t="s">
        <v>825</v>
      </c>
      <c r="AH473" s="663" t="s">
        <v>1586</v>
      </c>
      <c r="AI473" s="688">
        <v>78.709677419354847</v>
      </c>
      <c r="AJ473" s="689" t="s">
        <v>1588</v>
      </c>
      <c r="AK473" s="690"/>
    </row>
    <row r="474" spans="1:37" s="653" customFormat="1">
      <c r="A474" s="655">
        <v>2024</v>
      </c>
      <c r="B474" s="656" t="str">
        <f>INDEX('①基本情報 '!$C$2:$C$255,MATCH('②建物情報 '!E474,'①基本情報 '!$E$2:$E$255,0),1)</f>
        <v>188</v>
      </c>
      <c r="C474" s="657" t="str">
        <f>INDEX('①基本情報 '!$B$2:$B$255,MATCH('②建物情報 '!E474,'①基本情報 '!$E$2:$E$255,0),1)</f>
        <v>0807</v>
      </c>
      <c r="D474" s="261" t="s">
        <v>2418</v>
      </c>
      <c r="E474" s="262" t="s">
        <v>1233</v>
      </c>
      <c r="F474" s="263" t="str">
        <f>INDEX('①基本情報 '!$G$2:$G$255,MATCH('②建物情報 '!E474,'①基本情報 '!$E$2:$E$255,0),1)</f>
        <v>都市活力部都市整備室住宅政策課</v>
      </c>
      <c r="G474" s="264" t="s">
        <v>1601</v>
      </c>
      <c r="H474" s="282" t="s">
        <v>1609</v>
      </c>
      <c r="I474" s="265">
        <v>1965</v>
      </c>
      <c r="J474" s="265">
        <v>1</v>
      </c>
      <c r="K474" s="265">
        <f t="shared" si="7"/>
        <v>59</v>
      </c>
      <c r="L474" s="281"/>
      <c r="M474" s="267">
        <v>5</v>
      </c>
      <c r="N474" s="267">
        <v>5</v>
      </c>
      <c r="O474" s="268" t="s">
        <v>1812</v>
      </c>
      <c r="P474" s="265" t="s">
        <v>1617</v>
      </c>
      <c r="Q474" s="265"/>
      <c r="R474" s="292"/>
      <c r="S474" s="276"/>
      <c r="T474" s="265"/>
      <c r="U474" s="272"/>
      <c r="V474" s="292"/>
      <c r="W474" s="276"/>
      <c r="X474" s="275">
        <v>34</v>
      </c>
      <c r="Y474" s="276" t="s">
        <v>825</v>
      </c>
      <c r="Z474" s="265" t="s">
        <v>825</v>
      </c>
      <c r="AA474" s="265" t="s">
        <v>825</v>
      </c>
      <c r="AB474" s="265" t="s">
        <v>825</v>
      </c>
      <c r="AC474" s="265" t="s">
        <v>825</v>
      </c>
      <c r="AD474" s="265" t="s">
        <v>825</v>
      </c>
      <c r="AE474" s="265" t="s">
        <v>825</v>
      </c>
      <c r="AF474" s="265" t="s">
        <v>825</v>
      </c>
      <c r="AG474" s="265" t="s">
        <v>825</v>
      </c>
      <c r="AH474" s="265" t="s">
        <v>825</v>
      </c>
      <c r="AI474" s="277" t="s">
        <v>825</v>
      </c>
      <c r="AJ474" s="278" t="s">
        <v>1604</v>
      </c>
      <c r="AK474" s="696" t="s">
        <v>2332</v>
      </c>
    </row>
    <row r="475" spans="1:37" s="653" customFormat="1">
      <c r="A475" s="655">
        <v>2024</v>
      </c>
      <c r="B475" s="656" t="str">
        <f>INDEX('①基本情報 '!$C$2:$C$255,MATCH('②建物情報 '!E475,'①基本情報 '!$E$2:$E$255,0),1)</f>
        <v>188</v>
      </c>
      <c r="C475" s="657" t="str">
        <f>INDEX('①基本情報 '!$B$2:$B$255,MATCH('②建物情報 '!E475,'①基本情報 '!$E$2:$E$255,0),1)</f>
        <v>0807</v>
      </c>
      <c r="D475" s="261" t="s">
        <v>2418</v>
      </c>
      <c r="E475" s="262" t="s">
        <v>1233</v>
      </c>
      <c r="F475" s="263" t="str">
        <f>INDEX('①基本情報 '!$G$2:$G$255,MATCH('②建物情報 '!E475,'①基本情報 '!$E$2:$E$255,0),1)</f>
        <v>都市活力部都市整備室住宅政策課</v>
      </c>
      <c r="G475" s="264" t="s">
        <v>1620</v>
      </c>
      <c r="H475" s="282" t="s">
        <v>1615</v>
      </c>
      <c r="I475" s="265">
        <v>1965</v>
      </c>
      <c r="J475" s="265">
        <v>1</v>
      </c>
      <c r="K475" s="265">
        <f t="shared" si="7"/>
        <v>59</v>
      </c>
      <c r="L475" s="281"/>
      <c r="M475" s="267">
        <v>13.68</v>
      </c>
      <c r="N475" s="267">
        <v>13.68</v>
      </c>
      <c r="O475" s="268" t="s">
        <v>1812</v>
      </c>
      <c r="P475" s="265" t="s">
        <v>1603</v>
      </c>
      <c r="Q475" s="265"/>
      <c r="R475" s="292"/>
      <c r="S475" s="276"/>
      <c r="T475" s="265"/>
      <c r="U475" s="272"/>
      <c r="V475" s="292"/>
      <c r="W475" s="276"/>
      <c r="X475" s="275">
        <v>31</v>
      </c>
      <c r="Y475" s="276" t="s">
        <v>825</v>
      </c>
      <c r="Z475" s="265" t="s">
        <v>825</v>
      </c>
      <c r="AA475" s="265" t="s">
        <v>825</v>
      </c>
      <c r="AB475" s="265" t="s">
        <v>825</v>
      </c>
      <c r="AC475" s="265" t="s">
        <v>825</v>
      </c>
      <c r="AD475" s="265" t="s">
        <v>825</v>
      </c>
      <c r="AE475" s="265" t="s">
        <v>825</v>
      </c>
      <c r="AF475" s="265" t="s">
        <v>825</v>
      </c>
      <c r="AG475" s="265" t="s">
        <v>825</v>
      </c>
      <c r="AH475" s="265" t="s">
        <v>825</v>
      </c>
      <c r="AI475" s="277" t="s">
        <v>825</v>
      </c>
      <c r="AJ475" s="278" t="s">
        <v>1606</v>
      </c>
      <c r="AK475" s="693" t="s">
        <v>2330</v>
      </c>
    </row>
    <row r="476" spans="1:37" s="653" customFormat="1">
      <c r="A476" s="655">
        <v>2024</v>
      </c>
      <c r="B476" s="656" t="str">
        <f>INDEX('①基本情報 '!$C$2:$C$255,MATCH('②建物情報 '!E476,'①基本情報 '!$E$2:$E$255,0),1)</f>
        <v>188</v>
      </c>
      <c r="C476" s="657" t="str">
        <f>INDEX('①基本情報 '!$B$2:$B$255,MATCH('②建物情報 '!E476,'①基本情報 '!$E$2:$E$255,0),1)</f>
        <v>0807</v>
      </c>
      <c r="D476" s="261" t="s">
        <v>2418</v>
      </c>
      <c r="E476" s="262" t="s">
        <v>1233</v>
      </c>
      <c r="F476" s="263" t="str">
        <f>INDEX('①基本情報 '!$G$2:$G$255,MATCH('②建物情報 '!E476,'①基本情報 '!$E$2:$E$255,0),1)</f>
        <v>都市活力部都市整備室住宅政策課</v>
      </c>
      <c r="G476" s="264" t="s">
        <v>1643</v>
      </c>
      <c r="H476" s="282" t="s">
        <v>1615</v>
      </c>
      <c r="I476" s="265">
        <v>1965</v>
      </c>
      <c r="J476" s="265">
        <v>1</v>
      </c>
      <c r="K476" s="265">
        <f t="shared" si="7"/>
        <v>59</v>
      </c>
      <c r="L476" s="281"/>
      <c r="M476" s="267">
        <v>20.52</v>
      </c>
      <c r="N476" s="267">
        <v>20.52</v>
      </c>
      <c r="O476" s="268" t="s">
        <v>1812</v>
      </c>
      <c r="P476" s="265" t="s">
        <v>1603</v>
      </c>
      <c r="Q476" s="265"/>
      <c r="R476" s="292"/>
      <c r="S476" s="276"/>
      <c r="T476" s="265"/>
      <c r="U476" s="272"/>
      <c r="V476" s="292"/>
      <c r="W476" s="276"/>
      <c r="X476" s="275">
        <v>31</v>
      </c>
      <c r="Y476" s="276" t="s">
        <v>825</v>
      </c>
      <c r="Z476" s="265" t="s">
        <v>825</v>
      </c>
      <c r="AA476" s="265" t="s">
        <v>825</v>
      </c>
      <c r="AB476" s="265" t="s">
        <v>825</v>
      </c>
      <c r="AC476" s="265" t="s">
        <v>825</v>
      </c>
      <c r="AD476" s="265" t="s">
        <v>825</v>
      </c>
      <c r="AE476" s="265" t="s">
        <v>825</v>
      </c>
      <c r="AF476" s="265" t="s">
        <v>825</v>
      </c>
      <c r="AG476" s="265" t="s">
        <v>825</v>
      </c>
      <c r="AH476" s="265" t="s">
        <v>825</v>
      </c>
      <c r="AI476" s="277" t="s">
        <v>825</v>
      </c>
      <c r="AJ476" s="278" t="s">
        <v>1606</v>
      </c>
      <c r="AK476" s="693" t="s">
        <v>2330</v>
      </c>
    </row>
    <row r="477" spans="1:37" s="653" customFormat="1">
      <c r="A477" s="655">
        <v>2024</v>
      </c>
      <c r="B477" s="656" t="str">
        <f>INDEX('①基本情報 '!$C$2:$C$255,MATCH('②建物情報 '!E477,'①基本情報 '!$E$2:$E$255,0),1)</f>
        <v>188</v>
      </c>
      <c r="C477" s="657" t="str">
        <f>INDEX('①基本情報 '!$B$2:$B$255,MATCH('②建物情報 '!E477,'①基本情報 '!$E$2:$E$255,0),1)</f>
        <v>0807</v>
      </c>
      <c r="D477" s="261" t="s">
        <v>2418</v>
      </c>
      <c r="E477" s="262" t="s">
        <v>1233</v>
      </c>
      <c r="F477" s="263" t="str">
        <f>INDEX('①基本情報 '!$G$2:$G$255,MATCH('②建物情報 '!E477,'①基本情報 '!$E$2:$E$255,0),1)</f>
        <v>都市活力部都市整備室住宅政策課</v>
      </c>
      <c r="G477" s="264" t="s">
        <v>1645</v>
      </c>
      <c r="H477" s="282" t="s">
        <v>1609</v>
      </c>
      <c r="I477" s="265">
        <v>1965</v>
      </c>
      <c r="J477" s="265">
        <v>1</v>
      </c>
      <c r="K477" s="265">
        <f t="shared" si="7"/>
        <v>59</v>
      </c>
      <c r="L477" s="281"/>
      <c r="M477" s="267">
        <v>6.25</v>
      </c>
      <c r="N477" s="267">
        <v>6.25</v>
      </c>
      <c r="O477" s="268" t="s">
        <v>1812</v>
      </c>
      <c r="P477" s="265" t="s">
        <v>1617</v>
      </c>
      <c r="Q477" s="265"/>
      <c r="R477" s="292"/>
      <c r="S477" s="276"/>
      <c r="T477" s="265"/>
      <c r="U477" s="272"/>
      <c r="V477" s="292"/>
      <c r="W477" s="276"/>
      <c r="X477" s="275">
        <v>34</v>
      </c>
      <c r="Y477" s="276" t="s">
        <v>825</v>
      </c>
      <c r="Z477" s="265" t="s">
        <v>825</v>
      </c>
      <c r="AA477" s="265" t="s">
        <v>825</v>
      </c>
      <c r="AB477" s="265" t="s">
        <v>825</v>
      </c>
      <c r="AC477" s="265" t="s">
        <v>825</v>
      </c>
      <c r="AD477" s="265" t="s">
        <v>825</v>
      </c>
      <c r="AE477" s="265" t="s">
        <v>825</v>
      </c>
      <c r="AF477" s="265" t="s">
        <v>825</v>
      </c>
      <c r="AG477" s="265" t="s">
        <v>825</v>
      </c>
      <c r="AH477" s="265" t="s">
        <v>825</v>
      </c>
      <c r="AI477" s="277" t="s">
        <v>825</v>
      </c>
      <c r="AJ477" s="278" t="s">
        <v>1604</v>
      </c>
      <c r="AK477" s="696" t="s">
        <v>2332</v>
      </c>
    </row>
    <row r="478" spans="1:37" s="653" customFormat="1">
      <c r="A478" s="655">
        <v>2024</v>
      </c>
      <c r="B478" s="656" t="str">
        <f>INDEX('①基本情報 '!$C$2:$C$255,MATCH('②建物情報 '!E478,'①基本情報 '!$E$2:$E$255,0),1)</f>
        <v>188</v>
      </c>
      <c r="C478" s="657" t="str">
        <f>INDEX('①基本情報 '!$B$2:$B$255,MATCH('②建物情報 '!E478,'①基本情報 '!$E$2:$E$255,0),1)</f>
        <v>0807</v>
      </c>
      <c r="D478" s="261" t="s">
        <v>2418</v>
      </c>
      <c r="E478" s="262" t="s">
        <v>1233</v>
      </c>
      <c r="F478" s="263" t="str">
        <f>INDEX('①基本情報 '!$G$2:$G$255,MATCH('②建物情報 '!E478,'①基本情報 '!$E$2:$E$255,0),1)</f>
        <v>都市活力部都市整備室住宅政策課</v>
      </c>
      <c r="G478" s="264" t="s">
        <v>1646</v>
      </c>
      <c r="H478" s="282" t="s">
        <v>1609</v>
      </c>
      <c r="I478" s="265">
        <v>1966</v>
      </c>
      <c r="J478" s="265">
        <v>1</v>
      </c>
      <c r="K478" s="265">
        <f t="shared" si="7"/>
        <v>58</v>
      </c>
      <c r="L478" s="281"/>
      <c r="M478" s="267">
        <v>5.75</v>
      </c>
      <c r="N478" s="267">
        <v>5.75</v>
      </c>
      <c r="O478" s="268" t="s">
        <v>1812</v>
      </c>
      <c r="P478" s="265" t="s">
        <v>1617</v>
      </c>
      <c r="Q478" s="265"/>
      <c r="R478" s="292"/>
      <c r="S478" s="276"/>
      <c r="T478" s="265"/>
      <c r="U478" s="272"/>
      <c r="V478" s="292"/>
      <c r="W478" s="276"/>
      <c r="X478" s="275">
        <v>34</v>
      </c>
      <c r="Y478" s="276" t="s">
        <v>825</v>
      </c>
      <c r="Z478" s="265" t="s">
        <v>825</v>
      </c>
      <c r="AA478" s="265" t="s">
        <v>825</v>
      </c>
      <c r="AB478" s="265" t="s">
        <v>825</v>
      </c>
      <c r="AC478" s="265" t="s">
        <v>825</v>
      </c>
      <c r="AD478" s="265" t="s">
        <v>825</v>
      </c>
      <c r="AE478" s="265" t="s">
        <v>825</v>
      </c>
      <c r="AF478" s="265" t="s">
        <v>825</v>
      </c>
      <c r="AG478" s="265" t="s">
        <v>825</v>
      </c>
      <c r="AH478" s="265" t="s">
        <v>825</v>
      </c>
      <c r="AI478" s="277" t="s">
        <v>825</v>
      </c>
      <c r="AJ478" s="278" t="s">
        <v>1604</v>
      </c>
      <c r="AK478" s="696" t="s">
        <v>2332</v>
      </c>
    </row>
    <row r="479" spans="1:37" s="653" customFormat="1">
      <c r="A479" s="655">
        <v>2024</v>
      </c>
      <c r="B479" s="656" t="str">
        <f>INDEX('①基本情報 '!$C$2:$C$255,MATCH('②建物情報 '!E479,'①基本情報 '!$E$2:$E$255,0),1)</f>
        <v>188</v>
      </c>
      <c r="C479" s="657" t="str">
        <f>INDEX('①基本情報 '!$B$2:$B$255,MATCH('②建物情報 '!E479,'①基本情報 '!$E$2:$E$255,0),1)</f>
        <v>0807</v>
      </c>
      <c r="D479" s="261" t="s">
        <v>2418</v>
      </c>
      <c r="E479" s="262" t="s">
        <v>1233</v>
      </c>
      <c r="F479" s="263" t="str">
        <f>INDEX('①基本情報 '!$G$2:$G$255,MATCH('②建物情報 '!E479,'①基本情報 '!$E$2:$E$255,0),1)</f>
        <v>都市活力部都市整備室住宅政策課</v>
      </c>
      <c r="G479" s="264" t="s">
        <v>1647</v>
      </c>
      <c r="H479" s="282" t="s">
        <v>1615</v>
      </c>
      <c r="I479" s="265">
        <v>1966</v>
      </c>
      <c r="J479" s="265">
        <v>1</v>
      </c>
      <c r="K479" s="265">
        <f t="shared" si="7"/>
        <v>58</v>
      </c>
      <c r="L479" s="281"/>
      <c r="M479" s="267">
        <v>13.68</v>
      </c>
      <c r="N479" s="267">
        <v>13.68</v>
      </c>
      <c r="O479" s="268" t="s">
        <v>1812</v>
      </c>
      <c r="P479" s="265" t="s">
        <v>1603</v>
      </c>
      <c r="Q479" s="265"/>
      <c r="R479" s="292"/>
      <c r="S479" s="276"/>
      <c r="T479" s="265"/>
      <c r="U479" s="272"/>
      <c r="V479" s="292"/>
      <c r="W479" s="276"/>
      <c r="X479" s="275">
        <v>31</v>
      </c>
      <c r="Y479" s="276" t="s">
        <v>825</v>
      </c>
      <c r="Z479" s="265" t="s">
        <v>825</v>
      </c>
      <c r="AA479" s="265" t="s">
        <v>825</v>
      </c>
      <c r="AB479" s="265" t="s">
        <v>825</v>
      </c>
      <c r="AC479" s="265" t="s">
        <v>825</v>
      </c>
      <c r="AD479" s="265" t="s">
        <v>825</v>
      </c>
      <c r="AE479" s="265" t="s">
        <v>825</v>
      </c>
      <c r="AF479" s="265" t="s">
        <v>825</v>
      </c>
      <c r="AG479" s="265" t="s">
        <v>825</v>
      </c>
      <c r="AH479" s="265" t="s">
        <v>825</v>
      </c>
      <c r="AI479" s="277" t="s">
        <v>825</v>
      </c>
      <c r="AJ479" s="278" t="s">
        <v>1606</v>
      </c>
      <c r="AK479" s="693" t="s">
        <v>2330</v>
      </c>
    </row>
    <row r="480" spans="1:37" s="653" customFormat="1">
      <c r="A480" s="655">
        <v>2024</v>
      </c>
      <c r="B480" s="656" t="str">
        <f>INDEX('①基本情報 '!$C$2:$C$255,MATCH('②建物情報 '!E480,'①基本情報 '!$E$2:$E$255,0),1)</f>
        <v>188</v>
      </c>
      <c r="C480" s="657" t="str">
        <f>INDEX('①基本情報 '!$B$2:$B$255,MATCH('②建物情報 '!E480,'①基本情報 '!$E$2:$E$255,0),1)</f>
        <v>0807</v>
      </c>
      <c r="D480" s="261" t="s">
        <v>2418</v>
      </c>
      <c r="E480" s="262" t="s">
        <v>1233</v>
      </c>
      <c r="F480" s="263" t="str">
        <f>INDEX('①基本情報 '!$G$2:$G$255,MATCH('②建物情報 '!E480,'①基本情報 '!$E$2:$E$255,0),1)</f>
        <v>都市活力部都市整備室住宅政策課</v>
      </c>
      <c r="G480" s="264" t="s">
        <v>162</v>
      </c>
      <c r="H480" s="282" t="s">
        <v>1622</v>
      </c>
      <c r="I480" s="265">
        <v>1978</v>
      </c>
      <c r="J480" s="265">
        <v>6</v>
      </c>
      <c r="K480" s="265">
        <f t="shared" si="7"/>
        <v>46</v>
      </c>
      <c r="L480" s="281"/>
      <c r="M480" s="267">
        <v>28.35</v>
      </c>
      <c r="N480" s="267">
        <v>28.35</v>
      </c>
      <c r="O480" s="268" t="s">
        <v>1812</v>
      </c>
      <c r="P480" s="265" t="s">
        <v>1603</v>
      </c>
      <c r="Q480" s="265"/>
      <c r="R480" s="292"/>
      <c r="S480" s="276"/>
      <c r="T480" s="265"/>
      <c r="U480" s="272"/>
      <c r="V480" s="292"/>
      <c r="W480" s="276"/>
      <c r="X480" s="275">
        <v>27</v>
      </c>
      <c r="Y480" s="276" t="s">
        <v>825</v>
      </c>
      <c r="Z480" s="265" t="s">
        <v>825</v>
      </c>
      <c r="AA480" s="265" t="s">
        <v>825</v>
      </c>
      <c r="AB480" s="265" t="s">
        <v>825</v>
      </c>
      <c r="AC480" s="265" t="s">
        <v>825</v>
      </c>
      <c r="AD480" s="265" t="s">
        <v>825</v>
      </c>
      <c r="AE480" s="265" t="s">
        <v>825</v>
      </c>
      <c r="AF480" s="265" t="s">
        <v>825</v>
      </c>
      <c r="AG480" s="265" t="s">
        <v>825</v>
      </c>
      <c r="AH480" s="265" t="s">
        <v>825</v>
      </c>
      <c r="AI480" s="277" t="s">
        <v>825</v>
      </c>
      <c r="AJ480" s="278" t="s">
        <v>1604</v>
      </c>
      <c r="AK480" s="696" t="s">
        <v>2332</v>
      </c>
    </row>
    <row r="481" spans="1:37" s="653" customFormat="1">
      <c r="A481" s="655">
        <v>2024</v>
      </c>
      <c r="B481" s="656" t="str">
        <f>INDEX('①基本情報 '!$C$2:$C$255,MATCH('②建物情報 '!E481,'①基本情報 '!$E$2:$E$255,0),1)</f>
        <v>188</v>
      </c>
      <c r="C481" s="657" t="str">
        <f>INDEX('①基本情報 '!$B$2:$B$255,MATCH('②建物情報 '!E481,'①基本情報 '!$E$2:$E$255,0),1)</f>
        <v>0807</v>
      </c>
      <c r="D481" s="261" t="s">
        <v>2418</v>
      </c>
      <c r="E481" s="262" t="s">
        <v>1233</v>
      </c>
      <c r="F481" s="263" t="str">
        <f>INDEX('①基本情報 '!$G$2:$G$255,MATCH('②建物情報 '!E481,'①基本情報 '!$E$2:$E$255,0),1)</f>
        <v>都市活力部都市整備室住宅政策課</v>
      </c>
      <c r="G481" s="264" t="s">
        <v>1652</v>
      </c>
      <c r="H481" s="282" t="s">
        <v>1712</v>
      </c>
      <c r="I481" s="265">
        <v>2005</v>
      </c>
      <c r="J481" s="265">
        <v>3</v>
      </c>
      <c r="K481" s="265">
        <f t="shared" si="7"/>
        <v>19</v>
      </c>
      <c r="L481" s="281"/>
      <c r="M481" s="267">
        <v>25.24</v>
      </c>
      <c r="N481" s="267">
        <v>25.24</v>
      </c>
      <c r="O481" s="268" t="s">
        <v>1812</v>
      </c>
      <c r="P481" s="265" t="s">
        <v>1603</v>
      </c>
      <c r="Q481" s="265"/>
      <c r="R481" s="292"/>
      <c r="S481" s="276"/>
      <c r="T481" s="265"/>
      <c r="U481" s="272"/>
      <c r="V481" s="292"/>
      <c r="W481" s="276"/>
      <c r="X481" s="275">
        <v>24</v>
      </c>
      <c r="Y481" s="276" t="s">
        <v>825</v>
      </c>
      <c r="Z481" s="265" t="s">
        <v>825</v>
      </c>
      <c r="AA481" s="265" t="s">
        <v>825</v>
      </c>
      <c r="AB481" s="265" t="s">
        <v>825</v>
      </c>
      <c r="AC481" s="265" t="s">
        <v>825</v>
      </c>
      <c r="AD481" s="265" t="s">
        <v>825</v>
      </c>
      <c r="AE481" s="265" t="s">
        <v>825</v>
      </c>
      <c r="AF481" s="265" t="s">
        <v>825</v>
      </c>
      <c r="AG481" s="265" t="s">
        <v>825</v>
      </c>
      <c r="AH481" s="265" t="s">
        <v>825</v>
      </c>
      <c r="AI481" s="277" t="s">
        <v>825</v>
      </c>
      <c r="AJ481" s="278" t="s">
        <v>1606</v>
      </c>
      <c r="AK481" s="693" t="s">
        <v>2330</v>
      </c>
    </row>
    <row r="482" spans="1:37" s="653" customFormat="1">
      <c r="A482" s="655">
        <v>2024</v>
      </c>
      <c r="B482" s="656" t="str">
        <f>INDEX('①基本情報 '!$C$2:$C$255,MATCH('②建物情報 '!E482,'①基本情報 '!$E$2:$E$255,0),1)</f>
        <v>189</v>
      </c>
      <c r="C482" s="657" t="str">
        <f>INDEX('①基本情報 '!$B$2:$B$255,MATCH('②建物情報 '!E482,'①基本情報 '!$E$2:$E$255,0),1)</f>
        <v>0810</v>
      </c>
      <c r="D482" s="658" t="s">
        <v>2418</v>
      </c>
      <c r="E482" s="612" t="s">
        <v>1237</v>
      </c>
      <c r="F482" s="611" t="str">
        <f>INDEX('①基本情報 '!$G$2:$G$255,MATCH('②建物情報 '!E482,'①基本情報 '!$E$2:$E$255,0),1)</f>
        <v>都市活力部都市整備室住宅政策課</v>
      </c>
      <c r="G482" s="678" t="s">
        <v>1580</v>
      </c>
      <c r="H482" s="612" t="s">
        <v>1690</v>
      </c>
      <c r="I482" s="663">
        <v>1968</v>
      </c>
      <c r="J482" s="663"/>
      <c r="K482" s="663">
        <f t="shared" si="7"/>
        <v>56</v>
      </c>
      <c r="L482" s="694">
        <v>258.86799999999999</v>
      </c>
      <c r="M482" s="680">
        <v>1269.29</v>
      </c>
      <c r="N482" s="680">
        <v>1269.29</v>
      </c>
      <c r="O482" s="681" t="s">
        <v>1812</v>
      </c>
      <c r="P482" s="663" t="s">
        <v>1581</v>
      </c>
      <c r="Q482" s="663">
        <v>5</v>
      </c>
      <c r="R482" s="690">
        <v>0</v>
      </c>
      <c r="S482" s="687" t="s">
        <v>1582</v>
      </c>
      <c r="T482" s="663"/>
      <c r="U482" s="683" t="s">
        <v>1892</v>
      </c>
      <c r="V482" s="690"/>
      <c r="W482" s="687">
        <v>2022</v>
      </c>
      <c r="X482" s="686">
        <v>47</v>
      </c>
      <c r="Y482" s="687" t="s">
        <v>1585</v>
      </c>
      <c r="Z482" s="663" t="s">
        <v>1587</v>
      </c>
      <c r="AA482" s="663" t="s">
        <v>1587</v>
      </c>
      <c r="AB482" s="663" t="s">
        <v>825</v>
      </c>
      <c r="AC482" s="663" t="s">
        <v>825</v>
      </c>
      <c r="AD482" s="663" t="s">
        <v>825</v>
      </c>
      <c r="AE482" s="663" t="s">
        <v>1586</v>
      </c>
      <c r="AF482" s="663" t="s">
        <v>1586</v>
      </c>
      <c r="AG482" s="663" t="s">
        <v>825</v>
      </c>
      <c r="AH482" s="663" t="s">
        <v>1586</v>
      </c>
      <c r="AI482" s="688">
        <v>74.193548387096769</v>
      </c>
      <c r="AJ482" s="689" t="s">
        <v>1588</v>
      </c>
      <c r="AK482" s="690"/>
    </row>
    <row r="483" spans="1:37" s="653" customFormat="1">
      <c r="A483" s="655">
        <v>2024</v>
      </c>
      <c r="B483" s="656" t="str">
        <f>INDEX('①基本情報 '!$C$2:$C$255,MATCH('②建物情報 '!E483,'①基本情報 '!$E$2:$E$255,0),1)</f>
        <v>189</v>
      </c>
      <c r="C483" s="657" t="str">
        <f>INDEX('①基本情報 '!$B$2:$B$255,MATCH('②建物情報 '!E483,'①基本情報 '!$E$2:$E$255,0),1)</f>
        <v>0810</v>
      </c>
      <c r="D483" s="658" t="s">
        <v>2418</v>
      </c>
      <c r="E483" s="612" t="s">
        <v>1237</v>
      </c>
      <c r="F483" s="611" t="str">
        <f>INDEX('①基本情報 '!$G$2:$G$255,MATCH('②建物情報 '!E483,'①基本情報 '!$E$2:$E$255,0),1)</f>
        <v>都市活力部都市整備室住宅政策課</v>
      </c>
      <c r="G483" s="678" t="s">
        <v>1589</v>
      </c>
      <c r="H483" s="612" t="s">
        <v>1691</v>
      </c>
      <c r="I483" s="663">
        <v>1968</v>
      </c>
      <c r="J483" s="663"/>
      <c r="K483" s="663">
        <f t="shared" si="7"/>
        <v>56</v>
      </c>
      <c r="L483" s="694">
        <v>260.71300000000002</v>
      </c>
      <c r="M483" s="680">
        <v>1245.5899999999999</v>
      </c>
      <c r="N483" s="680">
        <v>1245.5899999999999</v>
      </c>
      <c r="O483" s="681" t="s">
        <v>1812</v>
      </c>
      <c r="P483" s="663" t="s">
        <v>1581</v>
      </c>
      <c r="Q483" s="663">
        <v>5</v>
      </c>
      <c r="R483" s="690">
        <v>0</v>
      </c>
      <c r="S483" s="687" t="s">
        <v>1582</v>
      </c>
      <c r="T483" s="663"/>
      <c r="U483" s="683" t="s">
        <v>1892</v>
      </c>
      <c r="V483" s="690"/>
      <c r="W483" s="687">
        <v>2022</v>
      </c>
      <c r="X483" s="686">
        <v>47</v>
      </c>
      <c r="Y483" s="687" t="s">
        <v>1585</v>
      </c>
      <c r="Z483" s="663" t="s">
        <v>1587</v>
      </c>
      <c r="AA483" s="663" t="s">
        <v>1587</v>
      </c>
      <c r="AB483" s="663" t="s">
        <v>825</v>
      </c>
      <c r="AC483" s="663" t="s">
        <v>825</v>
      </c>
      <c r="AD483" s="663" t="s">
        <v>825</v>
      </c>
      <c r="AE483" s="663" t="s">
        <v>1586</v>
      </c>
      <c r="AF483" s="663" t="s">
        <v>1586</v>
      </c>
      <c r="AG483" s="663" t="s">
        <v>825</v>
      </c>
      <c r="AH483" s="663" t="s">
        <v>1586</v>
      </c>
      <c r="AI483" s="688">
        <v>74.193548387096769</v>
      </c>
      <c r="AJ483" s="689" t="s">
        <v>1588</v>
      </c>
      <c r="AK483" s="690"/>
    </row>
    <row r="484" spans="1:37" s="653" customFormat="1">
      <c r="A484" s="655">
        <v>2024</v>
      </c>
      <c r="B484" s="656" t="str">
        <f>INDEX('①基本情報 '!$C$2:$C$255,MATCH('②建物情報 '!E484,'①基本情報 '!$E$2:$E$255,0),1)</f>
        <v>189</v>
      </c>
      <c r="C484" s="657" t="str">
        <f>INDEX('①基本情報 '!$B$2:$B$255,MATCH('②建物情報 '!E484,'①基本情報 '!$E$2:$E$255,0),1)</f>
        <v>0810</v>
      </c>
      <c r="D484" s="658" t="s">
        <v>2418</v>
      </c>
      <c r="E484" s="612" t="s">
        <v>1237</v>
      </c>
      <c r="F484" s="611" t="str">
        <f>INDEX('①基本情報 '!$G$2:$G$255,MATCH('②建物情報 '!E484,'①基本情報 '!$E$2:$E$255,0),1)</f>
        <v>都市活力部都市整備室住宅政策課</v>
      </c>
      <c r="G484" s="678" t="s">
        <v>1591</v>
      </c>
      <c r="H484" s="612" t="s">
        <v>1692</v>
      </c>
      <c r="I484" s="663">
        <v>1969</v>
      </c>
      <c r="J484" s="663"/>
      <c r="K484" s="663">
        <f t="shared" si="7"/>
        <v>55</v>
      </c>
      <c r="L484" s="694">
        <v>260.71199999999999</v>
      </c>
      <c r="M484" s="680">
        <v>1245.5899999999999</v>
      </c>
      <c r="N484" s="680">
        <v>1245.5899999999999</v>
      </c>
      <c r="O484" s="681" t="s">
        <v>1812</v>
      </c>
      <c r="P484" s="663" t="s">
        <v>1581</v>
      </c>
      <c r="Q484" s="663">
        <v>5</v>
      </c>
      <c r="R484" s="690">
        <v>0</v>
      </c>
      <c r="S484" s="687" t="s">
        <v>1582</v>
      </c>
      <c r="T484" s="663"/>
      <c r="U484" s="683" t="s">
        <v>1892</v>
      </c>
      <c r="V484" s="690"/>
      <c r="W484" s="687">
        <v>2022</v>
      </c>
      <c r="X484" s="686">
        <v>47</v>
      </c>
      <c r="Y484" s="687" t="s">
        <v>1585</v>
      </c>
      <c r="Z484" s="663" t="s">
        <v>1587</v>
      </c>
      <c r="AA484" s="663" t="s">
        <v>1587</v>
      </c>
      <c r="AB484" s="663" t="s">
        <v>825</v>
      </c>
      <c r="AC484" s="663" t="s">
        <v>825</v>
      </c>
      <c r="AD484" s="663" t="s">
        <v>825</v>
      </c>
      <c r="AE484" s="663" t="s">
        <v>1586</v>
      </c>
      <c r="AF484" s="663" t="s">
        <v>1586</v>
      </c>
      <c r="AG484" s="663" t="s">
        <v>825</v>
      </c>
      <c r="AH484" s="663" t="s">
        <v>1586</v>
      </c>
      <c r="AI484" s="688">
        <v>73.548387096774192</v>
      </c>
      <c r="AJ484" s="689" t="s">
        <v>1588</v>
      </c>
      <c r="AK484" s="690"/>
    </row>
    <row r="485" spans="1:37" s="653" customFormat="1">
      <c r="A485" s="655">
        <v>2024</v>
      </c>
      <c r="B485" s="656" t="str">
        <f>INDEX('①基本情報 '!$C$2:$C$255,MATCH('②建物情報 '!E485,'①基本情報 '!$E$2:$E$255,0),1)</f>
        <v>189</v>
      </c>
      <c r="C485" s="657" t="str">
        <f>INDEX('①基本情報 '!$B$2:$B$255,MATCH('②建物情報 '!E485,'①基本情報 '!$E$2:$E$255,0),1)</f>
        <v>0810</v>
      </c>
      <c r="D485" s="658" t="s">
        <v>2418</v>
      </c>
      <c r="E485" s="612" t="s">
        <v>1237</v>
      </c>
      <c r="F485" s="611" t="str">
        <f>INDEX('①基本情報 '!$G$2:$G$255,MATCH('②建物情報 '!E485,'①基本情報 '!$E$2:$E$255,0),1)</f>
        <v>都市活力部都市整備室住宅政策課</v>
      </c>
      <c r="G485" s="678" t="s">
        <v>1601</v>
      </c>
      <c r="H485" s="612" t="s">
        <v>1713</v>
      </c>
      <c r="I485" s="663">
        <v>1969</v>
      </c>
      <c r="J485" s="663"/>
      <c r="K485" s="663">
        <f t="shared" si="7"/>
        <v>55</v>
      </c>
      <c r="L485" s="694">
        <v>236.80799999999999</v>
      </c>
      <c r="M485" s="680">
        <v>1132.8599999999999</v>
      </c>
      <c r="N485" s="680">
        <v>1132.8599999999999</v>
      </c>
      <c r="O485" s="681" t="s">
        <v>1812</v>
      </c>
      <c r="P485" s="663" t="s">
        <v>1581</v>
      </c>
      <c r="Q485" s="663">
        <v>5</v>
      </c>
      <c r="R485" s="690">
        <v>0</v>
      </c>
      <c r="S485" s="687" t="s">
        <v>1582</v>
      </c>
      <c r="T485" s="663"/>
      <c r="U485" s="683" t="s">
        <v>2479</v>
      </c>
      <c r="V485" s="690" t="s">
        <v>2669</v>
      </c>
      <c r="W485" s="687">
        <v>2023</v>
      </c>
      <c r="X485" s="686">
        <v>47</v>
      </c>
      <c r="Y485" s="687" t="s">
        <v>1585</v>
      </c>
      <c r="Z485" s="663" t="s">
        <v>1587</v>
      </c>
      <c r="AA485" s="663" t="s">
        <v>1587</v>
      </c>
      <c r="AB485" s="663" t="s">
        <v>825</v>
      </c>
      <c r="AC485" s="663" t="s">
        <v>825</v>
      </c>
      <c r="AD485" s="663" t="s">
        <v>825</v>
      </c>
      <c r="AE485" s="663" t="s">
        <v>1586</v>
      </c>
      <c r="AF485" s="663" t="s">
        <v>1586</v>
      </c>
      <c r="AG485" s="663" t="s">
        <v>825</v>
      </c>
      <c r="AH485" s="663" t="s">
        <v>1586</v>
      </c>
      <c r="AI485" s="688">
        <v>72.258064516129039</v>
      </c>
      <c r="AJ485" s="689" t="s">
        <v>1588</v>
      </c>
      <c r="AK485" s="690"/>
    </row>
    <row r="486" spans="1:37" s="653" customFormat="1">
      <c r="A486" s="655">
        <v>2024</v>
      </c>
      <c r="B486" s="656" t="str">
        <f>INDEX('①基本情報 '!$C$2:$C$255,MATCH('②建物情報 '!E486,'①基本情報 '!$E$2:$E$255,0),1)</f>
        <v>189</v>
      </c>
      <c r="C486" s="657" t="str">
        <f>INDEX('①基本情報 '!$B$2:$B$255,MATCH('②建物情報 '!E486,'①基本情報 '!$E$2:$E$255,0),1)</f>
        <v>0810</v>
      </c>
      <c r="D486" s="658" t="s">
        <v>2418</v>
      </c>
      <c r="E486" s="612" t="s">
        <v>1237</v>
      </c>
      <c r="F486" s="611" t="str">
        <f>INDEX('①基本情報 '!$G$2:$G$255,MATCH('②建物情報 '!E486,'①基本情報 '!$E$2:$E$255,0),1)</f>
        <v>都市活力部都市整備室住宅政策課</v>
      </c>
      <c r="G486" s="678" t="s">
        <v>1620</v>
      </c>
      <c r="H486" s="612" t="s">
        <v>1693</v>
      </c>
      <c r="I486" s="663">
        <v>1969</v>
      </c>
      <c r="J486" s="663"/>
      <c r="K486" s="663">
        <f t="shared" si="7"/>
        <v>55</v>
      </c>
      <c r="L486" s="694">
        <v>258.86799999999999</v>
      </c>
      <c r="M486" s="680">
        <v>1269.29</v>
      </c>
      <c r="N486" s="680">
        <v>1269.29</v>
      </c>
      <c r="O486" s="681" t="s">
        <v>1812</v>
      </c>
      <c r="P486" s="663" t="s">
        <v>1581</v>
      </c>
      <c r="Q486" s="663">
        <v>5</v>
      </c>
      <c r="R486" s="690">
        <v>0</v>
      </c>
      <c r="S486" s="687" t="s">
        <v>1582</v>
      </c>
      <c r="T486" s="663"/>
      <c r="U486" s="683" t="s">
        <v>2479</v>
      </c>
      <c r="V486" s="690" t="s">
        <v>2669</v>
      </c>
      <c r="W486" s="687">
        <v>2023</v>
      </c>
      <c r="X486" s="686">
        <v>47</v>
      </c>
      <c r="Y486" s="687" t="s">
        <v>1585</v>
      </c>
      <c r="Z486" s="663" t="s">
        <v>1587</v>
      </c>
      <c r="AA486" s="663" t="s">
        <v>1587</v>
      </c>
      <c r="AB486" s="663" t="s">
        <v>825</v>
      </c>
      <c r="AC486" s="663" t="s">
        <v>825</v>
      </c>
      <c r="AD486" s="663" t="s">
        <v>825</v>
      </c>
      <c r="AE486" s="663" t="s">
        <v>1586</v>
      </c>
      <c r="AF486" s="663" t="s">
        <v>1586</v>
      </c>
      <c r="AG486" s="663" t="s">
        <v>825</v>
      </c>
      <c r="AH486" s="663" t="s">
        <v>1586</v>
      </c>
      <c r="AI486" s="688">
        <v>72.258064516129039</v>
      </c>
      <c r="AJ486" s="689" t="s">
        <v>1588</v>
      </c>
      <c r="AK486" s="690"/>
    </row>
    <row r="487" spans="1:37" s="653" customFormat="1">
      <c r="A487" s="655">
        <v>2024</v>
      </c>
      <c r="B487" s="656" t="str">
        <f>INDEX('①基本情報 '!$C$2:$C$255,MATCH('②建物情報 '!E487,'①基本情報 '!$E$2:$E$255,0),1)</f>
        <v>189</v>
      </c>
      <c r="C487" s="657" t="str">
        <f>INDEX('①基本情報 '!$B$2:$B$255,MATCH('②建物情報 '!E487,'①基本情報 '!$E$2:$E$255,0),1)</f>
        <v>0810</v>
      </c>
      <c r="D487" s="658" t="s">
        <v>2418</v>
      </c>
      <c r="E487" s="612" t="s">
        <v>1237</v>
      </c>
      <c r="F487" s="611" t="str">
        <f>INDEX('①基本情報 '!$G$2:$G$255,MATCH('②建物情報 '!E487,'①基本情報 '!$E$2:$E$255,0),1)</f>
        <v>都市活力部都市整備室住宅政策課</v>
      </c>
      <c r="G487" s="678" t="s">
        <v>1643</v>
      </c>
      <c r="H487" s="612" t="s">
        <v>1694</v>
      </c>
      <c r="I487" s="663">
        <v>1969</v>
      </c>
      <c r="J487" s="663"/>
      <c r="K487" s="663">
        <f t="shared" si="7"/>
        <v>55</v>
      </c>
      <c r="L487" s="694">
        <v>235.18199999999999</v>
      </c>
      <c r="M487" s="680">
        <v>1154.1300000000001</v>
      </c>
      <c r="N487" s="680">
        <v>1154.1300000000001</v>
      </c>
      <c r="O487" s="681" t="s">
        <v>1812</v>
      </c>
      <c r="P487" s="663" t="s">
        <v>1581</v>
      </c>
      <c r="Q487" s="663">
        <v>5</v>
      </c>
      <c r="R487" s="690">
        <v>0</v>
      </c>
      <c r="S487" s="687" t="s">
        <v>1582</v>
      </c>
      <c r="T487" s="663"/>
      <c r="U487" s="683" t="s">
        <v>2479</v>
      </c>
      <c r="V487" s="690" t="s">
        <v>2669</v>
      </c>
      <c r="W487" s="687">
        <v>2023</v>
      </c>
      <c r="X487" s="686">
        <v>47</v>
      </c>
      <c r="Y487" s="687" t="s">
        <v>1585</v>
      </c>
      <c r="Z487" s="663" t="s">
        <v>1587</v>
      </c>
      <c r="AA487" s="663" t="s">
        <v>1587</v>
      </c>
      <c r="AB487" s="663" t="s">
        <v>825</v>
      </c>
      <c r="AC487" s="663" t="s">
        <v>825</v>
      </c>
      <c r="AD487" s="663" t="s">
        <v>825</v>
      </c>
      <c r="AE487" s="663" t="s">
        <v>1586</v>
      </c>
      <c r="AF487" s="663" t="s">
        <v>1586</v>
      </c>
      <c r="AG487" s="663" t="s">
        <v>825</v>
      </c>
      <c r="AH487" s="663" t="s">
        <v>1586</v>
      </c>
      <c r="AI487" s="688">
        <v>73.548387096774192</v>
      </c>
      <c r="AJ487" s="689" t="s">
        <v>1588</v>
      </c>
      <c r="AK487" s="690"/>
    </row>
    <row r="488" spans="1:37" s="653" customFormat="1">
      <c r="A488" s="655">
        <v>2024</v>
      </c>
      <c r="B488" s="656" t="str">
        <f>INDEX('①基本情報 '!$C$2:$C$255,MATCH('②建物情報 '!E488,'①基本情報 '!$E$2:$E$255,0),1)</f>
        <v>189</v>
      </c>
      <c r="C488" s="657" t="str">
        <f>INDEX('①基本情報 '!$B$2:$B$255,MATCH('②建物情報 '!E488,'①基本情報 '!$E$2:$E$255,0),1)</f>
        <v>0810</v>
      </c>
      <c r="D488" s="658" t="s">
        <v>2418</v>
      </c>
      <c r="E488" s="612" t="s">
        <v>1237</v>
      </c>
      <c r="F488" s="611" t="str">
        <f>INDEX('①基本情報 '!$G$2:$G$255,MATCH('②建物情報 '!E488,'①基本情報 '!$E$2:$E$255,0),1)</f>
        <v>都市活力部都市整備室住宅政策課</v>
      </c>
      <c r="G488" s="678" t="s">
        <v>1645</v>
      </c>
      <c r="H488" s="612" t="s">
        <v>1695</v>
      </c>
      <c r="I488" s="663">
        <v>1970</v>
      </c>
      <c r="J488" s="663"/>
      <c r="K488" s="663">
        <f t="shared" si="7"/>
        <v>54</v>
      </c>
      <c r="L488" s="694">
        <v>270.77999999999997</v>
      </c>
      <c r="M488" s="680">
        <v>1397.15</v>
      </c>
      <c r="N488" s="680">
        <v>1397.15</v>
      </c>
      <c r="O488" s="681" t="s">
        <v>1812</v>
      </c>
      <c r="P488" s="663" t="s">
        <v>1581</v>
      </c>
      <c r="Q488" s="663">
        <v>5</v>
      </c>
      <c r="R488" s="690">
        <v>0</v>
      </c>
      <c r="S488" s="687" t="s">
        <v>1582</v>
      </c>
      <c r="T488" s="663"/>
      <c r="U488" s="683" t="s">
        <v>1892</v>
      </c>
      <c r="V488" s="690"/>
      <c r="W488" s="687">
        <v>2024</v>
      </c>
      <c r="X488" s="686">
        <v>47</v>
      </c>
      <c r="Y488" s="687" t="s">
        <v>1585</v>
      </c>
      <c r="Z488" s="663" t="s">
        <v>1587</v>
      </c>
      <c r="AA488" s="663" t="s">
        <v>1587</v>
      </c>
      <c r="AB488" s="663" t="s">
        <v>825</v>
      </c>
      <c r="AC488" s="663" t="s">
        <v>825</v>
      </c>
      <c r="AD488" s="663" t="s">
        <v>825</v>
      </c>
      <c r="AE488" s="663" t="s">
        <v>1586</v>
      </c>
      <c r="AF488" s="663" t="s">
        <v>1586</v>
      </c>
      <c r="AG488" s="663" t="s">
        <v>825</v>
      </c>
      <c r="AH488" s="663" t="s">
        <v>1586</v>
      </c>
      <c r="AI488" s="688">
        <v>72.258064516129039</v>
      </c>
      <c r="AJ488" s="689" t="s">
        <v>1588</v>
      </c>
      <c r="AK488" s="690"/>
    </row>
    <row r="489" spans="1:37" s="653" customFormat="1">
      <c r="A489" s="655">
        <v>2024</v>
      </c>
      <c r="B489" s="656" t="str">
        <f>INDEX('①基本情報 '!$C$2:$C$255,MATCH('②建物情報 '!E489,'①基本情報 '!$E$2:$E$255,0),1)</f>
        <v>189</v>
      </c>
      <c r="C489" s="657" t="str">
        <f>INDEX('①基本情報 '!$B$2:$B$255,MATCH('②建物情報 '!E489,'①基本情報 '!$E$2:$E$255,0),1)</f>
        <v>0810</v>
      </c>
      <c r="D489" s="658" t="s">
        <v>2418</v>
      </c>
      <c r="E489" s="612" t="s">
        <v>1237</v>
      </c>
      <c r="F489" s="611" t="str">
        <f>INDEX('①基本情報 '!$G$2:$G$255,MATCH('②建物情報 '!E489,'①基本情報 '!$E$2:$E$255,0),1)</f>
        <v>都市活力部都市整備室住宅政策課</v>
      </c>
      <c r="G489" s="678" t="s">
        <v>1646</v>
      </c>
      <c r="H489" s="612" t="s">
        <v>1696</v>
      </c>
      <c r="I489" s="663">
        <v>1970</v>
      </c>
      <c r="J489" s="663"/>
      <c r="K489" s="663">
        <f t="shared" si="7"/>
        <v>54</v>
      </c>
      <c r="L489" s="694">
        <v>167.61</v>
      </c>
      <c r="M489" s="680">
        <v>864.85</v>
      </c>
      <c r="N489" s="680">
        <v>864.85</v>
      </c>
      <c r="O489" s="681" t="s">
        <v>1812</v>
      </c>
      <c r="P489" s="663" t="s">
        <v>1581</v>
      </c>
      <c r="Q489" s="663">
        <v>5</v>
      </c>
      <c r="R489" s="690">
        <v>0</v>
      </c>
      <c r="S489" s="687" t="s">
        <v>1582</v>
      </c>
      <c r="T489" s="663"/>
      <c r="U489" s="683" t="s">
        <v>1892</v>
      </c>
      <c r="V489" s="690"/>
      <c r="W489" s="687">
        <v>2024</v>
      </c>
      <c r="X489" s="686">
        <v>47</v>
      </c>
      <c r="Y489" s="687" t="s">
        <v>1585</v>
      </c>
      <c r="Z489" s="663" t="s">
        <v>1587</v>
      </c>
      <c r="AA489" s="663" t="s">
        <v>1587</v>
      </c>
      <c r="AB489" s="663" t="s">
        <v>825</v>
      </c>
      <c r="AC489" s="663" t="s">
        <v>825</v>
      </c>
      <c r="AD489" s="663" t="s">
        <v>825</v>
      </c>
      <c r="AE489" s="663" t="s">
        <v>1586</v>
      </c>
      <c r="AF489" s="663" t="s">
        <v>1586</v>
      </c>
      <c r="AG489" s="663" t="s">
        <v>825</v>
      </c>
      <c r="AH489" s="663" t="s">
        <v>1586</v>
      </c>
      <c r="AI489" s="688">
        <v>72.258064516129039</v>
      </c>
      <c r="AJ489" s="689" t="s">
        <v>1588</v>
      </c>
      <c r="AK489" s="690"/>
    </row>
    <row r="490" spans="1:37" s="653" customFormat="1">
      <c r="A490" s="655">
        <v>2024</v>
      </c>
      <c r="B490" s="656" t="str">
        <f>INDEX('①基本情報 '!$C$2:$C$255,MATCH('②建物情報 '!E490,'①基本情報 '!$E$2:$E$255,0),1)</f>
        <v>189</v>
      </c>
      <c r="C490" s="657" t="str">
        <f>INDEX('①基本情報 '!$B$2:$B$255,MATCH('②建物情報 '!E490,'①基本情報 '!$E$2:$E$255,0),1)</f>
        <v>0810</v>
      </c>
      <c r="D490" s="658" t="s">
        <v>2418</v>
      </c>
      <c r="E490" s="612" t="s">
        <v>1237</v>
      </c>
      <c r="F490" s="611" t="str">
        <f>INDEX('①基本情報 '!$G$2:$G$255,MATCH('②建物情報 '!E490,'①基本情報 '!$E$2:$E$255,0),1)</f>
        <v>都市活力部都市整備室住宅政策課</v>
      </c>
      <c r="G490" s="678" t="s">
        <v>1647</v>
      </c>
      <c r="H490" s="612" t="s">
        <v>1697</v>
      </c>
      <c r="I490" s="663">
        <v>1971</v>
      </c>
      <c r="J490" s="663"/>
      <c r="K490" s="663">
        <f t="shared" si="7"/>
        <v>53</v>
      </c>
      <c r="L490" s="694">
        <v>270.77999999999997</v>
      </c>
      <c r="M490" s="680">
        <v>1397.15</v>
      </c>
      <c r="N490" s="680">
        <v>1397.15</v>
      </c>
      <c r="O490" s="681" t="s">
        <v>1812</v>
      </c>
      <c r="P490" s="663" t="s">
        <v>1581</v>
      </c>
      <c r="Q490" s="663">
        <v>5</v>
      </c>
      <c r="R490" s="690">
        <v>0</v>
      </c>
      <c r="S490" s="687" t="s">
        <v>1582</v>
      </c>
      <c r="T490" s="663"/>
      <c r="U490" s="683" t="s">
        <v>1892</v>
      </c>
      <c r="V490" s="690"/>
      <c r="W490" s="687"/>
      <c r="X490" s="686">
        <v>47</v>
      </c>
      <c r="Y490" s="687" t="s">
        <v>1585</v>
      </c>
      <c r="Z490" s="663" t="s">
        <v>1586</v>
      </c>
      <c r="AA490" s="663" t="s">
        <v>1586</v>
      </c>
      <c r="AB490" s="663" t="s">
        <v>825</v>
      </c>
      <c r="AC490" s="663" t="s">
        <v>825</v>
      </c>
      <c r="AD490" s="663" t="s">
        <v>825</v>
      </c>
      <c r="AE490" s="663" t="s">
        <v>1586</v>
      </c>
      <c r="AF490" s="663" t="s">
        <v>1586</v>
      </c>
      <c r="AG490" s="663" t="s">
        <v>825</v>
      </c>
      <c r="AH490" s="663" t="s">
        <v>1586</v>
      </c>
      <c r="AI490" s="688">
        <v>94.838709677419359</v>
      </c>
      <c r="AJ490" s="689" t="s">
        <v>1588</v>
      </c>
      <c r="AK490" s="690"/>
    </row>
    <row r="491" spans="1:37" s="653" customFormat="1">
      <c r="A491" s="655">
        <v>2024</v>
      </c>
      <c r="B491" s="656" t="str">
        <f>INDEX('①基本情報 '!$C$2:$C$255,MATCH('②建物情報 '!E491,'①基本情報 '!$E$2:$E$255,0),1)</f>
        <v>189</v>
      </c>
      <c r="C491" s="657" t="str">
        <f>INDEX('①基本情報 '!$B$2:$B$255,MATCH('②建物情報 '!E491,'①基本情報 '!$E$2:$E$255,0),1)</f>
        <v>0810</v>
      </c>
      <c r="D491" s="658" t="s">
        <v>2418</v>
      </c>
      <c r="E491" s="612" t="s">
        <v>1237</v>
      </c>
      <c r="F491" s="611" t="str">
        <f>INDEX('①基本情報 '!$G$2:$G$255,MATCH('②建物情報 '!E491,'①基本情報 '!$E$2:$E$255,0),1)</f>
        <v>都市活力部都市整備室住宅政策課</v>
      </c>
      <c r="G491" s="678" t="s">
        <v>162</v>
      </c>
      <c r="H491" s="612" t="s">
        <v>1714</v>
      </c>
      <c r="I491" s="663">
        <v>1970</v>
      </c>
      <c r="J491" s="663"/>
      <c r="K491" s="663">
        <f t="shared" si="7"/>
        <v>54</v>
      </c>
      <c r="L491" s="694">
        <v>167.61</v>
      </c>
      <c r="M491" s="680">
        <v>864.85</v>
      </c>
      <c r="N491" s="680">
        <v>864.85</v>
      </c>
      <c r="O491" s="681" t="s">
        <v>1812</v>
      </c>
      <c r="P491" s="663" t="s">
        <v>1581</v>
      </c>
      <c r="Q491" s="663">
        <v>5</v>
      </c>
      <c r="R491" s="690">
        <v>0</v>
      </c>
      <c r="S491" s="687" t="s">
        <v>1582</v>
      </c>
      <c r="T491" s="663"/>
      <c r="U491" s="683" t="s">
        <v>1892</v>
      </c>
      <c r="V491" s="690"/>
      <c r="W491" s="687"/>
      <c r="X491" s="686">
        <v>47</v>
      </c>
      <c r="Y491" s="687" t="s">
        <v>1585</v>
      </c>
      <c r="Z491" s="663" t="s">
        <v>1586</v>
      </c>
      <c r="AA491" s="663" t="s">
        <v>1586</v>
      </c>
      <c r="AB491" s="663" t="s">
        <v>825</v>
      </c>
      <c r="AC491" s="663" t="s">
        <v>825</v>
      </c>
      <c r="AD491" s="663" t="s">
        <v>825</v>
      </c>
      <c r="AE491" s="663" t="s">
        <v>1586</v>
      </c>
      <c r="AF491" s="663" t="s">
        <v>1586</v>
      </c>
      <c r="AG491" s="663" t="s">
        <v>825</v>
      </c>
      <c r="AH491" s="663" t="s">
        <v>1586</v>
      </c>
      <c r="AI491" s="688">
        <v>94.838709677419359</v>
      </c>
      <c r="AJ491" s="689" t="s">
        <v>1588</v>
      </c>
      <c r="AK491" s="690"/>
    </row>
    <row r="492" spans="1:37" s="653" customFormat="1">
      <c r="A492" s="655">
        <v>2024</v>
      </c>
      <c r="B492" s="656" t="str">
        <f>INDEX('①基本情報 '!$C$2:$C$255,MATCH('②建物情報 '!E492,'①基本情報 '!$E$2:$E$255,0),1)</f>
        <v>189</v>
      </c>
      <c r="C492" s="657" t="str">
        <f>INDEX('①基本情報 '!$B$2:$B$255,MATCH('②建物情報 '!E492,'①基本情報 '!$E$2:$E$255,0),1)</f>
        <v>0810</v>
      </c>
      <c r="D492" s="658" t="s">
        <v>2418</v>
      </c>
      <c r="E492" s="612" t="s">
        <v>1237</v>
      </c>
      <c r="F492" s="611" t="str">
        <f>INDEX('①基本情報 '!$G$2:$G$255,MATCH('②建物情報 '!E492,'①基本情報 '!$E$2:$E$255,0),1)</f>
        <v>都市活力部都市整備室住宅政策課</v>
      </c>
      <c r="G492" s="678" t="s">
        <v>1652</v>
      </c>
      <c r="H492" s="612" t="s">
        <v>1622</v>
      </c>
      <c r="I492" s="663">
        <v>1971</v>
      </c>
      <c r="J492" s="663">
        <v>3</v>
      </c>
      <c r="K492" s="663">
        <f t="shared" si="7"/>
        <v>53</v>
      </c>
      <c r="L492" s="694"/>
      <c r="M492" s="704">
        <v>99.9</v>
      </c>
      <c r="N492" s="704">
        <v>99.9</v>
      </c>
      <c r="O492" s="681" t="s">
        <v>1812</v>
      </c>
      <c r="P492" s="663" t="s">
        <v>1581</v>
      </c>
      <c r="Q492" s="663"/>
      <c r="R492" s="690"/>
      <c r="S492" s="687" t="s">
        <v>1967</v>
      </c>
      <c r="T492" s="683" t="s">
        <v>1966</v>
      </c>
      <c r="U492" s="683" t="s">
        <v>1892</v>
      </c>
      <c r="V492" s="690"/>
      <c r="W492" s="687"/>
      <c r="X492" s="686">
        <v>47</v>
      </c>
      <c r="Y492" s="687" t="s">
        <v>825</v>
      </c>
      <c r="Z492" s="663" t="s">
        <v>825</v>
      </c>
      <c r="AA492" s="663" t="s">
        <v>825</v>
      </c>
      <c r="AB492" s="663" t="s">
        <v>825</v>
      </c>
      <c r="AC492" s="663" t="s">
        <v>825</v>
      </c>
      <c r="AD492" s="663" t="s">
        <v>825</v>
      </c>
      <c r="AE492" s="663" t="s">
        <v>825</v>
      </c>
      <c r="AF492" s="663" t="s">
        <v>825</v>
      </c>
      <c r="AG492" s="663" t="s">
        <v>825</v>
      </c>
      <c r="AH492" s="663" t="s">
        <v>825</v>
      </c>
      <c r="AI492" s="688" t="s">
        <v>825</v>
      </c>
      <c r="AJ492" s="689" t="s">
        <v>1588</v>
      </c>
      <c r="AK492" s="690"/>
    </row>
    <row r="493" spans="1:37" s="653" customFormat="1">
      <c r="A493" s="655">
        <v>2024</v>
      </c>
      <c r="B493" s="656" t="str">
        <f>INDEX('①基本情報 '!$C$2:$C$255,MATCH('②建物情報 '!E493,'①基本情報 '!$E$2:$E$255,0),1)</f>
        <v>189</v>
      </c>
      <c r="C493" s="657" t="str">
        <f>INDEX('①基本情報 '!$B$2:$B$255,MATCH('②建物情報 '!E493,'①基本情報 '!$E$2:$E$255,0),1)</f>
        <v>0810</v>
      </c>
      <c r="D493" s="261" t="s">
        <v>2418</v>
      </c>
      <c r="E493" s="262" t="s">
        <v>1237</v>
      </c>
      <c r="F493" s="263" t="str">
        <f>INDEX('①基本情報 '!$G$2:$G$255,MATCH('②建物情報 '!E493,'①基本情報 '!$E$2:$E$255,0),1)</f>
        <v>都市活力部都市整備室住宅政策課</v>
      </c>
      <c r="G493" s="264" t="s">
        <v>861</v>
      </c>
      <c r="H493" s="262" t="s">
        <v>1609</v>
      </c>
      <c r="I493" s="265">
        <v>1969</v>
      </c>
      <c r="J493" s="265">
        <v>3</v>
      </c>
      <c r="K493" s="265">
        <f t="shared" si="7"/>
        <v>55</v>
      </c>
      <c r="L493" s="281"/>
      <c r="M493" s="293">
        <v>8.0500000000000007</v>
      </c>
      <c r="N493" s="293">
        <v>8.0500000000000007</v>
      </c>
      <c r="O493" s="268" t="s">
        <v>1812</v>
      </c>
      <c r="P493" s="265" t="s">
        <v>1581</v>
      </c>
      <c r="Q493" s="265"/>
      <c r="R493" s="292"/>
      <c r="S493" s="276"/>
      <c r="T493" s="265"/>
      <c r="U493" s="272"/>
      <c r="V493" s="292"/>
      <c r="W493" s="276"/>
      <c r="X493" s="275">
        <v>38</v>
      </c>
      <c r="Y493" s="276" t="s">
        <v>825</v>
      </c>
      <c r="Z493" s="265" t="s">
        <v>825</v>
      </c>
      <c r="AA493" s="265" t="s">
        <v>825</v>
      </c>
      <c r="AB493" s="265" t="s">
        <v>825</v>
      </c>
      <c r="AC493" s="265" t="s">
        <v>825</v>
      </c>
      <c r="AD493" s="265" t="s">
        <v>825</v>
      </c>
      <c r="AE493" s="265" t="s">
        <v>825</v>
      </c>
      <c r="AF493" s="265" t="s">
        <v>825</v>
      </c>
      <c r="AG493" s="265" t="s">
        <v>825</v>
      </c>
      <c r="AH493" s="265" t="s">
        <v>825</v>
      </c>
      <c r="AI493" s="277" t="s">
        <v>825</v>
      </c>
      <c r="AJ493" s="278" t="s">
        <v>1604</v>
      </c>
      <c r="AK493" s="696" t="s">
        <v>2332</v>
      </c>
    </row>
    <row r="494" spans="1:37" s="653" customFormat="1">
      <c r="A494" s="655">
        <v>2024</v>
      </c>
      <c r="B494" s="656" t="str">
        <f>INDEX('①基本情報 '!$C$2:$C$255,MATCH('②建物情報 '!E494,'①基本情報 '!$E$2:$E$255,0),1)</f>
        <v>189</v>
      </c>
      <c r="C494" s="657" t="str">
        <f>INDEX('①基本情報 '!$B$2:$B$255,MATCH('②建物情報 '!E494,'①基本情報 '!$E$2:$E$255,0),1)</f>
        <v>0810</v>
      </c>
      <c r="D494" s="261" t="s">
        <v>2418</v>
      </c>
      <c r="E494" s="262" t="s">
        <v>1237</v>
      </c>
      <c r="F494" s="263" t="str">
        <f>INDEX('①基本情報 '!$G$2:$G$255,MATCH('②建物情報 '!E494,'①基本情報 '!$E$2:$E$255,0),1)</f>
        <v>都市活力部都市整備室住宅政策課</v>
      </c>
      <c r="G494" s="264" t="s">
        <v>338</v>
      </c>
      <c r="H494" s="262" t="s">
        <v>1615</v>
      </c>
      <c r="I494" s="265">
        <v>1969</v>
      </c>
      <c r="J494" s="265">
        <v>3</v>
      </c>
      <c r="K494" s="265">
        <f t="shared" si="7"/>
        <v>55</v>
      </c>
      <c r="L494" s="281"/>
      <c r="M494" s="293">
        <v>69.12</v>
      </c>
      <c r="N494" s="293">
        <v>69.12</v>
      </c>
      <c r="O494" s="268" t="s">
        <v>1812</v>
      </c>
      <c r="P494" s="265" t="s">
        <v>1603</v>
      </c>
      <c r="Q494" s="265"/>
      <c r="R494" s="292"/>
      <c r="S494" s="276"/>
      <c r="T494" s="265"/>
      <c r="U494" s="272"/>
      <c r="V494" s="292"/>
      <c r="W494" s="276"/>
      <c r="X494" s="275">
        <v>31</v>
      </c>
      <c r="Y494" s="276" t="s">
        <v>825</v>
      </c>
      <c r="Z494" s="265" t="s">
        <v>825</v>
      </c>
      <c r="AA494" s="265" t="s">
        <v>825</v>
      </c>
      <c r="AB494" s="265" t="s">
        <v>825</v>
      </c>
      <c r="AC494" s="265" t="s">
        <v>825</v>
      </c>
      <c r="AD494" s="265" t="s">
        <v>825</v>
      </c>
      <c r="AE494" s="265" t="s">
        <v>825</v>
      </c>
      <c r="AF494" s="265" t="s">
        <v>825</v>
      </c>
      <c r="AG494" s="265" t="s">
        <v>825</v>
      </c>
      <c r="AH494" s="265" t="s">
        <v>825</v>
      </c>
      <c r="AI494" s="277" t="s">
        <v>825</v>
      </c>
      <c r="AJ494" s="278" t="s">
        <v>1606</v>
      </c>
      <c r="AK494" s="693" t="s">
        <v>2330</v>
      </c>
    </row>
    <row r="495" spans="1:37" s="653" customFormat="1">
      <c r="A495" s="655">
        <v>2024</v>
      </c>
      <c r="B495" s="656" t="str">
        <f>INDEX('①基本情報 '!$C$2:$C$255,MATCH('②建物情報 '!E495,'①基本情報 '!$E$2:$E$255,0),1)</f>
        <v>189</v>
      </c>
      <c r="C495" s="657" t="str">
        <f>INDEX('①基本情報 '!$B$2:$B$255,MATCH('②建物情報 '!E495,'①基本情報 '!$E$2:$E$255,0),1)</f>
        <v>0810</v>
      </c>
      <c r="D495" s="261" t="s">
        <v>2418</v>
      </c>
      <c r="E495" s="262" t="s">
        <v>1237</v>
      </c>
      <c r="F495" s="263" t="str">
        <f>INDEX('①基本情報 '!$G$2:$G$255,MATCH('②建物情報 '!E495,'①基本情報 '!$E$2:$E$255,0),1)</f>
        <v>都市活力部都市整備室住宅政策課</v>
      </c>
      <c r="G495" s="264" t="s">
        <v>344</v>
      </c>
      <c r="H495" s="262" t="s">
        <v>1609</v>
      </c>
      <c r="I495" s="265">
        <v>1970</v>
      </c>
      <c r="J495" s="265">
        <v>3</v>
      </c>
      <c r="K495" s="265">
        <f t="shared" si="7"/>
        <v>54</v>
      </c>
      <c r="L495" s="281"/>
      <c r="M495" s="293">
        <v>8.0500000000000007</v>
      </c>
      <c r="N495" s="293">
        <v>8.0500000000000007</v>
      </c>
      <c r="O495" s="268" t="s">
        <v>1812</v>
      </c>
      <c r="P495" s="265" t="s">
        <v>1581</v>
      </c>
      <c r="Q495" s="265"/>
      <c r="R495" s="292"/>
      <c r="S495" s="276"/>
      <c r="T495" s="265"/>
      <c r="U495" s="272"/>
      <c r="V495" s="292"/>
      <c r="W495" s="276"/>
      <c r="X495" s="275">
        <v>38</v>
      </c>
      <c r="Y495" s="276" t="s">
        <v>825</v>
      </c>
      <c r="Z495" s="265" t="s">
        <v>825</v>
      </c>
      <c r="AA495" s="265" t="s">
        <v>825</v>
      </c>
      <c r="AB495" s="265" t="s">
        <v>825</v>
      </c>
      <c r="AC495" s="265" t="s">
        <v>825</v>
      </c>
      <c r="AD495" s="265" t="s">
        <v>825</v>
      </c>
      <c r="AE495" s="265" t="s">
        <v>825</v>
      </c>
      <c r="AF495" s="265" t="s">
        <v>825</v>
      </c>
      <c r="AG495" s="265" t="s">
        <v>825</v>
      </c>
      <c r="AH495" s="265" t="s">
        <v>825</v>
      </c>
      <c r="AI495" s="277" t="s">
        <v>825</v>
      </c>
      <c r="AJ495" s="278" t="s">
        <v>1604</v>
      </c>
      <c r="AK495" s="696" t="s">
        <v>2332</v>
      </c>
    </row>
    <row r="496" spans="1:37" s="653" customFormat="1">
      <c r="A496" s="655">
        <v>2024</v>
      </c>
      <c r="B496" s="656" t="str">
        <f>INDEX('①基本情報 '!$C$2:$C$255,MATCH('②建物情報 '!E496,'①基本情報 '!$E$2:$E$255,0),1)</f>
        <v>189</v>
      </c>
      <c r="C496" s="657" t="str">
        <f>INDEX('①基本情報 '!$B$2:$B$255,MATCH('②建物情報 '!E496,'①基本情報 '!$E$2:$E$255,0),1)</f>
        <v>0810</v>
      </c>
      <c r="D496" s="261" t="s">
        <v>2418</v>
      </c>
      <c r="E496" s="262" t="s">
        <v>1237</v>
      </c>
      <c r="F496" s="263" t="str">
        <f>INDEX('①基本情報 '!$G$2:$G$255,MATCH('②建物情報 '!E496,'①基本情報 '!$E$2:$E$255,0),1)</f>
        <v>都市活力部都市整備室住宅政策課</v>
      </c>
      <c r="G496" s="264" t="s">
        <v>510</v>
      </c>
      <c r="H496" s="262" t="s">
        <v>1609</v>
      </c>
      <c r="I496" s="265">
        <v>1970</v>
      </c>
      <c r="J496" s="265">
        <v>3</v>
      </c>
      <c r="K496" s="265">
        <f t="shared" si="7"/>
        <v>54</v>
      </c>
      <c r="L496" s="281"/>
      <c r="M496" s="293">
        <v>8.0500000000000007</v>
      </c>
      <c r="N496" s="293">
        <v>8.0500000000000007</v>
      </c>
      <c r="O496" s="268" t="s">
        <v>1812</v>
      </c>
      <c r="P496" s="265" t="s">
        <v>1581</v>
      </c>
      <c r="Q496" s="265"/>
      <c r="R496" s="292"/>
      <c r="S496" s="276"/>
      <c r="T496" s="265"/>
      <c r="U496" s="272"/>
      <c r="V496" s="292"/>
      <c r="W496" s="276"/>
      <c r="X496" s="275">
        <v>38</v>
      </c>
      <c r="Y496" s="276" t="s">
        <v>825</v>
      </c>
      <c r="Z496" s="265" t="s">
        <v>825</v>
      </c>
      <c r="AA496" s="265" t="s">
        <v>825</v>
      </c>
      <c r="AB496" s="265" t="s">
        <v>825</v>
      </c>
      <c r="AC496" s="265" t="s">
        <v>825</v>
      </c>
      <c r="AD496" s="265" t="s">
        <v>825</v>
      </c>
      <c r="AE496" s="265" t="s">
        <v>825</v>
      </c>
      <c r="AF496" s="265" t="s">
        <v>825</v>
      </c>
      <c r="AG496" s="265" t="s">
        <v>825</v>
      </c>
      <c r="AH496" s="265" t="s">
        <v>825</v>
      </c>
      <c r="AI496" s="277" t="s">
        <v>825</v>
      </c>
      <c r="AJ496" s="278" t="s">
        <v>1604</v>
      </c>
      <c r="AK496" s="696" t="s">
        <v>2332</v>
      </c>
    </row>
    <row r="497" spans="1:37" s="653" customFormat="1">
      <c r="A497" s="655">
        <v>2024</v>
      </c>
      <c r="B497" s="656" t="str">
        <f>INDEX('①基本情報 '!$C$2:$C$255,MATCH('②建物情報 '!E497,'①基本情報 '!$E$2:$E$255,0),1)</f>
        <v>189</v>
      </c>
      <c r="C497" s="657" t="str">
        <f>INDEX('①基本情報 '!$B$2:$B$255,MATCH('②建物情報 '!E497,'①基本情報 '!$E$2:$E$255,0),1)</f>
        <v>0810</v>
      </c>
      <c r="D497" s="261" t="s">
        <v>2418</v>
      </c>
      <c r="E497" s="262" t="s">
        <v>1237</v>
      </c>
      <c r="F497" s="263" t="str">
        <f>INDEX('①基本情報 '!$G$2:$G$255,MATCH('②建物情報 '!E497,'①基本情報 '!$E$2:$E$255,0),1)</f>
        <v>都市活力部都市整備室住宅政策課</v>
      </c>
      <c r="G497" s="264" t="s">
        <v>577</v>
      </c>
      <c r="H497" s="262" t="s">
        <v>1615</v>
      </c>
      <c r="I497" s="265">
        <v>1972</v>
      </c>
      <c r="J497" s="265">
        <v>3</v>
      </c>
      <c r="K497" s="265">
        <f t="shared" si="7"/>
        <v>52</v>
      </c>
      <c r="L497" s="281"/>
      <c r="M497" s="293">
        <v>36.479999999999997</v>
      </c>
      <c r="N497" s="293">
        <v>36.479999999999997</v>
      </c>
      <c r="O497" s="268" t="s">
        <v>1812</v>
      </c>
      <c r="P497" s="265" t="s">
        <v>1603</v>
      </c>
      <c r="Q497" s="265"/>
      <c r="R497" s="292"/>
      <c r="S497" s="276"/>
      <c r="T497" s="265"/>
      <c r="U497" s="272"/>
      <c r="V497" s="292"/>
      <c r="W497" s="276"/>
      <c r="X497" s="275">
        <v>31</v>
      </c>
      <c r="Y497" s="276" t="s">
        <v>825</v>
      </c>
      <c r="Z497" s="265" t="s">
        <v>825</v>
      </c>
      <c r="AA497" s="265" t="s">
        <v>825</v>
      </c>
      <c r="AB497" s="265" t="s">
        <v>825</v>
      </c>
      <c r="AC497" s="265" t="s">
        <v>825</v>
      </c>
      <c r="AD497" s="265" t="s">
        <v>825</v>
      </c>
      <c r="AE497" s="265" t="s">
        <v>825</v>
      </c>
      <c r="AF497" s="265" t="s">
        <v>825</v>
      </c>
      <c r="AG497" s="265" t="s">
        <v>825</v>
      </c>
      <c r="AH497" s="265" t="s">
        <v>825</v>
      </c>
      <c r="AI497" s="277" t="s">
        <v>825</v>
      </c>
      <c r="AJ497" s="278" t="s">
        <v>1606</v>
      </c>
      <c r="AK497" s="693" t="s">
        <v>2330</v>
      </c>
    </row>
    <row r="498" spans="1:37" s="653" customFormat="1">
      <c r="A498" s="655">
        <v>2024</v>
      </c>
      <c r="B498" s="656" t="str">
        <f>INDEX('①基本情報 '!$C$2:$C$255,MATCH('②建物情報 '!E498,'①基本情報 '!$E$2:$E$255,0),1)</f>
        <v>189</v>
      </c>
      <c r="C498" s="657" t="str">
        <f>INDEX('①基本情報 '!$B$2:$B$255,MATCH('②建物情報 '!E498,'①基本情報 '!$E$2:$E$255,0),1)</f>
        <v>0810</v>
      </c>
      <c r="D498" s="261" t="s">
        <v>2418</v>
      </c>
      <c r="E498" s="262" t="s">
        <v>1237</v>
      </c>
      <c r="F498" s="263" t="str">
        <f>INDEX('①基本情報 '!$G$2:$G$255,MATCH('②建物情報 '!E498,'①基本情報 '!$E$2:$E$255,0),1)</f>
        <v>都市活力部都市整備室住宅政策課</v>
      </c>
      <c r="G498" s="264" t="s">
        <v>1020</v>
      </c>
      <c r="H498" s="262" t="s">
        <v>1609</v>
      </c>
      <c r="I498" s="265">
        <v>1971</v>
      </c>
      <c r="J498" s="265">
        <v>3</v>
      </c>
      <c r="K498" s="265">
        <f t="shared" si="7"/>
        <v>53</v>
      </c>
      <c r="L498" s="281"/>
      <c r="M498" s="293">
        <v>16.100000000000001</v>
      </c>
      <c r="N498" s="293">
        <v>16.100000000000001</v>
      </c>
      <c r="O498" s="268" t="s">
        <v>1812</v>
      </c>
      <c r="P498" s="265" t="s">
        <v>1581</v>
      </c>
      <c r="Q498" s="265"/>
      <c r="R498" s="292"/>
      <c r="S498" s="276"/>
      <c r="T498" s="265"/>
      <c r="U498" s="272"/>
      <c r="V498" s="292"/>
      <c r="W498" s="276"/>
      <c r="X498" s="275">
        <v>38</v>
      </c>
      <c r="Y498" s="276" t="s">
        <v>825</v>
      </c>
      <c r="Z498" s="265" t="s">
        <v>825</v>
      </c>
      <c r="AA498" s="265" t="s">
        <v>825</v>
      </c>
      <c r="AB498" s="265" t="s">
        <v>825</v>
      </c>
      <c r="AC498" s="265" t="s">
        <v>825</v>
      </c>
      <c r="AD498" s="265" t="s">
        <v>825</v>
      </c>
      <c r="AE498" s="265" t="s">
        <v>825</v>
      </c>
      <c r="AF498" s="265" t="s">
        <v>825</v>
      </c>
      <c r="AG498" s="265" t="s">
        <v>825</v>
      </c>
      <c r="AH498" s="265" t="s">
        <v>825</v>
      </c>
      <c r="AI498" s="277" t="s">
        <v>825</v>
      </c>
      <c r="AJ498" s="278" t="s">
        <v>1604</v>
      </c>
      <c r="AK498" s="696" t="s">
        <v>2332</v>
      </c>
    </row>
    <row r="499" spans="1:37" s="653" customFormat="1">
      <c r="A499" s="655">
        <v>2024</v>
      </c>
      <c r="B499" s="656" t="str">
        <f>INDEX('①基本情報 '!$C$2:$C$255,MATCH('②建物情報 '!E499,'①基本情報 '!$E$2:$E$255,0),1)</f>
        <v>189</v>
      </c>
      <c r="C499" s="657" t="str">
        <f>INDEX('①基本情報 '!$B$2:$B$255,MATCH('②建物情報 '!E499,'①基本情報 '!$E$2:$E$255,0),1)</f>
        <v>0810</v>
      </c>
      <c r="D499" s="261" t="s">
        <v>2418</v>
      </c>
      <c r="E499" s="262" t="s">
        <v>1237</v>
      </c>
      <c r="F499" s="263" t="str">
        <f>INDEX('①基本情報 '!$G$2:$G$255,MATCH('②建物情報 '!E499,'①基本情報 '!$E$2:$E$255,0),1)</f>
        <v>都市活力部都市整備室住宅政策課</v>
      </c>
      <c r="G499" s="264" t="s">
        <v>1702</v>
      </c>
      <c r="H499" s="262" t="s">
        <v>1622</v>
      </c>
      <c r="I499" s="265">
        <v>1979</v>
      </c>
      <c r="J499" s="265">
        <v>3</v>
      </c>
      <c r="K499" s="265">
        <f t="shared" si="7"/>
        <v>45</v>
      </c>
      <c r="L499" s="281"/>
      <c r="M499" s="293">
        <v>25.92</v>
      </c>
      <c r="N499" s="293">
        <v>25.92</v>
      </c>
      <c r="O499" s="268" t="s">
        <v>1812</v>
      </c>
      <c r="P499" s="265" t="s">
        <v>1603</v>
      </c>
      <c r="Q499" s="265"/>
      <c r="R499" s="292"/>
      <c r="S499" s="276"/>
      <c r="T499" s="265"/>
      <c r="U499" s="272"/>
      <c r="V499" s="292"/>
      <c r="W499" s="276"/>
      <c r="X499" s="275">
        <v>27</v>
      </c>
      <c r="Y499" s="276" t="s">
        <v>825</v>
      </c>
      <c r="Z499" s="265" t="s">
        <v>825</v>
      </c>
      <c r="AA499" s="265" t="s">
        <v>825</v>
      </c>
      <c r="AB499" s="265" t="s">
        <v>825</v>
      </c>
      <c r="AC499" s="265" t="s">
        <v>825</v>
      </c>
      <c r="AD499" s="265" t="s">
        <v>825</v>
      </c>
      <c r="AE499" s="265" t="s">
        <v>825</v>
      </c>
      <c r="AF499" s="265" t="s">
        <v>825</v>
      </c>
      <c r="AG499" s="265" t="s">
        <v>825</v>
      </c>
      <c r="AH499" s="265" t="s">
        <v>825</v>
      </c>
      <c r="AI499" s="277" t="s">
        <v>825</v>
      </c>
      <c r="AJ499" s="278" t="s">
        <v>1604</v>
      </c>
      <c r="AK499" s="696" t="s">
        <v>2332</v>
      </c>
    </row>
    <row r="500" spans="1:37" s="653" customFormat="1">
      <c r="A500" s="655">
        <v>2024</v>
      </c>
      <c r="B500" s="656" t="str">
        <f>INDEX('①基本情報 '!$C$2:$C$255,MATCH('②建物情報 '!E500,'①基本情報 '!$E$2:$E$255,0),1)</f>
        <v>189</v>
      </c>
      <c r="C500" s="657" t="str">
        <f>INDEX('①基本情報 '!$B$2:$B$255,MATCH('②建物情報 '!E500,'①基本情報 '!$E$2:$E$255,0),1)</f>
        <v>0810</v>
      </c>
      <c r="D500" s="261" t="s">
        <v>2418</v>
      </c>
      <c r="E500" s="262" t="s">
        <v>1237</v>
      </c>
      <c r="F500" s="263" t="str">
        <f>INDEX('①基本情報 '!$G$2:$G$255,MATCH('②建物情報 '!E500,'①基本情報 '!$E$2:$E$255,0),1)</f>
        <v>都市活力部都市整備室住宅政策課</v>
      </c>
      <c r="G500" s="264" t="s">
        <v>843</v>
      </c>
      <c r="H500" s="262" t="s">
        <v>1715</v>
      </c>
      <c r="I500" s="265">
        <v>1980</v>
      </c>
      <c r="J500" s="265">
        <v>11</v>
      </c>
      <c r="K500" s="265">
        <f t="shared" si="7"/>
        <v>44</v>
      </c>
      <c r="L500" s="281"/>
      <c r="M500" s="293">
        <v>43.44</v>
      </c>
      <c r="N500" s="293">
        <v>43.44</v>
      </c>
      <c r="O500" s="268" t="s">
        <v>1812</v>
      </c>
      <c r="P500" s="265" t="s">
        <v>1603</v>
      </c>
      <c r="Q500" s="265"/>
      <c r="R500" s="292"/>
      <c r="S500" s="276"/>
      <c r="T500" s="265"/>
      <c r="U500" s="272"/>
      <c r="V500" s="292"/>
      <c r="W500" s="276"/>
      <c r="X500" s="275">
        <v>24</v>
      </c>
      <c r="Y500" s="276" t="s">
        <v>825</v>
      </c>
      <c r="Z500" s="265" t="s">
        <v>825</v>
      </c>
      <c r="AA500" s="265" t="s">
        <v>825</v>
      </c>
      <c r="AB500" s="265" t="s">
        <v>825</v>
      </c>
      <c r="AC500" s="265" t="s">
        <v>825</v>
      </c>
      <c r="AD500" s="265" t="s">
        <v>825</v>
      </c>
      <c r="AE500" s="265" t="s">
        <v>825</v>
      </c>
      <c r="AF500" s="265" t="s">
        <v>825</v>
      </c>
      <c r="AG500" s="265" t="s">
        <v>825</v>
      </c>
      <c r="AH500" s="265" t="s">
        <v>825</v>
      </c>
      <c r="AI500" s="277" t="s">
        <v>825</v>
      </c>
      <c r="AJ500" s="278" t="s">
        <v>1606</v>
      </c>
      <c r="AK500" s="693" t="s">
        <v>2330</v>
      </c>
    </row>
    <row r="501" spans="1:37" s="653" customFormat="1">
      <c r="A501" s="655">
        <v>2024</v>
      </c>
      <c r="B501" s="656" t="str">
        <f>INDEX('①基本情報 '!$C$2:$C$255,MATCH('②建物情報 '!E501,'①基本情報 '!$E$2:$E$255,0),1)</f>
        <v>189</v>
      </c>
      <c r="C501" s="657" t="str">
        <f>INDEX('①基本情報 '!$B$2:$B$255,MATCH('②建物情報 '!E501,'①基本情報 '!$E$2:$E$255,0),1)</f>
        <v>0810</v>
      </c>
      <c r="D501" s="261" t="s">
        <v>2418</v>
      </c>
      <c r="E501" s="262" t="s">
        <v>1237</v>
      </c>
      <c r="F501" s="263" t="str">
        <f>INDEX('①基本情報 '!$G$2:$G$255,MATCH('②建物情報 '!E501,'①基本情報 '!$E$2:$E$255,0),1)</f>
        <v>都市活力部都市整備室住宅政策課</v>
      </c>
      <c r="G501" s="264" t="s">
        <v>1011</v>
      </c>
      <c r="H501" s="262" t="s">
        <v>1716</v>
      </c>
      <c r="I501" s="265">
        <v>1981</v>
      </c>
      <c r="J501" s="265">
        <v>6</v>
      </c>
      <c r="K501" s="265">
        <f t="shared" si="7"/>
        <v>43</v>
      </c>
      <c r="L501" s="281"/>
      <c r="M501" s="293">
        <v>36.36</v>
      </c>
      <c r="N501" s="293">
        <v>36.36</v>
      </c>
      <c r="O501" s="268" t="s">
        <v>1812</v>
      </c>
      <c r="P501" s="265" t="s">
        <v>1603</v>
      </c>
      <c r="Q501" s="265"/>
      <c r="R501" s="292"/>
      <c r="S501" s="276"/>
      <c r="T501" s="265"/>
      <c r="U501" s="272"/>
      <c r="V501" s="292"/>
      <c r="W501" s="276"/>
      <c r="X501" s="275">
        <v>24</v>
      </c>
      <c r="Y501" s="276" t="s">
        <v>825</v>
      </c>
      <c r="Z501" s="265" t="s">
        <v>825</v>
      </c>
      <c r="AA501" s="265" t="s">
        <v>825</v>
      </c>
      <c r="AB501" s="265" t="s">
        <v>825</v>
      </c>
      <c r="AC501" s="265" t="s">
        <v>825</v>
      </c>
      <c r="AD501" s="265" t="s">
        <v>825</v>
      </c>
      <c r="AE501" s="265" t="s">
        <v>825</v>
      </c>
      <c r="AF501" s="265" t="s">
        <v>825</v>
      </c>
      <c r="AG501" s="265" t="s">
        <v>825</v>
      </c>
      <c r="AH501" s="265" t="s">
        <v>825</v>
      </c>
      <c r="AI501" s="277" t="s">
        <v>825</v>
      </c>
      <c r="AJ501" s="278" t="s">
        <v>1606</v>
      </c>
      <c r="AK501" s="693" t="s">
        <v>2330</v>
      </c>
    </row>
    <row r="502" spans="1:37" s="653" customFormat="1">
      <c r="A502" s="655">
        <v>2024</v>
      </c>
      <c r="B502" s="656" t="str">
        <f>INDEX('①基本情報 '!$C$2:$C$255,MATCH('②建物情報 '!E502,'①基本情報 '!$E$2:$E$255,0),1)</f>
        <v>189</v>
      </c>
      <c r="C502" s="657" t="str">
        <f>INDEX('①基本情報 '!$B$2:$B$255,MATCH('②建物情報 '!E502,'①基本情報 '!$E$2:$E$255,0),1)</f>
        <v>0810</v>
      </c>
      <c r="D502" s="261" t="s">
        <v>2418</v>
      </c>
      <c r="E502" s="262" t="s">
        <v>1237</v>
      </c>
      <c r="F502" s="263" t="str">
        <f>INDEX('①基本情報 '!$G$2:$G$255,MATCH('②建物情報 '!E502,'①基本情報 '!$E$2:$E$255,0),1)</f>
        <v>都市活力部都市整備室住宅政策課</v>
      </c>
      <c r="G502" s="264" t="s">
        <v>449</v>
      </c>
      <c r="H502" s="262" t="s">
        <v>1717</v>
      </c>
      <c r="I502" s="265">
        <v>1982</v>
      </c>
      <c r="J502" s="265">
        <v>7</v>
      </c>
      <c r="K502" s="265">
        <f t="shared" si="7"/>
        <v>42</v>
      </c>
      <c r="L502" s="281"/>
      <c r="M502" s="293">
        <v>18.18</v>
      </c>
      <c r="N502" s="293">
        <v>18.18</v>
      </c>
      <c r="O502" s="268" t="s">
        <v>1812</v>
      </c>
      <c r="P502" s="265" t="s">
        <v>1603</v>
      </c>
      <c r="Q502" s="265"/>
      <c r="R502" s="292"/>
      <c r="S502" s="276"/>
      <c r="T502" s="265"/>
      <c r="U502" s="272"/>
      <c r="V502" s="292"/>
      <c r="W502" s="276"/>
      <c r="X502" s="275">
        <v>24</v>
      </c>
      <c r="Y502" s="276" t="s">
        <v>825</v>
      </c>
      <c r="Z502" s="265" t="s">
        <v>825</v>
      </c>
      <c r="AA502" s="265" t="s">
        <v>825</v>
      </c>
      <c r="AB502" s="265" t="s">
        <v>825</v>
      </c>
      <c r="AC502" s="265" t="s">
        <v>825</v>
      </c>
      <c r="AD502" s="265" t="s">
        <v>825</v>
      </c>
      <c r="AE502" s="265" t="s">
        <v>825</v>
      </c>
      <c r="AF502" s="265" t="s">
        <v>825</v>
      </c>
      <c r="AG502" s="265" t="s">
        <v>825</v>
      </c>
      <c r="AH502" s="265" t="s">
        <v>825</v>
      </c>
      <c r="AI502" s="277" t="s">
        <v>825</v>
      </c>
      <c r="AJ502" s="278" t="s">
        <v>1606</v>
      </c>
      <c r="AK502" s="693" t="s">
        <v>2330</v>
      </c>
    </row>
    <row r="503" spans="1:37" s="653" customFormat="1">
      <c r="A503" s="655">
        <v>2024</v>
      </c>
      <c r="B503" s="656" t="str">
        <f>INDEX('①基本情報 '!$C$2:$C$255,MATCH('②建物情報 '!E503,'①基本情報 '!$E$2:$E$255,0),1)</f>
        <v>189</v>
      </c>
      <c r="C503" s="657" t="str">
        <f>INDEX('①基本情報 '!$B$2:$B$255,MATCH('②建物情報 '!E503,'①基本情報 '!$E$2:$E$255,0),1)</f>
        <v>0810</v>
      </c>
      <c r="D503" s="261" t="s">
        <v>2418</v>
      </c>
      <c r="E503" s="262" t="s">
        <v>1237</v>
      </c>
      <c r="F503" s="263" t="str">
        <f>INDEX('①基本情報 '!$G$2:$G$255,MATCH('②建物情報 '!E503,'①基本情報 '!$E$2:$E$255,0),1)</f>
        <v>都市活力部都市整備室住宅政策課</v>
      </c>
      <c r="G503" s="264" t="s">
        <v>537</v>
      </c>
      <c r="H503" s="262" t="s">
        <v>1718</v>
      </c>
      <c r="I503" s="265">
        <v>1982</v>
      </c>
      <c r="J503" s="265">
        <v>7</v>
      </c>
      <c r="K503" s="265">
        <f t="shared" si="7"/>
        <v>42</v>
      </c>
      <c r="L503" s="281"/>
      <c r="M503" s="293">
        <v>18.18</v>
      </c>
      <c r="N503" s="293">
        <v>18.18</v>
      </c>
      <c r="O503" s="268" t="s">
        <v>1812</v>
      </c>
      <c r="P503" s="265" t="s">
        <v>1603</v>
      </c>
      <c r="Q503" s="265"/>
      <c r="R503" s="292"/>
      <c r="S503" s="276"/>
      <c r="T503" s="265"/>
      <c r="U503" s="272"/>
      <c r="V503" s="292"/>
      <c r="W503" s="276"/>
      <c r="X503" s="275">
        <v>24</v>
      </c>
      <c r="Y503" s="276" t="s">
        <v>825</v>
      </c>
      <c r="Z503" s="265" t="s">
        <v>825</v>
      </c>
      <c r="AA503" s="265" t="s">
        <v>825</v>
      </c>
      <c r="AB503" s="265" t="s">
        <v>825</v>
      </c>
      <c r="AC503" s="265" t="s">
        <v>825</v>
      </c>
      <c r="AD503" s="265" t="s">
        <v>825</v>
      </c>
      <c r="AE503" s="265" t="s">
        <v>825</v>
      </c>
      <c r="AF503" s="265" t="s">
        <v>825</v>
      </c>
      <c r="AG503" s="265" t="s">
        <v>825</v>
      </c>
      <c r="AH503" s="265" t="s">
        <v>825</v>
      </c>
      <c r="AI503" s="277" t="s">
        <v>825</v>
      </c>
      <c r="AJ503" s="278" t="s">
        <v>1606</v>
      </c>
      <c r="AK503" s="693" t="s">
        <v>2330</v>
      </c>
    </row>
    <row r="504" spans="1:37" s="653" customFormat="1">
      <c r="A504" s="655">
        <v>2024</v>
      </c>
      <c r="B504" s="656" t="str">
        <f>INDEX('①基本情報 '!$C$2:$C$255,MATCH('②建物情報 '!E504,'①基本情報 '!$E$2:$E$255,0),1)</f>
        <v>189</v>
      </c>
      <c r="C504" s="657" t="str">
        <f>INDEX('①基本情報 '!$B$2:$B$255,MATCH('②建物情報 '!E504,'①基本情報 '!$E$2:$E$255,0),1)</f>
        <v>0810</v>
      </c>
      <c r="D504" s="261" t="s">
        <v>2418</v>
      </c>
      <c r="E504" s="262" t="s">
        <v>1237</v>
      </c>
      <c r="F504" s="263" t="str">
        <f>INDEX('①基本情報 '!$G$2:$G$255,MATCH('②建物情報 '!E504,'①基本情報 '!$E$2:$E$255,0),1)</f>
        <v>都市活力部都市整備室住宅政策課</v>
      </c>
      <c r="G504" s="264" t="s">
        <v>525</v>
      </c>
      <c r="H504" s="262" t="s">
        <v>1719</v>
      </c>
      <c r="I504" s="265">
        <v>1982</v>
      </c>
      <c r="J504" s="265">
        <v>7</v>
      </c>
      <c r="K504" s="265">
        <f t="shared" si="7"/>
        <v>42</v>
      </c>
      <c r="L504" s="281"/>
      <c r="M504" s="293">
        <v>34.200000000000003</v>
      </c>
      <c r="N504" s="293">
        <v>34.200000000000003</v>
      </c>
      <c r="O504" s="268" t="s">
        <v>1812</v>
      </c>
      <c r="P504" s="265" t="s">
        <v>1603</v>
      </c>
      <c r="Q504" s="265"/>
      <c r="R504" s="292"/>
      <c r="S504" s="276"/>
      <c r="T504" s="265"/>
      <c r="U504" s="272"/>
      <c r="V504" s="292"/>
      <c r="W504" s="276"/>
      <c r="X504" s="275">
        <v>24</v>
      </c>
      <c r="Y504" s="276" t="s">
        <v>825</v>
      </c>
      <c r="Z504" s="265" t="s">
        <v>825</v>
      </c>
      <c r="AA504" s="265" t="s">
        <v>825</v>
      </c>
      <c r="AB504" s="265" t="s">
        <v>825</v>
      </c>
      <c r="AC504" s="265" t="s">
        <v>825</v>
      </c>
      <c r="AD504" s="265" t="s">
        <v>825</v>
      </c>
      <c r="AE504" s="265" t="s">
        <v>825</v>
      </c>
      <c r="AF504" s="265" t="s">
        <v>825</v>
      </c>
      <c r="AG504" s="265" t="s">
        <v>825</v>
      </c>
      <c r="AH504" s="265" t="s">
        <v>825</v>
      </c>
      <c r="AI504" s="277" t="s">
        <v>825</v>
      </c>
      <c r="AJ504" s="278" t="s">
        <v>1606</v>
      </c>
      <c r="AK504" s="693" t="s">
        <v>2330</v>
      </c>
    </row>
    <row r="505" spans="1:37" s="653" customFormat="1">
      <c r="A505" s="655">
        <v>2024</v>
      </c>
      <c r="B505" s="656" t="str">
        <f>INDEX('①基本情報 '!$C$2:$C$255,MATCH('②建物情報 '!E505,'①基本情報 '!$E$2:$E$255,0),1)</f>
        <v>189</v>
      </c>
      <c r="C505" s="657" t="str">
        <f>INDEX('①基本情報 '!$B$2:$B$255,MATCH('②建物情報 '!E505,'①基本情報 '!$E$2:$E$255,0),1)</f>
        <v>0810</v>
      </c>
      <c r="D505" s="261" t="s">
        <v>2418</v>
      </c>
      <c r="E505" s="262" t="s">
        <v>1237</v>
      </c>
      <c r="F505" s="263" t="str">
        <f>INDEX('①基本情報 '!$G$2:$G$255,MATCH('②建物情報 '!E505,'①基本情報 '!$E$2:$E$255,0),1)</f>
        <v>都市活力部都市整備室住宅政策課</v>
      </c>
      <c r="G505" s="264" t="s">
        <v>1706</v>
      </c>
      <c r="H505" s="262" t="s">
        <v>1622</v>
      </c>
      <c r="I505" s="265">
        <v>1996</v>
      </c>
      <c r="J505" s="265">
        <v>3</v>
      </c>
      <c r="K505" s="265">
        <f t="shared" si="7"/>
        <v>28</v>
      </c>
      <c r="L505" s="281"/>
      <c r="M505" s="293">
        <v>45.37</v>
      </c>
      <c r="N505" s="293">
        <v>45.37</v>
      </c>
      <c r="O505" s="268" t="s">
        <v>1812</v>
      </c>
      <c r="P505" s="265" t="s">
        <v>1581</v>
      </c>
      <c r="Q505" s="265"/>
      <c r="R505" s="292"/>
      <c r="S505" s="276"/>
      <c r="T505" s="265"/>
      <c r="U505" s="272"/>
      <c r="V505" s="292"/>
      <c r="W505" s="276"/>
      <c r="X505" s="275">
        <v>47</v>
      </c>
      <c r="Y505" s="276" t="s">
        <v>825</v>
      </c>
      <c r="Z505" s="265" t="s">
        <v>825</v>
      </c>
      <c r="AA505" s="265" t="s">
        <v>825</v>
      </c>
      <c r="AB505" s="265" t="s">
        <v>825</v>
      </c>
      <c r="AC505" s="265" t="s">
        <v>825</v>
      </c>
      <c r="AD505" s="265" t="s">
        <v>825</v>
      </c>
      <c r="AE505" s="265" t="s">
        <v>825</v>
      </c>
      <c r="AF505" s="265" t="s">
        <v>825</v>
      </c>
      <c r="AG505" s="265" t="s">
        <v>825</v>
      </c>
      <c r="AH505" s="265" t="s">
        <v>825</v>
      </c>
      <c r="AI505" s="277" t="s">
        <v>825</v>
      </c>
      <c r="AJ505" s="278" t="s">
        <v>1604</v>
      </c>
      <c r="AK505" s="696" t="s">
        <v>2332</v>
      </c>
    </row>
    <row r="506" spans="1:37" s="653" customFormat="1">
      <c r="A506" s="655">
        <v>2024</v>
      </c>
      <c r="B506" s="656" t="str">
        <f>INDEX('①基本情報 '!$C$2:$C$255,MATCH('②建物情報 '!E506,'①基本情報 '!$E$2:$E$255,0),1)</f>
        <v>190</v>
      </c>
      <c r="C506" s="657" t="str">
        <f>INDEX('①基本情報 '!$B$2:$B$255,MATCH('②建物情報 '!E506,'①基本情報 '!$E$2:$E$255,0),1)</f>
        <v>0808</v>
      </c>
      <c r="D506" s="658" t="s">
        <v>2418</v>
      </c>
      <c r="E506" s="612" t="s">
        <v>1240</v>
      </c>
      <c r="F506" s="611" t="str">
        <f>INDEX('①基本情報 '!$G$2:$G$255,MATCH('②建物情報 '!E506,'①基本情報 '!$E$2:$E$255,0),1)</f>
        <v>都市活力部都市整備室住宅政策課</v>
      </c>
      <c r="G506" s="678" t="s">
        <v>1580</v>
      </c>
      <c r="H506" s="612" t="s">
        <v>1690</v>
      </c>
      <c r="I506" s="663">
        <v>1967</v>
      </c>
      <c r="J506" s="663"/>
      <c r="K506" s="663">
        <f t="shared" si="7"/>
        <v>57</v>
      </c>
      <c r="L506" s="694">
        <v>255.24</v>
      </c>
      <c r="M506" s="680">
        <v>1267.96</v>
      </c>
      <c r="N506" s="680">
        <v>1267.96</v>
      </c>
      <c r="O506" s="681" t="s">
        <v>1812</v>
      </c>
      <c r="P506" s="663" t="s">
        <v>1581</v>
      </c>
      <c r="Q506" s="663">
        <v>5</v>
      </c>
      <c r="R506" s="690">
        <v>0</v>
      </c>
      <c r="S506" s="687" t="s">
        <v>1582</v>
      </c>
      <c r="T506" s="663"/>
      <c r="U506" s="683" t="s">
        <v>2670</v>
      </c>
      <c r="V506" s="690" t="s">
        <v>2669</v>
      </c>
      <c r="W506" s="687">
        <v>2023</v>
      </c>
      <c r="X506" s="686">
        <v>47</v>
      </c>
      <c r="Y506" s="687" t="s">
        <v>1585</v>
      </c>
      <c r="Z506" s="663" t="s">
        <v>1585</v>
      </c>
      <c r="AA506" s="663" t="s">
        <v>1587</v>
      </c>
      <c r="AB506" s="663" t="s">
        <v>825</v>
      </c>
      <c r="AC506" s="663" t="s">
        <v>825</v>
      </c>
      <c r="AD506" s="663" t="s">
        <v>825</v>
      </c>
      <c r="AE506" s="663" t="s">
        <v>1585</v>
      </c>
      <c r="AF506" s="663" t="s">
        <v>1586</v>
      </c>
      <c r="AG506" s="663" t="s">
        <v>825</v>
      </c>
      <c r="AH506" s="663" t="s">
        <v>1586</v>
      </c>
      <c r="AI506" s="688">
        <v>79.354838709677423</v>
      </c>
      <c r="AJ506" s="689" t="s">
        <v>1588</v>
      </c>
      <c r="AK506" s="690"/>
    </row>
    <row r="507" spans="1:37" s="653" customFormat="1">
      <c r="A507" s="655">
        <v>2024</v>
      </c>
      <c r="B507" s="656" t="str">
        <f>INDEX('①基本情報 '!$C$2:$C$255,MATCH('②建物情報 '!E507,'①基本情報 '!$E$2:$E$255,0),1)</f>
        <v>190</v>
      </c>
      <c r="C507" s="657" t="str">
        <f>INDEX('①基本情報 '!$B$2:$B$255,MATCH('②建物情報 '!E507,'①基本情報 '!$E$2:$E$255,0),1)</f>
        <v>0808</v>
      </c>
      <c r="D507" s="658" t="s">
        <v>2418</v>
      </c>
      <c r="E507" s="612" t="s">
        <v>1240</v>
      </c>
      <c r="F507" s="611" t="str">
        <f>INDEX('①基本情報 '!$G$2:$G$255,MATCH('②建物情報 '!E507,'①基本情報 '!$E$2:$E$255,0),1)</f>
        <v>都市活力部都市整備室住宅政策課</v>
      </c>
      <c r="G507" s="678" t="s">
        <v>1589</v>
      </c>
      <c r="H507" s="612" t="s">
        <v>1691</v>
      </c>
      <c r="I507" s="663">
        <v>1967</v>
      </c>
      <c r="J507" s="663"/>
      <c r="K507" s="663">
        <f t="shared" si="7"/>
        <v>57</v>
      </c>
      <c r="L507" s="694">
        <v>299.64</v>
      </c>
      <c r="M507" s="680">
        <v>1086.79</v>
      </c>
      <c r="N507" s="680">
        <v>1086.79</v>
      </c>
      <c r="O507" s="681" t="s">
        <v>1812</v>
      </c>
      <c r="P507" s="663" t="s">
        <v>1581</v>
      </c>
      <c r="Q507" s="663">
        <v>5</v>
      </c>
      <c r="R507" s="690">
        <v>0</v>
      </c>
      <c r="S507" s="687" t="s">
        <v>1582</v>
      </c>
      <c r="T507" s="663"/>
      <c r="U507" s="683" t="s">
        <v>2670</v>
      </c>
      <c r="V507" s="690" t="s">
        <v>2669</v>
      </c>
      <c r="W507" s="687">
        <v>2023</v>
      </c>
      <c r="X507" s="686">
        <v>47</v>
      </c>
      <c r="Y507" s="687" t="s">
        <v>1585</v>
      </c>
      <c r="Z507" s="663" t="s">
        <v>1596</v>
      </c>
      <c r="AA507" s="663" t="s">
        <v>1587</v>
      </c>
      <c r="AB507" s="663" t="s">
        <v>825</v>
      </c>
      <c r="AC507" s="663" t="s">
        <v>825</v>
      </c>
      <c r="AD507" s="663" t="s">
        <v>825</v>
      </c>
      <c r="AE507" s="663" t="s">
        <v>1585</v>
      </c>
      <c r="AF507" s="663" t="s">
        <v>1586</v>
      </c>
      <c r="AG507" s="663" t="s">
        <v>825</v>
      </c>
      <c r="AH507" s="663" t="s">
        <v>1586</v>
      </c>
      <c r="AI507" s="688">
        <v>73.548387096774192</v>
      </c>
      <c r="AJ507" s="689" t="s">
        <v>1588</v>
      </c>
      <c r="AK507" s="690"/>
    </row>
    <row r="508" spans="1:37" s="653" customFormat="1">
      <c r="A508" s="655">
        <v>2024</v>
      </c>
      <c r="B508" s="656" t="str">
        <f>INDEX('①基本情報 '!$C$2:$C$255,MATCH('②建物情報 '!E508,'①基本情報 '!$E$2:$E$255,0),1)</f>
        <v>190</v>
      </c>
      <c r="C508" s="657" t="str">
        <f>INDEX('①基本情報 '!$B$2:$B$255,MATCH('②建物情報 '!E508,'①基本情報 '!$E$2:$E$255,0),1)</f>
        <v>0808</v>
      </c>
      <c r="D508" s="658" t="s">
        <v>2418</v>
      </c>
      <c r="E508" s="612" t="s">
        <v>1240</v>
      </c>
      <c r="F508" s="611" t="str">
        <f>INDEX('①基本情報 '!$G$2:$G$255,MATCH('②建物情報 '!E508,'①基本情報 '!$E$2:$E$255,0),1)</f>
        <v>都市活力部都市整備室住宅政策課</v>
      </c>
      <c r="G508" s="678" t="s">
        <v>1591</v>
      </c>
      <c r="H508" s="612" t="s">
        <v>1692</v>
      </c>
      <c r="I508" s="663">
        <v>1967</v>
      </c>
      <c r="J508" s="663"/>
      <c r="K508" s="663">
        <f t="shared" si="7"/>
        <v>57</v>
      </c>
      <c r="L508" s="694">
        <v>299.64</v>
      </c>
      <c r="M508" s="680">
        <v>1086.79</v>
      </c>
      <c r="N508" s="680">
        <v>1086.79</v>
      </c>
      <c r="O508" s="681" t="s">
        <v>1812</v>
      </c>
      <c r="P508" s="663" t="s">
        <v>1581</v>
      </c>
      <c r="Q508" s="663">
        <v>5</v>
      </c>
      <c r="R508" s="690">
        <v>0</v>
      </c>
      <c r="S508" s="687" t="s">
        <v>1582</v>
      </c>
      <c r="T508" s="663"/>
      <c r="U508" s="683" t="s">
        <v>1892</v>
      </c>
      <c r="V508" s="690"/>
      <c r="W508" s="687">
        <v>2022</v>
      </c>
      <c r="X508" s="686">
        <v>47</v>
      </c>
      <c r="Y508" s="687" t="s">
        <v>1585</v>
      </c>
      <c r="Z508" s="663" t="s">
        <v>1585</v>
      </c>
      <c r="AA508" s="663" t="s">
        <v>1587</v>
      </c>
      <c r="AB508" s="663" t="s">
        <v>825</v>
      </c>
      <c r="AC508" s="663" t="s">
        <v>825</v>
      </c>
      <c r="AD508" s="663" t="s">
        <v>825</v>
      </c>
      <c r="AE508" s="663" t="s">
        <v>1585</v>
      </c>
      <c r="AF508" s="663" t="s">
        <v>1586</v>
      </c>
      <c r="AG508" s="663" t="s">
        <v>825</v>
      </c>
      <c r="AH508" s="663" t="s">
        <v>1586</v>
      </c>
      <c r="AI508" s="688">
        <v>81.290322580645153</v>
      </c>
      <c r="AJ508" s="689" t="s">
        <v>1588</v>
      </c>
      <c r="AK508" s="690"/>
    </row>
    <row r="509" spans="1:37" s="653" customFormat="1">
      <c r="A509" s="655">
        <v>2024</v>
      </c>
      <c r="B509" s="656" t="str">
        <f>INDEX('①基本情報 '!$C$2:$C$255,MATCH('②建物情報 '!E509,'①基本情報 '!$E$2:$E$255,0),1)</f>
        <v>190</v>
      </c>
      <c r="C509" s="657" t="str">
        <f>INDEX('①基本情報 '!$B$2:$B$255,MATCH('②建物情報 '!E509,'①基本情報 '!$E$2:$E$255,0),1)</f>
        <v>0808</v>
      </c>
      <c r="D509" s="658" t="s">
        <v>2418</v>
      </c>
      <c r="E509" s="612" t="s">
        <v>1240</v>
      </c>
      <c r="F509" s="611" t="str">
        <f>INDEX('①基本情報 '!$G$2:$G$255,MATCH('②建物情報 '!E509,'①基本情報 '!$E$2:$E$255,0),1)</f>
        <v>都市活力部都市整備室住宅政策課</v>
      </c>
      <c r="G509" s="678" t="s">
        <v>1601</v>
      </c>
      <c r="H509" s="612" t="s">
        <v>1713</v>
      </c>
      <c r="I509" s="663">
        <v>1968</v>
      </c>
      <c r="J509" s="663"/>
      <c r="K509" s="663">
        <f t="shared" si="7"/>
        <v>56</v>
      </c>
      <c r="L509" s="694">
        <v>230.89</v>
      </c>
      <c r="M509" s="680">
        <v>1134.05</v>
      </c>
      <c r="N509" s="680">
        <v>1134.05</v>
      </c>
      <c r="O509" s="681" t="s">
        <v>1812</v>
      </c>
      <c r="P509" s="663" t="s">
        <v>1581</v>
      </c>
      <c r="Q509" s="663">
        <v>5</v>
      </c>
      <c r="R509" s="690">
        <v>0</v>
      </c>
      <c r="S509" s="687" t="s">
        <v>1582</v>
      </c>
      <c r="T509" s="663"/>
      <c r="U509" s="683" t="s">
        <v>2670</v>
      </c>
      <c r="V509" s="690" t="s">
        <v>2669</v>
      </c>
      <c r="W509" s="687">
        <v>2023</v>
      </c>
      <c r="X509" s="686">
        <v>47</v>
      </c>
      <c r="Y509" s="687" t="s">
        <v>1585</v>
      </c>
      <c r="Z509" s="663" t="s">
        <v>1585</v>
      </c>
      <c r="AA509" s="663" t="s">
        <v>1587</v>
      </c>
      <c r="AB509" s="663" t="s">
        <v>825</v>
      </c>
      <c r="AC509" s="663" t="s">
        <v>825</v>
      </c>
      <c r="AD509" s="663" t="s">
        <v>825</v>
      </c>
      <c r="AE509" s="663" t="s">
        <v>1585</v>
      </c>
      <c r="AF509" s="663" t="s">
        <v>1586</v>
      </c>
      <c r="AG509" s="663" t="s">
        <v>825</v>
      </c>
      <c r="AH509" s="663" t="s">
        <v>1586</v>
      </c>
      <c r="AI509" s="688">
        <v>78.709677419354847</v>
      </c>
      <c r="AJ509" s="689" t="s">
        <v>1588</v>
      </c>
      <c r="AK509" s="690"/>
    </row>
    <row r="510" spans="1:37" s="653" customFormat="1">
      <c r="A510" s="655">
        <v>2024</v>
      </c>
      <c r="B510" s="656" t="str">
        <f>INDEX('①基本情報 '!$C$2:$C$255,MATCH('②建物情報 '!E510,'①基本情報 '!$E$2:$E$255,0),1)</f>
        <v>190</v>
      </c>
      <c r="C510" s="657" t="str">
        <f>INDEX('①基本情報 '!$B$2:$B$255,MATCH('②建物情報 '!E510,'①基本情報 '!$E$2:$E$255,0),1)</f>
        <v>0808</v>
      </c>
      <c r="D510" s="658" t="s">
        <v>2418</v>
      </c>
      <c r="E510" s="612" t="s">
        <v>1240</v>
      </c>
      <c r="F510" s="611" t="str">
        <f>INDEX('①基本情報 '!$G$2:$G$255,MATCH('②建物情報 '!E510,'①基本情報 '!$E$2:$E$255,0),1)</f>
        <v>都市活力部都市整備室住宅政策課</v>
      </c>
      <c r="G510" s="678" t="s">
        <v>1620</v>
      </c>
      <c r="H510" s="612" t="s">
        <v>1693</v>
      </c>
      <c r="I510" s="663">
        <v>1968</v>
      </c>
      <c r="J510" s="663"/>
      <c r="K510" s="663">
        <f t="shared" si="7"/>
        <v>56</v>
      </c>
      <c r="L510" s="694">
        <v>230.89</v>
      </c>
      <c r="M510" s="680">
        <v>1134.05</v>
      </c>
      <c r="N510" s="680">
        <v>1134.05</v>
      </c>
      <c r="O510" s="681" t="s">
        <v>1812</v>
      </c>
      <c r="P510" s="663" t="s">
        <v>1581</v>
      </c>
      <c r="Q510" s="663">
        <v>5</v>
      </c>
      <c r="R510" s="690">
        <v>0</v>
      </c>
      <c r="S510" s="687" t="s">
        <v>1582</v>
      </c>
      <c r="T510" s="663"/>
      <c r="U510" s="683" t="s">
        <v>1892</v>
      </c>
      <c r="V510" s="690"/>
      <c r="W510" s="687">
        <v>2022</v>
      </c>
      <c r="X510" s="686">
        <v>47</v>
      </c>
      <c r="Y510" s="687" t="s">
        <v>1585</v>
      </c>
      <c r="Z510" s="663" t="s">
        <v>1596</v>
      </c>
      <c r="AA510" s="663" t="s">
        <v>1587</v>
      </c>
      <c r="AB510" s="663" t="s">
        <v>825</v>
      </c>
      <c r="AC510" s="663" t="s">
        <v>825</v>
      </c>
      <c r="AD510" s="663" t="s">
        <v>825</v>
      </c>
      <c r="AE510" s="663" t="s">
        <v>1585</v>
      </c>
      <c r="AF510" s="663" t="s">
        <v>1586</v>
      </c>
      <c r="AG510" s="663" t="s">
        <v>825</v>
      </c>
      <c r="AH510" s="663" t="s">
        <v>1586</v>
      </c>
      <c r="AI510" s="688">
        <v>73.548387096774192</v>
      </c>
      <c r="AJ510" s="689" t="s">
        <v>1588</v>
      </c>
      <c r="AK510" s="690"/>
    </row>
    <row r="511" spans="1:37" s="653" customFormat="1">
      <c r="A511" s="655">
        <v>2024</v>
      </c>
      <c r="B511" s="656" t="str">
        <f>INDEX('①基本情報 '!$C$2:$C$255,MATCH('②建物情報 '!E511,'①基本情報 '!$E$2:$E$255,0),1)</f>
        <v>190</v>
      </c>
      <c r="C511" s="657" t="str">
        <f>INDEX('①基本情報 '!$B$2:$B$255,MATCH('②建物情報 '!E511,'①基本情報 '!$E$2:$E$255,0),1)</f>
        <v>0808</v>
      </c>
      <c r="D511" s="261" t="s">
        <v>2418</v>
      </c>
      <c r="E511" s="262" t="s">
        <v>1240</v>
      </c>
      <c r="F511" s="263" t="str">
        <f>INDEX('①基本情報 '!$G$2:$G$255,MATCH('②建物情報 '!E511,'①基本情報 '!$E$2:$E$255,0),1)</f>
        <v>都市活力部都市整備室住宅政策課</v>
      </c>
      <c r="G511" s="264" t="s">
        <v>1643</v>
      </c>
      <c r="H511" s="282" t="s">
        <v>1699</v>
      </c>
      <c r="I511" s="265">
        <v>1967</v>
      </c>
      <c r="J511" s="265">
        <v>1</v>
      </c>
      <c r="K511" s="265">
        <f t="shared" si="7"/>
        <v>57</v>
      </c>
      <c r="L511" s="281"/>
      <c r="M511" s="267">
        <v>8.0500000000000007</v>
      </c>
      <c r="N511" s="267">
        <v>8.0500000000000007</v>
      </c>
      <c r="O511" s="268" t="s">
        <v>1812</v>
      </c>
      <c r="P511" s="265" t="s">
        <v>1581</v>
      </c>
      <c r="Q511" s="265"/>
      <c r="R511" s="292"/>
      <c r="S511" s="276"/>
      <c r="T511" s="265"/>
      <c r="U511" s="272"/>
      <c r="V511" s="292"/>
      <c r="W511" s="276"/>
      <c r="X511" s="275">
        <v>38</v>
      </c>
      <c r="Y511" s="276" t="s">
        <v>825</v>
      </c>
      <c r="Z511" s="265" t="s">
        <v>825</v>
      </c>
      <c r="AA511" s="265" t="s">
        <v>825</v>
      </c>
      <c r="AB511" s="265" t="s">
        <v>825</v>
      </c>
      <c r="AC511" s="265" t="s">
        <v>825</v>
      </c>
      <c r="AD511" s="265" t="s">
        <v>825</v>
      </c>
      <c r="AE511" s="265" t="s">
        <v>825</v>
      </c>
      <c r="AF511" s="265" t="s">
        <v>825</v>
      </c>
      <c r="AG511" s="265" t="s">
        <v>825</v>
      </c>
      <c r="AH511" s="265" t="s">
        <v>825</v>
      </c>
      <c r="AI511" s="277" t="s">
        <v>825</v>
      </c>
      <c r="AJ511" s="278" t="s">
        <v>1604</v>
      </c>
      <c r="AK511" s="696" t="s">
        <v>2332</v>
      </c>
    </row>
    <row r="512" spans="1:37" s="653" customFormat="1">
      <c r="A512" s="655">
        <v>2024</v>
      </c>
      <c r="B512" s="656" t="str">
        <f>INDEX('①基本情報 '!$C$2:$C$255,MATCH('②建物情報 '!E512,'①基本情報 '!$E$2:$E$255,0),1)</f>
        <v>190</v>
      </c>
      <c r="C512" s="657" t="str">
        <f>INDEX('①基本情報 '!$B$2:$B$255,MATCH('②建物情報 '!E512,'①基本情報 '!$E$2:$E$255,0),1)</f>
        <v>0808</v>
      </c>
      <c r="D512" s="261" t="s">
        <v>2418</v>
      </c>
      <c r="E512" s="262" t="s">
        <v>1240</v>
      </c>
      <c r="F512" s="263" t="str">
        <f>INDEX('①基本情報 '!$G$2:$G$255,MATCH('②建物情報 '!E512,'①基本情報 '!$E$2:$E$255,0),1)</f>
        <v>都市活力部都市整備室住宅政策課</v>
      </c>
      <c r="G512" s="264" t="s">
        <v>1645</v>
      </c>
      <c r="H512" s="282" t="s">
        <v>1699</v>
      </c>
      <c r="I512" s="265">
        <v>1967</v>
      </c>
      <c r="J512" s="265">
        <v>1</v>
      </c>
      <c r="K512" s="265">
        <f t="shared" si="7"/>
        <v>57</v>
      </c>
      <c r="L512" s="281"/>
      <c r="M512" s="267">
        <v>8.0500000000000007</v>
      </c>
      <c r="N512" s="267">
        <v>8.0500000000000007</v>
      </c>
      <c r="O512" s="268" t="s">
        <v>1812</v>
      </c>
      <c r="P512" s="265" t="s">
        <v>1581</v>
      </c>
      <c r="Q512" s="265"/>
      <c r="R512" s="292"/>
      <c r="S512" s="276"/>
      <c r="T512" s="265"/>
      <c r="U512" s="272"/>
      <c r="V512" s="292"/>
      <c r="W512" s="276"/>
      <c r="X512" s="275">
        <v>38</v>
      </c>
      <c r="Y512" s="276" t="s">
        <v>825</v>
      </c>
      <c r="Z512" s="265" t="s">
        <v>825</v>
      </c>
      <c r="AA512" s="265" t="s">
        <v>825</v>
      </c>
      <c r="AB512" s="265" t="s">
        <v>825</v>
      </c>
      <c r="AC512" s="265" t="s">
        <v>825</v>
      </c>
      <c r="AD512" s="265" t="s">
        <v>825</v>
      </c>
      <c r="AE512" s="265" t="s">
        <v>825</v>
      </c>
      <c r="AF512" s="265" t="s">
        <v>825</v>
      </c>
      <c r="AG512" s="265" t="s">
        <v>825</v>
      </c>
      <c r="AH512" s="265" t="s">
        <v>825</v>
      </c>
      <c r="AI512" s="277" t="s">
        <v>825</v>
      </c>
      <c r="AJ512" s="278" t="s">
        <v>1604</v>
      </c>
      <c r="AK512" s="696" t="s">
        <v>2332</v>
      </c>
    </row>
    <row r="513" spans="1:37" s="653" customFormat="1">
      <c r="A513" s="655">
        <v>2024</v>
      </c>
      <c r="B513" s="656" t="str">
        <f>INDEX('①基本情報 '!$C$2:$C$255,MATCH('②建物情報 '!E513,'①基本情報 '!$E$2:$E$255,0),1)</f>
        <v>190</v>
      </c>
      <c r="C513" s="657" t="str">
        <f>INDEX('①基本情報 '!$B$2:$B$255,MATCH('②建物情報 '!E513,'①基本情報 '!$E$2:$E$255,0),1)</f>
        <v>0808</v>
      </c>
      <c r="D513" s="261" t="s">
        <v>2418</v>
      </c>
      <c r="E513" s="262" t="s">
        <v>1240</v>
      </c>
      <c r="F513" s="263" t="str">
        <f>INDEX('①基本情報 '!$G$2:$G$255,MATCH('②建物情報 '!E513,'①基本情報 '!$E$2:$E$255,0),1)</f>
        <v>都市活力部都市整備室住宅政策課</v>
      </c>
      <c r="G513" s="264" t="s">
        <v>1646</v>
      </c>
      <c r="H513" s="282" t="s">
        <v>1699</v>
      </c>
      <c r="I513" s="265">
        <v>1968</v>
      </c>
      <c r="J513" s="265">
        <v>1</v>
      </c>
      <c r="K513" s="265">
        <f t="shared" si="7"/>
        <v>56</v>
      </c>
      <c r="L513" s="281"/>
      <c r="M513" s="267">
        <v>8.0500000000000007</v>
      </c>
      <c r="N513" s="267">
        <v>8.0500000000000007</v>
      </c>
      <c r="O513" s="268" t="s">
        <v>1812</v>
      </c>
      <c r="P513" s="265" t="s">
        <v>1581</v>
      </c>
      <c r="Q513" s="265"/>
      <c r="R513" s="292"/>
      <c r="S513" s="276"/>
      <c r="T513" s="265"/>
      <c r="U513" s="272"/>
      <c r="V513" s="292"/>
      <c r="W513" s="276"/>
      <c r="X513" s="275">
        <v>38</v>
      </c>
      <c r="Y513" s="276" t="s">
        <v>825</v>
      </c>
      <c r="Z513" s="265" t="s">
        <v>825</v>
      </c>
      <c r="AA513" s="265" t="s">
        <v>825</v>
      </c>
      <c r="AB513" s="265" t="s">
        <v>825</v>
      </c>
      <c r="AC513" s="265" t="s">
        <v>825</v>
      </c>
      <c r="AD513" s="265" t="s">
        <v>825</v>
      </c>
      <c r="AE513" s="265" t="s">
        <v>825</v>
      </c>
      <c r="AF513" s="265" t="s">
        <v>825</v>
      </c>
      <c r="AG513" s="265" t="s">
        <v>825</v>
      </c>
      <c r="AH513" s="265" t="s">
        <v>825</v>
      </c>
      <c r="AI513" s="277" t="s">
        <v>825</v>
      </c>
      <c r="AJ513" s="278" t="s">
        <v>1604</v>
      </c>
      <c r="AK513" s="696" t="s">
        <v>2332</v>
      </c>
    </row>
    <row r="514" spans="1:37" s="653" customFormat="1">
      <c r="A514" s="655">
        <v>2024</v>
      </c>
      <c r="B514" s="656" t="str">
        <f>INDEX('①基本情報 '!$C$2:$C$255,MATCH('②建物情報 '!E514,'①基本情報 '!$E$2:$E$255,0),1)</f>
        <v>190</v>
      </c>
      <c r="C514" s="657" t="str">
        <f>INDEX('①基本情報 '!$B$2:$B$255,MATCH('②建物情報 '!E514,'①基本情報 '!$E$2:$E$255,0),1)</f>
        <v>0808</v>
      </c>
      <c r="D514" s="261" t="s">
        <v>2418</v>
      </c>
      <c r="E514" s="262" t="s">
        <v>1240</v>
      </c>
      <c r="F514" s="263" t="str">
        <f>INDEX('①基本情報 '!$G$2:$G$255,MATCH('②建物情報 '!E514,'①基本情報 '!$E$2:$E$255,0),1)</f>
        <v>都市活力部都市整備室住宅政策課</v>
      </c>
      <c r="G514" s="264" t="s">
        <v>1647</v>
      </c>
      <c r="H514" s="282" t="s">
        <v>1699</v>
      </c>
      <c r="I514" s="265">
        <v>1967</v>
      </c>
      <c r="J514" s="265">
        <v>1</v>
      </c>
      <c r="K514" s="265">
        <f t="shared" si="7"/>
        <v>57</v>
      </c>
      <c r="L514" s="281"/>
      <c r="M514" s="267">
        <v>8.0500000000000007</v>
      </c>
      <c r="N514" s="267">
        <v>8.0500000000000007</v>
      </c>
      <c r="O514" s="268" t="s">
        <v>1812</v>
      </c>
      <c r="P514" s="265" t="s">
        <v>1581</v>
      </c>
      <c r="Q514" s="265"/>
      <c r="R514" s="292"/>
      <c r="S514" s="276"/>
      <c r="T514" s="265"/>
      <c r="U514" s="272"/>
      <c r="V514" s="292"/>
      <c r="W514" s="276"/>
      <c r="X514" s="275">
        <v>38</v>
      </c>
      <c r="Y514" s="276" t="s">
        <v>825</v>
      </c>
      <c r="Z514" s="265" t="s">
        <v>825</v>
      </c>
      <c r="AA514" s="265" t="s">
        <v>825</v>
      </c>
      <c r="AB514" s="265" t="s">
        <v>825</v>
      </c>
      <c r="AC514" s="265" t="s">
        <v>825</v>
      </c>
      <c r="AD514" s="265" t="s">
        <v>825</v>
      </c>
      <c r="AE514" s="265" t="s">
        <v>825</v>
      </c>
      <c r="AF514" s="265" t="s">
        <v>825</v>
      </c>
      <c r="AG514" s="265" t="s">
        <v>825</v>
      </c>
      <c r="AH514" s="265" t="s">
        <v>825</v>
      </c>
      <c r="AI514" s="277" t="s">
        <v>825</v>
      </c>
      <c r="AJ514" s="278" t="s">
        <v>1604</v>
      </c>
      <c r="AK514" s="696" t="s">
        <v>2332</v>
      </c>
    </row>
    <row r="515" spans="1:37" s="653" customFormat="1">
      <c r="A515" s="655">
        <v>2024</v>
      </c>
      <c r="B515" s="656" t="str">
        <f>INDEX('①基本情報 '!$C$2:$C$255,MATCH('②建物情報 '!E515,'①基本情報 '!$E$2:$E$255,0),1)</f>
        <v>190</v>
      </c>
      <c r="C515" s="657" t="str">
        <f>INDEX('①基本情報 '!$B$2:$B$255,MATCH('②建物情報 '!E515,'①基本情報 '!$E$2:$E$255,0),1)</f>
        <v>0808</v>
      </c>
      <c r="D515" s="261" t="s">
        <v>2418</v>
      </c>
      <c r="E515" s="262" t="s">
        <v>1240</v>
      </c>
      <c r="F515" s="263" t="str">
        <f>INDEX('①基本情報 '!$G$2:$G$255,MATCH('②建物情報 '!E515,'①基本情報 '!$E$2:$E$255,0),1)</f>
        <v>都市活力部都市整備室住宅政策課</v>
      </c>
      <c r="G515" s="264" t="s">
        <v>162</v>
      </c>
      <c r="H515" s="282" t="s">
        <v>1615</v>
      </c>
      <c r="I515" s="265">
        <v>1968</v>
      </c>
      <c r="J515" s="265">
        <v>1</v>
      </c>
      <c r="K515" s="265">
        <f t="shared" si="7"/>
        <v>56</v>
      </c>
      <c r="L515" s="281"/>
      <c r="M515" s="267">
        <v>129.6</v>
      </c>
      <c r="N515" s="267">
        <v>129.6</v>
      </c>
      <c r="O515" s="268" t="s">
        <v>1812</v>
      </c>
      <c r="P515" s="265" t="s">
        <v>1603</v>
      </c>
      <c r="Q515" s="265"/>
      <c r="R515" s="292"/>
      <c r="S515" s="276"/>
      <c r="T515" s="265"/>
      <c r="U515" s="272"/>
      <c r="V515" s="292"/>
      <c r="W515" s="276"/>
      <c r="X515" s="275">
        <v>31</v>
      </c>
      <c r="Y515" s="276" t="s">
        <v>825</v>
      </c>
      <c r="Z515" s="265" t="s">
        <v>825</v>
      </c>
      <c r="AA515" s="265" t="s">
        <v>825</v>
      </c>
      <c r="AB515" s="265" t="s">
        <v>825</v>
      </c>
      <c r="AC515" s="265" t="s">
        <v>825</v>
      </c>
      <c r="AD515" s="265" t="s">
        <v>825</v>
      </c>
      <c r="AE515" s="265" t="s">
        <v>825</v>
      </c>
      <c r="AF515" s="265" t="s">
        <v>825</v>
      </c>
      <c r="AG515" s="265" t="s">
        <v>825</v>
      </c>
      <c r="AH515" s="265" t="s">
        <v>825</v>
      </c>
      <c r="AI515" s="277" t="s">
        <v>825</v>
      </c>
      <c r="AJ515" s="278" t="s">
        <v>1606</v>
      </c>
      <c r="AK515" s="693" t="s">
        <v>2330</v>
      </c>
    </row>
    <row r="516" spans="1:37" s="653" customFormat="1">
      <c r="A516" s="655">
        <v>2024</v>
      </c>
      <c r="B516" s="656" t="str">
        <f>INDEX('①基本情報 '!$C$2:$C$255,MATCH('②建物情報 '!E516,'①基本情報 '!$E$2:$E$255,0),1)</f>
        <v>190</v>
      </c>
      <c r="C516" s="657" t="str">
        <f>INDEX('①基本情報 '!$B$2:$B$255,MATCH('②建物情報 '!E516,'①基本情報 '!$E$2:$E$255,0),1)</f>
        <v>0808</v>
      </c>
      <c r="D516" s="261" t="s">
        <v>2418</v>
      </c>
      <c r="E516" s="262" t="s">
        <v>1240</v>
      </c>
      <c r="F516" s="263" t="str">
        <f>INDEX('①基本情報 '!$G$2:$G$255,MATCH('②建物情報 '!E516,'①基本情報 '!$E$2:$E$255,0),1)</f>
        <v>都市活力部都市整備室住宅政策課</v>
      </c>
      <c r="G516" s="264" t="s">
        <v>1652</v>
      </c>
      <c r="H516" s="282" t="s">
        <v>1615</v>
      </c>
      <c r="I516" s="265">
        <v>1978</v>
      </c>
      <c r="J516" s="265">
        <v>10</v>
      </c>
      <c r="K516" s="265">
        <f t="shared" si="7"/>
        <v>46</v>
      </c>
      <c r="L516" s="281"/>
      <c r="M516" s="267">
        <v>97.2</v>
      </c>
      <c r="N516" s="267">
        <v>97.2</v>
      </c>
      <c r="O516" s="268" t="s">
        <v>1812</v>
      </c>
      <c r="P516" s="265" t="s">
        <v>1603</v>
      </c>
      <c r="Q516" s="265"/>
      <c r="R516" s="292"/>
      <c r="S516" s="276"/>
      <c r="T516" s="265"/>
      <c r="U516" s="272"/>
      <c r="V516" s="292"/>
      <c r="W516" s="276"/>
      <c r="X516" s="275">
        <v>24</v>
      </c>
      <c r="Y516" s="276" t="s">
        <v>825</v>
      </c>
      <c r="Z516" s="265" t="s">
        <v>825</v>
      </c>
      <c r="AA516" s="265" t="s">
        <v>825</v>
      </c>
      <c r="AB516" s="265" t="s">
        <v>825</v>
      </c>
      <c r="AC516" s="265" t="s">
        <v>825</v>
      </c>
      <c r="AD516" s="265" t="s">
        <v>825</v>
      </c>
      <c r="AE516" s="265" t="s">
        <v>825</v>
      </c>
      <c r="AF516" s="265" t="s">
        <v>825</v>
      </c>
      <c r="AG516" s="265" t="s">
        <v>825</v>
      </c>
      <c r="AH516" s="265" t="s">
        <v>825</v>
      </c>
      <c r="AI516" s="277" t="s">
        <v>825</v>
      </c>
      <c r="AJ516" s="278" t="s">
        <v>1606</v>
      </c>
      <c r="AK516" s="693" t="s">
        <v>2330</v>
      </c>
    </row>
    <row r="517" spans="1:37" s="653" customFormat="1">
      <c r="A517" s="655">
        <v>2024</v>
      </c>
      <c r="B517" s="656" t="str">
        <f>INDEX('①基本情報 '!$C$2:$C$255,MATCH('②建物情報 '!E517,'①基本情報 '!$E$2:$E$255,0),1)</f>
        <v>190</v>
      </c>
      <c r="C517" s="657" t="str">
        <f>INDEX('①基本情報 '!$B$2:$B$255,MATCH('②建物情報 '!E517,'①基本情報 '!$E$2:$E$255,0),1)</f>
        <v>0808</v>
      </c>
      <c r="D517" s="261" t="s">
        <v>2418</v>
      </c>
      <c r="E517" s="262" t="s">
        <v>1240</v>
      </c>
      <c r="F517" s="263" t="str">
        <f>INDEX('①基本情報 '!$G$2:$G$255,MATCH('②建物情報 '!E517,'①基本情報 '!$E$2:$E$255,0),1)</f>
        <v>都市活力部都市整備室住宅政策課</v>
      </c>
      <c r="G517" s="264" t="s">
        <v>861</v>
      </c>
      <c r="H517" s="282" t="s">
        <v>1720</v>
      </c>
      <c r="I517" s="265">
        <v>1980</v>
      </c>
      <c r="J517" s="265">
        <v>10</v>
      </c>
      <c r="K517" s="265">
        <f t="shared" si="7"/>
        <v>44</v>
      </c>
      <c r="L517" s="281"/>
      <c r="M517" s="267">
        <v>26.52</v>
      </c>
      <c r="N517" s="267">
        <v>26.52</v>
      </c>
      <c r="O517" s="268" t="s">
        <v>1812</v>
      </c>
      <c r="P517" s="265" t="s">
        <v>1603</v>
      </c>
      <c r="Q517" s="265"/>
      <c r="R517" s="292"/>
      <c r="S517" s="276"/>
      <c r="T517" s="265"/>
      <c r="U517" s="272"/>
      <c r="V517" s="292"/>
      <c r="W517" s="276"/>
      <c r="X517" s="275">
        <v>24</v>
      </c>
      <c r="Y517" s="276" t="s">
        <v>825</v>
      </c>
      <c r="Z517" s="265" t="s">
        <v>825</v>
      </c>
      <c r="AA517" s="265" t="s">
        <v>825</v>
      </c>
      <c r="AB517" s="265" t="s">
        <v>825</v>
      </c>
      <c r="AC517" s="265" t="s">
        <v>825</v>
      </c>
      <c r="AD517" s="265" t="s">
        <v>825</v>
      </c>
      <c r="AE517" s="265" t="s">
        <v>825</v>
      </c>
      <c r="AF517" s="265" t="s">
        <v>825</v>
      </c>
      <c r="AG517" s="265" t="s">
        <v>825</v>
      </c>
      <c r="AH517" s="265" t="s">
        <v>825</v>
      </c>
      <c r="AI517" s="277" t="s">
        <v>825</v>
      </c>
      <c r="AJ517" s="278" t="s">
        <v>1606</v>
      </c>
      <c r="AK517" s="693" t="s">
        <v>2330</v>
      </c>
    </row>
    <row r="518" spans="1:37" s="653" customFormat="1">
      <c r="A518" s="655">
        <v>2024</v>
      </c>
      <c r="B518" s="656" t="str">
        <f>INDEX('①基本情報 '!$C$2:$C$255,MATCH('②建物情報 '!E518,'①基本情報 '!$E$2:$E$255,0),1)</f>
        <v>191</v>
      </c>
      <c r="C518" s="657" t="str">
        <f>INDEX('①基本情報 '!$B$2:$B$255,MATCH('②建物情報 '!E518,'①基本情報 '!$E$2:$E$255,0),1)</f>
        <v>0813</v>
      </c>
      <c r="D518" s="658" t="s">
        <v>2418</v>
      </c>
      <c r="E518" s="612" t="s">
        <v>1243</v>
      </c>
      <c r="F518" s="611" t="str">
        <f>INDEX('①基本情報 '!$G$2:$G$255,MATCH('②建物情報 '!E518,'①基本情報 '!$E$2:$E$255,0),1)</f>
        <v>都市活力部都市整備室住宅政策課</v>
      </c>
      <c r="G518" s="678" t="s">
        <v>1580</v>
      </c>
      <c r="H518" s="612" t="s">
        <v>1243</v>
      </c>
      <c r="I518" s="663">
        <v>1969</v>
      </c>
      <c r="J518" s="663"/>
      <c r="K518" s="663">
        <f t="shared" si="7"/>
        <v>55</v>
      </c>
      <c r="L518" s="694">
        <v>162.31899999999999</v>
      </c>
      <c r="M518" s="680">
        <v>837.6</v>
      </c>
      <c r="N518" s="680">
        <v>837.6</v>
      </c>
      <c r="O518" s="681" t="s">
        <v>1812</v>
      </c>
      <c r="P518" s="663" t="s">
        <v>1581</v>
      </c>
      <c r="Q518" s="663">
        <v>5</v>
      </c>
      <c r="R518" s="690">
        <v>0</v>
      </c>
      <c r="S518" s="687" t="s">
        <v>1582</v>
      </c>
      <c r="T518" s="663"/>
      <c r="U518" s="683" t="s">
        <v>2479</v>
      </c>
      <c r="V518" s="690" t="s">
        <v>2480</v>
      </c>
      <c r="W518" s="687"/>
      <c r="X518" s="686">
        <v>47</v>
      </c>
      <c r="Y518" s="687" t="s">
        <v>1585</v>
      </c>
      <c r="Z518" s="663" t="s">
        <v>1585</v>
      </c>
      <c r="AA518" s="663" t="s">
        <v>1585</v>
      </c>
      <c r="AB518" s="663" t="s">
        <v>825</v>
      </c>
      <c r="AC518" s="663" t="s">
        <v>825</v>
      </c>
      <c r="AD518" s="663" t="s">
        <v>825</v>
      </c>
      <c r="AE518" s="663" t="s">
        <v>1586</v>
      </c>
      <c r="AF518" s="663" t="s">
        <v>1586</v>
      </c>
      <c r="AG518" s="663" t="s">
        <v>825</v>
      </c>
      <c r="AH518" s="663" t="s">
        <v>1586</v>
      </c>
      <c r="AI518" s="688">
        <v>87.741935483870975</v>
      </c>
      <c r="AJ518" s="689" t="s">
        <v>1588</v>
      </c>
      <c r="AK518" s="690"/>
    </row>
    <row r="519" spans="1:37" s="653" customFormat="1">
      <c r="A519" s="655">
        <v>2024</v>
      </c>
      <c r="B519" s="656" t="str">
        <f>INDEX('①基本情報 '!$C$2:$C$255,MATCH('②建物情報 '!E519,'①基本情報 '!$E$2:$E$255,0),1)</f>
        <v>191</v>
      </c>
      <c r="C519" s="657" t="str">
        <f>INDEX('①基本情報 '!$B$2:$B$255,MATCH('②建物情報 '!E519,'①基本情報 '!$E$2:$E$255,0),1)</f>
        <v>0813</v>
      </c>
      <c r="D519" s="261" t="s">
        <v>2418</v>
      </c>
      <c r="E519" s="262" t="s">
        <v>1243</v>
      </c>
      <c r="F519" s="263" t="str">
        <f>INDEX('①基本情報 '!$G$2:$G$255,MATCH('②建物情報 '!E519,'①基本情報 '!$E$2:$E$255,0),1)</f>
        <v>都市活力部都市整備室住宅政策課</v>
      </c>
      <c r="G519" s="264" t="s">
        <v>1589</v>
      </c>
      <c r="H519" s="282" t="s">
        <v>1701</v>
      </c>
      <c r="I519" s="265">
        <v>1973</v>
      </c>
      <c r="J519" s="265">
        <v>8</v>
      </c>
      <c r="K519" s="265">
        <f t="shared" si="7"/>
        <v>51</v>
      </c>
      <c r="L519" s="281"/>
      <c r="M519" s="293">
        <v>66.67</v>
      </c>
      <c r="N519" s="293">
        <v>66.67</v>
      </c>
      <c r="O519" s="268" t="s">
        <v>1812</v>
      </c>
      <c r="P519" s="265" t="s">
        <v>1603</v>
      </c>
      <c r="Q519" s="265"/>
      <c r="R519" s="292"/>
      <c r="S519" s="276"/>
      <c r="T519" s="265"/>
      <c r="U519" s="272"/>
      <c r="V519" s="292"/>
      <c r="W519" s="276"/>
      <c r="X519" s="275">
        <v>31</v>
      </c>
      <c r="Y519" s="276" t="s">
        <v>825</v>
      </c>
      <c r="Z519" s="265" t="s">
        <v>825</v>
      </c>
      <c r="AA519" s="265" t="s">
        <v>825</v>
      </c>
      <c r="AB519" s="265" t="s">
        <v>825</v>
      </c>
      <c r="AC519" s="265" t="s">
        <v>825</v>
      </c>
      <c r="AD519" s="265" t="s">
        <v>825</v>
      </c>
      <c r="AE519" s="265" t="s">
        <v>825</v>
      </c>
      <c r="AF519" s="265" t="s">
        <v>825</v>
      </c>
      <c r="AG519" s="265" t="s">
        <v>825</v>
      </c>
      <c r="AH519" s="265" t="s">
        <v>825</v>
      </c>
      <c r="AI519" s="277" t="s">
        <v>825</v>
      </c>
      <c r="AJ519" s="278" t="s">
        <v>1721</v>
      </c>
      <c r="AK519" s="292" t="s">
        <v>2331</v>
      </c>
    </row>
    <row r="520" spans="1:37" s="653" customFormat="1">
      <c r="A520" s="655">
        <v>2024</v>
      </c>
      <c r="B520" s="656" t="str">
        <f>INDEX('①基本情報 '!$C$2:$C$255,MATCH('②建物情報 '!E520,'①基本情報 '!$E$2:$E$255,0),1)</f>
        <v>191</v>
      </c>
      <c r="C520" s="657" t="str">
        <f>INDEX('①基本情報 '!$B$2:$B$255,MATCH('②建物情報 '!E520,'①基本情報 '!$E$2:$E$255,0),1)</f>
        <v>0813</v>
      </c>
      <c r="D520" s="261" t="s">
        <v>2418</v>
      </c>
      <c r="E520" s="262" t="s">
        <v>1243</v>
      </c>
      <c r="F520" s="263" t="str">
        <f>INDEX('①基本情報 '!$G$2:$G$255,MATCH('②建物情報 '!E520,'①基本情報 '!$E$2:$E$255,0),1)</f>
        <v>都市活力部都市整備室住宅政策課</v>
      </c>
      <c r="G520" s="264" t="s">
        <v>1591</v>
      </c>
      <c r="H520" s="282" t="s">
        <v>1698</v>
      </c>
      <c r="I520" s="265">
        <v>1978</v>
      </c>
      <c r="J520" s="265">
        <v>5</v>
      </c>
      <c r="K520" s="265">
        <f t="shared" si="7"/>
        <v>46</v>
      </c>
      <c r="L520" s="281"/>
      <c r="M520" s="293">
        <v>24.3</v>
      </c>
      <c r="N520" s="293">
        <v>24.3</v>
      </c>
      <c r="O520" s="268" t="s">
        <v>1812</v>
      </c>
      <c r="P520" s="265" t="s">
        <v>1603</v>
      </c>
      <c r="Q520" s="265"/>
      <c r="R520" s="292"/>
      <c r="S520" s="276"/>
      <c r="T520" s="265"/>
      <c r="U520" s="272"/>
      <c r="V520" s="292"/>
      <c r="W520" s="276"/>
      <c r="X520" s="275">
        <v>27</v>
      </c>
      <c r="Y520" s="276" t="s">
        <v>825</v>
      </c>
      <c r="Z520" s="265" t="s">
        <v>825</v>
      </c>
      <c r="AA520" s="265" t="s">
        <v>825</v>
      </c>
      <c r="AB520" s="265" t="s">
        <v>825</v>
      </c>
      <c r="AC520" s="265" t="s">
        <v>825</v>
      </c>
      <c r="AD520" s="265" t="s">
        <v>825</v>
      </c>
      <c r="AE520" s="265" t="s">
        <v>825</v>
      </c>
      <c r="AF520" s="265" t="s">
        <v>825</v>
      </c>
      <c r="AG520" s="265" t="s">
        <v>825</v>
      </c>
      <c r="AH520" s="265" t="s">
        <v>825</v>
      </c>
      <c r="AI520" s="277" t="s">
        <v>825</v>
      </c>
      <c r="AJ520" s="278" t="s">
        <v>1604</v>
      </c>
      <c r="AK520" s="696" t="s">
        <v>2332</v>
      </c>
    </row>
    <row r="521" spans="1:37" s="653" customFormat="1">
      <c r="A521" s="655">
        <v>2024</v>
      </c>
      <c r="B521" s="656" t="str">
        <f>INDEX('①基本情報 '!$C$2:$C$255,MATCH('②建物情報 '!E521,'①基本情報 '!$E$2:$E$255,0),1)</f>
        <v>191</v>
      </c>
      <c r="C521" s="657" t="str">
        <f>INDEX('①基本情報 '!$B$2:$B$255,MATCH('②建物情報 '!E521,'①基本情報 '!$E$2:$E$255,0),1)</f>
        <v>0813</v>
      </c>
      <c r="D521" s="261" t="s">
        <v>2418</v>
      </c>
      <c r="E521" s="262" t="s">
        <v>1243</v>
      </c>
      <c r="F521" s="263" t="str">
        <f>INDEX('①基本情報 '!$G$2:$G$255,MATCH('②建物情報 '!E521,'①基本情報 '!$E$2:$E$255,0),1)</f>
        <v>都市活力部都市整備室住宅政策課</v>
      </c>
      <c r="G521" s="264" t="s">
        <v>1601</v>
      </c>
      <c r="H521" s="282" t="s">
        <v>1609</v>
      </c>
      <c r="I521" s="265">
        <v>1969</v>
      </c>
      <c r="J521" s="265">
        <v>4</v>
      </c>
      <c r="K521" s="265">
        <f t="shared" ref="K521:K556" si="8">IF(I521&lt;&gt;"",A521-I521,99)</f>
        <v>55</v>
      </c>
      <c r="L521" s="281"/>
      <c r="M521" s="293">
        <v>11.75</v>
      </c>
      <c r="N521" s="293">
        <v>11.75</v>
      </c>
      <c r="O521" s="268" t="s">
        <v>1812</v>
      </c>
      <c r="P521" s="265" t="s">
        <v>1581</v>
      </c>
      <c r="Q521" s="265"/>
      <c r="R521" s="292"/>
      <c r="S521" s="276"/>
      <c r="T521" s="265"/>
      <c r="U521" s="272"/>
      <c r="V521" s="292"/>
      <c r="W521" s="276"/>
      <c r="X521" s="275">
        <v>38</v>
      </c>
      <c r="Y521" s="276" t="s">
        <v>825</v>
      </c>
      <c r="Z521" s="265" t="s">
        <v>825</v>
      </c>
      <c r="AA521" s="265" t="s">
        <v>825</v>
      </c>
      <c r="AB521" s="265" t="s">
        <v>825</v>
      </c>
      <c r="AC521" s="265" t="s">
        <v>825</v>
      </c>
      <c r="AD521" s="265" t="s">
        <v>825</v>
      </c>
      <c r="AE521" s="265" t="s">
        <v>825</v>
      </c>
      <c r="AF521" s="265" t="s">
        <v>825</v>
      </c>
      <c r="AG521" s="265" t="s">
        <v>825</v>
      </c>
      <c r="AH521" s="265" t="s">
        <v>825</v>
      </c>
      <c r="AI521" s="277" t="s">
        <v>825</v>
      </c>
      <c r="AJ521" s="278" t="s">
        <v>1604</v>
      </c>
      <c r="AK521" s="696" t="s">
        <v>2332</v>
      </c>
    </row>
    <row r="522" spans="1:37" s="653" customFormat="1">
      <c r="A522" s="655">
        <v>2024</v>
      </c>
      <c r="B522" s="656" t="str">
        <f>INDEX('①基本情報 '!$C$2:$C$255,MATCH('②建物情報 '!E522,'①基本情報 '!$E$2:$E$255,0),1)</f>
        <v>192</v>
      </c>
      <c r="C522" s="657" t="str">
        <f>INDEX('①基本情報 '!$B$2:$B$255,MATCH('②建物情報 '!E522,'①基本情報 '!$E$2:$E$255,0),1)</f>
        <v>0809</v>
      </c>
      <c r="D522" s="658" t="s">
        <v>2418</v>
      </c>
      <c r="E522" s="612" t="s">
        <v>1247</v>
      </c>
      <c r="F522" s="611" t="str">
        <f>INDEX('①基本情報 '!$G$2:$G$255,MATCH('②建物情報 '!E522,'①基本情報 '!$E$2:$E$255,0),1)</f>
        <v>都市活力部都市整備室住宅政策課</v>
      </c>
      <c r="G522" s="678" t="s">
        <v>1580</v>
      </c>
      <c r="H522" s="612" t="s">
        <v>1690</v>
      </c>
      <c r="I522" s="663">
        <v>1971</v>
      </c>
      <c r="J522" s="663"/>
      <c r="K522" s="663">
        <f t="shared" si="8"/>
        <v>53</v>
      </c>
      <c r="L522" s="694">
        <v>362.11</v>
      </c>
      <c r="M522" s="680">
        <v>1781.2</v>
      </c>
      <c r="N522" s="680">
        <v>1781.2</v>
      </c>
      <c r="O522" s="681" t="s">
        <v>1812</v>
      </c>
      <c r="P522" s="663" t="s">
        <v>1581</v>
      </c>
      <c r="Q522" s="663">
        <v>5</v>
      </c>
      <c r="R522" s="690">
        <v>0</v>
      </c>
      <c r="S522" s="687" t="s">
        <v>1582</v>
      </c>
      <c r="T522" s="663"/>
      <c r="U522" s="683" t="s">
        <v>1846</v>
      </c>
      <c r="V522" s="690"/>
      <c r="W522" s="687"/>
      <c r="X522" s="686">
        <v>47</v>
      </c>
      <c r="Y522" s="687" t="s">
        <v>1585</v>
      </c>
      <c r="Z522" s="663" t="s">
        <v>1596</v>
      </c>
      <c r="AA522" s="663" t="s">
        <v>1585</v>
      </c>
      <c r="AB522" s="663" t="s">
        <v>825</v>
      </c>
      <c r="AC522" s="663" t="s">
        <v>825</v>
      </c>
      <c r="AD522" s="663" t="s">
        <v>825</v>
      </c>
      <c r="AE522" s="663" t="s">
        <v>1585</v>
      </c>
      <c r="AF522" s="663" t="s">
        <v>1586</v>
      </c>
      <c r="AG522" s="663" t="s">
        <v>825</v>
      </c>
      <c r="AH522" s="663" t="s">
        <v>1586</v>
      </c>
      <c r="AI522" s="688">
        <v>80</v>
      </c>
      <c r="AJ522" s="689" t="s">
        <v>1588</v>
      </c>
      <c r="AK522" s="690"/>
    </row>
    <row r="523" spans="1:37" s="653" customFormat="1">
      <c r="A523" s="655">
        <v>2024</v>
      </c>
      <c r="B523" s="656" t="str">
        <f>INDEX('①基本情報 '!$C$2:$C$255,MATCH('②建物情報 '!E523,'①基本情報 '!$E$2:$E$255,0),1)</f>
        <v>192</v>
      </c>
      <c r="C523" s="657" t="str">
        <f>INDEX('①基本情報 '!$B$2:$B$255,MATCH('②建物情報 '!E523,'①基本情報 '!$E$2:$E$255,0),1)</f>
        <v>0809</v>
      </c>
      <c r="D523" s="658" t="s">
        <v>2418</v>
      </c>
      <c r="E523" s="612" t="s">
        <v>1247</v>
      </c>
      <c r="F523" s="611" t="str">
        <f>INDEX('①基本情報 '!$G$2:$G$255,MATCH('②建物情報 '!E523,'①基本情報 '!$E$2:$E$255,0),1)</f>
        <v>都市活力部都市整備室住宅政策課</v>
      </c>
      <c r="G523" s="678" t="s">
        <v>1589</v>
      </c>
      <c r="H523" s="612" t="s">
        <v>1691</v>
      </c>
      <c r="I523" s="663">
        <v>1971</v>
      </c>
      <c r="J523" s="663"/>
      <c r="K523" s="663">
        <f t="shared" si="8"/>
        <v>53</v>
      </c>
      <c r="L523" s="694">
        <v>362.11</v>
      </c>
      <c r="M523" s="680">
        <v>1781.3</v>
      </c>
      <c r="N523" s="680">
        <v>1781.3</v>
      </c>
      <c r="O523" s="681" t="s">
        <v>1812</v>
      </c>
      <c r="P523" s="663" t="s">
        <v>1581</v>
      </c>
      <c r="Q523" s="663">
        <v>5</v>
      </c>
      <c r="R523" s="690">
        <v>0</v>
      </c>
      <c r="S523" s="687" t="s">
        <v>1582</v>
      </c>
      <c r="T523" s="663"/>
      <c r="U523" s="683" t="s">
        <v>1846</v>
      </c>
      <c r="V523" s="690"/>
      <c r="W523" s="687"/>
      <c r="X523" s="686">
        <v>47</v>
      </c>
      <c r="Y523" s="687" t="s">
        <v>1585</v>
      </c>
      <c r="Z523" s="663" t="s">
        <v>1585</v>
      </c>
      <c r="AA523" s="663" t="s">
        <v>1585</v>
      </c>
      <c r="AB523" s="663" t="s">
        <v>825</v>
      </c>
      <c r="AC523" s="663" t="s">
        <v>825</v>
      </c>
      <c r="AD523" s="663" t="s">
        <v>825</v>
      </c>
      <c r="AE523" s="663" t="s">
        <v>1585</v>
      </c>
      <c r="AF523" s="663" t="s">
        <v>1586</v>
      </c>
      <c r="AG523" s="663" t="s">
        <v>825</v>
      </c>
      <c r="AH523" s="663" t="s">
        <v>1586</v>
      </c>
      <c r="AI523" s="688">
        <v>81.290322580645153</v>
      </c>
      <c r="AJ523" s="689" t="s">
        <v>1588</v>
      </c>
      <c r="AK523" s="690"/>
    </row>
    <row r="524" spans="1:37" s="653" customFormat="1">
      <c r="A524" s="655">
        <v>2024</v>
      </c>
      <c r="B524" s="656" t="str">
        <f>INDEX('①基本情報 '!$C$2:$C$255,MATCH('②建物情報 '!E524,'①基本情報 '!$E$2:$E$255,0),1)</f>
        <v>192</v>
      </c>
      <c r="C524" s="657" t="str">
        <f>INDEX('①基本情報 '!$B$2:$B$255,MATCH('②建物情報 '!E524,'①基本情報 '!$E$2:$E$255,0),1)</f>
        <v>0809</v>
      </c>
      <c r="D524" s="658" t="s">
        <v>2418</v>
      </c>
      <c r="E524" s="612" t="s">
        <v>1247</v>
      </c>
      <c r="F524" s="611" t="str">
        <f>INDEX('①基本情報 '!$G$2:$G$255,MATCH('②建物情報 '!E524,'①基本情報 '!$E$2:$E$255,0),1)</f>
        <v>都市活力部都市整備室住宅政策課</v>
      </c>
      <c r="G524" s="678" t="s">
        <v>1591</v>
      </c>
      <c r="H524" s="612" t="s">
        <v>1692</v>
      </c>
      <c r="I524" s="663">
        <v>1971</v>
      </c>
      <c r="J524" s="663"/>
      <c r="K524" s="663">
        <f t="shared" si="8"/>
        <v>53</v>
      </c>
      <c r="L524" s="694">
        <v>271.64</v>
      </c>
      <c r="M524" s="680">
        <v>1336.1</v>
      </c>
      <c r="N524" s="680">
        <v>1336.1</v>
      </c>
      <c r="O524" s="681" t="s">
        <v>1812</v>
      </c>
      <c r="P524" s="663" t="s">
        <v>1581</v>
      </c>
      <c r="Q524" s="663">
        <v>5</v>
      </c>
      <c r="R524" s="690">
        <v>0</v>
      </c>
      <c r="S524" s="687" t="s">
        <v>1582</v>
      </c>
      <c r="T524" s="663"/>
      <c r="U524" s="683" t="s">
        <v>1846</v>
      </c>
      <c r="V524" s="690"/>
      <c r="W524" s="687"/>
      <c r="X524" s="686">
        <v>47</v>
      </c>
      <c r="Y524" s="687" t="s">
        <v>1585</v>
      </c>
      <c r="Z524" s="663" t="s">
        <v>1596</v>
      </c>
      <c r="AA524" s="663" t="s">
        <v>1585</v>
      </c>
      <c r="AB524" s="663" t="s">
        <v>825</v>
      </c>
      <c r="AC524" s="663" t="s">
        <v>825</v>
      </c>
      <c r="AD524" s="663" t="s">
        <v>825</v>
      </c>
      <c r="AE524" s="663" t="s">
        <v>1585</v>
      </c>
      <c r="AF524" s="663" t="s">
        <v>1586</v>
      </c>
      <c r="AG524" s="663" t="s">
        <v>825</v>
      </c>
      <c r="AH524" s="663" t="s">
        <v>1586</v>
      </c>
      <c r="AI524" s="688">
        <v>80</v>
      </c>
      <c r="AJ524" s="689" t="s">
        <v>1588</v>
      </c>
      <c r="AK524" s="690"/>
    </row>
    <row r="525" spans="1:37" s="653" customFormat="1">
      <c r="A525" s="655">
        <v>2024</v>
      </c>
      <c r="B525" s="656" t="str">
        <f>INDEX('①基本情報 '!$C$2:$C$255,MATCH('②建物情報 '!E525,'①基本情報 '!$E$2:$E$255,0),1)</f>
        <v>192</v>
      </c>
      <c r="C525" s="657" t="str">
        <f>INDEX('①基本情報 '!$B$2:$B$255,MATCH('②建物情報 '!E525,'①基本情報 '!$E$2:$E$255,0),1)</f>
        <v>0809</v>
      </c>
      <c r="D525" s="658" t="s">
        <v>2418</v>
      </c>
      <c r="E525" s="612" t="s">
        <v>1247</v>
      </c>
      <c r="F525" s="611" t="str">
        <f>INDEX('①基本情報 '!$G$2:$G$255,MATCH('②建物情報 '!E525,'①基本情報 '!$E$2:$E$255,0),1)</f>
        <v>都市活力部都市整備室住宅政策課</v>
      </c>
      <c r="G525" s="678" t="s">
        <v>1601</v>
      </c>
      <c r="H525" s="612" t="s">
        <v>1713</v>
      </c>
      <c r="I525" s="663">
        <v>1971</v>
      </c>
      <c r="J525" s="663"/>
      <c r="K525" s="663">
        <f t="shared" si="8"/>
        <v>53</v>
      </c>
      <c r="L525" s="694">
        <v>271.64</v>
      </c>
      <c r="M525" s="680">
        <v>1325.75</v>
      </c>
      <c r="N525" s="680">
        <v>1325.75</v>
      </c>
      <c r="O525" s="681" t="s">
        <v>1812</v>
      </c>
      <c r="P525" s="663" t="s">
        <v>1581</v>
      </c>
      <c r="Q525" s="663">
        <v>5</v>
      </c>
      <c r="R525" s="690">
        <v>0</v>
      </c>
      <c r="S525" s="687" t="s">
        <v>1582</v>
      </c>
      <c r="T525" s="663"/>
      <c r="U525" s="683" t="s">
        <v>1846</v>
      </c>
      <c r="V525" s="690"/>
      <c r="W525" s="687"/>
      <c r="X525" s="686">
        <v>47</v>
      </c>
      <c r="Y525" s="687" t="s">
        <v>1585</v>
      </c>
      <c r="Z525" s="663" t="s">
        <v>1596</v>
      </c>
      <c r="AA525" s="663" t="s">
        <v>1585</v>
      </c>
      <c r="AB525" s="663" t="s">
        <v>825</v>
      </c>
      <c r="AC525" s="663" t="s">
        <v>825</v>
      </c>
      <c r="AD525" s="663" t="s">
        <v>825</v>
      </c>
      <c r="AE525" s="663" t="s">
        <v>1585</v>
      </c>
      <c r="AF525" s="663" t="s">
        <v>1586</v>
      </c>
      <c r="AG525" s="663" t="s">
        <v>825</v>
      </c>
      <c r="AH525" s="663" t="s">
        <v>1586</v>
      </c>
      <c r="AI525" s="688">
        <v>79.354838709677423</v>
      </c>
      <c r="AJ525" s="689" t="s">
        <v>1588</v>
      </c>
      <c r="AK525" s="690"/>
    </row>
    <row r="526" spans="1:37" s="653" customFormat="1">
      <c r="A526" s="655">
        <v>2024</v>
      </c>
      <c r="B526" s="656" t="str">
        <f>INDEX('①基本情報 '!$C$2:$C$255,MATCH('②建物情報 '!E526,'①基本情報 '!$E$2:$E$255,0),1)</f>
        <v>192</v>
      </c>
      <c r="C526" s="657" t="str">
        <f>INDEX('①基本情報 '!$B$2:$B$255,MATCH('②建物情報 '!E526,'①基本情報 '!$E$2:$E$255,0),1)</f>
        <v>0809</v>
      </c>
      <c r="D526" s="658" t="s">
        <v>2418</v>
      </c>
      <c r="E526" s="612" t="s">
        <v>1247</v>
      </c>
      <c r="F526" s="611" t="str">
        <f>INDEX('①基本情報 '!$G$2:$G$255,MATCH('②建物情報 '!E526,'①基本情報 '!$E$2:$E$255,0),1)</f>
        <v>都市活力部都市整備室住宅政策課</v>
      </c>
      <c r="G526" s="678" t="s">
        <v>1620</v>
      </c>
      <c r="H526" s="612" t="s">
        <v>1622</v>
      </c>
      <c r="I526" s="663">
        <v>1973</v>
      </c>
      <c r="J526" s="663">
        <v>12</v>
      </c>
      <c r="K526" s="663">
        <f t="shared" si="8"/>
        <v>51</v>
      </c>
      <c r="L526" s="694"/>
      <c r="M526" s="680">
        <v>99.56</v>
      </c>
      <c r="N526" s="680">
        <v>99.56</v>
      </c>
      <c r="O526" s="681" t="s">
        <v>1812</v>
      </c>
      <c r="P526" s="663" t="s">
        <v>1581</v>
      </c>
      <c r="Q526" s="663"/>
      <c r="R526" s="690"/>
      <c r="S526" s="687" t="s">
        <v>1967</v>
      </c>
      <c r="T526" s="683" t="s">
        <v>1966</v>
      </c>
      <c r="U526" s="683" t="s">
        <v>1846</v>
      </c>
      <c r="V526" s="690"/>
      <c r="W526" s="687"/>
      <c r="X526" s="686">
        <v>47</v>
      </c>
      <c r="Y526" s="687" t="s">
        <v>825</v>
      </c>
      <c r="Z526" s="663" t="s">
        <v>825</v>
      </c>
      <c r="AA526" s="663" t="s">
        <v>825</v>
      </c>
      <c r="AB526" s="663" t="s">
        <v>825</v>
      </c>
      <c r="AC526" s="663" t="s">
        <v>825</v>
      </c>
      <c r="AD526" s="663" t="s">
        <v>825</v>
      </c>
      <c r="AE526" s="663" t="s">
        <v>825</v>
      </c>
      <c r="AF526" s="663" t="s">
        <v>825</v>
      </c>
      <c r="AG526" s="663" t="s">
        <v>825</v>
      </c>
      <c r="AH526" s="663" t="s">
        <v>825</v>
      </c>
      <c r="AI526" s="688" t="s">
        <v>825</v>
      </c>
      <c r="AJ526" s="689" t="s">
        <v>1588</v>
      </c>
      <c r="AK526" s="690"/>
    </row>
    <row r="527" spans="1:37" s="653" customFormat="1">
      <c r="A527" s="655">
        <v>2024</v>
      </c>
      <c r="B527" s="656" t="str">
        <f>INDEX('①基本情報 '!$C$2:$C$255,MATCH('②建物情報 '!E527,'①基本情報 '!$E$2:$E$255,0),1)</f>
        <v>192</v>
      </c>
      <c r="C527" s="657" t="str">
        <f>INDEX('①基本情報 '!$B$2:$B$255,MATCH('②建物情報 '!E527,'①基本情報 '!$E$2:$E$255,0),1)</f>
        <v>0809</v>
      </c>
      <c r="D527" s="261" t="s">
        <v>2418</v>
      </c>
      <c r="E527" s="262" t="s">
        <v>1247</v>
      </c>
      <c r="F527" s="263" t="str">
        <f>INDEX('①基本情報 '!$G$2:$G$255,MATCH('②建物情報 '!E527,'①基本情報 '!$E$2:$E$255,0),1)</f>
        <v>都市活力部都市整備室住宅政策課</v>
      </c>
      <c r="G527" s="264" t="s">
        <v>1643</v>
      </c>
      <c r="H527" s="262" t="s">
        <v>1699</v>
      </c>
      <c r="I527" s="265">
        <v>1972</v>
      </c>
      <c r="J527" s="265">
        <v>3</v>
      </c>
      <c r="K527" s="265">
        <f t="shared" si="8"/>
        <v>52</v>
      </c>
      <c r="L527" s="281"/>
      <c r="M527" s="267">
        <v>11</v>
      </c>
      <c r="N527" s="267">
        <v>11</v>
      </c>
      <c r="O527" s="268" t="s">
        <v>1812</v>
      </c>
      <c r="P527" s="265" t="s">
        <v>1581</v>
      </c>
      <c r="Q527" s="265"/>
      <c r="R527" s="292"/>
      <c r="S527" s="276"/>
      <c r="T527" s="265"/>
      <c r="U527" s="272"/>
      <c r="V527" s="292"/>
      <c r="W527" s="276"/>
      <c r="X527" s="275">
        <v>38</v>
      </c>
      <c r="Y527" s="276" t="s">
        <v>825</v>
      </c>
      <c r="Z527" s="265" t="s">
        <v>825</v>
      </c>
      <c r="AA527" s="265" t="s">
        <v>825</v>
      </c>
      <c r="AB527" s="265" t="s">
        <v>825</v>
      </c>
      <c r="AC527" s="265" t="s">
        <v>825</v>
      </c>
      <c r="AD527" s="265" t="s">
        <v>825</v>
      </c>
      <c r="AE527" s="265" t="s">
        <v>825</v>
      </c>
      <c r="AF527" s="265" t="s">
        <v>825</v>
      </c>
      <c r="AG527" s="265" t="s">
        <v>825</v>
      </c>
      <c r="AH527" s="265" t="s">
        <v>825</v>
      </c>
      <c r="AI527" s="277" t="s">
        <v>825</v>
      </c>
      <c r="AJ527" s="278" t="s">
        <v>1604</v>
      </c>
      <c r="AK527" s="696" t="s">
        <v>2332</v>
      </c>
    </row>
    <row r="528" spans="1:37" s="653" customFormat="1">
      <c r="A528" s="655">
        <v>2024</v>
      </c>
      <c r="B528" s="656" t="str">
        <f>INDEX('①基本情報 '!$C$2:$C$255,MATCH('②建物情報 '!E528,'①基本情報 '!$E$2:$E$255,0),1)</f>
        <v>192</v>
      </c>
      <c r="C528" s="657" t="str">
        <f>INDEX('①基本情報 '!$B$2:$B$255,MATCH('②建物情報 '!E528,'①基本情報 '!$E$2:$E$255,0),1)</f>
        <v>0809</v>
      </c>
      <c r="D528" s="261" t="s">
        <v>2418</v>
      </c>
      <c r="E528" s="262" t="s">
        <v>1247</v>
      </c>
      <c r="F528" s="263" t="str">
        <f>INDEX('①基本情報 '!$G$2:$G$255,MATCH('②建物情報 '!E528,'①基本情報 '!$E$2:$E$255,0),1)</f>
        <v>都市活力部都市整備室住宅政策課</v>
      </c>
      <c r="G528" s="264" t="s">
        <v>1645</v>
      </c>
      <c r="H528" s="262" t="s">
        <v>1615</v>
      </c>
      <c r="I528" s="265">
        <v>1972</v>
      </c>
      <c r="J528" s="265">
        <v>3</v>
      </c>
      <c r="K528" s="265">
        <f t="shared" si="8"/>
        <v>52</v>
      </c>
      <c r="L528" s="281"/>
      <c r="M528" s="267">
        <v>44</v>
      </c>
      <c r="N528" s="267">
        <v>44</v>
      </c>
      <c r="O528" s="268" t="s">
        <v>1812</v>
      </c>
      <c r="P528" s="265" t="s">
        <v>1603</v>
      </c>
      <c r="Q528" s="265"/>
      <c r="R528" s="292"/>
      <c r="S528" s="276"/>
      <c r="T528" s="265"/>
      <c r="U528" s="272"/>
      <c r="V528" s="292"/>
      <c r="W528" s="276"/>
      <c r="X528" s="275">
        <v>31</v>
      </c>
      <c r="Y528" s="276" t="s">
        <v>825</v>
      </c>
      <c r="Z528" s="265" t="s">
        <v>825</v>
      </c>
      <c r="AA528" s="265" t="s">
        <v>825</v>
      </c>
      <c r="AB528" s="265" t="s">
        <v>825</v>
      </c>
      <c r="AC528" s="265" t="s">
        <v>825</v>
      </c>
      <c r="AD528" s="265" t="s">
        <v>825</v>
      </c>
      <c r="AE528" s="265" t="s">
        <v>825</v>
      </c>
      <c r="AF528" s="265" t="s">
        <v>825</v>
      </c>
      <c r="AG528" s="265" t="s">
        <v>825</v>
      </c>
      <c r="AH528" s="265" t="s">
        <v>825</v>
      </c>
      <c r="AI528" s="277" t="s">
        <v>825</v>
      </c>
      <c r="AJ528" s="278" t="s">
        <v>1606</v>
      </c>
      <c r="AK528" s="693" t="s">
        <v>2330</v>
      </c>
    </row>
    <row r="529" spans="1:37" s="653" customFormat="1">
      <c r="A529" s="655">
        <v>2024</v>
      </c>
      <c r="B529" s="656" t="str">
        <f>INDEX('①基本情報 '!$C$2:$C$255,MATCH('②建物情報 '!E529,'①基本情報 '!$E$2:$E$255,0),1)</f>
        <v>192</v>
      </c>
      <c r="C529" s="657" t="str">
        <f>INDEX('①基本情報 '!$B$2:$B$255,MATCH('②建物情報 '!E529,'①基本情報 '!$E$2:$E$255,0),1)</f>
        <v>0809</v>
      </c>
      <c r="D529" s="261" t="s">
        <v>2418</v>
      </c>
      <c r="E529" s="262" t="s">
        <v>1247</v>
      </c>
      <c r="F529" s="263" t="str">
        <f>INDEX('①基本情報 '!$G$2:$G$255,MATCH('②建物情報 '!E529,'①基本情報 '!$E$2:$E$255,0),1)</f>
        <v>都市活力部都市整備室住宅政策課</v>
      </c>
      <c r="G529" s="264" t="s">
        <v>1646</v>
      </c>
      <c r="H529" s="262" t="s">
        <v>1615</v>
      </c>
      <c r="I529" s="265">
        <v>1973</v>
      </c>
      <c r="J529" s="265">
        <v>2</v>
      </c>
      <c r="K529" s="265">
        <f t="shared" si="8"/>
        <v>51</v>
      </c>
      <c r="L529" s="281"/>
      <c r="M529" s="267">
        <v>44</v>
      </c>
      <c r="N529" s="267">
        <v>44</v>
      </c>
      <c r="O529" s="268" t="s">
        <v>1812</v>
      </c>
      <c r="P529" s="265" t="s">
        <v>1603</v>
      </c>
      <c r="Q529" s="265"/>
      <c r="R529" s="292"/>
      <c r="S529" s="276"/>
      <c r="T529" s="265"/>
      <c r="U529" s="272"/>
      <c r="V529" s="292"/>
      <c r="W529" s="276"/>
      <c r="X529" s="275">
        <v>31</v>
      </c>
      <c r="Y529" s="276" t="s">
        <v>825</v>
      </c>
      <c r="Z529" s="265" t="s">
        <v>825</v>
      </c>
      <c r="AA529" s="265" t="s">
        <v>825</v>
      </c>
      <c r="AB529" s="265" t="s">
        <v>825</v>
      </c>
      <c r="AC529" s="265" t="s">
        <v>825</v>
      </c>
      <c r="AD529" s="265" t="s">
        <v>825</v>
      </c>
      <c r="AE529" s="265" t="s">
        <v>825</v>
      </c>
      <c r="AF529" s="265" t="s">
        <v>825</v>
      </c>
      <c r="AG529" s="265" t="s">
        <v>825</v>
      </c>
      <c r="AH529" s="265" t="s">
        <v>825</v>
      </c>
      <c r="AI529" s="277" t="s">
        <v>825</v>
      </c>
      <c r="AJ529" s="278" t="s">
        <v>1606</v>
      </c>
      <c r="AK529" s="693" t="s">
        <v>2330</v>
      </c>
    </row>
    <row r="530" spans="1:37" s="653" customFormat="1">
      <c r="A530" s="655">
        <v>2024</v>
      </c>
      <c r="B530" s="656" t="str">
        <f>INDEX('①基本情報 '!$C$2:$C$255,MATCH('②建物情報 '!E530,'①基本情報 '!$E$2:$E$255,0),1)</f>
        <v>192</v>
      </c>
      <c r="C530" s="657" t="str">
        <f>INDEX('①基本情報 '!$B$2:$B$255,MATCH('②建物情報 '!E530,'①基本情報 '!$E$2:$E$255,0),1)</f>
        <v>0809</v>
      </c>
      <c r="D530" s="261" t="s">
        <v>2418</v>
      </c>
      <c r="E530" s="262" t="s">
        <v>1247</v>
      </c>
      <c r="F530" s="263" t="str">
        <f>INDEX('①基本情報 '!$G$2:$G$255,MATCH('②建物情報 '!E530,'①基本情報 '!$E$2:$E$255,0),1)</f>
        <v>都市活力部都市整備室住宅政策課</v>
      </c>
      <c r="G530" s="264" t="s">
        <v>1647</v>
      </c>
      <c r="H530" s="262" t="s">
        <v>1615</v>
      </c>
      <c r="I530" s="265">
        <v>1973</v>
      </c>
      <c r="J530" s="265">
        <v>2</v>
      </c>
      <c r="K530" s="265">
        <f t="shared" si="8"/>
        <v>51</v>
      </c>
      <c r="L530" s="281"/>
      <c r="M530" s="267">
        <v>35.200000000000003</v>
      </c>
      <c r="N530" s="267">
        <v>35.200000000000003</v>
      </c>
      <c r="O530" s="268" t="s">
        <v>1812</v>
      </c>
      <c r="P530" s="265" t="s">
        <v>1603</v>
      </c>
      <c r="Q530" s="265"/>
      <c r="R530" s="292"/>
      <c r="S530" s="276"/>
      <c r="T530" s="265"/>
      <c r="U530" s="272"/>
      <c r="V530" s="292"/>
      <c r="W530" s="276"/>
      <c r="X530" s="275">
        <v>31</v>
      </c>
      <c r="Y530" s="276" t="s">
        <v>825</v>
      </c>
      <c r="Z530" s="265" t="s">
        <v>825</v>
      </c>
      <c r="AA530" s="265" t="s">
        <v>825</v>
      </c>
      <c r="AB530" s="265" t="s">
        <v>825</v>
      </c>
      <c r="AC530" s="265" t="s">
        <v>825</v>
      </c>
      <c r="AD530" s="265" t="s">
        <v>825</v>
      </c>
      <c r="AE530" s="265" t="s">
        <v>825</v>
      </c>
      <c r="AF530" s="265" t="s">
        <v>825</v>
      </c>
      <c r="AG530" s="265" t="s">
        <v>825</v>
      </c>
      <c r="AH530" s="265" t="s">
        <v>825</v>
      </c>
      <c r="AI530" s="277" t="s">
        <v>825</v>
      </c>
      <c r="AJ530" s="278" t="s">
        <v>1606</v>
      </c>
      <c r="AK530" s="693" t="s">
        <v>2330</v>
      </c>
    </row>
    <row r="531" spans="1:37" s="653" customFormat="1">
      <c r="A531" s="655">
        <v>2024</v>
      </c>
      <c r="B531" s="656" t="str">
        <f>INDEX('①基本情報 '!$C$2:$C$255,MATCH('②建物情報 '!E531,'①基本情報 '!$E$2:$E$255,0),1)</f>
        <v>192</v>
      </c>
      <c r="C531" s="657" t="str">
        <f>INDEX('①基本情報 '!$B$2:$B$255,MATCH('②建物情報 '!E531,'①基本情報 '!$E$2:$E$255,0),1)</f>
        <v>0809</v>
      </c>
      <c r="D531" s="261" t="s">
        <v>2418</v>
      </c>
      <c r="E531" s="262" t="s">
        <v>1247</v>
      </c>
      <c r="F531" s="263" t="str">
        <f>INDEX('①基本情報 '!$G$2:$G$255,MATCH('②建物情報 '!E531,'①基本情報 '!$E$2:$E$255,0),1)</f>
        <v>都市活力部都市整備室住宅政策課</v>
      </c>
      <c r="G531" s="264" t="s">
        <v>162</v>
      </c>
      <c r="H531" s="262" t="s">
        <v>1609</v>
      </c>
      <c r="I531" s="265">
        <v>1973</v>
      </c>
      <c r="J531" s="265">
        <v>2</v>
      </c>
      <c r="K531" s="265">
        <f t="shared" si="8"/>
        <v>51</v>
      </c>
      <c r="L531" s="281"/>
      <c r="M531" s="267">
        <v>11</v>
      </c>
      <c r="N531" s="267">
        <v>11</v>
      </c>
      <c r="O531" s="268" t="s">
        <v>1812</v>
      </c>
      <c r="P531" s="265" t="s">
        <v>1581</v>
      </c>
      <c r="Q531" s="265"/>
      <c r="R531" s="292"/>
      <c r="S531" s="276"/>
      <c r="T531" s="265"/>
      <c r="U531" s="272"/>
      <c r="V531" s="292"/>
      <c r="W531" s="276"/>
      <c r="X531" s="275">
        <v>38</v>
      </c>
      <c r="Y531" s="276" t="s">
        <v>825</v>
      </c>
      <c r="Z531" s="265" t="s">
        <v>825</v>
      </c>
      <c r="AA531" s="265" t="s">
        <v>825</v>
      </c>
      <c r="AB531" s="265" t="s">
        <v>825</v>
      </c>
      <c r="AC531" s="265" t="s">
        <v>825</v>
      </c>
      <c r="AD531" s="265" t="s">
        <v>825</v>
      </c>
      <c r="AE531" s="265" t="s">
        <v>825</v>
      </c>
      <c r="AF531" s="265" t="s">
        <v>825</v>
      </c>
      <c r="AG531" s="265" t="s">
        <v>825</v>
      </c>
      <c r="AH531" s="265" t="s">
        <v>825</v>
      </c>
      <c r="AI531" s="277" t="s">
        <v>825</v>
      </c>
      <c r="AJ531" s="278" t="s">
        <v>1604</v>
      </c>
      <c r="AK531" s="696" t="s">
        <v>2332</v>
      </c>
    </row>
    <row r="532" spans="1:37" s="653" customFormat="1">
      <c r="A532" s="655">
        <v>2024</v>
      </c>
      <c r="B532" s="656" t="str">
        <f>INDEX('①基本情報 '!$C$2:$C$255,MATCH('②建物情報 '!E532,'①基本情報 '!$E$2:$E$255,0),1)</f>
        <v>192</v>
      </c>
      <c r="C532" s="657" t="str">
        <f>INDEX('①基本情報 '!$B$2:$B$255,MATCH('②建物情報 '!E532,'①基本情報 '!$E$2:$E$255,0),1)</f>
        <v>0809</v>
      </c>
      <c r="D532" s="261" t="s">
        <v>2418</v>
      </c>
      <c r="E532" s="262" t="s">
        <v>1247</v>
      </c>
      <c r="F532" s="263" t="str">
        <f>INDEX('①基本情報 '!$G$2:$G$255,MATCH('②建物情報 '!E532,'①基本情報 '!$E$2:$E$255,0),1)</f>
        <v>都市活力部都市整備室住宅政策課</v>
      </c>
      <c r="G532" s="264" t="s">
        <v>1652</v>
      </c>
      <c r="H532" s="262" t="s">
        <v>1615</v>
      </c>
      <c r="I532" s="265">
        <v>1973</v>
      </c>
      <c r="J532" s="265">
        <v>12</v>
      </c>
      <c r="K532" s="265">
        <f t="shared" si="8"/>
        <v>51</v>
      </c>
      <c r="L532" s="281"/>
      <c r="M532" s="267">
        <v>42.5</v>
      </c>
      <c r="N532" s="267">
        <v>42.5</v>
      </c>
      <c r="O532" s="268" t="s">
        <v>1812</v>
      </c>
      <c r="P532" s="265" t="s">
        <v>1603</v>
      </c>
      <c r="Q532" s="265"/>
      <c r="R532" s="292"/>
      <c r="S532" s="276"/>
      <c r="T532" s="265"/>
      <c r="U532" s="272"/>
      <c r="V532" s="292"/>
      <c r="W532" s="276"/>
      <c r="X532" s="275">
        <v>31</v>
      </c>
      <c r="Y532" s="276" t="s">
        <v>825</v>
      </c>
      <c r="Z532" s="265" t="s">
        <v>825</v>
      </c>
      <c r="AA532" s="265" t="s">
        <v>825</v>
      </c>
      <c r="AB532" s="265" t="s">
        <v>825</v>
      </c>
      <c r="AC532" s="265" t="s">
        <v>825</v>
      </c>
      <c r="AD532" s="265" t="s">
        <v>825</v>
      </c>
      <c r="AE532" s="265" t="s">
        <v>825</v>
      </c>
      <c r="AF532" s="265" t="s">
        <v>825</v>
      </c>
      <c r="AG532" s="265" t="s">
        <v>825</v>
      </c>
      <c r="AH532" s="265" t="s">
        <v>825</v>
      </c>
      <c r="AI532" s="277" t="s">
        <v>825</v>
      </c>
      <c r="AJ532" s="278" t="s">
        <v>1606</v>
      </c>
      <c r="AK532" s="693" t="s">
        <v>2330</v>
      </c>
    </row>
    <row r="533" spans="1:37" s="653" customFormat="1">
      <c r="A533" s="655">
        <v>2024</v>
      </c>
      <c r="B533" s="656" t="str">
        <f>INDEX('①基本情報 '!$C$2:$C$255,MATCH('②建物情報 '!E533,'①基本情報 '!$E$2:$E$255,0),1)</f>
        <v>193</v>
      </c>
      <c r="C533" s="657" t="str">
        <f>INDEX('①基本情報 '!$B$2:$B$255,MATCH('②建物情報 '!E533,'①基本情報 '!$E$2:$E$255,0),1)</f>
        <v>0805</v>
      </c>
      <c r="D533" s="658" t="s">
        <v>2418</v>
      </c>
      <c r="E533" s="612" t="s">
        <v>1251</v>
      </c>
      <c r="F533" s="611" t="str">
        <f>INDEX('①基本情報 '!$G$2:$G$255,MATCH('②建物情報 '!E533,'①基本情報 '!$E$2:$E$255,0),1)</f>
        <v>都市活力部都市整備室住宅政策課</v>
      </c>
      <c r="G533" s="678" t="s">
        <v>1580</v>
      </c>
      <c r="H533" s="612" t="s">
        <v>1251</v>
      </c>
      <c r="I533" s="663">
        <v>1969</v>
      </c>
      <c r="J533" s="663"/>
      <c r="K533" s="663">
        <f t="shared" si="8"/>
        <v>55</v>
      </c>
      <c r="L533" s="694">
        <v>249.53</v>
      </c>
      <c r="M533" s="704">
        <v>1295.4000000000001</v>
      </c>
      <c r="N533" s="704">
        <v>1295.4000000000001</v>
      </c>
      <c r="O533" s="681" t="s">
        <v>1812</v>
      </c>
      <c r="P533" s="663" t="s">
        <v>1581</v>
      </c>
      <c r="Q533" s="663">
        <v>5</v>
      </c>
      <c r="R533" s="690">
        <v>0</v>
      </c>
      <c r="S533" s="687" t="s">
        <v>1582</v>
      </c>
      <c r="T533" s="663"/>
      <c r="U533" s="683" t="s">
        <v>1846</v>
      </c>
      <c r="V533" s="690"/>
      <c r="W533" s="687"/>
      <c r="X533" s="686">
        <v>47</v>
      </c>
      <c r="Y533" s="687" t="s">
        <v>1585</v>
      </c>
      <c r="Z533" s="663" t="s">
        <v>1596</v>
      </c>
      <c r="AA533" s="663" t="s">
        <v>1586</v>
      </c>
      <c r="AB533" s="663" t="s">
        <v>825</v>
      </c>
      <c r="AC533" s="663" t="s">
        <v>825</v>
      </c>
      <c r="AD533" s="663" t="s">
        <v>825</v>
      </c>
      <c r="AE533" s="663" t="s">
        <v>1586</v>
      </c>
      <c r="AF533" s="663" t="s">
        <v>1586</v>
      </c>
      <c r="AG533" s="663" t="s">
        <v>825</v>
      </c>
      <c r="AH533" s="663" t="s">
        <v>1586</v>
      </c>
      <c r="AI533" s="688">
        <v>85.161290322580641</v>
      </c>
      <c r="AJ533" s="689" t="s">
        <v>1588</v>
      </c>
      <c r="AK533" s="690"/>
    </row>
    <row r="534" spans="1:37" s="653" customFormat="1">
      <c r="A534" s="655">
        <v>2024</v>
      </c>
      <c r="B534" s="656" t="str">
        <f>INDEX('①基本情報 '!$C$2:$C$255,MATCH('②建物情報 '!E534,'①基本情報 '!$E$2:$E$255,0),1)</f>
        <v>194</v>
      </c>
      <c r="C534" s="657" t="str">
        <f>INDEX('①基本情報 '!$B$2:$B$255,MATCH('②建物情報 '!E534,'①基本情報 '!$E$2:$E$255,0),1)</f>
        <v>0814</v>
      </c>
      <c r="D534" s="658" t="s">
        <v>2418</v>
      </c>
      <c r="E534" s="612" t="s">
        <v>1256</v>
      </c>
      <c r="F534" s="611" t="str">
        <f>INDEX('①基本情報 '!$G$2:$G$255,MATCH('②建物情報 '!E534,'①基本情報 '!$E$2:$E$255,0),1)</f>
        <v>都市活力部都市整備室住宅政策課</v>
      </c>
      <c r="G534" s="678" t="s">
        <v>1580</v>
      </c>
      <c r="H534" s="612" t="s">
        <v>1256</v>
      </c>
      <c r="I534" s="663">
        <v>1971</v>
      </c>
      <c r="J534" s="663"/>
      <c r="K534" s="663">
        <f t="shared" si="8"/>
        <v>53</v>
      </c>
      <c r="L534" s="694">
        <v>154.61000000000001</v>
      </c>
      <c r="M534" s="680">
        <v>755.22</v>
      </c>
      <c r="N534" s="680">
        <v>755.22</v>
      </c>
      <c r="O534" s="681" t="s">
        <v>1812</v>
      </c>
      <c r="P534" s="663" t="s">
        <v>1581</v>
      </c>
      <c r="Q534" s="663">
        <v>5</v>
      </c>
      <c r="R534" s="690">
        <v>0</v>
      </c>
      <c r="S534" s="687" t="s">
        <v>1582</v>
      </c>
      <c r="T534" s="663"/>
      <c r="U534" s="683" t="s">
        <v>2479</v>
      </c>
      <c r="V534" s="690" t="s">
        <v>2480</v>
      </c>
      <c r="W534" s="687"/>
      <c r="X534" s="686">
        <v>47</v>
      </c>
      <c r="Y534" s="687" t="s">
        <v>1585</v>
      </c>
      <c r="Z534" s="663" t="s">
        <v>1587</v>
      </c>
      <c r="AA534" s="663" t="s">
        <v>1587</v>
      </c>
      <c r="AB534" s="663" t="s">
        <v>825</v>
      </c>
      <c r="AC534" s="663" t="s">
        <v>825</v>
      </c>
      <c r="AD534" s="663" t="s">
        <v>825</v>
      </c>
      <c r="AE534" s="663" t="s">
        <v>1586</v>
      </c>
      <c r="AF534" s="663" t="s">
        <v>1586</v>
      </c>
      <c r="AG534" s="663" t="s">
        <v>825</v>
      </c>
      <c r="AH534" s="663" t="s">
        <v>1586</v>
      </c>
      <c r="AI534" s="688">
        <v>73.548387096774192</v>
      </c>
      <c r="AJ534" s="689" t="s">
        <v>1588</v>
      </c>
      <c r="AK534" s="690"/>
    </row>
    <row r="535" spans="1:37" s="653" customFormat="1">
      <c r="A535" s="655">
        <v>2024</v>
      </c>
      <c r="B535" s="656" t="str">
        <f>INDEX('①基本情報 '!$C$2:$C$255,MATCH('②建物情報 '!E535,'①基本情報 '!$E$2:$E$255,0),1)</f>
        <v>194</v>
      </c>
      <c r="C535" s="657" t="str">
        <f>INDEX('①基本情報 '!$B$2:$B$255,MATCH('②建物情報 '!E535,'①基本情報 '!$E$2:$E$255,0),1)</f>
        <v>0814</v>
      </c>
      <c r="D535" s="261" t="s">
        <v>2418</v>
      </c>
      <c r="E535" s="262" t="s">
        <v>1256</v>
      </c>
      <c r="F535" s="263" t="str">
        <f>INDEX('①基本情報 '!$G$2:$G$255,MATCH('②建物情報 '!E535,'①基本情報 '!$E$2:$E$255,0),1)</f>
        <v>都市活力部都市整備室住宅政策課</v>
      </c>
      <c r="G535" s="264" t="s">
        <v>1589</v>
      </c>
      <c r="H535" s="282" t="s">
        <v>1699</v>
      </c>
      <c r="I535" s="265">
        <v>1972</v>
      </c>
      <c r="J535" s="265">
        <v>2</v>
      </c>
      <c r="K535" s="265">
        <f t="shared" si="8"/>
        <v>52</v>
      </c>
      <c r="L535" s="281"/>
      <c r="M535" s="267">
        <v>8.0500000000000007</v>
      </c>
      <c r="N535" s="267">
        <v>8.0500000000000007</v>
      </c>
      <c r="O535" s="268" t="s">
        <v>1812</v>
      </c>
      <c r="P535" s="265" t="s">
        <v>1581</v>
      </c>
      <c r="Q535" s="265"/>
      <c r="R535" s="292"/>
      <c r="S535" s="276"/>
      <c r="T535" s="265"/>
      <c r="U535" s="272"/>
      <c r="V535" s="292"/>
      <c r="W535" s="276"/>
      <c r="X535" s="275">
        <v>38</v>
      </c>
      <c r="Y535" s="276" t="s">
        <v>825</v>
      </c>
      <c r="Z535" s="265" t="s">
        <v>825</v>
      </c>
      <c r="AA535" s="265" t="s">
        <v>825</v>
      </c>
      <c r="AB535" s="265" t="s">
        <v>825</v>
      </c>
      <c r="AC535" s="265" t="s">
        <v>825</v>
      </c>
      <c r="AD535" s="265" t="s">
        <v>825</v>
      </c>
      <c r="AE535" s="265" t="s">
        <v>825</v>
      </c>
      <c r="AF535" s="265" t="s">
        <v>825</v>
      </c>
      <c r="AG535" s="265" t="s">
        <v>825</v>
      </c>
      <c r="AH535" s="265" t="s">
        <v>825</v>
      </c>
      <c r="AI535" s="277" t="s">
        <v>825</v>
      </c>
      <c r="AJ535" s="278" t="s">
        <v>1604</v>
      </c>
      <c r="AK535" s="696" t="s">
        <v>2332</v>
      </c>
    </row>
    <row r="536" spans="1:37" s="653" customFormat="1">
      <c r="A536" s="655">
        <v>2024</v>
      </c>
      <c r="B536" s="656" t="str">
        <f>INDEX('①基本情報 '!$C$2:$C$255,MATCH('②建物情報 '!E536,'①基本情報 '!$E$2:$E$255,0),1)</f>
        <v>194</v>
      </c>
      <c r="C536" s="657" t="str">
        <f>INDEX('①基本情報 '!$B$2:$B$255,MATCH('②建物情報 '!E536,'①基本情報 '!$E$2:$E$255,0),1)</f>
        <v>0814</v>
      </c>
      <c r="D536" s="261" t="s">
        <v>2418</v>
      </c>
      <c r="E536" s="262" t="s">
        <v>1256</v>
      </c>
      <c r="F536" s="263" t="str">
        <f>INDEX('①基本情報 '!$G$2:$G$255,MATCH('②建物情報 '!E536,'①基本情報 '!$E$2:$E$255,0),1)</f>
        <v>都市活力部都市整備室住宅政策課</v>
      </c>
      <c r="G536" s="264" t="s">
        <v>1591</v>
      </c>
      <c r="H536" s="282" t="s">
        <v>1722</v>
      </c>
      <c r="I536" s="265">
        <v>1972</v>
      </c>
      <c r="J536" s="265">
        <v>2</v>
      </c>
      <c r="K536" s="265">
        <f t="shared" si="8"/>
        <v>52</v>
      </c>
      <c r="L536" s="281"/>
      <c r="M536" s="267">
        <v>8</v>
      </c>
      <c r="N536" s="267">
        <v>8</v>
      </c>
      <c r="O536" s="268" t="s">
        <v>1812</v>
      </c>
      <c r="P536" s="265" t="s">
        <v>1581</v>
      </c>
      <c r="Q536" s="265"/>
      <c r="R536" s="292"/>
      <c r="S536" s="276"/>
      <c r="T536" s="265"/>
      <c r="U536" s="272"/>
      <c r="V536" s="292"/>
      <c r="W536" s="276"/>
      <c r="X536" s="275">
        <v>38</v>
      </c>
      <c r="Y536" s="276" t="s">
        <v>825</v>
      </c>
      <c r="Z536" s="265" t="s">
        <v>825</v>
      </c>
      <c r="AA536" s="265" t="s">
        <v>825</v>
      </c>
      <c r="AB536" s="265" t="s">
        <v>825</v>
      </c>
      <c r="AC536" s="265" t="s">
        <v>825</v>
      </c>
      <c r="AD536" s="265" t="s">
        <v>825</v>
      </c>
      <c r="AE536" s="265" t="s">
        <v>825</v>
      </c>
      <c r="AF536" s="265" t="s">
        <v>825</v>
      </c>
      <c r="AG536" s="265" t="s">
        <v>825</v>
      </c>
      <c r="AH536" s="265" t="s">
        <v>825</v>
      </c>
      <c r="AI536" s="277" t="s">
        <v>825</v>
      </c>
      <c r="AJ536" s="278" t="s">
        <v>1604</v>
      </c>
      <c r="AK536" s="696" t="s">
        <v>2332</v>
      </c>
    </row>
    <row r="537" spans="1:37" s="653" customFormat="1">
      <c r="A537" s="655">
        <v>2024</v>
      </c>
      <c r="B537" s="656" t="str">
        <f>INDEX('①基本情報 '!$C$2:$C$255,MATCH('②建物情報 '!E537,'①基本情報 '!$E$2:$E$255,0),1)</f>
        <v>194</v>
      </c>
      <c r="C537" s="657" t="str">
        <f>INDEX('①基本情報 '!$B$2:$B$255,MATCH('②建物情報 '!E537,'①基本情報 '!$E$2:$E$255,0),1)</f>
        <v>0814</v>
      </c>
      <c r="D537" s="261" t="s">
        <v>2418</v>
      </c>
      <c r="E537" s="262" t="s">
        <v>1256</v>
      </c>
      <c r="F537" s="263" t="str">
        <f>INDEX('①基本情報 '!$G$2:$G$255,MATCH('②建物情報 '!E537,'①基本情報 '!$E$2:$E$255,0),1)</f>
        <v>都市活力部都市整備室住宅政策課</v>
      </c>
      <c r="G537" s="264" t="s">
        <v>1601</v>
      </c>
      <c r="H537" s="282" t="s">
        <v>1701</v>
      </c>
      <c r="I537" s="265">
        <v>1973</v>
      </c>
      <c r="J537" s="265">
        <v>8</v>
      </c>
      <c r="K537" s="265">
        <f t="shared" si="8"/>
        <v>51</v>
      </c>
      <c r="L537" s="281"/>
      <c r="M537" s="267">
        <v>46.66</v>
      </c>
      <c r="N537" s="267">
        <v>46.66</v>
      </c>
      <c r="O537" s="268" t="s">
        <v>1812</v>
      </c>
      <c r="P537" s="265" t="s">
        <v>1603</v>
      </c>
      <c r="Q537" s="265"/>
      <c r="R537" s="292"/>
      <c r="S537" s="276"/>
      <c r="T537" s="265"/>
      <c r="U537" s="272"/>
      <c r="V537" s="292"/>
      <c r="W537" s="276"/>
      <c r="X537" s="275">
        <v>24</v>
      </c>
      <c r="Y537" s="276" t="s">
        <v>825</v>
      </c>
      <c r="Z537" s="265" t="s">
        <v>825</v>
      </c>
      <c r="AA537" s="265" t="s">
        <v>825</v>
      </c>
      <c r="AB537" s="265" t="s">
        <v>825</v>
      </c>
      <c r="AC537" s="265" t="s">
        <v>825</v>
      </c>
      <c r="AD537" s="265" t="s">
        <v>825</v>
      </c>
      <c r="AE537" s="265" t="s">
        <v>825</v>
      </c>
      <c r="AF537" s="265" t="s">
        <v>825</v>
      </c>
      <c r="AG537" s="265" t="s">
        <v>825</v>
      </c>
      <c r="AH537" s="265" t="s">
        <v>825</v>
      </c>
      <c r="AI537" s="277" t="s">
        <v>825</v>
      </c>
      <c r="AJ537" s="278" t="s">
        <v>1604</v>
      </c>
      <c r="AK537" s="696" t="s">
        <v>2332</v>
      </c>
    </row>
    <row r="538" spans="1:37" s="653" customFormat="1">
      <c r="A538" s="655">
        <v>2024</v>
      </c>
      <c r="B538" s="656" t="str">
        <f>INDEX('①基本情報 '!$C$2:$C$255,MATCH('②建物情報 '!E538,'①基本情報 '!$E$2:$E$255,0),1)</f>
        <v>194</v>
      </c>
      <c r="C538" s="657" t="str">
        <f>INDEX('①基本情報 '!$B$2:$B$255,MATCH('②建物情報 '!E538,'①基本情報 '!$E$2:$E$255,0),1)</f>
        <v>0814</v>
      </c>
      <c r="D538" s="261" t="s">
        <v>2418</v>
      </c>
      <c r="E538" s="262" t="s">
        <v>1256</v>
      </c>
      <c r="F538" s="263" t="str">
        <f>INDEX('①基本情報 '!$G$2:$G$255,MATCH('②建物情報 '!E538,'①基本情報 '!$E$2:$E$255,0),1)</f>
        <v>都市活力部都市整備室住宅政策課</v>
      </c>
      <c r="G538" s="264" t="s">
        <v>1620</v>
      </c>
      <c r="H538" s="282" t="s">
        <v>1701</v>
      </c>
      <c r="I538" s="265">
        <v>1973</v>
      </c>
      <c r="J538" s="265">
        <v>8</v>
      </c>
      <c r="K538" s="265">
        <f t="shared" si="8"/>
        <v>51</v>
      </c>
      <c r="L538" s="281"/>
      <c r="M538" s="267">
        <v>19.989999999999998</v>
      </c>
      <c r="N538" s="267">
        <v>19.989999999999998</v>
      </c>
      <c r="O538" s="268" t="s">
        <v>1812</v>
      </c>
      <c r="P538" s="265" t="s">
        <v>1603</v>
      </c>
      <c r="Q538" s="265"/>
      <c r="R538" s="292"/>
      <c r="S538" s="276"/>
      <c r="T538" s="265"/>
      <c r="U538" s="272"/>
      <c r="V538" s="292"/>
      <c r="W538" s="276"/>
      <c r="X538" s="275">
        <v>24</v>
      </c>
      <c r="Y538" s="276" t="s">
        <v>825</v>
      </c>
      <c r="Z538" s="265" t="s">
        <v>825</v>
      </c>
      <c r="AA538" s="265" t="s">
        <v>825</v>
      </c>
      <c r="AB538" s="265" t="s">
        <v>825</v>
      </c>
      <c r="AC538" s="265" t="s">
        <v>825</v>
      </c>
      <c r="AD538" s="265" t="s">
        <v>825</v>
      </c>
      <c r="AE538" s="265" t="s">
        <v>825</v>
      </c>
      <c r="AF538" s="265" t="s">
        <v>825</v>
      </c>
      <c r="AG538" s="265" t="s">
        <v>825</v>
      </c>
      <c r="AH538" s="265" t="s">
        <v>825</v>
      </c>
      <c r="AI538" s="277" t="s">
        <v>825</v>
      </c>
      <c r="AJ538" s="278" t="s">
        <v>1604</v>
      </c>
      <c r="AK538" s="696" t="s">
        <v>2332</v>
      </c>
    </row>
    <row r="539" spans="1:37" s="653" customFormat="1">
      <c r="A539" s="655">
        <v>2024</v>
      </c>
      <c r="B539" s="656" t="str">
        <f>INDEX('①基本情報 '!$C$2:$C$255,MATCH('②建物情報 '!E539,'①基本情報 '!$E$2:$E$255,0),1)</f>
        <v>194</v>
      </c>
      <c r="C539" s="657" t="str">
        <f>INDEX('①基本情報 '!$B$2:$B$255,MATCH('②建物情報 '!E539,'①基本情報 '!$E$2:$E$255,0),1)</f>
        <v>0814</v>
      </c>
      <c r="D539" s="261" t="s">
        <v>2418</v>
      </c>
      <c r="E539" s="262" t="s">
        <v>1256</v>
      </c>
      <c r="F539" s="263" t="str">
        <f>INDEX('①基本情報 '!$G$2:$G$255,MATCH('②建物情報 '!E539,'①基本情報 '!$E$2:$E$255,0),1)</f>
        <v>都市活力部都市整備室住宅政策課</v>
      </c>
      <c r="G539" s="264" t="s">
        <v>1643</v>
      </c>
      <c r="H539" s="282" t="s">
        <v>1622</v>
      </c>
      <c r="I539" s="265">
        <v>1979</v>
      </c>
      <c r="J539" s="265">
        <v>8</v>
      </c>
      <c r="K539" s="265">
        <f t="shared" si="8"/>
        <v>45</v>
      </c>
      <c r="L539" s="281"/>
      <c r="M539" s="267">
        <v>24.3</v>
      </c>
      <c r="N539" s="267">
        <v>24.3</v>
      </c>
      <c r="O539" s="268" t="s">
        <v>1812</v>
      </c>
      <c r="P539" s="265" t="s">
        <v>1603</v>
      </c>
      <c r="Q539" s="265"/>
      <c r="R539" s="292"/>
      <c r="S539" s="276"/>
      <c r="T539" s="265"/>
      <c r="U539" s="272"/>
      <c r="V539" s="292"/>
      <c r="W539" s="276"/>
      <c r="X539" s="275">
        <v>27</v>
      </c>
      <c r="Y539" s="276" t="s">
        <v>825</v>
      </c>
      <c r="Z539" s="265" t="s">
        <v>825</v>
      </c>
      <c r="AA539" s="265" t="s">
        <v>825</v>
      </c>
      <c r="AB539" s="265" t="s">
        <v>825</v>
      </c>
      <c r="AC539" s="265" t="s">
        <v>825</v>
      </c>
      <c r="AD539" s="265" t="s">
        <v>825</v>
      </c>
      <c r="AE539" s="265" t="s">
        <v>825</v>
      </c>
      <c r="AF539" s="265" t="s">
        <v>825</v>
      </c>
      <c r="AG539" s="265" t="s">
        <v>825</v>
      </c>
      <c r="AH539" s="265" t="s">
        <v>825</v>
      </c>
      <c r="AI539" s="277" t="s">
        <v>825</v>
      </c>
      <c r="AJ539" s="278" t="s">
        <v>1604</v>
      </c>
      <c r="AK539" s="696" t="s">
        <v>2332</v>
      </c>
    </row>
    <row r="540" spans="1:37" s="653" customFormat="1">
      <c r="A540" s="655">
        <v>2024</v>
      </c>
      <c r="B540" s="656" t="str">
        <f>INDEX('①基本情報 '!$C$2:$C$255,MATCH('②建物情報 '!E540,'①基本情報 '!$E$2:$E$255,0),1)</f>
        <v>195</v>
      </c>
      <c r="C540" s="657" t="str">
        <f>INDEX('①基本情報 '!$B$2:$B$255,MATCH('②建物情報 '!E540,'①基本情報 '!$E$2:$E$255,0),1)</f>
        <v>0815</v>
      </c>
      <c r="D540" s="658" t="s">
        <v>2418</v>
      </c>
      <c r="E540" s="612" t="s">
        <v>1260</v>
      </c>
      <c r="F540" s="611" t="str">
        <f>INDEX('①基本情報 '!$G$2:$G$255,MATCH('②建物情報 '!E540,'①基本情報 '!$E$2:$E$255,0),1)</f>
        <v>都市活力部都市整備室住宅政策課</v>
      </c>
      <c r="G540" s="678" t="s">
        <v>1580</v>
      </c>
      <c r="H540" s="612" t="s">
        <v>1260</v>
      </c>
      <c r="I540" s="663">
        <v>1973</v>
      </c>
      <c r="J540" s="663"/>
      <c r="K540" s="663">
        <f t="shared" si="8"/>
        <v>51</v>
      </c>
      <c r="L540" s="694">
        <v>334</v>
      </c>
      <c r="M540" s="680">
        <v>1336.1</v>
      </c>
      <c r="N540" s="680">
        <v>1336.1</v>
      </c>
      <c r="O540" s="681" t="s">
        <v>1812</v>
      </c>
      <c r="P540" s="663" t="s">
        <v>1581</v>
      </c>
      <c r="Q540" s="663">
        <v>5</v>
      </c>
      <c r="R540" s="690">
        <v>0</v>
      </c>
      <c r="S540" s="687" t="s">
        <v>1582</v>
      </c>
      <c r="T540" s="663"/>
      <c r="U540" s="683" t="s">
        <v>1846</v>
      </c>
      <c r="V540" s="690"/>
      <c r="W540" s="687"/>
      <c r="X540" s="686">
        <v>47</v>
      </c>
      <c r="Y540" s="687" t="s">
        <v>1585</v>
      </c>
      <c r="Z540" s="663" t="s">
        <v>1587</v>
      </c>
      <c r="AA540" s="663" t="s">
        <v>1596</v>
      </c>
      <c r="AB540" s="663" t="s">
        <v>825</v>
      </c>
      <c r="AC540" s="663" t="s">
        <v>825</v>
      </c>
      <c r="AD540" s="663" t="s">
        <v>825</v>
      </c>
      <c r="AE540" s="663" t="s">
        <v>1586</v>
      </c>
      <c r="AF540" s="663" t="s">
        <v>1586</v>
      </c>
      <c r="AG540" s="663" t="s">
        <v>825</v>
      </c>
      <c r="AH540" s="663" t="s">
        <v>1586</v>
      </c>
      <c r="AI540" s="688">
        <v>74.838709677419359</v>
      </c>
      <c r="AJ540" s="689" t="s">
        <v>1588</v>
      </c>
      <c r="AK540" s="690"/>
    </row>
    <row r="541" spans="1:37" s="653" customFormat="1">
      <c r="A541" s="655">
        <v>2024</v>
      </c>
      <c r="B541" s="656" t="str">
        <f>INDEX('①基本情報 '!$C$2:$C$255,MATCH('②建物情報 '!E541,'①基本情報 '!$E$2:$E$255,0),1)</f>
        <v>195</v>
      </c>
      <c r="C541" s="657" t="str">
        <f>INDEX('①基本情報 '!$B$2:$B$255,MATCH('②建物情報 '!E541,'①基本情報 '!$E$2:$E$255,0),1)</f>
        <v>0815</v>
      </c>
      <c r="D541" s="261" t="s">
        <v>2418</v>
      </c>
      <c r="E541" s="262" t="s">
        <v>1260</v>
      </c>
      <c r="F541" s="263" t="str">
        <f>INDEX('①基本情報 '!$G$2:$G$255,MATCH('②建物情報 '!E541,'①基本情報 '!$E$2:$E$255,0),1)</f>
        <v>都市活力部都市整備室住宅政策課</v>
      </c>
      <c r="G541" s="264" t="s">
        <v>1589</v>
      </c>
      <c r="H541" s="282" t="s">
        <v>1609</v>
      </c>
      <c r="I541" s="265">
        <v>1974</v>
      </c>
      <c r="J541" s="265">
        <v>12</v>
      </c>
      <c r="K541" s="265">
        <f t="shared" si="8"/>
        <v>50</v>
      </c>
      <c r="L541" s="281"/>
      <c r="M541" s="267">
        <v>18</v>
      </c>
      <c r="N541" s="267">
        <v>18</v>
      </c>
      <c r="O541" s="268" t="s">
        <v>1812</v>
      </c>
      <c r="P541" s="265" t="s">
        <v>1581</v>
      </c>
      <c r="Q541" s="265"/>
      <c r="R541" s="292"/>
      <c r="S541" s="276"/>
      <c r="T541" s="265"/>
      <c r="U541" s="272"/>
      <c r="V541" s="292"/>
      <c r="W541" s="276"/>
      <c r="X541" s="275">
        <v>38</v>
      </c>
      <c r="Y541" s="276" t="s">
        <v>825</v>
      </c>
      <c r="Z541" s="265" t="s">
        <v>825</v>
      </c>
      <c r="AA541" s="265" t="s">
        <v>825</v>
      </c>
      <c r="AB541" s="265" t="s">
        <v>825</v>
      </c>
      <c r="AC541" s="265" t="s">
        <v>825</v>
      </c>
      <c r="AD541" s="265" t="s">
        <v>825</v>
      </c>
      <c r="AE541" s="265" t="s">
        <v>825</v>
      </c>
      <c r="AF541" s="265" t="s">
        <v>825</v>
      </c>
      <c r="AG541" s="265" t="s">
        <v>825</v>
      </c>
      <c r="AH541" s="265" t="s">
        <v>825</v>
      </c>
      <c r="AI541" s="277" t="s">
        <v>825</v>
      </c>
      <c r="AJ541" s="278" t="s">
        <v>1604</v>
      </c>
      <c r="AK541" s="696" t="s">
        <v>2332</v>
      </c>
    </row>
    <row r="542" spans="1:37" s="653" customFormat="1">
      <c r="A542" s="655">
        <v>2024</v>
      </c>
      <c r="B542" s="656" t="str">
        <f>INDEX('①基本情報 '!$C$2:$C$255,MATCH('②建物情報 '!E542,'①基本情報 '!$E$2:$E$255,0),1)</f>
        <v>195</v>
      </c>
      <c r="C542" s="657" t="str">
        <f>INDEX('①基本情報 '!$B$2:$B$255,MATCH('②建物情報 '!E542,'①基本情報 '!$E$2:$E$255,0),1)</f>
        <v>0815</v>
      </c>
      <c r="D542" s="261" t="s">
        <v>2418</v>
      </c>
      <c r="E542" s="262" t="s">
        <v>1260</v>
      </c>
      <c r="F542" s="263" t="str">
        <f>INDEX('①基本情報 '!$G$2:$G$255,MATCH('②建物情報 '!E542,'①基本情報 '!$E$2:$E$255,0),1)</f>
        <v>都市活力部都市整備室住宅政策課</v>
      </c>
      <c r="G542" s="264" t="s">
        <v>1591</v>
      </c>
      <c r="H542" s="282" t="s">
        <v>1723</v>
      </c>
      <c r="I542" s="265">
        <v>1974</v>
      </c>
      <c r="J542" s="265">
        <v>12</v>
      </c>
      <c r="K542" s="265">
        <f t="shared" si="8"/>
        <v>50</v>
      </c>
      <c r="L542" s="281"/>
      <c r="M542" s="267">
        <v>8.44</v>
      </c>
      <c r="N542" s="267">
        <v>8.44</v>
      </c>
      <c r="O542" s="268" t="s">
        <v>1812</v>
      </c>
      <c r="P542" s="265" t="s">
        <v>1617</v>
      </c>
      <c r="Q542" s="265"/>
      <c r="R542" s="292"/>
      <c r="S542" s="276"/>
      <c r="T542" s="265"/>
      <c r="U542" s="272"/>
      <c r="V542" s="292"/>
      <c r="W542" s="276"/>
      <c r="X542" s="275">
        <v>34</v>
      </c>
      <c r="Y542" s="276" t="s">
        <v>825</v>
      </c>
      <c r="Z542" s="265" t="s">
        <v>825</v>
      </c>
      <c r="AA542" s="265" t="s">
        <v>825</v>
      </c>
      <c r="AB542" s="265" t="s">
        <v>825</v>
      </c>
      <c r="AC542" s="265" t="s">
        <v>825</v>
      </c>
      <c r="AD542" s="265" t="s">
        <v>825</v>
      </c>
      <c r="AE542" s="265" t="s">
        <v>825</v>
      </c>
      <c r="AF542" s="265" t="s">
        <v>825</v>
      </c>
      <c r="AG542" s="265" t="s">
        <v>825</v>
      </c>
      <c r="AH542" s="265" t="s">
        <v>825</v>
      </c>
      <c r="AI542" s="277" t="s">
        <v>825</v>
      </c>
      <c r="AJ542" s="278" t="s">
        <v>1604</v>
      </c>
      <c r="AK542" s="696" t="s">
        <v>2332</v>
      </c>
    </row>
    <row r="543" spans="1:37" s="653" customFormat="1">
      <c r="A543" s="655">
        <v>2024</v>
      </c>
      <c r="B543" s="656" t="str">
        <f>INDEX('①基本情報 '!$C$2:$C$255,MATCH('②建物情報 '!E543,'①基本情報 '!$E$2:$E$255,0),1)</f>
        <v>195</v>
      </c>
      <c r="C543" s="657" t="str">
        <f>INDEX('①基本情報 '!$B$2:$B$255,MATCH('②建物情報 '!E543,'①基本情報 '!$E$2:$E$255,0),1)</f>
        <v>0815</v>
      </c>
      <c r="D543" s="261" t="s">
        <v>2418</v>
      </c>
      <c r="E543" s="262" t="s">
        <v>1260</v>
      </c>
      <c r="F543" s="263" t="str">
        <f>INDEX('①基本情報 '!$G$2:$G$255,MATCH('②建物情報 '!E543,'①基本情報 '!$E$2:$E$255,0),1)</f>
        <v>都市活力部都市整備室住宅政策課</v>
      </c>
      <c r="G543" s="264" t="s">
        <v>1601</v>
      </c>
      <c r="H543" s="282" t="s">
        <v>1615</v>
      </c>
      <c r="I543" s="265">
        <v>1983</v>
      </c>
      <c r="J543" s="265">
        <v>3</v>
      </c>
      <c r="K543" s="265">
        <f t="shared" si="8"/>
        <v>41</v>
      </c>
      <c r="L543" s="281"/>
      <c r="M543" s="267">
        <v>18.18</v>
      </c>
      <c r="N543" s="267">
        <v>18.18</v>
      </c>
      <c r="O543" s="268" t="s">
        <v>1812</v>
      </c>
      <c r="P543" s="265" t="s">
        <v>1603</v>
      </c>
      <c r="Q543" s="265"/>
      <c r="R543" s="292"/>
      <c r="S543" s="276"/>
      <c r="T543" s="265"/>
      <c r="U543" s="272"/>
      <c r="V543" s="292"/>
      <c r="W543" s="276"/>
      <c r="X543" s="275">
        <v>24</v>
      </c>
      <c r="Y543" s="276" t="s">
        <v>825</v>
      </c>
      <c r="Z543" s="265" t="s">
        <v>825</v>
      </c>
      <c r="AA543" s="265" t="s">
        <v>825</v>
      </c>
      <c r="AB543" s="265" t="s">
        <v>825</v>
      </c>
      <c r="AC543" s="265" t="s">
        <v>825</v>
      </c>
      <c r="AD543" s="265" t="s">
        <v>825</v>
      </c>
      <c r="AE543" s="265" t="s">
        <v>825</v>
      </c>
      <c r="AF543" s="265" t="s">
        <v>825</v>
      </c>
      <c r="AG543" s="265" t="s">
        <v>825</v>
      </c>
      <c r="AH543" s="265" t="s">
        <v>825</v>
      </c>
      <c r="AI543" s="277" t="s">
        <v>825</v>
      </c>
      <c r="AJ543" s="278" t="s">
        <v>1606</v>
      </c>
      <c r="AK543" s="693" t="s">
        <v>2330</v>
      </c>
    </row>
    <row r="544" spans="1:37" s="653" customFormat="1">
      <c r="A544" s="655">
        <v>2024</v>
      </c>
      <c r="B544" s="656" t="str">
        <f>INDEX('①基本情報 '!$C$2:$C$255,MATCH('②建物情報 '!E544,'①基本情報 '!$E$2:$E$255,0),1)</f>
        <v>195</v>
      </c>
      <c r="C544" s="657" t="str">
        <f>INDEX('①基本情報 '!$B$2:$B$255,MATCH('②建物情報 '!E544,'①基本情報 '!$E$2:$E$255,0),1)</f>
        <v>0815</v>
      </c>
      <c r="D544" s="261" t="s">
        <v>2418</v>
      </c>
      <c r="E544" s="262" t="s">
        <v>1260</v>
      </c>
      <c r="F544" s="263" t="str">
        <f>INDEX('①基本情報 '!$G$2:$G$255,MATCH('②建物情報 '!E544,'①基本情報 '!$E$2:$E$255,0),1)</f>
        <v>都市活力部都市整備室住宅政策課</v>
      </c>
      <c r="G544" s="264" t="s">
        <v>1620</v>
      </c>
      <c r="H544" s="282" t="s">
        <v>1622</v>
      </c>
      <c r="I544" s="265">
        <v>1997</v>
      </c>
      <c r="J544" s="265">
        <v>2</v>
      </c>
      <c r="K544" s="265">
        <f t="shared" si="8"/>
        <v>27</v>
      </c>
      <c r="L544" s="281"/>
      <c r="M544" s="267">
        <v>29.14</v>
      </c>
      <c r="N544" s="267">
        <v>29.14</v>
      </c>
      <c r="O544" s="268" t="s">
        <v>1812</v>
      </c>
      <c r="P544" s="265" t="s">
        <v>1603</v>
      </c>
      <c r="Q544" s="265"/>
      <c r="R544" s="292"/>
      <c r="S544" s="276"/>
      <c r="T544" s="265"/>
      <c r="U544" s="272"/>
      <c r="V544" s="292"/>
      <c r="W544" s="276"/>
      <c r="X544" s="275">
        <v>27</v>
      </c>
      <c r="Y544" s="276" t="s">
        <v>825</v>
      </c>
      <c r="Z544" s="265" t="s">
        <v>825</v>
      </c>
      <c r="AA544" s="265" t="s">
        <v>825</v>
      </c>
      <c r="AB544" s="265" t="s">
        <v>825</v>
      </c>
      <c r="AC544" s="265" t="s">
        <v>825</v>
      </c>
      <c r="AD544" s="265" t="s">
        <v>825</v>
      </c>
      <c r="AE544" s="265" t="s">
        <v>825</v>
      </c>
      <c r="AF544" s="265" t="s">
        <v>825</v>
      </c>
      <c r="AG544" s="265" t="s">
        <v>825</v>
      </c>
      <c r="AH544" s="265" t="s">
        <v>825</v>
      </c>
      <c r="AI544" s="277" t="s">
        <v>825</v>
      </c>
      <c r="AJ544" s="278" t="s">
        <v>1604</v>
      </c>
      <c r="AK544" s="696" t="s">
        <v>2332</v>
      </c>
    </row>
    <row r="545" spans="1:37" s="653" customFormat="1">
      <c r="A545" s="655">
        <v>2024</v>
      </c>
      <c r="B545" s="656" t="str">
        <f>INDEX('①基本情報 '!$C$2:$C$255,MATCH('②建物情報 '!E545,'①基本情報 '!$E$2:$E$255,0),1)</f>
        <v>195</v>
      </c>
      <c r="C545" s="657" t="str">
        <f>INDEX('①基本情報 '!$B$2:$B$255,MATCH('②建物情報 '!E545,'①基本情報 '!$E$2:$E$255,0),1)</f>
        <v>0815</v>
      </c>
      <c r="D545" s="261" t="s">
        <v>2418</v>
      </c>
      <c r="E545" s="262" t="s">
        <v>1260</v>
      </c>
      <c r="F545" s="263" t="str">
        <f>INDEX('①基本情報 '!$G$2:$G$255,MATCH('②建物情報 '!E545,'①基本情報 '!$E$2:$E$255,0),1)</f>
        <v>都市活力部都市整備室住宅政策課</v>
      </c>
      <c r="G545" s="264" t="s">
        <v>1643</v>
      </c>
      <c r="H545" s="282" t="s">
        <v>1615</v>
      </c>
      <c r="I545" s="265">
        <v>2004</v>
      </c>
      <c r="J545" s="265">
        <v>12</v>
      </c>
      <c r="K545" s="265">
        <f t="shared" si="8"/>
        <v>20</v>
      </c>
      <c r="L545" s="281"/>
      <c r="M545" s="267">
        <v>25.01</v>
      </c>
      <c r="N545" s="267">
        <v>25.01</v>
      </c>
      <c r="O545" s="268" t="s">
        <v>1812</v>
      </c>
      <c r="P545" s="265" t="s">
        <v>1603</v>
      </c>
      <c r="Q545" s="265"/>
      <c r="R545" s="292"/>
      <c r="S545" s="276"/>
      <c r="T545" s="265"/>
      <c r="U545" s="272"/>
      <c r="V545" s="292"/>
      <c r="W545" s="276"/>
      <c r="X545" s="275">
        <v>24</v>
      </c>
      <c r="Y545" s="276" t="s">
        <v>825</v>
      </c>
      <c r="Z545" s="265" t="s">
        <v>825</v>
      </c>
      <c r="AA545" s="265" t="s">
        <v>825</v>
      </c>
      <c r="AB545" s="265" t="s">
        <v>825</v>
      </c>
      <c r="AC545" s="265" t="s">
        <v>825</v>
      </c>
      <c r="AD545" s="265" t="s">
        <v>825</v>
      </c>
      <c r="AE545" s="265" t="s">
        <v>825</v>
      </c>
      <c r="AF545" s="265" t="s">
        <v>825</v>
      </c>
      <c r="AG545" s="265" t="s">
        <v>825</v>
      </c>
      <c r="AH545" s="265" t="s">
        <v>825</v>
      </c>
      <c r="AI545" s="277" t="s">
        <v>825</v>
      </c>
      <c r="AJ545" s="278" t="s">
        <v>1606</v>
      </c>
      <c r="AK545" s="693" t="s">
        <v>2330</v>
      </c>
    </row>
    <row r="546" spans="1:37" s="653" customFormat="1">
      <c r="A546" s="655">
        <v>2024</v>
      </c>
      <c r="B546" s="656" t="str">
        <f>INDEX('①基本情報 '!$C$2:$C$255,MATCH('②建物情報 '!E546,'①基本情報 '!$E$2:$E$255,0),1)</f>
        <v>196</v>
      </c>
      <c r="C546" s="657" t="str">
        <f>INDEX('①基本情報 '!$B$2:$B$255,MATCH('②建物情報 '!E546,'①基本情報 '!$E$2:$E$255,0),1)</f>
        <v>0816</v>
      </c>
      <c r="D546" s="658" t="s">
        <v>2418</v>
      </c>
      <c r="E546" s="612" t="s">
        <v>1265</v>
      </c>
      <c r="F546" s="611" t="str">
        <f>INDEX('①基本情報 '!$G$2:$G$255,MATCH('②建物情報 '!E546,'①基本情報 '!$E$2:$E$255,0),1)</f>
        <v>都市活力部都市整備室住宅政策課</v>
      </c>
      <c r="G546" s="678" t="s">
        <v>1580</v>
      </c>
      <c r="H546" s="612" t="s">
        <v>1690</v>
      </c>
      <c r="I546" s="663">
        <v>1975</v>
      </c>
      <c r="J546" s="663"/>
      <c r="K546" s="663">
        <f t="shared" si="8"/>
        <v>49</v>
      </c>
      <c r="L546" s="694">
        <v>317.58</v>
      </c>
      <c r="M546" s="704">
        <v>1468</v>
      </c>
      <c r="N546" s="704">
        <v>1468</v>
      </c>
      <c r="O546" s="681" t="s">
        <v>1812</v>
      </c>
      <c r="P546" s="663" t="s">
        <v>1581</v>
      </c>
      <c r="Q546" s="663">
        <v>5</v>
      </c>
      <c r="R546" s="690">
        <v>0</v>
      </c>
      <c r="S546" s="687" t="s">
        <v>1582</v>
      </c>
      <c r="T546" s="663"/>
      <c r="U546" s="683" t="s">
        <v>2670</v>
      </c>
      <c r="V546" s="690" t="s">
        <v>2669</v>
      </c>
      <c r="W546" s="687">
        <v>2023</v>
      </c>
      <c r="X546" s="686">
        <v>27</v>
      </c>
      <c r="Y546" s="687" t="s">
        <v>1585</v>
      </c>
      <c r="Z546" s="663" t="s">
        <v>1587</v>
      </c>
      <c r="AA546" s="663" t="s">
        <v>1587</v>
      </c>
      <c r="AB546" s="663" t="s">
        <v>825</v>
      </c>
      <c r="AC546" s="663" t="s">
        <v>825</v>
      </c>
      <c r="AD546" s="663" t="s">
        <v>825</v>
      </c>
      <c r="AE546" s="663" t="s">
        <v>1586</v>
      </c>
      <c r="AF546" s="663" t="s">
        <v>1586</v>
      </c>
      <c r="AG546" s="663" t="s">
        <v>825</v>
      </c>
      <c r="AH546" s="663" t="s">
        <v>1585</v>
      </c>
      <c r="AI546" s="688">
        <v>68.387096774193552</v>
      </c>
      <c r="AJ546" s="689" t="s">
        <v>1588</v>
      </c>
      <c r="AK546" s="690"/>
    </row>
    <row r="547" spans="1:37" s="653" customFormat="1">
      <c r="A547" s="655">
        <v>2024</v>
      </c>
      <c r="B547" s="656" t="str">
        <f>INDEX('①基本情報 '!$C$2:$C$255,MATCH('②建物情報 '!E547,'①基本情報 '!$E$2:$E$255,0),1)</f>
        <v>196</v>
      </c>
      <c r="C547" s="657" t="str">
        <f>INDEX('①基本情報 '!$B$2:$B$255,MATCH('②建物情報 '!E547,'①基本情報 '!$E$2:$E$255,0),1)</f>
        <v>0816</v>
      </c>
      <c r="D547" s="658" t="s">
        <v>2418</v>
      </c>
      <c r="E547" s="612" t="s">
        <v>1265</v>
      </c>
      <c r="F547" s="611" t="str">
        <f>INDEX('①基本情報 '!$G$2:$G$255,MATCH('②建物情報 '!E547,'①基本情報 '!$E$2:$E$255,0),1)</f>
        <v>都市活力部都市整備室住宅政策課</v>
      </c>
      <c r="G547" s="678" t="s">
        <v>1589</v>
      </c>
      <c r="H547" s="612" t="s">
        <v>1691</v>
      </c>
      <c r="I547" s="663">
        <v>1975</v>
      </c>
      <c r="J547" s="663"/>
      <c r="K547" s="663">
        <f t="shared" si="8"/>
        <v>49</v>
      </c>
      <c r="L547" s="694">
        <v>637.54</v>
      </c>
      <c r="M547" s="704">
        <v>2935.7</v>
      </c>
      <c r="N547" s="704">
        <v>2935.7</v>
      </c>
      <c r="O547" s="681" t="s">
        <v>1812</v>
      </c>
      <c r="P547" s="663" t="s">
        <v>1581</v>
      </c>
      <c r="Q547" s="663">
        <v>5</v>
      </c>
      <c r="R547" s="690">
        <v>0</v>
      </c>
      <c r="S547" s="687" t="s">
        <v>1582</v>
      </c>
      <c r="T547" s="663"/>
      <c r="U547" s="683" t="s">
        <v>2671</v>
      </c>
      <c r="V547" s="690" t="s">
        <v>2669</v>
      </c>
      <c r="W547" s="687">
        <v>2023</v>
      </c>
      <c r="X547" s="686">
        <v>27</v>
      </c>
      <c r="Y547" s="687" t="s">
        <v>1585</v>
      </c>
      <c r="Z547" s="663" t="s">
        <v>1587</v>
      </c>
      <c r="AA547" s="663" t="s">
        <v>1587</v>
      </c>
      <c r="AB547" s="663" t="s">
        <v>825</v>
      </c>
      <c r="AC547" s="663" t="s">
        <v>825</v>
      </c>
      <c r="AD547" s="663" t="s">
        <v>825</v>
      </c>
      <c r="AE547" s="663" t="s">
        <v>1586</v>
      </c>
      <c r="AF547" s="663" t="s">
        <v>1586</v>
      </c>
      <c r="AG547" s="663" t="s">
        <v>825</v>
      </c>
      <c r="AH547" s="663" t="s">
        <v>1585</v>
      </c>
      <c r="AI547" s="688">
        <v>68.387096774193552</v>
      </c>
      <c r="AJ547" s="689" t="s">
        <v>1588</v>
      </c>
      <c r="AK547" s="690"/>
    </row>
    <row r="548" spans="1:37" s="653" customFormat="1">
      <c r="A548" s="655">
        <v>2024</v>
      </c>
      <c r="B548" s="656" t="str">
        <f>INDEX('①基本情報 '!$C$2:$C$255,MATCH('②建物情報 '!E548,'①基本情報 '!$E$2:$E$255,0),1)</f>
        <v>196</v>
      </c>
      <c r="C548" s="657" t="str">
        <f>INDEX('①基本情報 '!$B$2:$B$255,MATCH('②建物情報 '!E548,'①基本情報 '!$E$2:$E$255,0),1)</f>
        <v>0816</v>
      </c>
      <c r="D548" s="658" t="s">
        <v>2418</v>
      </c>
      <c r="E548" s="612" t="s">
        <v>1265</v>
      </c>
      <c r="F548" s="611" t="str">
        <f>INDEX('①基本情報 '!$G$2:$G$255,MATCH('②建物情報 '!E548,'①基本情報 '!$E$2:$E$255,0),1)</f>
        <v>都市活力部都市整備室住宅政策課</v>
      </c>
      <c r="G548" s="678" t="s">
        <v>1591</v>
      </c>
      <c r="H548" s="612" t="s">
        <v>1692</v>
      </c>
      <c r="I548" s="663">
        <v>1982</v>
      </c>
      <c r="J548" s="663"/>
      <c r="K548" s="663">
        <f t="shared" si="8"/>
        <v>42</v>
      </c>
      <c r="L548" s="694">
        <v>306.69</v>
      </c>
      <c r="M548" s="680">
        <v>1481.8</v>
      </c>
      <c r="N548" s="680">
        <v>1481.8</v>
      </c>
      <c r="O548" s="681" t="s">
        <v>1812</v>
      </c>
      <c r="P548" s="663" t="s">
        <v>1581</v>
      </c>
      <c r="Q548" s="663">
        <v>5</v>
      </c>
      <c r="R548" s="690">
        <v>0</v>
      </c>
      <c r="S548" s="687" t="s">
        <v>1593</v>
      </c>
      <c r="T548" s="683" t="s">
        <v>825</v>
      </c>
      <c r="U548" s="683" t="s">
        <v>2671</v>
      </c>
      <c r="V548" s="690" t="s">
        <v>2669</v>
      </c>
      <c r="W548" s="687">
        <v>2023</v>
      </c>
      <c r="X548" s="686">
        <v>27</v>
      </c>
      <c r="Y548" s="687" t="s">
        <v>1585</v>
      </c>
      <c r="Z548" s="663" t="s">
        <v>1587</v>
      </c>
      <c r="AA548" s="663" t="s">
        <v>1587</v>
      </c>
      <c r="AB548" s="663" t="s">
        <v>825</v>
      </c>
      <c r="AC548" s="663" t="s">
        <v>825</v>
      </c>
      <c r="AD548" s="663" t="s">
        <v>825</v>
      </c>
      <c r="AE548" s="663" t="s">
        <v>1586</v>
      </c>
      <c r="AF548" s="663" t="s">
        <v>1586</v>
      </c>
      <c r="AG548" s="663" t="s">
        <v>825</v>
      </c>
      <c r="AH548" s="663" t="s">
        <v>1585</v>
      </c>
      <c r="AI548" s="688">
        <v>62.580645161290313</v>
      </c>
      <c r="AJ548" s="689" t="s">
        <v>1588</v>
      </c>
      <c r="AK548" s="690"/>
    </row>
    <row r="549" spans="1:37" s="653" customFormat="1">
      <c r="A549" s="655">
        <v>2024</v>
      </c>
      <c r="B549" s="656" t="str">
        <f>INDEX('①基本情報 '!$C$2:$C$255,MATCH('②建物情報 '!E549,'①基本情報 '!$E$2:$E$255,0),1)</f>
        <v>196</v>
      </c>
      <c r="C549" s="657" t="str">
        <f>INDEX('①基本情報 '!$B$2:$B$255,MATCH('②建物情報 '!E549,'①基本情報 '!$E$2:$E$255,0),1)</f>
        <v>0816</v>
      </c>
      <c r="D549" s="658" t="s">
        <v>2418</v>
      </c>
      <c r="E549" s="612" t="s">
        <v>1265</v>
      </c>
      <c r="F549" s="611" t="str">
        <f>INDEX('①基本情報 '!$G$2:$G$255,MATCH('②建物情報 '!E549,'①基本情報 '!$E$2:$E$255,0),1)</f>
        <v>都市活力部都市整備室住宅政策課</v>
      </c>
      <c r="G549" s="678" t="s">
        <v>1601</v>
      </c>
      <c r="H549" s="700" t="s">
        <v>1622</v>
      </c>
      <c r="I549" s="663">
        <v>1982</v>
      </c>
      <c r="J549" s="663">
        <v>3</v>
      </c>
      <c r="K549" s="663">
        <f t="shared" si="8"/>
        <v>42</v>
      </c>
      <c r="L549" s="694"/>
      <c r="M549" s="680">
        <v>104.5</v>
      </c>
      <c r="N549" s="680">
        <v>104.5</v>
      </c>
      <c r="O549" s="681" t="s">
        <v>1812</v>
      </c>
      <c r="P549" s="663" t="s">
        <v>1581</v>
      </c>
      <c r="Q549" s="663"/>
      <c r="R549" s="690"/>
      <c r="S549" s="687" t="s">
        <v>1967</v>
      </c>
      <c r="T549" s="683" t="s">
        <v>1966</v>
      </c>
      <c r="U549" s="683" t="s">
        <v>1846</v>
      </c>
      <c r="V549" s="690"/>
      <c r="W549" s="687"/>
      <c r="X549" s="686">
        <v>47</v>
      </c>
      <c r="Y549" s="687" t="s">
        <v>825</v>
      </c>
      <c r="Z549" s="663" t="s">
        <v>825</v>
      </c>
      <c r="AA549" s="663" t="s">
        <v>825</v>
      </c>
      <c r="AB549" s="663" t="s">
        <v>825</v>
      </c>
      <c r="AC549" s="663" t="s">
        <v>825</v>
      </c>
      <c r="AD549" s="663" t="s">
        <v>825</v>
      </c>
      <c r="AE549" s="663" t="s">
        <v>825</v>
      </c>
      <c r="AF549" s="663" t="s">
        <v>825</v>
      </c>
      <c r="AG549" s="663" t="s">
        <v>825</v>
      </c>
      <c r="AH549" s="663" t="s">
        <v>825</v>
      </c>
      <c r="AI549" s="688" t="s">
        <v>825</v>
      </c>
      <c r="AJ549" s="689" t="s">
        <v>1588</v>
      </c>
      <c r="AK549" s="690"/>
    </row>
    <row r="550" spans="1:37" s="653" customFormat="1">
      <c r="A550" s="655">
        <v>2024</v>
      </c>
      <c r="B550" s="656" t="str">
        <f>INDEX('①基本情報 '!$C$2:$C$255,MATCH('②建物情報 '!E550,'①基本情報 '!$E$2:$E$255,0),1)</f>
        <v>196</v>
      </c>
      <c r="C550" s="657" t="str">
        <f>INDEX('①基本情報 '!$B$2:$B$255,MATCH('②建物情報 '!E550,'①基本情報 '!$E$2:$E$255,0),1)</f>
        <v>0816</v>
      </c>
      <c r="D550" s="261" t="s">
        <v>2418</v>
      </c>
      <c r="E550" s="262" t="s">
        <v>1265</v>
      </c>
      <c r="F550" s="263" t="str">
        <f>INDEX('①基本情報 '!$G$2:$G$255,MATCH('②建物情報 '!E550,'①基本情報 '!$E$2:$E$255,0),1)</f>
        <v>都市活力部都市整備室住宅政策課</v>
      </c>
      <c r="G550" s="264" t="s">
        <v>1620</v>
      </c>
      <c r="H550" s="282" t="s">
        <v>1609</v>
      </c>
      <c r="I550" s="265">
        <v>1975</v>
      </c>
      <c r="J550" s="265">
        <v>9</v>
      </c>
      <c r="K550" s="265">
        <f t="shared" si="8"/>
        <v>49</v>
      </c>
      <c r="L550" s="281"/>
      <c r="M550" s="267">
        <v>26.25</v>
      </c>
      <c r="N550" s="267">
        <v>26.25</v>
      </c>
      <c r="O550" s="268" t="s">
        <v>1812</v>
      </c>
      <c r="P550" s="265" t="s">
        <v>1581</v>
      </c>
      <c r="Q550" s="265"/>
      <c r="R550" s="292"/>
      <c r="S550" s="276"/>
      <c r="T550" s="272"/>
      <c r="U550" s="272"/>
      <c r="V550" s="292"/>
      <c r="W550" s="276"/>
      <c r="X550" s="275">
        <v>38</v>
      </c>
      <c r="Y550" s="276" t="s">
        <v>825</v>
      </c>
      <c r="Z550" s="265" t="s">
        <v>825</v>
      </c>
      <c r="AA550" s="265" t="s">
        <v>825</v>
      </c>
      <c r="AB550" s="265" t="s">
        <v>825</v>
      </c>
      <c r="AC550" s="265" t="s">
        <v>825</v>
      </c>
      <c r="AD550" s="265" t="s">
        <v>825</v>
      </c>
      <c r="AE550" s="265" t="s">
        <v>825</v>
      </c>
      <c r="AF550" s="265" t="s">
        <v>825</v>
      </c>
      <c r="AG550" s="265" t="s">
        <v>825</v>
      </c>
      <c r="AH550" s="265" t="s">
        <v>825</v>
      </c>
      <c r="AI550" s="277" t="s">
        <v>825</v>
      </c>
      <c r="AJ550" s="278" t="s">
        <v>1604</v>
      </c>
      <c r="AK550" s="696" t="s">
        <v>2332</v>
      </c>
    </row>
    <row r="551" spans="1:37" s="653" customFormat="1">
      <c r="A551" s="655">
        <v>2024</v>
      </c>
      <c r="B551" s="656" t="str">
        <f>INDEX('①基本情報 '!$C$2:$C$255,MATCH('②建物情報 '!E551,'①基本情報 '!$E$2:$E$255,0),1)</f>
        <v>196</v>
      </c>
      <c r="C551" s="657" t="str">
        <f>INDEX('①基本情報 '!$B$2:$B$255,MATCH('②建物情報 '!E551,'①基本情報 '!$E$2:$E$255,0),1)</f>
        <v>0816</v>
      </c>
      <c r="D551" s="261" t="s">
        <v>2418</v>
      </c>
      <c r="E551" s="262" t="s">
        <v>1265</v>
      </c>
      <c r="F551" s="263" t="str">
        <f>INDEX('①基本情報 '!$G$2:$G$255,MATCH('②建物情報 '!E551,'①基本情報 '!$E$2:$E$255,0),1)</f>
        <v>都市活力部都市整備室住宅政策課</v>
      </c>
      <c r="G551" s="264" t="s">
        <v>1643</v>
      </c>
      <c r="H551" s="282" t="s">
        <v>1701</v>
      </c>
      <c r="I551" s="265">
        <v>1975</v>
      </c>
      <c r="J551" s="265">
        <v>9</v>
      </c>
      <c r="K551" s="265">
        <f t="shared" si="8"/>
        <v>49</v>
      </c>
      <c r="L551" s="281"/>
      <c r="M551" s="267">
        <v>196.68</v>
      </c>
      <c r="N551" s="267">
        <v>196.68</v>
      </c>
      <c r="O551" s="268" t="s">
        <v>1812</v>
      </c>
      <c r="P551" s="265" t="s">
        <v>1581</v>
      </c>
      <c r="Q551" s="265"/>
      <c r="R551" s="292"/>
      <c r="S551" s="276"/>
      <c r="T551" s="272"/>
      <c r="U551" s="272"/>
      <c r="V551" s="292"/>
      <c r="W551" s="276"/>
      <c r="X551" s="275">
        <v>47</v>
      </c>
      <c r="Y551" s="276" t="s">
        <v>825</v>
      </c>
      <c r="Z551" s="265" t="s">
        <v>825</v>
      </c>
      <c r="AA551" s="265" t="s">
        <v>825</v>
      </c>
      <c r="AB551" s="265" t="s">
        <v>825</v>
      </c>
      <c r="AC551" s="265" t="s">
        <v>825</v>
      </c>
      <c r="AD551" s="265" t="s">
        <v>825</v>
      </c>
      <c r="AE551" s="265" t="s">
        <v>825</v>
      </c>
      <c r="AF551" s="265" t="s">
        <v>825</v>
      </c>
      <c r="AG551" s="265" t="s">
        <v>825</v>
      </c>
      <c r="AH551" s="265" t="s">
        <v>825</v>
      </c>
      <c r="AI551" s="277" t="s">
        <v>825</v>
      </c>
      <c r="AJ551" s="278" t="s">
        <v>1721</v>
      </c>
      <c r="AK551" s="292"/>
    </row>
    <row r="552" spans="1:37" s="653" customFormat="1">
      <c r="A552" s="655">
        <v>2024</v>
      </c>
      <c r="B552" s="656" t="str">
        <f>INDEX('①基本情報 '!$C$2:$C$255,MATCH('②建物情報 '!E552,'①基本情報 '!$E$2:$E$255,0),1)</f>
        <v>196</v>
      </c>
      <c r="C552" s="657" t="str">
        <f>INDEX('①基本情報 '!$B$2:$B$255,MATCH('②建物情報 '!E552,'①基本情報 '!$E$2:$E$255,0),1)</f>
        <v>0816</v>
      </c>
      <c r="D552" s="261" t="s">
        <v>2418</v>
      </c>
      <c r="E552" s="262" t="s">
        <v>1265</v>
      </c>
      <c r="F552" s="263" t="str">
        <f>INDEX('①基本情報 '!$G$2:$G$255,MATCH('②建物情報 '!E552,'①基本情報 '!$E$2:$E$255,0),1)</f>
        <v>都市活力部都市整備室住宅政策課</v>
      </c>
      <c r="G552" s="264" t="s">
        <v>1645</v>
      </c>
      <c r="H552" s="282" t="s">
        <v>1701</v>
      </c>
      <c r="I552" s="265">
        <v>1982</v>
      </c>
      <c r="J552" s="265">
        <v>2</v>
      </c>
      <c r="K552" s="265">
        <f t="shared" si="8"/>
        <v>42</v>
      </c>
      <c r="L552" s="281"/>
      <c r="M552" s="267">
        <v>65.56</v>
      </c>
      <c r="N552" s="267">
        <v>65.56</v>
      </c>
      <c r="O552" s="268" t="s">
        <v>1812</v>
      </c>
      <c r="P552" s="265" t="s">
        <v>1603</v>
      </c>
      <c r="Q552" s="265"/>
      <c r="R552" s="292"/>
      <c r="S552" s="276"/>
      <c r="T552" s="272"/>
      <c r="U552" s="272"/>
      <c r="V552" s="292"/>
      <c r="W552" s="276"/>
      <c r="X552" s="275">
        <v>24</v>
      </c>
      <c r="Y552" s="276" t="s">
        <v>825</v>
      </c>
      <c r="Z552" s="265" t="s">
        <v>825</v>
      </c>
      <c r="AA552" s="265" t="s">
        <v>825</v>
      </c>
      <c r="AB552" s="265" t="s">
        <v>825</v>
      </c>
      <c r="AC552" s="265" t="s">
        <v>825</v>
      </c>
      <c r="AD552" s="265" t="s">
        <v>825</v>
      </c>
      <c r="AE552" s="265" t="s">
        <v>825</v>
      </c>
      <c r="AF552" s="265" t="s">
        <v>825</v>
      </c>
      <c r="AG552" s="265" t="s">
        <v>825</v>
      </c>
      <c r="AH552" s="265" t="s">
        <v>825</v>
      </c>
      <c r="AI552" s="277" t="s">
        <v>825</v>
      </c>
      <c r="AJ552" s="278" t="s">
        <v>1721</v>
      </c>
      <c r="AK552" s="292"/>
    </row>
    <row r="553" spans="1:37" s="653" customFormat="1">
      <c r="A553" s="655">
        <v>2024</v>
      </c>
      <c r="B553" s="656" t="str">
        <f>INDEX('①基本情報 '!$C$2:$C$255,MATCH('②建物情報 '!E553,'①基本情報 '!$E$2:$E$255,0),1)</f>
        <v>197</v>
      </c>
      <c r="C553" s="657" t="str">
        <f>INDEX('①基本情報 '!$B$2:$B$255,MATCH('②建物情報 '!E553,'①基本情報 '!$E$2:$E$255,0),1)</f>
        <v>0817</v>
      </c>
      <c r="D553" s="658" t="s">
        <v>2418</v>
      </c>
      <c r="E553" s="612" t="s">
        <v>1269</v>
      </c>
      <c r="F553" s="611" t="str">
        <f>INDEX('①基本情報 '!$G$2:$G$255,MATCH('②建物情報 '!E553,'①基本情報 '!$E$2:$E$255,0),1)</f>
        <v>都市活力部都市整備室住宅政策課</v>
      </c>
      <c r="G553" s="678" t="s">
        <v>1580</v>
      </c>
      <c r="H553" s="612" t="s">
        <v>1690</v>
      </c>
      <c r="I553" s="663">
        <v>1975</v>
      </c>
      <c r="J553" s="663"/>
      <c r="K553" s="663">
        <f t="shared" si="8"/>
        <v>49</v>
      </c>
      <c r="L553" s="694">
        <v>344.99</v>
      </c>
      <c r="M553" s="680">
        <v>1749.5</v>
      </c>
      <c r="N553" s="680">
        <v>1749.5</v>
      </c>
      <c r="O553" s="681" t="s">
        <v>1812</v>
      </c>
      <c r="P553" s="663" t="s">
        <v>1581</v>
      </c>
      <c r="Q553" s="663">
        <v>5</v>
      </c>
      <c r="R553" s="690">
        <v>0</v>
      </c>
      <c r="S553" s="687" t="s">
        <v>1582</v>
      </c>
      <c r="T553" s="663"/>
      <c r="U553" s="683" t="s">
        <v>1846</v>
      </c>
      <c r="V553" s="690"/>
      <c r="W553" s="687"/>
      <c r="X553" s="686">
        <v>27</v>
      </c>
      <c r="Y553" s="687" t="s">
        <v>1585</v>
      </c>
      <c r="Z553" s="663" t="s">
        <v>1587</v>
      </c>
      <c r="AA553" s="663" t="s">
        <v>1585</v>
      </c>
      <c r="AB553" s="663" t="s">
        <v>825</v>
      </c>
      <c r="AC553" s="663" t="s">
        <v>825</v>
      </c>
      <c r="AD553" s="663" t="s">
        <v>825</v>
      </c>
      <c r="AE553" s="663" t="s">
        <v>1586</v>
      </c>
      <c r="AF553" s="663" t="s">
        <v>1586</v>
      </c>
      <c r="AG553" s="663" t="s">
        <v>825</v>
      </c>
      <c r="AH553" s="663" t="s">
        <v>1586</v>
      </c>
      <c r="AI553" s="688">
        <v>75.483870967741936</v>
      </c>
      <c r="AJ553" s="689" t="s">
        <v>1588</v>
      </c>
      <c r="AK553" s="690"/>
    </row>
    <row r="554" spans="1:37" s="653" customFormat="1">
      <c r="A554" s="655">
        <v>2024</v>
      </c>
      <c r="B554" s="656" t="str">
        <f>INDEX('①基本情報 '!$C$2:$C$255,MATCH('②建物情報 '!E554,'①基本情報 '!$E$2:$E$255,0),1)</f>
        <v>197</v>
      </c>
      <c r="C554" s="657" t="str">
        <f>INDEX('①基本情報 '!$B$2:$B$255,MATCH('②建物情報 '!E554,'①基本情報 '!$E$2:$E$255,0),1)</f>
        <v>0817</v>
      </c>
      <c r="D554" s="658" t="s">
        <v>2418</v>
      </c>
      <c r="E554" s="612" t="s">
        <v>1269</v>
      </c>
      <c r="F554" s="611" t="str">
        <f>INDEX('①基本情報 '!$G$2:$G$255,MATCH('②建物情報 '!E554,'①基本情報 '!$E$2:$E$255,0),1)</f>
        <v>都市活力部都市整備室住宅政策課</v>
      </c>
      <c r="G554" s="678" t="s">
        <v>1589</v>
      </c>
      <c r="H554" s="612" t="s">
        <v>1691</v>
      </c>
      <c r="I554" s="663">
        <v>1975</v>
      </c>
      <c r="J554" s="663"/>
      <c r="K554" s="663">
        <f t="shared" si="8"/>
        <v>49</v>
      </c>
      <c r="L554" s="694">
        <v>459.91</v>
      </c>
      <c r="M554" s="680">
        <v>2332.3000000000002</v>
      </c>
      <c r="N554" s="680">
        <v>2332.3000000000002</v>
      </c>
      <c r="O554" s="681" t="s">
        <v>1812</v>
      </c>
      <c r="P554" s="663" t="s">
        <v>1581</v>
      </c>
      <c r="Q554" s="663">
        <v>5</v>
      </c>
      <c r="R554" s="690">
        <v>0</v>
      </c>
      <c r="S554" s="687" t="s">
        <v>1582</v>
      </c>
      <c r="T554" s="663"/>
      <c r="U554" s="683" t="s">
        <v>1846</v>
      </c>
      <c r="V554" s="690"/>
      <c r="W554" s="687"/>
      <c r="X554" s="686">
        <v>47</v>
      </c>
      <c r="Y554" s="687" t="s">
        <v>1585</v>
      </c>
      <c r="Z554" s="663" t="s">
        <v>1587</v>
      </c>
      <c r="AA554" s="663" t="s">
        <v>1585</v>
      </c>
      <c r="AB554" s="663" t="s">
        <v>825</v>
      </c>
      <c r="AC554" s="663" t="s">
        <v>825</v>
      </c>
      <c r="AD554" s="663" t="s">
        <v>825</v>
      </c>
      <c r="AE554" s="663" t="s">
        <v>1586</v>
      </c>
      <c r="AF554" s="663" t="s">
        <v>1586</v>
      </c>
      <c r="AG554" s="663" t="s">
        <v>825</v>
      </c>
      <c r="AH554" s="663" t="s">
        <v>1586</v>
      </c>
      <c r="AI554" s="688">
        <v>75.483870967741936</v>
      </c>
      <c r="AJ554" s="689" t="s">
        <v>1588</v>
      </c>
      <c r="AK554" s="690"/>
    </row>
    <row r="555" spans="1:37" s="653" customFormat="1">
      <c r="A555" s="655">
        <v>2024</v>
      </c>
      <c r="B555" s="656" t="str">
        <f>INDEX('①基本情報 '!$C$2:$C$255,MATCH('②建物情報 '!E555,'①基本情報 '!$E$2:$E$255,0),1)</f>
        <v>197</v>
      </c>
      <c r="C555" s="657" t="str">
        <f>INDEX('①基本情報 '!$B$2:$B$255,MATCH('②建物情報 '!E555,'①基本情報 '!$E$2:$E$255,0),1)</f>
        <v>0817</v>
      </c>
      <c r="D555" s="658" t="s">
        <v>2418</v>
      </c>
      <c r="E555" s="612" t="s">
        <v>1269</v>
      </c>
      <c r="F555" s="611" t="str">
        <f>INDEX('①基本情報 '!$G$2:$G$255,MATCH('②建物情報 '!E555,'①基本情報 '!$E$2:$E$255,0),1)</f>
        <v>都市活力部都市整備室住宅政策課</v>
      </c>
      <c r="G555" s="678" t="s">
        <v>1591</v>
      </c>
      <c r="H555" s="612" t="s">
        <v>1692</v>
      </c>
      <c r="I555" s="663">
        <v>1996</v>
      </c>
      <c r="J555" s="663"/>
      <c r="K555" s="663">
        <f t="shared" si="8"/>
        <v>28</v>
      </c>
      <c r="L555" s="694">
        <v>326.24</v>
      </c>
      <c r="M555" s="680">
        <v>1234.93</v>
      </c>
      <c r="N555" s="680">
        <v>1234.93</v>
      </c>
      <c r="O555" s="681" t="s">
        <v>1812</v>
      </c>
      <c r="P555" s="663" t="s">
        <v>1581</v>
      </c>
      <c r="Q555" s="663">
        <v>5</v>
      </c>
      <c r="R555" s="690">
        <v>0</v>
      </c>
      <c r="S555" s="687" t="s">
        <v>1593</v>
      </c>
      <c r="T555" s="683" t="s">
        <v>825</v>
      </c>
      <c r="U555" s="683" t="s">
        <v>63</v>
      </c>
      <c r="V555" s="690"/>
      <c r="W555" s="687"/>
      <c r="X555" s="686">
        <v>47</v>
      </c>
      <c r="Y555" s="687" t="s">
        <v>1596</v>
      </c>
      <c r="Z555" s="663" t="s">
        <v>1587</v>
      </c>
      <c r="AA555" s="663" t="s">
        <v>1585</v>
      </c>
      <c r="AB555" s="663" t="s">
        <v>825</v>
      </c>
      <c r="AC555" s="663" t="s">
        <v>825</v>
      </c>
      <c r="AD555" s="663" t="s">
        <v>825</v>
      </c>
      <c r="AE555" s="663" t="s">
        <v>1585</v>
      </c>
      <c r="AF555" s="663" t="s">
        <v>1586</v>
      </c>
      <c r="AG555" s="663" t="s">
        <v>825</v>
      </c>
      <c r="AH555" s="663" t="s">
        <v>1585</v>
      </c>
      <c r="AI555" s="688">
        <v>61.935483870967744</v>
      </c>
      <c r="AJ555" s="689" t="s">
        <v>1588</v>
      </c>
      <c r="AK555" s="690"/>
    </row>
    <row r="556" spans="1:37" s="653" customFormat="1">
      <c r="A556" s="655">
        <v>2024</v>
      </c>
      <c r="B556" s="656" t="str">
        <f>INDEX('①基本情報 '!$C$2:$C$255,MATCH('②建物情報 '!E556,'①基本情報 '!$E$2:$E$255,0),1)</f>
        <v>197</v>
      </c>
      <c r="C556" s="657" t="str">
        <f>INDEX('①基本情報 '!$B$2:$B$255,MATCH('②建物情報 '!E556,'①基本情報 '!$E$2:$E$255,0),1)</f>
        <v>0817</v>
      </c>
      <c r="D556" s="261" t="s">
        <v>2418</v>
      </c>
      <c r="E556" s="262" t="s">
        <v>1269</v>
      </c>
      <c r="F556" s="263" t="str">
        <f>INDEX('①基本情報 '!$G$2:$G$255,MATCH('②建物情報 '!E556,'①基本情報 '!$E$2:$E$255,0),1)</f>
        <v>都市活力部都市整備室住宅政策課</v>
      </c>
      <c r="G556" s="264" t="s">
        <v>1601</v>
      </c>
      <c r="H556" s="282" t="s">
        <v>1609</v>
      </c>
      <c r="I556" s="265">
        <v>1975</v>
      </c>
      <c r="J556" s="265">
        <v>9</v>
      </c>
      <c r="K556" s="265">
        <f t="shared" si="8"/>
        <v>49</v>
      </c>
      <c r="L556" s="281"/>
      <c r="M556" s="267">
        <v>26.25</v>
      </c>
      <c r="N556" s="267">
        <v>26.25</v>
      </c>
      <c r="O556" s="268" t="s">
        <v>1812</v>
      </c>
      <c r="P556" s="265" t="s">
        <v>1581</v>
      </c>
      <c r="Q556" s="265"/>
      <c r="R556" s="292"/>
      <c r="S556" s="276"/>
      <c r="T556" s="272"/>
      <c r="U556" s="272"/>
      <c r="V556" s="292"/>
      <c r="W556" s="276"/>
      <c r="X556" s="275">
        <v>38</v>
      </c>
      <c r="Y556" s="276" t="s">
        <v>825</v>
      </c>
      <c r="Z556" s="265" t="s">
        <v>825</v>
      </c>
      <c r="AA556" s="265" t="s">
        <v>825</v>
      </c>
      <c r="AB556" s="265" t="s">
        <v>825</v>
      </c>
      <c r="AC556" s="265" t="s">
        <v>825</v>
      </c>
      <c r="AD556" s="265" t="s">
        <v>825</v>
      </c>
      <c r="AE556" s="265" t="s">
        <v>825</v>
      </c>
      <c r="AF556" s="265" t="s">
        <v>825</v>
      </c>
      <c r="AG556" s="265" t="s">
        <v>825</v>
      </c>
      <c r="AH556" s="265" t="s">
        <v>825</v>
      </c>
      <c r="AI556" s="277" t="s">
        <v>825</v>
      </c>
      <c r="AJ556" s="278" t="s">
        <v>1604</v>
      </c>
      <c r="AK556" s="696" t="s">
        <v>2332</v>
      </c>
    </row>
    <row r="557" spans="1:37" s="653" customFormat="1">
      <c r="A557" s="655">
        <v>2024</v>
      </c>
      <c r="B557" s="656" t="str">
        <f>INDEX('①基本情報 '!$C$2:$C$255,MATCH('②建物情報 '!E557,'①基本情報 '!$E$2:$E$255,0),1)</f>
        <v>197</v>
      </c>
      <c r="C557" s="657" t="str">
        <f>INDEX('①基本情報 '!$B$2:$B$255,MATCH('②建物情報 '!E557,'①基本情報 '!$E$2:$E$255,0),1)</f>
        <v>0817</v>
      </c>
      <c r="D557" s="261" t="s">
        <v>2418</v>
      </c>
      <c r="E557" s="262" t="s">
        <v>1269</v>
      </c>
      <c r="F557" s="263" t="str">
        <f>INDEX('①基本情報 '!$G$2:$G$255,MATCH('②建物情報 '!E557,'①基本情報 '!$E$2:$E$255,0),1)</f>
        <v>都市活力部都市整備室住宅政策課</v>
      </c>
      <c r="G557" s="264" t="s">
        <v>1620</v>
      </c>
      <c r="H557" s="282" t="s">
        <v>1615</v>
      </c>
      <c r="I557" s="265">
        <v>1975</v>
      </c>
      <c r="J557" s="265">
        <v>9</v>
      </c>
      <c r="K557" s="265">
        <f>IF(I557&lt;&gt;"",A557-I557,99)</f>
        <v>49</v>
      </c>
      <c r="L557" s="281"/>
      <c r="M557" s="267">
        <v>125</v>
      </c>
      <c r="N557" s="267">
        <v>125</v>
      </c>
      <c r="O557" s="268" t="s">
        <v>1812</v>
      </c>
      <c r="P557" s="265" t="s">
        <v>1603</v>
      </c>
      <c r="Q557" s="265"/>
      <c r="R557" s="292"/>
      <c r="S557" s="276"/>
      <c r="T557" s="272"/>
      <c r="U557" s="272"/>
      <c r="V557" s="292"/>
      <c r="W557" s="276"/>
      <c r="X557" s="275">
        <v>24</v>
      </c>
      <c r="Y557" s="276" t="s">
        <v>825</v>
      </c>
      <c r="Z557" s="265" t="s">
        <v>825</v>
      </c>
      <c r="AA557" s="265" t="s">
        <v>825</v>
      </c>
      <c r="AB557" s="265" t="s">
        <v>825</v>
      </c>
      <c r="AC557" s="265" t="s">
        <v>825</v>
      </c>
      <c r="AD557" s="265" t="s">
        <v>825</v>
      </c>
      <c r="AE557" s="265" t="s">
        <v>825</v>
      </c>
      <c r="AF557" s="265" t="s">
        <v>825</v>
      </c>
      <c r="AG557" s="265" t="s">
        <v>825</v>
      </c>
      <c r="AH557" s="265" t="s">
        <v>825</v>
      </c>
      <c r="AI557" s="277" t="s">
        <v>825</v>
      </c>
      <c r="AJ557" s="278" t="s">
        <v>1606</v>
      </c>
      <c r="AK557" s="693" t="s">
        <v>2330</v>
      </c>
    </row>
    <row r="558" spans="1:37" s="653" customFormat="1">
      <c r="A558" s="655">
        <v>2024</v>
      </c>
      <c r="B558" s="656" t="str">
        <f>INDEX('①基本情報 '!$C$2:$C$255,MATCH('②建物情報 '!E558,'①基本情報 '!$E$2:$E$255,0),1)</f>
        <v>198</v>
      </c>
      <c r="C558" s="657" t="str">
        <f>INDEX('①基本情報 '!$B$2:$B$255,MATCH('②建物情報 '!E558,'①基本情報 '!$E$2:$E$255,0),1)</f>
        <v>0818</v>
      </c>
      <c r="D558" s="658" t="s">
        <v>2418</v>
      </c>
      <c r="E558" s="612" t="s">
        <v>1272</v>
      </c>
      <c r="F558" s="611" t="str">
        <f>INDEX('①基本情報 '!$G$2:$G$255,MATCH('②建物情報 '!E558,'①基本情報 '!$E$2:$E$255,0),1)</f>
        <v>都市活力部都市整備室住宅政策課</v>
      </c>
      <c r="G558" s="678" t="s">
        <v>1580</v>
      </c>
      <c r="H558" s="612" t="s">
        <v>1272</v>
      </c>
      <c r="I558" s="663">
        <v>1976</v>
      </c>
      <c r="J558" s="663"/>
      <c r="K558" s="663">
        <f t="shared" ref="K558:K625" si="9">IF(I558&lt;&gt;"",A558-I558,99)</f>
        <v>48</v>
      </c>
      <c r="L558" s="694">
        <v>344.99</v>
      </c>
      <c r="M558" s="680">
        <v>1399.68</v>
      </c>
      <c r="N558" s="680">
        <v>1399.68</v>
      </c>
      <c r="O558" s="681" t="s">
        <v>1812</v>
      </c>
      <c r="P558" s="663" t="s">
        <v>1581</v>
      </c>
      <c r="Q558" s="663">
        <v>4</v>
      </c>
      <c r="R558" s="690">
        <v>0</v>
      </c>
      <c r="S558" s="687" t="s">
        <v>1582</v>
      </c>
      <c r="T558" s="663"/>
      <c r="U558" s="683" t="s">
        <v>1846</v>
      </c>
      <c r="V558" s="690"/>
      <c r="W558" s="687"/>
      <c r="X558" s="686">
        <v>47</v>
      </c>
      <c r="Y558" s="687" t="s">
        <v>1585</v>
      </c>
      <c r="Z558" s="663" t="s">
        <v>1587</v>
      </c>
      <c r="AA558" s="663" t="s">
        <v>1585</v>
      </c>
      <c r="AB558" s="663" t="s">
        <v>825</v>
      </c>
      <c r="AC558" s="663" t="s">
        <v>825</v>
      </c>
      <c r="AD558" s="663" t="s">
        <v>825</v>
      </c>
      <c r="AE558" s="663" t="s">
        <v>1586</v>
      </c>
      <c r="AF558" s="663" t="s">
        <v>1586</v>
      </c>
      <c r="AG558" s="663" t="s">
        <v>825</v>
      </c>
      <c r="AH558" s="663" t="s">
        <v>1586</v>
      </c>
      <c r="AI558" s="688">
        <v>76.774193548387089</v>
      </c>
      <c r="AJ558" s="689" t="s">
        <v>1588</v>
      </c>
      <c r="AK558" s="690"/>
    </row>
    <row r="559" spans="1:37" s="653" customFormat="1">
      <c r="A559" s="655">
        <v>2024</v>
      </c>
      <c r="B559" s="656" t="str">
        <f>INDEX('①基本情報 '!$C$2:$C$255,MATCH('②建物情報 '!E559,'①基本情報 '!$E$2:$E$255,0),1)</f>
        <v>198</v>
      </c>
      <c r="C559" s="657" t="str">
        <f>INDEX('①基本情報 '!$B$2:$B$255,MATCH('②建物情報 '!E559,'①基本情報 '!$E$2:$E$255,0),1)</f>
        <v>0818</v>
      </c>
      <c r="D559" s="261" t="s">
        <v>2418</v>
      </c>
      <c r="E559" s="262" t="s">
        <v>1272</v>
      </c>
      <c r="F559" s="263" t="str">
        <f>INDEX('①基本情報 '!$G$2:$G$255,MATCH('②建物情報 '!E559,'①基本情報 '!$E$2:$E$255,0),1)</f>
        <v>都市活力部都市整備室住宅政策課</v>
      </c>
      <c r="G559" s="264" t="s">
        <v>1589</v>
      </c>
      <c r="H559" s="282" t="s">
        <v>1609</v>
      </c>
      <c r="I559" s="265">
        <v>1976</v>
      </c>
      <c r="J559" s="265">
        <v>9</v>
      </c>
      <c r="K559" s="265">
        <f t="shared" si="9"/>
        <v>48</v>
      </c>
      <c r="L559" s="281"/>
      <c r="M559" s="267">
        <v>14</v>
      </c>
      <c r="N559" s="267">
        <v>14</v>
      </c>
      <c r="O559" s="268" t="s">
        <v>1812</v>
      </c>
      <c r="P559" s="265" t="s">
        <v>1581</v>
      </c>
      <c r="Q559" s="265"/>
      <c r="R559" s="292"/>
      <c r="S559" s="276"/>
      <c r="T559" s="265"/>
      <c r="U559" s="272"/>
      <c r="V559" s="292"/>
      <c r="W559" s="276"/>
      <c r="X559" s="275">
        <v>38</v>
      </c>
      <c r="Y559" s="276" t="s">
        <v>825</v>
      </c>
      <c r="Z559" s="265" t="s">
        <v>825</v>
      </c>
      <c r="AA559" s="265" t="s">
        <v>825</v>
      </c>
      <c r="AB559" s="265" t="s">
        <v>825</v>
      </c>
      <c r="AC559" s="265" t="s">
        <v>825</v>
      </c>
      <c r="AD559" s="265" t="s">
        <v>825</v>
      </c>
      <c r="AE559" s="265" t="s">
        <v>825</v>
      </c>
      <c r="AF559" s="265" t="s">
        <v>825</v>
      </c>
      <c r="AG559" s="265" t="s">
        <v>825</v>
      </c>
      <c r="AH559" s="265" t="s">
        <v>825</v>
      </c>
      <c r="AI559" s="277" t="s">
        <v>825</v>
      </c>
      <c r="AJ559" s="278" t="s">
        <v>1604</v>
      </c>
      <c r="AK559" s="696" t="s">
        <v>2332</v>
      </c>
    </row>
    <row r="560" spans="1:37" s="653" customFormat="1">
      <c r="A560" s="655">
        <v>2024</v>
      </c>
      <c r="B560" s="656" t="str">
        <f>INDEX('①基本情報 '!$C$2:$C$255,MATCH('②建物情報 '!E560,'①基本情報 '!$E$2:$E$255,0),1)</f>
        <v>198</v>
      </c>
      <c r="C560" s="657" t="str">
        <f>INDEX('①基本情報 '!$B$2:$B$255,MATCH('②建物情報 '!E560,'①基本情報 '!$E$2:$E$255,0),1)</f>
        <v>0818</v>
      </c>
      <c r="D560" s="261" t="s">
        <v>2418</v>
      </c>
      <c r="E560" s="262" t="s">
        <v>1272</v>
      </c>
      <c r="F560" s="263" t="str">
        <f>INDEX('①基本情報 '!$G$2:$G$255,MATCH('②建物情報 '!E560,'①基本情報 '!$E$2:$E$255,0),1)</f>
        <v>都市活力部都市整備室住宅政策課</v>
      </c>
      <c r="G560" s="264" t="s">
        <v>1591</v>
      </c>
      <c r="H560" s="282" t="s">
        <v>1615</v>
      </c>
      <c r="I560" s="265">
        <v>1976</v>
      </c>
      <c r="J560" s="265">
        <v>9</v>
      </c>
      <c r="K560" s="265">
        <f t="shared" si="9"/>
        <v>48</v>
      </c>
      <c r="L560" s="281"/>
      <c r="M560" s="267">
        <v>67.400000000000006</v>
      </c>
      <c r="N560" s="267">
        <v>67.400000000000006</v>
      </c>
      <c r="O560" s="268" t="s">
        <v>1812</v>
      </c>
      <c r="P560" s="265" t="s">
        <v>1581</v>
      </c>
      <c r="Q560" s="265"/>
      <c r="R560" s="292"/>
      <c r="S560" s="276"/>
      <c r="T560" s="265"/>
      <c r="U560" s="272"/>
      <c r="V560" s="292"/>
      <c r="W560" s="276"/>
      <c r="X560" s="275">
        <v>38</v>
      </c>
      <c r="Y560" s="276" t="s">
        <v>825</v>
      </c>
      <c r="Z560" s="265" t="s">
        <v>825</v>
      </c>
      <c r="AA560" s="265" t="s">
        <v>825</v>
      </c>
      <c r="AB560" s="265" t="s">
        <v>825</v>
      </c>
      <c r="AC560" s="265" t="s">
        <v>825</v>
      </c>
      <c r="AD560" s="265" t="s">
        <v>825</v>
      </c>
      <c r="AE560" s="265" t="s">
        <v>825</v>
      </c>
      <c r="AF560" s="265" t="s">
        <v>825</v>
      </c>
      <c r="AG560" s="265" t="s">
        <v>825</v>
      </c>
      <c r="AH560" s="265" t="s">
        <v>825</v>
      </c>
      <c r="AI560" s="277" t="s">
        <v>825</v>
      </c>
      <c r="AJ560" s="278" t="s">
        <v>1606</v>
      </c>
      <c r="AK560" s="693" t="s">
        <v>2330</v>
      </c>
    </row>
    <row r="561" spans="1:37" s="653" customFormat="1">
      <c r="A561" s="655">
        <v>2024</v>
      </c>
      <c r="B561" s="656" t="str">
        <f>INDEX('①基本情報 '!$C$2:$C$255,MATCH('②建物情報 '!E561,'①基本情報 '!$E$2:$E$255,0),1)</f>
        <v>199</v>
      </c>
      <c r="C561" s="657" t="str">
        <f>INDEX('①基本情報 '!$B$2:$B$255,MATCH('②建物情報 '!E561,'①基本情報 '!$E$2:$E$255,0),1)</f>
        <v>0819</v>
      </c>
      <c r="D561" s="658" t="s">
        <v>2418</v>
      </c>
      <c r="E561" s="612" t="s">
        <v>1276</v>
      </c>
      <c r="F561" s="611" t="str">
        <f>INDEX('①基本情報 '!$G$2:$G$255,MATCH('②建物情報 '!E561,'①基本情報 '!$E$2:$E$255,0),1)</f>
        <v>都市活力部都市整備室住宅政策課</v>
      </c>
      <c r="G561" s="678" t="s">
        <v>1580</v>
      </c>
      <c r="H561" s="612" t="s">
        <v>1276</v>
      </c>
      <c r="I561" s="663">
        <v>1983</v>
      </c>
      <c r="J561" s="663"/>
      <c r="K561" s="663">
        <f t="shared" si="9"/>
        <v>41</v>
      </c>
      <c r="L561" s="694">
        <v>282.56</v>
      </c>
      <c r="M561" s="680">
        <v>1309</v>
      </c>
      <c r="N561" s="680">
        <v>1309</v>
      </c>
      <c r="O561" s="681" t="s">
        <v>1812</v>
      </c>
      <c r="P561" s="663" t="s">
        <v>1581</v>
      </c>
      <c r="Q561" s="663">
        <v>5</v>
      </c>
      <c r="R561" s="690">
        <v>0</v>
      </c>
      <c r="S561" s="687" t="s">
        <v>1593</v>
      </c>
      <c r="T561" s="683" t="s">
        <v>825</v>
      </c>
      <c r="U561" s="683" t="s">
        <v>63</v>
      </c>
      <c r="V561" s="690"/>
      <c r="W561" s="687"/>
      <c r="X561" s="686">
        <v>50</v>
      </c>
      <c r="Y561" s="687" t="s">
        <v>1585</v>
      </c>
      <c r="Z561" s="663" t="s">
        <v>1596</v>
      </c>
      <c r="AA561" s="663" t="s">
        <v>1585</v>
      </c>
      <c r="AB561" s="663" t="s">
        <v>825</v>
      </c>
      <c r="AC561" s="663" t="s">
        <v>825</v>
      </c>
      <c r="AD561" s="663" t="s">
        <v>825</v>
      </c>
      <c r="AE561" s="663" t="s">
        <v>1586</v>
      </c>
      <c r="AF561" s="663" t="s">
        <v>1586</v>
      </c>
      <c r="AG561" s="663" t="s">
        <v>825</v>
      </c>
      <c r="AH561" s="663" t="s">
        <v>1586</v>
      </c>
      <c r="AI561" s="688">
        <v>75.483870967741936</v>
      </c>
      <c r="AJ561" s="689" t="s">
        <v>1588</v>
      </c>
      <c r="AK561" s="690"/>
    </row>
    <row r="562" spans="1:37" s="653" customFormat="1">
      <c r="A562" s="655">
        <v>2024</v>
      </c>
      <c r="B562" s="656" t="str">
        <f>INDEX('①基本情報 '!$C$2:$C$255,MATCH('②建物情報 '!E562,'①基本情報 '!$E$2:$E$255,0),1)</f>
        <v>199</v>
      </c>
      <c r="C562" s="657" t="str">
        <f>INDEX('①基本情報 '!$B$2:$B$255,MATCH('②建物情報 '!E562,'①基本情報 '!$E$2:$E$255,0),1)</f>
        <v>0819</v>
      </c>
      <c r="D562" s="261" t="s">
        <v>2418</v>
      </c>
      <c r="E562" s="262" t="s">
        <v>1276</v>
      </c>
      <c r="F562" s="263" t="str">
        <f>INDEX('①基本情報 '!$G$2:$G$255,MATCH('②建物情報 '!E562,'①基本情報 '!$E$2:$E$255,0),1)</f>
        <v>都市活力部都市整備室住宅政策課</v>
      </c>
      <c r="G562" s="264" t="s">
        <v>1589</v>
      </c>
      <c r="H562" s="282" t="s">
        <v>1615</v>
      </c>
      <c r="I562" s="265">
        <v>1984</v>
      </c>
      <c r="J562" s="265">
        <v>8</v>
      </c>
      <c r="K562" s="265">
        <f t="shared" si="9"/>
        <v>40</v>
      </c>
      <c r="L562" s="281"/>
      <c r="M562" s="267">
        <v>28</v>
      </c>
      <c r="N562" s="267">
        <v>28</v>
      </c>
      <c r="O562" s="268" t="s">
        <v>1812</v>
      </c>
      <c r="P562" s="265" t="s">
        <v>1603</v>
      </c>
      <c r="Q562" s="265"/>
      <c r="R562" s="292"/>
      <c r="S562" s="276"/>
      <c r="T562" s="272"/>
      <c r="U562" s="272"/>
      <c r="V562" s="292"/>
      <c r="W562" s="276"/>
      <c r="X562" s="275">
        <v>31</v>
      </c>
      <c r="Y562" s="276" t="s">
        <v>825</v>
      </c>
      <c r="Z562" s="265" t="s">
        <v>825</v>
      </c>
      <c r="AA562" s="265" t="s">
        <v>825</v>
      </c>
      <c r="AB562" s="265" t="s">
        <v>825</v>
      </c>
      <c r="AC562" s="265" t="s">
        <v>825</v>
      </c>
      <c r="AD562" s="265" t="s">
        <v>825</v>
      </c>
      <c r="AE562" s="265" t="s">
        <v>825</v>
      </c>
      <c r="AF562" s="265" t="s">
        <v>825</v>
      </c>
      <c r="AG562" s="265" t="s">
        <v>825</v>
      </c>
      <c r="AH562" s="265" t="s">
        <v>825</v>
      </c>
      <c r="AI562" s="277" t="s">
        <v>825</v>
      </c>
      <c r="AJ562" s="278" t="s">
        <v>1606</v>
      </c>
      <c r="AK562" s="693" t="s">
        <v>2330</v>
      </c>
    </row>
    <row r="563" spans="1:37" s="653" customFormat="1">
      <c r="A563" s="655">
        <v>2024</v>
      </c>
      <c r="B563" s="656" t="str">
        <f>INDEX('①基本情報 '!$C$2:$C$255,MATCH('②建物情報 '!E563,'①基本情報 '!$E$2:$E$255,0),1)</f>
        <v>199</v>
      </c>
      <c r="C563" s="657" t="str">
        <f>INDEX('①基本情報 '!$B$2:$B$255,MATCH('②建物情報 '!E563,'①基本情報 '!$E$2:$E$255,0),1)</f>
        <v>0819</v>
      </c>
      <c r="D563" s="261" t="s">
        <v>2418</v>
      </c>
      <c r="E563" s="262" t="s">
        <v>1276</v>
      </c>
      <c r="F563" s="263" t="str">
        <f>INDEX('①基本情報 '!$G$2:$G$255,MATCH('②建物情報 '!E563,'①基本情報 '!$E$2:$E$255,0),1)</f>
        <v>都市活力部都市整備室住宅政策課</v>
      </c>
      <c r="G563" s="264" t="s">
        <v>1591</v>
      </c>
      <c r="H563" s="282" t="s">
        <v>1609</v>
      </c>
      <c r="I563" s="265">
        <v>1984</v>
      </c>
      <c r="J563" s="265">
        <v>8</v>
      </c>
      <c r="K563" s="265">
        <f t="shared" si="9"/>
        <v>40</v>
      </c>
      <c r="L563" s="281"/>
      <c r="M563" s="267">
        <v>6.18</v>
      </c>
      <c r="N563" s="267">
        <v>6.18</v>
      </c>
      <c r="O563" s="268" t="s">
        <v>1812</v>
      </c>
      <c r="P563" s="265" t="s">
        <v>1581</v>
      </c>
      <c r="Q563" s="265"/>
      <c r="R563" s="292"/>
      <c r="S563" s="276"/>
      <c r="T563" s="272"/>
      <c r="U563" s="272"/>
      <c r="V563" s="292"/>
      <c r="W563" s="276"/>
      <c r="X563" s="275">
        <v>38</v>
      </c>
      <c r="Y563" s="276" t="s">
        <v>825</v>
      </c>
      <c r="Z563" s="265" t="s">
        <v>825</v>
      </c>
      <c r="AA563" s="265" t="s">
        <v>825</v>
      </c>
      <c r="AB563" s="265" t="s">
        <v>825</v>
      </c>
      <c r="AC563" s="265" t="s">
        <v>825</v>
      </c>
      <c r="AD563" s="265" t="s">
        <v>825</v>
      </c>
      <c r="AE563" s="265" t="s">
        <v>825</v>
      </c>
      <c r="AF563" s="265" t="s">
        <v>825</v>
      </c>
      <c r="AG563" s="265" t="s">
        <v>825</v>
      </c>
      <c r="AH563" s="265" t="s">
        <v>825</v>
      </c>
      <c r="AI563" s="277" t="s">
        <v>825</v>
      </c>
      <c r="AJ563" s="278" t="s">
        <v>1604</v>
      </c>
      <c r="AK563" s="696" t="s">
        <v>2332</v>
      </c>
    </row>
    <row r="564" spans="1:37" s="653" customFormat="1">
      <c r="A564" s="655">
        <v>2024</v>
      </c>
      <c r="B564" s="656" t="str">
        <f>INDEX('①基本情報 '!$C$2:$C$255,MATCH('②建物情報 '!E564,'①基本情報 '!$E$2:$E$255,0),1)</f>
        <v>200</v>
      </c>
      <c r="C564" s="657" t="str">
        <f>INDEX('①基本情報 '!$B$2:$B$255,MATCH('②建物情報 '!E564,'①基本情報 '!$E$2:$E$255,0),1)</f>
        <v>0820</v>
      </c>
      <c r="D564" s="658" t="s">
        <v>2418</v>
      </c>
      <c r="E564" s="612" t="s">
        <v>1280</v>
      </c>
      <c r="F564" s="611" t="str">
        <f>INDEX('①基本情報 '!$G$2:$G$255,MATCH('②建物情報 '!E564,'①基本情報 '!$E$2:$E$255,0),1)</f>
        <v>都市活力部都市整備室住宅政策課</v>
      </c>
      <c r="G564" s="678" t="s">
        <v>1580</v>
      </c>
      <c r="H564" s="612" t="s">
        <v>1724</v>
      </c>
      <c r="I564" s="663">
        <v>1988</v>
      </c>
      <c r="J564" s="663"/>
      <c r="K564" s="663">
        <f t="shared" si="9"/>
        <v>36</v>
      </c>
      <c r="L564" s="694">
        <v>857.93</v>
      </c>
      <c r="M564" s="680">
        <v>2096.16</v>
      </c>
      <c r="N564" s="680">
        <v>2096.16</v>
      </c>
      <c r="O564" s="681" t="s">
        <v>1812</v>
      </c>
      <c r="P564" s="663" t="s">
        <v>1581</v>
      </c>
      <c r="Q564" s="663">
        <v>3</v>
      </c>
      <c r="R564" s="690">
        <v>0</v>
      </c>
      <c r="S564" s="687" t="s">
        <v>1593</v>
      </c>
      <c r="T564" s="683" t="s">
        <v>825</v>
      </c>
      <c r="U564" s="683" t="s">
        <v>63</v>
      </c>
      <c r="V564" s="690"/>
      <c r="W564" s="687"/>
      <c r="X564" s="686">
        <v>47</v>
      </c>
      <c r="Y564" s="687" t="s">
        <v>1596</v>
      </c>
      <c r="Z564" s="663" t="s">
        <v>1585</v>
      </c>
      <c r="AA564" s="663" t="s">
        <v>1585</v>
      </c>
      <c r="AB564" s="663" t="s">
        <v>825</v>
      </c>
      <c r="AC564" s="663" t="s">
        <v>825</v>
      </c>
      <c r="AD564" s="663" t="s">
        <v>825</v>
      </c>
      <c r="AE564" s="663" t="s">
        <v>1586</v>
      </c>
      <c r="AF564" s="663" t="s">
        <v>1586</v>
      </c>
      <c r="AG564" s="663" t="s">
        <v>825</v>
      </c>
      <c r="AH564" s="663" t="s">
        <v>1586</v>
      </c>
      <c r="AI564" s="688">
        <v>78.064516129032256</v>
      </c>
      <c r="AJ564" s="689" t="s">
        <v>1588</v>
      </c>
      <c r="AK564" s="690"/>
    </row>
    <row r="565" spans="1:37" s="653" customFormat="1">
      <c r="A565" s="655">
        <v>2024</v>
      </c>
      <c r="B565" s="656" t="str">
        <f>INDEX('①基本情報 '!$C$2:$C$255,MATCH('②建物情報 '!E565,'①基本情報 '!$E$2:$E$255,0),1)</f>
        <v>201</v>
      </c>
      <c r="C565" s="657" t="str">
        <f>INDEX('①基本情報 '!$B$2:$B$255,MATCH('②建物情報 '!E565,'①基本情報 '!$E$2:$E$255,0),1)</f>
        <v>0821</v>
      </c>
      <c r="D565" s="658" t="s">
        <v>2418</v>
      </c>
      <c r="E565" s="612" t="s">
        <v>1284</v>
      </c>
      <c r="F565" s="611" t="str">
        <f>INDEX('①基本情報 '!$G$2:$G$255,MATCH('②建物情報 '!E565,'①基本情報 '!$E$2:$E$255,0),1)</f>
        <v>都市活力部都市整備室住宅政策課</v>
      </c>
      <c r="G565" s="678" t="s">
        <v>1580</v>
      </c>
      <c r="H565" s="612" t="s">
        <v>1284</v>
      </c>
      <c r="I565" s="663">
        <v>1995</v>
      </c>
      <c r="J565" s="663"/>
      <c r="K565" s="663">
        <f t="shared" si="9"/>
        <v>29</v>
      </c>
      <c r="L565" s="694">
        <v>821.02</v>
      </c>
      <c r="M565" s="680">
        <v>5285.7</v>
      </c>
      <c r="N565" s="680">
        <v>5285.7</v>
      </c>
      <c r="O565" s="681" t="s">
        <v>1812</v>
      </c>
      <c r="P565" s="663" t="s">
        <v>1581</v>
      </c>
      <c r="Q565" s="663">
        <v>8</v>
      </c>
      <c r="R565" s="690">
        <v>0</v>
      </c>
      <c r="S565" s="687" t="s">
        <v>1593</v>
      </c>
      <c r="T565" s="683" t="s">
        <v>825</v>
      </c>
      <c r="U565" s="683" t="s">
        <v>63</v>
      </c>
      <c r="V565" s="690"/>
      <c r="W565" s="687"/>
      <c r="X565" s="686">
        <v>47</v>
      </c>
      <c r="Y565" s="687" t="s">
        <v>1596</v>
      </c>
      <c r="Z565" s="663" t="s">
        <v>1587</v>
      </c>
      <c r="AA565" s="663" t="s">
        <v>1585</v>
      </c>
      <c r="AB565" s="663" t="s">
        <v>825</v>
      </c>
      <c r="AC565" s="663" t="s">
        <v>825</v>
      </c>
      <c r="AD565" s="663" t="s">
        <v>825</v>
      </c>
      <c r="AE565" s="663" t="s">
        <v>1585</v>
      </c>
      <c r="AF565" s="663" t="s">
        <v>1586</v>
      </c>
      <c r="AG565" s="663" t="s">
        <v>825</v>
      </c>
      <c r="AH565" s="663" t="s">
        <v>1585</v>
      </c>
      <c r="AI565" s="688">
        <v>60</v>
      </c>
      <c r="AJ565" s="689" t="s">
        <v>1588</v>
      </c>
      <c r="AK565" s="690"/>
    </row>
    <row r="566" spans="1:37" s="653" customFormat="1">
      <c r="A566" s="655">
        <v>2024</v>
      </c>
      <c r="B566" s="656" t="str">
        <f>INDEX('①基本情報 '!$C$2:$C$255,MATCH('②建物情報 '!E566,'①基本情報 '!$E$2:$E$255,0),1)</f>
        <v>202</v>
      </c>
      <c r="C566" s="657" t="str">
        <f>INDEX('①基本情報 '!$B$2:$B$255,MATCH('②建物情報 '!E566,'①基本情報 '!$E$2:$E$255,0),1)</f>
        <v>0824</v>
      </c>
      <c r="D566" s="658" t="s">
        <v>2418</v>
      </c>
      <c r="E566" s="612" t="s">
        <v>1288</v>
      </c>
      <c r="F566" s="611" t="str">
        <f>INDEX('①基本情報 '!$G$2:$G$255,MATCH('②建物情報 '!E566,'①基本情報 '!$E$2:$E$255,0),1)</f>
        <v>都市活力部都市整備室住宅政策課</v>
      </c>
      <c r="G566" s="678" t="s">
        <v>1580</v>
      </c>
      <c r="H566" s="612" t="s">
        <v>1690</v>
      </c>
      <c r="I566" s="663">
        <v>1996</v>
      </c>
      <c r="J566" s="663"/>
      <c r="K566" s="663">
        <f t="shared" si="9"/>
        <v>28</v>
      </c>
      <c r="L566" s="694">
        <v>675.57</v>
      </c>
      <c r="M566" s="680">
        <v>3145.5</v>
      </c>
      <c r="N566" s="680">
        <v>3145.5</v>
      </c>
      <c r="O566" s="681" t="s">
        <v>1812</v>
      </c>
      <c r="P566" s="663" t="s">
        <v>1581</v>
      </c>
      <c r="Q566" s="663">
        <v>5</v>
      </c>
      <c r="R566" s="690">
        <v>0</v>
      </c>
      <c r="S566" s="687" t="s">
        <v>1593</v>
      </c>
      <c r="T566" s="683" t="s">
        <v>825</v>
      </c>
      <c r="U566" s="683" t="s">
        <v>63</v>
      </c>
      <c r="V566" s="690"/>
      <c r="W566" s="687"/>
      <c r="X566" s="686">
        <v>47</v>
      </c>
      <c r="Y566" s="687" t="s">
        <v>1596</v>
      </c>
      <c r="Z566" s="663" t="s">
        <v>1586</v>
      </c>
      <c r="AA566" s="663" t="s">
        <v>1585</v>
      </c>
      <c r="AB566" s="663" t="s">
        <v>825</v>
      </c>
      <c r="AC566" s="663" t="s">
        <v>825</v>
      </c>
      <c r="AD566" s="663" t="s">
        <v>825</v>
      </c>
      <c r="AE566" s="663" t="s">
        <v>1585</v>
      </c>
      <c r="AF566" s="663" t="s">
        <v>1586</v>
      </c>
      <c r="AG566" s="663" t="s">
        <v>825</v>
      </c>
      <c r="AH566" s="663" t="s">
        <v>1586</v>
      </c>
      <c r="AI566" s="688">
        <v>70.967741935483872</v>
      </c>
      <c r="AJ566" s="689" t="s">
        <v>1588</v>
      </c>
      <c r="AK566" s="690"/>
    </row>
    <row r="567" spans="1:37" s="653" customFormat="1">
      <c r="A567" s="655">
        <v>2024</v>
      </c>
      <c r="B567" s="656" t="str">
        <f>INDEX('①基本情報 '!$C$2:$C$255,MATCH('②建物情報 '!E567,'①基本情報 '!$E$2:$E$255,0),1)</f>
        <v>202</v>
      </c>
      <c r="C567" s="657" t="str">
        <f>INDEX('①基本情報 '!$B$2:$B$255,MATCH('②建物情報 '!E567,'①基本情報 '!$E$2:$E$255,0),1)</f>
        <v>0824</v>
      </c>
      <c r="D567" s="658" t="s">
        <v>2418</v>
      </c>
      <c r="E567" s="612" t="s">
        <v>1288</v>
      </c>
      <c r="F567" s="611" t="str">
        <f>INDEX('①基本情報 '!$G$2:$G$255,MATCH('②建物情報 '!E567,'①基本情報 '!$E$2:$E$255,0),1)</f>
        <v>都市活力部都市整備室住宅政策課</v>
      </c>
      <c r="G567" s="678" t="s">
        <v>1589</v>
      </c>
      <c r="H567" s="612" t="s">
        <v>1691</v>
      </c>
      <c r="I567" s="663">
        <v>1998</v>
      </c>
      <c r="J567" s="663"/>
      <c r="K567" s="663">
        <f t="shared" si="9"/>
        <v>26</v>
      </c>
      <c r="L567" s="694">
        <v>675.57</v>
      </c>
      <c r="M567" s="680">
        <v>3025.78</v>
      </c>
      <c r="N567" s="680">
        <v>3025.78</v>
      </c>
      <c r="O567" s="681" t="s">
        <v>1812</v>
      </c>
      <c r="P567" s="663" t="s">
        <v>1581</v>
      </c>
      <c r="Q567" s="663">
        <v>5</v>
      </c>
      <c r="R567" s="690">
        <v>0</v>
      </c>
      <c r="S567" s="687" t="s">
        <v>1593</v>
      </c>
      <c r="T567" s="683" t="s">
        <v>825</v>
      </c>
      <c r="U567" s="683" t="s">
        <v>63</v>
      </c>
      <c r="V567" s="690"/>
      <c r="W567" s="687"/>
      <c r="X567" s="686">
        <v>47</v>
      </c>
      <c r="Y567" s="687" t="s">
        <v>1596</v>
      </c>
      <c r="Z567" s="663" t="s">
        <v>1586</v>
      </c>
      <c r="AA567" s="663" t="s">
        <v>1585</v>
      </c>
      <c r="AB567" s="663" t="s">
        <v>825</v>
      </c>
      <c r="AC567" s="663" t="s">
        <v>825</v>
      </c>
      <c r="AD567" s="663" t="s">
        <v>825</v>
      </c>
      <c r="AE567" s="663" t="s">
        <v>1585</v>
      </c>
      <c r="AF567" s="663" t="s">
        <v>1586</v>
      </c>
      <c r="AG567" s="663" t="s">
        <v>825</v>
      </c>
      <c r="AH567" s="663" t="s">
        <v>1585</v>
      </c>
      <c r="AI567" s="688">
        <v>68.387096774193552</v>
      </c>
      <c r="AJ567" s="689" t="s">
        <v>1588</v>
      </c>
      <c r="AK567" s="690"/>
    </row>
    <row r="568" spans="1:37" s="653" customFormat="1">
      <c r="A568" s="655">
        <v>2024</v>
      </c>
      <c r="B568" s="656" t="str">
        <f>INDEX('①基本情報 '!$C$2:$C$255,MATCH('②建物情報 '!E568,'①基本情報 '!$E$2:$E$255,0),1)</f>
        <v>202</v>
      </c>
      <c r="C568" s="657" t="str">
        <f>INDEX('①基本情報 '!$B$2:$B$255,MATCH('②建物情報 '!E568,'①基本情報 '!$E$2:$E$255,0),1)</f>
        <v>0824</v>
      </c>
      <c r="D568" s="658" t="s">
        <v>2418</v>
      </c>
      <c r="E568" s="612" t="s">
        <v>1288</v>
      </c>
      <c r="F568" s="611" t="str">
        <f>INDEX('①基本情報 '!$G$2:$G$255,MATCH('②建物情報 '!E568,'①基本情報 '!$E$2:$E$255,0),1)</f>
        <v>都市活力部都市整備室住宅政策課</v>
      </c>
      <c r="G568" s="678" t="s">
        <v>1591</v>
      </c>
      <c r="H568" s="612" t="s">
        <v>1692</v>
      </c>
      <c r="I568" s="663">
        <v>1999</v>
      </c>
      <c r="J568" s="663"/>
      <c r="K568" s="663">
        <f t="shared" si="9"/>
        <v>25</v>
      </c>
      <c r="L568" s="694">
        <v>754.85</v>
      </c>
      <c r="M568" s="680">
        <v>3238.88</v>
      </c>
      <c r="N568" s="680">
        <v>3238.88</v>
      </c>
      <c r="O568" s="681" t="s">
        <v>1812</v>
      </c>
      <c r="P568" s="663" t="s">
        <v>1581</v>
      </c>
      <c r="Q568" s="663">
        <v>5</v>
      </c>
      <c r="R568" s="690">
        <v>0</v>
      </c>
      <c r="S568" s="687" t="s">
        <v>1593</v>
      </c>
      <c r="T568" s="683" t="s">
        <v>825</v>
      </c>
      <c r="U568" s="683" t="s">
        <v>63</v>
      </c>
      <c r="V568" s="690"/>
      <c r="W568" s="687"/>
      <c r="X568" s="686">
        <v>47</v>
      </c>
      <c r="Y568" s="687" t="s">
        <v>1596</v>
      </c>
      <c r="Z568" s="663" t="s">
        <v>1586</v>
      </c>
      <c r="AA568" s="663" t="s">
        <v>1585</v>
      </c>
      <c r="AB568" s="663" t="s">
        <v>825</v>
      </c>
      <c r="AC568" s="663" t="s">
        <v>825</v>
      </c>
      <c r="AD568" s="663" t="s">
        <v>825</v>
      </c>
      <c r="AE568" s="663" t="s">
        <v>1585</v>
      </c>
      <c r="AF568" s="663" t="s">
        <v>1585</v>
      </c>
      <c r="AG568" s="663" t="s">
        <v>825</v>
      </c>
      <c r="AH568" s="663" t="s">
        <v>1585</v>
      </c>
      <c r="AI568" s="688">
        <v>65.161290322580641</v>
      </c>
      <c r="AJ568" s="689" t="s">
        <v>1588</v>
      </c>
      <c r="AK568" s="690"/>
    </row>
    <row r="569" spans="1:37" s="653" customFormat="1">
      <c r="A569" s="655">
        <v>2024</v>
      </c>
      <c r="B569" s="656" t="str">
        <f>INDEX('①基本情報 '!$C$2:$C$255,MATCH('②建物情報 '!E569,'①基本情報 '!$E$2:$E$255,0),1)</f>
        <v>203</v>
      </c>
      <c r="C569" s="657" t="str">
        <f>INDEX('①基本情報 '!$B$2:$B$255,MATCH('②建物情報 '!E569,'①基本情報 '!$E$2:$E$255,0),1)</f>
        <v>0830</v>
      </c>
      <c r="D569" s="658" t="s">
        <v>2418</v>
      </c>
      <c r="E569" s="612" t="s">
        <v>1292</v>
      </c>
      <c r="F569" s="611" t="str">
        <f>INDEX('①基本情報 '!$G$2:$G$255,MATCH('②建物情報 '!E569,'①基本情報 '!$E$2:$E$255,0),1)</f>
        <v>都市活力部都市整備室住宅政策課</v>
      </c>
      <c r="G569" s="678" t="s">
        <v>1580</v>
      </c>
      <c r="H569" s="612" t="s">
        <v>1292</v>
      </c>
      <c r="I569" s="663">
        <v>1998</v>
      </c>
      <c r="J569" s="663"/>
      <c r="K569" s="663">
        <f t="shared" si="9"/>
        <v>26</v>
      </c>
      <c r="L569" s="694">
        <v>1104.73</v>
      </c>
      <c r="M569" s="680">
        <v>4562.6899999999996</v>
      </c>
      <c r="N569" s="680">
        <v>4562.6899999999996</v>
      </c>
      <c r="O569" s="681" t="s">
        <v>1812</v>
      </c>
      <c r="P569" s="663" t="s">
        <v>1581</v>
      </c>
      <c r="Q569" s="663">
        <v>5</v>
      </c>
      <c r="R569" s="690">
        <v>0</v>
      </c>
      <c r="S569" s="687" t="s">
        <v>1593</v>
      </c>
      <c r="T569" s="683" t="s">
        <v>825</v>
      </c>
      <c r="U569" s="683" t="s">
        <v>63</v>
      </c>
      <c r="V569" s="690"/>
      <c r="W569" s="687"/>
      <c r="X569" s="686">
        <v>47</v>
      </c>
      <c r="Y569" s="687" t="s">
        <v>1596</v>
      </c>
      <c r="Z569" s="663" t="s">
        <v>1587</v>
      </c>
      <c r="AA569" s="663" t="s">
        <v>1587</v>
      </c>
      <c r="AB569" s="663" t="s">
        <v>825</v>
      </c>
      <c r="AC569" s="663" t="s">
        <v>825</v>
      </c>
      <c r="AD569" s="663" t="s">
        <v>825</v>
      </c>
      <c r="AE569" s="663" t="s">
        <v>1585</v>
      </c>
      <c r="AF569" s="663" t="s">
        <v>1585</v>
      </c>
      <c r="AG569" s="663" t="s">
        <v>825</v>
      </c>
      <c r="AH569" s="663" t="s">
        <v>1585</v>
      </c>
      <c r="AI569" s="688">
        <v>51.612903225806448</v>
      </c>
      <c r="AJ569" s="689" t="s">
        <v>1588</v>
      </c>
      <c r="AK569" s="690"/>
    </row>
    <row r="570" spans="1:37" s="653" customFormat="1">
      <c r="A570" s="655">
        <v>2024</v>
      </c>
      <c r="B570" s="656" t="str">
        <f>INDEX('①基本情報 '!$C$2:$C$255,MATCH('②建物情報 '!E570,'①基本情報 '!$E$2:$E$255,0),1)</f>
        <v>203</v>
      </c>
      <c r="C570" s="657" t="str">
        <f>INDEX('①基本情報 '!$B$2:$B$255,MATCH('②建物情報 '!E570,'①基本情報 '!$E$2:$E$255,0),1)</f>
        <v>0830</v>
      </c>
      <c r="D570" s="261" t="s">
        <v>2418</v>
      </c>
      <c r="E570" s="262" t="s">
        <v>1292</v>
      </c>
      <c r="F570" s="263" t="str">
        <f>INDEX('①基本情報 '!$G$2:$G$255,MATCH('②建物情報 '!E570,'①基本情報 '!$E$2:$E$255,0),1)</f>
        <v>都市活力部都市整備室住宅政策課</v>
      </c>
      <c r="G570" s="264" t="s">
        <v>1589</v>
      </c>
      <c r="H570" s="282" t="s">
        <v>1615</v>
      </c>
      <c r="I570" s="265">
        <v>1999</v>
      </c>
      <c r="J570" s="265">
        <v>7</v>
      </c>
      <c r="K570" s="265">
        <f t="shared" si="9"/>
        <v>25</v>
      </c>
      <c r="L570" s="281"/>
      <c r="M570" s="267">
        <v>89.53</v>
      </c>
      <c r="N570" s="267">
        <v>89.53</v>
      </c>
      <c r="O570" s="268" t="s">
        <v>1812</v>
      </c>
      <c r="P570" s="265" t="s">
        <v>1603</v>
      </c>
      <c r="Q570" s="265"/>
      <c r="R570" s="292"/>
      <c r="S570" s="276"/>
      <c r="T570" s="272"/>
      <c r="U570" s="272"/>
      <c r="V570" s="292"/>
      <c r="W570" s="276"/>
      <c r="X570" s="275">
        <v>31</v>
      </c>
      <c r="Y570" s="276" t="s">
        <v>825</v>
      </c>
      <c r="Z570" s="265" t="s">
        <v>825</v>
      </c>
      <c r="AA570" s="265" t="s">
        <v>825</v>
      </c>
      <c r="AB570" s="265" t="s">
        <v>825</v>
      </c>
      <c r="AC570" s="265" t="s">
        <v>825</v>
      </c>
      <c r="AD570" s="265" t="s">
        <v>825</v>
      </c>
      <c r="AE570" s="265" t="s">
        <v>825</v>
      </c>
      <c r="AF570" s="265" t="s">
        <v>825</v>
      </c>
      <c r="AG570" s="265" t="s">
        <v>825</v>
      </c>
      <c r="AH570" s="265" t="s">
        <v>825</v>
      </c>
      <c r="AI570" s="277" t="s">
        <v>825</v>
      </c>
      <c r="AJ570" s="278" t="s">
        <v>1606</v>
      </c>
      <c r="AK570" s="693" t="s">
        <v>2330</v>
      </c>
    </row>
    <row r="571" spans="1:37" s="653" customFormat="1">
      <c r="A571" s="655">
        <v>2024</v>
      </c>
      <c r="B571" s="656" t="str">
        <f>INDEX('①基本情報 '!$C$2:$C$255,MATCH('②建物情報 '!E571,'①基本情報 '!$E$2:$E$255,0),1)</f>
        <v>203</v>
      </c>
      <c r="C571" s="657" t="str">
        <f>INDEX('①基本情報 '!$B$2:$B$255,MATCH('②建物情報 '!E571,'①基本情報 '!$E$2:$E$255,0),1)</f>
        <v>0830</v>
      </c>
      <c r="D571" s="261" t="s">
        <v>2418</v>
      </c>
      <c r="E571" s="262" t="s">
        <v>1292</v>
      </c>
      <c r="F571" s="263" t="str">
        <f>INDEX('①基本情報 '!$G$2:$G$255,MATCH('②建物情報 '!E571,'①基本情報 '!$E$2:$E$255,0),1)</f>
        <v>都市活力部都市整備室住宅政策課</v>
      </c>
      <c r="G571" s="264" t="s">
        <v>1591</v>
      </c>
      <c r="H571" s="282" t="s">
        <v>1609</v>
      </c>
      <c r="I571" s="265">
        <v>1999</v>
      </c>
      <c r="J571" s="265">
        <v>7</v>
      </c>
      <c r="K571" s="265">
        <f t="shared" si="9"/>
        <v>25</v>
      </c>
      <c r="L571" s="281"/>
      <c r="M571" s="267">
        <v>29.19</v>
      </c>
      <c r="N571" s="267">
        <v>29.19</v>
      </c>
      <c r="O571" s="268" t="s">
        <v>1812</v>
      </c>
      <c r="P571" s="265" t="s">
        <v>1581</v>
      </c>
      <c r="Q571" s="265"/>
      <c r="R571" s="292"/>
      <c r="S571" s="276"/>
      <c r="T571" s="272"/>
      <c r="U571" s="272"/>
      <c r="V571" s="292"/>
      <c r="W571" s="276"/>
      <c r="X571" s="275">
        <v>38</v>
      </c>
      <c r="Y571" s="276" t="s">
        <v>825</v>
      </c>
      <c r="Z571" s="265" t="s">
        <v>825</v>
      </c>
      <c r="AA571" s="265" t="s">
        <v>825</v>
      </c>
      <c r="AB571" s="265" t="s">
        <v>825</v>
      </c>
      <c r="AC571" s="265" t="s">
        <v>825</v>
      </c>
      <c r="AD571" s="265" t="s">
        <v>825</v>
      </c>
      <c r="AE571" s="265" t="s">
        <v>825</v>
      </c>
      <c r="AF571" s="265" t="s">
        <v>825</v>
      </c>
      <c r="AG571" s="265" t="s">
        <v>825</v>
      </c>
      <c r="AH571" s="265" t="s">
        <v>825</v>
      </c>
      <c r="AI571" s="277" t="s">
        <v>825</v>
      </c>
      <c r="AJ571" s="278" t="s">
        <v>1604</v>
      </c>
      <c r="AK571" s="696" t="s">
        <v>2332</v>
      </c>
    </row>
    <row r="572" spans="1:37" s="653" customFormat="1">
      <c r="A572" s="655">
        <v>2024</v>
      </c>
      <c r="B572" s="656" t="str">
        <f>INDEX('①基本情報 '!$C$2:$C$255,MATCH('②建物情報 '!E572,'①基本情報 '!$E$2:$E$255,0),1)</f>
        <v>204</v>
      </c>
      <c r="C572" s="657" t="str">
        <f>INDEX('①基本情報 '!$B$2:$B$255,MATCH('②建物情報 '!E572,'①基本情報 '!$E$2:$E$255,0),1)</f>
        <v>0831</v>
      </c>
      <c r="D572" s="658" t="s">
        <v>2418</v>
      </c>
      <c r="E572" s="612" t="s">
        <v>1296</v>
      </c>
      <c r="F572" s="611" t="str">
        <f>INDEX('①基本情報 '!$G$2:$G$255,MATCH('②建物情報 '!E572,'①基本情報 '!$E$2:$E$255,0),1)</f>
        <v>都市活力部都市整備室住宅政策課</v>
      </c>
      <c r="G572" s="678" t="s">
        <v>1580</v>
      </c>
      <c r="H572" s="612" t="s">
        <v>1296</v>
      </c>
      <c r="I572" s="663">
        <v>2000</v>
      </c>
      <c r="J572" s="663"/>
      <c r="K572" s="663">
        <f t="shared" si="9"/>
        <v>24</v>
      </c>
      <c r="L572" s="694">
        <v>1061.8499999999999</v>
      </c>
      <c r="M572" s="680">
        <v>4181.01</v>
      </c>
      <c r="N572" s="680">
        <v>4181.01</v>
      </c>
      <c r="O572" s="681" t="s">
        <v>1812</v>
      </c>
      <c r="P572" s="663" t="s">
        <v>1581</v>
      </c>
      <c r="Q572" s="663">
        <v>5</v>
      </c>
      <c r="R572" s="690">
        <v>0</v>
      </c>
      <c r="S572" s="687" t="s">
        <v>1593</v>
      </c>
      <c r="T572" s="683" t="s">
        <v>825</v>
      </c>
      <c r="U572" s="683" t="s">
        <v>63</v>
      </c>
      <c r="V572" s="690"/>
      <c r="W572" s="687"/>
      <c r="X572" s="686">
        <v>47</v>
      </c>
      <c r="Y572" s="687" t="s">
        <v>1596</v>
      </c>
      <c r="Z572" s="663" t="s">
        <v>1587</v>
      </c>
      <c r="AA572" s="663" t="s">
        <v>1587</v>
      </c>
      <c r="AB572" s="663" t="s">
        <v>825</v>
      </c>
      <c r="AC572" s="663" t="s">
        <v>825</v>
      </c>
      <c r="AD572" s="663" t="s">
        <v>825</v>
      </c>
      <c r="AE572" s="663" t="s">
        <v>1585</v>
      </c>
      <c r="AF572" s="663" t="s">
        <v>1585</v>
      </c>
      <c r="AG572" s="663" t="s">
        <v>825</v>
      </c>
      <c r="AH572" s="663" t="s">
        <v>1596</v>
      </c>
      <c r="AI572" s="688">
        <v>48.387096774193552</v>
      </c>
      <c r="AJ572" s="689" t="s">
        <v>1588</v>
      </c>
      <c r="AK572" s="690"/>
    </row>
    <row r="573" spans="1:37" s="653" customFormat="1">
      <c r="A573" s="655">
        <v>2024</v>
      </c>
      <c r="B573" s="656" t="str">
        <f>INDEX('①基本情報 '!$C$2:$C$255,MATCH('②建物情報 '!E573,'①基本情報 '!$E$2:$E$255,0),1)</f>
        <v>205</v>
      </c>
      <c r="C573" s="657" t="str">
        <f>INDEX('①基本情報 '!$B$2:$B$255,MATCH('②建物情報 '!E573,'①基本情報 '!$E$2:$E$255,0),1)</f>
        <v>0801</v>
      </c>
      <c r="D573" s="658" t="s">
        <v>2418</v>
      </c>
      <c r="E573" s="612" t="s">
        <v>1300</v>
      </c>
      <c r="F573" s="611" t="str">
        <f>INDEX('①基本情報 '!$G$2:$G$255,MATCH('②建物情報 '!E573,'①基本情報 '!$E$2:$E$255,0),1)</f>
        <v>都市活力部都市整備室住宅政策課</v>
      </c>
      <c r="G573" s="678" t="s">
        <v>1580</v>
      </c>
      <c r="H573" s="612" t="s">
        <v>1300</v>
      </c>
      <c r="I573" s="663">
        <v>2002</v>
      </c>
      <c r="J573" s="663"/>
      <c r="K573" s="663">
        <f t="shared" si="9"/>
        <v>22</v>
      </c>
      <c r="L573" s="694">
        <v>838.67</v>
      </c>
      <c r="M573" s="680">
        <v>2323.7600000000002</v>
      </c>
      <c r="N573" s="680">
        <v>2323.7600000000002</v>
      </c>
      <c r="O573" s="681" t="s">
        <v>1812</v>
      </c>
      <c r="P573" s="663" t="s">
        <v>1581</v>
      </c>
      <c r="Q573" s="663">
        <v>4</v>
      </c>
      <c r="R573" s="690">
        <v>0</v>
      </c>
      <c r="S573" s="687" t="s">
        <v>1593</v>
      </c>
      <c r="T573" s="683" t="s">
        <v>825</v>
      </c>
      <c r="U573" s="683" t="s">
        <v>63</v>
      </c>
      <c r="V573" s="690"/>
      <c r="W573" s="687">
        <v>2024</v>
      </c>
      <c r="X573" s="686">
        <v>47</v>
      </c>
      <c r="Y573" s="687" t="s">
        <v>1596</v>
      </c>
      <c r="Z573" s="663" t="s">
        <v>1587</v>
      </c>
      <c r="AA573" s="663" t="s">
        <v>1587</v>
      </c>
      <c r="AB573" s="663" t="s">
        <v>825</v>
      </c>
      <c r="AC573" s="663" t="s">
        <v>825</v>
      </c>
      <c r="AD573" s="663" t="s">
        <v>825</v>
      </c>
      <c r="AE573" s="663" t="s">
        <v>1585</v>
      </c>
      <c r="AF573" s="663" t="s">
        <v>1585</v>
      </c>
      <c r="AG573" s="663" t="s">
        <v>825</v>
      </c>
      <c r="AH573" s="663" t="s">
        <v>1596</v>
      </c>
      <c r="AI573" s="688">
        <v>40.645161290322584</v>
      </c>
      <c r="AJ573" s="689" t="s">
        <v>1588</v>
      </c>
      <c r="AK573" s="690"/>
    </row>
    <row r="574" spans="1:37" s="653" customFormat="1">
      <c r="A574" s="655">
        <v>2024</v>
      </c>
      <c r="B574" s="656" t="str">
        <f>INDEX('①基本情報 '!$C$2:$C$255,MATCH('②建物情報 '!E574,'①基本情報 '!$E$2:$E$255,0),1)</f>
        <v>205</v>
      </c>
      <c r="C574" s="657" t="str">
        <f>INDEX('①基本情報 '!$B$2:$B$255,MATCH('②建物情報 '!E574,'①基本情報 '!$E$2:$E$255,0),1)</f>
        <v>0801</v>
      </c>
      <c r="D574" s="261" t="s">
        <v>2418</v>
      </c>
      <c r="E574" s="262" t="s">
        <v>1300</v>
      </c>
      <c r="F574" s="263" t="str">
        <f>INDEX('①基本情報 '!$G$2:$G$255,MATCH('②建物情報 '!E574,'①基本情報 '!$E$2:$E$255,0),1)</f>
        <v>都市活力部都市整備室住宅政策課</v>
      </c>
      <c r="G574" s="264" t="s">
        <v>1589</v>
      </c>
      <c r="H574" s="282" t="s">
        <v>1725</v>
      </c>
      <c r="I574" s="265">
        <v>2002</v>
      </c>
      <c r="J574" s="265">
        <v>9</v>
      </c>
      <c r="K574" s="265">
        <f t="shared" si="9"/>
        <v>22</v>
      </c>
      <c r="L574" s="281"/>
      <c r="M574" s="267">
        <v>22.62</v>
      </c>
      <c r="N574" s="267">
        <v>22.62</v>
      </c>
      <c r="O574" s="268" t="s">
        <v>1812</v>
      </c>
      <c r="P574" s="265" t="s">
        <v>1581</v>
      </c>
      <c r="Q574" s="265"/>
      <c r="R574" s="292"/>
      <c r="S574" s="276"/>
      <c r="T574" s="272"/>
      <c r="U574" s="272"/>
      <c r="V574" s="292"/>
      <c r="W574" s="276"/>
      <c r="X574" s="275">
        <v>38</v>
      </c>
      <c r="Y574" s="276" t="s">
        <v>825</v>
      </c>
      <c r="Z574" s="265" t="s">
        <v>825</v>
      </c>
      <c r="AA574" s="265" t="s">
        <v>825</v>
      </c>
      <c r="AB574" s="265" t="s">
        <v>825</v>
      </c>
      <c r="AC574" s="265" t="s">
        <v>825</v>
      </c>
      <c r="AD574" s="265" t="s">
        <v>825</v>
      </c>
      <c r="AE574" s="265" t="s">
        <v>825</v>
      </c>
      <c r="AF574" s="265" t="s">
        <v>825</v>
      </c>
      <c r="AG574" s="265" t="s">
        <v>825</v>
      </c>
      <c r="AH574" s="265" t="s">
        <v>825</v>
      </c>
      <c r="AI574" s="277" t="s">
        <v>825</v>
      </c>
      <c r="AJ574" s="278" t="s">
        <v>1604</v>
      </c>
      <c r="AK574" s="696" t="s">
        <v>2332</v>
      </c>
    </row>
    <row r="575" spans="1:37" s="653" customFormat="1">
      <c r="A575" s="655">
        <v>2024</v>
      </c>
      <c r="B575" s="656" t="str">
        <f>INDEX('①基本情報 '!$C$2:$C$255,MATCH('②建物情報 '!E575,'①基本情報 '!$E$2:$E$255,0),1)</f>
        <v>205</v>
      </c>
      <c r="C575" s="657" t="str">
        <f>INDEX('①基本情報 '!$B$2:$B$255,MATCH('②建物情報 '!E575,'①基本情報 '!$E$2:$E$255,0),1)</f>
        <v>0801</v>
      </c>
      <c r="D575" s="261" t="s">
        <v>2418</v>
      </c>
      <c r="E575" s="262" t="s">
        <v>1300</v>
      </c>
      <c r="F575" s="263" t="str">
        <f>INDEX('①基本情報 '!$G$2:$G$255,MATCH('②建物情報 '!E575,'①基本情報 '!$E$2:$E$255,0),1)</f>
        <v>都市活力部都市整備室住宅政策課</v>
      </c>
      <c r="G575" s="264" t="s">
        <v>1591</v>
      </c>
      <c r="H575" s="282" t="s">
        <v>1615</v>
      </c>
      <c r="I575" s="265">
        <v>2002</v>
      </c>
      <c r="J575" s="265">
        <v>9</v>
      </c>
      <c r="K575" s="265">
        <f t="shared" si="9"/>
        <v>22</v>
      </c>
      <c r="L575" s="281"/>
      <c r="M575" s="267">
        <v>48.55</v>
      </c>
      <c r="N575" s="267">
        <v>48.55</v>
      </c>
      <c r="O575" s="268" t="s">
        <v>1812</v>
      </c>
      <c r="P575" s="265" t="s">
        <v>1603</v>
      </c>
      <c r="Q575" s="265"/>
      <c r="R575" s="292"/>
      <c r="S575" s="276"/>
      <c r="T575" s="272"/>
      <c r="U575" s="272"/>
      <c r="V575" s="292"/>
      <c r="W575" s="276"/>
      <c r="X575" s="275">
        <v>24</v>
      </c>
      <c r="Y575" s="276" t="s">
        <v>825</v>
      </c>
      <c r="Z575" s="265" t="s">
        <v>825</v>
      </c>
      <c r="AA575" s="265" t="s">
        <v>825</v>
      </c>
      <c r="AB575" s="265" t="s">
        <v>825</v>
      </c>
      <c r="AC575" s="265" t="s">
        <v>825</v>
      </c>
      <c r="AD575" s="265" t="s">
        <v>825</v>
      </c>
      <c r="AE575" s="265" t="s">
        <v>825</v>
      </c>
      <c r="AF575" s="265" t="s">
        <v>825</v>
      </c>
      <c r="AG575" s="265" t="s">
        <v>825</v>
      </c>
      <c r="AH575" s="265" t="s">
        <v>825</v>
      </c>
      <c r="AI575" s="277" t="s">
        <v>825</v>
      </c>
      <c r="AJ575" s="278" t="s">
        <v>1606</v>
      </c>
      <c r="AK575" s="693" t="s">
        <v>2330</v>
      </c>
    </row>
    <row r="576" spans="1:37" s="653" customFormat="1">
      <c r="A576" s="655">
        <v>2024</v>
      </c>
      <c r="B576" s="656" t="str">
        <f>INDEX('①基本情報 '!$C$2:$C$255,MATCH('②建物情報 '!E576,'①基本情報 '!$E$2:$E$255,0),1)</f>
        <v>205</v>
      </c>
      <c r="C576" s="657" t="str">
        <f>INDEX('①基本情報 '!$B$2:$B$255,MATCH('②建物情報 '!E576,'①基本情報 '!$E$2:$E$255,0),1)</f>
        <v>0801</v>
      </c>
      <c r="D576" s="261" t="s">
        <v>2418</v>
      </c>
      <c r="E576" s="262" t="s">
        <v>1300</v>
      </c>
      <c r="F576" s="263" t="str">
        <f>INDEX('①基本情報 '!$G$2:$G$255,MATCH('②建物情報 '!E576,'①基本情報 '!$E$2:$E$255,0),1)</f>
        <v>都市活力部都市整備室住宅政策課</v>
      </c>
      <c r="G576" s="264" t="s">
        <v>1601</v>
      </c>
      <c r="H576" s="282" t="s">
        <v>1609</v>
      </c>
      <c r="I576" s="265">
        <v>2002</v>
      </c>
      <c r="J576" s="265">
        <v>9</v>
      </c>
      <c r="K576" s="265">
        <f t="shared" si="9"/>
        <v>22</v>
      </c>
      <c r="L576" s="281"/>
      <c r="M576" s="267">
        <v>4</v>
      </c>
      <c r="N576" s="267">
        <v>4</v>
      </c>
      <c r="O576" s="268" t="s">
        <v>1812</v>
      </c>
      <c r="P576" s="265" t="s">
        <v>1617</v>
      </c>
      <c r="Q576" s="265"/>
      <c r="R576" s="292"/>
      <c r="S576" s="276"/>
      <c r="T576" s="272"/>
      <c r="U576" s="272"/>
      <c r="V576" s="292"/>
      <c r="W576" s="276"/>
      <c r="X576" s="275">
        <v>34</v>
      </c>
      <c r="Y576" s="276" t="s">
        <v>825</v>
      </c>
      <c r="Z576" s="265" t="s">
        <v>825</v>
      </c>
      <c r="AA576" s="265" t="s">
        <v>825</v>
      </c>
      <c r="AB576" s="265" t="s">
        <v>825</v>
      </c>
      <c r="AC576" s="265" t="s">
        <v>825</v>
      </c>
      <c r="AD576" s="265" t="s">
        <v>825</v>
      </c>
      <c r="AE576" s="265" t="s">
        <v>825</v>
      </c>
      <c r="AF576" s="265" t="s">
        <v>825</v>
      </c>
      <c r="AG576" s="265" t="s">
        <v>825</v>
      </c>
      <c r="AH576" s="265" t="s">
        <v>825</v>
      </c>
      <c r="AI576" s="277" t="s">
        <v>825</v>
      </c>
      <c r="AJ576" s="278" t="s">
        <v>1604</v>
      </c>
      <c r="AK576" s="696" t="s">
        <v>2332</v>
      </c>
    </row>
    <row r="577" spans="1:37" s="653" customFormat="1">
      <c r="A577" s="655">
        <v>2024</v>
      </c>
      <c r="B577" s="656" t="str">
        <f>INDEX('①基本情報 '!$C$2:$C$255,MATCH('②建物情報 '!E577,'①基本情報 '!$E$2:$E$255,0),1)</f>
        <v>206</v>
      </c>
      <c r="C577" s="657" t="str">
        <f>INDEX('①基本情報 '!$B$2:$B$255,MATCH('②建物情報 '!E577,'①基本情報 '!$E$2:$E$255,0),1)</f>
        <v>0832</v>
      </c>
      <c r="D577" s="658" t="s">
        <v>2418</v>
      </c>
      <c r="E577" s="612" t="s">
        <v>1305</v>
      </c>
      <c r="F577" s="611" t="str">
        <f>INDEX('①基本情報 '!$G$2:$G$255,MATCH('②建物情報 '!E577,'①基本情報 '!$E$2:$E$255,0),1)</f>
        <v>都市活力部都市整備室住宅政策課</v>
      </c>
      <c r="G577" s="678" t="s">
        <v>1580</v>
      </c>
      <c r="H577" s="612" t="s">
        <v>1305</v>
      </c>
      <c r="I577" s="663">
        <v>2006</v>
      </c>
      <c r="J577" s="663"/>
      <c r="K577" s="663">
        <f t="shared" si="9"/>
        <v>18</v>
      </c>
      <c r="L577" s="694"/>
      <c r="M577" s="680">
        <v>4284.75</v>
      </c>
      <c r="N577" s="680">
        <v>4284.75</v>
      </c>
      <c r="O577" s="681" t="s">
        <v>1812</v>
      </c>
      <c r="P577" s="663" t="s">
        <v>1581</v>
      </c>
      <c r="Q577" s="663">
        <v>5</v>
      </c>
      <c r="R577" s="690">
        <v>0</v>
      </c>
      <c r="S577" s="687" t="s">
        <v>1593</v>
      </c>
      <c r="T577" s="683" t="s">
        <v>825</v>
      </c>
      <c r="U577" s="683" t="s">
        <v>63</v>
      </c>
      <c r="V577" s="690"/>
      <c r="W577" s="687"/>
      <c r="X577" s="686">
        <v>47</v>
      </c>
      <c r="Y577" s="687" t="s">
        <v>1587</v>
      </c>
      <c r="Z577" s="663" t="s">
        <v>1585</v>
      </c>
      <c r="AA577" s="663" t="s">
        <v>1586</v>
      </c>
      <c r="AB577" s="663" t="s">
        <v>825</v>
      </c>
      <c r="AC577" s="663" t="s">
        <v>825</v>
      </c>
      <c r="AD577" s="663" t="s">
        <v>825</v>
      </c>
      <c r="AE577" s="663" t="s">
        <v>1596</v>
      </c>
      <c r="AF577" s="663" t="s">
        <v>1585</v>
      </c>
      <c r="AG577" s="663" t="s">
        <v>825</v>
      </c>
      <c r="AH577" s="663" t="s">
        <v>1585</v>
      </c>
      <c r="AI577" s="688">
        <v>50.967741935483879</v>
      </c>
      <c r="AJ577" s="689" t="s">
        <v>1588</v>
      </c>
      <c r="AK577" s="690"/>
    </row>
    <row r="578" spans="1:37" s="653" customFormat="1">
      <c r="A578" s="655">
        <v>2024</v>
      </c>
      <c r="B578" s="656" t="str">
        <f>INDEX('①基本情報 '!$C$2:$C$255,MATCH('②建物情報 '!E578,'①基本情報 '!$E$2:$E$255,0),1)</f>
        <v>206</v>
      </c>
      <c r="C578" s="657" t="str">
        <f>INDEX('①基本情報 '!$B$2:$B$255,MATCH('②建物情報 '!E578,'①基本情報 '!$E$2:$E$255,0),1)</f>
        <v>0832</v>
      </c>
      <c r="D578" s="658" t="s">
        <v>2418</v>
      </c>
      <c r="E578" s="612" t="s">
        <v>1305</v>
      </c>
      <c r="F578" s="611" t="str">
        <f>INDEX('①基本情報 '!$G$2:$G$255,MATCH('②建物情報 '!E578,'①基本情報 '!$E$2:$E$255,0),1)</f>
        <v>都市活力部都市整備室住宅政策課</v>
      </c>
      <c r="G578" s="678" t="s">
        <v>1589</v>
      </c>
      <c r="H578" s="612" t="s">
        <v>1305</v>
      </c>
      <c r="I578" s="663">
        <v>2006</v>
      </c>
      <c r="J578" s="663"/>
      <c r="K578" s="663">
        <f t="shared" si="9"/>
        <v>18</v>
      </c>
      <c r="L578" s="694"/>
      <c r="M578" s="680">
        <v>3563.45</v>
      </c>
      <c r="N578" s="680">
        <v>3563.45</v>
      </c>
      <c r="O578" s="681" t="s">
        <v>1812</v>
      </c>
      <c r="P578" s="663" t="s">
        <v>1581</v>
      </c>
      <c r="Q578" s="663">
        <v>5</v>
      </c>
      <c r="R578" s="690">
        <v>0</v>
      </c>
      <c r="S578" s="687" t="s">
        <v>1593</v>
      </c>
      <c r="T578" s="683" t="s">
        <v>825</v>
      </c>
      <c r="U578" s="683" t="s">
        <v>63</v>
      </c>
      <c r="V578" s="690"/>
      <c r="W578" s="687"/>
      <c r="X578" s="686">
        <v>47</v>
      </c>
      <c r="Y578" s="687" t="s">
        <v>825</v>
      </c>
      <c r="Z578" s="663" t="s">
        <v>825</v>
      </c>
      <c r="AA578" s="663" t="s">
        <v>825</v>
      </c>
      <c r="AB578" s="663" t="s">
        <v>825</v>
      </c>
      <c r="AC578" s="663" t="s">
        <v>825</v>
      </c>
      <c r="AD578" s="663" t="s">
        <v>825</v>
      </c>
      <c r="AE578" s="663" t="s">
        <v>825</v>
      </c>
      <c r="AF578" s="663" t="s">
        <v>825</v>
      </c>
      <c r="AG578" s="663" t="s">
        <v>825</v>
      </c>
      <c r="AH578" s="663" t="s">
        <v>825</v>
      </c>
      <c r="AI578" s="688" t="s">
        <v>825</v>
      </c>
      <c r="AJ578" s="689" t="s">
        <v>1588</v>
      </c>
      <c r="AK578" s="690"/>
    </row>
    <row r="579" spans="1:37" s="653" customFormat="1">
      <c r="A579" s="655">
        <v>2024</v>
      </c>
      <c r="B579" s="656" t="str">
        <f>INDEX('①基本情報 '!$C$2:$C$255,MATCH('②建物情報 '!E579,'①基本情報 '!$E$2:$E$255,0),1)</f>
        <v>206</v>
      </c>
      <c r="C579" s="657" t="str">
        <f>INDEX('①基本情報 '!$B$2:$B$255,MATCH('②建物情報 '!E579,'①基本情報 '!$E$2:$E$255,0),1)</f>
        <v>0832</v>
      </c>
      <c r="D579" s="658" t="s">
        <v>2418</v>
      </c>
      <c r="E579" s="612" t="s">
        <v>1305</v>
      </c>
      <c r="F579" s="611" t="str">
        <f>INDEX('①基本情報 '!$G$2:$G$255,MATCH('②建物情報 '!E579,'①基本情報 '!$E$2:$E$255,0),1)</f>
        <v>都市活力部都市整備室住宅政策課</v>
      </c>
      <c r="G579" s="678" t="s">
        <v>1591</v>
      </c>
      <c r="H579" s="700" t="s">
        <v>1622</v>
      </c>
      <c r="I579" s="663">
        <v>2007</v>
      </c>
      <c r="J579" s="663">
        <v>2</v>
      </c>
      <c r="K579" s="663">
        <f t="shared" si="9"/>
        <v>17</v>
      </c>
      <c r="L579" s="694"/>
      <c r="M579" s="680">
        <v>139.47999999999999</v>
      </c>
      <c r="N579" s="680">
        <v>139.47999999999999</v>
      </c>
      <c r="O579" s="681" t="s">
        <v>1812</v>
      </c>
      <c r="P579" s="663" t="s">
        <v>1581</v>
      </c>
      <c r="Q579" s="663"/>
      <c r="R579" s="690"/>
      <c r="S579" s="687" t="s">
        <v>1593</v>
      </c>
      <c r="T579" s="683" t="s">
        <v>1966</v>
      </c>
      <c r="U579" s="683" t="s">
        <v>63</v>
      </c>
      <c r="V579" s="690"/>
      <c r="W579" s="687"/>
      <c r="X579" s="686">
        <v>47</v>
      </c>
      <c r="Y579" s="687" t="s">
        <v>825</v>
      </c>
      <c r="Z579" s="663" t="s">
        <v>825</v>
      </c>
      <c r="AA579" s="663" t="s">
        <v>825</v>
      </c>
      <c r="AB579" s="663" t="s">
        <v>825</v>
      </c>
      <c r="AC579" s="663" t="s">
        <v>825</v>
      </c>
      <c r="AD579" s="663" t="s">
        <v>825</v>
      </c>
      <c r="AE579" s="663" t="s">
        <v>825</v>
      </c>
      <c r="AF579" s="663" t="s">
        <v>825</v>
      </c>
      <c r="AG579" s="663" t="s">
        <v>825</v>
      </c>
      <c r="AH579" s="663" t="s">
        <v>825</v>
      </c>
      <c r="AI579" s="688" t="s">
        <v>825</v>
      </c>
      <c r="AJ579" s="689" t="s">
        <v>1588</v>
      </c>
      <c r="AK579" s="690"/>
    </row>
    <row r="580" spans="1:37" s="653" customFormat="1">
      <c r="A580" s="655">
        <v>2024</v>
      </c>
      <c r="B580" s="656" t="str">
        <f>INDEX('①基本情報 '!$C$2:$C$255,MATCH('②建物情報 '!E580,'①基本情報 '!$E$2:$E$255,0),1)</f>
        <v>206</v>
      </c>
      <c r="C580" s="657" t="str">
        <f>INDEX('①基本情報 '!$B$2:$B$255,MATCH('②建物情報 '!E580,'①基本情報 '!$E$2:$E$255,0),1)</f>
        <v>0832</v>
      </c>
      <c r="D580" s="261" t="s">
        <v>2418</v>
      </c>
      <c r="E580" s="262" t="s">
        <v>1305</v>
      </c>
      <c r="F580" s="263" t="str">
        <f>INDEX('①基本情報 '!$G$2:$G$255,MATCH('②建物情報 '!E580,'①基本情報 '!$E$2:$E$255,0),1)</f>
        <v>都市活力部都市整備室住宅政策課</v>
      </c>
      <c r="G580" s="264" t="s">
        <v>1601</v>
      </c>
      <c r="H580" s="282" t="s">
        <v>1712</v>
      </c>
      <c r="I580" s="265">
        <v>2007</v>
      </c>
      <c r="J580" s="265">
        <v>2</v>
      </c>
      <c r="K580" s="265">
        <f t="shared" si="9"/>
        <v>17</v>
      </c>
      <c r="L580" s="281"/>
      <c r="M580" s="267">
        <v>99.2</v>
      </c>
      <c r="N580" s="267">
        <v>99.2</v>
      </c>
      <c r="O580" s="268" t="s">
        <v>1812</v>
      </c>
      <c r="P580" s="265" t="s">
        <v>1603</v>
      </c>
      <c r="Q580" s="265"/>
      <c r="R580" s="292"/>
      <c r="S580" s="276"/>
      <c r="T580" s="272"/>
      <c r="U580" s="272"/>
      <c r="V580" s="292"/>
      <c r="W580" s="276"/>
      <c r="X580" s="275">
        <v>31</v>
      </c>
      <c r="Y580" s="276" t="s">
        <v>825</v>
      </c>
      <c r="Z580" s="265" t="s">
        <v>825</v>
      </c>
      <c r="AA580" s="265" t="s">
        <v>825</v>
      </c>
      <c r="AB580" s="265" t="s">
        <v>825</v>
      </c>
      <c r="AC580" s="265" t="s">
        <v>825</v>
      </c>
      <c r="AD580" s="265" t="s">
        <v>825</v>
      </c>
      <c r="AE580" s="265" t="s">
        <v>825</v>
      </c>
      <c r="AF580" s="265" t="s">
        <v>825</v>
      </c>
      <c r="AG580" s="265" t="s">
        <v>825</v>
      </c>
      <c r="AH580" s="265" t="s">
        <v>825</v>
      </c>
      <c r="AI580" s="277" t="s">
        <v>825</v>
      </c>
      <c r="AJ580" s="278" t="s">
        <v>1606</v>
      </c>
      <c r="AK580" s="693" t="s">
        <v>2330</v>
      </c>
    </row>
    <row r="581" spans="1:37" s="653" customFormat="1">
      <c r="A581" s="655">
        <v>2024</v>
      </c>
      <c r="B581" s="656" t="str">
        <f>INDEX('①基本情報 '!$C$2:$C$255,MATCH('②建物情報 '!E581,'①基本情報 '!$E$2:$E$255,0),1)</f>
        <v>206</v>
      </c>
      <c r="C581" s="657" t="str">
        <f>INDEX('①基本情報 '!$B$2:$B$255,MATCH('②建物情報 '!E581,'①基本情報 '!$E$2:$E$255,0),1)</f>
        <v>0832</v>
      </c>
      <c r="D581" s="261" t="s">
        <v>2418</v>
      </c>
      <c r="E581" s="262" t="s">
        <v>1305</v>
      </c>
      <c r="F581" s="263" t="str">
        <f>INDEX('①基本情報 '!$G$2:$G$255,MATCH('②建物情報 '!E581,'①基本情報 '!$E$2:$E$255,0),1)</f>
        <v>都市活力部都市整備室住宅政策課</v>
      </c>
      <c r="G581" s="264" t="s">
        <v>1620</v>
      </c>
      <c r="H581" s="282" t="s">
        <v>1726</v>
      </c>
      <c r="I581" s="265">
        <v>2007</v>
      </c>
      <c r="J581" s="265">
        <v>2</v>
      </c>
      <c r="K581" s="265">
        <f t="shared" si="9"/>
        <v>17</v>
      </c>
      <c r="L581" s="281"/>
      <c r="M581" s="267">
        <v>37.65</v>
      </c>
      <c r="N581" s="267">
        <v>37.65</v>
      </c>
      <c r="O581" s="268" t="s">
        <v>1812</v>
      </c>
      <c r="P581" s="265" t="s">
        <v>1581</v>
      </c>
      <c r="Q581" s="265"/>
      <c r="R581" s="292"/>
      <c r="S581" s="276"/>
      <c r="T581" s="272"/>
      <c r="U581" s="272"/>
      <c r="V581" s="292"/>
      <c r="W581" s="276"/>
      <c r="X581" s="275">
        <v>38</v>
      </c>
      <c r="Y581" s="276" t="s">
        <v>825</v>
      </c>
      <c r="Z581" s="265" t="s">
        <v>825</v>
      </c>
      <c r="AA581" s="265" t="s">
        <v>825</v>
      </c>
      <c r="AB581" s="265" t="s">
        <v>825</v>
      </c>
      <c r="AC581" s="265" t="s">
        <v>825</v>
      </c>
      <c r="AD581" s="265" t="s">
        <v>825</v>
      </c>
      <c r="AE581" s="265" t="s">
        <v>825</v>
      </c>
      <c r="AF581" s="265" t="s">
        <v>825</v>
      </c>
      <c r="AG581" s="265" t="s">
        <v>825</v>
      </c>
      <c r="AH581" s="265" t="s">
        <v>825</v>
      </c>
      <c r="AI581" s="277" t="s">
        <v>825</v>
      </c>
      <c r="AJ581" s="278" t="s">
        <v>1604</v>
      </c>
      <c r="AK581" s="696" t="s">
        <v>2332</v>
      </c>
    </row>
    <row r="582" spans="1:37" s="653" customFormat="1">
      <c r="A582" s="655">
        <v>2024</v>
      </c>
      <c r="B582" s="656" t="str">
        <f>INDEX('①基本情報 '!$C$2:$C$255,MATCH('②建物情報 '!E582,'①基本情報 '!$E$2:$E$255,0),1)</f>
        <v>206</v>
      </c>
      <c r="C582" s="657" t="str">
        <f>INDEX('①基本情報 '!$B$2:$B$255,MATCH('②建物情報 '!E582,'①基本情報 '!$E$2:$E$255,0),1)</f>
        <v>0832</v>
      </c>
      <c r="D582" s="261" t="s">
        <v>2418</v>
      </c>
      <c r="E582" s="262" t="s">
        <v>1305</v>
      </c>
      <c r="F582" s="263" t="str">
        <f>INDEX('①基本情報 '!$G$2:$G$255,MATCH('②建物情報 '!E582,'①基本情報 '!$E$2:$E$255,0),1)</f>
        <v>都市活力部都市整備室住宅政策課</v>
      </c>
      <c r="G582" s="264" t="s">
        <v>1879</v>
      </c>
      <c r="H582" s="282" t="s">
        <v>1712</v>
      </c>
      <c r="I582" s="265">
        <v>2008</v>
      </c>
      <c r="J582" s="265">
        <v>1</v>
      </c>
      <c r="K582" s="265">
        <f t="shared" si="9"/>
        <v>16</v>
      </c>
      <c r="L582" s="281"/>
      <c r="M582" s="267">
        <v>89.6</v>
      </c>
      <c r="N582" s="267">
        <v>89.6</v>
      </c>
      <c r="O582" s="268" t="s">
        <v>1812</v>
      </c>
      <c r="P582" s="265" t="s">
        <v>1603</v>
      </c>
      <c r="Q582" s="265"/>
      <c r="R582" s="292"/>
      <c r="S582" s="276"/>
      <c r="T582" s="272"/>
      <c r="U582" s="272"/>
      <c r="V582" s="292"/>
      <c r="W582" s="276"/>
      <c r="X582" s="275">
        <v>31</v>
      </c>
      <c r="Y582" s="276" t="s">
        <v>825</v>
      </c>
      <c r="Z582" s="265" t="s">
        <v>825</v>
      </c>
      <c r="AA582" s="265" t="s">
        <v>825</v>
      </c>
      <c r="AB582" s="265" t="s">
        <v>825</v>
      </c>
      <c r="AC582" s="265" t="s">
        <v>825</v>
      </c>
      <c r="AD582" s="265" t="s">
        <v>825</v>
      </c>
      <c r="AE582" s="265" t="s">
        <v>825</v>
      </c>
      <c r="AF582" s="265" t="s">
        <v>825</v>
      </c>
      <c r="AG582" s="265" t="s">
        <v>825</v>
      </c>
      <c r="AH582" s="265" t="s">
        <v>825</v>
      </c>
      <c r="AI582" s="277" t="s">
        <v>825</v>
      </c>
      <c r="AJ582" s="278" t="s">
        <v>1606</v>
      </c>
      <c r="AK582" s="693" t="s">
        <v>2330</v>
      </c>
    </row>
    <row r="583" spans="1:37" s="653" customFormat="1">
      <c r="A583" s="655">
        <v>2024</v>
      </c>
      <c r="B583" s="656" t="str">
        <f>INDEX('①基本情報 '!$C$2:$C$255,MATCH('②建物情報 '!E583,'①基本情報 '!$E$2:$E$255,0),1)</f>
        <v>207</v>
      </c>
      <c r="C583" s="657" t="str">
        <f>INDEX('①基本情報 '!$B$2:$B$255,MATCH('②建物情報 '!E583,'①基本情報 '!$E$2:$E$255,0),1)</f>
        <v>0845</v>
      </c>
      <c r="D583" s="658" t="s">
        <v>2418</v>
      </c>
      <c r="E583" s="612" t="s">
        <v>1309</v>
      </c>
      <c r="F583" s="611" t="str">
        <f>INDEX('①基本情報 '!$G$2:$G$255,MATCH('②建物情報 '!E583,'①基本情報 '!$E$2:$E$255,0),1)</f>
        <v>都市活力部都市整備室住宅政策課</v>
      </c>
      <c r="G583" s="678" t="s">
        <v>1580</v>
      </c>
      <c r="H583" s="612" t="s">
        <v>1690</v>
      </c>
      <c r="I583" s="663">
        <v>1974</v>
      </c>
      <c r="J583" s="663"/>
      <c r="K583" s="663">
        <f t="shared" si="9"/>
        <v>50</v>
      </c>
      <c r="L583" s="694">
        <v>488.97</v>
      </c>
      <c r="M583" s="680">
        <v>2759.57</v>
      </c>
      <c r="N583" s="680">
        <v>2759.57</v>
      </c>
      <c r="O583" s="681" t="s">
        <v>1812</v>
      </c>
      <c r="P583" s="663" t="s">
        <v>1581</v>
      </c>
      <c r="Q583" s="663">
        <v>5</v>
      </c>
      <c r="R583" s="690">
        <v>1</v>
      </c>
      <c r="S583" s="687" t="s">
        <v>1582</v>
      </c>
      <c r="T583" s="663"/>
      <c r="U583" s="683" t="s">
        <v>1846</v>
      </c>
      <c r="V583" s="690"/>
      <c r="W583" s="687"/>
      <c r="X583" s="686">
        <v>47</v>
      </c>
      <c r="Y583" s="687" t="s">
        <v>1585</v>
      </c>
      <c r="Z583" s="663" t="s">
        <v>1587</v>
      </c>
      <c r="AA583" s="663" t="s">
        <v>1596</v>
      </c>
      <c r="AB583" s="663" t="s">
        <v>825</v>
      </c>
      <c r="AC583" s="663" t="s">
        <v>825</v>
      </c>
      <c r="AD583" s="663" t="s">
        <v>825</v>
      </c>
      <c r="AE583" s="663" t="s">
        <v>1585</v>
      </c>
      <c r="AF583" s="663" t="s">
        <v>1585</v>
      </c>
      <c r="AG583" s="663" t="s">
        <v>825</v>
      </c>
      <c r="AH583" s="663" t="s">
        <v>1585</v>
      </c>
      <c r="AI583" s="688">
        <v>69.032258064516128</v>
      </c>
      <c r="AJ583" s="689" t="s">
        <v>1588</v>
      </c>
      <c r="AK583" s="690"/>
    </row>
    <row r="584" spans="1:37" s="653" customFormat="1">
      <c r="A584" s="655">
        <v>2024</v>
      </c>
      <c r="B584" s="656" t="str">
        <f>INDEX('①基本情報 '!$C$2:$C$255,MATCH('②建物情報 '!E584,'①基本情報 '!$E$2:$E$255,0),1)</f>
        <v>207</v>
      </c>
      <c r="C584" s="657" t="str">
        <f>INDEX('①基本情報 '!$B$2:$B$255,MATCH('②建物情報 '!E584,'①基本情報 '!$E$2:$E$255,0),1)</f>
        <v>0845</v>
      </c>
      <c r="D584" s="658" t="s">
        <v>2418</v>
      </c>
      <c r="E584" s="612" t="s">
        <v>1309</v>
      </c>
      <c r="F584" s="611" t="str">
        <f>INDEX('①基本情報 '!$G$2:$G$255,MATCH('②建物情報 '!E584,'①基本情報 '!$E$2:$E$255,0),1)</f>
        <v>都市活力部都市整備室住宅政策課</v>
      </c>
      <c r="G584" s="678" t="s">
        <v>1589</v>
      </c>
      <c r="H584" s="612" t="s">
        <v>1691</v>
      </c>
      <c r="I584" s="663">
        <v>1974</v>
      </c>
      <c r="J584" s="663"/>
      <c r="K584" s="663">
        <f t="shared" si="9"/>
        <v>50</v>
      </c>
      <c r="L584" s="694">
        <v>389.58</v>
      </c>
      <c r="M584" s="680">
        <v>2388.6999999999998</v>
      </c>
      <c r="N584" s="680">
        <v>2388.6999999999998</v>
      </c>
      <c r="O584" s="681" t="s">
        <v>1812</v>
      </c>
      <c r="P584" s="663" t="s">
        <v>1581</v>
      </c>
      <c r="Q584" s="663">
        <v>5</v>
      </c>
      <c r="R584" s="690">
        <v>1</v>
      </c>
      <c r="S584" s="687" t="s">
        <v>1582</v>
      </c>
      <c r="T584" s="663"/>
      <c r="U584" s="683" t="s">
        <v>1846</v>
      </c>
      <c r="V584" s="690"/>
      <c r="W584" s="687"/>
      <c r="X584" s="686">
        <v>47</v>
      </c>
      <c r="Y584" s="687" t="s">
        <v>1585</v>
      </c>
      <c r="Z584" s="663" t="s">
        <v>1587</v>
      </c>
      <c r="AA584" s="663" t="s">
        <v>1596</v>
      </c>
      <c r="AB584" s="663" t="s">
        <v>825</v>
      </c>
      <c r="AC584" s="663" t="s">
        <v>825</v>
      </c>
      <c r="AD584" s="663" t="s">
        <v>825</v>
      </c>
      <c r="AE584" s="663" t="s">
        <v>1585</v>
      </c>
      <c r="AF584" s="663" t="s">
        <v>1585</v>
      </c>
      <c r="AG584" s="663" t="s">
        <v>825</v>
      </c>
      <c r="AH584" s="663" t="s">
        <v>1585</v>
      </c>
      <c r="AI584" s="688">
        <v>65.161290322580641</v>
      </c>
      <c r="AJ584" s="689" t="s">
        <v>1588</v>
      </c>
      <c r="AK584" s="690"/>
    </row>
    <row r="585" spans="1:37" s="653" customFormat="1">
      <c r="A585" s="655">
        <v>2024</v>
      </c>
      <c r="B585" s="656" t="str">
        <f>INDEX('①基本情報 '!$C$2:$C$255,MATCH('②建物情報 '!E585,'①基本情報 '!$E$2:$E$255,0),1)</f>
        <v>207</v>
      </c>
      <c r="C585" s="657" t="str">
        <f>INDEX('①基本情報 '!$B$2:$B$255,MATCH('②建物情報 '!E585,'①基本情報 '!$E$2:$E$255,0),1)</f>
        <v>0845</v>
      </c>
      <c r="D585" s="261" t="s">
        <v>2418</v>
      </c>
      <c r="E585" s="262" t="s">
        <v>1309</v>
      </c>
      <c r="F585" s="263" t="str">
        <f>INDEX('①基本情報 '!$G$2:$G$255,MATCH('②建物情報 '!E585,'①基本情報 '!$E$2:$E$255,0),1)</f>
        <v>都市活力部都市整備室住宅政策課</v>
      </c>
      <c r="G585" s="264" t="s">
        <v>1591</v>
      </c>
      <c r="H585" s="282" t="s">
        <v>1609</v>
      </c>
      <c r="I585" s="265">
        <v>1974</v>
      </c>
      <c r="J585" s="265">
        <v>1</v>
      </c>
      <c r="K585" s="265">
        <f t="shared" si="9"/>
        <v>50</v>
      </c>
      <c r="L585" s="281"/>
      <c r="M585" s="267">
        <v>26.25</v>
      </c>
      <c r="N585" s="267">
        <v>26.25</v>
      </c>
      <c r="O585" s="268" t="s">
        <v>1812</v>
      </c>
      <c r="P585" s="265" t="s">
        <v>1581</v>
      </c>
      <c r="Q585" s="265"/>
      <c r="R585" s="292"/>
      <c r="S585" s="276"/>
      <c r="T585" s="265"/>
      <c r="U585" s="272"/>
      <c r="V585" s="292"/>
      <c r="W585" s="276"/>
      <c r="X585" s="275">
        <v>38</v>
      </c>
      <c r="Y585" s="276" t="s">
        <v>825</v>
      </c>
      <c r="Z585" s="265" t="s">
        <v>825</v>
      </c>
      <c r="AA585" s="265" t="s">
        <v>825</v>
      </c>
      <c r="AB585" s="265" t="s">
        <v>825</v>
      </c>
      <c r="AC585" s="265" t="s">
        <v>825</v>
      </c>
      <c r="AD585" s="265" t="s">
        <v>825</v>
      </c>
      <c r="AE585" s="265" t="s">
        <v>825</v>
      </c>
      <c r="AF585" s="265" t="s">
        <v>825</v>
      </c>
      <c r="AG585" s="265" t="s">
        <v>825</v>
      </c>
      <c r="AH585" s="265" t="s">
        <v>825</v>
      </c>
      <c r="AI585" s="277" t="s">
        <v>825</v>
      </c>
      <c r="AJ585" s="278" t="s">
        <v>1604</v>
      </c>
      <c r="AK585" s="696" t="s">
        <v>2332</v>
      </c>
    </row>
    <row r="586" spans="1:37" s="653" customFormat="1">
      <c r="A586" s="655">
        <v>2024</v>
      </c>
      <c r="B586" s="656" t="str">
        <f>INDEX('①基本情報 '!$C$2:$C$255,MATCH('②建物情報 '!E586,'①基本情報 '!$E$2:$E$255,0),1)</f>
        <v>208</v>
      </c>
      <c r="C586" s="657" t="str">
        <f>INDEX('①基本情報 '!$B$2:$B$255,MATCH('②建物情報 '!E586,'①基本情報 '!$E$2:$E$255,0),1)</f>
        <v>0846</v>
      </c>
      <c r="D586" s="658" t="s">
        <v>2415</v>
      </c>
      <c r="E586" s="612" t="s">
        <v>2590</v>
      </c>
      <c r="F586" s="611" t="str">
        <f>INDEX('①基本情報 '!$G$2:$G$255,MATCH('②建物情報 '!E586,'①基本情報 '!$E$2:$E$255,0),1)</f>
        <v>都市活力部都市整備室住宅政策課</v>
      </c>
      <c r="G586" s="724" t="s">
        <v>2591</v>
      </c>
      <c r="H586" s="700" t="s">
        <v>2593</v>
      </c>
      <c r="I586" s="663">
        <v>1972</v>
      </c>
      <c r="J586" s="663"/>
      <c r="K586" s="663">
        <f>IF(I586&lt;&gt;"",A586-I586,99)</f>
        <v>52</v>
      </c>
      <c r="L586" s="694">
        <v>302.33999999999997</v>
      </c>
      <c r="M586" s="680">
        <v>1614.6</v>
      </c>
      <c r="N586" s="680">
        <v>1614.6</v>
      </c>
      <c r="O586" s="681" t="s">
        <v>1812</v>
      </c>
      <c r="P586" s="663" t="s">
        <v>1890</v>
      </c>
      <c r="Q586" s="663">
        <v>5</v>
      </c>
      <c r="R586" s="690">
        <v>0</v>
      </c>
      <c r="S586" s="687" t="s">
        <v>1582</v>
      </c>
      <c r="T586" s="663" t="s">
        <v>2629</v>
      </c>
      <c r="U586" s="683" t="s">
        <v>2087</v>
      </c>
      <c r="V586" s="690"/>
      <c r="W586" s="687"/>
      <c r="X586" s="686">
        <v>47</v>
      </c>
      <c r="Y586" s="687" t="s">
        <v>1586</v>
      </c>
      <c r="Z586" s="663"/>
      <c r="AA586" s="663"/>
      <c r="AB586" s="663"/>
      <c r="AC586" s="663"/>
      <c r="AD586" s="663"/>
      <c r="AE586" s="663"/>
      <c r="AF586" s="663"/>
      <c r="AG586" s="663"/>
      <c r="AH586" s="663"/>
      <c r="AI586" s="688"/>
      <c r="AJ586" s="689" t="s">
        <v>1588</v>
      </c>
      <c r="AK586" s="725"/>
    </row>
    <row r="587" spans="1:37" s="653" customFormat="1">
      <c r="A587" s="655">
        <v>2024</v>
      </c>
      <c r="B587" s="656" t="str">
        <f>INDEX('①基本情報 '!$C$2:$C$255,MATCH('②建物情報 '!E587,'①基本情報 '!$E$2:$E$255,0),1)</f>
        <v>208</v>
      </c>
      <c r="C587" s="657" t="str">
        <f>INDEX('①基本情報 '!$B$2:$B$255,MATCH('②建物情報 '!E587,'①基本情報 '!$E$2:$E$255,0),1)</f>
        <v>0846</v>
      </c>
      <c r="D587" s="658" t="s">
        <v>2415</v>
      </c>
      <c r="E587" s="612" t="s">
        <v>2572</v>
      </c>
      <c r="F587" s="611" t="str">
        <f>INDEX('①基本情報 '!$G$2:$G$255,MATCH('②建物情報 '!E587,'①基本情報 '!$E$2:$E$255,0),1)</f>
        <v>都市活力部都市整備室住宅政策課</v>
      </c>
      <c r="G587" s="724" t="s">
        <v>2592</v>
      </c>
      <c r="H587" s="700" t="s">
        <v>2594</v>
      </c>
      <c r="I587" s="663">
        <v>1973</v>
      </c>
      <c r="J587" s="663"/>
      <c r="K587" s="663"/>
      <c r="L587" s="694">
        <v>302.33999999999997</v>
      </c>
      <c r="M587" s="680">
        <v>1501.85</v>
      </c>
      <c r="N587" s="680">
        <v>1501.85</v>
      </c>
      <c r="O587" s="681" t="s">
        <v>1812</v>
      </c>
      <c r="P587" s="663" t="s">
        <v>1890</v>
      </c>
      <c r="Q587" s="663">
        <v>5</v>
      </c>
      <c r="R587" s="690">
        <v>0</v>
      </c>
      <c r="S587" s="687" t="s">
        <v>1582</v>
      </c>
      <c r="T587" s="663" t="s">
        <v>2629</v>
      </c>
      <c r="U587" s="683" t="s">
        <v>2087</v>
      </c>
      <c r="V587" s="690"/>
      <c r="W587" s="687"/>
      <c r="X587" s="686">
        <v>47</v>
      </c>
      <c r="Y587" s="687" t="s">
        <v>1586</v>
      </c>
      <c r="Z587" s="663"/>
      <c r="AA587" s="663"/>
      <c r="AB587" s="663"/>
      <c r="AC587" s="663"/>
      <c r="AD587" s="663"/>
      <c r="AE587" s="663"/>
      <c r="AF587" s="663"/>
      <c r="AG587" s="663"/>
      <c r="AH587" s="663"/>
      <c r="AI587" s="688"/>
      <c r="AJ587" s="689" t="s">
        <v>1588</v>
      </c>
      <c r="AK587" s="725"/>
    </row>
    <row r="588" spans="1:37" s="653" customFormat="1">
      <c r="A588" s="655">
        <v>2024</v>
      </c>
      <c r="B588" s="656" t="str">
        <f>INDEX('①基本情報 '!$C$2:$C$255,MATCH('②建物情報 '!E588,'①基本情報 '!$E$2:$E$255,0),1)</f>
        <v>208</v>
      </c>
      <c r="C588" s="657" t="str">
        <f>INDEX('①基本情報 '!$B$2:$B$255,MATCH('②建物情報 '!E588,'①基本情報 '!$E$2:$E$255,0),1)</f>
        <v>0846</v>
      </c>
      <c r="D588" s="261" t="s">
        <v>2415</v>
      </c>
      <c r="E588" s="262" t="s">
        <v>2590</v>
      </c>
      <c r="F588" s="263" t="str">
        <f>INDEX('①基本情報 '!$G$2:$G$255,MATCH('②建物情報 '!E588,'①基本情報 '!$E$2:$E$255,0),1)</f>
        <v>都市活力部都市整備室住宅政策課</v>
      </c>
      <c r="G588" s="364" t="s">
        <v>2436</v>
      </c>
      <c r="H588" s="282" t="s">
        <v>2595</v>
      </c>
      <c r="I588" s="265">
        <v>1973</v>
      </c>
      <c r="J588" s="265"/>
      <c r="K588" s="265">
        <f>IF(I588&lt;&gt;"",A588-I588,99)</f>
        <v>51</v>
      </c>
      <c r="L588" s="281"/>
      <c r="M588" s="267"/>
      <c r="N588" s="267"/>
      <c r="O588" s="268" t="s">
        <v>1812</v>
      </c>
      <c r="P588" s="265" t="s">
        <v>1890</v>
      </c>
      <c r="Q588" s="265">
        <v>5</v>
      </c>
      <c r="R588" s="292">
        <v>0</v>
      </c>
      <c r="S588" s="276" t="s">
        <v>1967</v>
      </c>
      <c r="T588" s="265"/>
      <c r="U588" s="272"/>
      <c r="V588" s="292"/>
      <c r="W588" s="276"/>
      <c r="X588" s="275"/>
      <c r="Y588" s="276" t="s">
        <v>1586</v>
      </c>
      <c r="Z588" s="265"/>
      <c r="AA588" s="265"/>
      <c r="AB588" s="265"/>
      <c r="AC588" s="265"/>
      <c r="AD588" s="265"/>
      <c r="AE588" s="265"/>
      <c r="AF588" s="265"/>
      <c r="AG588" s="265"/>
      <c r="AH588" s="265"/>
      <c r="AI588" s="277"/>
      <c r="AJ588" s="383" t="s">
        <v>1588</v>
      </c>
      <c r="AK588" s="696"/>
    </row>
    <row r="589" spans="1:37" s="653" customFormat="1">
      <c r="A589" s="655">
        <v>2024</v>
      </c>
      <c r="B589" s="656" t="str">
        <f>INDEX('①基本情報 '!$C$2:$C$255,MATCH('②建物情報 '!E589,'①基本情報 '!$E$2:$E$255,0),1)</f>
        <v>208</v>
      </c>
      <c r="C589" s="657" t="str">
        <f>INDEX('①基本情報 '!$B$2:$B$255,MATCH('②建物情報 '!E589,'①基本情報 '!$E$2:$E$255,0),1)</f>
        <v>0846</v>
      </c>
      <c r="D589" s="261" t="s">
        <v>2415</v>
      </c>
      <c r="E589" s="262" t="s">
        <v>2572</v>
      </c>
      <c r="F589" s="263" t="str">
        <f>INDEX('①基本情報 '!$G$2:$G$255,MATCH('②建物情報 '!E589,'①基本情報 '!$E$2:$E$255,0),1)</f>
        <v>都市活力部都市整備室住宅政策課</v>
      </c>
      <c r="G589" s="364" t="s">
        <v>2522</v>
      </c>
      <c r="H589" s="282" t="s">
        <v>2596</v>
      </c>
      <c r="I589" s="265"/>
      <c r="J589" s="265"/>
      <c r="K589" s="265"/>
      <c r="L589" s="281"/>
      <c r="M589" s="267"/>
      <c r="N589" s="267"/>
      <c r="O589" s="268"/>
      <c r="P589" s="265"/>
      <c r="Q589" s="265"/>
      <c r="R589" s="292"/>
      <c r="S589" s="276"/>
      <c r="T589" s="265"/>
      <c r="U589" s="272"/>
      <c r="V589" s="292"/>
      <c r="W589" s="276"/>
      <c r="X589" s="275"/>
      <c r="Y589" s="276" t="s">
        <v>1586</v>
      </c>
      <c r="Z589" s="265"/>
      <c r="AA589" s="265"/>
      <c r="AB589" s="265"/>
      <c r="AC589" s="265"/>
      <c r="AD589" s="265"/>
      <c r="AE589" s="265"/>
      <c r="AF589" s="265"/>
      <c r="AG589" s="265"/>
      <c r="AH589" s="265"/>
      <c r="AI589" s="277"/>
      <c r="AJ589" s="383" t="s">
        <v>1588</v>
      </c>
      <c r="AK589" s="696"/>
    </row>
    <row r="590" spans="1:37" s="653" customFormat="1">
      <c r="A590" s="655">
        <v>2024</v>
      </c>
      <c r="B590" s="656" t="str">
        <f>INDEX('①基本情報 '!$C$2:$C$255,MATCH('②建物情報 '!E590,'①基本情報 '!$E$2:$E$255,0),1)</f>
        <v>209</v>
      </c>
      <c r="C590" s="657" t="str">
        <f>INDEX('①基本情報 '!$B$2:$B$255,MATCH('②建物情報 '!E590,'①基本情報 '!$E$2:$E$255,0),1)</f>
        <v>0851</v>
      </c>
      <c r="D590" s="658" t="s">
        <v>2418</v>
      </c>
      <c r="E590" s="612" t="s">
        <v>1313</v>
      </c>
      <c r="F590" s="611" t="str">
        <f>INDEX('①基本情報 '!$G$2:$G$255,MATCH('②建物情報 '!E590,'①基本情報 '!$E$2:$E$255,0),1)</f>
        <v>都市交通部みどり公園室公園課</v>
      </c>
      <c r="G590" s="678" t="s">
        <v>1580</v>
      </c>
      <c r="H590" s="612" t="s">
        <v>2128</v>
      </c>
      <c r="I590" s="663">
        <v>1989</v>
      </c>
      <c r="J590" s="663">
        <v>3</v>
      </c>
      <c r="K590" s="663">
        <f>IF(I590&lt;&gt;"",A590-I590,99)</f>
        <v>35</v>
      </c>
      <c r="L590" s="694">
        <v>164.7</v>
      </c>
      <c r="M590" s="680">
        <v>329.4</v>
      </c>
      <c r="N590" s="680">
        <v>329.4</v>
      </c>
      <c r="O590" s="681" t="s">
        <v>1812</v>
      </c>
      <c r="P590" s="259" t="s">
        <v>1603</v>
      </c>
      <c r="Q590" s="259">
        <v>2</v>
      </c>
      <c r="R590" s="260">
        <v>0</v>
      </c>
      <c r="S590" s="682" t="s">
        <v>1593</v>
      </c>
      <c r="T590" s="683" t="s">
        <v>825</v>
      </c>
      <c r="U590" s="683" t="s">
        <v>63</v>
      </c>
      <c r="V590" s="684"/>
      <c r="W590" s="685"/>
      <c r="X590" s="686">
        <v>30</v>
      </c>
      <c r="Y590" s="687" t="s">
        <v>1596</v>
      </c>
      <c r="Z590" s="663" t="s">
        <v>1586</v>
      </c>
      <c r="AA590" s="663" t="s">
        <v>1586</v>
      </c>
      <c r="AB590" s="663" t="s">
        <v>825</v>
      </c>
      <c r="AC590" s="663" t="s">
        <v>1586</v>
      </c>
      <c r="AD590" s="663" t="s">
        <v>1586</v>
      </c>
      <c r="AE590" s="663" t="s">
        <v>1586</v>
      </c>
      <c r="AF590" s="663" t="s">
        <v>825</v>
      </c>
      <c r="AG590" s="663" t="s">
        <v>825</v>
      </c>
      <c r="AH590" s="663" t="s">
        <v>1586</v>
      </c>
      <c r="AI590" s="688">
        <v>82.857142857142847</v>
      </c>
      <c r="AJ590" s="689" t="s">
        <v>1588</v>
      </c>
      <c r="AK590" s="690"/>
    </row>
    <row r="591" spans="1:37" s="653" customFormat="1">
      <c r="A591" s="655">
        <v>2024</v>
      </c>
      <c r="B591" s="656" t="str">
        <f>INDEX('①基本情報 '!$C$2:$C$255,MATCH('②建物情報 '!E591,'①基本情報 '!$E$2:$E$255,0),1)</f>
        <v>209</v>
      </c>
      <c r="C591" s="657" t="str">
        <f>INDEX('①基本情報 '!$B$2:$B$255,MATCH('②建物情報 '!E591,'①基本情報 '!$E$2:$E$255,0),1)</f>
        <v>0851</v>
      </c>
      <c r="D591" s="658" t="s">
        <v>2418</v>
      </c>
      <c r="E591" s="612" t="s">
        <v>1313</v>
      </c>
      <c r="F591" s="611" t="str">
        <f>INDEX('①基本情報 '!$G$2:$G$255,MATCH('②建物情報 '!E591,'①基本情報 '!$E$2:$E$255,0),1)</f>
        <v>都市交通部みどり公園室公園課</v>
      </c>
      <c r="G591" s="678" t="s">
        <v>1589</v>
      </c>
      <c r="H591" s="612" t="s">
        <v>1727</v>
      </c>
      <c r="I591" s="663">
        <v>1985</v>
      </c>
      <c r="J591" s="663">
        <v>3</v>
      </c>
      <c r="K591" s="663">
        <f>IF(I591&lt;&gt;"",A591-I591,99)</f>
        <v>39</v>
      </c>
      <c r="L591" s="694">
        <v>180.25</v>
      </c>
      <c r="M591" s="680">
        <v>169.29</v>
      </c>
      <c r="N591" s="680">
        <v>169.29</v>
      </c>
      <c r="O591" s="681" t="s">
        <v>1812</v>
      </c>
      <c r="P591" s="259" t="s">
        <v>1603</v>
      </c>
      <c r="Q591" s="259">
        <v>1</v>
      </c>
      <c r="R591" s="260">
        <v>0</v>
      </c>
      <c r="S591" s="682" t="s">
        <v>1927</v>
      </c>
      <c r="T591" s="683" t="s">
        <v>1966</v>
      </c>
      <c r="U591" s="683" t="s">
        <v>1846</v>
      </c>
      <c r="V591" s="684"/>
      <c r="W591" s="685"/>
      <c r="X591" s="686">
        <v>38</v>
      </c>
      <c r="Y591" s="687" t="s">
        <v>825</v>
      </c>
      <c r="Z591" s="663" t="s">
        <v>825</v>
      </c>
      <c r="AA591" s="663" t="s">
        <v>825</v>
      </c>
      <c r="AB591" s="663" t="s">
        <v>825</v>
      </c>
      <c r="AC591" s="663" t="s">
        <v>825</v>
      </c>
      <c r="AD591" s="663" t="s">
        <v>825</v>
      </c>
      <c r="AE591" s="663" t="s">
        <v>825</v>
      </c>
      <c r="AF591" s="663" t="s">
        <v>825</v>
      </c>
      <c r="AG591" s="663" t="s">
        <v>825</v>
      </c>
      <c r="AH591" s="663" t="s">
        <v>825</v>
      </c>
      <c r="AI591" s="688" t="s">
        <v>825</v>
      </c>
      <c r="AJ591" s="689" t="s">
        <v>1588</v>
      </c>
      <c r="AK591" s="690"/>
    </row>
    <row r="592" spans="1:37" s="653" customFormat="1">
      <c r="A592" s="655">
        <v>2024</v>
      </c>
      <c r="B592" s="656" t="str">
        <f>INDEX('①基本情報 '!$C$2:$C$255,MATCH('②建物情報 '!E592,'①基本情報 '!$E$2:$E$255,0),1)</f>
        <v>209</v>
      </c>
      <c r="C592" s="657" t="str">
        <f>INDEX('①基本情報 '!$B$2:$B$255,MATCH('②建物情報 '!E592,'①基本情報 '!$E$2:$E$255,0),1)</f>
        <v>0851</v>
      </c>
      <c r="D592" s="658" t="s">
        <v>2418</v>
      </c>
      <c r="E592" s="612" t="s">
        <v>1313</v>
      </c>
      <c r="F592" s="611" t="str">
        <f>INDEX('①基本情報 '!$G$2:$G$255,MATCH('②建物情報 '!E592,'①基本情報 '!$E$2:$E$255,0),1)</f>
        <v>都市交通部みどり公園室公園課</v>
      </c>
      <c r="G592" s="678" t="s">
        <v>1591</v>
      </c>
      <c r="H592" s="612" t="s">
        <v>1613</v>
      </c>
      <c r="I592" s="663">
        <v>1985</v>
      </c>
      <c r="J592" s="663">
        <v>3</v>
      </c>
      <c r="K592" s="663">
        <f>IF(I592&lt;&gt;"",A592-I592,99)</f>
        <v>39</v>
      </c>
      <c r="L592" s="694"/>
      <c r="M592" s="680">
        <v>77.760000000000005</v>
      </c>
      <c r="N592" s="680">
        <v>77.760000000000005</v>
      </c>
      <c r="O592" s="681" t="s">
        <v>1812</v>
      </c>
      <c r="P592" s="259" t="s">
        <v>1603</v>
      </c>
      <c r="Q592" s="259">
        <v>1</v>
      </c>
      <c r="R592" s="260">
        <v>0</v>
      </c>
      <c r="S592" s="682" t="s">
        <v>1927</v>
      </c>
      <c r="T592" s="683" t="s">
        <v>1966</v>
      </c>
      <c r="U592" s="683" t="s">
        <v>1846</v>
      </c>
      <c r="V592" s="684"/>
      <c r="W592" s="685"/>
      <c r="X592" s="686">
        <v>31</v>
      </c>
      <c r="Y592" s="687" t="s">
        <v>825</v>
      </c>
      <c r="Z592" s="663" t="s">
        <v>825</v>
      </c>
      <c r="AA592" s="663" t="s">
        <v>825</v>
      </c>
      <c r="AB592" s="663" t="s">
        <v>825</v>
      </c>
      <c r="AC592" s="663" t="s">
        <v>825</v>
      </c>
      <c r="AD592" s="663" t="s">
        <v>825</v>
      </c>
      <c r="AE592" s="663" t="s">
        <v>825</v>
      </c>
      <c r="AF592" s="663" t="s">
        <v>825</v>
      </c>
      <c r="AG592" s="663" t="s">
        <v>825</v>
      </c>
      <c r="AH592" s="663" t="s">
        <v>825</v>
      </c>
      <c r="AI592" s="688" t="s">
        <v>825</v>
      </c>
      <c r="AJ592" s="689" t="s">
        <v>1588</v>
      </c>
      <c r="AK592" s="690"/>
    </row>
    <row r="593" spans="1:37" s="653" customFormat="1">
      <c r="A593" s="655">
        <v>2024</v>
      </c>
      <c r="B593" s="656" t="str">
        <f>INDEX('①基本情報 '!$C$2:$C$255,MATCH('②建物情報 '!E593,'①基本情報 '!$E$2:$E$255,0),1)</f>
        <v>209</v>
      </c>
      <c r="C593" s="657" t="str">
        <f>INDEX('①基本情報 '!$B$2:$B$255,MATCH('②建物情報 '!E593,'①基本情報 '!$E$2:$E$255,0),1)</f>
        <v>0851</v>
      </c>
      <c r="D593" s="261" t="s">
        <v>2418</v>
      </c>
      <c r="E593" s="262" t="s">
        <v>1313</v>
      </c>
      <c r="F593" s="263" t="str">
        <f>INDEX('①基本情報 '!$G$2:$G$255,MATCH('②建物情報 '!E593,'①基本情報 '!$E$2:$E$255,0),1)</f>
        <v>都市交通部みどり公園室公園課</v>
      </c>
      <c r="G593" s="264" t="s">
        <v>1601</v>
      </c>
      <c r="H593" s="262" t="s">
        <v>1728</v>
      </c>
      <c r="I593" s="265">
        <v>1985</v>
      </c>
      <c r="J593" s="265">
        <v>3</v>
      </c>
      <c r="K593" s="265">
        <f t="shared" si="9"/>
        <v>39</v>
      </c>
      <c r="L593" s="281"/>
      <c r="M593" s="267">
        <v>3.44</v>
      </c>
      <c r="N593" s="267">
        <v>3.44</v>
      </c>
      <c r="O593" s="268" t="s">
        <v>1812</v>
      </c>
      <c r="P593" s="269" t="s">
        <v>1603</v>
      </c>
      <c r="Q593" s="269"/>
      <c r="R593" s="270"/>
      <c r="S593" s="271"/>
      <c r="T593" s="272"/>
      <c r="U593" s="272"/>
      <c r="V593" s="273"/>
      <c r="W593" s="274"/>
      <c r="X593" s="275">
        <v>31</v>
      </c>
      <c r="Y593" s="276" t="s">
        <v>825</v>
      </c>
      <c r="Z593" s="265" t="s">
        <v>825</v>
      </c>
      <c r="AA593" s="265" t="s">
        <v>825</v>
      </c>
      <c r="AB593" s="265" t="s">
        <v>825</v>
      </c>
      <c r="AC593" s="265" t="s">
        <v>825</v>
      </c>
      <c r="AD593" s="265" t="s">
        <v>825</v>
      </c>
      <c r="AE593" s="265" t="s">
        <v>825</v>
      </c>
      <c r="AF593" s="265" t="s">
        <v>825</v>
      </c>
      <c r="AG593" s="265" t="s">
        <v>825</v>
      </c>
      <c r="AH593" s="265" t="s">
        <v>825</v>
      </c>
      <c r="AI593" s="277" t="s">
        <v>825</v>
      </c>
      <c r="AJ593" s="278" t="s">
        <v>1604</v>
      </c>
      <c r="AK593" s="696" t="s">
        <v>2332</v>
      </c>
    </row>
    <row r="594" spans="1:37" s="653" customFormat="1">
      <c r="A594" s="655">
        <v>2024</v>
      </c>
      <c r="B594" s="656" t="str">
        <f>INDEX('①基本情報 '!$C$2:$C$255,MATCH('②建物情報 '!E594,'①基本情報 '!$E$2:$E$255,0),1)</f>
        <v>209</v>
      </c>
      <c r="C594" s="657" t="str">
        <f>INDEX('①基本情報 '!$B$2:$B$255,MATCH('②建物情報 '!E594,'①基本情報 '!$E$2:$E$255,0),1)</f>
        <v>0851</v>
      </c>
      <c r="D594" s="261" t="s">
        <v>2418</v>
      </c>
      <c r="E594" s="262" t="s">
        <v>1313</v>
      </c>
      <c r="F594" s="263" t="str">
        <f>INDEX('①基本情報 '!$G$2:$G$255,MATCH('②建物情報 '!E594,'①基本情報 '!$E$2:$E$255,0),1)</f>
        <v>都市交通部みどり公園室公園課</v>
      </c>
      <c r="G594" s="264" t="s">
        <v>1620</v>
      </c>
      <c r="H594" s="262" t="s">
        <v>1729</v>
      </c>
      <c r="I594" s="265">
        <v>1985</v>
      </c>
      <c r="J594" s="265">
        <v>3</v>
      </c>
      <c r="K594" s="265">
        <f t="shared" si="9"/>
        <v>39</v>
      </c>
      <c r="L594" s="281"/>
      <c r="M594" s="267">
        <v>38.880000000000003</v>
      </c>
      <c r="N594" s="267">
        <v>38.880000000000003</v>
      </c>
      <c r="O594" s="268" t="s">
        <v>1812</v>
      </c>
      <c r="P594" s="269" t="s">
        <v>1603</v>
      </c>
      <c r="Q594" s="269"/>
      <c r="R594" s="270"/>
      <c r="S594" s="271"/>
      <c r="T594" s="272"/>
      <c r="U594" s="272"/>
      <c r="V594" s="273"/>
      <c r="W594" s="274"/>
      <c r="X594" s="275">
        <v>38</v>
      </c>
      <c r="Y594" s="276" t="s">
        <v>825</v>
      </c>
      <c r="Z594" s="265" t="s">
        <v>825</v>
      </c>
      <c r="AA594" s="265" t="s">
        <v>825</v>
      </c>
      <c r="AB594" s="265" t="s">
        <v>825</v>
      </c>
      <c r="AC594" s="265" t="s">
        <v>825</v>
      </c>
      <c r="AD594" s="265" t="s">
        <v>825</v>
      </c>
      <c r="AE594" s="265" t="s">
        <v>825</v>
      </c>
      <c r="AF594" s="265" t="s">
        <v>825</v>
      </c>
      <c r="AG594" s="265" t="s">
        <v>825</v>
      </c>
      <c r="AH594" s="265" t="s">
        <v>825</v>
      </c>
      <c r="AI594" s="277" t="s">
        <v>825</v>
      </c>
      <c r="AJ594" s="278" t="s">
        <v>1604</v>
      </c>
      <c r="AK594" s="696" t="s">
        <v>2332</v>
      </c>
    </row>
    <row r="595" spans="1:37" s="653" customFormat="1">
      <c r="A595" s="655">
        <v>2024</v>
      </c>
      <c r="B595" s="656" t="str">
        <f>INDEX('①基本情報 '!$C$2:$C$255,MATCH('②建物情報 '!E595,'①基本情報 '!$E$2:$E$255,0),1)</f>
        <v>209</v>
      </c>
      <c r="C595" s="657" t="str">
        <f>INDEX('①基本情報 '!$B$2:$B$255,MATCH('②建物情報 '!E595,'①基本情報 '!$E$2:$E$255,0),1)</f>
        <v>0851</v>
      </c>
      <c r="D595" s="261" t="s">
        <v>2418</v>
      </c>
      <c r="E595" s="262" t="s">
        <v>1313</v>
      </c>
      <c r="F595" s="263" t="str">
        <f>INDEX('①基本情報 '!$G$2:$G$255,MATCH('②建物情報 '!E595,'①基本情報 '!$E$2:$E$255,0),1)</f>
        <v>都市交通部みどり公園室公園課</v>
      </c>
      <c r="G595" s="264" t="s">
        <v>1643</v>
      </c>
      <c r="H595" s="262" t="s">
        <v>1655</v>
      </c>
      <c r="I595" s="265">
        <v>1985</v>
      </c>
      <c r="J595" s="265">
        <v>3</v>
      </c>
      <c r="K595" s="265">
        <f t="shared" si="9"/>
        <v>39</v>
      </c>
      <c r="L595" s="281"/>
      <c r="M595" s="267">
        <v>2.33</v>
      </c>
      <c r="N595" s="267">
        <v>2.33</v>
      </c>
      <c r="O595" s="268" t="s">
        <v>1812</v>
      </c>
      <c r="P595" s="269" t="s">
        <v>1581</v>
      </c>
      <c r="Q595" s="269"/>
      <c r="R595" s="270"/>
      <c r="S595" s="271"/>
      <c r="T595" s="272"/>
      <c r="U595" s="272"/>
      <c r="V595" s="273"/>
      <c r="W595" s="274"/>
      <c r="X595" s="275">
        <v>38</v>
      </c>
      <c r="Y595" s="276" t="s">
        <v>825</v>
      </c>
      <c r="Z595" s="265" t="s">
        <v>825</v>
      </c>
      <c r="AA595" s="265" t="s">
        <v>825</v>
      </c>
      <c r="AB595" s="265" t="s">
        <v>825</v>
      </c>
      <c r="AC595" s="265" t="s">
        <v>825</v>
      </c>
      <c r="AD595" s="265" t="s">
        <v>825</v>
      </c>
      <c r="AE595" s="265" t="s">
        <v>825</v>
      </c>
      <c r="AF595" s="265" t="s">
        <v>825</v>
      </c>
      <c r="AG595" s="265" t="s">
        <v>825</v>
      </c>
      <c r="AH595" s="265" t="s">
        <v>825</v>
      </c>
      <c r="AI595" s="277" t="s">
        <v>825</v>
      </c>
      <c r="AJ595" s="278" t="s">
        <v>1604</v>
      </c>
      <c r="AK595" s="696" t="s">
        <v>2332</v>
      </c>
    </row>
    <row r="596" spans="1:37" s="653" customFormat="1">
      <c r="A596" s="655">
        <v>2024</v>
      </c>
      <c r="B596" s="656" t="str">
        <f>INDEX('①基本情報 '!$C$2:$C$255,MATCH('②建物情報 '!E596,'①基本情報 '!$E$2:$E$255,0),1)</f>
        <v>209</v>
      </c>
      <c r="C596" s="657" t="str">
        <f>INDEX('①基本情報 '!$B$2:$B$255,MATCH('②建物情報 '!E596,'①基本情報 '!$E$2:$E$255,0),1)</f>
        <v>0851</v>
      </c>
      <c r="D596" s="261" t="s">
        <v>2418</v>
      </c>
      <c r="E596" s="262" t="s">
        <v>1313</v>
      </c>
      <c r="F596" s="263" t="str">
        <f>INDEX('①基本情報 '!$G$2:$G$255,MATCH('②建物情報 '!E596,'①基本情報 '!$E$2:$E$255,0),1)</f>
        <v>都市交通部みどり公園室公園課</v>
      </c>
      <c r="G596" s="264" t="s">
        <v>1645</v>
      </c>
      <c r="H596" s="262" t="s">
        <v>1730</v>
      </c>
      <c r="I596" s="265">
        <v>1979</v>
      </c>
      <c r="J596" s="265">
        <v>3</v>
      </c>
      <c r="K596" s="265">
        <f t="shared" si="9"/>
        <v>45</v>
      </c>
      <c r="L596" s="281"/>
      <c r="M596" s="267">
        <v>31.81</v>
      </c>
      <c r="N596" s="267">
        <v>31.81</v>
      </c>
      <c r="O596" s="268" t="s">
        <v>1812</v>
      </c>
      <c r="P596" s="269" t="s">
        <v>1581</v>
      </c>
      <c r="Q596" s="269"/>
      <c r="R596" s="270"/>
      <c r="S596" s="271"/>
      <c r="T596" s="272"/>
      <c r="U596" s="272"/>
      <c r="V596" s="273"/>
      <c r="W596" s="274"/>
      <c r="X596" s="275">
        <v>38</v>
      </c>
      <c r="Y596" s="276" t="s">
        <v>825</v>
      </c>
      <c r="Z596" s="265" t="s">
        <v>825</v>
      </c>
      <c r="AA596" s="265" t="s">
        <v>825</v>
      </c>
      <c r="AB596" s="265" t="s">
        <v>825</v>
      </c>
      <c r="AC596" s="265" t="s">
        <v>825</v>
      </c>
      <c r="AD596" s="265" t="s">
        <v>825</v>
      </c>
      <c r="AE596" s="265" t="s">
        <v>825</v>
      </c>
      <c r="AF596" s="265" t="s">
        <v>825</v>
      </c>
      <c r="AG596" s="265" t="s">
        <v>825</v>
      </c>
      <c r="AH596" s="265" t="s">
        <v>825</v>
      </c>
      <c r="AI596" s="277" t="s">
        <v>825</v>
      </c>
      <c r="AJ596" s="278" t="s">
        <v>1604</v>
      </c>
      <c r="AK596" s="696" t="s">
        <v>2332</v>
      </c>
    </row>
    <row r="597" spans="1:37" s="653" customFormat="1">
      <c r="A597" s="655">
        <v>2024</v>
      </c>
      <c r="B597" s="656" t="str">
        <f>INDEX('①基本情報 '!$C$2:$C$255,MATCH('②建物情報 '!E597,'①基本情報 '!$E$2:$E$255,0),1)</f>
        <v>209</v>
      </c>
      <c r="C597" s="657" t="str">
        <f>INDEX('①基本情報 '!$B$2:$B$255,MATCH('②建物情報 '!E597,'①基本情報 '!$E$2:$E$255,0),1)</f>
        <v>0851</v>
      </c>
      <c r="D597" s="261" t="s">
        <v>2418</v>
      </c>
      <c r="E597" s="262" t="s">
        <v>1313</v>
      </c>
      <c r="F597" s="263" t="str">
        <f>INDEX('①基本情報 '!$G$2:$G$255,MATCH('②建物情報 '!E597,'①基本情報 '!$E$2:$E$255,0),1)</f>
        <v>都市交通部みどり公園室公園課</v>
      </c>
      <c r="G597" s="264" t="s">
        <v>1646</v>
      </c>
      <c r="H597" s="262" t="s">
        <v>1730</v>
      </c>
      <c r="I597" s="265">
        <v>1979</v>
      </c>
      <c r="J597" s="265">
        <v>11</v>
      </c>
      <c r="K597" s="265">
        <f t="shared" si="9"/>
        <v>45</v>
      </c>
      <c r="L597" s="281"/>
      <c r="M597" s="267">
        <v>31.81</v>
      </c>
      <c r="N597" s="267">
        <v>31.81</v>
      </c>
      <c r="O597" s="268" t="s">
        <v>1812</v>
      </c>
      <c r="P597" s="269" t="s">
        <v>1581</v>
      </c>
      <c r="Q597" s="269"/>
      <c r="R597" s="270"/>
      <c r="S597" s="271"/>
      <c r="T597" s="272"/>
      <c r="U597" s="272"/>
      <c r="V597" s="273"/>
      <c r="W597" s="274"/>
      <c r="X597" s="275">
        <v>38</v>
      </c>
      <c r="Y597" s="276" t="s">
        <v>825</v>
      </c>
      <c r="Z597" s="265" t="s">
        <v>825</v>
      </c>
      <c r="AA597" s="265" t="s">
        <v>825</v>
      </c>
      <c r="AB597" s="265" t="s">
        <v>825</v>
      </c>
      <c r="AC597" s="265" t="s">
        <v>825</v>
      </c>
      <c r="AD597" s="265" t="s">
        <v>825</v>
      </c>
      <c r="AE597" s="265" t="s">
        <v>825</v>
      </c>
      <c r="AF597" s="265" t="s">
        <v>825</v>
      </c>
      <c r="AG597" s="265" t="s">
        <v>825</v>
      </c>
      <c r="AH597" s="265" t="s">
        <v>825</v>
      </c>
      <c r="AI597" s="277" t="s">
        <v>825</v>
      </c>
      <c r="AJ597" s="278" t="s">
        <v>1604</v>
      </c>
      <c r="AK597" s="696" t="s">
        <v>2332</v>
      </c>
    </row>
    <row r="598" spans="1:37" s="653" customFormat="1">
      <c r="A598" s="655">
        <v>2024</v>
      </c>
      <c r="B598" s="656" t="str">
        <f>INDEX('①基本情報 '!$C$2:$C$255,MATCH('②建物情報 '!E598,'①基本情報 '!$E$2:$E$255,0),1)</f>
        <v>209</v>
      </c>
      <c r="C598" s="657" t="str">
        <f>INDEX('①基本情報 '!$B$2:$B$255,MATCH('②建物情報 '!E598,'①基本情報 '!$E$2:$E$255,0),1)</f>
        <v>0851</v>
      </c>
      <c r="D598" s="658" t="s">
        <v>2418</v>
      </c>
      <c r="E598" s="612" t="s">
        <v>1313</v>
      </c>
      <c r="F598" s="611" t="str">
        <f>INDEX('①基本情報 '!$G$2:$G$255,MATCH('②建物情報 '!E598,'①基本情報 '!$E$2:$E$255,0),1)</f>
        <v>都市交通部みどり公園室公園課</v>
      </c>
      <c r="G598" s="678" t="s">
        <v>1647</v>
      </c>
      <c r="H598" s="612" t="s">
        <v>1731</v>
      </c>
      <c r="I598" s="663">
        <v>1980</v>
      </c>
      <c r="J598" s="663">
        <v>1</v>
      </c>
      <c r="K598" s="663">
        <f t="shared" si="9"/>
        <v>44</v>
      </c>
      <c r="L598" s="694"/>
      <c r="M598" s="680">
        <v>58.32</v>
      </c>
      <c r="N598" s="680">
        <v>58.32</v>
      </c>
      <c r="O598" s="681" t="s">
        <v>1812</v>
      </c>
      <c r="P598" s="259" t="s">
        <v>1603</v>
      </c>
      <c r="Q598" s="259">
        <v>1</v>
      </c>
      <c r="R598" s="260">
        <v>0</v>
      </c>
      <c r="S598" s="687" t="s">
        <v>1967</v>
      </c>
      <c r="T598" s="683" t="s">
        <v>1966</v>
      </c>
      <c r="U598" s="683" t="s">
        <v>1965</v>
      </c>
      <c r="V598" s="684"/>
      <c r="W598" s="685"/>
      <c r="X598" s="686">
        <v>30</v>
      </c>
      <c r="Y598" s="687" t="s">
        <v>825</v>
      </c>
      <c r="Z598" s="663" t="s">
        <v>825</v>
      </c>
      <c r="AA598" s="663" t="s">
        <v>825</v>
      </c>
      <c r="AB598" s="663" t="s">
        <v>825</v>
      </c>
      <c r="AC598" s="663" t="s">
        <v>825</v>
      </c>
      <c r="AD598" s="663" t="s">
        <v>825</v>
      </c>
      <c r="AE598" s="663" t="s">
        <v>825</v>
      </c>
      <c r="AF598" s="663" t="s">
        <v>825</v>
      </c>
      <c r="AG598" s="663" t="s">
        <v>825</v>
      </c>
      <c r="AH598" s="663" t="s">
        <v>825</v>
      </c>
      <c r="AI598" s="688" t="s">
        <v>825</v>
      </c>
      <c r="AJ598" s="689" t="s">
        <v>1588</v>
      </c>
      <c r="AK598" s="690"/>
    </row>
    <row r="599" spans="1:37" s="653" customFormat="1">
      <c r="A599" s="655">
        <v>2024</v>
      </c>
      <c r="B599" s="656" t="str">
        <f>INDEX('①基本情報 '!$C$2:$C$255,MATCH('②建物情報 '!E599,'①基本情報 '!$E$2:$E$255,0),1)</f>
        <v>209</v>
      </c>
      <c r="C599" s="657" t="str">
        <f>INDEX('①基本情報 '!$B$2:$B$255,MATCH('②建物情報 '!E599,'①基本情報 '!$E$2:$E$255,0),1)</f>
        <v>0851</v>
      </c>
      <c r="D599" s="261" t="s">
        <v>2418</v>
      </c>
      <c r="E599" s="262" t="s">
        <v>1313</v>
      </c>
      <c r="F599" s="263" t="str">
        <f>INDEX('①基本情報 '!$G$2:$G$255,MATCH('②建物情報 '!E599,'①基本情報 '!$E$2:$E$255,0),1)</f>
        <v>都市交通部みどり公園室公園課</v>
      </c>
      <c r="G599" s="264" t="s">
        <v>162</v>
      </c>
      <c r="H599" s="262" t="s">
        <v>1732</v>
      </c>
      <c r="I599" s="265">
        <v>1974</v>
      </c>
      <c r="J599" s="265">
        <v>3</v>
      </c>
      <c r="K599" s="265">
        <f t="shared" si="9"/>
        <v>50</v>
      </c>
      <c r="L599" s="281"/>
      <c r="M599" s="267">
        <v>14.3</v>
      </c>
      <c r="N599" s="267">
        <v>14.3</v>
      </c>
      <c r="O599" s="268" t="s">
        <v>1812</v>
      </c>
      <c r="P599" s="269" t="s">
        <v>1617</v>
      </c>
      <c r="Q599" s="269"/>
      <c r="R599" s="270"/>
      <c r="S599" s="271"/>
      <c r="T599" s="272"/>
      <c r="U599" s="272"/>
      <c r="V599" s="273"/>
      <c r="W599" s="274"/>
      <c r="X599" s="275">
        <v>34</v>
      </c>
      <c r="Y599" s="276" t="s">
        <v>825</v>
      </c>
      <c r="Z599" s="265" t="s">
        <v>825</v>
      </c>
      <c r="AA599" s="265" t="s">
        <v>825</v>
      </c>
      <c r="AB599" s="265" t="s">
        <v>825</v>
      </c>
      <c r="AC599" s="265" t="s">
        <v>825</v>
      </c>
      <c r="AD599" s="265" t="s">
        <v>825</v>
      </c>
      <c r="AE599" s="265" t="s">
        <v>825</v>
      </c>
      <c r="AF599" s="265" t="s">
        <v>825</v>
      </c>
      <c r="AG599" s="265" t="s">
        <v>825</v>
      </c>
      <c r="AH599" s="265" t="s">
        <v>825</v>
      </c>
      <c r="AI599" s="277" t="s">
        <v>825</v>
      </c>
      <c r="AJ599" s="278" t="s">
        <v>1604</v>
      </c>
      <c r="AK599" s="696" t="s">
        <v>2332</v>
      </c>
    </row>
    <row r="600" spans="1:37" s="653" customFormat="1">
      <c r="A600" s="655">
        <v>2024</v>
      </c>
      <c r="B600" s="656" t="str">
        <f>INDEX('①基本情報 '!$C$2:$C$255,MATCH('②建物情報 '!E600,'①基本情報 '!$E$2:$E$255,0),1)</f>
        <v>209</v>
      </c>
      <c r="C600" s="657" t="str">
        <f>INDEX('①基本情報 '!$B$2:$B$255,MATCH('②建物情報 '!E600,'①基本情報 '!$E$2:$E$255,0),1)</f>
        <v>0851</v>
      </c>
      <c r="D600" s="261" t="s">
        <v>2418</v>
      </c>
      <c r="E600" s="262" t="s">
        <v>1313</v>
      </c>
      <c r="F600" s="263" t="str">
        <f>INDEX('①基本情報 '!$G$2:$G$255,MATCH('②建物情報 '!E600,'①基本情報 '!$E$2:$E$255,0),1)</f>
        <v>都市交通部みどり公園室公園課</v>
      </c>
      <c r="G600" s="264" t="s">
        <v>1652</v>
      </c>
      <c r="H600" s="262" t="s">
        <v>1733</v>
      </c>
      <c r="I600" s="265">
        <v>1974</v>
      </c>
      <c r="J600" s="265">
        <v>3</v>
      </c>
      <c r="K600" s="265">
        <f t="shared" si="9"/>
        <v>50</v>
      </c>
      <c r="L600" s="281"/>
      <c r="M600" s="267">
        <v>10.69</v>
      </c>
      <c r="N600" s="267">
        <v>10.69</v>
      </c>
      <c r="O600" s="268" t="s">
        <v>1812</v>
      </c>
      <c r="P600" s="269" t="s">
        <v>1617</v>
      </c>
      <c r="Q600" s="269"/>
      <c r="R600" s="270"/>
      <c r="S600" s="271"/>
      <c r="T600" s="272"/>
      <c r="U600" s="272"/>
      <c r="V600" s="273"/>
      <c r="W600" s="274"/>
      <c r="X600" s="275">
        <v>41</v>
      </c>
      <c r="Y600" s="276" t="s">
        <v>825</v>
      </c>
      <c r="Z600" s="265" t="s">
        <v>825</v>
      </c>
      <c r="AA600" s="265" t="s">
        <v>825</v>
      </c>
      <c r="AB600" s="265" t="s">
        <v>825</v>
      </c>
      <c r="AC600" s="265" t="s">
        <v>825</v>
      </c>
      <c r="AD600" s="265" t="s">
        <v>825</v>
      </c>
      <c r="AE600" s="265" t="s">
        <v>825</v>
      </c>
      <c r="AF600" s="265" t="s">
        <v>825</v>
      </c>
      <c r="AG600" s="265" t="s">
        <v>825</v>
      </c>
      <c r="AH600" s="265" t="s">
        <v>825</v>
      </c>
      <c r="AI600" s="277" t="s">
        <v>825</v>
      </c>
      <c r="AJ600" s="278" t="s">
        <v>1604</v>
      </c>
      <c r="AK600" s="696" t="s">
        <v>2332</v>
      </c>
    </row>
    <row r="601" spans="1:37" s="653" customFormat="1">
      <c r="A601" s="655">
        <v>2024</v>
      </c>
      <c r="B601" s="656" t="str">
        <f>INDEX('①基本情報 '!$C$2:$C$255,MATCH('②建物情報 '!E601,'①基本情報 '!$E$2:$E$255,0),1)</f>
        <v>209</v>
      </c>
      <c r="C601" s="657" t="str">
        <f>INDEX('①基本情報 '!$B$2:$B$255,MATCH('②建物情報 '!E601,'①基本情報 '!$E$2:$E$255,0),1)</f>
        <v>0851</v>
      </c>
      <c r="D601" s="261" t="s">
        <v>2418</v>
      </c>
      <c r="E601" s="262" t="s">
        <v>1313</v>
      </c>
      <c r="F601" s="263" t="str">
        <f>INDEX('①基本情報 '!$G$2:$G$255,MATCH('②建物情報 '!E601,'①基本情報 '!$E$2:$E$255,0),1)</f>
        <v>都市交通部みどり公園室公園課</v>
      </c>
      <c r="G601" s="264" t="s">
        <v>861</v>
      </c>
      <c r="H601" s="262" t="s">
        <v>1734</v>
      </c>
      <c r="I601" s="265">
        <v>1986</v>
      </c>
      <c r="J601" s="265">
        <v>3</v>
      </c>
      <c r="K601" s="265">
        <f t="shared" si="9"/>
        <v>38</v>
      </c>
      <c r="L601" s="281"/>
      <c r="M601" s="267">
        <v>92.81</v>
      </c>
      <c r="N601" s="267">
        <v>92.81</v>
      </c>
      <c r="O601" s="268" t="s">
        <v>1812</v>
      </c>
      <c r="P601" s="269" t="s">
        <v>1581</v>
      </c>
      <c r="Q601" s="269"/>
      <c r="R601" s="270"/>
      <c r="S601" s="271"/>
      <c r="T601" s="272"/>
      <c r="U601" s="272"/>
      <c r="V601" s="273"/>
      <c r="W601" s="274"/>
      <c r="X601" s="275">
        <v>50</v>
      </c>
      <c r="Y601" s="276" t="s">
        <v>825</v>
      </c>
      <c r="Z601" s="265" t="s">
        <v>825</v>
      </c>
      <c r="AA601" s="265" t="s">
        <v>825</v>
      </c>
      <c r="AB601" s="265" t="s">
        <v>825</v>
      </c>
      <c r="AC601" s="265" t="s">
        <v>825</v>
      </c>
      <c r="AD601" s="265" t="s">
        <v>825</v>
      </c>
      <c r="AE601" s="265" t="s">
        <v>825</v>
      </c>
      <c r="AF601" s="265" t="s">
        <v>825</v>
      </c>
      <c r="AG601" s="265" t="s">
        <v>825</v>
      </c>
      <c r="AH601" s="265" t="s">
        <v>825</v>
      </c>
      <c r="AI601" s="277" t="s">
        <v>825</v>
      </c>
      <c r="AJ601" s="278" t="s">
        <v>1721</v>
      </c>
      <c r="AK601" s="292"/>
    </row>
    <row r="602" spans="1:37" s="653" customFormat="1">
      <c r="A602" s="655">
        <v>2024</v>
      </c>
      <c r="B602" s="656" t="str">
        <f>INDEX('①基本情報 '!$C$2:$C$255,MATCH('②建物情報 '!E602,'①基本情報 '!$E$2:$E$255,0),1)</f>
        <v>209</v>
      </c>
      <c r="C602" s="657" t="str">
        <f>INDEX('①基本情報 '!$B$2:$B$255,MATCH('②建物情報 '!E602,'①基本情報 '!$E$2:$E$255,0),1)</f>
        <v>0851</v>
      </c>
      <c r="D602" s="261" t="s">
        <v>2418</v>
      </c>
      <c r="E602" s="262" t="s">
        <v>1313</v>
      </c>
      <c r="F602" s="263" t="str">
        <f>INDEX('①基本情報 '!$G$2:$G$255,MATCH('②建物情報 '!E602,'①基本情報 '!$E$2:$E$255,0),1)</f>
        <v>都市交通部みどり公園室公園課</v>
      </c>
      <c r="G602" s="264" t="s">
        <v>2783</v>
      </c>
      <c r="H602" s="262" t="s">
        <v>1735</v>
      </c>
      <c r="I602" s="265">
        <v>1991</v>
      </c>
      <c r="J602" s="265">
        <v>3</v>
      </c>
      <c r="K602" s="265">
        <f t="shared" si="9"/>
        <v>33</v>
      </c>
      <c r="L602" s="281"/>
      <c r="M602" s="267">
        <v>48</v>
      </c>
      <c r="N602" s="267">
        <v>48</v>
      </c>
      <c r="O602" s="268" t="s">
        <v>1812</v>
      </c>
      <c r="P602" s="269" t="s">
        <v>1603</v>
      </c>
      <c r="Q602" s="269"/>
      <c r="R602" s="270"/>
      <c r="S602" s="271"/>
      <c r="T602" s="272"/>
      <c r="U602" s="272"/>
      <c r="V602" s="273"/>
      <c r="W602" s="274"/>
      <c r="X602" s="275">
        <v>30</v>
      </c>
      <c r="Y602" s="276" t="s">
        <v>825</v>
      </c>
      <c r="Z602" s="265" t="s">
        <v>825</v>
      </c>
      <c r="AA602" s="265" t="s">
        <v>825</v>
      </c>
      <c r="AB602" s="265" t="s">
        <v>825</v>
      </c>
      <c r="AC602" s="265" t="s">
        <v>825</v>
      </c>
      <c r="AD602" s="265" t="s">
        <v>825</v>
      </c>
      <c r="AE602" s="265" t="s">
        <v>825</v>
      </c>
      <c r="AF602" s="265" t="s">
        <v>825</v>
      </c>
      <c r="AG602" s="265" t="s">
        <v>825</v>
      </c>
      <c r="AH602" s="265" t="s">
        <v>825</v>
      </c>
      <c r="AI602" s="277" t="s">
        <v>825</v>
      </c>
      <c r="AJ602" s="278" t="s">
        <v>1604</v>
      </c>
      <c r="AK602" s="696" t="s">
        <v>2332</v>
      </c>
    </row>
    <row r="603" spans="1:37" s="653" customFormat="1">
      <c r="A603" s="655">
        <v>2024</v>
      </c>
      <c r="B603" s="656" t="str">
        <f>INDEX('①基本情報 '!$C$2:$C$255,MATCH('②建物情報 '!E603,'①基本情報 '!$E$2:$E$255,0),1)</f>
        <v>209</v>
      </c>
      <c r="C603" s="657" t="str">
        <f>INDEX('①基本情報 '!$B$2:$B$255,MATCH('②建物情報 '!E603,'①基本情報 '!$E$2:$E$255,0),1)</f>
        <v>0851</v>
      </c>
      <c r="D603" s="261" t="s">
        <v>2418</v>
      </c>
      <c r="E603" s="262" t="s">
        <v>1313</v>
      </c>
      <c r="F603" s="263" t="str">
        <f>INDEX('①基本情報 '!$G$2:$G$255,MATCH('②建物情報 '!E603,'①基本情報 '!$E$2:$E$255,0),1)</f>
        <v>都市交通部みどり公園室公園課</v>
      </c>
      <c r="G603" s="264" t="s">
        <v>2784</v>
      </c>
      <c r="H603" s="262" t="s">
        <v>1609</v>
      </c>
      <c r="I603" s="265">
        <v>1986</v>
      </c>
      <c r="J603" s="265">
        <v>3</v>
      </c>
      <c r="K603" s="265">
        <f t="shared" si="9"/>
        <v>38</v>
      </c>
      <c r="L603" s="281"/>
      <c r="M603" s="267">
        <v>20.8</v>
      </c>
      <c r="N603" s="267">
        <v>20.8</v>
      </c>
      <c r="O603" s="268" t="s">
        <v>1812</v>
      </c>
      <c r="P603" s="269" t="s">
        <v>1581</v>
      </c>
      <c r="Q603" s="269"/>
      <c r="R603" s="270"/>
      <c r="S603" s="271"/>
      <c r="T603" s="272"/>
      <c r="U603" s="272"/>
      <c r="V603" s="273"/>
      <c r="W603" s="274"/>
      <c r="X603" s="275">
        <v>38</v>
      </c>
      <c r="Y603" s="276" t="s">
        <v>825</v>
      </c>
      <c r="Z603" s="265" t="s">
        <v>825</v>
      </c>
      <c r="AA603" s="265" t="s">
        <v>825</v>
      </c>
      <c r="AB603" s="265" t="s">
        <v>825</v>
      </c>
      <c r="AC603" s="265" t="s">
        <v>825</v>
      </c>
      <c r="AD603" s="265" t="s">
        <v>825</v>
      </c>
      <c r="AE603" s="265" t="s">
        <v>825</v>
      </c>
      <c r="AF603" s="265" t="s">
        <v>825</v>
      </c>
      <c r="AG603" s="265" t="s">
        <v>825</v>
      </c>
      <c r="AH603" s="265" t="s">
        <v>825</v>
      </c>
      <c r="AI603" s="277" t="s">
        <v>825</v>
      </c>
      <c r="AJ603" s="278" t="s">
        <v>1604</v>
      </c>
      <c r="AK603" s="696" t="s">
        <v>2332</v>
      </c>
    </row>
    <row r="604" spans="1:37" s="653" customFormat="1">
      <c r="A604" s="655">
        <v>2024</v>
      </c>
      <c r="B604" s="656" t="str">
        <f>INDEX('①基本情報 '!$C$2:$C$255,MATCH('②建物情報 '!E604,'①基本情報 '!$E$2:$E$255,0),1)</f>
        <v>209</v>
      </c>
      <c r="C604" s="657" t="str">
        <f>INDEX('①基本情報 '!$B$2:$B$255,MATCH('②建物情報 '!E604,'①基本情報 '!$E$2:$E$255,0),1)</f>
        <v>0851</v>
      </c>
      <c r="D604" s="261" t="s">
        <v>2418</v>
      </c>
      <c r="E604" s="262" t="s">
        <v>1313</v>
      </c>
      <c r="F604" s="263" t="str">
        <f>INDEX('①基本情報 '!$G$2:$G$255,MATCH('②建物情報 '!E604,'①基本情報 '!$E$2:$E$255,0),1)</f>
        <v>都市交通部みどり公園室公園課</v>
      </c>
      <c r="G604" s="264" t="s">
        <v>2785</v>
      </c>
      <c r="H604" s="262" t="s">
        <v>1736</v>
      </c>
      <c r="I604" s="265">
        <v>2016</v>
      </c>
      <c r="J604" s="265">
        <v>2</v>
      </c>
      <c r="K604" s="265">
        <f t="shared" si="9"/>
        <v>8</v>
      </c>
      <c r="L604" s="281"/>
      <c r="M604" s="267">
        <v>48.6</v>
      </c>
      <c r="N604" s="267">
        <v>48.6</v>
      </c>
      <c r="O604" s="268" t="s">
        <v>1812</v>
      </c>
      <c r="P604" s="269" t="s">
        <v>1858</v>
      </c>
      <c r="Q604" s="269"/>
      <c r="R604" s="270"/>
      <c r="S604" s="271"/>
      <c r="T604" s="272"/>
      <c r="U604" s="272"/>
      <c r="V604" s="273"/>
      <c r="W604" s="274"/>
      <c r="X604" s="275">
        <v>31</v>
      </c>
      <c r="Y604" s="276" t="s">
        <v>825</v>
      </c>
      <c r="Z604" s="265" t="s">
        <v>825</v>
      </c>
      <c r="AA604" s="265" t="s">
        <v>825</v>
      </c>
      <c r="AB604" s="265" t="s">
        <v>825</v>
      </c>
      <c r="AC604" s="265" t="s">
        <v>825</v>
      </c>
      <c r="AD604" s="265" t="s">
        <v>825</v>
      </c>
      <c r="AE604" s="265" t="s">
        <v>825</v>
      </c>
      <c r="AF604" s="265" t="s">
        <v>825</v>
      </c>
      <c r="AG604" s="265" t="s">
        <v>825</v>
      </c>
      <c r="AH604" s="265" t="s">
        <v>825</v>
      </c>
      <c r="AI604" s="277" t="s">
        <v>825</v>
      </c>
      <c r="AJ604" s="278" t="s">
        <v>1604</v>
      </c>
      <c r="AK604" s="696" t="s">
        <v>2332</v>
      </c>
    </row>
    <row r="605" spans="1:37" s="653" customFormat="1">
      <c r="A605" s="655">
        <v>2024</v>
      </c>
      <c r="B605" s="656" t="str">
        <f>INDEX('①基本情報 '!$C$2:$C$255,MATCH('②建物情報 '!E605,'①基本情報 '!$E$2:$E$255,0),1)</f>
        <v>209</v>
      </c>
      <c r="C605" s="657" t="str">
        <f>INDEX('①基本情報 '!$B$2:$B$255,MATCH('②建物情報 '!E605,'①基本情報 '!$E$2:$E$255,0),1)</f>
        <v>0851</v>
      </c>
      <c r="D605" s="261" t="s">
        <v>2418</v>
      </c>
      <c r="E605" s="262" t="s">
        <v>1313</v>
      </c>
      <c r="F605" s="263" t="str">
        <f>INDEX('①基本情報 '!$G$2:$G$255,MATCH('②建物情報 '!E605,'①基本情報 '!$E$2:$E$255,0),1)</f>
        <v>都市交通部みどり公園室公園課</v>
      </c>
      <c r="G605" s="264" t="s">
        <v>2786</v>
      </c>
      <c r="H605" s="262" t="s">
        <v>1737</v>
      </c>
      <c r="I605" s="265">
        <v>2010</v>
      </c>
      <c r="J605" s="265">
        <v>3</v>
      </c>
      <c r="K605" s="265">
        <f t="shared" si="9"/>
        <v>14</v>
      </c>
      <c r="L605" s="281"/>
      <c r="M605" s="267">
        <v>5.5</v>
      </c>
      <c r="N605" s="267">
        <v>5.5</v>
      </c>
      <c r="O605" s="268" t="s">
        <v>1812</v>
      </c>
      <c r="P605" s="269" t="s">
        <v>1581</v>
      </c>
      <c r="Q605" s="269"/>
      <c r="R605" s="270"/>
      <c r="S605" s="271"/>
      <c r="T605" s="272"/>
      <c r="U605" s="272"/>
      <c r="V605" s="273"/>
      <c r="W605" s="274"/>
      <c r="X605" s="275">
        <v>38</v>
      </c>
      <c r="Y605" s="276" t="s">
        <v>825</v>
      </c>
      <c r="Z605" s="265" t="s">
        <v>825</v>
      </c>
      <c r="AA605" s="265" t="s">
        <v>825</v>
      </c>
      <c r="AB605" s="265" t="s">
        <v>825</v>
      </c>
      <c r="AC605" s="265" t="s">
        <v>825</v>
      </c>
      <c r="AD605" s="265" t="s">
        <v>825</v>
      </c>
      <c r="AE605" s="265" t="s">
        <v>825</v>
      </c>
      <c r="AF605" s="265" t="s">
        <v>825</v>
      </c>
      <c r="AG605" s="265" t="s">
        <v>825</v>
      </c>
      <c r="AH605" s="265" t="s">
        <v>825</v>
      </c>
      <c r="AI605" s="277" t="s">
        <v>825</v>
      </c>
      <c r="AJ605" s="278" t="s">
        <v>1604</v>
      </c>
      <c r="AK605" s="696" t="s">
        <v>2332</v>
      </c>
    </row>
    <row r="606" spans="1:37" s="653" customFormat="1">
      <c r="A606" s="655">
        <v>2024</v>
      </c>
      <c r="B606" s="656" t="str">
        <f>INDEX('①基本情報 '!$C$2:$C$255,MATCH('②建物情報 '!E606,'①基本情報 '!$E$2:$E$255,0),1)</f>
        <v>209</v>
      </c>
      <c r="C606" s="657" t="str">
        <f>INDEX('①基本情報 '!$B$2:$B$255,MATCH('②建物情報 '!E606,'①基本情報 '!$E$2:$E$255,0),1)</f>
        <v>0851</v>
      </c>
      <c r="D606" s="261" t="s">
        <v>2418</v>
      </c>
      <c r="E606" s="262" t="s">
        <v>1313</v>
      </c>
      <c r="F606" s="263" t="str">
        <f>INDEX('①基本情報 '!$G$2:$G$255,MATCH('②建物情報 '!E606,'①基本情報 '!$E$2:$E$255,0),1)</f>
        <v>都市交通部みどり公園室公園課</v>
      </c>
      <c r="G606" s="264" t="s">
        <v>2787</v>
      </c>
      <c r="H606" s="262" t="s">
        <v>1737</v>
      </c>
      <c r="I606" s="265">
        <v>2010</v>
      </c>
      <c r="J606" s="265">
        <v>3</v>
      </c>
      <c r="K606" s="265">
        <f t="shared" si="9"/>
        <v>14</v>
      </c>
      <c r="L606" s="281"/>
      <c r="M606" s="267">
        <v>5.5</v>
      </c>
      <c r="N606" s="267">
        <v>5.5</v>
      </c>
      <c r="O606" s="268" t="s">
        <v>1812</v>
      </c>
      <c r="P606" s="269" t="s">
        <v>1581</v>
      </c>
      <c r="Q606" s="269"/>
      <c r="R606" s="270"/>
      <c r="S606" s="271"/>
      <c r="T606" s="272"/>
      <c r="U606" s="272"/>
      <c r="V606" s="273"/>
      <c r="W606" s="274"/>
      <c r="X606" s="275">
        <v>38</v>
      </c>
      <c r="Y606" s="276" t="s">
        <v>825</v>
      </c>
      <c r="Z606" s="265" t="s">
        <v>825</v>
      </c>
      <c r="AA606" s="265" t="s">
        <v>825</v>
      </c>
      <c r="AB606" s="265" t="s">
        <v>825</v>
      </c>
      <c r="AC606" s="265" t="s">
        <v>825</v>
      </c>
      <c r="AD606" s="265" t="s">
        <v>825</v>
      </c>
      <c r="AE606" s="265" t="s">
        <v>825</v>
      </c>
      <c r="AF606" s="265" t="s">
        <v>825</v>
      </c>
      <c r="AG606" s="265" t="s">
        <v>825</v>
      </c>
      <c r="AH606" s="265" t="s">
        <v>825</v>
      </c>
      <c r="AI606" s="277" t="s">
        <v>825</v>
      </c>
      <c r="AJ606" s="278" t="s">
        <v>1604</v>
      </c>
      <c r="AK606" s="696" t="s">
        <v>2332</v>
      </c>
    </row>
    <row r="607" spans="1:37" s="653" customFormat="1">
      <c r="A607" s="655">
        <v>2024</v>
      </c>
      <c r="B607" s="656" t="str">
        <f>INDEX('①基本情報 '!$C$2:$C$255,MATCH('②建物情報 '!E607,'①基本情報 '!$E$2:$E$255,0),1)</f>
        <v>209</v>
      </c>
      <c r="C607" s="657" t="str">
        <f>INDEX('①基本情報 '!$B$2:$B$255,MATCH('②建物情報 '!E607,'①基本情報 '!$E$2:$E$255,0),1)</f>
        <v>0851</v>
      </c>
      <c r="D607" s="261" t="s">
        <v>2418</v>
      </c>
      <c r="E607" s="262" t="s">
        <v>1313</v>
      </c>
      <c r="F607" s="263" t="str">
        <f>INDEX('①基本情報 '!$G$2:$G$255,MATCH('②建物情報 '!E607,'①基本情報 '!$E$2:$E$255,0),1)</f>
        <v>都市交通部みどり公園室公園課</v>
      </c>
      <c r="G607" s="264" t="s">
        <v>2788</v>
      </c>
      <c r="H607" s="262" t="s">
        <v>1737</v>
      </c>
      <c r="I607" s="265">
        <v>2011</v>
      </c>
      <c r="J607" s="265">
        <v>3</v>
      </c>
      <c r="K607" s="265">
        <f t="shared" si="9"/>
        <v>13</v>
      </c>
      <c r="L607" s="281"/>
      <c r="M607" s="267">
        <v>4.53</v>
      </c>
      <c r="N607" s="267">
        <v>4.53</v>
      </c>
      <c r="O607" s="268" t="s">
        <v>1812</v>
      </c>
      <c r="P607" s="269" t="s">
        <v>1858</v>
      </c>
      <c r="Q607" s="269"/>
      <c r="R607" s="270"/>
      <c r="S607" s="271"/>
      <c r="T607" s="272"/>
      <c r="U607" s="272"/>
      <c r="V607" s="273"/>
      <c r="W607" s="274"/>
      <c r="X607" s="275">
        <v>31</v>
      </c>
      <c r="Y607" s="276" t="s">
        <v>825</v>
      </c>
      <c r="Z607" s="265" t="s">
        <v>825</v>
      </c>
      <c r="AA607" s="265" t="s">
        <v>825</v>
      </c>
      <c r="AB607" s="265" t="s">
        <v>825</v>
      </c>
      <c r="AC607" s="265" t="s">
        <v>825</v>
      </c>
      <c r="AD607" s="265" t="s">
        <v>825</v>
      </c>
      <c r="AE607" s="265" t="s">
        <v>825</v>
      </c>
      <c r="AF607" s="265" t="s">
        <v>825</v>
      </c>
      <c r="AG607" s="265" t="s">
        <v>825</v>
      </c>
      <c r="AH607" s="265" t="s">
        <v>825</v>
      </c>
      <c r="AI607" s="277" t="s">
        <v>825</v>
      </c>
      <c r="AJ607" s="278" t="s">
        <v>1604</v>
      </c>
      <c r="AK607" s="696" t="s">
        <v>2332</v>
      </c>
    </row>
    <row r="608" spans="1:37" s="653" customFormat="1">
      <c r="A608" s="655">
        <v>2024</v>
      </c>
      <c r="B608" s="656" t="str">
        <f>INDEX('①基本情報 '!$C$2:$C$255,MATCH('②建物情報 '!E608,'①基本情報 '!$E$2:$E$255,0),1)</f>
        <v>209</v>
      </c>
      <c r="C608" s="657" t="str">
        <f>INDEX('①基本情報 '!$B$2:$B$255,MATCH('②建物情報 '!E608,'①基本情報 '!$E$2:$E$255,0),1)</f>
        <v>0851</v>
      </c>
      <c r="D608" s="261" t="s">
        <v>2418</v>
      </c>
      <c r="E608" s="262" t="s">
        <v>1313</v>
      </c>
      <c r="F608" s="263" t="str">
        <f>INDEX('①基本情報 '!$G$2:$G$255,MATCH('②建物情報 '!E608,'①基本情報 '!$E$2:$E$255,0),1)</f>
        <v>都市交通部みどり公園室公園課</v>
      </c>
      <c r="G608" s="264" t="s">
        <v>2789</v>
      </c>
      <c r="H608" s="262" t="s">
        <v>1737</v>
      </c>
      <c r="I608" s="265">
        <v>2011</v>
      </c>
      <c r="J608" s="265">
        <v>3</v>
      </c>
      <c r="K608" s="265">
        <f t="shared" si="9"/>
        <v>13</v>
      </c>
      <c r="L608" s="281"/>
      <c r="M608" s="267">
        <v>4.53</v>
      </c>
      <c r="N608" s="267">
        <v>4.53</v>
      </c>
      <c r="O608" s="268" t="s">
        <v>1812</v>
      </c>
      <c r="P608" s="269" t="s">
        <v>1858</v>
      </c>
      <c r="Q608" s="269"/>
      <c r="R608" s="270"/>
      <c r="S608" s="271"/>
      <c r="T608" s="272"/>
      <c r="U608" s="272"/>
      <c r="V608" s="273"/>
      <c r="W608" s="274"/>
      <c r="X608" s="275">
        <v>31</v>
      </c>
      <c r="Y608" s="276" t="s">
        <v>825</v>
      </c>
      <c r="Z608" s="265" t="s">
        <v>825</v>
      </c>
      <c r="AA608" s="265" t="s">
        <v>825</v>
      </c>
      <c r="AB608" s="265" t="s">
        <v>825</v>
      </c>
      <c r="AC608" s="265" t="s">
        <v>825</v>
      </c>
      <c r="AD608" s="265" t="s">
        <v>825</v>
      </c>
      <c r="AE608" s="265" t="s">
        <v>825</v>
      </c>
      <c r="AF608" s="265" t="s">
        <v>825</v>
      </c>
      <c r="AG608" s="265" t="s">
        <v>825</v>
      </c>
      <c r="AH608" s="265" t="s">
        <v>825</v>
      </c>
      <c r="AI608" s="277" t="s">
        <v>825</v>
      </c>
      <c r="AJ608" s="278" t="s">
        <v>1604</v>
      </c>
      <c r="AK608" s="696" t="s">
        <v>2332</v>
      </c>
    </row>
    <row r="609" spans="1:37" s="653" customFormat="1">
      <c r="A609" s="655">
        <v>2024</v>
      </c>
      <c r="B609" s="719">
        <v>215</v>
      </c>
      <c r="C609" s="657" t="str">
        <f>INDEX('①基本情報 '!$B$2:$B$255,MATCH('②建物情報 '!E609,'①基本情報 '!$E$2:$E$255,0),1)</f>
        <v>0851</v>
      </c>
      <c r="D609" s="658" t="s">
        <v>2418</v>
      </c>
      <c r="E609" s="612" t="s">
        <v>1313</v>
      </c>
      <c r="F609" s="611" t="str">
        <f>INDEX('①基本情報 '!$G$2:$G$255,MATCH('②建物情報 '!E609,'①基本情報 '!$E$2:$E$255,0),1)</f>
        <v>都市交通部みどり公園室公園課</v>
      </c>
      <c r="G609" s="678" t="s">
        <v>2790</v>
      </c>
      <c r="H609" s="612" t="s">
        <v>2791</v>
      </c>
      <c r="I609" s="663">
        <v>2024</v>
      </c>
      <c r="J609" s="663">
        <v>10</v>
      </c>
      <c r="K609" s="663">
        <f t="shared" si="9"/>
        <v>0</v>
      </c>
      <c r="L609" s="694"/>
      <c r="M609" s="680">
        <v>117.01</v>
      </c>
      <c r="N609" s="680">
        <v>117.01</v>
      </c>
      <c r="O609" s="681" t="s">
        <v>1812</v>
      </c>
      <c r="P609" s="259" t="s">
        <v>2792</v>
      </c>
      <c r="Q609" s="259">
        <v>1</v>
      </c>
      <c r="R609" s="260">
        <v>0</v>
      </c>
      <c r="S609" s="682" t="s">
        <v>1927</v>
      </c>
      <c r="T609" s="683" t="s">
        <v>1966</v>
      </c>
      <c r="U609" s="683" t="s">
        <v>2087</v>
      </c>
      <c r="V609" s="684"/>
      <c r="W609" s="685"/>
      <c r="X609" s="686"/>
      <c r="Y609" s="687" t="s">
        <v>1587</v>
      </c>
      <c r="Z609" s="663" t="s">
        <v>1587</v>
      </c>
      <c r="AA609" s="663" t="s">
        <v>1587</v>
      </c>
      <c r="AB609" s="663" t="s">
        <v>825</v>
      </c>
      <c r="AC609" s="663" t="s">
        <v>1587</v>
      </c>
      <c r="AD609" s="663" t="s">
        <v>825</v>
      </c>
      <c r="AE609" s="663" t="s">
        <v>825</v>
      </c>
      <c r="AF609" s="663" t="s">
        <v>1587</v>
      </c>
      <c r="AG609" s="663" t="s">
        <v>1587</v>
      </c>
      <c r="AH609" s="663" t="s">
        <v>1587</v>
      </c>
      <c r="AI609" s="688">
        <v>0</v>
      </c>
      <c r="AJ609" s="689" t="s">
        <v>1588</v>
      </c>
      <c r="AK609" s="725"/>
    </row>
    <row r="610" spans="1:37" s="653" customFormat="1">
      <c r="A610" s="655">
        <v>2024</v>
      </c>
      <c r="B610" s="656" t="str">
        <f>INDEX('①基本情報 '!$C$2:$C$255,MATCH('②建物情報 '!E610,'①基本情報 '!$E$2:$E$255,0),1)</f>
        <v>210</v>
      </c>
      <c r="C610" s="657" t="str">
        <f>INDEX('①基本情報 '!$B$2:$B$255,MATCH('②建物情報 '!E610,'①基本情報 '!$E$2:$E$255,0),1)</f>
        <v>0854</v>
      </c>
      <c r="D610" s="658" t="s">
        <v>2418</v>
      </c>
      <c r="E610" s="612" t="s">
        <v>1321</v>
      </c>
      <c r="F610" s="611" t="str">
        <f>INDEX('①基本情報 '!$G$2:$G$255,MATCH('②建物情報 '!E610,'①基本情報 '!$E$2:$E$255,0),1)</f>
        <v>都市交通部みどり公園室公園課</v>
      </c>
      <c r="G610" s="678" t="s">
        <v>1580</v>
      </c>
      <c r="H610" s="700" t="s">
        <v>1727</v>
      </c>
      <c r="I610" s="663">
        <v>1990</v>
      </c>
      <c r="J610" s="663">
        <v>3</v>
      </c>
      <c r="K610" s="663">
        <f t="shared" si="9"/>
        <v>34</v>
      </c>
      <c r="L610" s="694"/>
      <c r="M610" s="680">
        <v>72</v>
      </c>
      <c r="N610" s="680">
        <v>72</v>
      </c>
      <c r="O610" s="681" t="s">
        <v>1812</v>
      </c>
      <c r="P610" s="259" t="s">
        <v>1581</v>
      </c>
      <c r="Q610" s="259"/>
      <c r="R610" s="260"/>
      <c r="S610" s="682" t="s">
        <v>1927</v>
      </c>
      <c r="T610" s="683" t="s">
        <v>1966</v>
      </c>
      <c r="U610" s="683" t="s">
        <v>1846</v>
      </c>
      <c r="V610" s="684"/>
      <c r="W610" s="685"/>
      <c r="X610" s="686">
        <v>50</v>
      </c>
      <c r="Y610" s="687" t="s">
        <v>1596</v>
      </c>
      <c r="Z610" s="663" t="s">
        <v>825</v>
      </c>
      <c r="AA610" s="663" t="s">
        <v>825</v>
      </c>
      <c r="AB610" s="663" t="s">
        <v>825</v>
      </c>
      <c r="AC610" s="663" t="s">
        <v>1586</v>
      </c>
      <c r="AD610" s="663" t="s">
        <v>1586</v>
      </c>
      <c r="AE610" s="663" t="s">
        <v>1586</v>
      </c>
      <c r="AF610" s="663" t="s">
        <v>825</v>
      </c>
      <c r="AG610" s="663" t="s">
        <v>825</v>
      </c>
      <c r="AH610" s="663" t="s">
        <v>1586</v>
      </c>
      <c r="AI610" s="688">
        <v>78.620689655172413</v>
      </c>
      <c r="AJ610" s="689" t="s">
        <v>1588</v>
      </c>
      <c r="AK610" s="690"/>
    </row>
    <row r="611" spans="1:37" s="653" customFormat="1">
      <c r="A611" s="655">
        <v>2024</v>
      </c>
      <c r="B611" s="656" t="str">
        <f>INDEX('①基本情報 '!$C$2:$C$255,MATCH('②建物情報 '!E611,'①基本情報 '!$E$2:$E$255,0),1)</f>
        <v>210</v>
      </c>
      <c r="C611" s="657" t="str">
        <f>INDEX('①基本情報 '!$B$2:$B$255,MATCH('②建物情報 '!E611,'①基本情報 '!$E$2:$E$255,0),1)</f>
        <v>0854</v>
      </c>
      <c r="D611" s="261" t="s">
        <v>2418</v>
      </c>
      <c r="E611" s="262" t="s">
        <v>1321</v>
      </c>
      <c r="F611" s="263" t="str">
        <f>INDEX('①基本情報 '!$G$2:$G$255,MATCH('②建物情報 '!E611,'①基本情報 '!$E$2:$E$255,0),1)</f>
        <v>都市交通部みどり公園室公園課</v>
      </c>
      <c r="G611" s="264" t="s">
        <v>1589</v>
      </c>
      <c r="H611" s="282" t="s">
        <v>1738</v>
      </c>
      <c r="I611" s="265">
        <v>1992</v>
      </c>
      <c r="J611" s="265">
        <v>3</v>
      </c>
      <c r="K611" s="265">
        <f t="shared" si="9"/>
        <v>32</v>
      </c>
      <c r="L611" s="281"/>
      <c r="M611" s="267">
        <v>7</v>
      </c>
      <c r="N611" s="267">
        <v>7</v>
      </c>
      <c r="O611" s="268" t="s">
        <v>1812</v>
      </c>
      <c r="P611" s="269" t="s">
        <v>1581</v>
      </c>
      <c r="Q611" s="269"/>
      <c r="R611" s="270"/>
      <c r="S611" s="271"/>
      <c r="T611" s="272"/>
      <c r="U611" s="272"/>
      <c r="V611" s="273"/>
      <c r="W611" s="274"/>
      <c r="X611" s="275">
        <v>50</v>
      </c>
      <c r="Y611" s="276" t="s">
        <v>825</v>
      </c>
      <c r="Z611" s="265" t="s">
        <v>825</v>
      </c>
      <c r="AA611" s="265" t="s">
        <v>825</v>
      </c>
      <c r="AB611" s="265" t="s">
        <v>825</v>
      </c>
      <c r="AC611" s="265" t="s">
        <v>825</v>
      </c>
      <c r="AD611" s="265" t="s">
        <v>825</v>
      </c>
      <c r="AE611" s="265" t="s">
        <v>825</v>
      </c>
      <c r="AF611" s="265" t="s">
        <v>825</v>
      </c>
      <c r="AG611" s="265" t="s">
        <v>825</v>
      </c>
      <c r="AH611" s="265" t="s">
        <v>825</v>
      </c>
      <c r="AI611" s="277" t="s">
        <v>825</v>
      </c>
      <c r="AJ611" s="278" t="s">
        <v>1604</v>
      </c>
      <c r="AK611" s="696" t="s">
        <v>2332</v>
      </c>
    </row>
    <row r="612" spans="1:37" s="653" customFormat="1">
      <c r="A612" s="655">
        <v>2024</v>
      </c>
      <c r="B612" s="656" t="str">
        <f>INDEX('①基本情報 '!$C$2:$C$255,MATCH('②建物情報 '!E612,'①基本情報 '!$E$2:$E$255,0),1)</f>
        <v>210</v>
      </c>
      <c r="C612" s="657" t="str">
        <f>INDEX('①基本情報 '!$B$2:$B$255,MATCH('②建物情報 '!E612,'①基本情報 '!$E$2:$E$255,0),1)</f>
        <v>0854</v>
      </c>
      <c r="D612" s="261" t="s">
        <v>2418</v>
      </c>
      <c r="E612" s="262" t="s">
        <v>1321</v>
      </c>
      <c r="F612" s="263" t="str">
        <f>INDEX('①基本情報 '!$G$2:$G$255,MATCH('②建物情報 '!E612,'①基本情報 '!$E$2:$E$255,0),1)</f>
        <v>都市交通部みどり公園室公園課</v>
      </c>
      <c r="G612" s="264" t="s">
        <v>1591</v>
      </c>
      <c r="H612" s="282" t="s">
        <v>1739</v>
      </c>
      <c r="I612" s="265">
        <v>1992</v>
      </c>
      <c r="J612" s="265">
        <v>3</v>
      </c>
      <c r="K612" s="265">
        <f t="shared" si="9"/>
        <v>32</v>
      </c>
      <c r="L612" s="281"/>
      <c r="M612" s="267">
        <v>29.7</v>
      </c>
      <c r="N612" s="267">
        <v>29.7</v>
      </c>
      <c r="O612" s="268" t="s">
        <v>1812</v>
      </c>
      <c r="P612" s="269" t="s">
        <v>1581</v>
      </c>
      <c r="Q612" s="269"/>
      <c r="R612" s="270"/>
      <c r="S612" s="271"/>
      <c r="T612" s="272"/>
      <c r="U612" s="272"/>
      <c r="V612" s="273"/>
      <c r="W612" s="274"/>
      <c r="X612" s="275">
        <v>50</v>
      </c>
      <c r="Y612" s="276" t="s">
        <v>825</v>
      </c>
      <c r="Z612" s="265" t="s">
        <v>825</v>
      </c>
      <c r="AA612" s="265" t="s">
        <v>825</v>
      </c>
      <c r="AB612" s="265" t="s">
        <v>825</v>
      </c>
      <c r="AC612" s="265" t="s">
        <v>825</v>
      </c>
      <c r="AD612" s="265" t="s">
        <v>825</v>
      </c>
      <c r="AE612" s="265" t="s">
        <v>825</v>
      </c>
      <c r="AF612" s="265" t="s">
        <v>825</v>
      </c>
      <c r="AG612" s="265" t="s">
        <v>825</v>
      </c>
      <c r="AH612" s="265" t="s">
        <v>825</v>
      </c>
      <c r="AI612" s="277" t="s">
        <v>825</v>
      </c>
      <c r="AJ612" s="278" t="s">
        <v>1604</v>
      </c>
      <c r="AK612" s="696" t="s">
        <v>2332</v>
      </c>
    </row>
    <row r="613" spans="1:37" s="653" customFormat="1">
      <c r="A613" s="655">
        <v>2024</v>
      </c>
      <c r="B613" s="656" t="str">
        <f>INDEX('①基本情報 '!$C$2:$C$255,MATCH('②建物情報 '!E613,'①基本情報 '!$E$2:$E$255,0),1)</f>
        <v>210</v>
      </c>
      <c r="C613" s="657" t="str">
        <f>INDEX('①基本情報 '!$B$2:$B$255,MATCH('②建物情報 '!E613,'①基本情報 '!$E$2:$E$255,0),1)</f>
        <v>0854</v>
      </c>
      <c r="D613" s="261" t="s">
        <v>2418</v>
      </c>
      <c r="E613" s="262" t="s">
        <v>1321</v>
      </c>
      <c r="F613" s="263" t="str">
        <f>INDEX('①基本情報 '!$G$2:$G$255,MATCH('②建物情報 '!E613,'①基本情報 '!$E$2:$E$255,0),1)</f>
        <v>都市交通部みどり公園室公園課</v>
      </c>
      <c r="G613" s="264" t="s">
        <v>1601</v>
      </c>
      <c r="H613" s="282" t="s">
        <v>1740</v>
      </c>
      <c r="I613" s="265">
        <v>1992</v>
      </c>
      <c r="J613" s="265">
        <v>3</v>
      </c>
      <c r="K613" s="265">
        <f t="shared" si="9"/>
        <v>32</v>
      </c>
      <c r="L613" s="281"/>
      <c r="M613" s="267">
        <v>31.5</v>
      </c>
      <c r="N613" s="267">
        <v>31.5</v>
      </c>
      <c r="O613" s="268" t="s">
        <v>1812</v>
      </c>
      <c r="P613" s="269" t="s">
        <v>1581</v>
      </c>
      <c r="Q613" s="269"/>
      <c r="R613" s="270"/>
      <c r="S613" s="271"/>
      <c r="T613" s="272"/>
      <c r="U613" s="272"/>
      <c r="V613" s="273"/>
      <c r="W613" s="274"/>
      <c r="X613" s="275">
        <v>50</v>
      </c>
      <c r="Y613" s="276" t="s">
        <v>825</v>
      </c>
      <c r="Z613" s="265" t="s">
        <v>825</v>
      </c>
      <c r="AA613" s="265" t="s">
        <v>825</v>
      </c>
      <c r="AB613" s="265" t="s">
        <v>825</v>
      </c>
      <c r="AC613" s="265" t="s">
        <v>825</v>
      </c>
      <c r="AD613" s="265" t="s">
        <v>825</v>
      </c>
      <c r="AE613" s="265" t="s">
        <v>825</v>
      </c>
      <c r="AF613" s="265" t="s">
        <v>825</v>
      </c>
      <c r="AG613" s="265" t="s">
        <v>825</v>
      </c>
      <c r="AH613" s="265" t="s">
        <v>825</v>
      </c>
      <c r="AI613" s="277" t="s">
        <v>825</v>
      </c>
      <c r="AJ613" s="278" t="s">
        <v>1604</v>
      </c>
      <c r="AK613" s="696" t="s">
        <v>2332</v>
      </c>
    </row>
    <row r="614" spans="1:37" s="653" customFormat="1">
      <c r="A614" s="655">
        <v>2024</v>
      </c>
      <c r="B614" s="656" t="str">
        <f>INDEX('①基本情報 '!$C$2:$C$255,MATCH('②建物情報 '!E614,'①基本情報 '!$E$2:$E$255,0),1)</f>
        <v>210</v>
      </c>
      <c r="C614" s="657" t="str">
        <f>INDEX('①基本情報 '!$B$2:$B$255,MATCH('②建物情報 '!E614,'①基本情報 '!$E$2:$E$255,0),1)</f>
        <v>0854</v>
      </c>
      <c r="D614" s="261" t="s">
        <v>2418</v>
      </c>
      <c r="E614" s="262" t="s">
        <v>1321</v>
      </c>
      <c r="F614" s="263" t="str">
        <f>INDEX('①基本情報 '!$G$2:$G$255,MATCH('②建物情報 '!E614,'①基本情報 '!$E$2:$E$255,0),1)</f>
        <v>都市交通部みどり公園室公園課</v>
      </c>
      <c r="G614" s="264" t="s">
        <v>1620</v>
      </c>
      <c r="H614" s="282" t="s">
        <v>1741</v>
      </c>
      <c r="I614" s="265">
        <v>1992</v>
      </c>
      <c r="J614" s="265">
        <v>3</v>
      </c>
      <c r="K614" s="265">
        <f t="shared" si="9"/>
        <v>32</v>
      </c>
      <c r="L614" s="281"/>
      <c r="M614" s="267">
        <v>43.9</v>
      </c>
      <c r="N614" s="267">
        <v>43.9</v>
      </c>
      <c r="O614" s="268" t="s">
        <v>1812</v>
      </c>
      <c r="P614" s="269" t="s">
        <v>1581</v>
      </c>
      <c r="Q614" s="269"/>
      <c r="R614" s="270"/>
      <c r="S614" s="271"/>
      <c r="T614" s="272"/>
      <c r="U614" s="272"/>
      <c r="V614" s="273"/>
      <c r="W614" s="274"/>
      <c r="X614" s="275">
        <v>50</v>
      </c>
      <c r="Y614" s="276" t="s">
        <v>825</v>
      </c>
      <c r="Z614" s="265" t="s">
        <v>825</v>
      </c>
      <c r="AA614" s="265" t="s">
        <v>825</v>
      </c>
      <c r="AB614" s="265" t="s">
        <v>825</v>
      </c>
      <c r="AC614" s="265" t="s">
        <v>825</v>
      </c>
      <c r="AD614" s="265" t="s">
        <v>825</v>
      </c>
      <c r="AE614" s="265" t="s">
        <v>825</v>
      </c>
      <c r="AF614" s="265" t="s">
        <v>825</v>
      </c>
      <c r="AG614" s="265" t="s">
        <v>825</v>
      </c>
      <c r="AH614" s="265" t="s">
        <v>825</v>
      </c>
      <c r="AI614" s="277" t="s">
        <v>825</v>
      </c>
      <c r="AJ614" s="278" t="s">
        <v>1606</v>
      </c>
      <c r="AK614" s="693" t="s">
        <v>2330</v>
      </c>
    </row>
    <row r="615" spans="1:37" s="653" customFormat="1">
      <c r="A615" s="655">
        <v>2024</v>
      </c>
      <c r="B615" s="656" t="str">
        <f>INDEX('①基本情報 '!$C$2:$C$255,MATCH('②建物情報 '!E615,'①基本情報 '!$E$2:$E$255,0),1)</f>
        <v>210</v>
      </c>
      <c r="C615" s="657" t="str">
        <f>INDEX('①基本情報 '!$B$2:$B$255,MATCH('②建物情報 '!E615,'①基本情報 '!$E$2:$E$255,0),1)</f>
        <v>0854</v>
      </c>
      <c r="D615" s="658" t="s">
        <v>2418</v>
      </c>
      <c r="E615" s="612" t="s">
        <v>1321</v>
      </c>
      <c r="F615" s="611" t="str">
        <f>INDEX('①基本情報 '!$G$2:$G$255,MATCH('②建物情報 '!E615,'①基本情報 '!$E$2:$E$255,0),1)</f>
        <v>都市交通部みどり公園室公園課</v>
      </c>
      <c r="G615" s="678" t="s">
        <v>1643</v>
      </c>
      <c r="H615" s="612" t="s">
        <v>1326</v>
      </c>
      <c r="I615" s="663">
        <v>1991</v>
      </c>
      <c r="J615" s="663">
        <v>3</v>
      </c>
      <c r="K615" s="663">
        <f t="shared" si="9"/>
        <v>33</v>
      </c>
      <c r="L615" s="694">
        <v>1300</v>
      </c>
      <c r="M615" s="680">
        <v>1746</v>
      </c>
      <c r="N615" s="680">
        <v>1746</v>
      </c>
      <c r="O615" s="681" t="s">
        <v>1812</v>
      </c>
      <c r="P615" s="259" t="s">
        <v>1581</v>
      </c>
      <c r="Q615" s="259">
        <v>1</v>
      </c>
      <c r="R615" s="260">
        <v>1</v>
      </c>
      <c r="S615" s="682" t="s">
        <v>1593</v>
      </c>
      <c r="T615" s="683" t="s">
        <v>825</v>
      </c>
      <c r="U615" s="683" t="s">
        <v>63</v>
      </c>
      <c r="V615" s="684"/>
      <c r="W615" s="685"/>
      <c r="X615" s="686">
        <v>50</v>
      </c>
      <c r="Y615" s="687" t="s">
        <v>825</v>
      </c>
      <c r="Z615" s="663" t="s">
        <v>825</v>
      </c>
      <c r="AA615" s="663" t="s">
        <v>825</v>
      </c>
      <c r="AB615" s="663" t="s">
        <v>825</v>
      </c>
      <c r="AC615" s="663" t="s">
        <v>825</v>
      </c>
      <c r="AD615" s="663" t="s">
        <v>825</v>
      </c>
      <c r="AE615" s="663" t="s">
        <v>825</v>
      </c>
      <c r="AF615" s="663" t="s">
        <v>825</v>
      </c>
      <c r="AG615" s="663" t="s">
        <v>825</v>
      </c>
      <c r="AH615" s="663" t="s">
        <v>825</v>
      </c>
      <c r="AI615" s="688" t="s">
        <v>825</v>
      </c>
      <c r="AJ615" s="689" t="s">
        <v>1588</v>
      </c>
      <c r="AK615" s="690"/>
    </row>
    <row r="616" spans="1:37" s="653" customFormat="1">
      <c r="A616" s="655">
        <v>2024</v>
      </c>
      <c r="B616" s="656" t="str">
        <f>INDEX('①基本情報 '!$C$2:$C$255,MATCH('②建物情報 '!E616,'①基本情報 '!$E$2:$E$255,0),1)</f>
        <v>210</v>
      </c>
      <c r="C616" s="657" t="str">
        <f>INDEX('①基本情報 '!$B$2:$B$255,MATCH('②建物情報 '!E616,'①基本情報 '!$E$2:$E$255,0),1)</f>
        <v>0854</v>
      </c>
      <c r="D616" s="261" t="s">
        <v>2418</v>
      </c>
      <c r="E616" s="262" t="s">
        <v>1321</v>
      </c>
      <c r="F616" s="263" t="str">
        <f>INDEX('①基本情報 '!$G$2:$G$255,MATCH('②建物情報 '!E616,'①基本情報 '!$E$2:$E$255,0),1)</f>
        <v>都市交通部みどり公園室公園課</v>
      </c>
      <c r="G616" s="264" t="s">
        <v>1645</v>
      </c>
      <c r="H616" s="262" t="s">
        <v>1742</v>
      </c>
      <c r="I616" s="265">
        <v>1992</v>
      </c>
      <c r="J616" s="265">
        <v>3</v>
      </c>
      <c r="K616" s="265">
        <f t="shared" si="9"/>
        <v>32</v>
      </c>
      <c r="L616" s="281"/>
      <c r="M616" s="267">
        <v>3.3</v>
      </c>
      <c r="N616" s="267">
        <v>3.3</v>
      </c>
      <c r="O616" s="268" t="s">
        <v>1812</v>
      </c>
      <c r="P616" s="269" t="s">
        <v>1581</v>
      </c>
      <c r="Q616" s="269"/>
      <c r="R616" s="270"/>
      <c r="S616" s="271"/>
      <c r="T616" s="272"/>
      <c r="U616" s="272"/>
      <c r="V616" s="273"/>
      <c r="W616" s="274"/>
      <c r="X616" s="275">
        <v>38</v>
      </c>
      <c r="Y616" s="276" t="s">
        <v>825</v>
      </c>
      <c r="Z616" s="265" t="s">
        <v>825</v>
      </c>
      <c r="AA616" s="265" t="s">
        <v>825</v>
      </c>
      <c r="AB616" s="265" t="s">
        <v>825</v>
      </c>
      <c r="AC616" s="265" t="s">
        <v>825</v>
      </c>
      <c r="AD616" s="265" t="s">
        <v>825</v>
      </c>
      <c r="AE616" s="265" t="s">
        <v>825</v>
      </c>
      <c r="AF616" s="265" t="s">
        <v>825</v>
      </c>
      <c r="AG616" s="265" t="s">
        <v>825</v>
      </c>
      <c r="AH616" s="265" t="s">
        <v>825</v>
      </c>
      <c r="AI616" s="277" t="s">
        <v>825</v>
      </c>
      <c r="AJ616" s="278" t="s">
        <v>1604</v>
      </c>
      <c r="AK616" s="696" t="s">
        <v>2332</v>
      </c>
    </row>
    <row r="617" spans="1:37" s="653" customFormat="1">
      <c r="A617" s="655">
        <v>2024</v>
      </c>
      <c r="B617" s="656" t="str">
        <f>INDEX('①基本情報 '!$C$2:$C$255,MATCH('②建物情報 '!E617,'①基本情報 '!$E$2:$E$255,0),1)</f>
        <v>210</v>
      </c>
      <c r="C617" s="657" t="str">
        <f>INDEX('①基本情報 '!$B$2:$B$255,MATCH('②建物情報 '!E617,'①基本情報 '!$E$2:$E$255,0),1)</f>
        <v>0854</v>
      </c>
      <c r="D617" s="261" t="s">
        <v>2418</v>
      </c>
      <c r="E617" s="262" t="s">
        <v>1321</v>
      </c>
      <c r="F617" s="263" t="str">
        <f>INDEX('①基本情報 '!$G$2:$G$255,MATCH('②建物情報 '!E617,'①基本情報 '!$E$2:$E$255,0),1)</f>
        <v>都市交通部みどり公園室公園課</v>
      </c>
      <c r="G617" s="264" t="s">
        <v>1646</v>
      </c>
      <c r="H617" s="262" t="s">
        <v>1655</v>
      </c>
      <c r="I617" s="265">
        <v>1992</v>
      </c>
      <c r="J617" s="265">
        <v>3</v>
      </c>
      <c r="K617" s="265">
        <f t="shared" si="9"/>
        <v>32</v>
      </c>
      <c r="L617" s="281"/>
      <c r="M617" s="267">
        <v>7.2</v>
      </c>
      <c r="N617" s="267">
        <v>7.2</v>
      </c>
      <c r="O617" s="268" t="s">
        <v>1812</v>
      </c>
      <c r="P617" s="269" t="s">
        <v>1581</v>
      </c>
      <c r="Q617" s="269"/>
      <c r="R617" s="270"/>
      <c r="S617" s="271"/>
      <c r="T617" s="272"/>
      <c r="U617" s="272"/>
      <c r="V617" s="273"/>
      <c r="W617" s="274"/>
      <c r="X617" s="275">
        <v>38</v>
      </c>
      <c r="Y617" s="276" t="s">
        <v>825</v>
      </c>
      <c r="Z617" s="265" t="s">
        <v>825</v>
      </c>
      <c r="AA617" s="265" t="s">
        <v>825</v>
      </c>
      <c r="AB617" s="265" t="s">
        <v>825</v>
      </c>
      <c r="AC617" s="265" t="s">
        <v>825</v>
      </c>
      <c r="AD617" s="265" t="s">
        <v>825</v>
      </c>
      <c r="AE617" s="265" t="s">
        <v>825</v>
      </c>
      <c r="AF617" s="265" t="s">
        <v>825</v>
      </c>
      <c r="AG617" s="265" t="s">
        <v>825</v>
      </c>
      <c r="AH617" s="265" t="s">
        <v>825</v>
      </c>
      <c r="AI617" s="277" t="s">
        <v>825</v>
      </c>
      <c r="AJ617" s="278" t="s">
        <v>1604</v>
      </c>
      <c r="AK617" s="696" t="s">
        <v>2332</v>
      </c>
    </row>
    <row r="618" spans="1:37" s="653" customFormat="1">
      <c r="A618" s="655">
        <v>2024</v>
      </c>
      <c r="B618" s="656" t="str">
        <f>INDEX('①基本情報 '!$C$2:$C$255,MATCH('②建物情報 '!E618,'①基本情報 '!$E$2:$E$255,0),1)</f>
        <v>211</v>
      </c>
      <c r="C618" s="657" t="str">
        <f>INDEX('①基本情報 '!$B$2:$B$255,MATCH('②建物情報 '!E618,'①基本情報 '!$E$2:$E$255,0),1)</f>
        <v>0867</v>
      </c>
      <c r="D618" s="658" t="s">
        <v>2418</v>
      </c>
      <c r="E618" s="612" t="s">
        <v>1329</v>
      </c>
      <c r="F618" s="611" t="str">
        <f>INDEX('①基本情報 '!$G$2:$G$255,MATCH('②建物情報 '!E618,'①基本情報 '!$E$2:$E$255,0),1)</f>
        <v>都市交通部みどり公園室公園課</v>
      </c>
      <c r="G618" s="678" t="s">
        <v>1580</v>
      </c>
      <c r="H618" s="612" t="s">
        <v>1743</v>
      </c>
      <c r="I618" s="663">
        <v>1999</v>
      </c>
      <c r="J618" s="663">
        <v>2</v>
      </c>
      <c r="K618" s="663">
        <f t="shared" si="9"/>
        <v>25</v>
      </c>
      <c r="L618" s="694">
        <v>223.37</v>
      </c>
      <c r="M618" s="680">
        <v>197.05</v>
      </c>
      <c r="N618" s="680">
        <v>197.05</v>
      </c>
      <c r="O618" s="681" t="s">
        <v>1812</v>
      </c>
      <c r="P618" s="259" t="s">
        <v>1581</v>
      </c>
      <c r="Q618" s="259">
        <v>1</v>
      </c>
      <c r="R618" s="260">
        <v>0</v>
      </c>
      <c r="S618" s="682" t="s">
        <v>1593</v>
      </c>
      <c r="T618" s="683" t="s">
        <v>825</v>
      </c>
      <c r="U618" s="683" t="s">
        <v>63</v>
      </c>
      <c r="V618" s="684"/>
      <c r="W618" s="685"/>
      <c r="X618" s="686">
        <v>50</v>
      </c>
      <c r="Y618" s="687" t="s">
        <v>1596</v>
      </c>
      <c r="Z618" s="663" t="s">
        <v>1585</v>
      </c>
      <c r="AA618" s="663" t="s">
        <v>1586</v>
      </c>
      <c r="AB618" s="663" t="s">
        <v>825</v>
      </c>
      <c r="AC618" s="663" t="s">
        <v>1586</v>
      </c>
      <c r="AD618" s="663" t="s">
        <v>1586</v>
      </c>
      <c r="AE618" s="663" t="s">
        <v>1585</v>
      </c>
      <c r="AF618" s="663" t="s">
        <v>825</v>
      </c>
      <c r="AG618" s="663" t="s">
        <v>825</v>
      </c>
      <c r="AH618" s="663" t="s">
        <v>1586</v>
      </c>
      <c r="AI618" s="688">
        <v>71.428571428571431</v>
      </c>
      <c r="AJ618" s="689" t="s">
        <v>1588</v>
      </c>
      <c r="AK618" s="690"/>
    </row>
    <row r="619" spans="1:37" s="653" customFormat="1">
      <c r="A619" s="655">
        <v>2024</v>
      </c>
      <c r="B619" s="656" t="str">
        <f>INDEX('①基本情報 '!$C$2:$C$255,MATCH('②建物情報 '!E619,'①基本情報 '!$E$2:$E$255,0),1)</f>
        <v>212</v>
      </c>
      <c r="C619" s="657" t="str">
        <f>INDEX('①基本情報 '!$B$2:$B$255,MATCH('②建物情報 '!E619,'①基本情報 '!$E$2:$E$255,0),1)</f>
        <v>0868</v>
      </c>
      <c r="D619" s="658" t="s">
        <v>2418</v>
      </c>
      <c r="E619" s="612" t="s">
        <v>1337</v>
      </c>
      <c r="F619" s="611" t="str">
        <f>INDEX('①基本情報 '!$G$2:$G$255,MATCH('②建物情報 '!E619,'①基本情報 '!$E$2:$E$255,0),1)</f>
        <v>都市交通部みどり公園室公園課</v>
      </c>
      <c r="G619" s="678" t="s">
        <v>1580</v>
      </c>
      <c r="H619" s="700" t="s">
        <v>1744</v>
      </c>
      <c r="I619" s="663">
        <v>1999</v>
      </c>
      <c r="J619" s="663">
        <v>2</v>
      </c>
      <c r="K619" s="663">
        <f t="shared" si="9"/>
        <v>25</v>
      </c>
      <c r="L619" s="679">
        <v>236.01</v>
      </c>
      <c r="M619" s="680">
        <v>112.36</v>
      </c>
      <c r="N619" s="680">
        <v>112.36</v>
      </c>
      <c r="O619" s="681" t="s">
        <v>1812</v>
      </c>
      <c r="P619" s="259" t="s">
        <v>1581</v>
      </c>
      <c r="Q619" s="259">
        <v>1</v>
      </c>
      <c r="R619" s="260">
        <v>0</v>
      </c>
      <c r="S619" s="682" t="s">
        <v>1593</v>
      </c>
      <c r="T619" s="683" t="s">
        <v>825</v>
      </c>
      <c r="U619" s="683" t="s">
        <v>63</v>
      </c>
      <c r="V619" s="684"/>
      <c r="W619" s="685"/>
      <c r="X619" s="686">
        <v>50</v>
      </c>
      <c r="Y619" s="687" t="s">
        <v>1596</v>
      </c>
      <c r="Z619" s="663" t="s">
        <v>1586</v>
      </c>
      <c r="AA619" s="663" t="s">
        <v>825</v>
      </c>
      <c r="AB619" s="663" t="s">
        <v>825</v>
      </c>
      <c r="AC619" s="663" t="s">
        <v>1586</v>
      </c>
      <c r="AD619" s="663" t="s">
        <v>1586</v>
      </c>
      <c r="AE619" s="663" t="s">
        <v>1585</v>
      </c>
      <c r="AF619" s="663" t="s">
        <v>825</v>
      </c>
      <c r="AG619" s="663" t="s">
        <v>825</v>
      </c>
      <c r="AH619" s="663" t="s">
        <v>1586</v>
      </c>
      <c r="AI619" s="688">
        <v>70</v>
      </c>
      <c r="AJ619" s="689" t="s">
        <v>1588</v>
      </c>
      <c r="AK619" s="690"/>
    </row>
    <row r="620" spans="1:37" s="653" customFormat="1">
      <c r="A620" s="655">
        <v>2024</v>
      </c>
      <c r="B620" s="656" t="str">
        <f>INDEX('①基本情報 '!$C$2:$C$255,MATCH('②建物情報 '!E620,'①基本情報 '!$E$2:$E$255,0),1)</f>
        <v>212</v>
      </c>
      <c r="C620" s="657" t="str">
        <f>INDEX('①基本情報 '!$B$2:$B$255,MATCH('②建物情報 '!E620,'①基本情報 '!$E$2:$E$255,0),1)</f>
        <v>0868</v>
      </c>
      <c r="D620" s="658" t="s">
        <v>2418</v>
      </c>
      <c r="E620" s="612" t="s">
        <v>1337</v>
      </c>
      <c r="F620" s="611" t="str">
        <f>INDEX('①基本情報 '!$G$2:$G$255,MATCH('②建物情報 '!E620,'①基本情報 '!$E$2:$E$255,0),1)</f>
        <v>都市交通部みどり公園室公園課</v>
      </c>
      <c r="G620" s="678" t="s">
        <v>1589</v>
      </c>
      <c r="H620" s="700" t="s">
        <v>1745</v>
      </c>
      <c r="I620" s="663">
        <v>1999</v>
      </c>
      <c r="J620" s="663">
        <v>2</v>
      </c>
      <c r="K620" s="663">
        <f t="shared" si="9"/>
        <v>25</v>
      </c>
      <c r="L620" s="679">
        <v>236.01</v>
      </c>
      <c r="M620" s="680">
        <v>158.27000000000001</v>
      </c>
      <c r="N620" s="680">
        <v>158.27000000000001</v>
      </c>
      <c r="O620" s="681" t="s">
        <v>1812</v>
      </c>
      <c r="P620" s="259" t="s">
        <v>1581</v>
      </c>
      <c r="Q620" s="259">
        <v>2</v>
      </c>
      <c r="R620" s="260">
        <v>0</v>
      </c>
      <c r="S620" s="682" t="s">
        <v>1593</v>
      </c>
      <c r="T620" s="683" t="s">
        <v>825</v>
      </c>
      <c r="U620" s="683" t="s">
        <v>63</v>
      </c>
      <c r="V620" s="684"/>
      <c r="W620" s="685"/>
      <c r="X620" s="686">
        <v>50</v>
      </c>
      <c r="Y620" s="687" t="s">
        <v>825</v>
      </c>
      <c r="Z620" s="663" t="s">
        <v>825</v>
      </c>
      <c r="AA620" s="663" t="s">
        <v>825</v>
      </c>
      <c r="AB620" s="663" t="s">
        <v>825</v>
      </c>
      <c r="AC620" s="663" t="s">
        <v>825</v>
      </c>
      <c r="AD620" s="663" t="s">
        <v>825</v>
      </c>
      <c r="AE620" s="663" t="s">
        <v>825</v>
      </c>
      <c r="AF620" s="663" t="s">
        <v>825</v>
      </c>
      <c r="AG620" s="663" t="s">
        <v>825</v>
      </c>
      <c r="AH620" s="663" t="s">
        <v>825</v>
      </c>
      <c r="AI620" s="688" t="s">
        <v>825</v>
      </c>
      <c r="AJ620" s="689" t="s">
        <v>1588</v>
      </c>
      <c r="AK620" s="690"/>
    </row>
    <row r="621" spans="1:37" s="653" customFormat="1">
      <c r="A621" s="655">
        <v>2024</v>
      </c>
      <c r="B621" s="656" t="str">
        <f>INDEX('①基本情報 '!$C$2:$C$255,MATCH('②建物情報 '!E621,'①基本情報 '!$E$2:$E$255,0),1)</f>
        <v>212</v>
      </c>
      <c r="C621" s="657" t="str">
        <f>INDEX('①基本情報 '!$B$2:$B$255,MATCH('②建物情報 '!E621,'①基本情報 '!$E$2:$E$255,0),1)</f>
        <v>0868</v>
      </c>
      <c r="D621" s="261" t="s">
        <v>2418</v>
      </c>
      <c r="E621" s="262" t="s">
        <v>1337</v>
      </c>
      <c r="F621" s="263" t="str">
        <f>INDEX('①基本情報 '!$G$2:$G$255,MATCH('②建物情報 '!E621,'①基本情報 '!$E$2:$E$255,0),1)</f>
        <v>都市交通部みどり公園室公園課</v>
      </c>
      <c r="G621" s="264" t="s">
        <v>1591</v>
      </c>
      <c r="H621" s="282" t="s">
        <v>1746</v>
      </c>
      <c r="I621" s="265">
        <v>1997</v>
      </c>
      <c r="J621" s="265">
        <v>7</v>
      </c>
      <c r="K621" s="265">
        <f t="shared" si="9"/>
        <v>27</v>
      </c>
      <c r="L621" s="266"/>
      <c r="M621" s="267">
        <v>19.62</v>
      </c>
      <c r="N621" s="267">
        <v>19.62</v>
      </c>
      <c r="O621" s="268" t="s">
        <v>1812</v>
      </c>
      <c r="P621" s="269" t="s">
        <v>1614</v>
      </c>
      <c r="Q621" s="269"/>
      <c r="R621" s="270"/>
      <c r="S621" s="271"/>
      <c r="T621" s="272"/>
      <c r="U621" s="272"/>
      <c r="V621" s="273"/>
      <c r="W621" s="274"/>
      <c r="X621" s="275">
        <v>24</v>
      </c>
      <c r="Y621" s="276" t="s">
        <v>825</v>
      </c>
      <c r="Z621" s="265" t="s">
        <v>825</v>
      </c>
      <c r="AA621" s="265" t="s">
        <v>825</v>
      </c>
      <c r="AB621" s="265" t="s">
        <v>825</v>
      </c>
      <c r="AC621" s="265" t="s">
        <v>825</v>
      </c>
      <c r="AD621" s="265" t="s">
        <v>825</v>
      </c>
      <c r="AE621" s="265" t="s">
        <v>825</v>
      </c>
      <c r="AF621" s="265" t="s">
        <v>825</v>
      </c>
      <c r="AG621" s="265" t="s">
        <v>825</v>
      </c>
      <c r="AH621" s="265" t="s">
        <v>825</v>
      </c>
      <c r="AI621" s="277" t="s">
        <v>825</v>
      </c>
      <c r="AJ621" s="278" t="s">
        <v>1606</v>
      </c>
      <c r="AK621" s="693" t="s">
        <v>2330</v>
      </c>
    </row>
    <row r="622" spans="1:37" s="653" customFormat="1">
      <c r="A622" s="655">
        <v>2024</v>
      </c>
      <c r="B622" s="656" t="str">
        <f>INDEX('①基本情報 '!$C$2:$C$255,MATCH('②建物情報 '!E622,'①基本情報 '!$E$2:$E$255,0),1)</f>
        <v>212</v>
      </c>
      <c r="C622" s="657" t="str">
        <f>INDEX('①基本情報 '!$B$2:$B$255,MATCH('②建物情報 '!E622,'①基本情報 '!$E$2:$E$255,0),1)</f>
        <v>0868</v>
      </c>
      <c r="D622" s="261" t="s">
        <v>2418</v>
      </c>
      <c r="E622" s="262" t="s">
        <v>1337</v>
      </c>
      <c r="F622" s="263" t="str">
        <f>INDEX('①基本情報 '!$G$2:$G$255,MATCH('②建物情報 '!E622,'①基本情報 '!$E$2:$E$255,0),1)</f>
        <v>都市交通部みどり公園室公園課</v>
      </c>
      <c r="G622" s="264" t="s">
        <v>1601</v>
      </c>
      <c r="H622" s="282" t="s">
        <v>1747</v>
      </c>
      <c r="I622" s="265">
        <v>1998</v>
      </c>
      <c r="J622" s="265">
        <v>3</v>
      </c>
      <c r="K622" s="265">
        <f t="shared" si="9"/>
        <v>26</v>
      </c>
      <c r="L622" s="266"/>
      <c r="M622" s="267">
        <v>22.94</v>
      </c>
      <c r="N622" s="267">
        <v>22.94</v>
      </c>
      <c r="O622" s="268" t="s">
        <v>1812</v>
      </c>
      <c r="P622" s="269" t="s">
        <v>1614</v>
      </c>
      <c r="Q622" s="269"/>
      <c r="R622" s="270"/>
      <c r="S622" s="271"/>
      <c r="T622" s="272"/>
      <c r="U622" s="272"/>
      <c r="V622" s="273"/>
      <c r="W622" s="274"/>
      <c r="X622" s="275">
        <v>15</v>
      </c>
      <c r="Y622" s="276" t="s">
        <v>825</v>
      </c>
      <c r="Z622" s="265" t="s">
        <v>825</v>
      </c>
      <c r="AA622" s="265" t="s">
        <v>825</v>
      </c>
      <c r="AB622" s="265" t="s">
        <v>825</v>
      </c>
      <c r="AC622" s="265" t="s">
        <v>825</v>
      </c>
      <c r="AD622" s="265" t="s">
        <v>825</v>
      </c>
      <c r="AE622" s="265" t="s">
        <v>825</v>
      </c>
      <c r="AF622" s="265" t="s">
        <v>825</v>
      </c>
      <c r="AG622" s="265" t="s">
        <v>825</v>
      </c>
      <c r="AH622" s="265" t="s">
        <v>825</v>
      </c>
      <c r="AI622" s="277" t="s">
        <v>825</v>
      </c>
      <c r="AJ622" s="278" t="s">
        <v>1604</v>
      </c>
      <c r="AK622" s="696" t="s">
        <v>2332</v>
      </c>
    </row>
    <row r="623" spans="1:37" s="653" customFormat="1">
      <c r="A623" s="655">
        <v>2024</v>
      </c>
      <c r="B623" s="656" t="str">
        <f>INDEX('①基本情報 '!$C$2:$C$255,MATCH('②建物情報 '!E623,'①基本情報 '!$E$2:$E$255,0),1)</f>
        <v>212</v>
      </c>
      <c r="C623" s="657" t="str">
        <f>INDEX('①基本情報 '!$B$2:$B$255,MATCH('②建物情報 '!E623,'①基本情報 '!$E$2:$E$255,0),1)</f>
        <v>0868</v>
      </c>
      <c r="D623" s="261" t="s">
        <v>2418</v>
      </c>
      <c r="E623" s="262" t="s">
        <v>1337</v>
      </c>
      <c r="F623" s="263" t="str">
        <f>INDEX('①基本情報 '!$G$2:$G$255,MATCH('②建物情報 '!E623,'①基本情報 '!$E$2:$E$255,0),1)</f>
        <v>都市交通部みどり公園室公園課</v>
      </c>
      <c r="G623" s="264" t="s">
        <v>1620</v>
      </c>
      <c r="H623" s="282" t="s">
        <v>1612</v>
      </c>
      <c r="I623" s="265">
        <v>1998</v>
      </c>
      <c r="J623" s="265">
        <v>3</v>
      </c>
      <c r="K623" s="265">
        <f t="shared" si="9"/>
        <v>26</v>
      </c>
      <c r="L623" s="266"/>
      <c r="M623" s="267">
        <v>10.99</v>
      </c>
      <c r="N623" s="267">
        <v>10.99</v>
      </c>
      <c r="O623" s="268" t="s">
        <v>1812</v>
      </c>
      <c r="P623" s="269" t="s">
        <v>1581</v>
      </c>
      <c r="Q623" s="269"/>
      <c r="R623" s="270"/>
      <c r="S623" s="271"/>
      <c r="T623" s="272"/>
      <c r="U623" s="272"/>
      <c r="V623" s="273"/>
      <c r="W623" s="274"/>
      <c r="X623" s="275">
        <v>38</v>
      </c>
      <c r="Y623" s="276" t="s">
        <v>825</v>
      </c>
      <c r="Z623" s="265" t="s">
        <v>825</v>
      </c>
      <c r="AA623" s="265" t="s">
        <v>825</v>
      </c>
      <c r="AB623" s="265" t="s">
        <v>825</v>
      </c>
      <c r="AC623" s="265" t="s">
        <v>825</v>
      </c>
      <c r="AD623" s="265" t="s">
        <v>825</v>
      </c>
      <c r="AE623" s="265" t="s">
        <v>825</v>
      </c>
      <c r="AF623" s="265" t="s">
        <v>825</v>
      </c>
      <c r="AG623" s="265" t="s">
        <v>825</v>
      </c>
      <c r="AH623" s="265" t="s">
        <v>825</v>
      </c>
      <c r="AI623" s="277" t="s">
        <v>825</v>
      </c>
      <c r="AJ623" s="278" t="s">
        <v>1604</v>
      </c>
      <c r="AK623" s="696" t="s">
        <v>2332</v>
      </c>
    </row>
    <row r="624" spans="1:37" s="653" customFormat="1">
      <c r="A624" s="655">
        <v>2024</v>
      </c>
      <c r="B624" s="656" t="str">
        <f>INDEX('①基本情報 '!$C$2:$C$255,MATCH('②建物情報 '!E624,'①基本情報 '!$E$2:$E$255,0),1)</f>
        <v>213</v>
      </c>
      <c r="C624" s="657" t="str">
        <f>INDEX('①基本情報 '!$B$2:$B$255,MATCH('②建物情報 '!E624,'①基本情報 '!$E$2:$E$255,0),1)</f>
        <v>0870</v>
      </c>
      <c r="D624" s="658" t="s">
        <v>2418</v>
      </c>
      <c r="E624" s="612" t="s">
        <v>1343</v>
      </c>
      <c r="F624" s="611" t="str">
        <f>INDEX('①基本情報 '!$G$2:$G$255,MATCH('②建物情報 '!E624,'①基本情報 '!$E$2:$E$255,0),1)</f>
        <v>都市交通部みどり公園室公園課</v>
      </c>
      <c r="G624" s="678" t="s">
        <v>1580</v>
      </c>
      <c r="H624" s="612" t="s">
        <v>1743</v>
      </c>
      <c r="I624" s="703">
        <v>2004</v>
      </c>
      <c r="J624" s="703">
        <v>3</v>
      </c>
      <c r="K624" s="663">
        <f t="shared" si="9"/>
        <v>20</v>
      </c>
      <c r="L624" s="694">
        <v>457.08</v>
      </c>
      <c r="M624" s="680">
        <v>431.6</v>
      </c>
      <c r="N624" s="680">
        <v>431.6</v>
      </c>
      <c r="O624" s="681" t="s">
        <v>1812</v>
      </c>
      <c r="P624" s="259" t="s">
        <v>1581</v>
      </c>
      <c r="Q624" s="259">
        <v>1</v>
      </c>
      <c r="R624" s="260">
        <v>0</v>
      </c>
      <c r="S624" s="682" t="s">
        <v>1593</v>
      </c>
      <c r="T624" s="683" t="s">
        <v>825</v>
      </c>
      <c r="U624" s="683" t="s">
        <v>63</v>
      </c>
      <c r="V624" s="684"/>
      <c r="W624" s="685"/>
      <c r="X624" s="686">
        <v>50</v>
      </c>
      <c r="Y624" s="687" t="s">
        <v>1587</v>
      </c>
      <c r="Z624" s="663" t="s">
        <v>1585</v>
      </c>
      <c r="AA624" s="663" t="s">
        <v>1586</v>
      </c>
      <c r="AB624" s="663" t="s">
        <v>825</v>
      </c>
      <c r="AC624" s="663" t="s">
        <v>1585</v>
      </c>
      <c r="AD624" s="663" t="s">
        <v>1586</v>
      </c>
      <c r="AE624" s="663" t="s">
        <v>1585</v>
      </c>
      <c r="AF624" s="663" t="s">
        <v>825</v>
      </c>
      <c r="AG624" s="663" t="s">
        <v>825</v>
      </c>
      <c r="AH624" s="663" t="s">
        <v>1585</v>
      </c>
      <c r="AI624" s="688">
        <v>60.571428571428562</v>
      </c>
      <c r="AJ624" s="689" t="s">
        <v>1588</v>
      </c>
      <c r="AK624" s="690"/>
    </row>
    <row r="625" spans="1:37" s="653" customFormat="1">
      <c r="A625" s="655">
        <v>2024</v>
      </c>
      <c r="B625" s="656" t="str">
        <f>INDEX('①基本情報 '!$C$2:$C$255,MATCH('②建物情報 '!E625,'①基本情報 '!$E$2:$E$255,0),1)</f>
        <v>213</v>
      </c>
      <c r="C625" s="657" t="str">
        <f>INDEX('①基本情報 '!$B$2:$B$255,MATCH('②建物情報 '!E625,'①基本情報 '!$E$2:$E$255,0),1)</f>
        <v>0870</v>
      </c>
      <c r="D625" s="658" t="s">
        <v>2418</v>
      </c>
      <c r="E625" s="612" t="s">
        <v>1343</v>
      </c>
      <c r="F625" s="611" t="str">
        <f>INDEX('①基本情報 '!$G$2:$G$255,MATCH('②建物情報 '!E625,'①基本情報 '!$E$2:$E$255,0),1)</f>
        <v>都市交通部みどり公園室公園課</v>
      </c>
      <c r="G625" s="678" t="s">
        <v>1589</v>
      </c>
      <c r="H625" s="612" t="s">
        <v>1748</v>
      </c>
      <c r="I625" s="703">
        <v>2004</v>
      </c>
      <c r="J625" s="703">
        <v>3</v>
      </c>
      <c r="K625" s="663">
        <f t="shared" si="9"/>
        <v>20</v>
      </c>
      <c r="L625" s="694">
        <v>326.08999999999997</v>
      </c>
      <c r="M625" s="680">
        <v>768.6</v>
      </c>
      <c r="N625" s="680">
        <v>768.6</v>
      </c>
      <c r="O625" s="681" t="s">
        <v>1812</v>
      </c>
      <c r="P625" s="259" t="s">
        <v>1581</v>
      </c>
      <c r="Q625" s="259">
        <v>2</v>
      </c>
      <c r="R625" s="260">
        <v>1</v>
      </c>
      <c r="S625" s="682" t="s">
        <v>1593</v>
      </c>
      <c r="T625" s="683" t="s">
        <v>825</v>
      </c>
      <c r="U625" s="683" t="s">
        <v>63</v>
      </c>
      <c r="V625" s="684"/>
      <c r="W625" s="685"/>
      <c r="X625" s="686">
        <v>50</v>
      </c>
      <c r="Y625" s="687" t="s">
        <v>1587</v>
      </c>
      <c r="Z625" s="663" t="s">
        <v>1585</v>
      </c>
      <c r="AA625" s="663" t="s">
        <v>1586</v>
      </c>
      <c r="AB625" s="663" t="s">
        <v>825</v>
      </c>
      <c r="AC625" s="663" t="s">
        <v>1585</v>
      </c>
      <c r="AD625" s="663" t="s">
        <v>1586</v>
      </c>
      <c r="AE625" s="663" t="s">
        <v>1585</v>
      </c>
      <c r="AF625" s="663" t="s">
        <v>825</v>
      </c>
      <c r="AG625" s="663" t="s">
        <v>825</v>
      </c>
      <c r="AH625" s="663" t="s">
        <v>1585</v>
      </c>
      <c r="AI625" s="688">
        <v>60.571428571428562</v>
      </c>
      <c r="AJ625" s="689" t="s">
        <v>1588</v>
      </c>
      <c r="AK625" s="690"/>
    </row>
    <row r="626" spans="1:37" s="653" customFormat="1">
      <c r="A626" s="655">
        <v>2024</v>
      </c>
      <c r="B626" s="656" t="str">
        <f>INDEX('①基本情報 '!$C$2:$C$255,MATCH('②建物情報 '!E626,'①基本情報 '!$E$2:$E$255,0),1)</f>
        <v>213</v>
      </c>
      <c r="C626" s="657" t="str">
        <f>INDEX('①基本情報 '!$B$2:$B$255,MATCH('②建物情報 '!E626,'①基本情報 '!$E$2:$E$255,0),1)</f>
        <v>0870</v>
      </c>
      <c r="D626" s="658" t="s">
        <v>2418</v>
      </c>
      <c r="E626" s="612" t="s">
        <v>1343</v>
      </c>
      <c r="F626" s="611" t="str">
        <f>INDEX('①基本情報 '!$G$2:$G$255,MATCH('②建物情報 '!E626,'①基本情報 '!$E$2:$E$255,0),1)</f>
        <v>都市交通部みどり公園室公園課</v>
      </c>
      <c r="G626" s="678" t="s">
        <v>1591</v>
      </c>
      <c r="H626" s="612" t="s">
        <v>1623</v>
      </c>
      <c r="I626" s="703">
        <v>2004</v>
      </c>
      <c r="J626" s="703">
        <v>3</v>
      </c>
      <c r="K626" s="663">
        <f t="shared" ref="K626:K689" si="10">IF(I626&lt;&gt;"",A626-I626,99)</f>
        <v>20</v>
      </c>
      <c r="L626" s="694">
        <v>98.47</v>
      </c>
      <c r="M626" s="680">
        <v>98.47</v>
      </c>
      <c r="N626" s="680">
        <v>98.47</v>
      </c>
      <c r="O626" s="681" t="s">
        <v>1812</v>
      </c>
      <c r="P626" s="259" t="s">
        <v>1581</v>
      </c>
      <c r="Q626" s="259">
        <v>1</v>
      </c>
      <c r="R626" s="260">
        <v>0</v>
      </c>
      <c r="S626" s="682" t="s">
        <v>1593</v>
      </c>
      <c r="T626" s="683" t="s">
        <v>825</v>
      </c>
      <c r="U626" s="683" t="s">
        <v>63</v>
      </c>
      <c r="V626" s="684"/>
      <c r="W626" s="685"/>
      <c r="X626" s="686">
        <v>50</v>
      </c>
      <c r="Y626" s="687" t="s">
        <v>1587</v>
      </c>
      <c r="Z626" s="663" t="s">
        <v>1585</v>
      </c>
      <c r="AA626" s="663" t="s">
        <v>1586</v>
      </c>
      <c r="AB626" s="663" t="s">
        <v>825</v>
      </c>
      <c r="AC626" s="663" t="s">
        <v>1585</v>
      </c>
      <c r="AD626" s="663" t="s">
        <v>1586</v>
      </c>
      <c r="AE626" s="663" t="s">
        <v>1585</v>
      </c>
      <c r="AF626" s="663" t="s">
        <v>825</v>
      </c>
      <c r="AG626" s="663" t="s">
        <v>825</v>
      </c>
      <c r="AH626" s="663" t="s">
        <v>1585</v>
      </c>
      <c r="AI626" s="688">
        <v>60.571428571428562</v>
      </c>
      <c r="AJ626" s="689" t="s">
        <v>1588</v>
      </c>
      <c r="AK626" s="690"/>
    </row>
    <row r="627" spans="1:37" s="653" customFormat="1">
      <c r="A627" s="655">
        <v>2024</v>
      </c>
      <c r="B627" s="656" t="str">
        <f>INDEX('①基本情報 '!$C$2:$C$255,MATCH('②建物情報 '!E627,'①基本情報 '!$E$2:$E$255,0),1)</f>
        <v>213</v>
      </c>
      <c r="C627" s="657" t="str">
        <f>INDEX('①基本情報 '!$B$2:$B$255,MATCH('②建物情報 '!E627,'①基本情報 '!$E$2:$E$255,0),1)</f>
        <v>0870</v>
      </c>
      <c r="D627" s="261" t="s">
        <v>2418</v>
      </c>
      <c r="E627" s="262" t="s">
        <v>1343</v>
      </c>
      <c r="F627" s="263" t="str">
        <f>INDEX('①基本情報 '!$G$2:$G$255,MATCH('②建物情報 '!E627,'①基本情報 '!$E$2:$E$255,0),1)</f>
        <v>都市交通部みどり公園室公園課</v>
      </c>
      <c r="G627" s="264" t="s">
        <v>1601</v>
      </c>
      <c r="H627" s="282" t="s">
        <v>1749</v>
      </c>
      <c r="I627" s="283">
        <v>2006</v>
      </c>
      <c r="J627" s="283">
        <v>7</v>
      </c>
      <c r="K627" s="265">
        <f t="shared" si="10"/>
        <v>18</v>
      </c>
      <c r="L627" s="281"/>
      <c r="M627" s="267">
        <v>46.38</v>
      </c>
      <c r="N627" s="267">
        <v>46.38</v>
      </c>
      <c r="O627" s="268" t="s">
        <v>1812</v>
      </c>
      <c r="P627" s="269" t="s">
        <v>1581</v>
      </c>
      <c r="Q627" s="269"/>
      <c r="R627" s="270"/>
      <c r="S627" s="271"/>
      <c r="T627" s="272"/>
      <c r="U627" s="272"/>
      <c r="V627" s="273"/>
      <c r="W627" s="274"/>
      <c r="X627" s="275">
        <v>38</v>
      </c>
      <c r="Y627" s="276" t="s">
        <v>825</v>
      </c>
      <c r="Z627" s="265" t="s">
        <v>825</v>
      </c>
      <c r="AA627" s="265" t="s">
        <v>825</v>
      </c>
      <c r="AB627" s="265" t="s">
        <v>825</v>
      </c>
      <c r="AC627" s="265" t="s">
        <v>825</v>
      </c>
      <c r="AD627" s="265" t="s">
        <v>825</v>
      </c>
      <c r="AE627" s="265" t="s">
        <v>825</v>
      </c>
      <c r="AF627" s="265" t="s">
        <v>825</v>
      </c>
      <c r="AG627" s="265" t="s">
        <v>825</v>
      </c>
      <c r="AH627" s="265" t="s">
        <v>825</v>
      </c>
      <c r="AI627" s="277" t="s">
        <v>825</v>
      </c>
      <c r="AJ627" s="278" t="s">
        <v>1604</v>
      </c>
      <c r="AK627" s="696" t="s">
        <v>2332</v>
      </c>
    </row>
    <row r="628" spans="1:37" s="653" customFormat="1">
      <c r="A628" s="655">
        <v>2024</v>
      </c>
      <c r="B628" s="656" t="str">
        <f>INDEX('①基本情報 '!$C$2:$C$255,MATCH('②建物情報 '!E628,'①基本情報 '!$E$2:$E$255,0),1)</f>
        <v>213</v>
      </c>
      <c r="C628" s="657" t="str">
        <f>INDEX('①基本情報 '!$B$2:$B$255,MATCH('②建物情報 '!E628,'①基本情報 '!$E$2:$E$255,0),1)</f>
        <v>0870</v>
      </c>
      <c r="D628" s="261" t="s">
        <v>2418</v>
      </c>
      <c r="E628" s="262" t="s">
        <v>1343</v>
      </c>
      <c r="F628" s="263" t="str">
        <f>INDEX('①基本情報 '!$G$2:$G$255,MATCH('②建物情報 '!E628,'①基本情報 '!$E$2:$E$255,0),1)</f>
        <v>都市交通部みどり公園室公園課</v>
      </c>
      <c r="G628" s="264" t="s">
        <v>1620</v>
      </c>
      <c r="H628" s="282" t="s">
        <v>1750</v>
      </c>
      <c r="I628" s="283">
        <v>2006</v>
      </c>
      <c r="J628" s="283">
        <v>7</v>
      </c>
      <c r="K628" s="265">
        <f t="shared" si="10"/>
        <v>18</v>
      </c>
      <c r="L628" s="281"/>
      <c r="M628" s="267">
        <v>31.85</v>
      </c>
      <c r="N628" s="267">
        <v>31.85</v>
      </c>
      <c r="O628" s="268" t="s">
        <v>1812</v>
      </c>
      <c r="P628" s="269" t="s">
        <v>1581</v>
      </c>
      <c r="Q628" s="269"/>
      <c r="R628" s="270"/>
      <c r="S628" s="271"/>
      <c r="T628" s="272"/>
      <c r="U628" s="272"/>
      <c r="V628" s="273"/>
      <c r="W628" s="274"/>
      <c r="X628" s="275">
        <v>38</v>
      </c>
      <c r="Y628" s="276" t="s">
        <v>825</v>
      </c>
      <c r="Z628" s="265" t="s">
        <v>825</v>
      </c>
      <c r="AA628" s="265" t="s">
        <v>825</v>
      </c>
      <c r="AB628" s="265" t="s">
        <v>825</v>
      </c>
      <c r="AC628" s="265" t="s">
        <v>825</v>
      </c>
      <c r="AD628" s="265" t="s">
        <v>825</v>
      </c>
      <c r="AE628" s="265" t="s">
        <v>825</v>
      </c>
      <c r="AF628" s="265" t="s">
        <v>825</v>
      </c>
      <c r="AG628" s="265" t="s">
        <v>825</v>
      </c>
      <c r="AH628" s="265" t="s">
        <v>825</v>
      </c>
      <c r="AI628" s="277" t="s">
        <v>825</v>
      </c>
      <c r="AJ628" s="278" t="s">
        <v>1604</v>
      </c>
      <c r="AK628" s="696" t="s">
        <v>2332</v>
      </c>
    </row>
    <row r="629" spans="1:37" s="653" customFormat="1">
      <c r="A629" s="655">
        <v>2024</v>
      </c>
      <c r="B629" s="656" t="str">
        <f>INDEX('①基本情報 '!$C$2:$C$255,MATCH('②建物情報 '!E629,'①基本情報 '!$E$2:$E$255,0),1)</f>
        <v>213</v>
      </c>
      <c r="C629" s="657" t="str">
        <f>INDEX('①基本情報 '!$B$2:$B$255,MATCH('②建物情報 '!E629,'①基本情報 '!$E$2:$E$255,0),1)</f>
        <v>0870</v>
      </c>
      <c r="D629" s="261" t="s">
        <v>2418</v>
      </c>
      <c r="E629" s="262" t="s">
        <v>1343</v>
      </c>
      <c r="F629" s="263" t="str">
        <f>INDEX('①基本情報 '!$G$2:$G$255,MATCH('②建物情報 '!E629,'①基本情報 '!$E$2:$E$255,0),1)</f>
        <v>都市交通部みどり公園室公園課</v>
      </c>
      <c r="G629" s="264" t="s">
        <v>1643</v>
      </c>
      <c r="H629" s="282" t="s">
        <v>1751</v>
      </c>
      <c r="I629" s="283">
        <v>2007</v>
      </c>
      <c r="J629" s="283">
        <v>1</v>
      </c>
      <c r="K629" s="265">
        <f t="shared" si="10"/>
        <v>17</v>
      </c>
      <c r="L629" s="281"/>
      <c r="M629" s="267">
        <v>347.07</v>
      </c>
      <c r="N629" s="267">
        <v>347.07</v>
      </c>
      <c r="O629" s="268" t="s">
        <v>1812</v>
      </c>
      <c r="P629" s="269" t="s">
        <v>1603</v>
      </c>
      <c r="Q629" s="269"/>
      <c r="R629" s="270"/>
      <c r="S629" s="271"/>
      <c r="T629" s="272"/>
      <c r="U629" s="272"/>
      <c r="V629" s="273"/>
      <c r="W629" s="274"/>
      <c r="X629" s="275">
        <v>31</v>
      </c>
      <c r="Y629" s="276" t="s">
        <v>825</v>
      </c>
      <c r="Z629" s="265" t="s">
        <v>825</v>
      </c>
      <c r="AA629" s="265" t="s">
        <v>825</v>
      </c>
      <c r="AB629" s="265" t="s">
        <v>825</v>
      </c>
      <c r="AC629" s="265" t="s">
        <v>825</v>
      </c>
      <c r="AD629" s="265" t="s">
        <v>825</v>
      </c>
      <c r="AE629" s="265" t="s">
        <v>825</v>
      </c>
      <c r="AF629" s="265" t="s">
        <v>825</v>
      </c>
      <c r="AG629" s="265" t="s">
        <v>825</v>
      </c>
      <c r="AH629" s="265" t="s">
        <v>825</v>
      </c>
      <c r="AI629" s="277" t="s">
        <v>825</v>
      </c>
      <c r="AJ629" s="278" t="s">
        <v>1721</v>
      </c>
      <c r="AK629" s="292" t="s">
        <v>2334</v>
      </c>
    </row>
    <row r="630" spans="1:37" s="653" customFormat="1">
      <c r="A630" s="655">
        <v>2024</v>
      </c>
      <c r="B630" s="656" t="str">
        <f>INDEX('①基本情報 '!$C$2:$C$255,MATCH('②建物情報 '!E630,'①基本情報 '!$E$2:$E$255,0),1)</f>
        <v>213</v>
      </c>
      <c r="C630" s="657" t="str">
        <f>INDEX('①基本情報 '!$B$2:$B$255,MATCH('②建物情報 '!E630,'①基本情報 '!$E$2:$E$255,0),1)</f>
        <v>0870</v>
      </c>
      <c r="D630" s="261" t="s">
        <v>2418</v>
      </c>
      <c r="E630" s="262" t="s">
        <v>1343</v>
      </c>
      <c r="F630" s="263" t="str">
        <f>INDEX('①基本情報 '!$G$2:$G$255,MATCH('②建物情報 '!E630,'①基本情報 '!$E$2:$E$255,0),1)</f>
        <v>都市交通部みどり公園室公園課</v>
      </c>
      <c r="G630" s="264" t="s">
        <v>1645</v>
      </c>
      <c r="H630" s="282" t="s">
        <v>1752</v>
      </c>
      <c r="I630" s="283">
        <v>2007</v>
      </c>
      <c r="J630" s="283">
        <v>7</v>
      </c>
      <c r="K630" s="265">
        <f t="shared" si="10"/>
        <v>17</v>
      </c>
      <c r="L630" s="281"/>
      <c r="M630" s="267">
        <v>31.85</v>
      </c>
      <c r="N630" s="267">
        <v>31.85</v>
      </c>
      <c r="O630" s="268" t="s">
        <v>1812</v>
      </c>
      <c r="P630" s="269" t="s">
        <v>1581</v>
      </c>
      <c r="Q630" s="269"/>
      <c r="R630" s="270"/>
      <c r="S630" s="271"/>
      <c r="T630" s="272"/>
      <c r="U630" s="272"/>
      <c r="V630" s="273"/>
      <c r="W630" s="274"/>
      <c r="X630" s="275">
        <v>38</v>
      </c>
      <c r="Y630" s="276" t="s">
        <v>825</v>
      </c>
      <c r="Z630" s="265" t="s">
        <v>825</v>
      </c>
      <c r="AA630" s="265" t="s">
        <v>825</v>
      </c>
      <c r="AB630" s="265" t="s">
        <v>825</v>
      </c>
      <c r="AC630" s="265" t="s">
        <v>825</v>
      </c>
      <c r="AD630" s="265" t="s">
        <v>825</v>
      </c>
      <c r="AE630" s="265" t="s">
        <v>825</v>
      </c>
      <c r="AF630" s="265" t="s">
        <v>825</v>
      </c>
      <c r="AG630" s="265" t="s">
        <v>825</v>
      </c>
      <c r="AH630" s="265" t="s">
        <v>825</v>
      </c>
      <c r="AI630" s="277" t="s">
        <v>825</v>
      </c>
      <c r="AJ630" s="278" t="s">
        <v>1604</v>
      </c>
      <c r="AK630" s="696" t="s">
        <v>2332</v>
      </c>
    </row>
    <row r="631" spans="1:37" s="653" customFormat="1">
      <c r="A631" s="655">
        <v>2024</v>
      </c>
      <c r="B631" s="656" t="str">
        <f>INDEX('①基本情報 '!$C$2:$C$255,MATCH('②建物情報 '!E631,'①基本情報 '!$E$2:$E$255,0),1)</f>
        <v>213</v>
      </c>
      <c r="C631" s="657" t="str">
        <f>INDEX('①基本情報 '!$B$2:$B$255,MATCH('②建物情報 '!E631,'①基本情報 '!$E$2:$E$255,0),1)</f>
        <v>0870</v>
      </c>
      <c r="D631" s="261" t="s">
        <v>2418</v>
      </c>
      <c r="E631" s="262" t="s">
        <v>1343</v>
      </c>
      <c r="F631" s="263" t="str">
        <f>INDEX('①基本情報 '!$G$2:$G$255,MATCH('②建物情報 '!E631,'①基本情報 '!$E$2:$E$255,0),1)</f>
        <v>都市交通部みどり公園室公園課</v>
      </c>
      <c r="G631" s="264" t="s">
        <v>1646</v>
      </c>
      <c r="H631" s="282" t="s">
        <v>1753</v>
      </c>
      <c r="I631" s="283">
        <v>2008</v>
      </c>
      <c r="J631" s="283">
        <v>2</v>
      </c>
      <c r="K631" s="265">
        <f t="shared" si="10"/>
        <v>16</v>
      </c>
      <c r="L631" s="281"/>
      <c r="M631" s="267">
        <v>30.8</v>
      </c>
      <c r="N631" s="267">
        <v>30.8</v>
      </c>
      <c r="O631" s="268" t="s">
        <v>1812</v>
      </c>
      <c r="P631" s="269" t="s">
        <v>1581</v>
      </c>
      <c r="Q631" s="269"/>
      <c r="R631" s="270"/>
      <c r="S631" s="271"/>
      <c r="T631" s="272"/>
      <c r="U631" s="272"/>
      <c r="V631" s="273"/>
      <c r="W631" s="274"/>
      <c r="X631" s="275">
        <v>38</v>
      </c>
      <c r="Y631" s="276" t="s">
        <v>825</v>
      </c>
      <c r="Z631" s="265" t="s">
        <v>825</v>
      </c>
      <c r="AA631" s="265" t="s">
        <v>825</v>
      </c>
      <c r="AB631" s="265" t="s">
        <v>825</v>
      </c>
      <c r="AC631" s="265" t="s">
        <v>825</v>
      </c>
      <c r="AD631" s="265" t="s">
        <v>825</v>
      </c>
      <c r="AE631" s="265" t="s">
        <v>825</v>
      </c>
      <c r="AF631" s="265" t="s">
        <v>825</v>
      </c>
      <c r="AG631" s="265" t="s">
        <v>825</v>
      </c>
      <c r="AH631" s="265" t="s">
        <v>825</v>
      </c>
      <c r="AI631" s="277" t="s">
        <v>825</v>
      </c>
      <c r="AJ631" s="278" t="s">
        <v>1604</v>
      </c>
      <c r="AK631" s="696" t="s">
        <v>2332</v>
      </c>
    </row>
    <row r="632" spans="1:37" s="653" customFormat="1">
      <c r="A632" s="655">
        <v>2024</v>
      </c>
      <c r="B632" s="656" t="str">
        <f>INDEX('①基本情報 '!$C$2:$C$255,MATCH('②建物情報 '!E632,'①基本情報 '!$E$2:$E$255,0),1)</f>
        <v>214</v>
      </c>
      <c r="C632" s="657" t="str">
        <f>INDEX('①基本情報 '!$B$2:$B$255,MATCH('②建物情報 '!E632,'①基本情報 '!$E$2:$E$255,0),1)</f>
        <v>0858</v>
      </c>
      <c r="D632" s="658" t="s">
        <v>2418</v>
      </c>
      <c r="E632" s="612" t="s">
        <v>1349</v>
      </c>
      <c r="F632" s="611" t="str">
        <f>INDEX('①基本情報 '!$G$2:$G$255,MATCH('②建物情報 '!E632,'①基本情報 '!$E$2:$E$255,0),1)</f>
        <v>都市交通部みどり公園室公園課</v>
      </c>
      <c r="G632" s="678" t="s">
        <v>1580</v>
      </c>
      <c r="H632" s="700" t="s">
        <v>1743</v>
      </c>
      <c r="I632" s="663">
        <v>2003</v>
      </c>
      <c r="J632" s="663">
        <v>3</v>
      </c>
      <c r="K632" s="663">
        <f t="shared" si="10"/>
        <v>21</v>
      </c>
      <c r="L632" s="694">
        <v>242.51</v>
      </c>
      <c r="M632" s="680">
        <v>225.89</v>
      </c>
      <c r="N632" s="680">
        <v>225.89</v>
      </c>
      <c r="O632" s="681" t="s">
        <v>1812</v>
      </c>
      <c r="P632" s="259" t="s">
        <v>1603</v>
      </c>
      <c r="Q632" s="259">
        <v>1</v>
      </c>
      <c r="R632" s="260">
        <v>0</v>
      </c>
      <c r="S632" s="682" t="s">
        <v>1593</v>
      </c>
      <c r="T632" s="683" t="s">
        <v>825</v>
      </c>
      <c r="U632" s="683" t="s">
        <v>63</v>
      </c>
      <c r="V632" s="684"/>
      <c r="W632" s="685"/>
      <c r="X632" s="686">
        <v>38</v>
      </c>
      <c r="Y632" s="687" t="s">
        <v>1596</v>
      </c>
      <c r="Z632" s="663" t="s">
        <v>1585</v>
      </c>
      <c r="AA632" s="663" t="s">
        <v>1586</v>
      </c>
      <c r="AB632" s="663" t="s">
        <v>825</v>
      </c>
      <c r="AC632" s="663" t="s">
        <v>1586</v>
      </c>
      <c r="AD632" s="663" t="s">
        <v>1586</v>
      </c>
      <c r="AE632" s="663" t="s">
        <v>1585</v>
      </c>
      <c r="AF632" s="663" t="s">
        <v>825</v>
      </c>
      <c r="AG632" s="663" t="s">
        <v>825</v>
      </c>
      <c r="AH632" s="663" t="s">
        <v>1585</v>
      </c>
      <c r="AI632" s="688">
        <v>62.857142857142854</v>
      </c>
      <c r="AJ632" s="689" t="s">
        <v>1588</v>
      </c>
      <c r="AK632" s="690"/>
    </row>
    <row r="633" spans="1:37" s="653" customFormat="1">
      <c r="A633" s="655">
        <v>2024</v>
      </c>
      <c r="B633" s="656" t="str">
        <f>INDEX('①基本情報 '!$C$2:$C$255,MATCH('②建物情報 '!E633,'①基本情報 '!$E$2:$E$255,0),1)</f>
        <v>214</v>
      </c>
      <c r="C633" s="657" t="str">
        <f>INDEX('①基本情報 '!$B$2:$B$255,MATCH('②建物情報 '!E633,'①基本情報 '!$E$2:$E$255,0),1)</f>
        <v>0858</v>
      </c>
      <c r="D633" s="261" t="s">
        <v>2418</v>
      </c>
      <c r="E633" s="262" t="s">
        <v>1349</v>
      </c>
      <c r="F633" s="263" t="str">
        <f>INDEX('①基本情報 '!$G$2:$G$255,MATCH('②建物情報 '!E633,'①基本情報 '!$E$2:$E$255,0),1)</f>
        <v>都市交通部みどり公園室公園課</v>
      </c>
      <c r="G633" s="264" t="s">
        <v>1589</v>
      </c>
      <c r="H633" s="282" t="s">
        <v>1746</v>
      </c>
      <c r="I633" s="265">
        <v>2005</v>
      </c>
      <c r="J633" s="265">
        <v>3</v>
      </c>
      <c r="K633" s="265">
        <f t="shared" si="10"/>
        <v>19</v>
      </c>
      <c r="L633" s="281"/>
      <c r="M633" s="267">
        <v>24</v>
      </c>
      <c r="N633" s="267">
        <v>24</v>
      </c>
      <c r="O633" s="268" t="s">
        <v>1812</v>
      </c>
      <c r="P633" s="269" t="s">
        <v>1614</v>
      </c>
      <c r="Q633" s="269"/>
      <c r="R633" s="270"/>
      <c r="S633" s="271"/>
      <c r="T633" s="272"/>
      <c r="U633" s="272"/>
      <c r="V633" s="273"/>
      <c r="W633" s="274"/>
      <c r="X633" s="275">
        <v>24</v>
      </c>
      <c r="Y633" s="276" t="s">
        <v>825</v>
      </c>
      <c r="Z633" s="265" t="s">
        <v>825</v>
      </c>
      <c r="AA633" s="265" t="s">
        <v>825</v>
      </c>
      <c r="AB633" s="265" t="s">
        <v>825</v>
      </c>
      <c r="AC633" s="265" t="s">
        <v>825</v>
      </c>
      <c r="AD633" s="265" t="s">
        <v>825</v>
      </c>
      <c r="AE633" s="265" t="s">
        <v>825</v>
      </c>
      <c r="AF633" s="265" t="s">
        <v>825</v>
      </c>
      <c r="AG633" s="265" t="s">
        <v>825</v>
      </c>
      <c r="AH633" s="265" t="s">
        <v>825</v>
      </c>
      <c r="AI633" s="277" t="s">
        <v>825</v>
      </c>
      <c r="AJ633" s="278" t="s">
        <v>1606</v>
      </c>
      <c r="AK633" s="693" t="s">
        <v>2330</v>
      </c>
    </row>
    <row r="634" spans="1:37" s="653" customFormat="1">
      <c r="A634" s="655">
        <v>2024</v>
      </c>
      <c r="B634" s="656" t="str">
        <f>INDEX('①基本情報 '!$C$2:$C$255,MATCH('②建物情報 '!E634,'①基本情報 '!$E$2:$E$255,0),1)</f>
        <v>215</v>
      </c>
      <c r="C634" s="657" t="str">
        <f>INDEX('①基本情報 '!$B$2:$B$255,MATCH('②建物情報 '!E634,'①基本情報 '!$E$2:$E$255,0),1)</f>
        <v>0877</v>
      </c>
      <c r="D634" s="658" t="s">
        <v>2418</v>
      </c>
      <c r="E634" s="612" t="s">
        <v>1358</v>
      </c>
      <c r="F634" s="611" t="str">
        <f>INDEX('①基本情報 '!$G$2:$G$255,MATCH('②建物情報 '!E634,'①基本情報 '!$E$2:$E$255,0),1)</f>
        <v>都市交通部みどり公園室公園課</v>
      </c>
      <c r="G634" s="678" t="s">
        <v>1580</v>
      </c>
      <c r="H634" s="612" t="s">
        <v>1754</v>
      </c>
      <c r="I634" s="663">
        <v>2005</v>
      </c>
      <c r="J634" s="663"/>
      <c r="K634" s="663">
        <f t="shared" si="10"/>
        <v>19</v>
      </c>
      <c r="L634" s="694">
        <v>190.9</v>
      </c>
      <c r="M634" s="695">
        <v>180.52</v>
      </c>
      <c r="N634" s="695">
        <v>180.52</v>
      </c>
      <c r="O634" s="681" t="s">
        <v>1812</v>
      </c>
      <c r="P634" s="259" t="s">
        <v>1581</v>
      </c>
      <c r="Q634" s="259">
        <v>1</v>
      </c>
      <c r="R634" s="260">
        <v>0</v>
      </c>
      <c r="S634" s="682" t="s">
        <v>1593</v>
      </c>
      <c r="T634" s="683" t="s">
        <v>825</v>
      </c>
      <c r="U634" s="683" t="s">
        <v>63</v>
      </c>
      <c r="V634" s="684"/>
      <c r="W634" s="685"/>
      <c r="X634" s="686">
        <v>50</v>
      </c>
      <c r="Y634" s="687" t="s">
        <v>825</v>
      </c>
      <c r="Z634" s="663" t="s">
        <v>825</v>
      </c>
      <c r="AA634" s="663" t="s">
        <v>825</v>
      </c>
      <c r="AB634" s="663" t="s">
        <v>825</v>
      </c>
      <c r="AC634" s="663" t="s">
        <v>825</v>
      </c>
      <c r="AD634" s="663" t="s">
        <v>825</v>
      </c>
      <c r="AE634" s="663" t="s">
        <v>825</v>
      </c>
      <c r="AF634" s="663" t="s">
        <v>825</v>
      </c>
      <c r="AG634" s="663" t="s">
        <v>825</v>
      </c>
      <c r="AH634" s="663" t="s">
        <v>825</v>
      </c>
      <c r="AI634" s="688" t="s">
        <v>825</v>
      </c>
      <c r="AJ634" s="689" t="s">
        <v>1588</v>
      </c>
      <c r="AK634" s="690"/>
    </row>
    <row r="635" spans="1:37" s="653" customFormat="1">
      <c r="A635" s="655">
        <v>2024</v>
      </c>
      <c r="B635" s="656" t="str">
        <f>INDEX('①基本情報 '!$C$2:$C$255,MATCH('②建物情報 '!E635,'①基本情報 '!$E$2:$E$255,0),1)</f>
        <v>216</v>
      </c>
      <c r="C635" s="657" t="str">
        <f>INDEX('①基本情報 '!$B$2:$B$255,MATCH('②建物情報 '!E635,'①基本情報 '!$E$2:$E$255,0),1)</f>
        <v>0289</v>
      </c>
      <c r="D635" s="658" t="s">
        <v>2418</v>
      </c>
      <c r="E635" s="612" t="s">
        <v>1362</v>
      </c>
      <c r="F635" s="611" t="str">
        <f>INDEX('①基本情報 '!$G$2:$G$255,MATCH('②建物情報 '!E635,'①基本情報 '!$E$2:$E$255,0),1)</f>
        <v>総合政策部経営戦略室秘書課</v>
      </c>
      <c r="G635" s="678" t="s">
        <v>1580</v>
      </c>
      <c r="H635" s="612" t="s">
        <v>1755</v>
      </c>
      <c r="I635" s="663">
        <v>1984</v>
      </c>
      <c r="J635" s="663">
        <v>3</v>
      </c>
      <c r="K635" s="663">
        <f t="shared" si="10"/>
        <v>40</v>
      </c>
      <c r="L635" s="679">
        <v>190.77</v>
      </c>
      <c r="M635" s="680">
        <v>175.69</v>
      </c>
      <c r="N635" s="680">
        <v>175.69</v>
      </c>
      <c r="O635" s="681" t="s">
        <v>1812</v>
      </c>
      <c r="P635" s="259" t="s">
        <v>1614</v>
      </c>
      <c r="Q635" s="259">
        <v>1</v>
      </c>
      <c r="R635" s="260">
        <v>0</v>
      </c>
      <c r="S635" s="682" t="s">
        <v>1593</v>
      </c>
      <c r="T635" s="683" t="s">
        <v>825</v>
      </c>
      <c r="U635" s="683" t="s">
        <v>63</v>
      </c>
      <c r="V635" s="684"/>
      <c r="W635" s="685"/>
      <c r="X635" s="686">
        <v>24</v>
      </c>
      <c r="Y635" s="687" t="s">
        <v>1586</v>
      </c>
      <c r="Z635" s="663" t="s">
        <v>1586</v>
      </c>
      <c r="AA635" s="663" t="s">
        <v>825</v>
      </c>
      <c r="AB635" s="663" t="s">
        <v>825</v>
      </c>
      <c r="AC635" s="663" t="s">
        <v>1586</v>
      </c>
      <c r="AD635" s="663" t="s">
        <v>825</v>
      </c>
      <c r="AE635" s="663" t="s">
        <v>1586</v>
      </c>
      <c r="AF635" s="663" t="s">
        <v>825</v>
      </c>
      <c r="AG635" s="663" t="s">
        <v>825</v>
      </c>
      <c r="AH635" s="663" t="s">
        <v>1586</v>
      </c>
      <c r="AI635" s="688">
        <v>100</v>
      </c>
      <c r="AJ635" s="689" t="s">
        <v>1588</v>
      </c>
      <c r="AK635" s="690"/>
    </row>
    <row r="636" spans="1:37" s="653" customFormat="1">
      <c r="A636" s="655">
        <v>2024</v>
      </c>
      <c r="B636" s="656" t="str">
        <f>INDEX('①基本情報 '!$C$2:$C$255,MATCH('②建物情報 '!E636,'①基本情報 '!$E$2:$E$255,0),1)</f>
        <v>216</v>
      </c>
      <c r="C636" s="657" t="str">
        <f>INDEX('①基本情報 '!$B$2:$B$255,MATCH('②建物情報 '!E636,'①基本情報 '!$E$2:$E$255,0),1)</f>
        <v>0289</v>
      </c>
      <c r="D636" s="658" t="s">
        <v>2418</v>
      </c>
      <c r="E636" s="612" t="s">
        <v>1362</v>
      </c>
      <c r="F636" s="611" t="str">
        <f>INDEX('①基本情報 '!$G$2:$G$255,MATCH('②建物情報 '!E636,'①基本情報 '!$E$2:$E$255,0),1)</f>
        <v>総合政策部経営戦略室秘書課</v>
      </c>
      <c r="G636" s="678" t="s">
        <v>1589</v>
      </c>
      <c r="H636" s="612" t="s">
        <v>1623</v>
      </c>
      <c r="I636" s="663">
        <v>1984</v>
      </c>
      <c r="J636" s="663">
        <v>6</v>
      </c>
      <c r="K636" s="663">
        <f t="shared" si="10"/>
        <v>40</v>
      </c>
      <c r="L636" s="679"/>
      <c r="M636" s="680">
        <v>48.51</v>
      </c>
      <c r="N636" s="680">
        <v>48.51</v>
      </c>
      <c r="O636" s="681" t="s">
        <v>1812</v>
      </c>
      <c r="P636" s="259" t="s">
        <v>1614</v>
      </c>
      <c r="Q636" s="259"/>
      <c r="R636" s="260"/>
      <c r="S636" s="682" t="s">
        <v>1927</v>
      </c>
      <c r="T636" s="683" t="s">
        <v>1966</v>
      </c>
      <c r="U636" s="683" t="s">
        <v>1846</v>
      </c>
      <c r="V636" s="684"/>
      <c r="W636" s="685"/>
      <c r="X636" s="686">
        <v>24</v>
      </c>
      <c r="Y636" s="687" t="s">
        <v>825</v>
      </c>
      <c r="Z636" s="663" t="s">
        <v>825</v>
      </c>
      <c r="AA636" s="663" t="s">
        <v>825</v>
      </c>
      <c r="AB636" s="663" t="s">
        <v>825</v>
      </c>
      <c r="AC636" s="663" t="s">
        <v>825</v>
      </c>
      <c r="AD636" s="663" t="s">
        <v>825</v>
      </c>
      <c r="AE636" s="663" t="s">
        <v>825</v>
      </c>
      <c r="AF636" s="663" t="s">
        <v>825</v>
      </c>
      <c r="AG636" s="663" t="s">
        <v>825</v>
      </c>
      <c r="AH636" s="663" t="s">
        <v>825</v>
      </c>
      <c r="AI636" s="688" t="s">
        <v>825</v>
      </c>
      <c r="AJ636" s="689" t="s">
        <v>1588</v>
      </c>
      <c r="AK636" s="690"/>
    </row>
    <row r="637" spans="1:37" s="653" customFormat="1">
      <c r="A637" s="655">
        <v>2024</v>
      </c>
      <c r="B637" s="656" t="str">
        <f>INDEX('①基本情報 '!$C$2:$C$255,MATCH('②建物情報 '!E637,'①基本情報 '!$E$2:$E$255,0),1)</f>
        <v>216</v>
      </c>
      <c r="C637" s="657" t="str">
        <f>INDEX('①基本情報 '!$B$2:$B$255,MATCH('②建物情報 '!E637,'①基本情報 '!$E$2:$E$255,0),1)</f>
        <v>0289</v>
      </c>
      <c r="D637" s="658" t="s">
        <v>2418</v>
      </c>
      <c r="E637" s="612" t="s">
        <v>1362</v>
      </c>
      <c r="F637" s="611" t="str">
        <f>INDEX('①基本情報 '!$G$2:$G$255,MATCH('②建物情報 '!E637,'①基本情報 '!$E$2:$E$255,0),1)</f>
        <v>総合政策部経営戦略室秘書課</v>
      </c>
      <c r="G637" s="678" t="s">
        <v>1849</v>
      </c>
      <c r="H637" s="612" t="s">
        <v>1850</v>
      </c>
      <c r="I637" s="663">
        <v>1984</v>
      </c>
      <c r="J637" s="663">
        <v>6</v>
      </c>
      <c r="K637" s="663">
        <f t="shared" si="10"/>
        <v>40</v>
      </c>
      <c r="L637" s="679"/>
      <c r="M637" s="680">
        <v>41.99</v>
      </c>
      <c r="N637" s="680">
        <v>41.99</v>
      </c>
      <c r="O637" s="681" t="s">
        <v>1812</v>
      </c>
      <c r="P637" s="259" t="s">
        <v>1614</v>
      </c>
      <c r="Q637" s="259"/>
      <c r="R637" s="260"/>
      <c r="S637" s="682" t="s">
        <v>1927</v>
      </c>
      <c r="T637" s="683" t="s">
        <v>1966</v>
      </c>
      <c r="U637" s="683" t="s">
        <v>1846</v>
      </c>
      <c r="V637" s="684"/>
      <c r="W637" s="685"/>
      <c r="X637" s="686">
        <v>22</v>
      </c>
      <c r="Y637" s="687" t="s">
        <v>825</v>
      </c>
      <c r="Z637" s="663" t="s">
        <v>825</v>
      </c>
      <c r="AA637" s="663" t="s">
        <v>825</v>
      </c>
      <c r="AB637" s="663" t="s">
        <v>825</v>
      </c>
      <c r="AC637" s="663" t="s">
        <v>825</v>
      </c>
      <c r="AD637" s="663" t="s">
        <v>825</v>
      </c>
      <c r="AE637" s="663" t="s">
        <v>825</v>
      </c>
      <c r="AF637" s="663" t="s">
        <v>825</v>
      </c>
      <c r="AG637" s="663" t="s">
        <v>825</v>
      </c>
      <c r="AH637" s="663" t="s">
        <v>825</v>
      </c>
      <c r="AI637" s="688" t="s">
        <v>825</v>
      </c>
      <c r="AJ637" s="689" t="s">
        <v>1588</v>
      </c>
      <c r="AK637" s="690"/>
    </row>
    <row r="638" spans="1:37" s="653" customFormat="1">
      <c r="A638" s="655">
        <v>2024</v>
      </c>
      <c r="B638" s="656" t="str">
        <f>INDEX('①基本情報 '!$C$2:$C$255,MATCH('②建物情報 '!E638,'①基本情報 '!$E$2:$E$255,0),1)</f>
        <v>217</v>
      </c>
      <c r="C638" s="657" t="str">
        <f>INDEX('①基本情報 '!$B$2:$B$255,MATCH('②建物情報 '!E638,'①基本情報 '!$E$2:$E$255,0),1)</f>
        <v>9901</v>
      </c>
      <c r="D638" s="658" t="s">
        <v>2418</v>
      </c>
      <c r="E638" s="612" t="s">
        <v>1372</v>
      </c>
      <c r="F638" s="611" t="str">
        <f>INDEX('①基本情報 '!$G$2:$G$255,MATCH('②建物情報 '!E638,'①基本情報 '!$E$2:$E$255,0),1)</f>
        <v>教育委員会生涯学習部スポーツ振興課</v>
      </c>
      <c r="G638" s="678" t="s">
        <v>1580</v>
      </c>
      <c r="H638" s="612" t="s">
        <v>1649</v>
      </c>
      <c r="I638" s="663">
        <v>1972</v>
      </c>
      <c r="J638" s="663"/>
      <c r="K638" s="663">
        <f>IF(I638&lt;&gt;"",A638-I638,99)</f>
        <v>52</v>
      </c>
      <c r="L638" s="679"/>
      <c r="M638" s="695">
        <v>5446</v>
      </c>
      <c r="N638" s="695">
        <v>5446</v>
      </c>
      <c r="O638" s="681" t="s">
        <v>2774</v>
      </c>
      <c r="P638" s="259" t="s">
        <v>1581</v>
      </c>
      <c r="Q638" s="259">
        <v>3</v>
      </c>
      <c r="R638" s="260"/>
      <c r="S638" s="682" t="s">
        <v>1582</v>
      </c>
      <c r="T638" s="683" t="s">
        <v>1583</v>
      </c>
      <c r="U638" s="683" t="s">
        <v>63</v>
      </c>
      <c r="V638" s="684">
        <v>2016</v>
      </c>
      <c r="W638" s="685">
        <v>2003</v>
      </c>
      <c r="X638" s="686">
        <v>47</v>
      </c>
      <c r="Y638" s="687" t="s">
        <v>1587</v>
      </c>
      <c r="Z638" s="663" t="s">
        <v>1596</v>
      </c>
      <c r="AA638" s="663" t="s">
        <v>1596</v>
      </c>
      <c r="AB638" s="663" t="s">
        <v>1587</v>
      </c>
      <c r="AC638" s="663" t="s">
        <v>1596</v>
      </c>
      <c r="AD638" s="663" t="s">
        <v>1596</v>
      </c>
      <c r="AE638" s="663" t="s">
        <v>825</v>
      </c>
      <c r="AF638" s="663" t="s">
        <v>1586</v>
      </c>
      <c r="AG638" s="663" t="s">
        <v>1587</v>
      </c>
      <c r="AH638" s="663" t="s">
        <v>1596</v>
      </c>
      <c r="AI638" s="726">
        <v>35.454545454545453</v>
      </c>
      <c r="AJ638" s="689" t="s">
        <v>1588</v>
      </c>
      <c r="AK638" s="690"/>
    </row>
    <row r="639" spans="1:37" s="653" customFormat="1">
      <c r="A639" s="655">
        <v>2024</v>
      </c>
      <c r="B639" s="656" t="str">
        <f>INDEX('①基本情報 '!$C$2:$C$255,MATCH('②建物情報 '!E639,'①基本情報 '!$E$2:$E$255,0),1)</f>
        <v>217</v>
      </c>
      <c r="C639" s="657" t="str">
        <f>INDEX('①基本情報 '!$B$2:$B$255,MATCH('②建物情報 '!E639,'①基本情報 '!$E$2:$E$255,0),1)</f>
        <v>9901</v>
      </c>
      <c r="D639" s="658" t="s">
        <v>2418</v>
      </c>
      <c r="E639" s="612" t="s">
        <v>1372</v>
      </c>
      <c r="F639" s="611" t="str">
        <f>INDEX('①基本情報 '!$G$2:$G$255,MATCH('②建物情報 '!E639,'①基本情報 '!$E$2:$E$255,0),1)</f>
        <v>教育委員会生涯学習部スポーツ振興課</v>
      </c>
      <c r="G639" s="678" t="s">
        <v>1589</v>
      </c>
      <c r="H639" s="612" t="s">
        <v>1756</v>
      </c>
      <c r="I639" s="663">
        <v>1972</v>
      </c>
      <c r="J639" s="663"/>
      <c r="K639" s="663">
        <f t="shared" si="10"/>
        <v>52</v>
      </c>
      <c r="L639" s="679"/>
      <c r="M639" s="695">
        <v>1312</v>
      </c>
      <c r="N639" s="695">
        <v>1312</v>
      </c>
      <c r="O639" s="681" t="s">
        <v>2774</v>
      </c>
      <c r="P639" s="259" t="s">
        <v>1603</v>
      </c>
      <c r="Q639" s="259">
        <v>1</v>
      </c>
      <c r="R639" s="260"/>
      <c r="S639" s="682" t="s">
        <v>1582</v>
      </c>
      <c r="T639" s="683"/>
      <c r="U639" s="683" t="s">
        <v>1584</v>
      </c>
      <c r="V639" s="684"/>
      <c r="W639" s="685"/>
      <c r="X639" s="686">
        <v>34</v>
      </c>
      <c r="Y639" s="687" t="s">
        <v>1585</v>
      </c>
      <c r="Z639" s="663" t="s">
        <v>1585</v>
      </c>
      <c r="AA639" s="663" t="s">
        <v>1586</v>
      </c>
      <c r="AB639" s="663" t="s">
        <v>825</v>
      </c>
      <c r="AC639" s="663" t="s">
        <v>1586</v>
      </c>
      <c r="AD639" s="663" t="s">
        <v>825</v>
      </c>
      <c r="AE639" s="663" t="s">
        <v>825</v>
      </c>
      <c r="AF639" s="663" t="s">
        <v>1586</v>
      </c>
      <c r="AG639" s="663" t="s">
        <v>1586</v>
      </c>
      <c r="AH639" s="663" t="s">
        <v>1586</v>
      </c>
      <c r="AI639" s="726">
        <v>89.714285714285708</v>
      </c>
      <c r="AJ639" s="689" t="s">
        <v>1588</v>
      </c>
      <c r="AK639" s="690"/>
    </row>
    <row r="640" spans="1:37" s="653" customFormat="1">
      <c r="A640" s="655">
        <v>2024</v>
      </c>
      <c r="B640" s="656" t="str">
        <f>INDEX('①基本情報 '!$C$2:$C$255,MATCH('②建物情報 '!E640,'①基本情報 '!$E$2:$E$255,0),1)</f>
        <v>217</v>
      </c>
      <c r="C640" s="657" t="str">
        <f>INDEX('①基本情報 '!$B$2:$B$255,MATCH('②建物情報 '!E640,'①基本情報 '!$E$2:$E$255,0),1)</f>
        <v>9901</v>
      </c>
      <c r="D640" s="658" t="s">
        <v>2418</v>
      </c>
      <c r="E640" s="612" t="s">
        <v>1372</v>
      </c>
      <c r="F640" s="611" t="str">
        <f>INDEX('①基本情報 '!$G$2:$G$255,MATCH('②建物情報 '!E640,'①基本情報 '!$E$2:$E$255,0),1)</f>
        <v>教育委員会生涯学習部スポーツ振興課</v>
      </c>
      <c r="G640" s="678" t="s">
        <v>1591</v>
      </c>
      <c r="H640" s="612" t="s">
        <v>1757</v>
      </c>
      <c r="I640" s="663">
        <v>1972</v>
      </c>
      <c r="J640" s="663"/>
      <c r="K640" s="663">
        <f t="shared" si="10"/>
        <v>52</v>
      </c>
      <c r="L640" s="679"/>
      <c r="M640" s="695">
        <v>317</v>
      </c>
      <c r="N640" s="695">
        <v>317</v>
      </c>
      <c r="O640" s="681" t="s">
        <v>2774</v>
      </c>
      <c r="P640" s="259" t="s">
        <v>1603</v>
      </c>
      <c r="Q640" s="259">
        <v>2</v>
      </c>
      <c r="R640" s="260"/>
      <c r="S640" s="682" t="s">
        <v>1582</v>
      </c>
      <c r="T640" s="683"/>
      <c r="U640" s="683" t="s">
        <v>1584</v>
      </c>
      <c r="V640" s="684"/>
      <c r="W640" s="685">
        <v>2003</v>
      </c>
      <c r="X640" s="686">
        <v>34</v>
      </c>
      <c r="Y640" s="687" t="s">
        <v>1585</v>
      </c>
      <c r="Z640" s="663" t="s">
        <v>1586</v>
      </c>
      <c r="AA640" s="663" t="s">
        <v>1586</v>
      </c>
      <c r="AB640" s="663" t="s">
        <v>825</v>
      </c>
      <c r="AC640" s="663" t="s">
        <v>1586</v>
      </c>
      <c r="AD640" s="663" t="s">
        <v>825</v>
      </c>
      <c r="AE640" s="663" t="s">
        <v>825</v>
      </c>
      <c r="AF640" s="663" t="s">
        <v>1586</v>
      </c>
      <c r="AG640" s="663" t="s">
        <v>1586</v>
      </c>
      <c r="AH640" s="663" t="s">
        <v>1586</v>
      </c>
      <c r="AI640" s="726">
        <v>92.972972972972983</v>
      </c>
      <c r="AJ640" s="689" t="s">
        <v>1588</v>
      </c>
      <c r="AK640" s="690"/>
    </row>
    <row r="641" spans="1:37" s="653" customFormat="1">
      <c r="A641" s="655">
        <v>2024</v>
      </c>
      <c r="B641" s="656" t="str">
        <f>INDEX('①基本情報 '!$C$2:$C$255,MATCH('②建物情報 '!E641,'①基本情報 '!$E$2:$E$255,0),1)</f>
        <v>217</v>
      </c>
      <c r="C641" s="657" t="str">
        <f>INDEX('①基本情報 '!$B$2:$B$255,MATCH('②建物情報 '!E641,'①基本情報 '!$E$2:$E$255,0),1)</f>
        <v>9901</v>
      </c>
      <c r="D641" s="658" t="s">
        <v>2418</v>
      </c>
      <c r="E641" s="612" t="s">
        <v>1372</v>
      </c>
      <c r="F641" s="611" t="str">
        <f>INDEX('①基本情報 '!$G$2:$G$255,MATCH('②建物情報 '!E641,'①基本情報 '!$E$2:$E$255,0),1)</f>
        <v>教育委員会生涯学習部スポーツ振興課</v>
      </c>
      <c r="G641" s="678" t="s">
        <v>1601</v>
      </c>
      <c r="H641" s="612" t="s">
        <v>1758</v>
      </c>
      <c r="I641" s="663">
        <v>1971</v>
      </c>
      <c r="J641" s="663"/>
      <c r="K641" s="663">
        <f t="shared" si="10"/>
        <v>53</v>
      </c>
      <c r="L641" s="679"/>
      <c r="M641" s="695">
        <v>1645</v>
      </c>
      <c r="N641" s="695">
        <v>1645</v>
      </c>
      <c r="O641" s="681" t="s">
        <v>2774</v>
      </c>
      <c r="P641" s="259" t="s">
        <v>1581</v>
      </c>
      <c r="Q641" s="259">
        <v>1</v>
      </c>
      <c r="R641" s="260"/>
      <c r="S641" s="682" t="s">
        <v>1582</v>
      </c>
      <c r="T641" s="683"/>
      <c r="U641" s="683" t="s">
        <v>1584</v>
      </c>
      <c r="V641" s="684"/>
      <c r="W641" s="685"/>
      <c r="X641" s="686">
        <v>50</v>
      </c>
      <c r="Y641" s="687" t="s">
        <v>1585</v>
      </c>
      <c r="Z641" s="663" t="s">
        <v>1586</v>
      </c>
      <c r="AA641" s="663" t="s">
        <v>1585</v>
      </c>
      <c r="AB641" s="663" t="s">
        <v>1587</v>
      </c>
      <c r="AC641" s="663" t="s">
        <v>1586</v>
      </c>
      <c r="AD641" s="663" t="s">
        <v>825</v>
      </c>
      <c r="AE641" s="663" t="s">
        <v>825</v>
      </c>
      <c r="AF641" s="663" t="s">
        <v>1586</v>
      </c>
      <c r="AG641" s="663" t="s">
        <v>1586</v>
      </c>
      <c r="AH641" s="663" t="s">
        <v>1586</v>
      </c>
      <c r="AI641" s="726">
        <v>82.439024390243915</v>
      </c>
      <c r="AJ641" s="689" t="s">
        <v>1588</v>
      </c>
      <c r="AK641" s="690"/>
    </row>
    <row r="642" spans="1:37" s="653" customFormat="1">
      <c r="A642" s="655">
        <v>2024</v>
      </c>
      <c r="B642" s="656" t="str">
        <f>INDEX('①基本情報 '!$C$2:$C$255,MATCH('②建物情報 '!E642,'①基本情報 '!$E$2:$E$255,0),1)</f>
        <v>217</v>
      </c>
      <c r="C642" s="657" t="str">
        <f>INDEX('①基本情報 '!$B$2:$B$255,MATCH('②建物情報 '!E642,'①基本情報 '!$E$2:$E$255,0),1)</f>
        <v>9901</v>
      </c>
      <c r="D642" s="658" t="s">
        <v>2418</v>
      </c>
      <c r="E642" s="612" t="s">
        <v>1372</v>
      </c>
      <c r="F642" s="611" t="str">
        <f>INDEX('①基本情報 '!$G$2:$G$255,MATCH('②建物情報 '!E642,'①基本情報 '!$E$2:$E$255,0),1)</f>
        <v>教育委員会生涯学習部スポーツ振興課</v>
      </c>
      <c r="G642" s="678" t="s">
        <v>1620</v>
      </c>
      <c r="H642" s="612" t="s">
        <v>1759</v>
      </c>
      <c r="I642" s="663">
        <v>1972</v>
      </c>
      <c r="J642" s="663"/>
      <c r="K642" s="663">
        <f t="shared" si="10"/>
        <v>52</v>
      </c>
      <c r="L642" s="679"/>
      <c r="M642" s="695">
        <v>1258</v>
      </c>
      <c r="N642" s="695">
        <v>1258</v>
      </c>
      <c r="O642" s="681" t="s">
        <v>2774</v>
      </c>
      <c r="P642" s="259" t="s">
        <v>1581</v>
      </c>
      <c r="Q642" s="259">
        <v>1</v>
      </c>
      <c r="R642" s="260"/>
      <c r="S642" s="682" t="s">
        <v>1582</v>
      </c>
      <c r="T642" s="683"/>
      <c r="U642" s="683" t="s">
        <v>1584</v>
      </c>
      <c r="V642" s="684"/>
      <c r="W642" s="685"/>
      <c r="X642" s="686">
        <v>50</v>
      </c>
      <c r="Y642" s="687" t="s">
        <v>1585</v>
      </c>
      <c r="Z642" s="663" t="s">
        <v>1586</v>
      </c>
      <c r="AA642" s="663" t="s">
        <v>1586</v>
      </c>
      <c r="AB642" s="663" t="s">
        <v>1587</v>
      </c>
      <c r="AC642" s="663" t="s">
        <v>1586</v>
      </c>
      <c r="AD642" s="663" t="s">
        <v>825</v>
      </c>
      <c r="AE642" s="663" t="s">
        <v>825</v>
      </c>
      <c r="AF642" s="663" t="s">
        <v>1586</v>
      </c>
      <c r="AG642" s="663" t="s">
        <v>1586</v>
      </c>
      <c r="AH642" s="663" t="s">
        <v>1586</v>
      </c>
      <c r="AI642" s="726">
        <v>82.439024390243915</v>
      </c>
      <c r="AJ642" s="689" t="s">
        <v>1588</v>
      </c>
      <c r="AK642" s="690"/>
    </row>
    <row r="643" spans="1:37" s="653" customFormat="1">
      <c r="A643" s="655">
        <v>2024</v>
      </c>
      <c r="B643" s="656" t="str">
        <f>INDEX('①基本情報 '!$C$2:$C$255,MATCH('②建物情報 '!E643,'①基本情報 '!$E$2:$E$255,0),1)</f>
        <v>217</v>
      </c>
      <c r="C643" s="657" t="str">
        <f>INDEX('①基本情報 '!$B$2:$B$255,MATCH('②建物情報 '!E643,'①基本情報 '!$E$2:$E$255,0),1)</f>
        <v>9901</v>
      </c>
      <c r="D643" s="658" t="s">
        <v>2418</v>
      </c>
      <c r="E643" s="612" t="s">
        <v>1372</v>
      </c>
      <c r="F643" s="611" t="str">
        <f>INDEX('①基本情報 '!$G$2:$G$255,MATCH('②建物情報 '!E643,'①基本情報 '!$E$2:$E$255,0),1)</f>
        <v>教育委員会生涯学習部スポーツ振興課</v>
      </c>
      <c r="G643" s="678" t="s">
        <v>1643</v>
      </c>
      <c r="H643" s="612" t="s">
        <v>2492</v>
      </c>
      <c r="I643" s="663">
        <v>1972</v>
      </c>
      <c r="J643" s="663"/>
      <c r="K643" s="663">
        <f t="shared" si="10"/>
        <v>52</v>
      </c>
      <c r="L643" s="679"/>
      <c r="M643" s="695">
        <v>114</v>
      </c>
      <c r="N643" s="695">
        <v>114</v>
      </c>
      <c r="O643" s="681" t="s">
        <v>2774</v>
      </c>
      <c r="P643" s="259" t="s">
        <v>1617</v>
      </c>
      <c r="Q643" s="259">
        <v>1</v>
      </c>
      <c r="R643" s="260"/>
      <c r="S643" s="682" t="s">
        <v>1582</v>
      </c>
      <c r="T643" s="683"/>
      <c r="U643" s="683" t="s">
        <v>1584</v>
      </c>
      <c r="V643" s="684"/>
      <c r="W643" s="685"/>
      <c r="X643" s="686">
        <v>41</v>
      </c>
      <c r="Y643" s="687" t="s">
        <v>1586</v>
      </c>
      <c r="Z643" s="663" t="s">
        <v>1586</v>
      </c>
      <c r="AA643" s="663" t="s">
        <v>1586</v>
      </c>
      <c r="AB643" s="663" t="s">
        <v>825</v>
      </c>
      <c r="AC643" s="663" t="s">
        <v>1586</v>
      </c>
      <c r="AD643" s="663" t="s">
        <v>825</v>
      </c>
      <c r="AE643" s="663" t="s">
        <v>825</v>
      </c>
      <c r="AF643" s="663" t="s">
        <v>1586</v>
      </c>
      <c r="AG643" s="663" t="s">
        <v>1586</v>
      </c>
      <c r="AH643" s="663" t="s">
        <v>1586</v>
      </c>
      <c r="AI643" s="726">
        <v>100</v>
      </c>
      <c r="AJ643" s="689" t="s">
        <v>1588</v>
      </c>
      <c r="AK643" s="690"/>
    </row>
    <row r="644" spans="1:37" s="653" customFormat="1">
      <c r="A644" s="655">
        <v>2024</v>
      </c>
      <c r="B644" s="656" t="str">
        <f>INDEX('①基本情報 '!$C$2:$C$255,MATCH('②建物情報 '!E644,'①基本情報 '!$E$2:$E$255,0),1)</f>
        <v>217</v>
      </c>
      <c r="C644" s="657" t="str">
        <f>INDEX('①基本情報 '!$B$2:$B$255,MATCH('②建物情報 '!E644,'①基本情報 '!$E$2:$E$255,0),1)</f>
        <v>9901</v>
      </c>
      <c r="D644" s="658" t="s">
        <v>2418</v>
      </c>
      <c r="E644" s="612" t="s">
        <v>1372</v>
      </c>
      <c r="F644" s="611" t="str">
        <f>INDEX('①基本情報 '!$G$2:$G$255,MATCH('②建物情報 '!E644,'①基本情報 '!$E$2:$E$255,0),1)</f>
        <v>教育委員会生涯学習部スポーツ振興課</v>
      </c>
      <c r="G644" s="678" t="s">
        <v>1645</v>
      </c>
      <c r="H644" s="612" t="s">
        <v>2493</v>
      </c>
      <c r="I644" s="663">
        <v>1972</v>
      </c>
      <c r="J644" s="663"/>
      <c r="K644" s="663">
        <f t="shared" si="10"/>
        <v>52</v>
      </c>
      <c r="L644" s="679"/>
      <c r="M644" s="695">
        <v>81</v>
      </c>
      <c r="N644" s="695">
        <v>81</v>
      </c>
      <c r="O644" s="681" t="s">
        <v>2774</v>
      </c>
      <c r="P644" s="259" t="s">
        <v>1617</v>
      </c>
      <c r="Q644" s="259">
        <v>1</v>
      </c>
      <c r="R644" s="260"/>
      <c r="S644" s="682" t="s">
        <v>1582</v>
      </c>
      <c r="T644" s="683"/>
      <c r="U644" s="683" t="s">
        <v>1584</v>
      </c>
      <c r="V644" s="684"/>
      <c r="W644" s="685"/>
      <c r="X644" s="686">
        <v>41</v>
      </c>
      <c r="Y644" s="687" t="s">
        <v>1586</v>
      </c>
      <c r="Z644" s="663" t="s">
        <v>1586</v>
      </c>
      <c r="AA644" s="663" t="s">
        <v>1585</v>
      </c>
      <c r="AB644" s="663" t="s">
        <v>825</v>
      </c>
      <c r="AC644" s="663" t="s">
        <v>1586</v>
      </c>
      <c r="AD644" s="663" t="s">
        <v>825</v>
      </c>
      <c r="AE644" s="663" t="s">
        <v>825</v>
      </c>
      <c r="AF644" s="663" t="s">
        <v>825</v>
      </c>
      <c r="AG644" s="663" t="s">
        <v>825</v>
      </c>
      <c r="AH644" s="663" t="s">
        <v>1586</v>
      </c>
      <c r="AI644" s="726">
        <v>98.734177215189874</v>
      </c>
      <c r="AJ644" s="689" t="s">
        <v>1588</v>
      </c>
      <c r="AK644" s="690"/>
    </row>
    <row r="645" spans="1:37" s="653" customFormat="1">
      <c r="A645" s="655">
        <v>2024</v>
      </c>
      <c r="B645" s="656" t="str">
        <f>INDEX('①基本情報 '!$C$2:$C$255,MATCH('②建物情報 '!E645,'①基本情報 '!$E$2:$E$255,0),1)</f>
        <v>218</v>
      </c>
      <c r="C645" s="657" t="str">
        <f>INDEX('①基本情報 '!$B$2:$B$255,MATCH('②建物情報 '!E645,'①基本情報 '!$E$2:$E$255,0),1)</f>
        <v>1080</v>
      </c>
      <c r="D645" s="658" t="s">
        <v>2418</v>
      </c>
      <c r="E645" s="612" t="s">
        <v>2315</v>
      </c>
      <c r="F645" s="611" t="str">
        <f>INDEX('①基本情報 '!$G$2:$G$255,MATCH('②建物情報 '!E645,'①基本情報 '!$E$2:$E$255,0),1)</f>
        <v>教育委員会生涯学習部スポーツ振興課</v>
      </c>
      <c r="G645" s="678" t="s">
        <v>1580</v>
      </c>
      <c r="H645" s="700" t="s">
        <v>1649</v>
      </c>
      <c r="I645" s="663">
        <v>1982</v>
      </c>
      <c r="J645" s="663"/>
      <c r="K645" s="663">
        <f t="shared" si="10"/>
        <v>42</v>
      </c>
      <c r="L645" s="679"/>
      <c r="M645" s="680">
        <v>1423.01</v>
      </c>
      <c r="N645" s="680">
        <v>1423.01</v>
      </c>
      <c r="O645" s="681" t="s">
        <v>2774</v>
      </c>
      <c r="P645" s="259" t="s">
        <v>1581</v>
      </c>
      <c r="Q645" s="259"/>
      <c r="R645" s="260"/>
      <c r="S645" s="682" t="s">
        <v>1593</v>
      </c>
      <c r="T645" s="683" t="s">
        <v>825</v>
      </c>
      <c r="U645" s="683" t="s">
        <v>63</v>
      </c>
      <c r="V645" s="684"/>
      <c r="W645" s="685">
        <v>2011</v>
      </c>
      <c r="X645" s="686">
        <v>47</v>
      </c>
      <c r="Y645" s="687" t="s">
        <v>1585</v>
      </c>
      <c r="Z645" s="663" t="s">
        <v>1587</v>
      </c>
      <c r="AA645" s="663" t="s">
        <v>1585</v>
      </c>
      <c r="AB645" s="663" t="s">
        <v>825</v>
      </c>
      <c r="AC645" s="663" t="s">
        <v>1587</v>
      </c>
      <c r="AD645" s="663" t="s">
        <v>1586</v>
      </c>
      <c r="AE645" s="663" t="s">
        <v>1586</v>
      </c>
      <c r="AF645" s="663" t="s">
        <v>1587</v>
      </c>
      <c r="AG645" s="663" t="s">
        <v>1587</v>
      </c>
      <c r="AH645" s="663" t="s">
        <v>1585</v>
      </c>
      <c r="AI645" s="688">
        <v>52.727272727272734</v>
      </c>
      <c r="AJ645" s="689" t="s">
        <v>1588</v>
      </c>
      <c r="AK645" s="690"/>
    </row>
    <row r="646" spans="1:37" s="653" customFormat="1">
      <c r="A646" s="655">
        <v>2024</v>
      </c>
      <c r="B646" s="656" t="str">
        <f>INDEX('①基本情報 '!$C$2:$C$255,MATCH('②建物情報 '!E646,'①基本情報 '!$E$2:$E$255,0),1)</f>
        <v>218</v>
      </c>
      <c r="C646" s="657" t="str">
        <f>INDEX('①基本情報 '!$B$2:$B$255,MATCH('②建物情報 '!E646,'①基本情報 '!$E$2:$E$255,0),1)</f>
        <v>1080</v>
      </c>
      <c r="D646" s="658" t="s">
        <v>2418</v>
      </c>
      <c r="E646" s="612" t="s">
        <v>2315</v>
      </c>
      <c r="F646" s="611" t="str">
        <f>INDEX('①基本情報 '!$G$2:$G$255,MATCH('②建物情報 '!E646,'①基本情報 '!$E$2:$E$255,0),1)</f>
        <v>教育委員会生涯学習部スポーツ振興課</v>
      </c>
      <c r="G646" s="678" t="s">
        <v>1589</v>
      </c>
      <c r="H646" s="700" t="s">
        <v>2494</v>
      </c>
      <c r="I646" s="663">
        <v>1982</v>
      </c>
      <c r="J646" s="663"/>
      <c r="K646" s="663">
        <f t="shared" si="10"/>
        <v>42</v>
      </c>
      <c r="L646" s="679"/>
      <c r="M646" s="680">
        <v>1614.2</v>
      </c>
      <c r="N646" s="680">
        <v>1614.2</v>
      </c>
      <c r="O646" s="681" t="s">
        <v>2774</v>
      </c>
      <c r="P646" s="259" t="s">
        <v>1581</v>
      </c>
      <c r="Q646" s="259"/>
      <c r="R646" s="260"/>
      <c r="S646" s="682" t="s">
        <v>1593</v>
      </c>
      <c r="T646" s="683" t="s">
        <v>825</v>
      </c>
      <c r="U646" s="683" t="s">
        <v>63</v>
      </c>
      <c r="V646" s="684"/>
      <c r="W646" s="685">
        <v>2011</v>
      </c>
      <c r="X646" s="686">
        <v>47</v>
      </c>
      <c r="Y646" s="687" t="s">
        <v>1585</v>
      </c>
      <c r="Z646" s="663" t="s">
        <v>1587</v>
      </c>
      <c r="AA646" s="663" t="s">
        <v>1585</v>
      </c>
      <c r="AB646" s="663" t="s">
        <v>825</v>
      </c>
      <c r="AC646" s="663" t="s">
        <v>1586</v>
      </c>
      <c r="AD646" s="663" t="s">
        <v>1586</v>
      </c>
      <c r="AE646" s="663" t="s">
        <v>1586</v>
      </c>
      <c r="AF646" s="663" t="s">
        <v>1587</v>
      </c>
      <c r="AG646" s="663" t="s">
        <v>1587</v>
      </c>
      <c r="AH646" s="663" t="s">
        <v>1585</v>
      </c>
      <c r="AI646" s="688">
        <v>60</v>
      </c>
      <c r="AJ646" s="689" t="s">
        <v>1588</v>
      </c>
      <c r="AK646" s="690"/>
    </row>
    <row r="647" spans="1:37" s="653" customFormat="1">
      <c r="A647" s="655">
        <v>2024</v>
      </c>
      <c r="B647" s="656" t="str">
        <f>INDEX('①基本情報 '!$C$2:$C$255,MATCH('②建物情報 '!E647,'①基本情報 '!$E$2:$E$255,0),1)</f>
        <v>219</v>
      </c>
      <c r="C647" s="657" t="str">
        <f>INDEX('①基本情報 '!$B$2:$B$255,MATCH('②建物情報 '!E647,'①基本情報 '!$E$2:$E$255,0),1)</f>
        <v>1082</v>
      </c>
      <c r="D647" s="658" t="s">
        <v>2418</v>
      </c>
      <c r="E647" s="612" t="s">
        <v>1391</v>
      </c>
      <c r="F647" s="611" t="str">
        <f>INDEX('①基本情報 '!$G$2:$G$255,MATCH('②建物情報 '!E647,'①基本情報 '!$E$2:$E$255,0),1)</f>
        <v>教育委員会生涯学習部スポーツ振興課</v>
      </c>
      <c r="G647" s="678" t="s">
        <v>1580</v>
      </c>
      <c r="H647" s="700" t="s">
        <v>1623</v>
      </c>
      <c r="I647" s="663">
        <v>1982</v>
      </c>
      <c r="J647" s="663">
        <v>7</v>
      </c>
      <c r="K647" s="663">
        <f t="shared" si="10"/>
        <v>42</v>
      </c>
      <c r="L647" s="679">
        <v>24.49</v>
      </c>
      <c r="M647" s="680">
        <v>24.49</v>
      </c>
      <c r="N647" s="680">
        <v>24.49</v>
      </c>
      <c r="O647" s="681" t="s">
        <v>2774</v>
      </c>
      <c r="P647" s="259" t="s">
        <v>1603</v>
      </c>
      <c r="Q647" s="259">
        <v>1</v>
      </c>
      <c r="R647" s="260">
        <v>0</v>
      </c>
      <c r="S647" s="682" t="s">
        <v>1593</v>
      </c>
      <c r="T647" s="683" t="s">
        <v>825</v>
      </c>
      <c r="U647" s="683" t="s">
        <v>63</v>
      </c>
      <c r="V647" s="684"/>
      <c r="W647" s="685"/>
      <c r="X647" s="702">
        <v>30</v>
      </c>
      <c r="Y647" s="687" t="s">
        <v>825</v>
      </c>
      <c r="Z647" s="663" t="s">
        <v>825</v>
      </c>
      <c r="AA647" s="663" t="s">
        <v>825</v>
      </c>
      <c r="AB647" s="663" t="s">
        <v>825</v>
      </c>
      <c r="AC647" s="663" t="s">
        <v>825</v>
      </c>
      <c r="AD647" s="663" t="s">
        <v>825</v>
      </c>
      <c r="AE647" s="663" t="s">
        <v>825</v>
      </c>
      <c r="AF647" s="663" t="s">
        <v>825</v>
      </c>
      <c r="AG647" s="663" t="s">
        <v>825</v>
      </c>
      <c r="AH647" s="663" t="s">
        <v>825</v>
      </c>
      <c r="AI647" s="688" t="s">
        <v>825</v>
      </c>
      <c r="AJ647" s="689" t="s">
        <v>1588</v>
      </c>
      <c r="AK647" s="690"/>
    </row>
    <row r="648" spans="1:37" s="653" customFormat="1">
      <c r="A648" s="655">
        <v>2024</v>
      </c>
      <c r="B648" s="656" t="str">
        <f>INDEX('①基本情報 '!$C$2:$C$255,MATCH('②建物情報 '!E648,'①基本情報 '!$E$2:$E$255,0),1)</f>
        <v>219</v>
      </c>
      <c r="C648" s="657" t="str">
        <f>INDEX('①基本情報 '!$B$2:$B$255,MATCH('②建物情報 '!E648,'①基本情報 '!$E$2:$E$255,0),1)</f>
        <v>1082</v>
      </c>
      <c r="D648" s="261" t="s">
        <v>2418</v>
      </c>
      <c r="E648" s="262" t="s">
        <v>1391</v>
      </c>
      <c r="F648" s="263" t="str">
        <f>INDEX('①基本情報 '!$G$2:$G$255,MATCH('②建物情報 '!E648,'①基本情報 '!$E$2:$E$255,0),1)</f>
        <v>教育委員会生涯学習部スポーツ振興課</v>
      </c>
      <c r="G648" s="264" t="s">
        <v>1589</v>
      </c>
      <c r="H648" s="282" t="s">
        <v>1613</v>
      </c>
      <c r="I648" s="265">
        <v>1982</v>
      </c>
      <c r="J648" s="265">
        <v>7</v>
      </c>
      <c r="K648" s="265">
        <f t="shared" si="10"/>
        <v>42</v>
      </c>
      <c r="L648" s="266"/>
      <c r="M648" s="267">
        <v>6.38</v>
      </c>
      <c r="N648" s="267">
        <v>6.38</v>
      </c>
      <c r="O648" s="268" t="s">
        <v>2774</v>
      </c>
      <c r="P648" s="269" t="s">
        <v>1603</v>
      </c>
      <c r="Q648" s="269"/>
      <c r="R648" s="270"/>
      <c r="S648" s="271" t="s">
        <v>1593</v>
      </c>
      <c r="T648" s="272" t="s">
        <v>825</v>
      </c>
      <c r="U648" s="272" t="s">
        <v>63</v>
      </c>
      <c r="V648" s="273"/>
      <c r="W648" s="274"/>
      <c r="X648" s="291">
        <v>24</v>
      </c>
      <c r="Y648" s="276" t="s">
        <v>825</v>
      </c>
      <c r="Z648" s="265" t="s">
        <v>825</v>
      </c>
      <c r="AA648" s="265" t="s">
        <v>825</v>
      </c>
      <c r="AB648" s="265" t="s">
        <v>825</v>
      </c>
      <c r="AC648" s="265" t="s">
        <v>825</v>
      </c>
      <c r="AD648" s="265" t="s">
        <v>825</v>
      </c>
      <c r="AE648" s="265" t="s">
        <v>825</v>
      </c>
      <c r="AF648" s="265" t="s">
        <v>825</v>
      </c>
      <c r="AG648" s="265" t="s">
        <v>825</v>
      </c>
      <c r="AH648" s="265" t="s">
        <v>825</v>
      </c>
      <c r="AI648" s="277" t="s">
        <v>825</v>
      </c>
      <c r="AJ648" s="278" t="s">
        <v>2368</v>
      </c>
      <c r="AK648" s="292"/>
    </row>
    <row r="649" spans="1:37" s="653" customFormat="1">
      <c r="A649" s="655">
        <v>2024</v>
      </c>
      <c r="B649" s="656" t="str">
        <f>INDEX('①基本情報 '!$C$2:$C$255,MATCH('②建物情報 '!E649,'①基本情報 '!$E$2:$E$255,0),1)</f>
        <v>219</v>
      </c>
      <c r="C649" s="657" t="str">
        <f>INDEX('①基本情報 '!$B$2:$B$255,MATCH('②建物情報 '!E649,'①基本情報 '!$E$2:$E$255,0),1)</f>
        <v>1082</v>
      </c>
      <c r="D649" s="261" t="s">
        <v>2418</v>
      </c>
      <c r="E649" s="262" t="s">
        <v>1391</v>
      </c>
      <c r="F649" s="263" t="str">
        <f>INDEX('①基本情報 '!$G$2:$G$255,MATCH('②建物情報 '!E649,'①基本情報 '!$E$2:$E$255,0),1)</f>
        <v>教育委員会生涯学習部スポーツ振興課</v>
      </c>
      <c r="G649" s="264" t="s">
        <v>1591</v>
      </c>
      <c r="H649" s="282" t="s">
        <v>1655</v>
      </c>
      <c r="I649" s="265">
        <v>1986</v>
      </c>
      <c r="J649" s="265">
        <v>8</v>
      </c>
      <c r="K649" s="265">
        <f t="shared" si="10"/>
        <v>38</v>
      </c>
      <c r="L649" s="266"/>
      <c r="M649" s="267">
        <v>3.16</v>
      </c>
      <c r="N649" s="267">
        <v>3.16</v>
      </c>
      <c r="O649" s="268" t="s">
        <v>2774</v>
      </c>
      <c r="P649" s="269" t="s">
        <v>1603</v>
      </c>
      <c r="Q649" s="269"/>
      <c r="R649" s="270"/>
      <c r="S649" s="271" t="s">
        <v>1593</v>
      </c>
      <c r="T649" s="272" t="s">
        <v>825</v>
      </c>
      <c r="U649" s="272" t="s">
        <v>63</v>
      </c>
      <c r="V649" s="273"/>
      <c r="W649" s="274"/>
      <c r="X649" s="291">
        <v>24</v>
      </c>
      <c r="Y649" s="276" t="s">
        <v>825</v>
      </c>
      <c r="Z649" s="265" t="s">
        <v>825</v>
      </c>
      <c r="AA649" s="265" t="s">
        <v>825</v>
      </c>
      <c r="AB649" s="265" t="s">
        <v>825</v>
      </c>
      <c r="AC649" s="265" t="s">
        <v>825</v>
      </c>
      <c r="AD649" s="265" t="s">
        <v>825</v>
      </c>
      <c r="AE649" s="265" t="s">
        <v>825</v>
      </c>
      <c r="AF649" s="265" t="s">
        <v>825</v>
      </c>
      <c r="AG649" s="265" t="s">
        <v>825</v>
      </c>
      <c r="AH649" s="265" t="s">
        <v>825</v>
      </c>
      <c r="AI649" s="277" t="s">
        <v>825</v>
      </c>
      <c r="AJ649" s="278" t="s">
        <v>2368</v>
      </c>
      <c r="AK649" s="292"/>
    </row>
    <row r="650" spans="1:37" s="653" customFormat="1">
      <c r="A650" s="655">
        <v>2024</v>
      </c>
      <c r="B650" s="656" t="str">
        <f>INDEX('①基本情報 '!$C$2:$C$255,MATCH('②建物情報 '!E650,'①基本情報 '!$E$2:$E$255,0),1)</f>
        <v>220</v>
      </c>
      <c r="C650" s="657" t="str">
        <f>INDEX('①基本情報 '!$B$2:$B$255,MATCH('②建物情報 '!E650,'①基本情報 '!$E$2:$E$255,0),1)</f>
        <v>1083</v>
      </c>
      <c r="D650" s="658" t="s">
        <v>2418</v>
      </c>
      <c r="E650" s="612" t="s">
        <v>1396</v>
      </c>
      <c r="F650" s="611" t="str">
        <f>INDEX('①基本情報 '!$G$2:$G$255,MATCH('②建物情報 '!E650,'①基本情報 '!$E$2:$E$255,0),1)</f>
        <v>教育委員会生涯学習部スポーツ振興課</v>
      </c>
      <c r="G650" s="678" t="s">
        <v>1580</v>
      </c>
      <c r="H650" s="612" t="s">
        <v>1757</v>
      </c>
      <c r="I650" s="663">
        <v>1982</v>
      </c>
      <c r="J650" s="663">
        <v>10</v>
      </c>
      <c r="K650" s="663">
        <f t="shared" si="10"/>
        <v>42</v>
      </c>
      <c r="L650" s="679">
        <v>278.45999999999998</v>
      </c>
      <c r="M650" s="695">
        <v>278.45999999999998</v>
      </c>
      <c r="N650" s="695">
        <v>278.45999999999998</v>
      </c>
      <c r="O650" s="681" t="s">
        <v>2774</v>
      </c>
      <c r="P650" s="259" t="s">
        <v>1603</v>
      </c>
      <c r="Q650" s="259">
        <v>1</v>
      </c>
      <c r="R650" s="260">
        <v>0</v>
      </c>
      <c r="S650" s="682" t="s">
        <v>1593</v>
      </c>
      <c r="T650" s="683" t="s">
        <v>825</v>
      </c>
      <c r="U650" s="683" t="s">
        <v>63</v>
      </c>
      <c r="V650" s="684"/>
      <c r="W650" s="685"/>
      <c r="X650" s="702">
        <v>38</v>
      </c>
      <c r="Y650" s="687" t="s">
        <v>1585</v>
      </c>
      <c r="Z650" s="663" t="s">
        <v>1586</v>
      </c>
      <c r="AA650" s="663" t="s">
        <v>1586</v>
      </c>
      <c r="AB650" s="663" t="s">
        <v>825</v>
      </c>
      <c r="AC650" s="663" t="s">
        <v>1586</v>
      </c>
      <c r="AD650" s="663" t="s">
        <v>1586</v>
      </c>
      <c r="AE650" s="663" t="s">
        <v>1586</v>
      </c>
      <c r="AF650" s="663" t="s">
        <v>825</v>
      </c>
      <c r="AG650" s="663" t="s">
        <v>825</v>
      </c>
      <c r="AH650" s="663" t="s">
        <v>1586</v>
      </c>
      <c r="AI650" s="688">
        <v>85.142857142857139</v>
      </c>
      <c r="AJ650" s="689" t="s">
        <v>1588</v>
      </c>
      <c r="AK650" s="690"/>
    </row>
    <row r="651" spans="1:37" s="653" customFormat="1">
      <c r="A651" s="655">
        <v>2024</v>
      </c>
      <c r="B651" s="656" t="str">
        <f>INDEX('①基本情報 '!$C$2:$C$255,MATCH('②建物情報 '!E651,'①基本情報 '!$E$2:$E$255,0),1)</f>
        <v>221</v>
      </c>
      <c r="C651" s="657" t="str">
        <f>INDEX('①基本情報 '!$B$2:$B$255,MATCH('②建物情報 '!E651,'①基本情報 '!$E$2:$E$255,0),1)</f>
        <v>0896</v>
      </c>
      <c r="D651" s="658" t="s">
        <v>2418</v>
      </c>
      <c r="E651" s="612" t="s">
        <v>1403</v>
      </c>
      <c r="F651" s="611" t="str">
        <f>INDEX('①基本情報 '!$G$2:$G$255,MATCH('②建物情報 '!E651,'①基本情報 '!$E$2:$E$255,0),1)</f>
        <v>都市交通部交通政策室交通政策課</v>
      </c>
      <c r="G651" s="678" t="s">
        <v>1580</v>
      </c>
      <c r="H651" s="700" t="s">
        <v>1592</v>
      </c>
      <c r="I651" s="707">
        <v>1991</v>
      </c>
      <c r="J651" s="707">
        <v>3</v>
      </c>
      <c r="K651" s="663">
        <f t="shared" si="10"/>
        <v>33</v>
      </c>
      <c r="L651" s="727"/>
      <c r="M651" s="708">
        <v>6844.88</v>
      </c>
      <c r="N651" s="708">
        <v>6844.88</v>
      </c>
      <c r="O651" s="709" t="s">
        <v>1812</v>
      </c>
      <c r="P651" s="284" t="s">
        <v>1603</v>
      </c>
      <c r="Q651" s="284">
        <v>6</v>
      </c>
      <c r="R651" s="285"/>
      <c r="S651" s="710" t="s">
        <v>1593</v>
      </c>
      <c r="T651" s="711" t="s">
        <v>825</v>
      </c>
      <c r="U651" s="711" t="s">
        <v>63</v>
      </c>
      <c r="V651" s="684"/>
      <c r="W651" s="712">
        <v>2020</v>
      </c>
      <c r="X651" s="728">
        <v>31</v>
      </c>
      <c r="Y651" s="687" t="s">
        <v>1596</v>
      </c>
      <c r="Z651" s="663" t="s">
        <v>1587</v>
      </c>
      <c r="AA651" s="663" t="s">
        <v>1587</v>
      </c>
      <c r="AB651" s="663" t="s">
        <v>1587</v>
      </c>
      <c r="AC651" s="663" t="s">
        <v>1587</v>
      </c>
      <c r="AD651" s="663" t="s">
        <v>1586</v>
      </c>
      <c r="AE651" s="663" t="s">
        <v>1586</v>
      </c>
      <c r="AF651" s="663" t="s">
        <v>1587</v>
      </c>
      <c r="AG651" s="663" t="s">
        <v>1587</v>
      </c>
      <c r="AH651" s="663" t="s">
        <v>1596</v>
      </c>
      <c r="AI651" s="688">
        <v>40.800000000000004</v>
      </c>
      <c r="AJ651" s="689" t="s">
        <v>1588</v>
      </c>
      <c r="AK651" s="690"/>
    </row>
    <row r="652" spans="1:37" s="653" customFormat="1">
      <c r="A652" s="655">
        <v>2024</v>
      </c>
      <c r="B652" s="656" t="str">
        <f>INDEX('①基本情報 '!$C$2:$C$255,MATCH('②建物情報 '!E652,'①基本情報 '!$E$2:$E$255,0),1)</f>
        <v>222</v>
      </c>
      <c r="C652" s="657" t="str">
        <f>INDEX('①基本情報 '!$B$2:$B$255,MATCH('②建物情報 '!E652,'①基本情報 '!$E$2:$E$255,0),1)</f>
        <v>0898</v>
      </c>
      <c r="D652" s="658" t="s">
        <v>2418</v>
      </c>
      <c r="E652" s="612" t="s">
        <v>1415</v>
      </c>
      <c r="F652" s="611" t="str">
        <f>INDEX('①基本情報 '!$G$2:$G$255,MATCH('②建物情報 '!E652,'①基本情報 '!$E$2:$E$255,0),1)</f>
        <v>都市交通部交通政策室交通政策課</v>
      </c>
      <c r="G652" s="678" t="s">
        <v>1580</v>
      </c>
      <c r="H652" s="700" t="s">
        <v>1592</v>
      </c>
      <c r="I652" s="707">
        <v>1987</v>
      </c>
      <c r="J652" s="707">
        <v>3</v>
      </c>
      <c r="K652" s="663">
        <f t="shared" si="10"/>
        <v>37</v>
      </c>
      <c r="L652" s="727"/>
      <c r="M652" s="708">
        <v>3806.31</v>
      </c>
      <c r="N652" s="708">
        <v>3806.31</v>
      </c>
      <c r="O652" s="709" t="s">
        <v>1812</v>
      </c>
      <c r="P652" s="284" t="s">
        <v>1581</v>
      </c>
      <c r="Q652" s="284"/>
      <c r="R652" s="285">
        <v>1</v>
      </c>
      <c r="S652" s="710" t="s">
        <v>1593</v>
      </c>
      <c r="T652" s="711" t="s">
        <v>825</v>
      </c>
      <c r="U652" s="711" t="s">
        <v>63</v>
      </c>
      <c r="V652" s="684"/>
      <c r="W652" s="712"/>
      <c r="X652" s="713">
        <v>31</v>
      </c>
      <c r="Y652" s="687" t="s">
        <v>825</v>
      </c>
      <c r="Z652" s="663" t="s">
        <v>825</v>
      </c>
      <c r="AA652" s="663" t="s">
        <v>825</v>
      </c>
      <c r="AB652" s="663" t="s">
        <v>825</v>
      </c>
      <c r="AC652" s="663" t="s">
        <v>825</v>
      </c>
      <c r="AD652" s="663" t="s">
        <v>825</v>
      </c>
      <c r="AE652" s="663" t="s">
        <v>825</v>
      </c>
      <c r="AF652" s="663" t="s">
        <v>825</v>
      </c>
      <c r="AG652" s="663" t="s">
        <v>825</v>
      </c>
      <c r="AH652" s="663" t="s">
        <v>825</v>
      </c>
      <c r="AI652" s="688" t="s">
        <v>825</v>
      </c>
      <c r="AJ652" s="689" t="s">
        <v>1588</v>
      </c>
      <c r="AK652" s="690"/>
    </row>
    <row r="653" spans="1:37" s="653" customFormat="1">
      <c r="A653" s="655">
        <v>2024</v>
      </c>
      <c r="B653" s="656" t="str">
        <f>INDEX('①基本情報 '!$C$2:$C$255,MATCH('②建物情報 '!E653,'①基本情報 '!$E$2:$E$255,0),1)</f>
        <v>223</v>
      </c>
      <c r="C653" s="657" t="str">
        <f>INDEX('①基本情報 '!$B$2:$B$255,MATCH('②建物情報 '!E653,'①基本情報 '!$E$2:$E$255,0),1)</f>
        <v>0897</v>
      </c>
      <c r="D653" s="658" t="s">
        <v>2418</v>
      </c>
      <c r="E653" s="612" t="s">
        <v>1418</v>
      </c>
      <c r="F653" s="611" t="str">
        <f>INDEX('①基本情報 '!$G$2:$G$255,MATCH('②建物情報 '!E653,'①基本情報 '!$E$2:$E$255,0),1)</f>
        <v>都市交通部交通政策室交通政策課</v>
      </c>
      <c r="G653" s="678" t="s">
        <v>1580</v>
      </c>
      <c r="H653" s="700" t="s">
        <v>2207</v>
      </c>
      <c r="I653" s="707">
        <v>1997</v>
      </c>
      <c r="J653" s="707"/>
      <c r="K653" s="663">
        <f t="shared" si="10"/>
        <v>27</v>
      </c>
      <c r="L653" s="727"/>
      <c r="M653" s="708">
        <v>8480.16</v>
      </c>
      <c r="N653" s="708">
        <v>8480.16</v>
      </c>
      <c r="O653" s="709" t="s">
        <v>1812</v>
      </c>
      <c r="P653" s="284" t="s">
        <v>1627</v>
      </c>
      <c r="Q653" s="284">
        <v>1</v>
      </c>
      <c r="R653" s="285">
        <v>1</v>
      </c>
      <c r="S653" s="710" t="s">
        <v>1593</v>
      </c>
      <c r="T653" s="711" t="s">
        <v>825</v>
      </c>
      <c r="U653" s="711" t="s">
        <v>63</v>
      </c>
      <c r="V653" s="684"/>
      <c r="W653" s="712"/>
      <c r="X653" s="713">
        <v>38</v>
      </c>
      <c r="Y653" s="687" t="s">
        <v>1596</v>
      </c>
      <c r="Z653" s="663" t="s">
        <v>825</v>
      </c>
      <c r="AA653" s="663" t="s">
        <v>825</v>
      </c>
      <c r="AB653" s="663" t="s">
        <v>1587</v>
      </c>
      <c r="AC653" s="663" t="s">
        <v>1586</v>
      </c>
      <c r="AD653" s="663" t="s">
        <v>1586</v>
      </c>
      <c r="AE653" s="663" t="s">
        <v>1585</v>
      </c>
      <c r="AF653" s="663" t="s">
        <v>825</v>
      </c>
      <c r="AG653" s="663" t="s">
        <v>825</v>
      </c>
      <c r="AH653" s="663" t="s">
        <v>1585</v>
      </c>
      <c r="AI653" s="688">
        <v>59.375</v>
      </c>
      <c r="AJ653" s="689" t="s">
        <v>1588</v>
      </c>
      <c r="AK653" s="690"/>
    </row>
    <row r="654" spans="1:37" s="653" customFormat="1">
      <c r="A654" s="655">
        <v>2024</v>
      </c>
      <c r="B654" s="656" t="str">
        <f>INDEX('①基本情報 '!$C$2:$C$255,MATCH('②建物情報 '!E654,'①基本情報 '!$E$2:$E$255,0),1)</f>
        <v>223</v>
      </c>
      <c r="C654" s="657" t="str">
        <f>INDEX('①基本情報 '!$B$2:$B$255,MATCH('②建物情報 '!E654,'①基本情報 '!$E$2:$E$255,0),1)</f>
        <v>0897</v>
      </c>
      <c r="D654" s="658" t="s">
        <v>2418</v>
      </c>
      <c r="E654" s="612" t="s">
        <v>1418</v>
      </c>
      <c r="F654" s="611" t="str">
        <f>INDEX('①基本情報 '!$G$2:$G$255,MATCH('②建物情報 '!E654,'①基本情報 '!$E$2:$E$255,0),1)</f>
        <v>都市交通部交通政策室交通政策課</v>
      </c>
      <c r="G654" s="678" t="s">
        <v>1589</v>
      </c>
      <c r="H654" s="700" t="s">
        <v>2208</v>
      </c>
      <c r="I654" s="707">
        <v>1999</v>
      </c>
      <c r="J654" s="707"/>
      <c r="K654" s="663">
        <f t="shared" si="10"/>
        <v>25</v>
      </c>
      <c r="L654" s="727"/>
      <c r="M654" s="708">
        <v>2408.87</v>
      </c>
      <c r="N654" s="708">
        <v>2408.87</v>
      </c>
      <c r="O654" s="709" t="s">
        <v>1812</v>
      </c>
      <c r="P654" s="284" t="s">
        <v>1581</v>
      </c>
      <c r="Q654" s="284"/>
      <c r="R654" s="285">
        <v>1</v>
      </c>
      <c r="S654" s="710" t="s">
        <v>1593</v>
      </c>
      <c r="T654" s="711" t="s">
        <v>825</v>
      </c>
      <c r="U654" s="711" t="s">
        <v>63</v>
      </c>
      <c r="V654" s="684"/>
      <c r="W654" s="712"/>
      <c r="X654" s="713">
        <v>38</v>
      </c>
      <c r="Y654" s="687" t="s">
        <v>825</v>
      </c>
      <c r="Z654" s="663" t="s">
        <v>825</v>
      </c>
      <c r="AA654" s="663" t="s">
        <v>825</v>
      </c>
      <c r="AB654" s="663" t="s">
        <v>825</v>
      </c>
      <c r="AC654" s="663" t="s">
        <v>825</v>
      </c>
      <c r="AD654" s="663" t="s">
        <v>825</v>
      </c>
      <c r="AE654" s="663" t="s">
        <v>825</v>
      </c>
      <c r="AF654" s="663" t="s">
        <v>825</v>
      </c>
      <c r="AG654" s="663" t="s">
        <v>825</v>
      </c>
      <c r="AH654" s="663" t="s">
        <v>825</v>
      </c>
      <c r="AI654" s="688" t="s">
        <v>825</v>
      </c>
      <c r="AJ654" s="689" t="s">
        <v>1588</v>
      </c>
      <c r="AK654" s="690"/>
    </row>
    <row r="655" spans="1:37" s="653" customFormat="1">
      <c r="A655" s="655">
        <v>2024</v>
      </c>
      <c r="B655" s="656" t="str">
        <f>INDEX('①基本情報 '!$C$2:$C$255,MATCH('②建物情報 '!E655,'①基本情報 '!$E$2:$E$255,0),1)</f>
        <v>223</v>
      </c>
      <c r="C655" s="657" t="str">
        <f>INDEX('①基本情報 '!$B$2:$B$255,MATCH('②建物情報 '!E655,'①基本情報 '!$E$2:$E$255,0),1)</f>
        <v>0897</v>
      </c>
      <c r="D655" s="658" t="s">
        <v>2418</v>
      </c>
      <c r="E655" s="612" t="s">
        <v>1418</v>
      </c>
      <c r="F655" s="611" t="str">
        <f>INDEX('①基本情報 '!$G$2:$G$255,MATCH('②建物情報 '!E655,'①基本情報 '!$E$2:$E$255,0),1)</f>
        <v>都市交通部交通政策室交通政策課</v>
      </c>
      <c r="G655" s="678" t="s">
        <v>1591</v>
      </c>
      <c r="H655" s="706" t="s">
        <v>2209</v>
      </c>
      <c r="I655" s="707">
        <v>1995</v>
      </c>
      <c r="J655" s="707"/>
      <c r="K655" s="663">
        <f t="shared" si="10"/>
        <v>29</v>
      </c>
      <c r="L655" s="727"/>
      <c r="M655" s="708">
        <v>2677.69</v>
      </c>
      <c r="N655" s="708">
        <v>2677.69</v>
      </c>
      <c r="O655" s="709" t="s">
        <v>1812</v>
      </c>
      <c r="P655" s="284" t="s">
        <v>1581</v>
      </c>
      <c r="Q655" s="284"/>
      <c r="R655" s="285">
        <v>1</v>
      </c>
      <c r="S655" s="710" t="s">
        <v>1593</v>
      </c>
      <c r="T655" s="711" t="s">
        <v>825</v>
      </c>
      <c r="U655" s="711" t="s">
        <v>63</v>
      </c>
      <c r="V655" s="684"/>
      <c r="W655" s="712"/>
      <c r="X655" s="713">
        <v>38</v>
      </c>
      <c r="Y655" s="687" t="s">
        <v>825</v>
      </c>
      <c r="Z655" s="663" t="s">
        <v>825</v>
      </c>
      <c r="AA655" s="663" t="s">
        <v>825</v>
      </c>
      <c r="AB655" s="663" t="s">
        <v>825</v>
      </c>
      <c r="AC655" s="663" t="s">
        <v>825</v>
      </c>
      <c r="AD655" s="663" t="s">
        <v>825</v>
      </c>
      <c r="AE655" s="663" t="s">
        <v>825</v>
      </c>
      <c r="AF655" s="663" t="s">
        <v>825</v>
      </c>
      <c r="AG655" s="663" t="s">
        <v>825</v>
      </c>
      <c r="AH655" s="663" t="s">
        <v>825</v>
      </c>
      <c r="AI655" s="688" t="s">
        <v>825</v>
      </c>
      <c r="AJ655" s="689" t="s">
        <v>1588</v>
      </c>
      <c r="AK655" s="690"/>
    </row>
    <row r="656" spans="1:37" s="653" customFormat="1">
      <c r="A656" s="655">
        <v>2024</v>
      </c>
      <c r="B656" s="656" t="str">
        <f>INDEX('①基本情報 '!$C$2:$C$255,MATCH('②建物情報 '!E656,'①基本情報 '!$E$2:$E$255,0),1)</f>
        <v>224</v>
      </c>
      <c r="C656" s="657" t="str">
        <f>INDEX('①基本情報 '!$B$2:$B$255,MATCH('②建物情報 '!E656,'①基本情報 '!$E$2:$E$255,0),1)</f>
        <v>0881</v>
      </c>
      <c r="D656" s="658" t="s">
        <v>2418</v>
      </c>
      <c r="E656" s="612" t="s">
        <v>1421</v>
      </c>
      <c r="F656" s="611" t="str">
        <f>INDEX('①基本情報 '!$G$2:$G$255,MATCH('②建物情報 '!E656,'①基本情報 '!$E$2:$E$255,0),1)</f>
        <v>都市交通部交通政策室交通政策課</v>
      </c>
      <c r="G656" s="678" t="s">
        <v>1580</v>
      </c>
      <c r="H656" s="700" t="s">
        <v>2210</v>
      </c>
      <c r="I656" s="707">
        <v>1983</v>
      </c>
      <c r="J656" s="707">
        <v>3</v>
      </c>
      <c r="K656" s="663">
        <f t="shared" si="10"/>
        <v>41</v>
      </c>
      <c r="L656" s="727">
        <v>906.3</v>
      </c>
      <c r="M656" s="708">
        <v>901.79</v>
      </c>
      <c r="N656" s="708">
        <v>901.79</v>
      </c>
      <c r="O656" s="709" t="s">
        <v>1813</v>
      </c>
      <c r="P656" s="284" t="s">
        <v>1581</v>
      </c>
      <c r="Q656" s="284">
        <v>1</v>
      </c>
      <c r="R656" s="285"/>
      <c r="S656" s="710" t="s">
        <v>1593</v>
      </c>
      <c r="T656" s="711" t="s">
        <v>825</v>
      </c>
      <c r="U656" s="711" t="s">
        <v>63</v>
      </c>
      <c r="V656" s="684"/>
      <c r="W656" s="712"/>
      <c r="X656" s="713">
        <v>38</v>
      </c>
      <c r="Y656" s="687" t="s">
        <v>1585</v>
      </c>
      <c r="Z656" s="663" t="s">
        <v>1585</v>
      </c>
      <c r="AA656" s="663" t="s">
        <v>1586</v>
      </c>
      <c r="AB656" s="663" t="s">
        <v>1586</v>
      </c>
      <c r="AC656" s="663" t="s">
        <v>1586</v>
      </c>
      <c r="AD656" s="663" t="s">
        <v>825</v>
      </c>
      <c r="AE656" s="663" t="s">
        <v>825</v>
      </c>
      <c r="AF656" s="663" t="s">
        <v>1586</v>
      </c>
      <c r="AG656" s="663" t="s">
        <v>1586</v>
      </c>
      <c r="AH656" s="663" t="s">
        <v>1586</v>
      </c>
      <c r="AI656" s="688">
        <v>87.804878048780495</v>
      </c>
      <c r="AJ656" s="689" t="s">
        <v>1588</v>
      </c>
      <c r="AK656" s="690"/>
    </row>
    <row r="657" spans="1:37" s="653" customFormat="1">
      <c r="A657" s="655">
        <v>2024</v>
      </c>
      <c r="B657" s="656" t="str">
        <f>INDEX('①基本情報 '!$C$2:$C$255,MATCH('②建物情報 '!E657,'①基本情報 '!$E$2:$E$255,0),1)</f>
        <v>225</v>
      </c>
      <c r="C657" s="657" t="str">
        <f>INDEX('①基本情報 '!$B$2:$B$255,MATCH('②建物情報 '!E657,'①基本情報 '!$E$2:$E$255,0),1)</f>
        <v>0882</v>
      </c>
      <c r="D657" s="658" t="s">
        <v>2418</v>
      </c>
      <c r="E657" s="612" t="s">
        <v>1428</v>
      </c>
      <c r="F657" s="611" t="str">
        <f>INDEX('①基本情報 '!$G$2:$G$255,MATCH('②建物情報 '!E657,'①基本情報 '!$E$2:$E$255,0),1)</f>
        <v>都市交通部交通政策室交通政策課</v>
      </c>
      <c r="G657" s="678" t="s">
        <v>1580</v>
      </c>
      <c r="H657" s="700" t="s">
        <v>2210</v>
      </c>
      <c r="I657" s="707">
        <v>1983</v>
      </c>
      <c r="J657" s="707">
        <v>7</v>
      </c>
      <c r="K657" s="663">
        <f t="shared" si="10"/>
        <v>41</v>
      </c>
      <c r="L657" s="727">
        <v>380.65</v>
      </c>
      <c r="M657" s="708">
        <v>1141.01</v>
      </c>
      <c r="N657" s="708">
        <v>1141.01</v>
      </c>
      <c r="O657" s="709" t="s">
        <v>1812</v>
      </c>
      <c r="P657" s="284" t="s">
        <v>1942</v>
      </c>
      <c r="Q657" s="284">
        <v>3</v>
      </c>
      <c r="R657" s="285">
        <v>1</v>
      </c>
      <c r="S657" s="710" t="s">
        <v>1593</v>
      </c>
      <c r="T657" s="711" t="s">
        <v>825</v>
      </c>
      <c r="U657" s="711" t="s">
        <v>63</v>
      </c>
      <c r="V657" s="684"/>
      <c r="W657" s="712"/>
      <c r="X657" s="713">
        <v>31</v>
      </c>
      <c r="Y657" s="687" t="s">
        <v>825</v>
      </c>
      <c r="Z657" s="663" t="s">
        <v>825</v>
      </c>
      <c r="AA657" s="663" t="s">
        <v>825</v>
      </c>
      <c r="AB657" s="663" t="s">
        <v>825</v>
      </c>
      <c r="AC657" s="663" t="s">
        <v>825</v>
      </c>
      <c r="AD657" s="663" t="s">
        <v>825</v>
      </c>
      <c r="AE657" s="663" t="s">
        <v>825</v>
      </c>
      <c r="AF657" s="663" t="s">
        <v>825</v>
      </c>
      <c r="AG657" s="663" t="s">
        <v>825</v>
      </c>
      <c r="AH657" s="663" t="s">
        <v>825</v>
      </c>
      <c r="AI657" s="688" t="s">
        <v>825</v>
      </c>
      <c r="AJ657" s="689" t="s">
        <v>1588</v>
      </c>
      <c r="AK657" s="690"/>
    </row>
    <row r="658" spans="1:37" s="653" customFormat="1">
      <c r="A658" s="655">
        <v>2024</v>
      </c>
      <c r="B658" s="656" t="str">
        <f>INDEX('①基本情報 '!$C$2:$C$255,MATCH('②建物情報 '!E658,'①基本情報 '!$E$2:$E$255,0),1)</f>
        <v>226</v>
      </c>
      <c r="C658" s="657" t="str">
        <f>INDEX('①基本情報 '!$B$2:$B$255,MATCH('②建物情報 '!E658,'①基本情報 '!$E$2:$E$255,0),1)</f>
        <v>0884</v>
      </c>
      <c r="D658" s="658" t="s">
        <v>2418</v>
      </c>
      <c r="E658" s="612" t="s">
        <v>1431</v>
      </c>
      <c r="F658" s="611" t="str">
        <f>INDEX('①基本情報 '!$G$2:$G$255,MATCH('②建物情報 '!E658,'①基本情報 '!$E$2:$E$255,0),1)</f>
        <v>都市交通部交通政策室交通政策課</v>
      </c>
      <c r="G658" s="678" t="s">
        <v>1580</v>
      </c>
      <c r="H658" s="700" t="s">
        <v>2210</v>
      </c>
      <c r="I658" s="707">
        <v>1987</v>
      </c>
      <c r="J658" s="707">
        <v>3</v>
      </c>
      <c r="K658" s="663">
        <f t="shared" si="10"/>
        <v>37</v>
      </c>
      <c r="L658" s="727">
        <v>47.58</v>
      </c>
      <c r="M658" s="708">
        <v>1281.75</v>
      </c>
      <c r="N658" s="708">
        <v>1281.75</v>
      </c>
      <c r="O658" s="709" t="s">
        <v>1812</v>
      </c>
      <c r="P658" s="284" t="s">
        <v>1581</v>
      </c>
      <c r="Q658" s="284"/>
      <c r="R658" s="285">
        <v>1</v>
      </c>
      <c r="S658" s="710" t="s">
        <v>1593</v>
      </c>
      <c r="T658" s="711" t="s">
        <v>825</v>
      </c>
      <c r="U658" s="711" t="s">
        <v>63</v>
      </c>
      <c r="V658" s="684"/>
      <c r="W658" s="712"/>
      <c r="X658" s="713">
        <v>38</v>
      </c>
      <c r="Y658" s="687" t="s">
        <v>1596</v>
      </c>
      <c r="Z658" s="663" t="s">
        <v>1586</v>
      </c>
      <c r="AA658" s="663" t="s">
        <v>1586</v>
      </c>
      <c r="AB658" s="663" t="s">
        <v>825</v>
      </c>
      <c r="AC658" s="663" t="s">
        <v>1587</v>
      </c>
      <c r="AD658" s="663" t="s">
        <v>1586</v>
      </c>
      <c r="AE658" s="663" t="s">
        <v>1586</v>
      </c>
      <c r="AF658" s="663" t="s">
        <v>825</v>
      </c>
      <c r="AG658" s="663" t="s">
        <v>825</v>
      </c>
      <c r="AH658" s="663" t="s">
        <v>1586</v>
      </c>
      <c r="AI658" s="688">
        <v>72.727272727272734</v>
      </c>
      <c r="AJ658" s="689" t="s">
        <v>1588</v>
      </c>
      <c r="AK658" s="690"/>
    </row>
    <row r="659" spans="1:37" s="653" customFormat="1">
      <c r="A659" s="655">
        <v>2024</v>
      </c>
      <c r="B659" s="656" t="e">
        <f>INDEX('①基本情報 '!$C$2:$C$255,MATCH('②建物情報 '!E659,'①基本情報 '!$E$2:$E$255,0),1)</f>
        <v>#N/A</v>
      </c>
      <c r="C659" s="657" t="e">
        <f>INDEX('①基本情報 '!$B$2:$B$255,MATCH('②建物情報 '!E659,'①基本情報 '!$E$2:$E$255,0),1)</f>
        <v>#N/A</v>
      </c>
      <c r="D659" s="261" t="s">
        <v>2418</v>
      </c>
      <c r="E659" s="262" t="s">
        <v>2793</v>
      </c>
      <c r="F659" s="263" t="e">
        <f>INDEX('①基本情報 '!$G$2:$G$255,MATCH('②建物情報 '!E659,'①基本情報 '!$E$2:$E$255,0),1)</f>
        <v>#N/A</v>
      </c>
      <c r="G659" s="264" t="s">
        <v>1580</v>
      </c>
      <c r="H659" s="282" t="s">
        <v>2211</v>
      </c>
      <c r="I659" s="301">
        <v>2021</v>
      </c>
      <c r="J659" s="301">
        <v>3</v>
      </c>
      <c r="K659" s="265">
        <f t="shared" si="10"/>
        <v>3</v>
      </c>
      <c r="L659" s="294"/>
      <c r="M659" s="302">
        <v>17.78</v>
      </c>
      <c r="N659" s="302">
        <v>17.78</v>
      </c>
      <c r="O659" s="295" t="s">
        <v>1812</v>
      </c>
      <c r="P659" s="296" t="s">
        <v>1603</v>
      </c>
      <c r="Q659" s="296">
        <v>1</v>
      </c>
      <c r="R659" s="297"/>
      <c r="S659" s="298"/>
      <c r="T659" s="299" t="s">
        <v>825</v>
      </c>
      <c r="U659" s="299" t="s">
        <v>825</v>
      </c>
      <c r="V659" s="273"/>
      <c r="W659" s="303"/>
      <c r="X659" s="300">
        <v>31</v>
      </c>
      <c r="Y659" s="276" t="s">
        <v>825</v>
      </c>
      <c r="Z659" s="265" t="s">
        <v>825</v>
      </c>
      <c r="AA659" s="265" t="s">
        <v>825</v>
      </c>
      <c r="AB659" s="265" t="s">
        <v>825</v>
      </c>
      <c r="AC659" s="265" t="s">
        <v>825</v>
      </c>
      <c r="AD659" s="265" t="s">
        <v>825</v>
      </c>
      <c r="AE659" s="265" t="s">
        <v>825</v>
      </c>
      <c r="AF659" s="265" t="s">
        <v>825</v>
      </c>
      <c r="AG659" s="265" t="s">
        <v>825</v>
      </c>
      <c r="AH659" s="265" t="s">
        <v>825</v>
      </c>
      <c r="AI659" s="277" t="s">
        <v>825</v>
      </c>
      <c r="AJ659" s="278" t="s">
        <v>1606</v>
      </c>
      <c r="AK659" s="693" t="s">
        <v>2330</v>
      </c>
    </row>
    <row r="660" spans="1:37" s="653" customFormat="1">
      <c r="A660" s="655">
        <v>2024</v>
      </c>
      <c r="B660" s="656" t="e">
        <f>INDEX('①基本情報 '!$C$2:$C$255,MATCH('②建物情報 '!E660,'①基本情報 '!$E$2:$E$255,0),1)</f>
        <v>#N/A</v>
      </c>
      <c r="C660" s="657" t="e">
        <f>INDEX('①基本情報 '!$B$2:$B$255,MATCH('②建物情報 '!E660,'①基本情報 '!$E$2:$E$255,0),1)</f>
        <v>#N/A</v>
      </c>
      <c r="D660" s="261" t="s">
        <v>2418</v>
      </c>
      <c r="E660" s="262" t="s">
        <v>2794</v>
      </c>
      <c r="F660" s="263" t="e">
        <f>INDEX('①基本情報 '!$G$2:$G$255,MATCH('②建物情報 '!E660,'①基本情報 '!$E$2:$E$255,0),1)</f>
        <v>#N/A</v>
      </c>
      <c r="G660" s="264" t="s">
        <v>1580</v>
      </c>
      <c r="H660" s="282" t="s">
        <v>2211</v>
      </c>
      <c r="I660" s="301">
        <v>1991</v>
      </c>
      <c r="J660" s="301">
        <v>3</v>
      </c>
      <c r="K660" s="265">
        <f t="shared" si="10"/>
        <v>33</v>
      </c>
      <c r="L660" s="294"/>
      <c r="M660" s="302">
        <v>4.57</v>
      </c>
      <c r="N660" s="302">
        <v>4.57</v>
      </c>
      <c r="O660" s="295" t="s">
        <v>1812</v>
      </c>
      <c r="P660" s="296" t="s">
        <v>1603</v>
      </c>
      <c r="Q660" s="296">
        <v>1</v>
      </c>
      <c r="R660" s="297"/>
      <c r="S660" s="298"/>
      <c r="T660" s="299" t="s">
        <v>825</v>
      </c>
      <c r="U660" s="299" t="s">
        <v>825</v>
      </c>
      <c r="V660" s="273"/>
      <c r="W660" s="303"/>
      <c r="X660" s="300">
        <v>31</v>
      </c>
      <c r="Y660" s="276" t="s">
        <v>825</v>
      </c>
      <c r="Z660" s="265" t="s">
        <v>825</v>
      </c>
      <c r="AA660" s="265" t="s">
        <v>825</v>
      </c>
      <c r="AB660" s="265" t="s">
        <v>825</v>
      </c>
      <c r="AC660" s="265" t="s">
        <v>825</v>
      </c>
      <c r="AD660" s="265" t="s">
        <v>825</v>
      </c>
      <c r="AE660" s="265" t="s">
        <v>825</v>
      </c>
      <c r="AF660" s="265" t="s">
        <v>825</v>
      </c>
      <c r="AG660" s="265" t="s">
        <v>825</v>
      </c>
      <c r="AH660" s="265" t="s">
        <v>825</v>
      </c>
      <c r="AI660" s="277" t="s">
        <v>825</v>
      </c>
      <c r="AJ660" s="280" t="s">
        <v>2335</v>
      </c>
      <c r="AK660" s="292"/>
    </row>
    <row r="661" spans="1:37" s="653" customFormat="1">
      <c r="A661" s="655">
        <v>2024</v>
      </c>
      <c r="B661" s="656" t="str">
        <f>INDEX('①基本情報 '!$C$2:$C$255,MATCH('②建物情報 '!E661,'①基本情報 '!$E$2:$E$255,0),1)</f>
        <v>229</v>
      </c>
      <c r="C661" s="657" t="str">
        <f>INDEX('①基本情報 '!$B$2:$B$255,MATCH('②建物情報 '!E661,'①基本情報 '!$E$2:$E$255,0),1)</f>
        <v>0887</v>
      </c>
      <c r="D661" s="261" t="s">
        <v>2418</v>
      </c>
      <c r="E661" s="262" t="s">
        <v>1438</v>
      </c>
      <c r="F661" s="263" t="str">
        <f>INDEX('①基本情報 '!$G$2:$G$255,MATCH('②建物情報 '!E661,'①基本情報 '!$E$2:$E$255,0),1)</f>
        <v>都市交通部交通政策室交通政策課</v>
      </c>
      <c r="G661" s="264" t="s">
        <v>1580</v>
      </c>
      <c r="H661" s="282" t="s">
        <v>2211</v>
      </c>
      <c r="I661" s="301">
        <v>1992</v>
      </c>
      <c r="J661" s="301">
        <v>3</v>
      </c>
      <c r="K661" s="265">
        <f t="shared" si="10"/>
        <v>32</v>
      </c>
      <c r="L661" s="294"/>
      <c r="M661" s="302">
        <v>2.38</v>
      </c>
      <c r="N661" s="302">
        <v>2.38</v>
      </c>
      <c r="O661" s="295" t="s">
        <v>1812</v>
      </c>
      <c r="P661" s="296" t="s">
        <v>1603</v>
      </c>
      <c r="Q661" s="296">
        <v>1</v>
      </c>
      <c r="R661" s="297"/>
      <c r="S661" s="298"/>
      <c r="T661" s="299" t="s">
        <v>825</v>
      </c>
      <c r="U661" s="299" t="s">
        <v>825</v>
      </c>
      <c r="V661" s="273"/>
      <c r="W661" s="303"/>
      <c r="X661" s="300"/>
      <c r="Y661" s="276" t="s">
        <v>825</v>
      </c>
      <c r="Z661" s="265" t="s">
        <v>825</v>
      </c>
      <c r="AA661" s="265" t="s">
        <v>825</v>
      </c>
      <c r="AB661" s="265" t="s">
        <v>825</v>
      </c>
      <c r="AC661" s="265" t="s">
        <v>825</v>
      </c>
      <c r="AD661" s="265" t="s">
        <v>825</v>
      </c>
      <c r="AE661" s="265" t="s">
        <v>825</v>
      </c>
      <c r="AF661" s="265" t="s">
        <v>825</v>
      </c>
      <c r="AG661" s="265" t="s">
        <v>825</v>
      </c>
      <c r="AH661" s="265" t="s">
        <v>825</v>
      </c>
      <c r="AI661" s="277" t="s">
        <v>825</v>
      </c>
      <c r="AJ661" s="280" t="s">
        <v>2336</v>
      </c>
      <c r="AK661" s="292"/>
    </row>
    <row r="662" spans="1:37" s="653" customFormat="1">
      <c r="A662" s="655">
        <v>2024</v>
      </c>
      <c r="B662" s="656" t="str">
        <f>INDEX('①基本情報 '!$C$2:$C$255,MATCH('②建物情報 '!E662,'①基本情報 '!$E$2:$E$255,0),1)</f>
        <v>230</v>
      </c>
      <c r="C662" s="657" t="str">
        <f>INDEX('①基本情報 '!$B$2:$B$255,MATCH('②建物情報 '!E662,'①基本情報 '!$E$2:$E$255,0),1)</f>
        <v>0888</v>
      </c>
      <c r="D662" s="261" t="s">
        <v>2418</v>
      </c>
      <c r="E662" s="262" t="s">
        <v>2012</v>
      </c>
      <c r="F662" s="263" t="str">
        <f>INDEX('①基本情報 '!$G$2:$G$255,MATCH('②建物情報 '!E662,'①基本情報 '!$E$2:$E$255,0),1)</f>
        <v>都市交通部交通政策室交通政策課</v>
      </c>
      <c r="G662" s="264" t="s">
        <v>1580</v>
      </c>
      <c r="H662" s="282" t="s">
        <v>2211</v>
      </c>
      <c r="I662" s="301">
        <v>1997</v>
      </c>
      <c r="J662" s="301">
        <v>10</v>
      </c>
      <c r="K662" s="265">
        <f t="shared" si="10"/>
        <v>27</v>
      </c>
      <c r="L662" s="294"/>
      <c r="M662" s="302">
        <v>8.57</v>
      </c>
      <c r="N662" s="302">
        <v>8.57</v>
      </c>
      <c r="O662" s="295" t="s">
        <v>1812</v>
      </c>
      <c r="P662" s="296" t="s">
        <v>1603</v>
      </c>
      <c r="Q662" s="296">
        <v>1</v>
      </c>
      <c r="R662" s="297"/>
      <c r="S662" s="298"/>
      <c r="T662" s="299" t="s">
        <v>825</v>
      </c>
      <c r="U662" s="299" t="s">
        <v>825</v>
      </c>
      <c r="V662" s="273"/>
      <c r="W662" s="303"/>
      <c r="X662" s="300">
        <v>30</v>
      </c>
      <c r="Y662" s="276" t="s">
        <v>825</v>
      </c>
      <c r="Z662" s="265" t="s">
        <v>825</v>
      </c>
      <c r="AA662" s="265" t="s">
        <v>825</v>
      </c>
      <c r="AB662" s="265" t="s">
        <v>825</v>
      </c>
      <c r="AC662" s="265" t="s">
        <v>825</v>
      </c>
      <c r="AD662" s="265" t="s">
        <v>825</v>
      </c>
      <c r="AE662" s="265" t="s">
        <v>825</v>
      </c>
      <c r="AF662" s="265" t="s">
        <v>825</v>
      </c>
      <c r="AG662" s="265" t="s">
        <v>825</v>
      </c>
      <c r="AH662" s="265" t="s">
        <v>825</v>
      </c>
      <c r="AI662" s="277" t="s">
        <v>825</v>
      </c>
      <c r="AJ662" s="278" t="s">
        <v>1604</v>
      </c>
      <c r="AK662" s="696" t="s">
        <v>2332</v>
      </c>
    </row>
    <row r="663" spans="1:37" s="653" customFormat="1">
      <c r="A663" s="655">
        <v>2024</v>
      </c>
      <c r="B663" s="656" t="e">
        <f>INDEX('①基本情報 '!$C$2:$C$255,MATCH('②建物情報 '!E663,'①基本情報 '!$E$2:$E$255,0),1)</f>
        <v>#N/A</v>
      </c>
      <c r="C663" s="657" t="e">
        <f>INDEX('①基本情報 '!$B$2:$B$255,MATCH('②建物情報 '!E663,'①基本情報 '!$E$2:$E$255,0),1)</f>
        <v>#N/A</v>
      </c>
      <c r="D663" s="261" t="s">
        <v>2418</v>
      </c>
      <c r="E663" s="262" t="s">
        <v>2795</v>
      </c>
      <c r="F663" s="263" t="e">
        <f>INDEX('①基本情報 '!$G$2:$G$255,MATCH('②建物情報 '!E663,'①基本情報 '!$E$2:$E$255,0),1)</f>
        <v>#N/A</v>
      </c>
      <c r="G663" s="264" t="s">
        <v>1580</v>
      </c>
      <c r="H663" s="282"/>
      <c r="I663" s="301"/>
      <c r="J663" s="301"/>
      <c r="K663" s="265"/>
      <c r="L663" s="294"/>
      <c r="M663" s="302"/>
      <c r="N663" s="302"/>
      <c r="O663" s="295" t="s">
        <v>1812</v>
      </c>
      <c r="P663" s="296"/>
      <c r="Q663" s="296">
        <v>1</v>
      </c>
      <c r="R663" s="297"/>
      <c r="S663" s="298"/>
      <c r="T663" s="299" t="s">
        <v>825</v>
      </c>
      <c r="U663" s="299" t="s">
        <v>825</v>
      </c>
      <c r="V663" s="273"/>
      <c r="W663" s="303"/>
      <c r="X663" s="300"/>
      <c r="Y663" s="276" t="s">
        <v>825</v>
      </c>
      <c r="Z663" s="265" t="s">
        <v>825</v>
      </c>
      <c r="AA663" s="265" t="s">
        <v>825</v>
      </c>
      <c r="AB663" s="265" t="s">
        <v>825</v>
      </c>
      <c r="AC663" s="265" t="s">
        <v>825</v>
      </c>
      <c r="AD663" s="265" t="s">
        <v>825</v>
      </c>
      <c r="AE663" s="265" t="s">
        <v>825</v>
      </c>
      <c r="AF663" s="265" t="s">
        <v>825</v>
      </c>
      <c r="AG663" s="265" t="s">
        <v>825</v>
      </c>
      <c r="AH663" s="265" t="s">
        <v>825</v>
      </c>
      <c r="AI663" s="277" t="s">
        <v>825</v>
      </c>
      <c r="AJ663" s="280" t="s">
        <v>2336</v>
      </c>
      <c r="AK663" s="292"/>
    </row>
    <row r="664" spans="1:37" s="653" customFormat="1">
      <c r="A664" s="655">
        <v>2024</v>
      </c>
      <c r="B664" s="729" t="str">
        <f>INDEX('①基本情報 '!$C$2:$C$255,MATCH('②建物情報 '!E664,'①基本情報 '!$E$2:$E$255,0),1)</f>
        <v>233</v>
      </c>
      <c r="C664" s="657" t="str">
        <f>INDEX('①基本情報 '!$B$2:$B$255,MATCH('②建物情報 '!E664,'①基本情報 '!$E$2:$E$255,0),1)</f>
        <v>0019</v>
      </c>
      <c r="D664" s="261" t="s">
        <v>2418</v>
      </c>
      <c r="E664" s="262" t="s">
        <v>2023</v>
      </c>
      <c r="F664" s="263" t="str">
        <f>INDEX('①基本情報 '!$G$2:$G$255,MATCH('②建物情報 '!E664,'①基本情報 '!$E$2:$E$255,0),1)</f>
        <v>都市交通部交通政策室交通政策課</v>
      </c>
      <c r="G664" s="264" t="s">
        <v>1580</v>
      </c>
      <c r="H664" s="282"/>
      <c r="I664" s="301"/>
      <c r="J664" s="301"/>
      <c r="K664" s="265"/>
      <c r="L664" s="294"/>
      <c r="M664" s="302"/>
      <c r="N664" s="302"/>
      <c r="O664" s="295" t="s">
        <v>1812</v>
      </c>
      <c r="P664" s="296"/>
      <c r="Q664" s="296">
        <v>1</v>
      </c>
      <c r="R664" s="297"/>
      <c r="S664" s="298"/>
      <c r="T664" s="299" t="s">
        <v>825</v>
      </c>
      <c r="U664" s="299" t="s">
        <v>825</v>
      </c>
      <c r="V664" s="273"/>
      <c r="W664" s="303"/>
      <c r="X664" s="300"/>
      <c r="Y664" s="276" t="s">
        <v>1596</v>
      </c>
      <c r="Z664" s="265" t="s">
        <v>825</v>
      </c>
      <c r="AA664" s="265" t="s">
        <v>825</v>
      </c>
      <c r="AB664" s="265" t="s">
        <v>1587</v>
      </c>
      <c r="AC664" s="265" t="s">
        <v>1586</v>
      </c>
      <c r="AD664" s="265" t="s">
        <v>1586</v>
      </c>
      <c r="AE664" s="265" t="s">
        <v>1585</v>
      </c>
      <c r="AF664" s="265" t="s">
        <v>825</v>
      </c>
      <c r="AG664" s="265" t="s">
        <v>825</v>
      </c>
      <c r="AH664" s="265" t="s">
        <v>1585</v>
      </c>
      <c r="AI664" s="277">
        <v>55.625</v>
      </c>
      <c r="AJ664" s="280" t="s">
        <v>2335</v>
      </c>
      <c r="AK664" s="292"/>
    </row>
    <row r="665" spans="1:37" s="653" customFormat="1">
      <c r="A665" s="655">
        <v>2024</v>
      </c>
      <c r="B665" s="729" t="str">
        <f>INDEX('①基本情報 '!$C$2:$C$255,MATCH('②建物情報 '!E665,'①基本情報 '!$E$2:$E$255,0),1)</f>
        <v>234</v>
      </c>
      <c r="C665" s="657" t="str">
        <f>INDEX('①基本情報 '!$B$2:$B$255,MATCH('②建物情報 '!E665,'①基本情報 '!$E$2:$E$255,0),1)</f>
        <v>0297</v>
      </c>
      <c r="D665" s="261" t="s">
        <v>2418</v>
      </c>
      <c r="E665" s="262" t="s">
        <v>1455</v>
      </c>
      <c r="F665" s="263" t="str">
        <f>INDEX('①基本情報 '!$G$2:$G$255,MATCH('②建物情報 '!E665,'①基本情報 '!$E$2:$E$255,0),1)</f>
        <v>市民自治部環境クリーンセンター</v>
      </c>
      <c r="G665" s="264" t="s">
        <v>1580</v>
      </c>
      <c r="H665" s="282" t="s">
        <v>2227</v>
      </c>
      <c r="I665" s="265">
        <v>2004</v>
      </c>
      <c r="J665" s="265">
        <v>3</v>
      </c>
      <c r="K665" s="265">
        <f>IF(I665&lt;&gt;"",A665-I665,99)</f>
        <v>20</v>
      </c>
      <c r="L665" s="281"/>
      <c r="M665" s="267">
        <v>22</v>
      </c>
      <c r="N665" s="267">
        <v>22</v>
      </c>
      <c r="O665" s="268" t="s">
        <v>1812</v>
      </c>
      <c r="P665" s="269" t="s">
        <v>1603</v>
      </c>
      <c r="Q665" s="269"/>
      <c r="R665" s="270"/>
      <c r="S665" s="271"/>
      <c r="T665" s="272" t="s">
        <v>825</v>
      </c>
      <c r="U665" s="272" t="s">
        <v>825</v>
      </c>
      <c r="V665" s="273"/>
      <c r="W665" s="274"/>
      <c r="X665" s="275">
        <v>30</v>
      </c>
      <c r="Y665" s="276" t="s">
        <v>825</v>
      </c>
      <c r="Z665" s="265" t="s">
        <v>825</v>
      </c>
      <c r="AA665" s="265" t="s">
        <v>825</v>
      </c>
      <c r="AB665" s="265" t="s">
        <v>825</v>
      </c>
      <c r="AC665" s="265" t="s">
        <v>825</v>
      </c>
      <c r="AD665" s="265" t="s">
        <v>825</v>
      </c>
      <c r="AE665" s="265" t="s">
        <v>825</v>
      </c>
      <c r="AF665" s="265" t="s">
        <v>825</v>
      </c>
      <c r="AG665" s="265" t="s">
        <v>825</v>
      </c>
      <c r="AH665" s="265" t="s">
        <v>825</v>
      </c>
      <c r="AI665" s="277" t="s">
        <v>825</v>
      </c>
      <c r="AJ665" s="278" t="s">
        <v>1604</v>
      </c>
      <c r="AK665" s="696" t="s">
        <v>2332</v>
      </c>
    </row>
    <row r="666" spans="1:37" s="653" customFormat="1">
      <c r="A666" s="655">
        <v>2024</v>
      </c>
      <c r="B666" s="729" t="str">
        <f>INDEX('①基本情報 '!$C$2:$C$255,MATCH('②建物情報 '!E666,'①基本情報 '!$E$2:$E$255,0),1)</f>
        <v>234</v>
      </c>
      <c r="C666" s="657" t="str">
        <f>INDEX('①基本情報 '!$B$2:$B$255,MATCH('②建物情報 '!E666,'①基本情報 '!$E$2:$E$255,0),1)</f>
        <v>0297</v>
      </c>
      <c r="D666" s="261" t="s">
        <v>2418</v>
      </c>
      <c r="E666" s="262" t="s">
        <v>1455</v>
      </c>
      <c r="F666" s="263" t="str">
        <f>INDEX('①基本情報 '!$G$2:$G$255,MATCH('②建物情報 '!E666,'①基本情報 '!$E$2:$E$255,0),1)</f>
        <v>市民自治部環境クリーンセンター</v>
      </c>
      <c r="G666" s="264" t="s">
        <v>1589</v>
      </c>
      <c r="H666" s="282" t="s">
        <v>1655</v>
      </c>
      <c r="I666" s="265">
        <v>2004</v>
      </c>
      <c r="J666" s="265">
        <v>3</v>
      </c>
      <c r="K666" s="265">
        <f>IF(I666&lt;&gt;"",A666-I666,99)</f>
        <v>20</v>
      </c>
      <c r="L666" s="281"/>
      <c r="M666" s="267">
        <v>1.83</v>
      </c>
      <c r="N666" s="267">
        <v>1.83</v>
      </c>
      <c r="O666" s="268" t="s">
        <v>1812</v>
      </c>
      <c r="P666" s="269" t="s">
        <v>1603</v>
      </c>
      <c r="Q666" s="269"/>
      <c r="R666" s="270"/>
      <c r="S666" s="271"/>
      <c r="T666" s="272"/>
      <c r="U666" s="272"/>
      <c r="V666" s="273"/>
      <c r="W666" s="274"/>
      <c r="X666" s="275">
        <v>24</v>
      </c>
      <c r="Y666" s="276" t="s">
        <v>825</v>
      </c>
      <c r="Z666" s="265" t="s">
        <v>825</v>
      </c>
      <c r="AA666" s="265" t="s">
        <v>825</v>
      </c>
      <c r="AB666" s="265" t="s">
        <v>825</v>
      </c>
      <c r="AC666" s="265" t="s">
        <v>825</v>
      </c>
      <c r="AD666" s="265" t="s">
        <v>825</v>
      </c>
      <c r="AE666" s="265" t="s">
        <v>825</v>
      </c>
      <c r="AF666" s="265" t="s">
        <v>825</v>
      </c>
      <c r="AG666" s="265" t="s">
        <v>825</v>
      </c>
      <c r="AH666" s="265" t="s">
        <v>825</v>
      </c>
      <c r="AI666" s="277" t="s">
        <v>825</v>
      </c>
      <c r="AJ666" s="278" t="s">
        <v>1604</v>
      </c>
      <c r="AK666" s="696" t="s">
        <v>2332</v>
      </c>
    </row>
    <row r="667" spans="1:37" s="653" customFormat="1">
      <c r="A667" s="655">
        <v>2024</v>
      </c>
      <c r="B667" s="729" t="str">
        <f>INDEX('①基本情報 '!$C$2:$C$255,MATCH('②建物情報 '!E667,'①基本情報 '!$E$2:$E$255,0),1)</f>
        <v>235</v>
      </c>
      <c r="C667" s="657" t="str">
        <f>INDEX('①基本情報 '!$B$2:$B$255,MATCH('②建物情報 '!E667,'①基本情報 '!$E$2:$E$255,0),1)</f>
        <v>0298</v>
      </c>
      <c r="D667" s="261" t="s">
        <v>2418</v>
      </c>
      <c r="E667" s="262" t="s">
        <v>2125</v>
      </c>
      <c r="F667" s="263" t="str">
        <f>INDEX('①基本情報 '!$G$2:$G$255,MATCH('②建物情報 '!E667,'①基本情報 '!$E$2:$E$255,0),1)</f>
        <v>都市交通部交通政策室交通政策課</v>
      </c>
      <c r="G667" s="264" t="s">
        <v>1944</v>
      </c>
      <c r="H667" s="282" t="s">
        <v>2338</v>
      </c>
      <c r="I667" s="301">
        <v>2019</v>
      </c>
      <c r="J667" s="301">
        <v>3</v>
      </c>
      <c r="K667" s="265">
        <f>IF(I667&lt;&gt;"",A667-I667,99)</f>
        <v>5</v>
      </c>
      <c r="L667" s="294"/>
      <c r="M667" s="304"/>
      <c r="N667" s="304"/>
      <c r="O667" s="295"/>
      <c r="P667" s="296"/>
      <c r="Q667" s="296"/>
      <c r="R667" s="270"/>
      <c r="S667" s="271"/>
      <c r="T667" s="272"/>
      <c r="U667" s="272"/>
      <c r="V667" s="273"/>
      <c r="W667" s="274"/>
      <c r="X667" s="275"/>
      <c r="Y667" s="276" t="s">
        <v>825</v>
      </c>
      <c r="Z667" s="265" t="s">
        <v>825</v>
      </c>
      <c r="AA667" s="265" t="s">
        <v>825</v>
      </c>
      <c r="AB667" s="265" t="s">
        <v>825</v>
      </c>
      <c r="AC667" s="265" t="s">
        <v>825</v>
      </c>
      <c r="AD667" s="265" t="s">
        <v>825</v>
      </c>
      <c r="AE667" s="265" t="s">
        <v>825</v>
      </c>
      <c r="AF667" s="265" t="s">
        <v>825</v>
      </c>
      <c r="AG667" s="265" t="s">
        <v>825</v>
      </c>
      <c r="AH667" s="265" t="s">
        <v>825</v>
      </c>
      <c r="AI667" s="277" t="s">
        <v>825</v>
      </c>
      <c r="AJ667" s="278" t="s">
        <v>2337</v>
      </c>
      <c r="AK667" s="730" t="s">
        <v>2212</v>
      </c>
    </row>
    <row r="668" spans="1:37" s="653" customFormat="1">
      <c r="A668" s="655">
        <v>2024</v>
      </c>
      <c r="B668" s="729" t="str">
        <f>INDEX('①基本情報 '!$C$2:$C$255,MATCH('②建物情報 '!E668,'①基本情報 '!$E$2:$E$255,0),1)</f>
        <v>235</v>
      </c>
      <c r="C668" s="657" t="str">
        <f>INDEX('①基本情報 '!$B$2:$B$255,MATCH('②建物情報 '!E668,'①基本情報 '!$E$2:$E$255,0),1)</f>
        <v>0298</v>
      </c>
      <c r="D668" s="261" t="s">
        <v>2418</v>
      </c>
      <c r="E668" s="262" t="s">
        <v>2125</v>
      </c>
      <c r="F668" s="263" t="str">
        <f>INDEX('①基本情報 '!$G$2:$G$255,MATCH('②建物情報 '!E668,'①基本情報 '!$E$2:$E$255,0),1)</f>
        <v>都市交通部交通政策室交通政策課</v>
      </c>
      <c r="G668" s="264" t="s">
        <v>2126</v>
      </c>
      <c r="H668" s="282" t="s">
        <v>2211</v>
      </c>
      <c r="I668" s="265">
        <v>2019</v>
      </c>
      <c r="J668" s="265">
        <v>3</v>
      </c>
      <c r="K668" s="265">
        <f>IF(I668&lt;&gt;"",A668-I668,99)</f>
        <v>5</v>
      </c>
      <c r="L668" s="281"/>
      <c r="M668" s="267">
        <v>5.65</v>
      </c>
      <c r="N668" s="267">
        <v>5.65</v>
      </c>
      <c r="O668" s="268" t="s">
        <v>1812</v>
      </c>
      <c r="P668" s="269" t="s">
        <v>1614</v>
      </c>
      <c r="Q668" s="269">
        <v>1</v>
      </c>
      <c r="R668" s="270"/>
      <c r="S668" s="271"/>
      <c r="T668" s="272" t="s">
        <v>825</v>
      </c>
      <c r="U668" s="272" t="s">
        <v>825</v>
      </c>
      <c r="V668" s="273"/>
      <c r="W668" s="274"/>
      <c r="X668" s="275"/>
      <c r="Y668" s="276"/>
      <c r="Z668" s="265"/>
      <c r="AA668" s="265"/>
      <c r="AB668" s="265"/>
      <c r="AC668" s="265"/>
      <c r="AD668" s="265"/>
      <c r="AE668" s="265"/>
      <c r="AF668" s="265"/>
      <c r="AG668" s="265"/>
      <c r="AH668" s="265"/>
      <c r="AI668" s="277"/>
      <c r="AJ668" s="278" t="s">
        <v>2337</v>
      </c>
      <c r="AK668" s="292"/>
    </row>
    <row r="669" spans="1:37" s="653" customFormat="1">
      <c r="A669" s="655">
        <v>2024</v>
      </c>
      <c r="B669" s="729" t="str">
        <f>INDEX('①基本情報 '!$C$2:$C$255,MATCH('②建物情報 '!E669,'①基本情報 '!$E$2:$E$255,0),1)</f>
        <v>235</v>
      </c>
      <c r="C669" s="657" t="str">
        <f>INDEX('①基本情報 '!$B$2:$B$255,MATCH('②建物情報 '!E669,'①基本情報 '!$E$2:$E$255,0),1)</f>
        <v>0298</v>
      </c>
      <c r="D669" s="261" t="s">
        <v>2418</v>
      </c>
      <c r="E669" s="262" t="s">
        <v>2125</v>
      </c>
      <c r="F669" s="263" t="str">
        <f>INDEX('①基本情報 '!$G$2:$G$255,MATCH('②建物情報 '!E669,'①基本情報 '!$E$2:$E$255,0),1)</f>
        <v>都市交通部交通政策室交通政策課</v>
      </c>
      <c r="G669" s="264" t="s">
        <v>2126</v>
      </c>
      <c r="H669" s="282" t="s">
        <v>2127</v>
      </c>
      <c r="I669" s="265">
        <v>2019</v>
      </c>
      <c r="J669" s="265">
        <v>3</v>
      </c>
      <c r="K669" s="265">
        <f>IF(I669&lt;&gt;"",A669-I669,99)</f>
        <v>5</v>
      </c>
      <c r="L669" s="281"/>
      <c r="M669" s="267"/>
      <c r="N669" s="267"/>
      <c r="O669" s="268"/>
      <c r="P669" s="269"/>
      <c r="Q669" s="269"/>
      <c r="R669" s="270"/>
      <c r="S669" s="271"/>
      <c r="T669" s="272"/>
      <c r="U669" s="272"/>
      <c r="V669" s="273"/>
      <c r="W669" s="274"/>
      <c r="X669" s="275"/>
      <c r="Y669" s="276"/>
      <c r="Z669" s="265"/>
      <c r="AA669" s="265"/>
      <c r="AB669" s="265"/>
      <c r="AC669" s="265"/>
      <c r="AD669" s="265"/>
      <c r="AE669" s="265"/>
      <c r="AF669" s="265"/>
      <c r="AG669" s="265"/>
      <c r="AH669" s="265"/>
      <c r="AI669" s="277"/>
      <c r="AJ669" s="278" t="s">
        <v>2337</v>
      </c>
      <c r="AK669" s="292"/>
    </row>
    <row r="670" spans="1:37" s="653" customFormat="1">
      <c r="A670" s="655">
        <v>2024</v>
      </c>
      <c r="B670" s="656" t="str">
        <f>INDEX('①基本情報 '!$C$2:$C$255,MATCH('②建物情報 '!E670,'①基本情報 '!$E$2:$E$255,0),1)</f>
        <v>232</v>
      </c>
      <c r="C670" s="657" t="str">
        <f>INDEX('①基本情報 '!$B$2:$B$255,MATCH('②建物情報 '!E670,'①基本情報 '!$E$2:$E$255,0),1)</f>
        <v>0891</v>
      </c>
      <c r="D670" s="658" t="s">
        <v>2418</v>
      </c>
      <c r="E670" s="612" t="s">
        <v>1447</v>
      </c>
      <c r="F670" s="611" t="str">
        <f>INDEX('①基本情報 '!$G$2:$G$255,MATCH('②建物情報 '!E670,'①基本情報 '!$E$2:$E$255,0),1)</f>
        <v>都市交通部交通政策室交通政策課</v>
      </c>
      <c r="G670" s="678" t="s">
        <v>1580</v>
      </c>
      <c r="H670" s="700" t="s">
        <v>2210</v>
      </c>
      <c r="I670" s="707">
        <v>2000</v>
      </c>
      <c r="J670" s="707">
        <v>12</v>
      </c>
      <c r="K670" s="663">
        <f t="shared" si="10"/>
        <v>24</v>
      </c>
      <c r="L670" s="727"/>
      <c r="M670" s="708">
        <v>3024.11</v>
      </c>
      <c r="N670" s="708">
        <v>3024.11</v>
      </c>
      <c r="O670" s="709" t="s">
        <v>1812</v>
      </c>
      <c r="P670" s="284" t="s">
        <v>1581</v>
      </c>
      <c r="Q670" s="284"/>
      <c r="R670" s="285">
        <v>1</v>
      </c>
      <c r="S670" s="710" t="s">
        <v>1593</v>
      </c>
      <c r="T670" s="711" t="s">
        <v>825</v>
      </c>
      <c r="U670" s="711" t="s">
        <v>63</v>
      </c>
      <c r="V670" s="684"/>
      <c r="W670" s="712"/>
      <c r="X670" s="713">
        <v>38</v>
      </c>
      <c r="Y670" s="687"/>
      <c r="Z670" s="663"/>
      <c r="AA670" s="663"/>
      <c r="AB670" s="663"/>
      <c r="AC670" s="663"/>
      <c r="AD670" s="663"/>
      <c r="AE670" s="663"/>
      <c r="AF670" s="663"/>
      <c r="AG670" s="663"/>
      <c r="AH670" s="663"/>
      <c r="AI670" s="688"/>
      <c r="AJ670" s="689" t="s">
        <v>1588</v>
      </c>
      <c r="AK670" s="690"/>
    </row>
    <row r="671" spans="1:37" s="653" customFormat="1">
      <c r="A671" s="655">
        <v>2024</v>
      </c>
      <c r="B671" s="656" t="str">
        <f>INDEX('①基本情報 '!$C$2:$C$255,MATCH('②建物情報 '!E671,'①基本情報 '!$E$2:$E$255,0),1)</f>
        <v>236</v>
      </c>
      <c r="C671" s="657" t="str">
        <f>INDEX('①基本情報 '!$B$2:$B$255,MATCH('②建物情報 '!E671,'①基本情報 '!$E$2:$E$255,0),1)</f>
        <v>0404</v>
      </c>
      <c r="D671" s="658" t="s">
        <v>2418</v>
      </c>
      <c r="E671" s="612" t="s">
        <v>1461</v>
      </c>
      <c r="F671" s="611" t="str">
        <f>INDEX('①基本情報 '!$G$2:$G$255,MATCH('②建物情報 '!E671,'①基本情報 '!$E$2:$E$255,0),1)</f>
        <v>市民自治部環境クリーンセンター</v>
      </c>
      <c r="G671" s="678" t="s">
        <v>1580</v>
      </c>
      <c r="H671" s="612" t="s">
        <v>1623</v>
      </c>
      <c r="I671" s="663">
        <v>1975</v>
      </c>
      <c r="J671" s="663">
        <v>8</v>
      </c>
      <c r="K671" s="663">
        <f t="shared" si="10"/>
        <v>49</v>
      </c>
      <c r="L671" s="694">
        <v>675.06799999999998</v>
      </c>
      <c r="M671" s="680">
        <v>1380.06</v>
      </c>
      <c r="N671" s="680">
        <v>1380.06</v>
      </c>
      <c r="O671" s="681" t="s">
        <v>1812</v>
      </c>
      <c r="P671" s="259" t="s">
        <v>1581</v>
      </c>
      <c r="Q671" s="259">
        <v>3</v>
      </c>
      <c r="R671" s="260">
        <v>0</v>
      </c>
      <c r="S671" s="682" t="s">
        <v>1582</v>
      </c>
      <c r="T671" s="683"/>
      <c r="U671" s="683" t="s">
        <v>63</v>
      </c>
      <c r="V671" s="684"/>
      <c r="W671" s="685">
        <v>2023</v>
      </c>
      <c r="X671" s="686">
        <v>50</v>
      </c>
      <c r="Y671" s="687" t="s">
        <v>1585</v>
      </c>
      <c r="Z671" s="663" t="s">
        <v>1596</v>
      </c>
      <c r="AA671" s="663" t="s">
        <v>1587</v>
      </c>
      <c r="AB671" s="663" t="s">
        <v>825</v>
      </c>
      <c r="AC671" s="663" t="s">
        <v>1587</v>
      </c>
      <c r="AD671" s="663" t="s">
        <v>1587</v>
      </c>
      <c r="AE671" s="663" t="s">
        <v>1587</v>
      </c>
      <c r="AF671" s="663" t="s">
        <v>825</v>
      </c>
      <c r="AG671" s="663" t="s">
        <v>825</v>
      </c>
      <c r="AH671" s="663" t="s">
        <v>1596</v>
      </c>
      <c r="AI671" s="688">
        <v>37.575757575757571</v>
      </c>
      <c r="AJ671" s="689" t="s">
        <v>1588</v>
      </c>
      <c r="AK671" s="690"/>
    </row>
    <row r="672" spans="1:37" s="653" customFormat="1">
      <c r="A672" s="655">
        <v>2024</v>
      </c>
      <c r="B672" s="656" t="str">
        <f>INDEX('①基本情報 '!$C$2:$C$255,MATCH('②建物情報 '!E672,'①基本情報 '!$E$2:$E$255,0),1)</f>
        <v>236</v>
      </c>
      <c r="C672" s="657" t="str">
        <f>INDEX('①基本情報 '!$B$2:$B$255,MATCH('②建物情報 '!E672,'①基本情報 '!$E$2:$E$255,0),1)</f>
        <v>0404</v>
      </c>
      <c r="D672" s="658" t="s">
        <v>2418</v>
      </c>
      <c r="E672" s="612" t="s">
        <v>1461</v>
      </c>
      <c r="F672" s="611" t="str">
        <f>INDEX('①基本情報 '!$G$2:$G$255,MATCH('②建物情報 '!E672,'①基本情報 '!$E$2:$E$255,0),1)</f>
        <v>市民自治部環境クリーンセンター</v>
      </c>
      <c r="G672" s="678" t="s">
        <v>1589</v>
      </c>
      <c r="H672" s="612" t="s">
        <v>1760</v>
      </c>
      <c r="I672" s="663">
        <v>1991</v>
      </c>
      <c r="J672" s="663">
        <v>4</v>
      </c>
      <c r="K672" s="663">
        <f t="shared" si="10"/>
        <v>33</v>
      </c>
      <c r="L672" s="694">
        <v>284.39999999999998</v>
      </c>
      <c r="M672" s="680">
        <v>541.20000000000005</v>
      </c>
      <c r="N672" s="680">
        <v>541.20000000000005</v>
      </c>
      <c r="O672" s="681" t="s">
        <v>1812</v>
      </c>
      <c r="P672" s="259" t="s">
        <v>1761</v>
      </c>
      <c r="Q672" s="259">
        <v>2</v>
      </c>
      <c r="R672" s="260">
        <v>1</v>
      </c>
      <c r="S672" s="682" t="s">
        <v>1593</v>
      </c>
      <c r="T672" s="683" t="s">
        <v>825</v>
      </c>
      <c r="U672" s="683" t="s">
        <v>63</v>
      </c>
      <c r="V672" s="684"/>
      <c r="W672" s="685"/>
      <c r="X672" s="686">
        <v>38</v>
      </c>
      <c r="Y672" s="687" t="s">
        <v>1596</v>
      </c>
      <c r="Z672" s="663" t="s">
        <v>1586</v>
      </c>
      <c r="AA672" s="663" t="s">
        <v>1586</v>
      </c>
      <c r="AB672" s="663" t="s">
        <v>1587</v>
      </c>
      <c r="AC672" s="663" t="s">
        <v>1586</v>
      </c>
      <c r="AD672" s="663" t="s">
        <v>825</v>
      </c>
      <c r="AE672" s="663" t="s">
        <v>1586</v>
      </c>
      <c r="AF672" s="663" t="s">
        <v>825</v>
      </c>
      <c r="AG672" s="663" t="s">
        <v>825</v>
      </c>
      <c r="AH672" s="663" t="s">
        <v>1585</v>
      </c>
      <c r="AI672" s="688">
        <v>69.444444444444443</v>
      </c>
      <c r="AJ672" s="689" t="s">
        <v>1588</v>
      </c>
      <c r="AK672" s="690"/>
    </row>
    <row r="673" spans="1:37" s="653" customFormat="1">
      <c r="A673" s="655">
        <v>2024</v>
      </c>
      <c r="B673" s="729" t="str">
        <f>INDEX('①基本情報 '!$C$2:$C$255,MATCH('②建物情報 '!E673,'①基本情報 '!$E$2:$E$255,0),1)</f>
        <v>236</v>
      </c>
      <c r="C673" s="657" t="str">
        <f>INDEX('①基本情報 '!$B$2:$B$255,MATCH('②建物情報 '!E673,'①基本情報 '!$E$2:$E$255,0),1)</f>
        <v>0404</v>
      </c>
      <c r="D673" s="261" t="s">
        <v>2418</v>
      </c>
      <c r="E673" s="262" t="s">
        <v>1461</v>
      </c>
      <c r="F673" s="263" t="str">
        <f>INDEX('①基本情報 '!$G$2:$G$255,MATCH('②建物情報 '!E673,'①基本情報 '!$E$2:$E$255,0),1)</f>
        <v>市民自治部環境クリーンセンター</v>
      </c>
      <c r="G673" s="264" t="s">
        <v>1591</v>
      </c>
      <c r="H673" s="282" t="s">
        <v>1621</v>
      </c>
      <c r="I673" s="265">
        <v>1975</v>
      </c>
      <c r="J673" s="265">
        <v>8</v>
      </c>
      <c r="K673" s="265">
        <f t="shared" si="10"/>
        <v>49</v>
      </c>
      <c r="L673" s="281"/>
      <c r="M673" s="267">
        <v>32.5</v>
      </c>
      <c r="N673" s="267">
        <v>32.5</v>
      </c>
      <c r="O673" s="268" t="s">
        <v>1812</v>
      </c>
      <c r="P673" s="269" t="s">
        <v>1581</v>
      </c>
      <c r="Q673" s="269"/>
      <c r="R673" s="270"/>
      <c r="S673" s="271"/>
      <c r="T673" s="272"/>
      <c r="U673" s="272"/>
      <c r="V673" s="273"/>
      <c r="W673" s="274"/>
      <c r="X673" s="275">
        <v>38</v>
      </c>
      <c r="Y673" s="276" t="s">
        <v>825</v>
      </c>
      <c r="Z673" s="265" t="s">
        <v>825</v>
      </c>
      <c r="AA673" s="265" t="s">
        <v>825</v>
      </c>
      <c r="AB673" s="265" t="s">
        <v>825</v>
      </c>
      <c r="AC673" s="265" t="s">
        <v>825</v>
      </c>
      <c r="AD673" s="265" t="s">
        <v>825</v>
      </c>
      <c r="AE673" s="265" t="s">
        <v>825</v>
      </c>
      <c r="AF673" s="265" t="s">
        <v>825</v>
      </c>
      <c r="AG673" s="265" t="s">
        <v>825</v>
      </c>
      <c r="AH673" s="265" t="s">
        <v>825</v>
      </c>
      <c r="AI673" s="277" t="s">
        <v>825</v>
      </c>
      <c r="AJ673" s="278" t="s">
        <v>1604</v>
      </c>
      <c r="AK673" s="696" t="s">
        <v>2332</v>
      </c>
    </row>
    <row r="674" spans="1:37" s="653" customFormat="1">
      <c r="A674" s="655">
        <v>2024</v>
      </c>
      <c r="B674" s="729" t="str">
        <f>INDEX('①基本情報 '!$C$2:$C$255,MATCH('②建物情報 '!E674,'①基本情報 '!$E$2:$E$255,0),1)</f>
        <v>236</v>
      </c>
      <c r="C674" s="657" t="str">
        <f>INDEX('①基本情報 '!$B$2:$B$255,MATCH('②建物情報 '!E674,'①基本情報 '!$E$2:$E$255,0),1)</f>
        <v>0404</v>
      </c>
      <c r="D674" s="261" t="s">
        <v>2418</v>
      </c>
      <c r="E674" s="262" t="s">
        <v>1461</v>
      </c>
      <c r="F674" s="263" t="str">
        <f>INDEX('①基本情報 '!$G$2:$G$255,MATCH('②建物情報 '!E674,'①基本情報 '!$E$2:$E$255,0),1)</f>
        <v>市民自治部環境クリーンセンター</v>
      </c>
      <c r="G674" s="264" t="s">
        <v>1601</v>
      </c>
      <c r="H674" s="282" t="s">
        <v>1621</v>
      </c>
      <c r="I674" s="265">
        <v>1975</v>
      </c>
      <c r="J674" s="265">
        <v>8</v>
      </c>
      <c r="K674" s="265">
        <f t="shared" si="10"/>
        <v>49</v>
      </c>
      <c r="L674" s="281"/>
      <c r="M674" s="267">
        <v>32.5</v>
      </c>
      <c r="N674" s="267">
        <v>32.5</v>
      </c>
      <c r="O674" s="268" t="s">
        <v>1812</v>
      </c>
      <c r="P674" s="269" t="s">
        <v>1581</v>
      </c>
      <c r="Q674" s="269"/>
      <c r="R674" s="270"/>
      <c r="S674" s="271"/>
      <c r="T674" s="272"/>
      <c r="U674" s="272"/>
      <c r="V674" s="273"/>
      <c r="W674" s="274"/>
      <c r="X674" s="275">
        <v>38</v>
      </c>
      <c r="Y674" s="276" t="s">
        <v>825</v>
      </c>
      <c r="Z674" s="265" t="s">
        <v>825</v>
      </c>
      <c r="AA674" s="265" t="s">
        <v>825</v>
      </c>
      <c r="AB674" s="265" t="s">
        <v>825</v>
      </c>
      <c r="AC674" s="265" t="s">
        <v>825</v>
      </c>
      <c r="AD674" s="265" t="s">
        <v>825</v>
      </c>
      <c r="AE674" s="265" t="s">
        <v>825</v>
      </c>
      <c r="AF674" s="265" t="s">
        <v>825</v>
      </c>
      <c r="AG674" s="265" t="s">
        <v>825</v>
      </c>
      <c r="AH674" s="265" t="s">
        <v>825</v>
      </c>
      <c r="AI674" s="277" t="s">
        <v>825</v>
      </c>
      <c r="AJ674" s="278" t="s">
        <v>1604</v>
      </c>
      <c r="AK674" s="696" t="s">
        <v>2332</v>
      </c>
    </row>
    <row r="675" spans="1:37" s="653" customFormat="1">
      <c r="A675" s="655">
        <v>2024</v>
      </c>
      <c r="B675" s="729" t="str">
        <f>INDEX('①基本情報 '!$C$2:$C$255,MATCH('②建物情報 '!E675,'①基本情報 '!$E$2:$E$255,0),1)</f>
        <v>236</v>
      </c>
      <c r="C675" s="657" t="str">
        <f>INDEX('①基本情報 '!$B$2:$B$255,MATCH('②建物情報 '!E675,'①基本情報 '!$E$2:$E$255,0),1)</f>
        <v>0404</v>
      </c>
      <c r="D675" s="261" t="s">
        <v>2418</v>
      </c>
      <c r="E675" s="262" t="s">
        <v>1461</v>
      </c>
      <c r="F675" s="263" t="str">
        <f>INDEX('①基本情報 '!$G$2:$G$255,MATCH('②建物情報 '!E675,'①基本情報 '!$E$2:$E$255,0),1)</f>
        <v>市民自治部環境クリーンセンター</v>
      </c>
      <c r="G675" s="264" t="s">
        <v>1620</v>
      </c>
      <c r="H675" s="282" t="s">
        <v>1762</v>
      </c>
      <c r="I675" s="265">
        <v>1999</v>
      </c>
      <c r="J675" s="265">
        <v>3</v>
      </c>
      <c r="K675" s="265">
        <f t="shared" si="10"/>
        <v>25</v>
      </c>
      <c r="L675" s="281"/>
      <c r="M675" s="267">
        <v>57.51</v>
      </c>
      <c r="N675" s="267">
        <v>57.51</v>
      </c>
      <c r="O675" s="268" t="s">
        <v>1812</v>
      </c>
      <c r="P675" s="269" t="s">
        <v>1581</v>
      </c>
      <c r="Q675" s="269"/>
      <c r="R675" s="270"/>
      <c r="S675" s="271"/>
      <c r="T675" s="272"/>
      <c r="U675" s="272"/>
      <c r="V675" s="273"/>
      <c r="W675" s="274"/>
      <c r="X675" s="275">
        <v>38</v>
      </c>
      <c r="Y675" s="276" t="s">
        <v>825</v>
      </c>
      <c r="Z675" s="265" t="s">
        <v>825</v>
      </c>
      <c r="AA675" s="265" t="s">
        <v>825</v>
      </c>
      <c r="AB675" s="265" t="s">
        <v>825</v>
      </c>
      <c r="AC675" s="265" t="s">
        <v>825</v>
      </c>
      <c r="AD675" s="265" t="s">
        <v>825</v>
      </c>
      <c r="AE675" s="265" t="s">
        <v>825</v>
      </c>
      <c r="AF675" s="265" t="s">
        <v>825</v>
      </c>
      <c r="AG675" s="265" t="s">
        <v>825</v>
      </c>
      <c r="AH675" s="265" t="s">
        <v>825</v>
      </c>
      <c r="AI675" s="277" t="s">
        <v>825</v>
      </c>
      <c r="AJ675" s="278" t="s">
        <v>1721</v>
      </c>
      <c r="AK675" s="292" t="s">
        <v>2334</v>
      </c>
    </row>
    <row r="676" spans="1:37" s="653" customFormat="1">
      <c r="A676" s="655">
        <v>2024</v>
      </c>
      <c r="B676" s="729" t="str">
        <f>INDEX('①基本情報 '!$C$2:$C$255,MATCH('②建物情報 '!E676,'①基本情報 '!$E$2:$E$255,0),1)</f>
        <v>236</v>
      </c>
      <c r="C676" s="657" t="str">
        <f>INDEX('①基本情報 '!$B$2:$B$255,MATCH('②建物情報 '!E676,'①基本情報 '!$E$2:$E$255,0),1)</f>
        <v>0404</v>
      </c>
      <c r="D676" s="261" t="s">
        <v>2418</v>
      </c>
      <c r="E676" s="262" t="s">
        <v>1461</v>
      </c>
      <c r="F676" s="263" t="str">
        <f>INDEX('①基本情報 '!$G$2:$G$255,MATCH('②建物情報 '!E676,'①基本情報 '!$E$2:$E$255,0),1)</f>
        <v>市民自治部環境クリーンセンター</v>
      </c>
      <c r="G676" s="264" t="s">
        <v>1643</v>
      </c>
      <c r="H676" s="282" t="s">
        <v>2449</v>
      </c>
      <c r="I676" s="265">
        <v>1975</v>
      </c>
      <c r="J676" s="265">
        <v>8</v>
      </c>
      <c r="K676" s="265">
        <f t="shared" si="10"/>
        <v>49</v>
      </c>
      <c r="L676" s="281"/>
      <c r="M676" s="267">
        <v>6.72</v>
      </c>
      <c r="N676" s="267">
        <v>6.72</v>
      </c>
      <c r="O676" s="268" t="s">
        <v>1812</v>
      </c>
      <c r="P676" s="269" t="s">
        <v>1617</v>
      </c>
      <c r="Q676" s="269"/>
      <c r="R676" s="270"/>
      <c r="S676" s="271"/>
      <c r="T676" s="272"/>
      <c r="U676" s="272"/>
      <c r="V676" s="273"/>
      <c r="W676" s="274"/>
      <c r="X676" s="275">
        <v>34</v>
      </c>
      <c r="Y676" s="276" t="s">
        <v>825</v>
      </c>
      <c r="Z676" s="265" t="s">
        <v>825</v>
      </c>
      <c r="AA676" s="265" t="s">
        <v>825</v>
      </c>
      <c r="AB676" s="265" t="s">
        <v>825</v>
      </c>
      <c r="AC676" s="265" t="s">
        <v>825</v>
      </c>
      <c r="AD676" s="265" t="s">
        <v>825</v>
      </c>
      <c r="AE676" s="265" t="s">
        <v>825</v>
      </c>
      <c r="AF676" s="265" t="s">
        <v>825</v>
      </c>
      <c r="AG676" s="265" t="s">
        <v>825</v>
      </c>
      <c r="AH676" s="265" t="s">
        <v>825</v>
      </c>
      <c r="AI676" s="277" t="s">
        <v>825</v>
      </c>
      <c r="AJ676" s="278" t="s">
        <v>1604</v>
      </c>
      <c r="AK676" s="696" t="s">
        <v>2332</v>
      </c>
    </row>
    <row r="677" spans="1:37" s="653" customFormat="1">
      <c r="A677" s="655">
        <v>2024</v>
      </c>
      <c r="B677" s="729" t="str">
        <f>INDEX('①基本情報 '!$C$2:$C$255,MATCH('②建物情報 '!E677,'①基本情報 '!$E$2:$E$255,0),1)</f>
        <v>236</v>
      </c>
      <c r="C677" s="657" t="str">
        <f>INDEX('①基本情報 '!$B$2:$B$255,MATCH('②建物情報 '!E677,'①基本情報 '!$E$2:$E$255,0),1)</f>
        <v>0404</v>
      </c>
      <c r="D677" s="261" t="s">
        <v>2418</v>
      </c>
      <c r="E677" s="262" t="s">
        <v>1461</v>
      </c>
      <c r="F677" s="263" t="str">
        <f>INDEX('①基本情報 '!$G$2:$G$255,MATCH('②建物情報 '!E677,'①基本情報 '!$E$2:$E$255,0),1)</f>
        <v>市民自治部環境クリーンセンター</v>
      </c>
      <c r="G677" s="264" t="s">
        <v>1645</v>
      </c>
      <c r="H677" s="282" t="s">
        <v>1763</v>
      </c>
      <c r="I677" s="265">
        <v>1976</v>
      </c>
      <c r="J677" s="265">
        <v>1</v>
      </c>
      <c r="K677" s="265">
        <f t="shared" si="10"/>
        <v>48</v>
      </c>
      <c r="L677" s="281"/>
      <c r="M677" s="267">
        <v>293.22000000000003</v>
      </c>
      <c r="N677" s="267">
        <v>293.22000000000003</v>
      </c>
      <c r="O677" s="268" t="s">
        <v>1812</v>
      </c>
      <c r="P677" s="269" t="s">
        <v>1603</v>
      </c>
      <c r="Q677" s="269"/>
      <c r="R677" s="270"/>
      <c r="S677" s="271"/>
      <c r="T677" s="272"/>
      <c r="U677" s="272"/>
      <c r="V677" s="273"/>
      <c r="W677" s="274"/>
      <c r="X677" s="275">
        <v>31</v>
      </c>
      <c r="Y677" s="276" t="s">
        <v>825</v>
      </c>
      <c r="Z677" s="265" t="s">
        <v>825</v>
      </c>
      <c r="AA677" s="265" t="s">
        <v>825</v>
      </c>
      <c r="AB677" s="265" t="s">
        <v>825</v>
      </c>
      <c r="AC677" s="265" t="s">
        <v>825</v>
      </c>
      <c r="AD677" s="265" t="s">
        <v>825</v>
      </c>
      <c r="AE677" s="265" t="s">
        <v>825</v>
      </c>
      <c r="AF677" s="265" t="s">
        <v>825</v>
      </c>
      <c r="AG677" s="265" t="s">
        <v>825</v>
      </c>
      <c r="AH677" s="265" t="s">
        <v>825</v>
      </c>
      <c r="AI677" s="277" t="s">
        <v>825</v>
      </c>
      <c r="AJ677" s="278" t="s">
        <v>1721</v>
      </c>
      <c r="AK677" s="292" t="s">
        <v>2334</v>
      </c>
    </row>
    <row r="678" spans="1:37" s="653" customFormat="1">
      <c r="A678" s="655">
        <v>2024</v>
      </c>
      <c r="B678" s="729" t="str">
        <f>INDEX('①基本情報 '!$C$2:$C$255,MATCH('②建物情報 '!E678,'①基本情報 '!$E$2:$E$255,0),1)</f>
        <v>236</v>
      </c>
      <c r="C678" s="657" t="str">
        <f>INDEX('①基本情報 '!$B$2:$B$255,MATCH('②建物情報 '!E678,'①基本情報 '!$E$2:$E$255,0),1)</f>
        <v>0404</v>
      </c>
      <c r="D678" s="261" t="s">
        <v>2418</v>
      </c>
      <c r="E678" s="262" t="s">
        <v>1461</v>
      </c>
      <c r="F678" s="263" t="str">
        <f>INDEX('①基本情報 '!$G$2:$G$255,MATCH('②建物情報 '!E678,'①基本情報 '!$E$2:$E$255,0),1)</f>
        <v>市民自治部環境クリーンセンター</v>
      </c>
      <c r="G678" s="264" t="s">
        <v>1646</v>
      </c>
      <c r="H678" s="282" t="s">
        <v>1764</v>
      </c>
      <c r="I678" s="265">
        <v>1976</v>
      </c>
      <c r="J678" s="265">
        <v>1</v>
      </c>
      <c r="K678" s="265">
        <f t="shared" si="10"/>
        <v>48</v>
      </c>
      <c r="L678" s="281"/>
      <c r="M678" s="267">
        <v>223.56</v>
      </c>
      <c r="N678" s="267">
        <v>223.56</v>
      </c>
      <c r="O678" s="268" t="s">
        <v>1812</v>
      </c>
      <c r="P678" s="269" t="s">
        <v>1603</v>
      </c>
      <c r="Q678" s="269"/>
      <c r="R678" s="270"/>
      <c r="S678" s="271"/>
      <c r="T678" s="272"/>
      <c r="U678" s="272"/>
      <c r="V678" s="273"/>
      <c r="W678" s="274"/>
      <c r="X678" s="275">
        <v>31</v>
      </c>
      <c r="Y678" s="276" t="s">
        <v>825</v>
      </c>
      <c r="Z678" s="265" t="s">
        <v>825</v>
      </c>
      <c r="AA678" s="265" t="s">
        <v>825</v>
      </c>
      <c r="AB678" s="265" t="s">
        <v>825</v>
      </c>
      <c r="AC678" s="265" t="s">
        <v>825</v>
      </c>
      <c r="AD678" s="265" t="s">
        <v>825</v>
      </c>
      <c r="AE678" s="265" t="s">
        <v>825</v>
      </c>
      <c r="AF678" s="265" t="s">
        <v>825</v>
      </c>
      <c r="AG678" s="265" t="s">
        <v>825</v>
      </c>
      <c r="AH678" s="265" t="s">
        <v>825</v>
      </c>
      <c r="AI678" s="277" t="s">
        <v>825</v>
      </c>
      <c r="AJ678" s="278" t="s">
        <v>1721</v>
      </c>
      <c r="AK678" s="292" t="s">
        <v>2334</v>
      </c>
    </row>
    <row r="679" spans="1:37" s="653" customFormat="1">
      <c r="A679" s="655">
        <v>2024</v>
      </c>
      <c r="B679" s="729" t="str">
        <f>INDEX('①基本情報 '!$C$2:$C$255,MATCH('②建物情報 '!E679,'①基本情報 '!$E$2:$E$255,0),1)</f>
        <v>236</v>
      </c>
      <c r="C679" s="657" t="str">
        <f>INDEX('①基本情報 '!$B$2:$B$255,MATCH('②建物情報 '!E679,'①基本情報 '!$E$2:$E$255,0),1)</f>
        <v>0404</v>
      </c>
      <c r="D679" s="261" t="s">
        <v>2418</v>
      </c>
      <c r="E679" s="262" t="s">
        <v>1461</v>
      </c>
      <c r="F679" s="263" t="str">
        <f>INDEX('①基本情報 '!$G$2:$G$255,MATCH('②建物情報 '!E679,'①基本情報 '!$E$2:$E$255,0),1)</f>
        <v>市民自治部環境クリーンセンター</v>
      </c>
      <c r="G679" s="264" t="s">
        <v>1647</v>
      </c>
      <c r="H679" s="282" t="s">
        <v>1765</v>
      </c>
      <c r="I679" s="265">
        <v>1976</v>
      </c>
      <c r="J679" s="265">
        <v>1</v>
      </c>
      <c r="K679" s="265">
        <f t="shared" si="10"/>
        <v>48</v>
      </c>
      <c r="L679" s="281"/>
      <c r="M679" s="267">
        <v>50.63</v>
      </c>
      <c r="N679" s="267">
        <v>50.63</v>
      </c>
      <c r="O679" s="268" t="s">
        <v>1812</v>
      </c>
      <c r="P679" s="269" t="s">
        <v>1603</v>
      </c>
      <c r="Q679" s="269"/>
      <c r="R679" s="270"/>
      <c r="S679" s="271"/>
      <c r="T679" s="272"/>
      <c r="U679" s="272"/>
      <c r="V679" s="273"/>
      <c r="W679" s="274"/>
      <c r="X679" s="275">
        <v>31</v>
      </c>
      <c r="Y679" s="276" t="s">
        <v>825</v>
      </c>
      <c r="Z679" s="265" t="s">
        <v>825</v>
      </c>
      <c r="AA679" s="265" t="s">
        <v>825</v>
      </c>
      <c r="AB679" s="265" t="s">
        <v>825</v>
      </c>
      <c r="AC679" s="265" t="s">
        <v>825</v>
      </c>
      <c r="AD679" s="265" t="s">
        <v>825</v>
      </c>
      <c r="AE679" s="265" t="s">
        <v>825</v>
      </c>
      <c r="AF679" s="265" t="s">
        <v>825</v>
      </c>
      <c r="AG679" s="265" t="s">
        <v>825</v>
      </c>
      <c r="AH679" s="265" t="s">
        <v>825</v>
      </c>
      <c r="AI679" s="277" t="s">
        <v>825</v>
      </c>
      <c r="AJ679" s="278" t="s">
        <v>1721</v>
      </c>
      <c r="AK679" s="292" t="s">
        <v>2334</v>
      </c>
    </row>
    <row r="680" spans="1:37" s="653" customFormat="1">
      <c r="A680" s="655">
        <v>2024</v>
      </c>
      <c r="B680" s="729" t="str">
        <f>INDEX('①基本情報 '!$C$2:$C$255,MATCH('②建物情報 '!E680,'①基本情報 '!$E$2:$E$255,0),1)</f>
        <v>236</v>
      </c>
      <c r="C680" s="657" t="str">
        <f>INDEX('①基本情報 '!$B$2:$B$255,MATCH('②建物情報 '!E680,'①基本情報 '!$E$2:$E$255,0),1)</f>
        <v>0404</v>
      </c>
      <c r="D680" s="261" t="s">
        <v>2418</v>
      </c>
      <c r="E680" s="262" t="s">
        <v>1461</v>
      </c>
      <c r="F680" s="263" t="str">
        <f>INDEX('①基本情報 '!$G$2:$G$255,MATCH('②建物情報 '!E680,'①基本情報 '!$E$2:$E$255,0),1)</f>
        <v>市民自治部環境クリーンセンター</v>
      </c>
      <c r="G680" s="264" t="s">
        <v>162</v>
      </c>
      <c r="H680" s="282" t="s">
        <v>1766</v>
      </c>
      <c r="I680" s="265">
        <v>1991</v>
      </c>
      <c r="J680" s="265">
        <v>3</v>
      </c>
      <c r="K680" s="265">
        <f t="shared" si="10"/>
        <v>33</v>
      </c>
      <c r="L680" s="281"/>
      <c r="M680" s="267">
        <v>116.88</v>
      </c>
      <c r="N680" s="267">
        <v>116.88</v>
      </c>
      <c r="O680" s="268" t="s">
        <v>1812</v>
      </c>
      <c r="P680" s="269" t="s">
        <v>1603</v>
      </c>
      <c r="Q680" s="269"/>
      <c r="R680" s="270"/>
      <c r="S680" s="271"/>
      <c r="T680" s="272"/>
      <c r="U680" s="272"/>
      <c r="V680" s="273"/>
      <c r="W680" s="274"/>
      <c r="X680" s="275">
        <v>31</v>
      </c>
      <c r="Y680" s="276" t="s">
        <v>825</v>
      </c>
      <c r="Z680" s="265" t="s">
        <v>825</v>
      </c>
      <c r="AA680" s="265" t="s">
        <v>825</v>
      </c>
      <c r="AB680" s="265" t="s">
        <v>825</v>
      </c>
      <c r="AC680" s="265" t="s">
        <v>825</v>
      </c>
      <c r="AD680" s="265" t="s">
        <v>825</v>
      </c>
      <c r="AE680" s="265" t="s">
        <v>825</v>
      </c>
      <c r="AF680" s="265" t="s">
        <v>825</v>
      </c>
      <c r="AG680" s="265" t="s">
        <v>825</v>
      </c>
      <c r="AH680" s="265" t="s">
        <v>825</v>
      </c>
      <c r="AI680" s="277" t="s">
        <v>825</v>
      </c>
      <c r="AJ680" s="278" t="s">
        <v>1721</v>
      </c>
      <c r="AK680" s="292" t="s">
        <v>2334</v>
      </c>
    </row>
    <row r="681" spans="1:37" s="653" customFormat="1">
      <c r="A681" s="655">
        <v>2024</v>
      </c>
      <c r="B681" s="729" t="str">
        <f>INDEX('①基本情報 '!$C$2:$C$255,MATCH('②建物情報 '!E681,'①基本情報 '!$E$2:$E$255,0),1)</f>
        <v>236</v>
      </c>
      <c r="C681" s="657" t="str">
        <f>INDEX('①基本情報 '!$B$2:$B$255,MATCH('②建物情報 '!E681,'①基本情報 '!$E$2:$E$255,0),1)</f>
        <v>0404</v>
      </c>
      <c r="D681" s="261" t="s">
        <v>2418</v>
      </c>
      <c r="E681" s="262" t="s">
        <v>2678</v>
      </c>
      <c r="F681" s="263" t="str">
        <f>INDEX('①基本情報 '!$G$2:$G$255,MATCH('②建物情報 '!E681,'①基本情報 '!$E$2:$E$255,0),1)</f>
        <v>市民自治部環境クリーンセンター</v>
      </c>
      <c r="G681" s="264" t="s">
        <v>1652</v>
      </c>
      <c r="H681" s="282" t="s">
        <v>1767</v>
      </c>
      <c r="I681" s="265">
        <v>1991</v>
      </c>
      <c r="J681" s="265">
        <v>3</v>
      </c>
      <c r="K681" s="265">
        <f t="shared" si="10"/>
        <v>33</v>
      </c>
      <c r="L681" s="281"/>
      <c r="M681" s="267">
        <v>170.45</v>
      </c>
      <c r="N681" s="267">
        <v>170.45</v>
      </c>
      <c r="O681" s="268" t="s">
        <v>1812</v>
      </c>
      <c r="P681" s="269" t="s">
        <v>1603</v>
      </c>
      <c r="Q681" s="269"/>
      <c r="R681" s="270"/>
      <c r="S681" s="271"/>
      <c r="T681" s="272"/>
      <c r="U681" s="272"/>
      <c r="V681" s="273"/>
      <c r="W681" s="274"/>
      <c r="X681" s="275">
        <v>31</v>
      </c>
      <c r="Y681" s="276" t="s">
        <v>825</v>
      </c>
      <c r="Z681" s="265" t="s">
        <v>825</v>
      </c>
      <c r="AA681" s="265" t="s">
        <v>825</v>
      </c>
      <c r="AB681" s="265" t="s">
        <v>825</v>
      </c>
      <c r="AC681" s="265" t="s">
        <v>825</v>
      </c>
      <c r="AD681" s="265" t="s">
        <v>825</v>
      </c>
      <c r="AE681" s="265" t="s">
        <v>825</v>
      </c>
      <c r="AF681" s="265" t="s">
        <v>825</v>
      </c>
      <c r="AG681" s="265" t="s">
        <v>825</v>
      </c>
      <c r="AH681" s="265" t="s">
        <v>825</v>
      </c>
      <c r="AI681" s="277" t="s">
        <v>825</v>
      </c>
      <c r="AJ681" s="278" t="s">
        <v>1721</v>
      </c>
      <c r="AK681" s="292" t="s">
        <v>2334</v>
      </c>
    </row>
    <row r="682" spans="1:37" s="653" customFormat="1">
      <c r="A682" s="655">
        <v>2024</v>
      </c>
      <c r="B682" s="729" t="str">
        <f>INDEX('①基本情報 '!$C$2:$C$255,MATCH('②建物情報 '!E682,'①基本情報 '!$E$2:$E$255,0),1)</f>
        <v>236</v>
      </c>
      <c r="C682" s="657" t="str">
        <f>INDEX('①基本情報 '!$B$2:$B$255,MATCH('②建物情報 '!E682,'①基本情報 '!$E$2:$E$255,0),1)</f>
        <v>0404</v>
      </c>
      <c r="D682" s="261" t="s">
        <v>2418</v>
      </c>
      <c r="E682" s="262" t="s">
        <v>1461</v>
      </c>
      <c r="F682" s="263" t="str">
        <f>INDEX('①基本情報 '!$G$2:$G$255,MATCH('②建物情報 '!E682,'①基本情報 '!$E$2:$E$255,0),1)</f>
        <v>市民自治部環境クリーンセンター</v>
      </c>
      <c r="G682" s="264" t="s">
        <v>861</v>
      </c>
      <c r="H682" s="282" t="s">
        <v>1768</v>
      </c>
      <c r="I682" s="265">
        <v>1991</v>
      </c>
      <c r="J682" s="265">
        <v>3</v>
      </c>
      <c r="K682" s="265">
        <f t="shared" si="10"/>
        <v>33</v>
      </c>
      <c r="L682" s="281"/>
      <c r="M682" s="267">
        <v>44.55</v>
      </c>
      <c r="N682" s="267">
        <v>44.55</v>
      </c>
      <c r="O682" s="268" t="s">
        <v>1812</v>
      </c>
      <c r="P682" s="269" t="s">
        <v>1603</v>
      </c>
      <c r="Q682" s="269"/>
      <c r="R682" s="270"/>
      <c r="S682" s="271"/>
      <c r="T682" s="272"/>
      <c r="U682" s="272"/>
      <c r="V682" s="273"/>
      <c r="W682" s="274"/>
      <c r="X682" s="275">
        <v>31</v>
      </c>
      <c r="Y682" s="276" t="s">
        <v>825</v>
      </c>
      <c r="Z682" s="265" t="s">
        <v>825</v>
      </c>
      <c r="AA682" s="265" t="s">
        <v>825</v>
      </c>
      <c r="AB682" s="265" t="s">
        <v>825</v>
      </c>
      <c r="AC682" s="265" t="s">
        <v>825</v>
      </c>
      <c r="AD682" s="265" t="s">
        <v>825</v>
      </c>
      <c r="AE682" s="265" t="s">
        <v>825</v>
      </c>
      <c r="AF682" s="265" t="s">
        <v>825</v>
      </c>
      <c r="AG682" s="265" t="s">
        <v>825</v>
      </c>
      <c r="AH682" s="265" t="s">
        <v>825</v>
      </c>
      <c r="AI682" s="277" t="s">
        <v>825</v>
      </c>
      <c r="AJ682" s="278" t="s">
        <v>1604</v>
      </c>
      <c r="AK682" s="696" t="s">
        <v>2332</v>
      </c>
    </row>
    <row r="683" spans="1:37" s="653" customFormat="1">
      <c r="A683" s="655">
        <v>2024</v>
      </c>
      <c r="B683" s="729" t="str">
        <f>INDEX('①基本情報 '!$C$2:$C$255,MATCH('②建物情報 '!E683,'①基本情報 '!$E$2:$E$255,0),1)</f>
        <v>236</v>
      </c>
      <c r="C683" s="657" t="str">
        <f>INDEX('①基本情報 '!$B$2:$B$255,MATCH('②建物情報 '!E683,'①基本情報 '!$E$2:$E$255,0),1)</f>
        <v>0404</v>
      </c>
      <c r="D683" s="261" t="s">
        <v>2418</v>
      </c>
      <c r="E683" s="262" t="s">
        <v>1461</v>
      </c>
      <c r="F683" s="263" t="str">
        <f>INDEX('①基本情報 '!$G$2:$G$255,MATCH('②建物情報 '!E683,'①基本情報 '!$E$2:$E$255,0),1)</f>
        <v>市民自治部環境クリーンセンター</v>
      </c>
      <c r="G683" s="264" t="s">
        <v>338</v>
      </c>
      <c r="H683" s="282" t="s">
        <v>1769</v>
      </c>
      <c r="I683" s="265">
        <v>1976</v>
      </c>
      <c r="J683" s="265">
        <v>1</v>
      </c>
      <c r="K683" s="265">
        <f t="shared" si="10"/>
        <v>48</v>
      </c>
      <c r="L683" s="281"/>
      <c r="M683" s="267">
        <v>46.88</v>
      </c>
      <c r="N683" s="267">
        <v>46.88</v>
      </c>
      <c r="O683" s="268" t="s">
        <v>1812</v>
      </c>
      <c r="P683" s="269" t="s">
        <v>1617</v>
      </c>
      <c r="Q683" s="269"/>
      <c r="R683" s="270"/>
      <c r="S683" s="271"/>
      <c r="T683" s="272"/>
      <c r="U683" s="272"/>
      <c r="V683" s="273"/>
      <c r="W683" s="274"/>
      <c r="X683" s="275">
        <v>34</v>
      </c>
      <c r="Y683" s="276" t="s">
        <v>825</v>
      </c>
      <c r="Z683" s="265" t="s">
        <v>825</v>
      </c>
      <c r="AA683" s="265" t="s">
        <v>825</v>
      </c>
      <c r="AB683" s="265" t="s">
        <v>825</v>
      </c>
      <c r="AC683" s="265" t="s">
        <v>825</v>
      </c>
      <c r="AD683" s="265" t="s">
        <v>825</v>
      </c>
      <c r="AE683" s="265" t="s">
        <v>825</v>
      </c>
      <c r="AF683" s="265" t="s">
        <v>825</v>
      </c>
      <c r="AG683" s="265" t="s">
        <v>825</v>
      </c>
      <c r="AH683" s="265" t="s">
        <v>825</v>
      </c>
      <c r="AI683" s="277" t="s">
        <v>825</v>
      </c>
      <c r="AJ683" s="278" t="s">
        <v>1604</v>
      </c>
      <c r="AK683" s="696" t="s">
        <v>2332</v>
      </c>
    </row>
    <row r="684" spans="1:37" s="653" customFormat="1">
      <c r="A684" s="655">
        <v>2024</v>
      </c>
      <c r="B684" s="729" t="str">
        <f>INDEX('①基本情報 '!$C$2:$C$255,MATCH('②建物情報 '!E684,'①基本情報 '!$E$2:$E$255,0),1)</f>
        <v>236</v>
      </c>
      <c r="C684" s="657" t="str">
        <f>INDEX('①基本情報 '!$B$2:$B$255,MATCH('②建物情報 '!E684,'①基本情報 '!$E$2:$E$255,0),1)</f>
        <v>0404</v>
      </c>
      <c r="D684" s="261" t="s">
        <v>2418</v>
      </c>
      <c r="E684" s="262" t="s">
        <v>1461</v>
      </c>
      <c r="F684" s="263" t="str">
        <f>INDEX('①基本情報 '!$G$2:$G$255,MATCH('②建物情報 '!E684,'①基本情報 '!$E$2:$E$255,0),1)</f>
        <v>市民自治部環境クリーンセンター</v>
      </c>
      <c r="G684" s="264" t="s">
        <v>344</v>
      </c>
      <c r="H684" s="282" t="s">
        <v>1770</v>
      </c>
      <c r="I684" s="265">
        <v>1976</v>
      </c>
      <c r="J684" s="265">
        <v>1</v>
      </c>
      <c r="K684" s="265">
        <f t="shared" si="10"/>
        <v>48</v>
      </c>
      <c r="L684" s="281"/>
      <c r="M684" s="267">
        <v>17.28</v>
      </c>
      <c r="N684" s="267">
        <v>17.28</v>
      </c>
      <c r="O684" s="268" t="s">
        <v>1812</v>
      </c>
      <c r="P684" s="269" t="s">
        <v>1617</v>
      </c>
      <c r="Q684" s="269"/>
      <c r="R684" s="270"/>
      <c r="S684" s="271"/>
      <c r="T684" s="272"/>
      <c r="U684" s="272"/>
      <c r="V684" s="273"/>
      <c r="W684" s="274"/>
      <c r="X684" s="275">
        <v>34</v>
      </c>
      <c r="Y684" s="276" t="s">
        <v>825</v>
      </c>
      <c r="Z684" s="265" t="s">
        <v>825</v>
      </c>
      <c r="AA684" s="265" t="s">
        <v>825</v>
      </c>
      <c r="AB684" s="265" t="s">
        <v>825</v>
      </c>
      <c r="AC684" s="265" t="s">
        <v>825</v>
      </c>
      <c r="AD684" s="265" t="s">
        <v>825</v>
      </c>
      <c r="AE684" s="265" t="s">
        <v>825</v>
      </c>
      <c r="AF684" s="265" t="s">
        <v>825</v>
      </c>
      <c r="AG684" s="265" t="s">
        <v>825</v>
      </c>
      <c r="AH684" s="265" t="s">
        <v>825</v>
      </c>
      <c r="AI684" s="277" t="s">
        <v>825</v>
      </c>
      <c r="AJ684" s="278" t="s">
        <v>1604</v>
      </c>
      <c r="AK684" s="696" t="s">
        <v>2332</v>
      </c>
    </row>
    <row r="685" spans="1:37" s="653" customFormat="1">
      <c r="A685" s="655">
        <v>2024</v>
      </c>
      <c r="B685" s="729" t="str">
        <f>INDEX('①基本情報 '!$C$2:$C$255,MATCH('②建物情報 '!E685,'①基本情報 '!$E$2:$E$255,0),1)</f>
        <v>236</v>
      </c>
      <c r="C685" s="657" t="str">
        <f>INDEX('①基本情報 '!$B$2:$B$255,MATCH('②建物情報 '!E685,'①基本情報 '!$E$2:$E$255,0),1)</f>
        <v>0404</v>
      </c>
      <c r="D685" s="261" t="s">
        <v>2418</v>
      </c>
      <c r="E685" s="262" t="s">
        <v>1461</v>
      </c>
      <c r="F685" s="263" t="str">
        <f>INDEX('①基本情報 '!$G$2:$G$255,MATCH('②建物情報 '!E685,'①基本情報 '!$E$2:$E$255,0),1)</f>
        <v>市民自治部環境クリーンセンター</v>
      </c>
      <c r="G685" s="264" t="s">
        <v>510</v>
      </c>
      <c r="H685" s="282" t="s">
        <v>1771</v>
      </c>
      <c r="I685" s="265">
        <v>1976</v>
      </c>
      <c r="J685" s="265">
        <v>1</v>
      </c>
      <c r="K685" s="265">
        <f t="shared" si="10"/>
        <v>48</v>
      </c>
      <c r="L685" s="281"/>
      <c r="M685" s="267">
        <v>28.96</v>
      </c>
      <c r="N685" s="267">
        <v>28.96</v>
      </c>
      <c r="O685" s="268" t="s">
        <v>1812</v>
      </c>
      <c r="P685" s="269" t="s">
        <v>1617</v>
      </c>
      <c r="Q685" s="269"/>
      <c r="R685" s="270"/>
      <c r="S685" s="271"/>
      <c r="T685" s="272"/>
      <c r="U685" s="272"/>
      <c r="V685" s="273"/>
      <c r="W685" s="274"/>
      <c r="X685" s="275">
        <v>34</v>
      </c>
      <c r="Y685" s="276" t="s">
        <v>825</v>
      </c>
      <c r="Z685" s="265" t="s">
        <v>825</v>
      </c>
      <c r="AA685" s="265" t="s">
        <v>825</v>
      </c>
      <c r="AB685" s="265" t="s">
        <v>825</v>
      </c>
      <c r="AC685" s="265" t="s">
        <v>825</v>
      </c>
      <c r="AD685" s="265" t="s">
        <v>825</v>
      </c>
      <c r="AE685" s="265" t="s">
        <v>825</v>
      </c>
      <c r="AF685" s="265" t="s">
        <v>825</v>
      </c>
      <c r="AG685" s="265" t="s">
        <v>825</v>
      </c>
      <c r="AH685" s="265" t="s">
        <v>825</v>
      </c>
      <c r="AI685" s="277" t="s">
        <v>825</v>
      </c>
      <c r="AJ685" s="278" t="s">
        <v>1604</v>
      </c>
      <c r="AK685" s="696" t="s">
        <v>2332</v>
      </c>
    </row>
    <row r="686" spans="1:37" s="653" customFormat="1">
      <c r="A686" s="655">
        <v>2024</v>
      </c>
      <c r="B686" s="729" t="str">
        <f>INDEX('①基本情報 '!$C$2:$C$255,MATCH('②建物情報 '!E686,'①基本情報 '!$E$2:$E$255,0),1)</f>
        <v>236</v>
      </c>
      <c r="C686" s="657" t="str">
        <f>INDEX('①基本情報 '!$B$2:$B$255,MATCH('②建物情報 '!E686,'①基本情報 '!$E$2:$E$255,0),1)</f>
        <v>0404</v>
      </c>
      <c r="D686" s="261" t="s">
        <v>2418</v>
      </c>
      <c r="E686" s="262" t="s">
        <v>1461</v>
      </c>
      <c r="F686" s="263" t="str">
        <f>INDEX('①基本情報 '!$G$2:$G$255,MATCH('②建物情報 '!E686,'①基本情報 '!$E$2:$E$255,0),1)</f>
        <v>市民自治部環境クリーンセンター</v>
      </c>
      <c r="G686" s="264" t="s">
        <v>577</v>
      </c>
      <c r="H686" s="282" t="s">
        <v>1772</v>
      </c>
      <c r="I686" s="265">
        <v>1976</v>
      </c>
      <c r="J686" s="265">
        <v>1</v>
      </c>
      <c r="K686" s="265">
        <f t="shared" si="10"/>
        <v>48</v>
      </c>
      <c r="L686" s="281"/>
      <c r="M686" s="267">
        <v>17.28</v>
      </c>
      <c r="N686" s="267">
        <v>17.28</v>
      </c>
      <c r="O686" s="268" t="s">
        <v>1812</v>
      </c>
      <c r="P686" s="269" t="s">
        <v>1617</v>
      </c>
      <c r="Q686" s="269"/>
      <c r="R686" s="270"/>
      <c r="S686" s="271"/>
      <c r="T686" s="272"/>
      <c r="U686" s="272"/>
      <c r="V686" s="273"/>
      <c r="W686" s="274"/>
      <c r="X686" s="275">
        <v>34</v>
      </c>
      <c r="Y686" s="276" t="s">
        <v>825</v>
      </c>
      <c r="Z686" s="265" t="s">
        <v>825</v>
      </c>
      <c r="AA686" s="265" t="s">
        <v>825</v>
      </c>
      <c r="AB686" s="265" t="s">
        <v>825</v>
      </c>
      <c r="AC686" s="265" t="s">
        <v>825</v>
      </c>
      <c r="AD686" s="265" t="s">
        <v>825</v>
      </c>
      <c r="AE686" s="265" t="s">
        <v>825</v>
      </c>
      <c r="AF686" s="265" t="s">
        <v>825</v>
      </c>
      <c r="AG686" s="265" t="s">
        <v>825</v>
      </c>
      <c r="AH686" s="265" t="s">
        <v>825</v>
      </c>
      <c r="AI686" s="277" t="s">
        <v>825</v>
      </c>
      <c r="AJ686" s="278" t="s">
        <v>1604</v>
      </c>
      <c r="AK686" s="696" t="s">
        <v>2332</v>
      </c>
    </row>
    <row r="687" spans="1:37" s="653" customFormat="1">
      <c r="A687" s="655">
        <v>2024</v>
      </c>
      <c r="B687" s="729" t="str">
        <f>INDEX('①基本情報 '!$C$2:$C$255,MATCH('②建物情報 '!E687,'①基本情報 '!$E$2:$E$255,0),1)</f>
        <v>236</v>
      </c>
      <c r="C687" s="657" t="str">
        <f>INDEX('①基本情報 '!$B$2:$B$255,MATCH('②建物情報 '!E687,'①基本情報 '!$E$2:$E$255,0),1)</f>
        <v>0404</v>
      </c>
      <c r="D687" s="261" t="s">
        <v>2418</v>
      </c>
      <c r="E687" s="262" t="s">
        <v>1461</v>
      </c>
      <c r="F687" s="263" t="str">
        <f>INDEX('①基本情報 '!$G$2:$G$255,MATCH('②建物情報 '!E687,'①基本情報 '!$E$2:$E$255,0),1)</f>
        <v>市民自治部環境クリーンセンター</v>
      </c>
      <c r="G687" s="264" t="s">
        <v>1020</v>
      </c>
      <c r="H687" s="282" t="s">
        <v>1773</v>
      </c>
      <c r="I687" s="265">
        <v>1976</v>
      </c>
      <c r="J687" s="265">
        <v>3</v>
      </c>
      <c r="K687" s="265">
        <f t="shared" si="10"/>
        <v>48</v>
      </c>
      <c r="L687" s="281"/>
      <c r="M687" s="267">
        <v>19.440000000000001</v>
      </c>
      <c r="N687" s="267">
        <v>19.440000000000001</v>
      </c>
      <c r="O687" s="268" t="s">
        <v>1812</v>
      </c>
      <c r="P687" s="269" t="s">
        <v>1603</v>
      </c>
      <c r="Q687" s="269"/>
      <c r="R687" s="270"/>
      <c r="S687" s="271"/>
      <c r="T687" s="272"/>
      <c r="U687" s="272"/>
      <c r="V687" s="273"/>
      <c r="W687" s="274"/>
      <c r="X687" s="275">
        <v>24</v>
      </c>
      <c r="Y687" s="276" t="s">
        <v>825</v>
      </c>
      <c r="Z687" s="265" t="s">
        <v>825</v>
      </c>
      <c r="AA687" s="265" t="s">
        <v>825</v>
      </c>
      <c r="AB687" s="265" t="s">
        <v>825</v>
      </c>
      <c r="AC687" s="265" t="s">
        <v>825</v>
      </c>
      <c r="AD687" s="265" t="s">
        <v>825</v>
      </c>
      <c r="AE687" s="265" t="s">
        <v>825</v>
      </c>
      <c r="AF687" s="265" t="s">
        <v>825</v>
      </c>
      <c r="AG687" s="265" t="s">
        <v>825</v>
      </c>
      <c r="AH687" s="265" t="s">
        <v>825</v>
      </c>
      <c r="AI687" s="277" t="s">
        <v>825</v>
      </c>
      <c r="AJ687" s="278" t="s">
        <v>1604</v>
      </c>
      <c r="AK687" s="696" t="s">
        <v>2332</v>
      </c>
    </row>
    <row r="688" spans="1:37" s="653" customFormat="1">
      <c r="A688" s="655">
        <v>2024</v>
      </c>
      <c r="B688" s="729" t="str">
        <f>INDEX('①基本情報 '!$C$2:$C$255,MATCH('②建物情報 '!E688,'①基本情報 '!$E$2:$E$255,0),1)</f>
        <v>236</v>
      </c>
      <c r="C688" s="657" t="str">
        <f>INDEX('①基本情報 '!$B$2:$B$255,MATCH('②建物情報 '!E688,'①基本情報 '!$E$2:$E$255,0),1)</f>
        <v>0404</v>
      </c>
      <c r="D688" s="261" t="s">
        <v>2418</v>
      </c>
      <c r="E688" s="262" t="s">
        <v>1461</v>
      </c>
      <c r="F688" s="263" t="str">
        <f>INDEX('①基本情報 '!$G$2:$G$255,MATCH('②建物情報 '!E688,'①基本情報 '!$E$2:$E$255,0),1)</f>
        <v>市民自治部環境クリーンセンター</v>
      </c>
      <c r="G688" s="264" t="s">
        <v>1702</v>
      </c>
      <c r="H688" s="282" t="s">
        <v>1774</v>
      </c>
      <c r="I688" s="265">
        <v>1976</v>
      </c>
      <c r="J688" s="265">
        <v>3</v>
      </c>
      <c r="K688" s="265">
        <f t="shared" si="10"/>
        <v>48</v>
      </c>
      <c r="L688" s="281"/>
      <c r="M688" s="267">
        <v>22.68</v>
      </c>
      <c r="N688" s="267">
        <v>22.68</v>
      </c>
      <c r="O688" s="268" t="s">
        <v>1812</v>
      </c>
      <c r="P688" s="269" t="s">
        <v>1603</v>
      </c>
      <c r="Q688" s="269"/>
      <c r="R688" s="270"/>
      <c r="S688" s="271"/>
      <c r="T688" s="272"/>
      <c r="U688" s="272"/>
      <c r="V688" s="273"/>
      <c r="W688" s="274"/>
      <c r="X688" s="275">
        <v>30</v>
      </c>
      <c r="Y688" s="276" t="s">
        <v>825</v>
      </c>
      <c r="Z688" s="265" t="s">
        <v>825</v>
      </c>
      <c r="AA688" s="265" t="s">
        <v>825</v>
      </c>
      <c r="AB688" s="265" t="s">
        <v>825</v>
      </c>
      <c r="AC688" s="265" t="s">
        <v>825</v>
      </c>
      <c r="AD688" s="265" t="s">
        <v>825</v>
      </c>
      <c r="AE688" s="265" t="s">
        <v>825</v>
      </c>
      <c r="AF688" s="265" t="s">
        <v>825</v>
      </c>
      <c r="AG688" s="265" t="s">
        <v>825</v>
      </c>
      <c r="AH688" s="265" t="s">
        <v>825</v>
      </c>
      <c r="AI688" s="277" t="s">
        <v>825</v>
      </c>
      <c r="AJ688" s="278" t="s">
        <v>1604</v>
      </c>
      <c r="AK688" s="696" t="s">
        <v>2332</v>
      </c>
    </row>
    <row r="689" spans="1:37" s="653" customFormat="1">
      <c r="A689" s="655">
        <v>2024</v>
      </c>
      <c r="B689" s="729" t="str">
        <f>INDEX('①基本情報 '!$C$2:$C$255,MATCH('②建物情報 '!E689,'①基本情報 '!$E$2:$E$255,0),1)</f>
        <v>236</v>
      </c>
      <c r="C689" s="657" t="str">
        <f>INDEX('①基本情報 '!$B$2:$B$255,MATCH('②建物情報 '!E689,'①基本情報 '!$E$2:$E$255,0),1)</f>
        <v>0404</v>
      </c>
      <c r="D689" s="261" t="s">
        <v>2418</v>
      </c>
      <c r="E689" s="262" t="s">
        <v>1461</v>
      </c>
      <c r="F689" s="263" t="str">
        <f>INDEX('①基本情報 '!$G$2:$G$255,MATCH('②建物情報 '!E689,'①基本情報 '!$E$2:$E$255,0),1)</f>
        <v>市民自治部環境クリーンセンター</v>
      </c>
      <c r="G689" s="264" t="s">
        <v>843</v>
      </c>
      <c r="H689" s="282" t="s">
        <v>1775</v>
      </c>
      <c r="I689" s="265">
        <v>1976</v>
      </c>
      <c r="J689" s="265">
        <v>3</v>
      </c>
      <c r="K689" s="265">
        <f t="shared" si="10"/>
        <v>48</v>
      </c>
      <c r="L689" s="281"/>
      <c r="M689" s="267">
        <v>3.42</v>
      </c>
      <c r="N689" s="267">
        <v>3.42</v>
      </c>
      <c r="O689" s="268" t="s">
        <v>1812</v>
      </c>
      <c r="P689" s="269" t="s">
        <v>1603</v>
      </c>
      <c r="Q689" s="269"/>
      <c r="R689" s="270"/>
      <c r="S689" s="271"/>
      <c r="T689" s="272"/>
      <c r="U689" s="272"/>
      <c r="V689" s="273"/>
      <c r="W689" s="274"/>
      <c r="X689" s="275">
        <v>24</v>
      </c>
      <c r="Y689" s="276" t="s">
        <v>825</v>
      </c>
      <c r="Z689" s="265" t="s">
        <v>825</v>
      </c>
      <c r="AA689" s="265" t="s">
        <v>825</v>
      </c>
      <c r="AB689" s="265" t="s">
        <v>825</v>
      </c>
      <c r="AC689" s="265" t="s">
        <v>825</v>
      </c>
      <c r="AD689" s="265" t="s">
        <v>825</v>
      </c>
      <c r="AE689" s="265" t="s">
        <v>825</v>
      </c>
      <c r="AF689" s="265" t="s">
        <v>825</v>
      </c>
      <c r="AG689" s="265" t="s">
        <v>825</v>
      </c>
      <c r="AH689" s="265" t="s">
        <v>825</v>
      </c>
      <c r="AI689" s="277" t="s">
        <v>825</v>
      </c>
      <c r="AJ689" s="278" t="s">
        <v>1604</v>
      </c>
      <c r="AK689" s="696" t="s">
        <v>2332</v>
      </c>
    </row>
    <row r="690" spans="1:37" s="653" customFormat="1">
      <c r="A690" s="655">
        <v>2024</v>
      </c>
      <c r="B690" s="729" t="str">
        <f>INDEX('①基本情報 '!$C$2:$C$255,MATCH('②建物情報 '!E690,'①基本情報 '!$E$2:$E$255,0),1)</f>
        <v>236</v>
      </c>
      <c r="C690" s="657" t="str">
        <f>INDEX('①基本情報 '!$B$2:$B$255,MATCH('②建物情報 '!E690,'①基本情報 '!$E$2:$E$255,0),1)</f>
        <v>0404</v>
      </c>
      <c r="D690" s="261" t="s">
        <v>2418</v>
      </c>
      <c r="E690" s="262" t="s">
        <v>1461</v>
      </c>
      <c r="F690" s="263" t="str">
        <f>INDEX('①基本情報 '!$G$2:$G$255,MATCH('②建物情報 '!E690,'①基本情報 '!$E$2:$E$255,0),1)</f>
        <v>市民自治部環境クリーンセンター</v>
      </c>
      <c r="G690" s="264" t="s">
        <v>1011</v>
      </c>
      <c r="H690" s="282" t="s">
        <v>1613</v>
      </c>
      <c r="I690" s="265">
        <v>1988</v>
      </c>
      <c r="J690" s="265">
        <v>7</v>
      </c>
      <c r="K690" s="265">
        <f t="shared" ref="K690:K741" si="11">IF(I690&lt;&gt;"",A690-I690,99)</f>
        <v>36</v>
      </c>
      <c r="L690" s="281"/>
      <c r="M690" s="267">
        <v>43.35</v>
      </c>
      <c r="N690" s="267">
        <v>43.35</v>
      </c>
      <c r="O690" s="268" t="s">
        <v>1812</v>
      </c>
      <c r="P690" s="269" t="s">
        <v>1617</v>
      </c>
      <c r="Q690" s="269"/>
      <c r="R690" s="270"/>
      <c r="S690" s="271"/>
      <c r="T690" s="272"/>
      <c r="U690" s="272"/>
      <c r="V690" s="273"/>
      <c r="W690" s="274"/>
      <c r="X690" s="275">
        <v>34</v>
      </c>
      <c r="Y690" s="276" t="s">
        <v>825</v>
      </c>
      <c r="Z690" s="265" t="s">
        <v>825</v>
      </c>
      <c r="AA690" s="265" t="s">
        <v>825</v>
      </c>
      <c r="AB690" s="265" t="s">
        <v>825</v>
      </c>
      <c r="AC690" s="265" t="s">
        <v>825</v>
      </c>
      <c r="AD690" s="265" t="s">
        <v>825</v>
      </c>
      <c r="AE690" s="265" t="s">
        <v>825</v>
      </c>
      <c r="AF690" s="265" t="s">
        <v>825</v>
      </c>
      <c r="AG690" s="265" t="s">
        <v>825</v>
      </c>
      <c r="AH690" s="265" t="s">
        <v>825</v>
      </c>
      <c r="AI690" s="277" t="s">
        <v>825</v>
      </c>
      <c r="AJ690" s="278" t="s">
        <v>1604</v>
      </c>
      <c r="AK690" s="696" t="s">
        <v>2332</v>
      </c>
    </row>
    <row r="691" spans="1:37" s="653" customFormat="1">
      <c r="A691" s="655">
        <v>2024</v>
      </c>
      <c r="B691" s="729" t="str">
        <f>INDEX('①基本情報 '!$C$2:$C$255,MATCH('②建物情報 '!E691,'①基本情報 '!$E$2:$E$255,0),1)</f>
        <v>236</v>
      </c>
      <c r="C691" s="657" t="str">
        <f>INDEX('①基本情報 '!$B$2:$B$255,MATCH('②建物情報 '!E691,'①基本情報 '!$E$2:$E$255,0),1)</f>
        <v>0404</v>
      </c>
      <c r="D691" s="261" t="s">
        <v>2418</v>
      </c>
      <c r="E691" s="262" t="s">
        <v>1461</v>
      </c>
      <c r="F691" s="263" t="str">
        <f>INDEX('①基本情報 '!$G$2:$G$255,MATCH('②建物情報 '!E691,'①基本情報 '!$E$2:$E$255,0),1)</f>
        <v>市民自治部環境クリーンセンター</v>
      </c>
      <c r="G691" s="264" t="s">
        <v>449</v>
      </c>
      <c r="H691" s="282" t="s">
        <v>1776</v>
      </c>
      <c r="I691" s="265">
        <v>1991</v>
      </c>
      <c r="J691" s="265">
        <v>3</v>
      </c>
      <c r="K691" s="265">
        <f t="shared" si="11"/>
        <v>33</v>
      </c>
      <c r="L691" s="281"/>
      <c r="M691" s="267">
        <v>12.48</v>
      </c>
      <c r="N691" s="267">
        <v>12.48</v>
      </c>
      <c r="O691" s="268" t="s">
        <v>1812</v>
      </c>
      <c r="P691" s="269" t="s">
        <v>1603</v>
      </c>
      <c r="Q691" s="269"/>
      <c r="R691" s="270"/>
      <c r="S691" s="271"/>
      <c r="T691" s="272"/>
      <c r="U691" s="272"/>
      <c r="V691" s="273"/>
      <c r="W691" s="274"/>
      <c r="X691" s="275">
        <v>31</v>
      </c>
      <c r="Y691" s="276" t="s">
        <v>825</v>
      </c>
      <c r="Z691" s="265" t="s">
        <v>825</v>
      </c>
      <c r="AA691" s="265" t="s">
        <v>825</v>
      </c>
      <c r="AB691" s="265" t="s">
        <v>825</v>
      </c>
      <c r="AC691" s="265" t="s">
        <v>825</v>
      </c>
      <c r="AD691" s="265" t="s">
        <v>825</v>
      </c>
      <c r="AE691" s="265" t="s">
        <v>825</v>
      </c>
      <c r="AF691" s="265" t="s">
        <v>825</v>
      </c>
      <c r="AG691" s="265" t="s">
        <v>825</v>
      </c>
      <c r="AH691" s="265" t="s">
        <v>825</v>
      </c>
      <c r="AI691" s="277" t="s">
        <v>825</v>
      </c>
      <c r="AJ691" s="278" t="s">
        <v>1604</v>
      </c>
      <c r="AK691" s="696" t="s">
        <v>2332</v>
      </c>
    </row>
    <row r="692" spans="1:37" s="653" customFormat="1">
      <c r="A692" s="655">
        <v>2024</v>
      </c>
      <c r="B692" s="729" t="str">
        <f>INDEX('①基本情報 '!$C$2:$C$255,MATCH('②建物情報 '!E692,'①基本情報 '!$E$2:$E$255,0),1)</f>
        <v>236</v>
      </c>
      <c r="C692" s="657" t="str">
        <f>INDEX('①基本情報 '!$B$2:$B$255,MATCH('②建物情報 '!E692,'①基本情報 '!$E$2:$E$255,0),1)</f>
        <v>0404</v>
      </c>
      <c r="D692" s="261" t="s">
        <v>2418</v>
      </c>
      <c r="E692" s="262" t="s">
        <v>1461</v>
      </c>
      <c r="F692" s="263" t="str">
        <f>INDEX('①基本情報 '!$G$2:$G$255,MATCH('②建物情報 '!E692,'①基本情報 '!$E$2:$E$255,0),1)</f>
        <v>市民自治部環境クリーンセンター</v>
      </c>
      <c r="G692" s="264" t="s">
        <v>537</v>
      </c>
      <c r="H692" s="282" t="s">
        <v>1777</v>
      </c>
      <c r="I692" s="265">
        <v>1991</v>
      </c>
      <c r="J692" s="265">
        <v>3</v>
      </c>
      <c r="K692" s="265">
        <f t="shared" si="11"/>
        <v>33</v>
      </c>
      <c r="L692" s="281"/>
      <c r="M692" s="267">
        <v>4.4400000000000004</v>
      </c>
      <c r="N692" s="267">
        <v>4.4400000000000004</v>
      </c>
      <c r="O692" s="268" t="s">
        <v>1812</v>
      </c>
      <c r="P692" s="269" t="s">
        <v>1603</v>
      </c>
      <c r="Q692" s="269"/>
      <c r="R692" s="270"/>
      <c r="S692" s="271"/>
      <c r="T692" s="272"/>
      <c r="U692" s="272"/>
      <c r="V692" s="273"/>
      <c r="W692" s="274"/>
      <c r="X692" s="275">
        <v>24</v>
      </c>
      <c r="Y692" s="276" t="s">
        <v>825</v>
      </c>
      <c r="Z692" s="265" t="s">
        <v>825</v>
      </c>
      <c r="AA692" s="265" t="s">
        <v>825</v>
      </c>
      <c r="AB692" s="265" t="s">
        <v>825</v>
      </c>
      <c r="AC692" s="265" t="s">
        <v>825</v>
      </c>
      <c r="AD692" s="265" t="s">
        <v>825</v>
      </c>
      <c r="AE692" s="265" t="s">
        <v>825</v>
      </c>
      <c r="AF692" s="265" t="s">
        <v>825</v>
      </c>
      <c r="AG692" s="265" t="s">
        <v>825</v>
      </c>
      <c r="AH692" s="265" t="s">
        <v>825</v>
      </c>
      <c r="AI692" s="277" t="s">
        <v>825</v>
      </c>
      <c r="AJ692" s="278" t="s">
        <v>1604</v>
      </c>
      <c r="AK692" s="696" t="s">
        <v>2332</v>
      </c>
    </row>
    <row r="693" spans="1:37" s="653" customFormat="1">
      <c r="A693" s="655">
        <v>2024</v>
      </c>
      <c r="B693" s="729" t="str">
        <f>INDEX('①基本情報 '!$C$2:$C$255,MATCH('②建物情報 '!E693,'①基本情報 '!$E$2:$E$255,0),1)</f>
        <v>236</v>
      </c>
      <c r="C693" s="657" t="str">
        <f>INDEX('①基本情報 '!$B$2:$B$255,MATCH('②建物情報 '!E693,'①基本情報 '!$E$2:$E$255,0),1)</f>
        <v>0404</v>
      </c>
      <c r="D693" s="261" t="s">
        <v>2418</v>
      </c>
      <c r="E693" s="262" t="s">
        <v>1461</v>
      </c>
      <c r="F693" s="263" t="str">
        <f>INDEX('①基本情報 '!$G$2:$G$255,MATCH('②建物情報 '!E693,'①基本情報 '!$E$2:$E$255,0),1)</f>
        <v>市民自治部環境クリーンセンター</v>
      </c>
      <c r="G693" s="264" t="s">
        <v>525</v>
      </c>
      <c r="H693" s="282" t="s">
        <v>1778</v>
      </c>
      <c r="I693" s="265">
        <v>1991</v>
      </c>
      <c r="J693" s="265">
        <v>3</v>
      </c>
      <c r="K693" s="265">
        <f t="shared" si="11"/>
        <v>33</v>
      </c>
      <c r="L693" s="281"/>
      <c r="M693" s="267">
        <v>8.2100000000000009</v>
      </c>
      <c r="N693" s="267">
        <v>8.2100000000000009</v>
      </c>
      <c r="O693" s="268" t="s">
        <v>1812</v>
      </c>
      <c r="P693" s="269" t="s">
        <v>1603</v>
      </c>
      <c r="Q693" s="269"/>
      <c r="R693" s="270"/>
      <c r="S693" s="271"/>
      <c r="T693" s="272"/>
      <c r="U693" s="272"/>
      <c r="V693" s="273"/>
      <c r="W693" s="274"/>
      <c r="X693" s="275">
        <v>24</v>
      </c>
      <c r="Y693" s="276" t="s">
        <v>825</v>
      </c>
      <c r="Z693" s="265" t="s">
        <v>825</v>
      </c>
      <c r="AA693" s="265" t="s">
        <v>825</v>
      </c>
      <c r="AB693" s="265" t="s">
        <v>825</v>
      </c>
      <c r="AC693" s="265" t="s">
        <v>825</v>
      </c>
      <c r="AD693" s="265" t="s">
        <v>825</v>
      </c>
      <c r="AE693" s="265" t="s">
        <v>825</v>
      </c>
      <c r="AF693" s="265" t="s">
        <v>825</v>
      </c>
      <c r="AG693" s="265" t="s">
        <v>825</v>
      </c>
      <c r="AH693" s="265" t="s">
        <v>825</v>
      </c>
      <c r="AI693" s="277" t="s">
        <v>825</v>
      </c>
      <c r="AJ693" s="278" t="s">
        <v>1604</v>
      </c>
      <c r="AK693" s="696" t="s">
        <v>2332</v>
      </c>
    </row>
    <row r="694" spans="1:37" s="653" customFormat="1">
      <c r="A694" s="655">
        <v>2024</v>
      </c>
      <c r="B694" s="656" t="str">
        <f>INDEX('①基本情報 '!$C$2:$C$255,MATCH('②建物情報 '!E694,'①基本情報 '!$E$2:$E$255,0),1)</f>
        <v>237</v>
      </c>
      <c r="C694" s="657" t="str">
        <f>INDEX('①基本情報 '!$B$2:$B$255,MATCH('②建物情報 '!E694,'①基本情報 '!$E$2:$E$255,0),1)</f>
        <v>0405</v>
      </c>
      <c r="D694" s="658" t="s">
        <v>2418</v>
      </c>
      <c r="E694" s="612" t="s">
        <v>1469</v>
      </c>
      <c r="F694" s="611" t="str">
        <f>INDEX('①基本情報 '!$G$2:$G$255,MATCH('②建物情報 '!E694,'①基本情報 '!$E$2:$E$255,0),1)</f>
        <v>市民自治部まちづくり室生活環境課</v>
      </c>
      <c r="G694" s="678" t="s">
        <v>1580</v>
      </c>
      <c r="H694" s="612" t="s">
        <v>1779</v>
      </c>
      <c r="I694" s="663">
        <v>1991</v>
      </c>
      <c r="J694" s="663">
        <v>3</v>
      </c>
      <c r="K694" s="663">
        <f t="shared" si="11"/>
        <v>33</v>
      </c>
      <c r="L694" s="679">
        <v>572.34</v>
      </c>
      <c r="M694" s="680">
        <v>1182</v>
      </c>
      <c r="N694" s="680">
        <v>1182</v>
      </c>
      <c r="O694" s="681" t="s">
        <v>1812</v>
      </c>
      <c r="P694" s="259" t="s">
        <v>1581</v>
      </c>
      <c r="Q694" s="259">
        <v>2</v>
      </c>
      <c r="R694" s="260">
        <v>1</v>
      </c>
      <c r="S694" s="682" t="s">
        <v>1593</v>
      </c>
      <c r="T694" s="683" t="s">
        <v>825</v>
      </c>
      <c r="U694" s="683" t="s">
        <v>63</v>
      </c>
      <c r="V694" s="684"/>
      <c r="W694" s="685">
        <v>2022</v>
      </c>
      <c r="X694" s="686">
        <v>50</v>
      </c>
      <c r="Y694" s="687" t="s">
        <v>1596</v>
      </c>
      <c r="Z694" s="663" t="s">
        <v>1587</v>
      </c>
      <c r="AA694" s="663" t="s">
        <v>1587</v>
      </c>
      <c r="AB694" s="663" t="s">
        <v>1587</v>
      </c>
      <c r="AC694" s="663" t="s">
        <v>1587</v>
      </c>
      <c r="AD694" s="663" t="s">
        <v>1587</v>
      </c>
      <c r="AE694" s="663" t="s">
        <v>1586</v>
      </c>
      <c r="AF694" s="663" t="s">
        <v>1587</v>
      </c>
      <c r="AG694" s="663" t="s">
        <v>1587</v>
      </c>
      <c r="AH694" s="663" t="s">
        <v>1587</v>
      </c>
      <c r="AI694" s="688">
        <v>27.936507936507937</v>
      </c>
      <c r="AJ694" s="689" t="s">
        <v>1588</v>
      </c>
      <c r="AK694" s="690"/>
    </row>
    <row r="695" spans="1:37" s="653" customFormat="1">
      <c r="A695" s="655">
        <v>2024</v>
      </c>
      <c r="B695" s="656" t="str">
        <f>INDEX('①基本情報 '!$C$2:$C$255,MATCH('②建物情報 '!E695,'①基本情報 '!$E$2:$E$255,0),1)</f>
        <v>238</v>
      </c>
      <c r="C695" s="657" t="str">
        <f>INDEX('①基本情報 '!$B$2:$B$255,MATCH('②建物情報 '!E695,'①基本情報 '!$E$2:$E$255,0),1)</f>
        <v>9601</v>
      </c>
      <c r="D695" s="658" t="s">
        <v>2418</v>
      </c>
      <c r="E695" s="612" t="s">
        <v>1880</v>
      </c>
      <c r="F695" s="611" t="str">
        <f>INDEX('①基本情報 '!$G$2:$G$255,MATCH('②建物情報 '!E695,'①基本情報 '!$E$2:$E$255,0),1)</f>
        <v>都市活力部産業振興室農業政策課</v>
      </c>
      <c r="G695" s="678" t="s">
        <v>1580</v>
      </c>
      <c r="H695" s="700" t="s">
        <v>2464</v>
      </c>
      <c r="I695" s="663">
        <v>1987</v>
      </c>
      <c r="J695" s="663">
        <v>6</v>
      </c>
      <c r="K695" s="663">
        <f t="shared" si="11"/>
        <v>37</v>
      </c>
      <c r="L695" s="679">
        <v>2134.7600000000002</v>
      </c>
      <c r="M695" s="680">
        <v>2631.97</v>
      </c>
      <c r="N695" s="680">
        <v>2631.97</v>
      </c>
      <c r="O695" s="681" t="s">
        <v>2435</v>
      </c>
      <c r="P695" s="259"/>
      <c r="Q695" s="259">
        <v>2</v>
      </c>
      <c r="R695" s="260">
        <v>0</v>
      </c>
      <c r="S695" s="682" t="s">
        <v>1593</v>
      </c>
      <c r="T695" s="683" t="s">
        <v>825</v>
      </c>
      <c r="U695" s="683" t="s">
        <v>63</v>
      </c>
      <c r="V695" s="684"/>
      <c r="W695" s="685"/>
      <c r="X695" s="686"/>
      <c r="Y695" s="687" t="s">
        <v>1596</v>
      </c>
      <c r="Z695" s="663" t="s">
        <v>1586</v>
      </c>
      <c r="AA695" s="663" t="s">
        <v>1586</v>
      </c>
      <c r="AB695" s="663" t="s">
        <v>825</v>
      </c>
      <c r="AC695" s="663" t="s">
        <v>1586</v>
      </c>
      <c r="AD695" s="663" t="s">
        <v>1586</v>
      </c>
      <c r="AE695" s="663" t="s">
        <v>1586</v>
      </c>
      <c r="AF695" s="663" t="s">
        <v>825</v>
      </c>
      <c r="AG695" s="663" t="s">
        <v>825</v>
      </c>
      <c r="AH695" s="663" t="s">
        <v>1586</v>
      </c>
      <c r="AI695" s="688">
        <v>84</v>
      </c>
      <c r="AJ695" s="689" t="s">
        <v>2123</v>
      </c>
      <c r="AK695" s="690"/>
    </row>
    <row r="696" spans="1:37" s="653" customFormat="1">
      <c r="A696" s="655">
        <v>2024</v>
      </c>
      <c r="B696" s="656" t="str">
        <f>INDEX('①基本情報 '!$C$2:$C$255,MATCH('②建物情報 '!E696,'①基本情報 '!$E$2:$E$255,0),1)</f>
        <v>238</v>
      </c>
      <c r="C696" s="657" t="str">
        <f>INDEX('①基本情報 '!$B$2:$B$255,MATCH('②建物情報 '!E696,'①基本情報 '!$E$2:$E$255,0),1)</f>
        <v>9601</v>
      </c>
      <c r="D696" s="658" t="s">
        <v>2418</v>
      </c>
      <c r="E696" s="612" t="s">
        <v>1880</v>
      </c>
      <c r="F696" s="611" t="str">
        <f>INDEX('①基本情報 '!$G$2:$G$255,MATCH('②建物情報 '!E696,'①基本情報 '!$E$2:$E$255,0),1)</f>
        <v>都市活力部産業振興室農業政策課</v>
      </c>
      <c r="G696" s="678" t="s">
        <v>1589</v>
      </c>
      <c r="H696" s="700" t="s">
        <v>2465</v>
      </c>
      <c r="I696" s="663">
        <v>1993</v>
      </c>
      <c r="J696" s="663">
        <v>3</v>
      </c>
      <c r="K696" s="663">
        <f t="shared" si="11"/>
        <v>31</v>
      </c>
      <c r="L696" s="679">
        <v>652.29999999999995</v>
      </c>
      <c r="M696" s="680">
        <v>641.29999999999995</v>
      </c>
      <c r="N696" s="680">
        <v>641.29999999999995</v>
      </c>
      <c r="O696" s="681" t="s">
        <v>2435</v>
      </c>
      <c r="P696" s="259"/>
      <c r="Q696" s="259">
        <v>1</v>
      </c>
      <c r="R696" s="260">
        <v>0</v>
      </c>
      <c r="S696" s="682" t="s">
        <v>1593</v>
      </c>
      <c r="T696" s="683" t="s">
        <v>825</v>
      </c>
      <c r="U696" s="683" t="s">
        <v>63</v>
      </c>
      <c r="V696" s="684"/>
      <c r="W696" s="685"/>
      <c r="X696" s="686"/>
      <c r="Y696" s="687" t="s">
        <v>1596</v>
      </c>
      <c r="Z696" s="663" t="s">
        <v>1585</v>
      </c>
      <c r="AA696" s="663" t="s">
        <v>1586</v>
      </c>
      <c r="AB696" s="663" t="s">
        <v>825</v>
      </c>
      <c r="AC696" s="663" t="s">
        <v>1586</v>
      </c>
      <c r="AD696" s="663" t="s">
        <v>825</v>
      </c>
      <c r="AE696" s="663" t="s">
        <v>1585</v>
      </c>
      <c r="AF696" s="663" t="s">
        <v>825</v>
      </c>
      <c r="AG696" s="663" t="s">
        <v>825</v>
      </c>
      <c r="AH696" s="663" t="s">
        <v>1586</v>
      </c>
      <c r="AI696" s="688">
        <v>74.375</v>
      </c>
      <c r="AJ696" s="689" t="s">
        <v>2123</v>
      </c>
      <c r="AK696" s="690"/>
    </row>
    <row r="697" spans="1:37" s="653" customFormat="1">
      <c r="A697" s="655">
        <v>2024</v>
      </c>
      <c r="B697" s="656" t="str">
        <f>INDEX('①基本情報 '!$C$2:$C$255,MATCH('②建物情報 '!E697,'①基本情報 '!$E$2:$E$255,0),1)</f>
        <v>238</v>
      </c>
      <c r="C697" s="657" t="str">
        <f>INDEX('①基本情報 '!$B$2:$B$255,MATCH('②建物情報 '!E697,'①基本情報 '!$E$2:$E$255,0),1)</f>
        <v>9601</v>
      </c>
      <c r="D697" s="658" t="s">
        <v>2418</v>
      </c>
      <c r="E697" s="612" t="s">
        <v>1880</v>
      </c>
      <c r="F697" s="611" t="str">
        <f>INDEX('①基本情報 '!$G$2:$G$255,MATCH('②建物情報 '!E697,'①基本情報 '!$E$2:$E$255,0),1)</f>
        <v>都市活力部産業振興室農業政策課</v>
      </c>
      <c r="G697" s="678" t="s">
        <v>1591</v>
      </c>
      <c r="H697" s="700" t="s">
        <v>2508</v>
      </c>
      <c r="I697" s="663">
        <v>1987</v>
      </c>
      <c r="J697" s="663">
        <v>6</v>
      </c>
      <c r="K697" s="663">
        <f t="shared" si="11"/>
        <v>37</v>
      </c>
      <c r="L697" s="679">
        <f>537.3+22.45+430.56+99.7+327.78+9.97+523.69+14.24</f>
        <v>1965.69</v>
      </c>
      <c r="M697" s="680">
        <f>764.8+22.45+430.56+99.7+324.06+9.97+519.69+14.24+168.78</f>
        <v>2354.25</v>
      </c>
      <c r="N697" s="680">
        <f>764.8+22.45+430.56+99.7+324.06+9.97+519.69+14.24+168.78</f>
        <v>2354.25</v>
      </c>
      <c r="O697" s="681" t="s">
        <v>2435</v>
      </c>
      <c r="P697" s="259"/>
      <c r="Q697" s="259">
        <v>2</v>
      </c>
      <c r="R697" s="260">
        <v>0</v>
      </c>
      <c r="S697" s="682" t="s">
        <v>1593</v>
      </c>
      <c r="T697" s="683" t="s">
        <v>825</v>
      </c>
      <c r="U697" s="683" t="s">
        <v>63</v>
      </c>
      <c r="V697" s="684"/>
      <c r="W697" s="685"/>
      <c r="X697" s="686"/>
      <c r="Y697" s="687" t="s">
        <v>1596</v>
      </c>
      <c r="Z697" s="663" t="s">
        <v>1586</v>
      </c>
      <c r="AA697" s="663" t="s">
        <v>1586</v>
      </c>
      <c r="AB697" s="663" t="s">
        <v>825</v>
      </c>
      <c r="AC697" s="663" t="s">
        <v>1586</v>
      </c>
      <c r="AD697" s="663" t="s">
        <v>1586</v>
      </c>
      <c r="AE697" s="663" t="s">
        <v>1586</v>
      </c>
      <c r="AF697" s="663" t="s">
        <v>825</v>
      </c>
      <c r="AG697" s="663" t="s">
        <v>825</v>
      </c>
      <c r="AH697" s="663" t="s">
        <v>1586</v>
      </c>
      <c r="AI697" s="688">
        <v>84</v>
      </c>
      <c r="AJ697" s="689" t="s">
        <v>2123</v>
      </c>
      <c r="AK697" s="690"/>
    </row>
    <row r="698" spans="1:37" s="653" customFormat="1">
      <c r="A698" s="655">
        <v>2024</v>
      </c>
      <c r="B698" s="656" t="str">
        <f>INDEX('①基本情報 '!$C$2:$C$255,MATCH('②建物情報 '!E698,'①基本情報 '!$E$2:$E$255,0),1)</f>
        <v>239</v>
      </c>
      <c r="C698" s="657" t="str">
        <f>INDEX('①基本情報 '!$B$2:$B$255,MATCH('②建物情報 '!E698,'①基本情報 '!$E$2:$E$255,0),1)</f>
        <v>0704</v>
      </c>
      <c r="D698" s="658" t="s">
        <v>2418</v>
      </c>
      <c r="E698" s="612" t="s">
        <v>1481</v>
      </c>
      <c r="F698" s="611" t="str">
        <f>INDEX('①基本情報 '!$G$2:$G$255,MATCH('②建物情報 '!E698,'①基本情報 '!$E$2:$E$255,0),1)</f>
        <v>都市活力部まち資源室空港・にぎわい課</v>
      </c>
      <c r="G698" s="678" t="s">
        <v>1580</v>
      </c>
      <c r="H698" s="612" t="s">
        <v>1613</v>
      </c>
      <c r="I698" s="663">
        <v>1997</v>
      </c>
      <c r="J698" s="663"/>
      <c r="K698" s="663">
        <f t="shared" si="11"/>
        <v>27</v>
      </c>
      <c r="L698" s="694">
        <v>36.32</v>
      </c>
      <c r="M698" s="680">
        <v>56.3</v>
      </c>
      <c r="N698" s="680">
        <v>56.3</v>
      </c>
      <c r="O698" s="681" t="s">
        <v>1812</v>
      </c>
      <c r="P698" s="259" t="s">
        <v>1603</v>
      </c>
      <c r="Q698" s="259">
        <v>2</v>
      </c>
      <c r="R698" s="260">
        <v>0</v>
      </c>
      <c r="S698" s="682" t="s">
        <v>1593</v>
      </c>
      <c r="T698" s="683" t="s">
        <v>825</v>
      </c>
      <c r="U698" s="683" t="s">
        <v>63</v>
      </c>
      <c r="V698" s="684"/>
      <c r="W698" s="685"/>
      <c r="X698" s="686">
        <v>24</v>
      </c>
      <c r="Y698" s="687" t="s">
        <v>1596</v>
      </c>
      <c r="Z698" s="663" t="s">
        <v>1587</v>
      </c>
      <c r="AA698" s="663" t="s">
        <v>1596</v>
      </c>
      <c r="AB698" s="663" t="s">
        <v>825</v>
      </c>
      <c r="AC698" s="663" t="s">
        <v>825</v>
      </c>
      <c r="AD698" s="663" t="s">
        <v>825</v>
      </c>
      <c r="AE698" s="663" t="s">
        <v>825</v>
      </c>
      <c r="AF698" s="663" t="s">
        <v>825</v>
      </c>
      <c r="AG698" s="663" t="s">
        <v>825</v>
      </c>
      <c r="AH698" s="663" t="s">
        <v>1596</v>
      </c>
      <c r="AI698" s="688">
        <v>39.090909090909086</v>
      </c>
      <c r="AJ698" s="689" t="s">
        <v>1588</v>
      </c>
      <c r="AK698" s="690"/>
    </row>
    <row r="699" spans="1:37" s="653" customFormat="1">
      <c r="A699" s="655">
        <v>2024</v>
      </c>
      <c r="B699" s="656" t="str">
        <f>INDEX('①基本情報 '!$C$2:$C$255,MATCH('②建物情報 '!E699,'①基本情報 '!$E$2:$E$255,0),1)</f>
        <v>240</v>
      </c>
      <c r="C699" s="657" t="str">
        <f>INDEX('①基本情報 '!$B$2:$B$255,MATCH('②建物情報 '!E699,'①基本情報 '!$E$2:$E$255,0),1)</f>
        <v>9711</v>
      </c>
      <c r="D699" s="658" t="s">
        <v>2418</v>
      </c>
      <c r="E699" s="612" t="s">
        <v>1484</v>
      </c>
      <c r="F699" s="597" t="str">
        <f>INDEX('①基本情報 '!$G$2:$G$255,MATCH('②建物情報 '!E699,'①基本情報 '!$E$2:$E$255,0),1)</f>
        <v>健康福祉部保健医療推進室健康政策課</v>
      </c>
      <c r="G699" s="678" t="s">
        <v>1580</v>
      </c>
      <c r="H699" s="612" t="s">
        <v>1780</v>
      </c>
      <c r="I699" s="663">
        <v>2008</v>
      </c>
      <c r="J699" s="663">
        <v>2</v>
      </c>
      <c r="K699" s="663">
        <f t="shared" si="11"/>
        <v>16</v>
      </c>
      <c r="L699" s="694"/>
      <c r="M699" s="680">
        <v>1000.96</v>
      </c>
      <c r="N699" s="680">
        <v>1000.96</v>
      </c>
      <c r="O699" s="681" t="s">
        <v>1812</v>
      </c>
      <c r="P699" s="259" t="s">
        <v>1581</v>
      </c>
      <c r="Q699" s="259">
        <v>1</v>
      </c>
      <c r="R699" s="260">
        <v>0</v>
      </c>
      <c r="S699" s="682" t="s">
        <v>1593</v>
      </c>
      <c r="T699" s="683" t="s">
        <v>825</v>
      </c>
      <c r="U699" s="683" t="s">
        <v>63</v>
      </c>
      <c r="V699" s="684"/>
      <c r="W699" s="685"/>
      <c r="X699" s="686">
        <v>50</v>
      </c>
      <c r="Y699" s="687" t="s">
        <v>1587</v>
      </c>
      <c r="Z699" s="663" t="s">
        <v>1596</v>
      </c>
      <c r="AA699" s="663" t="s">
        <v>1587</v>
      </c>
      <c r="AB699" s="663" t="s">
        <v>825</v>
      </c>
      <c r="AC699" s="663" t="s">
        <v>1585</v>
      </c>
      <c r="AD699" s="663" t="s">
        <v>1586</v>
      </c>
      <c r="AE699" s="663" t="s">
        <v>1596</v>
      </c>
      <c r="AF699" s="663" t="s">
        <v>825</v>
      </c>
      <c r="AG699" s="663" t="s">
        <v>825</v>
      </c>
      <c r="AH699" s="663" t="s">
        <v>1596</v>
      </c>
      <c r="AI699" s="688">
        <v>42.222222222222229</v>
      </c>
      <c r="AJ699" s="689" t="s">
        <v>1588</v>
      </c>
      <c r="AK699" s="690"/>
    </row>
    <row r="700" spans="1:37" s="653" customFormat="1">
      <c r="A700" s="655">
        <v>2024</v>
      </c>
      <c r="B700" s="729" t="str">
        <f>INDEX('①基本情報 '!$C$2:$C$255,MATCH('②建物情報 '!E700,'①基本情報 '!$E$2:$E$255,0),1)</f>
        <v>240</v>
      </c>
      <c r="C700" s="657" t="str">
        <f>INDEX('①基本情報 '!$B$2:$B$255,MATCH('②建物情報 '!E700,'①基本情報 '!$E$2:$E$255,0),1)</f>
        <v>9711</v>
      </c>
      <c r="D700" s="261" t="s">
        <v>2418</v>
      </c>
      <c r="E700" s="262" t="s">
        <v>1484</v>
      </c>
      <c r="F700" s="305" t="str">
        <f>INDEX('①基本情報 '!$G$2:$G$255,MATCH('②建物情報 '!E700,'①基本情報 '!$E$2:$E$255,0),1)</f>
        <v>健康福祉部保健医療推進室健康政策課</v>
      </c>
      <c r="G700" s="264" t="s">
        <v>1589</v>
      </c>
      <c r="H700" s="282" t="s">
        <v>1781</v>
      </c>
      <c r="I700" s="265">
        <v>2008</v>
      </c>
      <c r="J700" s="265">
        <v>2</v>
      </c>
      <c r="K700" s="265">
        <f t="shared" si="11"/>
        <v>16</v>
      </c>
      <c r="L700" s="281"/>
      <c r="M700" s="267">
        <v>5.5</v>
      </c>
      <c r="N700" s="267">
        <v>5.5</v>
      </c>
      <c r="O700" s="268" t="s">
        <v>1812</v>
      </c>
      <c r="P700" s="269" t="s">
        <v>1617</v>
      </c>
      <c r="Q700" s="269"/>
      <c r="R700" s="270"/>
      <c r="S700" s="271"/>
      <c r="T700" s="272"/>
      <c r="U700" s="272"/>
      <c r="V700" s="273"/>
      <c r="W700" s="274"/>
      <c r="X700" s="275">
        <v>41</v>
      </c>
      <c r="Y700" s="276" t="s">
        <v>825</v>
      </c>
      <c r="Z700" s="265" t="s">
        <v>825</v>
      </c>
      <c r="AA700" s="265" t="s">
        <v>825</v>
      </c>
      <c r="AB700" s="265" t="s">
        <v>825</v>
      </c>
      <c r="AC700" s="265" t="s">
        <v>825</v>
      </c>
      <c r="AD700" s="265" t="s">
        <v>825</v>
      </c>
      <c r="AE700" s="265" t="s">
        <v>825</v>
      </c>
      <c r="AF700" s="265" t="s">
        <v>825</v>
      </c>
      <c r="AG700" s="265" t="s">
        <v>825</v>
      </c>
      <c r="AH700" s="265" t="s">
        <v>825</v>
      </c>
      <c r="AI700" s="277" t="s">
        <v>825</v>
      </c>
      <c r="AJ700" s="278" t="s">
        <v>1604</v>
      </c>
      <c r="AK700" s="696" t="s">
        <v>2332</v>
      </c>
    </row>
    <row r="701" spans="1:37" s="653" customFormat="1">
      <c r="A701" s="655">
        <v>2024</v>
      </c>
      <c r="B701" s="729" t="str">
        <f>INDEX('①基本情報 '!$C$2:$C$255,MATCH('②建物情報 '!E701,'①基本情報 '!$E$2:$E$255,0),1)</f>
        <v>240</v>
      </c>
      <c r="C701" s="657" t="str">
        <f>INDEX('①基本情報 '!$B$2:$B$255,MATCH('②建物情報 '!E701,'①基本情報 '!$E$2:$E$255,0),1)</f>
        <v>9711</v>
      </c>
      <c r="D701" s="261" t="s">
        <v>2418</v>
      </c>
      <c r="E701" s="262" t="s">
        <v>1484</v>
      </c>
      <c r="F701" s="305" t="str">
        <f>INDEX('①基本情報 '!$G$2:$G$255,MATCH('②建物情報 '!E701,'①基本情報 '!$E$2:$E$255,0),1)</f>
        <v>健康福祉部保健医療推進室健康政策課</v>
      </c>
      <c r="G701" s="264" t="s">
        <v>1591</v>
      </c>
      <c r="H701" s="282" t="s">
        <v>1712</v>
      </c>
      <c r="I701" s="265">
        <v>2008</v>
      </c>
      <c r="J701" s="265">
        <v>2</v>
      </c>
      <c r="K701" s="265">
        <f t="shared" si="11"/>
        <v>16</v>
      </c>
      <c r="L701" s="281"/>
      <c r="M701" s="267">
        <v>12</v>
      </c>
      <c r="N701" s="267">
        <v>12</v>
      </c>
      <c r="O701" s="268" t="s">
        <v>1812</v>
      </c>
      <c r="P701" s="269" t="s">
        <v>1603</v>
      </c>
      <c r="Q701" s="269"/>
      <c r="R701" s="270"/>
      <c r="S701" s="271"/>
      <c r="T701" s="272"/>
      <c r="U701" s="272"/>
      <c r="V701" s="273"/>
      <c r="W701" s="274"/>
      <c r="X701" s="275">
        <v>31</v>
      </c>
      <c r="Y701" s="276" t="s">
        <v>825</v>
      </c>
      <c r="Z701" s="265" t="s">
        <v>825</v>
      </c>
      <c r="AA701" s="265" t="s">
        <v>825</v>
      </c>
      <c r="AB701" s="265" t="s">
        <v>825</v>
      </c>
      <c r="AC701" s="265" t="s">
        <v>825</v>
      </c>
      <c r="AD701" s="265" t="s">
        <v>825</v>
      </c>
      <c r="AE701" s="265" t="s">
        <v>825</v>
      </c>
      <c r="AF701" s="265" t="s">
        <v>825</v>
      </c>
      <c r="AG701" s="265" t="s">
        <v>825</v>
      </c>
      <c r="AH701" s="265" t="s">
        <v>825</v>
      </c>
      <c r="AI701" s="277" t="s">
        <v>825</v>
      </c>
      <c r="AJ701" s="278" t="s">
        <v>1606</v>
      </c>
      <c r="AK701" s="693" t="s">
        <v>2330</v>
      </c>
    </row>
    <row r="702" spans="1:37" s="653" customFormat="1">
      <c r="A702" s="655">
        <v>2024</v>
      </c>
      <c r="B702" s="656" t="str">
        <f>INDEX('①基本情報 '!$C$2:$C$255,MATCH('②建物情報 '!E702,'①基本情報 '!$E$2:$E$255,0),1)</f>
        <v>241</v>
      </c>
      <c r="C702" s="657" t="str">
        <f>INDEX('①基本情報 '!$B$2:$B$255,MATCH('②建物情報 '!E702,'①基本情報 '!$E$2:$E$255,0),1)</f>
        <v>9701</v>
      </c>
      <c r="D702" s="658" t="s">
        <v>2418</v>
      </c>
      <c r="E702" s="612" t="s">
        <v>1493</v>
      </c>
      <c r="F702" s="611" t="str">
        <f>INDEX('①基本情報 '!$G$2:$G$255,MATCH('②建物情報 '!E702,'①基本情報 '!$E$2:$E$255,0),1)</f>
        <v>伊丹病院</v>
      </c>
      <c r="G702" s="678" t="s">
        <v>1580</v>
      </c>
      <c r="H702" s="612" t="s">
        <v>1782</v>
      </c>
      <c r="I702" s="663">
        <v>1983</v>
      </c>
      <c r="J702" s="663">
        <v>3</v>
      </c>
      <c r="K702" s="663">
        <f t="shared" si="11"/>
        <v>41</v>
      </c>
      <c r="L702" s="694">
        <v>7590.85</v>
      </c>
      <c r="M702" s="695">
        <v>26003.37</v>
      </c>
      <c r="N702" s="695">
        <v>26003.37</v>
      </c>
      <c r="O702" s="681" t="s">
        <v>1812</v>
      </c>
      <c r="P702" s="259" t="s">
        <v>1627</v>
      </c>
      <c r="Q702" s="259">
        <v>6</v>
      </c>
      <c r="R702" s="260">
        <v>1</v>
      </c>
      <c r="S702" s="682" t="s">
        <v>1593</v>
      </c>
      <c r="T702" s="683" t="s">
        <v>825</v>
      </c>
      <c r="U702" s="683" t="s">
        <v>63</v>
      </c>
      <c r="V702" s="684"/>
      <c r="W702" s="685"/>
      <c r="X702" s="686">
        <v>50</v>
      </c>
      <c r="Y702" s="687"/>
      <c r="Z702" s="663"/>
      <c r="AA702" s="663"/>
      <c r="AB702" s="663"/>
      <c r="AC702" s="663"/>
      <c r="AD702" s="663"/>
      <c r="AE702" s="663"/>
      <c r="AF702" s="663"/>
      <c r="AG702" s="663"/>
      <c r="AH702" s="663"/>
      <c r="AI702" s="688"/>
      <c r="AJ702" s="689" t="s">
        <v>1588</v>
      </c>
      <c r="AK702" s="690"/>
    </row>
    <row r="703" spans="1:37" s="653" customFormat="1">
      <c r="A703" s="655">
        <v>2024</v>
      </c>
      <c r="B703" s="656" t="str">
        <f>INDEX('①基本情報 '!$C$2:$C$255,MATCH('②建物情報 '!E703,'①基本情報 '!$E$2:$E$255,0),1)</f>
        <v>241</v>
      </c>
      <c r="C703" s="657" t="str">
        <f>INDEX('①基本情報 '!$B$2:$B$255,MATCH('②建物情報 '!E703,'①基本情報 '!$E$2:$E$255,0),1)</f>
        <v>9701</v>
      </c>
      <c r="D703" s="658" t="s">
        <v>2418</v>
      </c>
      <c r="E703" s="612" t="s">
        <v>1493</v>
      </c>
      <c r="F703" s="611" t="str">
        <f>INDEX('①基本情報 '!$G$2:$G$255,MATCH('②建物情報 '!E703,'①基本情報 '!$E$2:$E$255,0),1)</f>
        <v>伊丹病院</v>
      </c>
      <c r="G703" s="678" t="s">
        <v>1589</v>
      </c>
      <c r="H703" s="612" t="s">
        <v>1612</v>
      </c>
      <c r="I703" s="663">
        <v>1983</v>
      </c>
      <c r="J703" s="663">
        <v>3</v>
      </c>
      <c r="K703" s="663">
        <f t="shared" si="11"/>
        <v>41</v>
      </c>
      <c r="L703" s="694">
        <v>8</v>
      </c>
      <c r="M703" s="695">
        <v>8</v>
      </c>
      <c r="N703" s="695">
        <v>8</v>
      </c>
      <c r="O703" s="681" t="s">
        <v>1812</v>
      </c>
      <c r="P703" s="259"/>
      <c r="Q703" s="259"/>
      <c r="R703" s="260"/>
      <c r="S703" s="682" t="s">
        <v>1927</v>
      </c>
      <c r="T703" s="683" t="s">
        <v>1966</v>
      </c>
      <c r="U703" s="683" t="s">
        <v>1846</v>
      </c>
      <c r="V703" s="684"/>
      <c r="W703" s="685"/>
      <c r="X703" s="686"/>
      <c r="Y703" s="687"/>
      <c r="Z703" s="663"/>
      <c r="AA703" s="663"/>
      <c r="AB703" s="663"/>
      <c r="AC703" s="663"/>
      <c r="AD703" s="663"/>
      <c r="AE703" s="663"/>
      <c r="AF703" s="663"/>
      <c r="AG703" s="663"/>
      <c r="AH703" s="663"/>
      <c r="AI703" s="688"/>
      <c r="AJ703" s="689" t="s">
        <v>1588</v>
      </c>
      <c r="AK703" s="690"/>
    </row>
    <row r="704" spans="1:37" s="653" customFormat="1">
      <c r="A704" s="655">
        <v>2024</v>
      </c>
      <c r="B704" s="656" t="str">
        <f>INDEX('①基本情報 '!$C$2:$C$255,MATCH('②建物情報 '!E704,'①基本情報 '!$E$2:$E$255,0),1)</f>
        <v>241</v>
      </c>
      <c r="C704" s="657" t="str">
        <f>INDEX('①基本情報 '!$B$2:$B$255,MATCH('②建物情報 '!E704,'①基本情報 '!$E$2:$E$255,0),1)</f>
        <v>9701</v>
      </c>
      <c r="D704" s="658" t="s">
        <v>2418</v>
      </c>
      <c r="E704" s="612" t="s">
        <v>1493</v>
      </c>
      <c r="F704" s="611" t="str">
        <f>INDEX('①基本情報 '!$G$2:$G$255,MATCH('②建物情報 '!E704,'①基本情報 '!$E$2:$E$255,0),1)</f>
        <v>伊丹病院</v>
      </c>
      <c r="G704" s="678" t="s">
        <v>1591</v>
      </c>
      <c r="H704" s="612" t="s">
        <v>1783</v>
      </c>
      <c r="I704" s="663">
        <v>1983</v>
      </c>
      <c r="J704" s="663">
        <v>3</v>
      </c>
      <c r="K704" s="663">
        <f t="shared" si="11"/>
        <v>41</v>
      </c>
      <c r="L704" s="694">
        <v>48.59</v>
      </c>
      <c r="M704" s="695">
        <v>48.59</v>
      </c>
      <c r="N704" s="695">
        <v>48.59</v>
      </c>
      <c r="O704" s="681" t="s">
        <v>1812</v>
      </c>
      <c r="P704" s="259"/>
      <c r="Q704" s="259"/>
      <c r="R704" s="260"/>
      <c r="S704" s="682" t="s">
        <v>1927</v>
      </c>
      <c r="T704" s="683" t="s">
        <v>1966</v>
      </c>
      <c r="U704" s="683" t="s">
        <v>1846</v>
      </c>
      <c r="V704" s="684"/>
      <c r="W704" s="685"/>
      <c r="X704" s="686"/>
      <c r="Y704" s="687"/>
      <c r="Z704" s="663"/>
      <c r="AA704" s="663"/>
      <c r="AB704" s="663"/>
      <c r="AC704" s="663"/>
      <c r="AD704" s="663"/>
      <c r="AE704" s="663"/>
      <c r="AF704" s="663"/>
      <c r="AG704" s="663"/>
      <c r="AH704" s="663"/>
      <c r="AI704" s="688"/>
      <c r="AJ704" s="689" t="s">
        <v>1588</v>
      </c>
      <c r="AK704" s="690"/>
    </row>
    <row r="705" spans="1:37" s="653" customFormat="1">
      <c r="A705" s="655">
        <v>2024</v>
      </c>
      <c r="B705" s="656" t="str">
        <f>INDEX('①基本情報 '!$C$2:$C$255,MATCH('②建物情報 '!E705,'①基本情報 '!$E$2:$E$255,0),1)</f>
        <v>241</v>
      </c>
      <c r="C705" s="657" t="str">
        <f>INDEX('①基本情報 '!$B$2:$B$255,MATCH('②建物情報 '!E705,'①基本情報 '!$E$2:$E$255,0),1)</f>
        <v>9701</v>
      </c>
      <c r="D705" s="658" t="s">
        <v>2418</v>
      </c>
      <c r="E705" s="612" t="s">
        <v>1493</v>
      </c>
      <c r="F705" s="611" t="str">
        <f>INDEX('①基本情報 '!$G$2:$G$255,MATCH('②建物情報 '!E705,'①基本情報 '!$E$2:$E$255,0),1)</f>
        <v>伊丹病院</v>
      </c>
      <c r="G705" s="678" t="s">
        <v>1601</v>
      </c>
      <c r="H705" s="612" t="s">
        <v>1699</v>
      </c>
      <c r="I705" s="663">
        <v>1983</v>
      </c>
      <c r="J705" s="663">
        <v>3</v>
      </c>
      <c r="K705" s="663">
        <f t="shared" si="11"/>
        <v>41</v>
      </c>
      <c r="L705" s="694">
        <v>135.75</v>
      </c>
      <c r="M705" s="695">
        <v>135.75</v>
      </c>
      <c r="N705" s="695">
        <v>135.75</v>
      </c>
      <c r="O705" s="681" t="s">
        <v>1812</v>
      </c>
      <c r="P705" s="259"/>
      <c r="Q705" s="259"/>
      <c r="R705" s="260"/>
      <c r="S705" s="682" t="s">
        <v>1927</v>
      </c>
      <c r="T705" s="683" t="s">
        <v>1966</v>
      </c>
      <c r="U705" s="683" t="s">
        <v>1846</v>
      </c>
      <c r="V705" s="684"/>
      <c r="W705" s="685"/>
      <c r="X705" s="686"/>
      <c r="Y705" s="687"/>
      <c r="Z705" s="663"/>
      <c r="AA705" s="663"/>
      <c r="AB705" s="663"/>
      <c r="AC705" s="663"/>
      <c r="AD705" s="663"/>
      <c r="AE705" s="663"/>
      <c r="AF705" s="663"/>
      <c r="AG705" s="663"/>
      <c r="AH705" s="663"/>
      <c r="AI705" s="688"/>
      <c r="AJ705" s="689" t="s">
        <v>1588</v>
      </c>
      <c r="AK705" s="690"/>
    </row>
    <row r="706" spans="1:37" s="653" customFormat="1">
      <c r="A706" s="655">
        <v>2024</v>
      </c>
      <c r="B706" s="729" t="str">
        <f>INDEX('①基本情報 '!$C$2:$C$255,MATCH('②建物情報 '!E706,'①基本情報 '!$E$2:$E$255,0),1)</f>
        <v>241</v>
      </c>
      <c r="C706" s="657" t="str">
        <f>INDEX('①基本情報 '!$B$2:$B$255,MATCH('②建物情報 '!E706,'①基本情報 '!$E$2:$E$255,0),1)</f>
        <v>9701</v>
      </c>
      <c r="D706" s="261" t="s">
        <v>2418</v>
      </c>
      <c r="E706" s="262" t="s">
        <v>1493</v>
      </c>
      <c r="F706" s="263" t="str">
        <f>INDEX('①基本情報 '!$G$2:$G$255,MATCH('②建物情報 '!E706,'①基本情報 '!$E$2:$E$255,0),1)</f>
        <v>伊丹病院</v>
      </c>
      <c r="G706" s="264" t="s">
        <v>1620</v>
      </c>
      <c r="H706" s="262" t="s">
        <v>2512</v>
      </c>
      <c r="I706" s="265">
        <v>1983</v>
      </c>
      <c r="J706" s="265">
        <v>3</v>
      </c>
      <c r="K706" s="265">
        <f>IF(I706&lt;&gt;"",2020-I706,99)</f>
        <v>37</v>
      </c>
      <c r="L706" s="281">
        <v>226</v>
      </c>
      <c r="M706" s="279">
        <v>226</v>
      </c>
      <c r="N706" s="279">
        <v>226</v>
      </c>
      <c r="O706" s="268" t="s">
        <v>1812</v>
      </c>
      <c r="P706" s="269"/>
      <c r="Q706" s="269"/>
      <c r="R706" s="270"/>
      <c r="S706" s="271"/>
      <c r="T706" s="272"/>
      <c r="U706" s="272"/>
      <c r="V706" s="273"/>
      <c r="W706" s="274"/>
      <c r="X706" s="275"/>
      <c r="Y706" s="276"/>
      <c r="Z706" s="265"/>
      <c r="AA706" s="265"/>
      <c r="AB706" s="265"/>
      <c r="AC706" s="265"/>
      <c r="AD706" s="265"/>
      <c r="AE706" s="265"/>
      <c r="AF706" s="265"/>
      <c r="AG706" s="265"/>
      <c r="AH706" s="265"/>
      <c r="AI706" s="277"/>
      <c r="AJ706" s="278" t="s">
        <v>1606</v>
      </c>
      <c r="AK706" s="693" t="s">
        <v>2330</v>
      </c>
    </row>
    <row r="707" spans="1:37" s="653" customFormat="1">
      <c r="A707" s="655">
        <v>2024</v>
      </c>
      <c r="B707" s="656" t="str">
        <f>INDEX('①基本情報 '!$C$2:$C$255,MATCH('②建物情報 '!E707,'①基本情報 '!$E$2:$E$255,0),1)</f>
        <v>241</v>
      </c>
      <c r="C707" s="657" t="str">
        <f>INDEX('①基本情報 '!$B$2:$B$255,MATCH('②建物情報 '!E707,'①基本情報 '!$E$2:$E$255,0),1)</f>
        <v>9701</v>
      </c>
      <c r="D707" s="658" t="s">
        <v>2418</v>
      </c>
      <c r="E707" s="612" t="s">
        <v>1493</v>
      </c>
      <c r="F707" s="611" t="str">
        <f>INDEX('①基本情報 '!$G$2:$G$255,MATCH('②建物情報 '!E707,'①基本情報 '!$E$2:$E$255,0),1)</f>
        <v>伊丹病院</v>
      </c>
      <c r="G707" s="678" t="s">
        <v>1643</v>
      </c>
      <c r="H707" s="612" t="s">
        <v>2513</v>
      </c>
      <c r="I707" s="663">
        <v>1983</v>
      </c>
      <c r="J707" s="663">
        <v>3</v>
      </c>
      <c r="K707" s="663">
        <f>IF(I707&lt;&gt;"",2020-I707,99)</f>
        <v>37</v>
      </c>
      <c r="L707" s="694">
        <v>400.38</v>
      </c>
      <c r="M707" s="695">
        <v>1255.3499999999999</v>
      </c>
      <c r="N707" s="695">
        <v>1255.3499999999999</v>
      </c>
      <c r="O707" s="681" t="s">
        <v>1812</v>
      </c>
      <c r="P707" s="259"/>
      <c r="Q707" s="259"/>
      <c r="R707" s="260"/>
      <c r="S707" s="682" t="s">
        <v>1927</v>
      </c>
      <c r="T707" s="683" t="s">
        <v>1966</v>
      </c>
      <c r="U707" s="683" t="s">
        <v>1846</v>
      </c>
      <c r="V707" s="684"/>
      <c r="W707" s="685"/>
      <c r="X707" s="686"/>
      <c r="Y707" s="687"/>
      <c r="Z707" s="663"/>
      <c r="AA707" s="663"/>
      <c r="AB707" s="663"/>
      <c r="AC707" s="663"/>
      <c r="AD707" s="663"/>
      <c r="AE707" s="663"/>
      <c r="AF707" s="663"/>
      <c r="AG707" s="663"/>
      <c r="AH707" s="663"/>
      <c r="AI707" s="688"/>
      <c r="AJ707" s="689" t="s">
        <v>1588</v>
      </c>
      <c r="AK707" s="690" t="s">
        <v>2560</v>
      </c>
    </row>
    <row r="708" spans="1:37" s="653" customFormat="1">
      <c r="A708" s="655">
        <v>2024</v>
      </c>
      <c r="B708" s="656" t="str">
        <f>INDEX('①基本情報 '!$C$2:$C$255,MATCH('②建物情報 '!E708,'①基本情報 '!$E$2:$E$255,0),1)</f>
        <v>241</v>
      </c>
      <c r="C708" s="657" t="str">
        <f>INDEX('①基本情報 '!$B$2:$B$255,MATCH('②建物情報 '!E708,'①基本情報 '!$E$2:$E$255,0),1)</f>
        <v>9701</v>
      </c>
      <c r="D708" s="658" t="s">
        <v>2418</v>
      </c>
      <c r="E708" s="612" t="s">
        <v>1493</v>
      </c>
      <c r="F708" s="611" t="str">
        <f>INDEX('①基本情報 '!$G$2:$G$255,MATCH('②建物情報 '!E708,'①基本情報 '!$E$2:$E$255,0),1)</f>
        <v>伊丹病院</v>
      </c>
      <c r="G708" s="678" t="s">
        <v>1645</v>
      </c>
      <c r="H708" s="612" t="s">
        <v>2514</v>
      </c>
      <c r="I708" s="663">
        <v>1983</v>
      </c>
      <c r="J708" s="663">
        <v>3</v>
      </c>
      <c r="K708" s="663">
        <f>IF(I708&lt;&gt;"",2020-I708,99)</f>
        <v>37</v>
      </c>
      <c r="L708" s="694">
        <v>299.33</v>
      </c>
      <c r="M708" s="695">
        <v>1041.5999999999999</v>
      </c>
      <c r="N708" s="695">
        <v>1041.5999999999999</v>
      </c>
      <c r="O708" s="681" t="s">
        <v>1812</v>
      </c>
      <c r="P708" s="259"/>
      <c r="Q708" s="259"/>
      <c r="R708" s="260"/>
      <c r="S708" s="682" t="s">
        <v>1927</v>
      </c>
      <c r="T708" s="683" t="s">
        <v>1966</v>
      </c>
      <c r="U708" s="683" t="s">
        <v>1846</v>
      </c>
      <c r="V708" s="684"/>
      <c r="W708" s="685"/>
      <c r="X708" s="686"/>
      <c r="Y708" s="687"/>
      <c r="Z708" s="663"/>
      <c r="AA708" s="663"/>
      <c r="AB708" s="663"/>
      <c r="AC708" s="663"/>
      <c r="AD708" s="663"/>
      <c r="AE708" s="663"/>
      <c r="AF708" s="663"/>
      <c r="AG708" s="663"/>
      <c r="AH708" s="663"/>
      <c r="AI708" s="688"/>
      <c r="AJ708" s="689" t="s">
        <v>1588</v>
      </c>
      <c r="AK708" s="690" t="s">
        <v>2560</v>
      </c>
    </row>
    <row r="709" spans="1:37" s="653" customFormat="1">
      <c r="A709" s="655">
        <v>2024</v>
      </c>
      <c r="B709" s="656" t="str">
        <f>INDEX('①基本情報 '!$C$2:$C$255,MATCH('②建物情報 '!E709,'①基本情報 '!$E$2:$E$255,0),1)</f>
        <v>241</v>
      </c>
      <c r="C709" s="657" t="str">
        <f>INDEX('①基本情報 '!$B$2:$B$255,MATCH('②建物情報 '!E709,'①基本情報 '!$E$2:$E$255,0),1)</f>
        <v>9701</v>
      </c>
      <c r="D709" s="658" t="s">
        <v>2418</v>
      </c>
      <c r="E709" s="612" t="s">
        <v>1493</v>
      </c>
      <c r="F709" s="611" t="str">
        <f>INDEX('①基本情報 '!$G$2:$G$255,MATCH('②建物情報 '!E709,'①基本情報 '!$E$2:$E$255,0),1)</f>
        <v>伊丹病院</v>
      </c>
      <c r="G709" s="678" t="s">
        <v>1646</v>
      </c>
      <c r="H709" s="612" t="s">
        <v>2515</v>
      </c>
      <c r="I709" s="663">
        <v>1983</v>
      </c>
      <c r="J709" s="663">
        <v>3</v>
      </c>
      <c r="K709" s="663">
        <f>IF(I709&lt;&gt;"",2020-I709,99)</f>
        <v>37</v>
      </c>
      <c r="L709" s="694">
        <v>31.05</v>
      </c>
      <c r="M709" s="695">
        <v>31.05</v>
      </c>
      <c r="N709" s="695">
        <v>31.05</v>
      </c>
      <c r="O709" s="681" t="s">
        <v>1812</v>
      </c>
      <c r="P709" s="259"/>
      <c r="Q709" s="259"/>
      <c r="R709" s="260"/>
      <c r="S709" s="682" t="s">
        <v>1927</v>
      </c>
      <c r="T709" s="683" t="s">
        <v>1966</v>
      </c>
      <c r="U709" s="683" t="s">
        <v>1846</v>
      </c>
      <c r="V709" s="684"/>
      <c r="W709" s="685"/>
      <c r="X709" s="686"/>
      <c r="Y709" s="687"/>
      <c r="Z709" s="663"/>
      <c r="AA709" s="663"/>
      <c r="AB709" s="663"/>
      <c r="AC709" s="663"/>
      <c r="AD709" s="663"/>
      <c r="AE709" s="663"/>
      <c r="AF709" s="663"/>
      <c r="AG709" s="663"/>
      <c r="AH709" s="663"/>
      <c r="AI709" s="688"/>
      <c r="AJ709" s="689" t="s">
        <v>1588</v>
      </c>
      <c r="AK709" s="690" t="s">
        <v>2560</v>
      </c>
    </row>
    <row r="710" spans="1:37" s="653" customFormat="1">
      <c r="A710" s="655">
        <v>2024</v>
      </c>
      <c r="B710" s="729" t="str">
        <f>INDEX('①基本情報 '!$C$2:$C$255,MATCH('②建物情報 '!E710,'①基本情報 '!$E$2:$E$255,0),1)</f>
        <v>241</v>
      </c>
      <c r="C710" s="657" t="str">
        <f>INDEX('①基本情報 '!$B$2:$B$255,MATCH('②建物情報 '!E710,'①基本情報 '!$E$2:$E$255,0),1)</f>
        <v>9701</v>
      </c>
      <c r="D710" s="261" t="s">
        <v>2418</v>
      </c>
      <c r="E710" s="262" t="s">
        <v>1493</v>
      </c>
      <c r="F710" s="263" t="str">
        <f>INDEX('①基本情報 '!$G$2:$G$255,MATCH('②建物情報 '!E710,'①基本情報 '!$E$2:$E$255,0),1)</f>
        <v>伊丹病院</v>
      </c>
      <c r="G710" s="264" t="s">
        <v>1647</v>
      </c>
      <c r="H710" s="262" t="s">
        <v>2516</v>
      </c>
      <c r="I710" s="265">
        <v>1983</v>
      </c>
      <c r="J710" s="265">
        <v>3</v>
      </c>
      <c r="K710" s="265">
        <f>IF(I710&lt;&gt;"",2020-I710,99)</f>
        <v>37</v>
      </c>
      <c r="L710" s="281">
        <v>37.58</v>
      </c>
      <c r="M710" s="279">
        <v>37.58</v>
      </c>
      <c r="N710" s="279">
        <v>37.58</v>
      </c>
      <c r="O710" s="268" t="s">
        <v>1812</v>
      </c>
      <c r="P710" s="269"/>
      <c r="Q710" s="269"/>
      <c r="R710" s="270"/>
      <c r="S710" s="271"/>
      <c r="T710" s="272"/>
      <c r="U710" s="272"/>
      <c r="V710" s="273"/>
      <c r="W710" s="274"/>
      <c r="X710" s="275"/>
      <c r="Y710" s="276"/>
      <c r="Z710" s="265"/>
      <c r="AA710" s="265"/>
      <c r="AB710" s="265"/>
      <c r="AC710" s="265"/>
      <c r="AD710" s="265"/>
      <c r="AE710" s="265"/>
      <c r="AF710" s="265"/>
      <c r="AG710" s="265"/>
      <c r="AH710" s="265"/>
      <c r="AI710" s="277"/>
      <c r="AJ710" s="278" t="s">
        <v>1606</v>
      </c>
      <c r="AK710" s="693" t="s">
        <v>2330</v>
      </c>
    </row>
    <row r="711" spans="1:37" s="653" customFormat="1">
      <c r="A711" s="655">
        <v>2024</v>
      </c>
      <c r="B711" s="656" t="str">
        <f>INDEX('①基本情報 '!$C$2:$C$255,MATCH('②建物情報 '!E711,'①基本情報 '!$E$2:$E$255,0),1)</f>
        <v>241</v>
      </c>
      <c r="C711" s="657" t="str">
        <f>INDEX('①基本情報 '!$B$2:$B$255,MATCH('②建物情報 '!E711,'①基本情報 '!$E$2:$E$255,0),1)</f>
        <v>9701</v>
      </c>
      <c r="D711" s="658" t="s">
        <v>2418</v>
      </c>
      <c r="E711" s="612" t="s">
        <v>1493</v>
      </c>
      <c r="F711" s="611" t="str">
        <f>INDEX('①基本情報 '!$G$2:$G$255,MATCH('②建物情報 '!E711,'①基本情報 '!$E$2:$E$255,0),1)</f>
        <v>伊丹病院</v>
      </c>
      <c r="G711" s="678" t="s">
        <v>162</v>
      </c>
      <c r="H711" s="612" t="s">
        <v>1784</v>
      </c>
      <c r="I711" s="663">
        <v>1983</v>
      </c>
      <c r="J711" s="663">
        <v>3</v>
      </c>
      <c r="K711" s="663">
        <f t="shared" si="11"/>
        <v>41</v>
      </c>
      <c r="L711" s="694">
        <v>84.28</v>
      </c>
      <c r="M711" s="695">
        <v>79.819999999999993</v>
      </c>
      <c r="N711" s="695">
        <v>79.819999999999993</v>
      </c>
      <c r="O711" s="681" t="s">
        <v>1812</v>
      </c>
      <c r="P711" s="259"/>
      <c r="Q711" s="259"/>
      <c r="R711" s="260"/>
      <c r="S711" s="682" t="s">
        <v>1927</v>
      </c>
      <c r="T711" s="683" t="s">
        <v>1966</v>
      </c>
      <c r="U711" s="683" t="s">
        <v>1846</v>
      </c>
      <c r="V711" s="684"/>
      <c r="W711" s="685"/>
      <c r="X711" s="686"/>
      <c r="Y711" s="687"/>
      <c r="Z711" s="663"/>
      <c r="AA711" s="663"/>
      <c r="AB711" s="663"/>
      <c r="AC711" s="663"/>
      <c r="AD711" s="663"/>
      <c r="AE711" s="663"/>
      <c r="AF711" s="663"/>
      <c r="AG711" s="663"/>
      <c r="AH711" s="663"/>
      <c r="AI711" s="688"/>
      <c r="AJ711" s="689" t="s">
        <v>1588</v>
      </c>
      <c r="AK711" s="690"/>
    </row>
    <row r="712" spans="1:37" s="653" customFormat="1">
      <c r="A712" s="655">
        <v>2024</v>
      </c>
      <c r="B712" s="656" t="str">
        <f>INDEX('①基本情報 '!$C$2:$C$255,MATCH('②建物情報 '!E712,'①基本情報 '!$E$2:$E$255,0),1)</f>
        <v>241</v>
      </c>
      <c r="C712" s="657" t="str">
        <f>INDEX('①基本情報 '!$B$2:$B$255,MATCH('②建物情報 '!E712,'①基本情報 '!$E$2:$E$255,0),1)</f>
        <v>9701</v>
      </c>
      <c r="D712" s="658" t="s">
        <v>2418</v>
      </c>
      <c r="E712" s="612" t="s">
        <v>1493</v>
      </c>
      <c r="F712" s="611" t="str">
        <f>INDEX('①基本情報 '!$G$2:$G$255,MATCH('②建物情報 '!E712,'①基本情報 '!$E$2:$E$255,0),1)</f>
        <v>伊丹病院</v>
      </c>
      <c r="G712" s="678" t="s">
        <v>1652</v>
      </c>
      <c r="H712" s="612" t="s">
        <v>1785</v>
      </c>
      <c r="I712" s="663">
        <v>2014</v>
      </c>
      <c r="J712" s="663">
        <v>3</v>
      </c>
      <c r="K712" s="663">
        <f t="shared" si="11"/>
        <v>10</v>
      </c>
      <c r="L712" s="694">
        <v>922.79</v>
      </c>
      <c r="M712" s="695">
        <v>2726.4</v>
      </c>
      <c r="N712" s="695">
        <v>2726.4</v>
      </c>
      <c r="O712" s="681" t="s">
        <v>1812</v>
      </c>
      <c r="P712" s="259"/>
      <c r="Q712" s="259"/>
      <c r="R712" s="260"/>
      <c r="S712" s="682" t="s">
        <v>1927</v>
      </c>
      <c r="T712" s="683" t="s">
        <v>1966</v>
      </c>
      <c r="U712" s="683" t="s">
        <v>1846</v>
      </c>
      <c r="V712" s="684"/>
      <c r="W712" s="685"/>
      <c r="X712" s="686"/>
      <c r="Y712" s="687"/>
      <c r="Z712" s="663"/>
      <c r="AA712" s="663"/>
      <c r="AB712" s="663"/>
      <c r="AC712" s="663"/>
      <c r="AD712" s="663"/>
      <c r="AE712" s="663"/>
      <c r="AF712" s="663"/>
      <c r="AG712" s="663"/>
      <c r="AH712" s="663"/>
      <c r="AI712" s="688"/>
      <c r="AJ712" s="689" t="s">
        <v>1588</v>
      </c>
      <c r="AK712" s="690"/>
    </row>
    <row r="713" spans="1:37" s="653" customFormat="1">
      <c r="A713" s="655">
        <v>2024</v>
      </c>
      <c r="B713" s="656" t="str">
        <f>INDEX('①基本情報 '!$C$2:$C$255,MATCH('②建物情報 '!E713,'①基本情報 '!$E$2:$E$255,0),1)</f>
        <v>241</v>
      </c>
      <c r="C713" s="657" t="str">
        <f>INDEX('①基本情報 '!$B$2:$B$255,MATCH('②建物情報 '!E713,'①基本情報 '!$E$2:$E$255,0),1)</f>
        <v>9701</v>
      </c>
      <c r="D713" s="658" t="s">
        <v>2418</v>
      </c>
      <c r="E713" s="612" t="s">
        <v>1493</v>
      </c>
      <c r="F713" s="611" t="str">
        <f>INDEX('①基本情報 '!$G$2:$G$255,MATCH('②建物情報 '!E713,'①基本情報 '!$E$2:$E$255,0),1)</f>
        <v>伊丹病院</v>
      </c>
      <c r="G713" s="678" t="s">
        <v>861</v>
      </c>
      <c r="H713" s="612" t="s">
        <v>1786</v>
      </c>
      <c r="I713" s="663">
        <v>2014</v>
      </c>
      <c r="J713" s="663">
        <v>3</v>
      </c>
      <c r="K713" s="663">
        <f t="shared" si="11"/>
        <v>10</v>
      </c>
      <c r="L713" s="694">
        <v>56.58</v>
      </c>
      <c r="M713" s="695">
        <v>66.83</v>
      </c>
      <c r="N713" s="695">
        <v>66.83</v>
      </c>
      <c r="O713" s="681" t="s">
        <v>1812</v>
      </c>
      <c r="P713" s="259"/>
      <c r="Q713" s="259"/>
      <c r="R713" s="260"/>
      <c r="S713" s="682" t="s">
        <v>1927</v>
      </c>
      <c r="T713" s="683" t="s">
        <v>1966</v>
      </c>
      <c r="U713" s="683" t="s">
        <v>1846</v>
      </c>
      <c r="V713" s="684"/>
      <c r="W713" s="685"/>
      <c r="X713" s="686"/>
      <c r="Y713" s="687"/>
      <c r="Z713" s="663"/>
      <c r="AA713" s="663"/>
      <c r="AB713" s="663"/>
      <c r="AC713" s="663"/>
      <c r="AD713" s="663"/>
      <c r="AE713" s="663"/>
      <c r="AF713" s="663"/>
      <c r="AG713" s="663"/>
      <c r="AH713" s="663"/>
      <c r="AI713" s="688"/>
      <c r="AJ713" s="689" t="s">
        <v>1588</v>
      </c>
      <c r="AK713" s="690"/>
    </row>
    <row r="714" spans="1:37" s="653" customFormat="1">
      <c r="A714" s="655">
        <v>2024</v>
      </c>
      <c r="B714" s="656" t="str">
        <f>INDEX('①基本情報 '!$C$2:$C$255,MATCH('②建物情報 '!E714,'①基本情報 '!$E$2:$E$255,0),1)</f>
        <v>242</v>
      </c>
      <c r="C714" s="657" t="str">
        <f>INDEX('①基本情報 '!$B$2:$B$255,MATCH('②建物情報 '!E714,'①基本情報 '!$E$2:$E$255,0),1)</f>
        <v>9501</v>
      </c>
      <c r="D714" s="658" t="s">
        <v>2418</v>
      </c>
      <c r="E714" s="612" t="s">
        <v>1502</v>
      </c>
      <c r="F714" s="611" t="str">
        <f>INDEX('①基本情報 '!$G$2:$G$255,MATCH('②建物情報 '!E714,'①基本情報 '!$E$2:$E$255,0),1)</f>
        <v>上下水道局経営企画室経営企画課</v>
      </c>
      <c r="G714" s="678" t="s">
        <v>1580</v>
      </c>
      <c r="H714" s="612" t="s">
        <v>1610</v>
      </c>
      <c r="I714" s="663">
        <v>1972</v>
      </c>
      <c r="J714" s="663">
        <v>3</v>
      </c>
      <c r="K714" s="663">
        <f t="shared" si="11"/>
        <v>52</v>
      </c>
      <c r="L714" s="694">
        <v>708.62</v>
      </c>
      <c r="M714" s="695">
        <v>2485</v>
      </c>
      <c r="N714" s="695">
        <v>2485</v>
      </c>
      <c r="O714" s="681" t="s">
        <v>1812</v>
      </c>
      <c r="P714" s="259" t="s">
        <v>1581</v>
      </c>
      <c r="Q714" s="259">
        <v>3</v>
      </c>
      <c r="R714" s="260">
        <v>1</v>
      </c>
      <c r="S714" s="682" t="s">
        <v>1927</v>
      </c>
      <c r="T714" s="683" t="s">
        <v>1886</v>
      </c>
      <c r="U714" s="683" t="s">
        <v>1846</v>
      </c>
      <c r="V714" s="684">
        <v>2020</v>
      </c>
      <c r="W714" s="731" t="s">
        <v>2553</v>
      </c>
      <c r="X714" s="686">
        <v>50</v>
      </c>
      <c r="Y714" s="687"/>
      <c r="Z714" s="663"/>
      <c r="AA714" s="663"/>
      <c r="AB714" s="663"/>
      <c r="AC714" s="663"/>
      <c r="AD714" s="663"/>
      <c r="AE714" s="663"/>
      <c r="AF714" s="663"/>
      <c r="AG714" s="663"/>
      <c r="AH714" s="663"/>
      <c r="AI714" s="688"/>
      <c r="AJ714" s="689" t="s">
        <v>1588</v>
      </c>
      <c r="AK714" s="690"/>
    </row>
    <row r="715" spans="1:37" s="653" customFormat="1">
      <c r="A715" s="655">
        <v>2024</v>
      </c>
      <c r="B715" s="656" t="str">
        <f>INDEX('①基本情報 '!$C$2:$C$255,MATCH('②建物情報 '!E715,'①基本情報 '!$E$2:$E$255,0),1)</f>
        <v>243</v>
      </c>
      <c r="C715" s="657" t="str">
        <f>INDEX('①基本情報 '!$B$2:$B$255,MATCH('②建物情報 '!E715,'①基本情報 '!$E$2:$E$255,0),1)</f>
        <v>9502</v>
      </c>
      <c r="D715" s="658" t="s">
        <v>2418</v>
      </c>
      <c r="E715" s="612" t="s">
        <v>1507</v>
      </c>
      <c r="F715" s="611" t="str">
        <f>INDEX('①基本情報 '!$G$2:$G$255,MATCH('②建物情報 '!E715,'①基本情報 '!$E$2:$E$255,0),1)</f>
        <v>上下水道局整備保全室浄水課</v>
      </c>
      <c r="G715" s="678" t="s">
        <v>1580</v>
      </c>
      <c r="H715" s="612" t="s">
        <v>1787</v>
      </c>
      <c r="I715" s="663">
        <v>1965</v>
      </c>
      <c r="J715" s="663">
        <v>3</v>
      </c>
      <c r="K715" s="663">
        <f t="shared" si="11"/>
        <v>59</v>
      </c>
      <c r="L715" s="694">
        <v>379.21</v>
      </c>
      <c r="M715" s="695">
        <v>374.49</v>
      </c>
      <c r="N715" s="695">
        <v>374.49</v>
      </c>
      <c r="O715" s="681" t="s">
        <v>1812</v>
      </c>
      <c r="P715" s="259" t="s">
        <v>1581</v>
      </c>
      <c r="Q715" s="259">
        <v>1</v>
      </c>
      <c r="R715" s="260">
        <v>1</v>
      </c>
      <c r="S715" s="682" t="s">
        <v>1582</v>
      </c>
      <c r="T715" s="683" t="s">
        <v>1583</v>
      </c>
      <c r="U715" s="683" t="s">
        <v>1846</v>
      </c>
      <c r="V715" s="684">
        <v>2015</v>
      </c>
      <c r="W715" s="685"/>
      <c r="X715" s="686"/>
      <c r="Y715" s="687"/>
      <c r="Z715" s="663"/>
      <c r="AA715" s="663"/>
      <c r="AB715" s="663"/>
      <c r="AC715" s="663"/>
      <c r="AD715" s="663"/>
      <c r="AE715" s="663"/>
      <c r="AF715" s="663"/>
      <c r="AG715" s="663"/>
      <c r="AH715" s="663"/>
      <c r="AI715" s="688"/>
      <c r="AJ715" s="689" t="s">
        <v>1588</v>
      </c>
      <c r="AK715" s="690"/>
    </row>
    <row r="716" spans="1:37" s="653" customFormat="1">
      <c r="A716" s="655">
        <v>2024</v>
      </c>
      <c r="B716" s="656" t="str">
        <f>INDEX('①基本情報 '!$C$2:$C$255,MATCH('②建物情報 '!E716,'①基本情報 '!$E$2:$E$255,0),1)</f>
        <v>243</v>
      </c>
      <c r="C716" s="657" t="str">
        <f>INDEX('①基本情報 '!$B$2:$B$255,MATCH('②建物情報 '!E716,'①基本情報 '!$E$2:$E$255,0),1)</f>
        <v>9502</v>
      </c>
      <c r="D716" s="658" t="s">
        <v>2418</v>
      </c>
      <c r="E716" s="612" t="s">
        <v>1507</v>
      </c>
      <c r="F716" s="611" t="str">
        <f>INDEX('①基本情報 '!$G$2:$G$255,MATCH('②建物情報 '!E716,'①基本情報 '!$E$2:$E$255,0),1)</f>
        <v>上下水道局整備保全室浄水課</v>
      </c>
      <c r="G716" s="678" t="s">
        <v>1591</v>
      </c>
      <c r="H716" s="612" t="s">
        <v>1788</v>
      </c>
      <c r="I716" s="663">
        <v>1969</v>
      </c>
      <c r="J716" s="663">
        <v>3</v>
      </c>
      <c r="K716" s="663">
        <f t="shared" si="11"/>
        <v>55</v>
      </c>
      <c r="L716" s="694">
        <v>196.02</v>
      </c>
      <c r="M716" s="695">
        <v>192.29</v>
      </c>
      <c r="N716" s="695">
        <v>192.29</v>
      </c>
      <c r="O716" s="681" t="s">
        <v>1812</v>
      </c>
      <c r="P716" s="259" t="s">
        <v>1581</v>
      </c>
      <c r="Q716" s="259">
        <v>1</v>
      </c>
      <c r="R716" s="260">
        <v>1</v>
      </c>
      <c r="S716" s="682" t="s">
        <v>1582</v>
      </c>
      <c r="T716" s="683" t="s">
        <v>1583</v>
      </c>
      <c r="U716" s="683" t="s">
        <v>63</v>
      </c>
      <c r="V716" s="684"/>
      <c r="W716" s="685"/>
      <c r="X716" s="686"/>
      <c r="Y716" s="687"/>
      <c r="Z716" s="663"/>
      <c r="AA716" s="663"/>
      <c r="AB716" s="663"/>
      <c r="AC716" s="663"/>
      <c r="AD716" s="663"/>
      <c r="AE716" s="663"/>
      <c r="AF716" s="663"/>
      <c r="AG716" s="663"/>
      <c r="AH716" s="663"/>
      <c r="AI716" s="688"/>
      <c r="AJ716" s="689" t="s">
        <v>1588</v>
      </c>
      <c r="AK716" s="690"/>
    </row>
    <row r="717" spans="1:37" s="653" customFormat="1">
      <c r="A717" s="655">
        <v>2024</v>
      </c>
      <c r="B717" s="656" t="str">
        <f>INDEX('①基本情報 '!$C$2:$C$255,MATCH('②建物情報 '!E717,'①基本情報 '!$E$2:$E$255,0),1)</f>
        <v>243</v>
      </c>
      <c r="C717" s="657" t="str">
        <f>INDEX('①基本情報 '!$B$2:$B$255,MATCH('②建物情報 '!E717,'①基本情報 '!$E$2:$E$255,0),1)</f>
        <v>9502</v>
      </c>
      <c r="D717" s="658" t="s">
        <v>2418</v>
      </c>
      <c r="E717" s="612" t="s">
        <v>1507</v>
      </c>
      <c r="F717" s="611" t="str">
        <f>INDEX('①基本情報 '!$G$2:$G$255,MATCH('②建物情報 '!E717,'①基本情報 '!$E$2:$E$255,0),1)</f>
        <v>上下水道局整備保全室浄水課</v>
      </c>
      <c r="G717" s="678" t="s">
        <v>1601</v>
      </c>
      <c r="H717" s="612" t="s">
        <v>1789</v>
      </c>
      <c r="I717" s="663">
        <v>1965</v>
      </c>
      <c r="J717" s="663">
        <v>3</v>
      </c>
      <c r="K717" s="663">
        <f t="shared" si="11"/>
        <v>59</v>
      </c>
      <c r="L717" s="694">
        <v>209.36</v>
      </c>
      <c r="M717" s="695">
        <v>198.82</v>
      </c>
      <c r="N717" s="695">
        <v>198.82</v>
      </c>
      <c r="O717" s="681" t="s">
        <v>1812</v>
      </c>
      <c r="P717" s="259" t="s">
        <v>1581</v>
      </c>
      <c r="Q717" s="259">
        <v>2</v>
      </c>
      <c r="R717" s="260">
        <v>0</v>
      </c>
      <c r="S717" s="682" t="s">
        <v>1582</v>
      </c>
      <c r="T717" s="683" t="s">
        <v>1886</v>
      </c>
      <c r="U717" s="683" t="s">
        <v>1846</v>
      </c>
      <c r="V717" s="684"/>
      <c r="W717" s="685"/>
      <c r="X717" s="686"/>
      <c r="Y717" s="687"/>
      <c r="Z717" s="663"/>
      <c r="AA717" s="663"/>
      <c r="AB717" s="663"/>
      <c r="AC717" s="663"/>
      <c r="AD717" s="663"/>
      <c r="AE717" s="663"/>
      <c r="AF717" s="663"/>
      <c r="AG717" s="663"/>
      <c r="AH717" s="663"/>
      <c r="AI717" s="688"/>
      <c r="AJ717" s="689" t="s">
        <v>1588</v>
      </c>
      <c r="AK717" s="690"/>
    </row>
    <row r="718" spans="1:37" s="653" customFormat="1">
      <c r="A718" s="655">
        <v>2024</v>
      </c>
      <c r="B718" s="656" t="str">
        <f>INDEX('①基本情報 '!$C$2:$C$255,MATCH('②建物情報 '!E718,'①基本情報 '!$E$2:$E$255,0),1)</f>
        <v>243</v>
      </c>
      <c r="C718" s="657" t="str">
        <f>INDEX('①基本情報 '!$B$2:$B$255,MATCH('②建物情報 '!E718,'①基本情報 '!$E$2:$E$255,0),1)</f>
        <v>9502</v>
      </c>
      <c r="D718" s="658" t="s">
        <v>2418</v>
      </c>
      <c r="E718" s="612" t="s">
        <v>1507</v>
      </c>
      <c r="F718" s="611" t="str">
        <f>INDEX('①基本情報 '!$G$2:$G$255,MATCH('②建物情報 '!E718,'①基本情報 '!$E$2:$E$255,0),1)</f>
        <v>上下水道局整備保全室浄水課</v>
      </c>
      <c r="G718" s="678" t="s">
        <v>1620</v>
      </c>
      <c r="H718" s="612" t="s">
        <v>1790</v>
      </c>
      <c r="I718" s="663">
        <v>1969</v>
      </c>
      <c r="J718" s="663">
        <v>3</v>
      </c>
      <c r="K718" s="663">
        <f t="shared" si="11"/>
        <v>55</v>
      </c>
      <c r="L718" s="694">
        <v>6.25</v>
      </c>
      <c r="M718" s="695">
        <v>9.59</v>
      </c>
      <c r="N718" s="695">
        <v>9.59</v>
      </c>
      <c r="O718" s="681" t="s">
        <v>1812</v>
      </c>
      <c r="P718" s="259" t="s">
        <v>1603</v>
      </c>
      <c r="Q718" s="259">
        <v>1</v>
      </c>
      <c r="R718" s="260">
        <v>0</v>
      </c>
      <c r="S718" s="682" t="s">
        <v>1885</v>
      </c>
      <c r="T718" s="683" t="s">
        <v>1886</v>
      </c>
      <c r="U718" s="683" t="s">
        <v>1846</v>
      </c>
      <c r="V718" s="684"/>
      <c r="W718" s="685"/>
      <c r="X718" s="702"/>
      <c r="Y718" s="687"/>
      <c r="Z718" s="663"/>
      <c r="AA718" s="663"/>
      <c r="AB718" s="663"/>
      <c r="AC718" s="663"/>
      <c r="AD718" s="663"/>
      <c r="AE718" s="663"/>
      <c r="AF718" s="663"/>
      <c r="AG718" s="663"/>
      <c r="AH718" s="663"/>
      <c r="AI718" s="688"/>
      <c r="AJ718" s="689" t="s">
        <v>1588</v>
      </c>
      <c r="AK718" s="690"/>
    </row>
    <row r="719" spans="1:37" s="653" customFormat="1">
      <c r="A719" s="655">
        <v>2024</v>
      </c>
      <c r="B719" s="656" t="str">
        <f>INDEX('①基本情報 '!$C$2:$C$255,MATCH('②建物情報 '!E719,'①基本情報 '!$E$2:$E$255,0),1)</f>
        <v>243</v>
      </c>
      <c r="C719" s="657" t="str">
        <f>INDEX('①基本情報 '!$B$2:$B$255,MATCH('②建物情報 '!E719,'①基本情報 '!$E$2:$E$255,0),1)</f>
        <v>9502</v>
      </c>
      <c r="D719" s="658" t="s">
        <v>2418</v>
      </c>
      <c r="E719" s="612" t="s">
        <v>1507</v>
      </c>
      <c r="F719" s="611" t="str">
        <f>INDEX('①基本情報 '!$G$2:$G$255,MATCH('②建物情報 '!E719,'①基本情報 '!$E$2:$E$255,0),1)</f>
        <v>上下水道局整備保全室浄水課</v>
      </c>
      <c r="G719" s="678" t="s">
        <v>1643</v>
      </c>
      <c r="H719" s="612" t="s">
        <v>1791</v>
      </c>
      <c r="I719" s="663">
        <v>1969</v>
      </c>
      <c r="J719" s="663">
        <v>3</v>
      </c>
      <c r="K719" s="663">
        <f t="shared" si="11"/>
        <v>55</v>
      </c>
      <c r="L719" s="694">
        <v>50.59</v>
      </c>
      <c r="M719" s="695">
        <v>212.85</v>
      </c>
      <c r="N719" s="695">
        <v>212.85</v>
      </c>
      <c r="O719" s="681" t="s">
        <v>1812</v>
      </c>
      <c r="P719" s="259" t="s">
        <v>1581</v>
      </c>
      <c r="Q719" s="259">
        <v>2</v>
      </c>
      <c r="R719" s="260">
        <v>0</v>
      </c>
      <c r="S719" s="682" t="s">
        <v>1582</v>
      </c>
      <c r="T719" s="683" t="s">
        <v>1886</v>
      </c>
      <c r="U719" s="683" t="s">
        <v>1846</v>
      </c>
      <c r="V719" s="684"/>
      <c r="W719" s="685"/>
      <c r="X719" s="686"/>
      <c r="Y719" s="687"/>
      <c r="Z719" s="663"/>
      <c r="AA719" s="663"/>
      <c r="AB719" s="663"/>
      <c r="AC719" s="663"/>
      <c r="AD719" s="663"/>
      <c r="AE719" s="663"/>
      <c r="AF719" s="663"/>
      <c r="AG719" s="663"/>
      <c r="AH719" s="663"/>
      <c r="AI719" s="688"/>
      <c r="AJ719" s="689" t="s">
        <v>1588</v>
      </c>
      <c r="AK719" s="690"/>
    </row>
    <row r="720" spans="1:37" s="653" customFormat="1">
      <c r="A720" s="655">
        <v>2024</v>
      </c>
      <c r="B720" s="656" t="str">
        <f>INDEX('①基本情報 '!$C$2:$C$255,MATCH('②建物情報 '!E720,'①基本情報 '!$E$2:$E$255,0),1)</f>
        <v>243</v>
      </c>
      <c r="C720" s="657" t="str">
        <f>INDEX('①基本情報 '!$B$2:$B$255,MATCH('②建物情報 '!E720,'①基本情報 '!$E$2:$E$255,0),1)</f>
        <v>9502</v>
      </c>
      <c r="D720" s="658" t="s">
        <v>2418</v>
      </c>
      <c r="E720" s="612" t="s">
        <v>1507</v>
      </c>
      <c r="F720" s="611" t="str">
        <f>INDEX('①基本情報 '!$G$2:$G$255,MATCH('②建物情報 '!E720,'①基本情報 '!$E$2:$E$255,0),1)</f>
        <v>上下水道局整備保全室浄水課</v>
      </c>
      <c r="G720" s="678" t="s">
        <v>1645</v>
      </c>
      <c r="H720" s="612" t="s">
        <v>1792</v>
      </c>
      <c r="I720" s="663">
        <v>2011</v>
      </c>
      <c r="J720" s="663">
        <v>3</v>
      </c>
      <c r="K720" s="663">
        <f t="shared" si="11"/>
        <v>13</v>
      </c>
      <c r="L720" s="694">
        <v>188.75</v>
      </c>
      <c r="M720" s="695">
        <v>186.83</v>
      </c>
      <c r="N720" s="695">
        <v>186.83</v>
      </c>
      <c r="O720" s="681" t="s">
        <v>1812</v>
      </c>
      <c r="P720" s="259" t="s">
        <v>1603</v>
      </c>
      <c r="Q720" s="259">
        <v>1</v>
      </c>
      <c r="R720" s="260">
        <v>0</v>
      </c>
      <c r="S720" s="682" t="s">
        <v>1593</v>
      </c>
      <c r="T720" s="683" t="s">
        <v>825</v>
      </c>
      <c r="U720" s="683" t="s">
        <v>63</v>
      </c>
      <c r="V720" s="684"/>
      <c r="W720" s="685"/>
      <c r="X720" s="702"/>
      <c r="Y720" s="687"/>
      <c r="Z720" s="663"/>
      <c r="AA720" s="663"/>
      <c r="AB720" s="663"/>
      <c r="AC720" s="663"/>
      <c r="AD720" s="663"/>
      <c r="AE720" s="663"/>
      <c r="AF720" s="663"/>
      <c r="AG720" s="663"/>
      <c r="AH720" s="663"/>
      <c r="AI720" s="688"/>
      <c r="AJ720" s="689" t="s">
        <v>1588</v>
      </c>
      <c r="AK720" s="690"/>
    </row>
    <row r="721" spans="1:37" s="653" customFormat="1">
      <c r="A721" s="655">
        <v>2024</v>
      </c>
      <c r="B721" s="656" t="str">
        <f>INDEX('①基本情報 '!$C$2:$C$255,MATCH('②建物情報 '!E721,'①基本情報 '!$E$2:$E$255,0),1)</f>
        <v>243</v>
      </c>
      <c r="C721" s="657" t="str">
        <f>INDEX('①基本情報 '!$B$2:$B$255,MATCH('②建物情報 '!E721,'①基本情報 '!$E$2:$E$255,0),1)</f>
        <v>9502</v>
      </c>
      <c r="D721" s="658" t="s">
        <v>2418</v>
      </c>
      <c r="E721" s="612" t="s">
        <v>1507</v>
      </c>
      <c r="F721" s="611" t="str">
        <f>INDEX('①基本情報 '!$G$2:$G$255,MATCH('②建物情報 '!E721,'①基本情報 '!$E$2:$E$255,0),1)</f>
        <v>上下水道局整備保全室浄水課</v>
      </c>
      <c r="G721" s="678" t="s">
        <v>1646</v>
      </c>
      <c r="H721" s="612" t="s">
        <v>1793</v>
      </c>
      <c r="I721" s="663">
        <v>1986</v>
      </c>
      <c r="J721" s="663">
        <v>3</v>
      </c>
      <c r="K721" s="663">
        <f t="shared" si="11"/>
        <v>38</v>
      </c>
      <c r="L721" s="694">
        <v>417.8</v>
      </c>
      <c r="M721" s="695">
        <v>835.6</v>
      </c>
      <c r="N721" s="695">
        <v>835.6</v>
      </c>
      <c r="O721" s="681" t="s">
        <v>1812</v>
      </c>
      <c r="P721" s="259" t="s">
        <v>1603</v>
      </c>
      <c r="Q721" s="259">
        <v>2</v>
      </c>
      <c r="R721" s="260">
        <v>0</v>
      </c>
      <c r="S721" s="682" t="s">
        <v>1593</v>
      </c>
      <c r="T721" s="683" t="s">
        <v>825</v>
      </c>
      <c r="U721" s="683" t="s">
        <v>63</v>
      </c>
      <c r="V721" s="684"/>
      <c r="W721" s="685"/>
      <c r="X721" s="702"/>
      <c r="Y721" s="687"/>
      <c r="Z721" s="663"/>
      <c r="AA721" s="663"/>
      <c r="AB721" s="663"/>
      <c r="AC721" s="663"/>
      <c r="AD721" s="663"/>
      <c r="AE721" s="663"/>
      <c r="AF721" s="663"/>
      <c r="AG721" s="663"/>
      <c r="AH721" s="663"/>
      <c r="AI721" s="688"/>
      <c r="AJ721" s="689" t="s">
        <v>1588</v>
      </c>
      <c r="AK721" s="690"/>
    </row>
    <row r="722" spans="1:37" s="653" customFormat="1">
      <c r="A722" s="655">
        <v>2024</v>
      </c>
      <c r="B722" s="656" t="str">
        <f>INDEX('①基本情報 '!$C$2:$C$255,MATCH('②建物情報 '!E722,'①基本情報 '!$E$2:$E$255,0),1)</f>
        <v>243</v>
      </c>
      <c r="C722" s="657" t="str">
        <f>INDEX('①基本情報 '!$B$2:$B$255,MATCH('②建物情報 '!E722,'①基本情報 '!$E$2:$E$255,0),1)</f>
        <v>9502</v>
      </c>
      <c r="D722" s="658" t="s">
        <v>2418</v>
      </c>
      <c r="E722" s="612" t="s">
        <v>1507</v>
      </c>
      <c r="F722" s="611" t="str">
        <f>INDEX('①基本情報 '!$G$2:$G$255,MATCH('②建物情報 '!E722,'①基本情報 '!$E$2:$E$255,0),1)</f>
        <v>上下水道局整備保全室浄水課</v>
      </c>
      <c r="G722" s="678" t="s">
        <v>1647</v>
      </c>
      <c r="H722" s="612" t="s">
        <v>1794</v>
      </c>
      <c r="I722" s="663">
        <v>1968</v>
      </c>
      <c r="J722" s="663">
        <v>3</v>
      </c>
      <c r="K722" s="663">
        <f t="shared" si="11"/>
        <v>56</v>
      </c>
      <c r="L722" s="694">
        <v>267.39999999999998</v>
      </c>
      <c r="M722" s="695">
        <v>255.8</v>
      </c>
      <c r="N722" s="695">
        <v>255.8</v>
      </c>
      <c r="O722" s="681" t="s">
        <v>1812</v>
      </c>
      <c r="P722" s="259" t="s">
        <v>1581</v>
      </c>
      <c r="Q722" s="259">
        <v>1</v>
      </c>
      <c r="R722" s="260">
        <v>0</v>
      </c>
      <c r="S722" s="682" t="s">
        <v>1582</v>
      </c>
      <c r="T722" s="683" t="s">
        <v>1886</v>
      </c>
      <c r="U722" s="683" t="s">
        <v>1846</v>
      </c>
      <c r="V722" s="684"/>
      <c r="W722" s="685"/>
      <c r="X722" s="686"/>
      <c r="Y722" s="687"/>
      <c r="Z722" s="663"/>
      <c r="AA722" s="663"/>
      <c r="AB722" s="663"/>
      <c r="AC722" s="663"/>
      <c r="AD722" s="663"/>
      <c r="AE722" s="663"/>
      <c r="AF722" s="663"/>
      <c r="AG722" s="663"/>
      <c r="AH722" s="663"/>
      <c r="AI722" s="688"/>
      <c r="AJ722" s="689" t="s">
        <v>1588</v>
      </c>
      <c r="AK722" s="690"/>
    </row>
    <row r="723" spans="1:37" s="653" customFormat="1">
      <c r="A723" s="655">
        <v>2024</v>
      </c>
      <c r="B723" s="656" t="str">
        <f>INDEX('①基本情報 '!$C$2:$C$255,MATCH('②建物情報 '!E723,'①基本情報 '!$E$2:$E$255,0),1)</f>
        <v>243</v>
      </c>
      <c r="C723" s="657" t="str">
        <f>INDEX('①基本情報 '!$B$2:$B$255,MATCH('②建物情報 '!E723,'①基本情報 '!$E$2:$E$255,0),1)</f>
        <v>9502</v>
      </c>
      <c r="D723" s="658" t="s">
        <v>2418</v>
      </c>
      <c r="E723" s="612" t="s">
        <v>2679</v>
      </c>
      <c r="F723" s="611" t="str">
        <f>INDEX('①基本情報 '!$G$2:$G$255,MATCH('②建物情報 '!E723,'①基本情報 '!$E$2:$E$255,0),1)</f>
        <v>上下水道局整備保全室浄水課</v>
      </c>
      <c r="G723" s="678" t="s">
        <v>162</v>
      </c>
      <c r="H723" s="612" t="s">
        <v>1621</v>
      </c>
      <c r="I723" s="663">
        <v>1965</v>
      </c>
      <c r="J723" s="663">
        <v>3</v>
      </c>
      <c r="K723" s="663">
        <f t="shared" si="11"/>
        <v>59</v>
      </c>
      <c r="L723" s="694">
        <v>165.2</v>
      </c>
      <c r="M723" s="695">
        <v>165.2</v>
      </c>
      <c r="N723" s="695">
        <v>165.2</v>
      </c>
      <c r="O723" s="681" t="s">
        <v>1812</v>
      </c>
      <c r="P723" s="259" t="s">
        <v>1603</v>
      </c>
      <c r="Q723" s="259">
        <v>1</v>
      </c>
      <c r="R723" s="260">
        <v>0</v>
      </c>
      <c r="S723" s="682" t="s">
        <v>1582</v>
      </c>
      <c r="T723" s="683"/>
      <c r="U723" s="683" t="s">
        <v>1584</v>
      </c>
      <c r="V723" s="684"/>
      <c r="W723" s="685"/>
      <c r="X723" s="702"/>
      <c r="Y723" s="687"/>
      <c r="Z723" s="663"/>
      <c r="AA723" s="663"/>
      <c r="AB723" s="663"/>
      <c r="AC723" s="663"/>
      <c r="AD723" s="663"/>
      <c r="AE723" s="663"/>
      <c r="AF723" s="663"/>
      <c r="AG723" s="663"/>
      <c r="AH723" s="663"/>
      <c r="AI723" s="688"/>
      <c r="AJ723" s="689" t="s">
        <v>1588</v>
      </c>
      <c r="AK723" s="690"/>
    </row>
    <row r="724" spans="1:37" s="653" customFormat="1">
      <c r="A724" s="655">
        <v>2024</v>
      </c>
      <c r="B724" s="656" t="str">
        <f>INDEX('①基本情報 '!$C$2:$C$255,MATCH('②建物情報 '!E724,'①基本情報 '!$E$2:$E$255,0),1)</f>
        <v>243</v>
      </c>
      <c r="C724" s="657" t="str">
        <f>INDEX('①基本情報 '!$B$2:$B$255,MATCH('②建物情報 '!E724,'①基本情報 '!$E$2:$E$255,0),1)</f>
        <v>9502</v>
      </c>
      <c r="D724" s="658" t="s">
        <v>2418</v>
      </c>
      <c r="E724" s="612" t="s">
        <v>1507</v>
      </c>
      <c r="F724" s="611" t="str">
        <f>INDEX('①基本情報 '!$G$2:$G$255,MATCH('②建物情報 '!E724,'①基本情報 '!$E$2:$E$255,0),1)</f>
        <v>上下水道局整備保全室浄水課</v>
      </c>
      <c r="G724" s="678" t="s">
        <v>1652</v>
      </c>
      <c r="H724" s="612" t="s">
        <v>1613</v>
      </c>
      <c r="I724" s="663">
        <v>1965</v>
      </c>
      <c r="J724" s="663">
        <v>3</v>
      </c>
      <c r="K724" s="663">
        <f t="shared" si="11"/>
        <v>59</v>
      </c>
      <c r="L724" s="694">
        <v>59.49</v>
      </c>
      <c r="M724" s="695">
        <v>59.49</v>
      </c>
      <c r="N724" s="695">
        <v>59.49</v>
      </c>
      <c r="O724" s="681" t="s">
        <v>1812</v>
      </c>
      <c r="P724" s="259" t="s">
        <v>1603</v>
      </c>
      <c r="Q724" s="259">
        <v>1</v>
      </c>
      <c r="R724" s="260">
        <v>0</v>
      </c>
      <c r="S724" s="682" t="s">
        <v>1582</v>
      </c>
      <c r="T724" s="683"/>
      <c r="U724" s="683" t="s">
        <v>1584</v>
      </c>
      <c r="V724" s="684"/>
      <c r="W724" s="685"/>
      <c r="X724" s="702"/>
      <c r="Y724" s="687"/>
      <c r="Z724" s="663"/>
      <c r="AA724" s="663"/>
      <c r="AB724" s="663"/>
      <c r="AC724" s="663"/>
      <c r="AD724" s="663"/>
      <c r="AE724" s="663"/>
      <c r="AF724" s="663"/>
      <c r="AG724" s="663"/>
      <c r="AH724" s="663"/>
      <c r="AI724" s="688"/>
      <c r="AJ724" s="689" t="s">
        <v>1588</v>
      </c>
      <c r="AK724" s="690"/>
    </row>
    <row r="725" spans="1:37" s="653" customFormat="1">
      <c r="A725" s="655">
        <v>2024</v>
      </c>
      <c r="B725" s="656" t="str">
        <f>INDEX('①基本情報 '!$C$2:$C$255,MATCH('②建物情報 '!E725,'①基本情報 '!$E$2:$E$255,0),1)</f>
        <v>243</v>
      </c>
      <c r="C725" s="657" t="str">
        <f>INDEX('①基本情報 '!$B$2:$B$255,MATCH('②建物情報 '!E725,'①基本情報 '!$E$2:$E$255,0),1)</f>
        <v>9502</v>
      </c>
      <c r="D725" s="658" t="s">
        <v>2418</v>
      </c>
      <c r="E725" s="612" t="s">
        <v>1507</v>
      </c>
      <c r="F725" s="611" t="str">
        <f>INDEX('①基本情報 '!$G$2:$G$255,MATCH('②建物情報 '!E725,'①基本情報 '!$E$2:$E$255,0),1)</f>
        <v>上下水道局整備保全室浄水課</v>
      </c>
      <c r="G725" s="678" t="s">
        <v>861</v>
      </c>
      <c r="H725" s="612" t="s">
        <v>1795</v>
      </c>
      <c r="I725" s="663">
        <v>1974</v>
      </c>
      <c r="J725" s="663">
        <v>3</v>
      </c>
      <c r="K725" s="663">
        <f t="shared" si="11"/>
        <v>50</v>
      </c>
      <c r="L725" s="694">
        <v>9.83</v>
      </c>
      <c r="M725" s="695">
        <v>9.83</v>
      </c>
      <c r="N725" s="695">
        <v>9.83</v>
      </c>
      <c r="O725" s="681" t="s">
        <v>1812</v>
      </c>
      <c r="P725" s="259" t="s">
        <v>1617</v>
      </c>
      <c r="Q725" s="259">
        <v>2</v>
      </c>
      <c r="R725" s="260">
        <v>0</v>
      </c>
      <c r="S725" s="682" t="s">
        <v>1582</v>
      </c>
      <c r="T725" s="683"/>
      <c r="U725" s="683" t="s">
        <v>1584</v>
      </c>
      <c r="V725" s="684"/>
      <c r="W725" s="685"/>
      <c r="X725" s="686"/>
      <c r="Y725" s="687"/>
      <c r="Z725" s="663"/>
      <c r="AA725" s="663"/>
      <c r="AB725" s="663"/>
      <c r="AC725" s="663"/>
      <c r="AD725" s="663"/>
      <c r="AE725" s="663"/>
      <c r="AF725" s="663"/>
      <c r="AG725" s="663"/>
      <c r="AH725" s="663"/>
      <c r="AI725" s="688"/>
      <c r="AJ725" s="689" t="s">
        <v>1588</v>
      </c>
      <c r="AK725" s="690"/>
    </row>
    <row r="726" spans="1:37" s="653" customFormat="1">
      <c r="A726" s="655">
        <v>2024</v>
      </c>
      <c r="B726" s="656" t="str">
        <f>INDEX('①基本情報 '!$C$2:$C$255,MATCH('②建物情報 '!E726,'①基本情報 '!$E$2:$E$255,0),1)</f>
        <v>243</v>
      </c>
      <c r="C726" s="657" t="str">
        <f>INDEX('①基本情報 '!$B$2:$B$255,MATCH('②建物情報 '!E726,'①基本情報 '!$E$2:$E$255,0),1)</f>
        <v>9502</v>
      </c>
      <c r="D726" s="658" t="s">
        <v>2418</v>
      </c>
      <c r="E726" s="612" t="s">
        <v>1507</v>
      </c>
      <c r="F726" s="611" t="str">
        <f>INDEX('①基本情報 '!$G$2:$G$255,MATCH('②建物情報 '!E726,'①基本情報 '!$E$2:$E$255,0),1)</f>
        <v>上下水道局整備保全室浄水課</v>
      </c>
      <c r="G726" s="678" t="s">
        <v>338</v>
      </c>
      <c r="H726" s="612" t="s">
        <v>1796</v>
      </c>
      <c r="I726" s="663">
        <v>1965</v>
      </c>
      <c r="J726" s="663">
        <v>3</v>
      </c>
      <c r="K726" s="663">
        <f t="shared" si="11"/>
        <v>59</v>
      </c>
      <c r="L726" s="694">
        <v>431.8</v>
      </c>
      <c r="M726" s="695">
        <v>1274.22</v>
      </c>
      <c r="N726" s="695">
        <v>1274.22</v>
      </c>
      <c r="O726" s="681" t="s">
        <v>1812</v>
      </c>
      <c r="P726" s="259" t="s">
        <v>1581</v>
      </c>
      <c r="Q726" s="259">
        <v>4</v>
      </c>
      <c r="R726" s="260">
        <v>0</v>
      </c>
      <c r="S726" s="682" t="s">
        <v>1582</v>
      </c>
      <c r="T726" s="683" t="s">
        <v>1583</v>
      </c>
      <c r="U726" s="683" t="s">
        <v>63</v>
      </c>
      <c r="V726" s="684">
        <v>2000</v>
      </c>
      <c r="W726" s="685"/>
      <c r="X726" s="686"/>
      <c r="Y726" s="687"/>
      <c r="Z726" s="663"/>
      <c r="AA726" s="663"/>
      <c r="AB726" s="663"/>
      <c r="AC726" s="663"/>
      <c r="AD726" s="663"/>
      <c r="AE726" s="663"/>
      <c r="AF726" s="663"/>
      <c r="AG726" s="663"/>
      <c r="AH726" s="663"/>
      <c r="AI726" s="688"/>
      <c r="AJ726" s="689" t="s">
        <v>1588</v>
      </c>
      <c r="AK726" s="690"/>
    </row>
    <row r="727" spans="1:37" s="653" customFormat="1">
      <c r="A727" s="655">
        <v>2024</v>
      </c>
      <c r="B727" s="656" t="str">
        <f>INDEX('①基本情報 '!$C$2:$C$255,MATCH('②建物情報 '!E727,'①基本情報 '!$E$2:$E$255,0),1)</f>
        <v>243</v>
      </c>
      <c r="C727" s="657" t="str">
        <f>INDEX('①基本情報 '!$B$2:$B$255,MATCH('②建物情報 '!E727,'①基本情報 '!$E$2:$E$255,0),1)</f>
        <v>9502</v>
      </c>
      <c r="D727" s="658" t="s">
        <v>2418</v>
      </c>
      <c r="E727" s="612" t="s">
        <v>1507</v>
      </c>
      <c r="F727" s="611" t="str">
        <f>INDEX('①基本情報 '!$G$2:$G$255,MATCH('②建物情報 '!E727,'①基本情報 '!$E$2:$E$255,0),1)</f>
        <v>上下水道局整備保全室浄水課</v>
      </c>
      <c r="G727" s="678" t="s">
        <v>344</v>
      </c>
      <c r="H727" s="612" t="s">
        <v>1797</v>
      </c>
      <c r="I727" s="663">
        <v>2000</v>
      </c>
      <c r="J727" s="663">
        <v>3</v>
      </c>
      <c r="K727" s="663">
        <f>IF(I727&lt;&gt;"",A727-I727,99)</f>
        <v>24</v>
      </c>
      <c r="L727" s="694">
        <v>408.93</v>
      </c>
      <c r="M727" s="695">
        <v>1506.32</v>
      </c>
      <c r="N727" s="695">
        <v>1506.32</v>
      </c>
      <c r="O727" s="681" t="s">
        <v>1812</v>
      </c>
      <c r="P727" s="259" t="s">
        <v>1581</v>
      </c>
      <c r="Q727" s="259">
        <v>5</v>
      </c>
      <c r="R727" s="260">
        <v>0</v>
      </c>
      <c r="S727" s="682" t="s">
        <v>1593</v>
      </c>
      <c r="T727" s="683" t="s">
        <v>825</v>
      </c>
      <c r="U727" s="683" t="s">
        <v>63</v>
      </c>
      <c r="V727" s="684"/>
      <c r="W727" s="685"/>
      <c r="X727" s="686"/>
      <c r="Y727" s="687"/>
      <c r="Z727" s="663"/>
      <c r="AA727" s="663"/>
      <c r="AB727" s="663"/>
      <c r="AC727" s="663"/>
      <c r="AD727" s="663"/>
      <c r="AE727" s="663"/>
      <c r="AF727" s="663"/>
      <c r="AG727" s="663"/>
      <c r="AH727" s="663"/>
      <c r="AI727" s="688"/>
      <c r="AJ727" s="689" t="s">
        <v>1588</v>
      </c>
      <c r="AK727" s="690"/>
    </row>
    <row r="728" spans="1:37" s="653" customFormat="1">
      <c r="A728" s="655">
        <v>2024</v>
      </c>
      <c r="B728" s="656" t="str">
        <f>INDEX('①基本情報 '!$C$2:$C$255,MATCH('②建物情報 '!E728,'①基本情報 '!$E$2:$E$255,0),1)</f>
        <v>243</v>
      </c>
      <c r="C728" s="657" t="str">
        <f>INDEX('①基本情報 '!$B$2:$B$255,MATCH('②建物情報 '!E728,'①基本情報 '!$E$2:$E$255,0),1)</f>
        <v>9502</v>
      </c>
      <c r="D728" s="658" t="s">
        <v>2418</v>
      </c>
      <c r="E728" s="612" t="s">
        <v>1507</v>
      </c>
      <c r="F728" s="611" t="str">
        <f>INDEX('①基本情報 '!$G$2:$G$255,MATCH('②建物情報 '!E728,'①基本情報 '!$E$2:$E$255,0),1)</f>
        <v>上下水道局整備保全室浄水課</v>
      </c>
      <c r="G728" s="678" t="s">
        <v>510</v>
      </c>
      <c r="H728" s="612" t="s">
        <v>1798</v>
      </c>
      <c r="I728" s="663">
        <v>2005</v>
      </c>
      <c r="J728" s="663">
        <v>10</v>
      </c>
      <c r="K728" s="663">
        <f t="shared" si="11"/>
        <v>19</v>
      </c>
      <c r="L728" s="694">
        <v>356.75</v>
      </c>
      <c r="M728" s="695">
        <v>519.73</v>
      </c>
      <c r="N728" s="695">
        <v>519.73</v>
      </c>
      <c r="O728" s="681" t="s">
        <v>1812</v>
      </c>
      <c r="P728" s="259" t="s">
        <v>1581</v>
      </c>
      <c r="Q728" s="259">
        <v>2</v>
      </c>
      <c r="R728" s="260">
        <v>0</v>
      </c>
      <c r="S728" s="682" t="s">
        <v>1593</v>
      </c>
      <c r="T728" s="683" t="s">
        <v>825</v>
      </c>
      <c r="U728" s="683" t="s">
        <v>63</v>
      </c>
      <c r="V728" s="684"/>
      <c r="W728" s="685"/>
      <c r="X728" s="686"/>
      <c r="Y728" s="687"/>
      <c r="Z728" s="663"/>
      <c r="AA728" s="663"/>
      <c r="AB728" s="663"/>
      <c r="AC728" s="663"/>
      <c r="AD728" s="663"/>
      <c r="AE728" s="663"/>
      <c r="AF728" s="663"/>
      <c r="AG728" s="663"/>
      <c r="AH728" s="663"/>
      <c r="AI728" s="688"/>
      <c r="AJ728" s="689" t="s">
        <v>1588</v>
      </c>
      <c r="AK728" s="690"/>
    </row>
    <row r="729" spans="1:37" s="653" customFormat="1">
      <c r="A729" s="655">
        <v>2024</v>
      </c>
      <c r="B729" s="656" t="str">
        <f>INDEX('①基本情報 '!$C$2:$C$255,MATCH('②建物情報 '!E729,'①基本情報 '!$E$2:$E$255,0),1)</f>
        <v>243</v>
      </c>
      <c r="C729" s="657" t="str">
        <f>INDEX('①基本情報 '!$B$2:$B$255,MATCH('②建物情報 '!E729,'①基本情報 '!$E$2:$E$255,0),1)</f>
        <v>9502</v>
      </c>
      <c r="D729" s="658" t="s">
        <v>2418</v>
      </c>
      <c r="E729" s="612" t="s">
        <v>1507</v>
      </c>
      <c r="F729" s="611" t="str">
        <f>INDEX('①基本情報 '!$G$2:$G$255,MATCH('②建物情報 '!E729,'①基本情報 '!$E$2:$E$255,0),1)</f>
        <v>上下水道局整備保全室浄水課</v>
      </c>
      <c r="G729" s="678" t="s">
        <v>577</v>
      </c>
      <c r="H729" s="612" t="s">
        <v>1799</v>
      </c>
      <c r="I729" s="663">
        <v>2005</v>
      </c>
      <c r="J729" s="663">
        <v>10</v>
      </c>
      <c r="K729" s="663">
        <f t="shared" si="11"/>
        <v>19</v>
      </c>
      <c r="L729" s="694">
        <v>699.32</v>
      </c>
      <c r="M729" s="695">
        <v>906.22</v>
      </c>
      <c r="N729" s="695">
        <v>906.22</v>
      </c>
      <c r="O729" s="681" t="s">
        <v>1812</v>
      </c>
      <c r="P729" s="259" t="s">
        <v>1581</v>
      </c>
      <c r="Q729" s="259">
        <v>3</v>
      </c>
      <c r="R729" s="260">
        <v>0</v>
      </c>
      <c r="S729" s="682" t="s">
        <v>1593</v>
      </c>
      <c r="T729" s="683" t="s">
        <v>825</v>
      </c>
      <c r="U729" s="683" t="s">
        <v>63</v>
      </c>
      <c r="V729" s="684"/>
      <c r="W729" s="685"/>
      <c r="X729" s="686"/>
      <c r="Y729" s="687"/>
      <c r="Z729" s="663"/>
      <c r="AA729" s="663"/>
      <c r="AB729" s="663"/>
      <c r="AC729" s="663"/>
      <c r="AD729" s="663"/>
      <c r="AE729" s="663"/>
      <c r="AF729" s="663"/>
      <c r="AG729" s="663"/>
      <c r="AH729" s="663"/>
      <c r="AI729" s="688"/>
      <c r="AJ729" s="689" t="s">
        <v>1588</v>
      </c>
      <c r="AK729" s="690"/>
    </row>
    <row r="730" spans="1:37" s="653" customFormat="1">
      <c r="A730" s="655">
        <v>2024</v>
      </c>
      <c r="B730" s="656" t="str">
        <f>INDEX('①基本情報 '!$C$2:$C$255,MATCH('②建物情報 '!E730,'①基本情報 '!$E$2:$E$255,0),1)</f>
        <v>243</v>
      </c>
      <c r="C730" s="657" t="str">
        <f>INDEX('①基本情報 '!$B$2:$B$255,MATCH('②建物情報 '!E730,'①基本情報 '!$E$2:$E$255,0),1)</f>
        <v>9502</v>
      </c>
      <c r="D730" s="658" t="s">
        <v>2418</v>
      </c>
      <c r="E730" s="612" t="s">
        <v>1507</v>
      </c>
      <c r="F730" s="611" t="str">
        <f>INDEX('①基本情報 '!$G$2:$G$255,MATCH('②建物情報 '!E730,'①基本情報 '!$E$2:$E$255,0),1)</f>
        <v>上下水道局整備保全室浄水課</v>
      </c>
      <c r="G730" s="678" t="s">
        <v>1020</v>
      </c>
      <c r="H730" s="612" t="s">
        <v>1800</v>
      </c>
      <c r="I730" s="663">
        <v>2005</v>
      </c>
      <c r="J730" s="663">
        <v>10</v>
      </c>
      <c r="K730" s="663">
        <f t="shared" si="11"/>
        <v>19</v>
      </c>
      <c r="L730" s="694">
        <v>1293.5</v>
      </c>
      <c r="M730" s="695">
        <v>688.34</v>
      </c>
      <c r="N730" s="695">
        <v>688.34</v>
      </c>
      <c r="O730" s="681" t="s">
        <v>1812</v>
      </c>
      <c r="P730" s="259" t="s">
        <v>1581</v>
      </c>
      <c r="Q730" s="259">
        <v>2</v>
      </c>
      <c r="R730" s="260">
        <v>0</v>
      </c>
      <c r="S730" s="682" t="s">
        <v>1593</v>
      </c>
      <c r="T730" s="683" t="s">
        <v>825</v>
      </c>
      <c r="U730" s="683" t="s">
        <v>63</v>
      </c>
      <c r="V730" s="684"/>
      <c r="W730" s="685"/>
      <c r="X730" s="686"/>
      <c r="Y730" s="687"/>
      <c r="Z730" s="663"/>
      <c r="AA730" s="663"/>
      <c r="AB730" s="663"/>
      <c r="AC730" s="663"/>
      <c r="AD730" s="663"/>
      <c r="AE730" s="663"/>
      <c r="AF730" s="663"/>
      <c r="AG730" s="663"/>
      <c r="AH730" s="663"/>
      <c r="AI730" s="688"/>
      <c r="AJ730" s="689" t="s">
        <v>1588</v>
      </c>
      <c r="AK730" s="690"/>
    </row>
    <row r="731" spans="1:37" s="653" customFormat="1">
      <c r="A731" s="655">
        <v>2024</v>
      </c>
      <c r="B731" s="656" t="str">
        <f>INDEX('①基本情報 '!$C$2:$C$255,MATCH('②建物情報 '!E731,'①基本情報 '!$E$2:$E$255,0),1)</f>
        <v>243</v>
      </c>
      <c r="C731" s="657" t="str">
        <f>INDEX('①基本情報 '!$B$2:$B$255,MATCH('②建物情報 '!E731,'①基本情報 '!$E$2:$E$255,0),1)</f>
        <v>9502</v>
      </c>
      <c r="D731" s="658" t="s">
        <v>2418</v>
      </c>
      <c r="E731" s="612" t="s">
        <v>1507</v>
      </c>
      <c r="F731" s="611" t="str">
        <f>INDEX('①基本情報 '!$G$2:$G$255,MATCH('②建物情報 '!E731,'①基本情報 '!$E$2:$E$255,0),1)</f>
        <v>上下水道局整備保全室浄水課</v>
      </c>
      <c r="G731" s="678" t="s">
        <v>1702</v>
      </c>
      <c r="H731" s="612" t="s">
        <v>1801</v>
      </c>
      <c r="I731" s="663">
        <v>2005</v>
      </c>
      <c r="J731" s="663">
        <v>10</v>
      </c>
      <c r="K731" s="663">
        <f t="shared" si="11"/>
        <v>19</v>
      </c>
      <c r="L731" s="694">
        <v>29.87</v>
      </c>
      <c r="M731" s="695">
        <v>29.87</v>
      </c>
      <c r="N731" s="695">
        <v>29.87</v>
      </c>
      <c r="O731" s="681" t="s">
        <v>1812</v>
      </c>
      <c r="P731" s="259" t="s">
        <v>1581</v>
      </c>
      <c r="Q731" s="259">
        <v>1</v>
      </c>
      <c r="R731" s="260">
        <v>0</v>
      </c>
      <c r="S731" s="682" t="s">
        <v>1593</v>
      </c>
      <c r="T731" s="683" t="s">
        <v>825</v>
      </c>
      <c r="U731" s="683" t="s">
        <v>63</v>
      </c>
      <c r="V731" s="684"/>
      <c r="W731" s="685"/>
      <c r="X731" s="686"/>
      <c r="Y731" s="687"/>
      <c r="Z731" s="663"/>
      <c r="AA731" s="663"/>
      <c r="AB731" s="663"/>
      <c r="AC731" s="663"/>
      <c r="AD731" s="663"/>
      <c r="AE731" s="663"/>
      <c r="AF731" s="663"/>
      <c r="AG731" s="663"/>
      <c r="AH731" s="663"/>
      <c r="AI731" s="688"/>
      <c r="AJ731" s="689" t="s">
        <v>1588</v>
      </c>
      <c r="AK731" s="690"/>
    </row>
    <row r="732" spans="1:37" s="653" customFormat="1">
      <c r="A732" s="655">
        <v>2024</v>
      </c>
      <c r="B732" s="656" t="str">
        <f>INDEX('①基本情報 '!$C$2:$C$255,MATCH('②建物情報 '!E732,'①基本情報 '!$E$2:$E$255,0),1)</f>
        <v>244</v>
      </c>
      <c r="C732" s="657" t="str">
        <f>INDEX('①基本情報 '!$B$2:$B$255,MATCH('②建物情報 '!E732,'①基本情報 '!$E$2:$E$255,0),1)</f>
        <v>9503</v>
      </c>
      <c r="D732" s="658" t="s">
        <v>2418</v>
      </c>
      <c r="E732" s="612" t="s">
        <v>1511</v>
      </c>
      <c r="F732" s="611" t="str">
        <f>INDEX('①基本情報 '!$G$2:$G$255,MATCH('②建物情報 '!E732,'①基本情報 '!$E$2:$E$255,0),1)</f>
        <v>上下水道局整備保全室浄水課</v>
      </c>
      <c r="G732" s="678" t="s">
        <v>1580</v>
      </c>
      <c r="H732" s="612" t="s">
        <v>1802</v>
      </c>
      <c r="I732" s="663">
        <v>1962</v>
      </c>
      <c r="J732" s="663">
        <v>3</v>
      </c>
      <c r="K732" s="663">
        <f t="shared" si="11"/>
        <v>62</v>
      </c>
      <c r="L732" s="694">
        <v>212.95</v>
      </c>
      <c r="M732" s="695">
        <v>232.06</v>
      </c>
      <c r="N732" s="695">
        <v>232.06</v>
      </c>
      <c r="O732" s="681" t="s">
        <v>1812</v>
      </c>
      <c r="P732" s="259" t="s">
        <v>1581</v>
      </c>
      <c r="Q732" s="259">
        <v>2</v>
      </c>
      <c r="R732" s="260">
        <v>0</v>
      </c>
      <c r="S732" s="682" t="s">
        <v>1582</v>
      </c>
      <c r="T732" s="683" t="s">
        <v>1583</v>
      </c>
      <c r="U732" s="683" t="s">
        <v>1846</v>
      </c>
      <c r="V732" s="684"/>
      <c r="W732" s="685"/>
      <c r="X732" s="686"/>
      <c r="Y732" s="687"/>
      <c r="Z732" s="663"/>
      <c r="AA732" s="663"/>
      <c r="AB732" s="663"/>
      <c r="AC732" s="663"/>
      <c r="AD732" s="663"/>
      <c r="AE732" s="663"/>
      <c r="AF732" s="663"/>
      <c r="AG732" s="663"/>
      <c r="AH732" s="663"/>
      <c r="AI732" s="688"/>
      <c r="AJ732" s="689" t="s">
        <v>1588</v>
      </c>
      <c r="AK732" s="690"/>
    </row>
    <row r="733" spans="1:37" s="653" customFormat="1">
      <c r="A733" s="655">
        <v>2024</v>
      </c>
      <c r="B733" s="656" t="str">
        <f>INDEX('①基本情報 '!$C$2:$C$255,MATCH('②建物情報 '!E733,'①基本情報 '!$E$2:$E$255,0),1)</f>
        <v>245</v>
      </c>
      <c r="C733" s="657" t="str">
        <f>INDEX('①基本情報 '!$B$2:$B$255,MATCH('②建物情報 '!E733,'①基本情報 '!$E$2:$E$255,0),1)</f>
        <v>9504</v>
      </c>
      <c r="D733" s="658" t="s">
        <v>2418</v>
      </c>
      <c r="E733" s="612" t="s">
        <v>1514</v>
      </c>
      <c r="F733" s="611" t="str">
        <f>INDEX('①基本情報 '!$G$2:$G$255,MATCH('②建物情報 '!E733,'①基本情報 '!$E$2:$E$255,0),1)</f>
        <v>上下水道局整備保全室浄水課</v>
      </c>
      <c r="G733" s="678" t="s">
        <v>1580</v>
      </c>
      <c r="H733" s="612" t="s">
        <v>1802</v>
      </c>
      <c r="I733" s="663">
        <v>1991</v>
      </c>
      <c r="J733" s="663">
        <v>6</v>
      </c>
      <c r="K733" s="663">
        <f t="shared" si="11"/>
        <v>33</v>
      </c>
      <c r="L733" s="694">
        <v>109.94</v>
      </c>
      <c r="M733" s="695">
        <v>215.78</v>
      </c>
      <c r="N733" s="695">
        <v>215.78</v>
      </c>
      <c r="O733" s="681" t="s">
        <v>1812</v>
      </c>
      <c r="P733" s="259" t="s">
        <v>1603</v>
      </c>
      <c r="Q733" s="259">
        <v>2</v>
      </c>
      <c r="R733" s="260">
        <v>0</v>
      </c>
      <c r="S733" s="682" t="s">
        <v>1593</v>
      </c>
      <c r="T733" s="683" t="s">
        <v>825</v>
      </c>
      <c r="U733" s="683" t="s">
        <v>63</v>
      </c>
      <c r="V733" s="684"/>
      <c r="W733" s="685"/>
      <c r="X733" s="702"/>
      <c r="Y733" s="687"/>
      <c r="Z733" s="663"/>
      <c r="AA733" s="663"/>
      <c r="AB733" s="663"/>
      <c r="AC733" s="663"/>
      <c r="AD733" s="663"/>
      <c r="AE733" s="663"/>
      <c r="AF733" s="663"/>
      <c r="AG733" s="663"/>
      <c r="AH733" s="663"/>
      <c r="AI733" s="688"/>
      <c r="AJ733" s="689" t="s">
        <v>1588</v>
      </c>
      <c r="AK733" s="690"/>
    </row>
    <row r="734" spans="1:37" s="653" customFormat="1">
      <c r="A734" s="655">
        <v>2024</v>
      </c>
      <c r="B734" s="656" t="str">
        <f>INDEX('①基本情報 '!$C$2:$C$255,MATCH('②建物情報 '!E734,'①基本情報 '!$E$2:$E$255,0),1)</f>
        <v>246</v>
      </c>
      <c r="C734" s="657" t="str">
        <f>INDEX('①基本情報 '!$B$2:$B$255,MATCH('②建物情報 '!E734,'①基本情報 '!$E$2:$E$255,0),1)</f>
        <v>9505</v>
      </c>
      <c r="D734" s="658" t="s">
        <v>2418</v>
      </c>
      <c r="E734" s="732" t="s">
        <v>1925</v>
      </c>
      <c r="F734" s="733" t="str">
        <f>INDEX('①基本情報 '!$G$2:$G$255,MATCH('②建物情報 '!E734,'①基本情報 '!$E$2:$E$255,0),1)</f>
        <v>上下水道局整備保全室浄水課</v>
      </c>
      <c r="G734" s="655" t="s">
        <v>1580</v>
      </c>
      <c r="H734" s="734" t="s">
        <v>1926</v>
      </c>
      <c r="I734" s="722">
        <v>2016</v>
      </c>
      <c r="J734" s="722">
        <v>3</v>
      </c>
      <c r="K734" s="663">
        <f t="shared" si="11"/>
        <v>8</v>
      </c>
      <c r="L734" s="735">
        <v>705.8</v>
      </c>
      <c r="M734" s="680">
        <v>465.79</v>
      </c>
      <c r="N734" s="680">
        <v>465.79</v>
      </c>
      <c r="O734" s="736" t="s">
        <v>1812</v>
      </c>
      <c r="P734" s="722" t="s">
        <v>1890</v>
      </c>
      <c r="Q734" s="722">
        <v>3</v>
      </c>
      <c r="R734" s="737">
        <v>0</v>
      </c>
      <c r="S734" s="655" t="s">
        <v>1927</v>
      </c>
      <c r="T734" s="722" t="s">
        <v>825</v>
      </c>
      <c r="U734" s="722" t="s">
        <v>1846</v>
      </c>
      <c r="V734" s="737"/>
      <c r="W734" s="655"/>
      <c r="X734" s="738"/>
      <c r="Y734" s="687"/>
      <c r="Z734" s="663"/>
      <c r="AA734" s="663"/>
      <c r="AB734" s="663"/>
      <c r="AC734" s="663"/>
      <c r="AD734" s="663"/>
      <c r="AE734" s="663"/>
      <c r="AF734" s="663"/>
      <c r="AG734" s="663"/>
      <c r="AH734" s="663"/>
      <c r="AI734" s="688"/>
      <c r="AJ734" s="689" t="s">
        <v>1588</v>
      </c>
      <c r="AK734" s="737"/>
    </row>
    <row r="735" spans="1:37" s="653" customFormat="1">
      <c r="A735" s="655">
        <v>2024</v>
      </c>
      <c r="B735" s="656" t="str">
        <f>INDEX('①基本情報 '!$C$2:$C$255,MATCH('②建物情報 '!E735,'①基本情報 '!$E$2:$E$255,0),1)</f>
        <v>247</v>
      </c>
      <c r="C735" s="657" t="str">
        <f>INDEX('①基本情報 '!$B$2:$B$255,MATCH('②建物情報 '!E735,'①基本情報 '!$E$2:$E$255,0),1)</f>
        <v>0857</v>
      </c>
      <c r="D735" s="658" t="s">
        <v>2418</v>
      </c>
      <c r="E735" s="612" t="s">
        <v>1517</v>
      </c>
      <c r="F735" s="597" t="str">
        <f>INDEX('①基本情報 '!$G$2:$G$255,MATCH('②建物情報 '!E735,'①基本情報 '!$E$2:$E$255,0),1)</f>
        <v>上下水道局整備保全室下水道課</v>
      </c>
      <c r="G735" s="678" t="s">
        <v>1580</v>
      </c>
      <c r="H735" s="612" t="s">
        <v>1623</v>
      </c>
      <c r="I735" s="663">
        <v>2001</v>
      </c>
      <c r="J735" s="663"/>
      <c r="K735" s="663">
        <f t="shared" si="11"/>
        <v>23</v>
      </c>
      <c r="L735" s="694">
        <v>74.400000000000006</v>
      </c>
      <c r="M735" s="695">
        <v>133</v>
      </c>
      <c r="N735" s="695">
        <v>133</v>
      </c>
      <c r="O735" s="681" t="s">
        <v>1812</v>
      </c>
      <c r="P735" s="259" t="s">
        <v>1890</v>
      </c>
      <c r="Q735" s="259">
        <v>2</v>
      </c>
      <c r="R735" s="260">
        <v>1</v>
      </c>
      <c r="S735" s="682" t="s">
        <v>1593</v>
      </c>
      <c r="T735" s="683" t="s">
        <v>825</v>
      </c>
      <c r="U735" s="683" t="s">
        <v>63</v>
      </c>
      <c r="V735" s="684"/>
      <c r="W735" s="685"/>
      <c r="X735" s="686"/>
      <c r="Y735" s="687"/>
      <c r="Z735" s="663"/>
      <c r="AA735" s="663"/>
      <c r="AB735" s="663"/>
      <c r="AC735" s="663"/>
      <c r="AD735" s="663"/>
      <c r="AE735" s="663"/>
      <c r="AF735" s="663"/>
      <c r="AG735" s="663"/>
      <c r="AH735" s="663"/>
      <c r="AI735" s="688"/>
      <c r="AJ735" s="689" t="s">
        <v>1588</v>
      </c>
      <c r="AK735" s="690"/>
    </row>
    <row r="736" spans="1:37" s="653" customFormat="1">
      <c r="A736" s="655">
        <v>2024</v>
      </c>
      <c r="B736" s="656" t="str">
        <f>INDEX('①基本情報 '!$C$2:$C$255,MATCH('②建物情報 '!E736,'①基本情報 '!$E$2:$E$255,0),1)</f>
        <v>248</v>
      </c>
      <c r="C736" s="657" t="str">
        <f>INDEX('①基本情報 '!$B$2:$B$255,MATCH('②建物情報 '!E736,'①基本情報 '!$E$2:$E$255,0),1)</f>
        <v>0874</v>
      </c>
      <c r="D736" s="658" t="s">
        <v>2418</v>
      </c>
      <c r="E736" s="612" t="s">
        <v>1524</v>
      </c>
      <c r="F736" s="597" t="str">
        <f>INDEX('①基本情報 '!$G$2:$G$255,MATCH('②建物情報 '!E736,'①基本情報 '!$E$2:$E$255,0),1)</f>
        <v>上下水道局整備保全室下水道課</v>
      </c>
      <c r="G736" s="678" t="s">
        <v>1580</v>
      </c>
      <c r="H736" s="612" t="s">
        <v>1802</v>
      </c>
      <c r="I736" s="663">
        <v>1997</v>
      </c>
      <c r="J736" s="663"/>
      <c r="K736" s="663">
        <f t="shared" si="11"/>
        <v>27</v>
      </c>
      <c r="L736" s="694">
        <v>446</v>
      </c>
      <c r="M736" s="695">
        <v>764</v>
      </c>
      <c r="N736" s="695">
        <v>764</v>
      </c>
      <c r="O736" s="681" t="s">
        <v>1812</v>
      </c>
      <c r="P736" s="259" t="s">
        <v>1581</v>
      </c>
      <c r="Q736" s="259">
        <v>2</v>
      </c>
      <c r="R736" s="260">
        <v>1</v>
      </c>
      <c r="S736" s="682" t="s">
        <v>1593</v>
      </c>
      <c r="T736" s="683" t="s">
        <v>825</v>
      </c>
      <c r="U736" s="683" t="s">
        <v>63</v>
      </c>
      <c r="V736" s="684"/>
      <c r="W736" s="685"/>
      <c r="X736" s="686"/>
      <c r="Y736" s="687"/>
      <c r="Z736" s="663"/>
      <c r="AA736" s="663"/>
      <c r="AB736" s="663"/>
      <c r="AC736" s="663"/>
      <c r="AD736" s="663"/>
      <c r="AE736" s="663"/>
      <c r="AF736" s="663"/>
      <c r="AG736" s="663"/>
      <c r="AH736" s="663"/>
      <c r="AI736" s="688"/>
      <c r="AJ736" s="689" t="s">
        <v>1588</v>
      </c>
      <c r="AK736" s="690"/>
    </row>
    <row r="737" spans="1:37" s="653" customFormat="1">
      <c r="A737" s="655">
        <v>2024</v>
      </c>
      <c r="B737" s="656" t="str">
        <f>INDEX('①基本情報 '!$C$2:$C$255,MATCH('②建物情報 '!E737,'①基本情報 '!$E$2:$E$255,0),1)</f>
        <v>249</v>
      </c>
      <c r="C737" s="657" t="str">
        <f>INDEX('①基本情報 '!$B$2:$B$255,MATCH('②建物情報 '!E737,'①基本情報 '!$E$2:$E$255,0),1)</f>
        <v>0875</v>
      </c>
      <c r="D737" s="658" t="s">
        <v>2418</v>
      </c>
      <c r="E737" s="612" t="s">
        <v>1527</v>
      </c>
      <c r="F737" s="597" t="str">
        <f>INDEX('①基本情報 '!$G$2:$G$255,MATCH('②建物情報 '!E737,'①基本情報 '!$E$2:$E$255,0),1)</f>
        <v>上下水道局整備保全室下水道課</v>
      </c>
      <c r="G737" s="678" t="s">
        <v>1580</v>
      </c>
      <c r="H737" s="612" t="s">
        <v>1802</v>
      </c>
      <c r="I737" s="663">
        <v>1997</v>
      </c>
      <c r="J737" s="663"/>
      <c r="K737" s="663">
        <f t="shared" si="11"/>
        <v>27</v>
      </c>
      <c r="L737" s="694">
        <v>215</v>
      </c>
      <c r="M737" s="695">
        <v>303</v>
      </c>
      <c r="N737" s="695">
        <v>303</v>
      </c>
      <c r="O737" s="681" t="s">
        <v>1812</v>
      </c>
      <c r="P737" s="259" t="s">
        <v>1581</v>
      </c>
      <c r="Q737" s="259">
        <v>2</v>
      </c>
      <c r="R737" s="260">
        <v>0</v>
      </c>
      <c r="S737" s="682" t="s">
        <v>1593</v>
      </c>
      <c r="T737" s="683" t="s">
        <v>825</v>
      </c>
      <c r="U737" s="683" t="s">
        <v>63</v>
      </c>
      <c r="V737" s="684"/>
      <c r="W737" s="685"/>
      <c r="X737" s="686"/>
      <c r="Y737" s="687"/>
      <c r="Z737" s="663"/>
      <c r="AA737" s="663"/>
      <c r="AB737" s="663"/>
      <c r="AC737" s="663"/>
      <c r="AD737" s="663"/>
      <c r="AE737" s="663"/>
      <c r="AF737" s="663"/>
      <c r="AG737" s="663"/>
      <c r="AH737" s="663"/>
      <c r="AI737" s="688"/>
      <c r="AJ737" s="689" t="s">
        <v>1588</v>
      </c>
      <c r="AK737" s="690"/>
    </row>
    <row r="738" spans="1:37" s="653" customFormat="1">
      <c r="A738" s="655">
        <v>2024</v>
      </c>
      <c r="B738" s="656" t="str">
        <f>INDEX('①基本情報 '!$C$2:$C$255,MATCH('②建物情報 '!E738,'①基本情報 '!$E$2:$E$255,0),1)</f>
        <v>250</v>
      </c>
      <c r="C738" s="657" t="str">
        <f>INDEX('①基本情報 '!$B$2:$B$255,MATCH('②建物情報 '!E738,'①基本情報 '!$E$2:$E$255,0),1)</f>
        <v>0869</v>
      </c>
      <c r="D738" s="658" t="s">
        <v>2418</v>
      </c>
      <c r="E738" s="612" t="s">
        <v>1530</v>
      </c>
      <c r="F738" s="597" t="str">
        <f>INDEX('①基本情報 '!$G$2:$G$255,MATCH('②建物情報 '!E738,'①基本情報 '!$E$2:$E$255,0),1)</f>
        <v>上下水道局整備保全室下水道課</v>
      </c>
      <c r="G738" s="678" t="s">
        <v>1580</v>
      </c>
      <c r="H738" s="612" t="s">
        <v>1802</v>
      </c>
      <c r="I738" s="663">
        <v>2005</v>
      </c>
      <c r="J738" s="663"/>
      <c r="K738" s="663">
        <f t="shared" si="11"/>
        <v>19</v>
      </c>
      <c r="L738" s="694">
        <v>363.94</v>
      </c>
      <c r="M738" s="695">
        <v>832</v>
      </c>
      <c r="N738" s="695">
        <v>832</v>
      </c>
      <c r="O738" s="681" t="s">
        <v>1812</v>
      </c>
      <c r="P738" s="259" t="s">
        <v>1581</v>
      </c>
      <c r="Q738" s="259">
        <v>3</v>
      </c>
      <c r="R738" s="260">
        <v>1</v>
      </c>
      <c r="S738" s="682" t="s">
        <v>1593</v>
      </c>
      <c r="T738" s="683" t="s">
        <v>825</v>
      </c>
      <c r="U738" s="683" t="s">
        <v>63</v>
      </c>
      <c r="V738" s="684"/>
      <c r="W738" s="685"/>
      <c r="X738" s="686"/>
      <c r="Y738" s="687"/>
      <c r="Z738" s="663"/>
      <c r="AA738" s="663"/>
      <c r="AB738" s="663"/>
      <c r="AC738" s="663"/>
      <c r="AD738" s="663"/>
      <c r="AE738" s="663"/>
      <c r="AF738" s="663"/>
      <c r="AG738" s="663"/>
      <c r="AH738" s="663"/>
      <c r="AI738" s="688"/>
      <c r="AJ738" s="689" t="s">
        <v>1588</v>
      </c>
      <c r="AK738" s="690"/>
    </row>
    <row r="739" spans="1:37" s="653" customFormat="1">
      <c r="A739" s="655">
        <v>2024</v>
      </c>
      <c r="B739" s="656" t="str">
        <f>INDEX('①基本情報 '!$C$2:$C$255,MATCH('②建物情報 '!E739,'①基本情報 '!$E$2:$E$255,0),1)</f>
        <v>251</v>
      </c>
      <c r="C739" s="657" t="str">
        <f>INDEX('①基本情報 '!$B$2:$B$255,MATCH('②建物情報 '!E739,'①基本情報 '!$E$2:$E$255,0),1)</f>
        <v>0871</v>
      </c>
      <c r="D739" s="658" t="s">
        <v>2418</v>
      </c>
      <c r="E739" s="612" t="s">
        <v>1533</v>
      </c>
      <c r="F739" s="597" t="str">
        <f>INDEX('①基本情報 '!$G$2:$G$255,MATCH('②建物情報 '!E739,'①基本情報 '!$E$2:$E$255,0),1)</f>
        <v>上下水道局整備保全室下水道課</v>
      </c>
      <c r="G739" s="678" t="s">
        <v>1580</v>
      </c>
      <c r="H739" s="612" t="s">
        <v>1802</v>
      </c>
      <c r="I739" s="663">
        <v>2006</v>
      </c>
      <c r="J739" s="663"/>
      <c r="K739" s="663">
        <f t="shared" si="11"/>
        <v>18</v>
      </c>
      <c r="L739" s="694">
        <v>987</v>
      </c>
      <c r="M739" s="695">
        <v>1725</v>
      </c>
      <c r="N739" s="695">
        <v>1725</v>
      </c>
      <c r="O739" s="681" t="s">
        <v>1812</v>
      </c>
      <c r="P739" s="259" t="s">
        <v>1581</v>
      </c>
      <c r="Q739" s="259">
        <v>2</v>
      </c>
      <c r="R739" s="260">
        <v>2</v>
      </c>
      <c r="S739" s="682" t="s">
        <v>1593</v>
      </c>
      <c r="T739" s="683" t="s">
        <v>825</v>
      </c>
      <c r="U739" s="683" t="s">
        <v>63</v>
      </c>
      <c r="V739" s="684"/>
      <c r="W739" s="685"/>
      <c r="X739" s="686"/>
      <c r="Y739" s="687"/>
      <c r="Z739" s="663"/>
      <c r="AA739" s="663"/>
      <c r="AB739" s="663"/>
      <c r="AC739" s="663"/>
      <c r="AD739" s="663"/>
      <c r="AE739" s="663"/>
      <c r="AF739" s="663"/>
      <c r="AG739" s="663"/>
      <c r="AH739" s="663"/>
      <c r="AI739" s="688"/>
      <c r="AJ739" s="689" t="s">
        <v>1588</v>
      </c>
      <c r="AK739" s="690"/>
    </row>
    <row r="740" spans="1:37" s="653" customFormat="1">
      <c r="A740" s="655">
        <v>2024</v>
      </c>
      <c r="B740" s="656" t="str">
        <f>INDEX('①基本情報 '!$C$2:$C$255,MATCH('②建物情報 '!E740,'①基本情報 '!$E$2:$E$255,0),1)</f>
        <v>252</v>
      </c>
      <c r="C740" s="657" t="str">
        <f>INDEX('①基本情報 '!$B$2:$B$255,MATCH('②建物情報 '!E740,'①基本情報 '!$E$2:$E$255,0),1)</f>
        <v>0876</v>
      </c>
      <c r="D740" s="658" t="s">
        <v>2418</v>
      </c>
      <c r="E740" s="612" t="s">
        <v>1536</v>
      </c>
      <c r="F740" s="597" t="str">
        <f>INDEX('①基本情報 '!$G$2:$G$255,MATCH('②建物情報 '!E740,'①基本情報 '!$E$2:$E$255,0),1)</f>
        <v>上下水道局整備保全室下水道課</v>
      </c>
      <c r="G740" s="678" t="s">
        <v>1580</v>
      </c>
      <c r="H740" s="612" t="s">
        <v>1802</v>
      </c>
      <c r="I740" s="663">
        <v>1983</v>
      </c>
      <c r="J740" s="663"/>
      <c r="K740" s="663">
        <f t="shared" si="11"/>
        <v>41</v>
      </c>
      <c r="L740" s="694">
        <v>340</v>
      </c>
      <c r="M740" s="695">
        <v>560</v>
      </c>
      <c r="N740" s="695">
        <v>560</v>
      </c>
      <c r="O740" s="681" t="s">
        <v>1812</v>
      </c>
      <c r="P740" s="259" t="s">
        <v>1581</v>
      </c>
      <c r="Q740" s="259">
        <v>3</v>
      </c>
      <c r="R740" s="260">
        <v>0</v>
      </c>
      <c r="S740" s="682" t="s">
        <v>1927</v>
      </c>
      <c r="T740" s="683" t="s">
        <v>1966</v>
      </c>
      <c r="U740" s="683" t="s">
        <v>2087</v>
      </c>
      <c r="V740" s="684"/>
      <c r="W740" s="685"/>
      <c r="X740" s="686"/>
      <c r="Y740" s="687"/>
      <c r="Z740" s="663"/>
      <c r="AA740" s="663"/>
      <c r="AB740" s="663"/>
      <c r="AC740" s="663"/>
      <c r="AD740" s="663"/>
      <c r="AE740" s="663"/>
      <c r="AF740" s="663"/>
      <c r="AG740" s="663"/>
      <c r="AH740" s="663"/>
      <c r="AI740" s="688"/>
      <c r="AJ740" s="689" t="s">
        <v>1588</v>
      </c>
      <c r="AK740" s="690"/>
    </row>
    <row r="741" spans="1:37" s="653" customFormat="1">
      <c r="A741" s="655">
        <v>2024</v>
      </c>
      <c r="B741" s="656" t="str">
        <f>INDEX('①基本情報 '!$C$2:$C$255,MATCH('②建物情報 '!E741,'①基本情報 '!$E$2:$E$255,0),1)</f>
        <v>253</v>
      </c>
      <c r="C741" s="657" t="str">
        <f>INDEX('①基本情報 '!$B$2:$B$255,MATCH('②建物情報 '!E741,'①基本情報 '!$E$2:$E$255,0),1)</f>
        <v>0873</v>
      </c>
      <c r="D741" s="658" t="s">
        <v>2418</v>
      </c>
      <c r="E741" s="612" t="s">
        <v>1539</v>
      </c>
      <c r="F741" s="597" t="str">
        <f>INDEX('①基本情報 '!$G$2:$G$255,MATCH('②建物情報 '!E741,'①基本情報 '!$E$2:$E$255,0),1)</f>
        <v>上下水道局整備保全室下水道課</v>
      </c>
      <c r="G741" s="678" t="s">
        <v>1580</v>
      </c>
      <c r="H741" s="612" t="s">
        <v>1802</v>
      </c>
      <c r="I741" s="663">
        <v>2008</v>
      </c>
      <c r="J741" s="663"/>
      <c r="K741" s="663">
        <f t="shared" si="11"/>
        <v>16</v>
      </c>
      <c r="L741" s="694">
        <v>92</v>
      </c>
      <c r="M741" s="695">
        <v>129</v>
      </c>
      <c r="N741" s="695">
        <v>129</v>
      </c>
      <c r="O741" s="681" t="s">
        <v>1812</v>
      </c>
      <c r="P741" s="259" t="s">
        <v>1581</v>
      </c>
      <c r="Q741" s="259">
        <v>2</v>
      </c>
      <c r="R741" s="260">
        <v>0</v>
      </c>
      <c r="S741" s="682" t="s">
        <v>1593</v>
      </c>
      <c r="T741" s="683" t="s">
        <v>825</v>
      </c>
      <c r="U741" s="683" t="s">
        <v>63</v>
      </c>
      <c r="V741" s="684"/>
      <c r="W741" s="685"/>
      <c r="X741" s="686"/>
      <c r="Y741" s="687"/>
      <c r="Z741" s="663"/>
      <c r="AA741" s="663"/>
      <c r="AB741" s="663"/>
      <c r="AC741" s="663"/>
      <c r="AD741" s="663"/>
      <c r="AE741" s="663"/>
      <c r="AF741" s="663"/>
      <c r="AG741" s="663"/>
      <c r="AH741" s="663"/>
      <c r="AI741" s="688"/>
      <c r="AJ741" s="689" t="s">
        <v>1588</v>
      </c>
      <c r="AK741" s="690"/>
    </row>
    <row r="742" spans="1:37" s="653" customFormat="1">
      <c r="A742" s="655">
        <v>2024</v>
      </c>
      <c r="B742" s="739" t="str">
        <f>INDEX('①基本情報 '!$C$2:$C$255,MATCH('②建物情報 '!E742,'①基本情報 '!$E$2:$E$255,0),1)</f>
        <v>254</v>
      </c>
      <c r="C742" s="657" t="str">
        <f>INDEX('①基本情報 '!$B$2:$B$255,MATCH('②建物情報 '!E742,'①基本情報 '!$E$2:$E$255,0),1)</f>
        <v>9801</v>
      </c>
      <c r="D742" s="740" t="s">
        <v>2418</v>
      </c>
      <c r="E742" s="741" t="s">
        <v>1542</v>
      </c>
      <c r="F742" s="742" t="str">
        <f>INDEX('①基本情報 '!$G$2:$G$255,MATCH('②建物情報 '!E742,'①基本情報 '!$E$2:$E$255,0),1)</f>
        <v>交通局</v>
      </c>
      <c r="G742" s="743" t="s">
        <v>1580</v>
      </c>
      <c r="H742" s="741" t="s">
        <v>1610</v>
      </c>
      <c r="I742" s="744" t="s">
        <v>892</v>
      </c>
      <c r="J742" s="744">
        <v>7</v>
      </c>
      <c r="K742" s="744">
        <f>IF(I742&lt;&gt;"",A742-I742,99)</f>
        <v>57</v>
      </c>
      <c r="L742" s="745">
        <v>485.23</v>
      </c>
      <c r="M742" s="746">
        <v>1132.6500000000001</v>
      </c>
      <c r="N742" s="746">
        <v>1132.6500000000001</v>
      </c>
      <c r="O742" s="747" t="s">
        <v>1812</v>
      </c>
      <c r="P742" s="306" t="s">
        <v>1603</v>
      </c>
      <c r="Q742" s="306">
        <v>3</v>
      </c>
      <c r="R742" s="307">
        <v>0</v>
      </c>
      <c r="S742" s="748" t="s">
        <v>1593</v>
      </c>
      <c r="T742" s="749" t="s">
        <v>1583</v>
      </c>
      <c r="U742" s="749" t="s">
        <v>63</v>
      </c>
      <c r="V742" s="750">
        <v>2019</v>
      </c>
      <c r="W742" s="751">
        <v>2019</v>
      </c>
      <c r="X742" s="752"/>
      <c r="Y742" s="753"/>
      <c r="Z742" s="744"/>
      <c r="AA742" s="744"/>
      <c r="AB742" s="744"/>
      <c r="AC742" s="744"/>
      <c r="AD742" s="744"/>
      <c r="AE742" s="744"/>
      <c r="AF742" s="744"/>
      <c r="AG742" s="744"/>
      <c r="AH742" s="744"/>
      <c r="AI742" s="754"/>
      <c r="AJ742" s="755" t="s">
        <v>1588</v>
      </c>
      <c r="AK742" s="756"/>
    </row>
    <row r="743" spans="1:37" s="653" customFormat="1" ht="16.5" customHeight="1">
      <c r="A743" s="311"/>
      <c r="B743" s="362"/>
      <c r="C743" s="757"/>
      <c r="D743" s="757"/>
      <c r="E743" s="758"/>
      <c r="F743" s="758"/>
      <c r="G743" s="757"/>
      <c r="H743" s="758"/>
      <c r="I743" s="759"/>
      <c r="J743" s="760"/>
      <c r="K743" s="760"/>
      <c r="L743" s="760"/>
      <c r="M743" s="760"/>
      <c r="N743" s="761"/>
      <c r="O743" s="762"/>
      <c r="P743" s="312"/>
      <c r="Q743" s="311"/>
      <c r="R743" s="311"/>
      <c r="S743" s="311"/>
      <c r="V743" s="763"/>
      <c r="W743" s="311"/>
      <c r="X743" s="311"/>
      <c r="Y743" s="763"/>
      <c r="Z743" s="311"/>
      <c r="AA743" s="311"/>
      <c r="AB743" s="311"/>
      <c r="AC743" s="311"/>
      <c r="AD743" s="311"/>
      <c r="AE743" s="311"/>
      <c r="AF743" s="311"/>
      <c r="AG743" s="311"/>
      <c r="AH743" s="311"/>
      <c r="AI743" s="311"/>
      <c r="AJ743" s="764"/>
      <c r="AK743" s="765"/>
    </row>
    <row r="744" spans="1:37" s="653" customFormat="1" ht="16.5" customHeight="1">
      <c r="A744" s="311"/>
      <c r="B744" s="362"/>
      <c r="C744" s="757"/>
      <c r="D744" s="757"/>
      <c r="E744" s="758"/>
      <c r="F744" s="758"/>
      <c r="G744" s="757"/>
      <c r="H744" s="758"/>
      <c r="I744" s="759"/>
      <c r="J744" s="760"/>
      <c r="K744" s="760"/>
      <c r="L744" s="760"/>
      <c r="M744" s="760"/>
      <c r="N744" s="761"/>
      <c r="O744" s="762"/>
      <c r="P744" s="312"/>
      <c r="Q744" s="311"/>
      <c r="R744" s="311"/>
      <c r="S744" s="311"/>
      <c r="V744" s="763"/>
      <c r="W744" s="311"/>
      <c r="X744" s="311"/>
      <c r="Y744" s="763"/>
      <c r="Z744" s="311"/>
      <c r="AA744" s="311"/>
      <c r="AB744" s="311"/>
      <c r="AC744" s="311"/>
      <c r="AD744" s="311"/>
      <c r="AE744" s="311"/>
      <c r="AF744" s="311"/>
      <c r="AG744" s="311"/>
      <c r="AH744" s="311"/>
      <c r="AI744" s="311"/>
      <c r="AJ744" s="764"/>
      <c r="AK744" s="765"/>
    </row>
    <row r="745" spans="1:37" s="653" customFormat="1" ht="16.5" customHeight="1">
      <c r="A745" s="311"/>
      <c r="B745" s="362"/>
      <c r="C745" s="757"/>
      <c r="D745" s="757"/>
      <c r="E745" s="758"/>
      <c r="F745" s="758"/>
      <c r="G745" s="757"/>
      <c r="H745" s="758"/>
      <c r="I745" s="759"/>
      <c r="J745" s="760"/>
      <c r="K745" s="760"/>
      <c r="L745" s="760"/>
      <c r="M745" s="760"/>
      <c r="N745" s="761"/>
      <c r="O745" s="762"/>
      <c r="P745" s="312"/>
      <c r="Q745" s="311"/>
      <c r="R745" s="311"/>
      <c r="S745" s="311"/>
      <c r="V745" s="763"/>
      <c r="W745" s="311"/>
      <c r="X745" s="311"/>
      <c r="Y745" s="763"/>
      <c r="Z745" s="311"/>
      <c r="AA745" s="311"/>
      <c r="AB745" s="311"/>
      <c r="AC745" s="311"/>
      <c r="AD745" s="311"/>
      <c r="AE745" s="311"/>
      <c r="AF745" s="311"/>
      <c r="AG745" s="311"/>
      <c r="AH745" s="311"/>
      <c r="AI745" s="311"/>
      <c r="AJ745" s="764"/>
      <c r="AK745" s="765"/>
    </row>
    <row r="746" spans="1:37" s="653" customFormat="1" ht="16.5" customHeight="1">
      <c r="A746" s="311"/>
      <c r="B746" s="766"/>
      <c r="C746" s="757"/>
      <c r="D746" s="757"/>
      <c r="E746" s="758"/>
      <c r="F746" s="758"/>
      <c r="G746" s="757"/>
      <c r="H746" s="758"/>
      <c r="I746" s="759"/>
      <c r="J746" s="760"/>
      <c r="K746" s="760"/>
      <c r="L746" s="760"/>
      <c r="M746" s="760"/>
      <c r="N746" s="761"/>
      <c r="O746" s="762"/>
      <c r="P746" s="312"/>
      <c r="Q746" s="311"/>
      <c r="R746" s="311"/>
      <c r="S746" s="311"/>
      <c r="V746" s="763"/>
      <c r="W746" s="311"/>
      <c r="X746" s="311"/>
      <c r="Y746" s="763"/>
      <c r="Z746" s="311"/>
      <c r="AA746" s="311"/>
      <c r="AB746" s="311"/>
      <c r="AC746" s="311"/>
      <c r="AD746" s="311"/>
      <c r="AE746" s="311"/>
      <c r="AF746" s="311"/>
      <c r="AG746" s="311"/>
      <c r="AH746" s="311"/>
      <c r="AI746" s="311"/>
      <c r="AJ746" s="764"/>
      <c r="AK746" s="765"/>
    </row>
    <row r="747" spans="1:37" s="653" customFormat="1" ht="16.5" customHeight="1">
      <c r="A747" s="311"/>
      <c r="B747" s="766"/>
      <c r="C747" s="757"/>
      <c r="D747" s="757"/>
      <c r="E747" s="758"/>
      <c r="F747" s="758"/>
      <c r="G747" s="757"/>
      <c r="H747" s="758"/>
      <c r="I747" s="759"/>
      <c r="J747" s="760"/>
      <c r="K747" s="760"/>
      <c r="L747" s="760"/>
      <c r="M747" s="760"/>
      <c r="N747" s="761"/>
      <c r="O747" s="762"/>
      <c r="P747" s="312"/>
      <c r="Q747" s="311"/>
      <c r="R747" s="311"/>
      <c r="S747" s="311"/>
      <c r="V747" s="763"/>
      <c r="W747" s="311"/>
      <c r="X747" s="311"/>
      <c r="Y747" s="763"/>
      <c r="Z747" s="311"/>
      <c r="AA747" s="311"/>
      <c r="AB747" s="311"/>
      <c r="AC747" s="311"/>
      <c r="AD747" s="311"/>
      <c r="AE747" s="311"/>
      <c r="AF747" s="311"/>
      <c r="AG747" s="311"/>
      <c r="AH747" s="311"/>
      <c r="AI747" s="311"/>
      <c r="AJ747" s="764"/>
      <c r="AK747" s="765"/>
    </row>
    <row r="748" spans="1:37" s="653" customFormat="1" ht="16.5" customHeight="1">
      <c r="A748" s="311"/>
      <c r="B748" s="767"/>
      <c r="C748" s="757"/>
      <c r="D748" s="757"/>
      <c r="E748" s="758"/>
      <c r="F748" s="758"/>
      <c r="G748" s="757"/>
      <c r="H748" s="758"/>
      <c r="I748" s="759"/>
      <c r="J748" s="759"/>
      <c r="K748" s="760"/>
      <c r="L748" s="759"/>
      <c r="M748" s="759"/>
      <c r="N748" s="768"/>
      <c r="O748" s="769"/>
      <c r="P748" s="770"/>
      <c r="Q748" s="771"/>
      <c r="R748" s="771"/>
      <c r="S748" s="771"/>
      <c r="T748" s="772"/>
      <c r="U748" s="772"/>
      <c r="V748" s="773"/>
      <c r="W748" s="771"/>
      <c r="X748" s="771"/>
      <c r="Y748" s="773"/>
      <c r="Z748" s="771"/>
      <c r="AA748" s="771"/>
      <c r="AB748" s="771"/>
      <c r="AC748" s="771"/>
      <c r="AD748" s="771"/>
      <c r="AE748" s="771"/>
      <c r="AF748" s="771"/>
      <c r="AG748" s="771"/>
      <c r="AH748" s="771"/>
      <c r="AI748" s="771"/>
      <c r="AJ748" s="774"/>
      <c r="AK748" s="765"/>
    </row>
    <row r="749" spans="1:37" s="653" customFormat="1" ht="16.5" customHeight="1">
      <c r="A749" s="311"/>
      <c r="B749" s="766"/>
      <c r="C749" s="757"/>
      <c r="D749" s="757"/>
      <c r="E749" s="758"/>
      <c r="F749" s="758"/>
      <c r="G749" s="757"/>
      <c r="H749" s="758"/>
      <c r="I749" s="759"/>
      <c r="J749" s="760"/>
      <c r="K749" s="760"/>
      <c r="L749" s="760"/>
      <c r="M749" s="760"/>
      <c r="N749" s="761"/>
      <c r="O749" s="762"/>
      <c r="P749" s="312"/>
      <c r="Q749" s="311"/>
      <c r="R749" s="311"/>
      <c r="S749" s="311"/>
      <c r="V749" s="763"/>
      <c r="W749" s="311"/>
      <c r="X749" s="311"/>
      <c r="Y749" s="763"/>
      <c r="Z749" s="311"/>
      <c r="AA749" s="311"/>
      <c r="AB749" s="311"/>
      <c r="AC749" s="311"/>
      <c r="AD749" s="311"/>
      <c r="AE749" s="311"/>
      <c r="AF749" s="311"/>
      <c r="AG749" s="311"/>
      <c r="AH749" s="311"/>
      <c r="AI749" s="311"/>
      <c r="AJ749" s="764"/>
      <c r="AK749" s="765"/>
    </row>
    <row r="750" spans="1:37" s="653" customFormat="1" ht="16.5" customHeight="1">
      <c r="A750" s="311"/>
      <c r="B750" s="766"/>
      <c r="C750" s="757"/>
      <c r="D750" s="757"/>
      <c r="E750" s="758"/>
      <c r="F750" s="758"/>
      <c r="G750" s="757"/>
      <c r="H750" s="758"/>
      <c r="I750" s="759"/>
      <c r="J750" s="760"/>
      <c r="K750" s="760"/>
      <c r="L750" s="760"/>
      <c r="M750" s="760"/>
      <c r="N750" s="761"/>
      <c r="O750" s="762"/>
      <c r="P750" s="312"/>
      <c r="Q750" s="311"/>
      <c r="R750" s="311"/>
      <c r="S750" s="311"/>
      <c r="V750" s="763"/>
      <c r="W750" s="311"/>
      <c r="X750" s="311"/>
      <c r="Y750" s="763"/>
      <c r="Z750" s="311"/>
      <c r="AA750" s="311"/>
      <c r="AB750" s="311"/>
      <c r="AC750" s="311"/>
      <c r="AD750" s="311"/>
      <c r="AE750" s="311"/>
      <c r="AF750" s="311"/>
      <c r="AG750" s="311"/>
      <c r="AH750" s="311"/>
      <c r="AI750" s="311"/>
      <c r="AJ750" s="775"/>
      <c r="AK750" s="765"/>
    </row>
    <row r="751" spans="1:37" s="653" customFormat="1" ht="16.5" customHeight="1">
      <c r="A751" s="311"/>
      <c r="B751" s="362"/>
      <c r="C751" s="308"/>
      <c r="D751" s="308"/>
      <c r="E751" s="309"/>
      <c r="F751" s="309"/>
      <c r="G751" s="311"/>
      <c r="H751" s="310"/>
      <c r="I751" s="311"/>
      <c r="J751" s="311"/>
      <c r="L751" s="776"/>
      <c r="M751" s="762"/>
      <c r="N751" s="762"/>
      <c r="O751" s="312"/>
      <c r="P751" s="311"/>
      <c r="Q751" s="311"/>
      <c r="R751" s="311"/>
      <c r="V751" s="311"/>
      <c r="W751" s="311"/>
      <c r="X751" s="763"/>
      <c r="Y751" s="311"/>
      <c r="Z751" s="311"/>
      <c r="AA751" s="311"/>
      <c r="AB751" s="311"/>
      <c r="AC751" s="311"/>
      <c r="AD751" s="311"/>
      <c r="AE751" s="311"/>
      <c r="AF751" s="311"/>
      <c r="AG751" s="311"/>
      <c r="AH751" s="311"/>
      <c r="AI751" s="775"/>
      <c r="AJ751" s="308"/>
      <c r="AK751" s="311"/>
    </row>
    <row r="752" spans="1:37" s="653" customFormat="1" ht="16.5" customHeight="1">
      <c r="A752" s="311"/>
      <c r="B752" s="362"/>
      <c r="C752" s="308"/>
      <c r="D752" s="308"/>
      <c r="E752" s="309"/>
      <c r="F752" s="309"/>
      <c r="G752" s="311"/>
      <c r="H752" s="310"/>
      <c r="I752" s="311"/>
      <c r="J752" s="311"/>
      <c r="L752" s="776"/>
      <c r="M752" s="762"/>
      <c r="N752" s="762"/>
      <c r="O752" s="312"/>
      <c r="P752" s="311"/>
      <c r="Q752" s="311"/>
      <c r="R752" s="311"/>
      <c r="V752" s="311"/>
      <c r="W752" s="311"/>
      <c r="X752" s="763"/>
      <c r="Y752" s="311"/>
      <c r="Z752" s="311"/>
      <c r="AA752" s="311"/>
      <c r="AB752" s="311"/>
      <c r="AC752" s="311"/>
      <c r="AD752" s="311"/>
      <c r="AE752" s="311"/>
      <c r="AF752" s="311"/>
      <c r="AG752" s="311"/>
      <c r="AH752" s="311"/>
      <c r="AI752" s="775"/>
      <c r="AJ752" s="308"/>
      <c r="AK752" s="311"/>
    </row>
    <row r="753" spans="1:37" s="653" customFormat="1" ht="16.5" customHeight="1">
      <c r="A753" s="311"/>
      <c r="B753" s="362"/>
      <c r="C753" s="308"/>
      <c r="D753" s="308"/>
      <c r="E753" s="309"/>
      <c r="F753" s="309"/>
      <c r="G753" s="311"/>
      <c r="H753" s="310"/>
      <c r="I753" s="311"/>
      <c r="J753" s="311"/>
      <c r="L753" s="776"/>
      <c r="M753" s="762"/>
      <c r="N753" s="762"/>
      <c r="O753" s="312"/>
      <c r="P753" s="311"/>
      <c r="Q753" s="311"/>
      <c r="R753" s="311"/>
      <c r="V753" s="311"/>
      <c r="W753" s="311"/>
      <c r="X753" s="763"/>
      <c r="Y753" s="311"/>
      <c r="Z753" s="311"/>
      <c r="AA753" s="311"/>
      <c r="AB753" s="311"/>
      <c r="AC753" s="311"/>
      <c r="AD753" s="311"/>
      <c r="AE753" s="311"/>
      <c r="AF753" s="311"/>
      <c r="AG753" s="311"/>
      <c r="AH753" s="311"/>
      <c r="AI753" s="775"/>
      <c r="AJ753" s="308"/>
      <c r="AK753" s="311"/>
    </row>
    <row r="754" spans="1:37" s="653" customFormat="1" ht="16.5" customHeight="1">
      <c r="A754" s="311"/>
      <c r="B754" s="362"/>
      <c r="C754" s="308"/>
      <c r="D754" s="308"/>
      <c r="E754" s="309"/>
      <c r="F754" s="309"/>
      <c r="G754" s="311"/>
      <c r="H754" s="310"/>
      <c r="I754" s="311"/>
      <c r="J754" s="311"/>
      <c r="L754" s="776"/>
      <c r="M754" s="762"/>
      <c r="N754" s="762"/>
      <c r="O754" s="312"/>
      <c r="P754" s="311"/>
      <c r="Q754" s="311"/>
      <c r="R754" s="311"/>
      <c r="V754" s="311"/>
      <c r="W754" s="311"/>
      <c r="X754" s="763"/>
      <c r="Y754" s="311"/>
      <c r="Z754" s="311"/>
      <c r="AA754" s="311"/>
      <c r="AB754" s="311"/>
      <c r="AC754" s="311"/>
      <c r="AD754" s="311"/>
      <c r="AE754" s="311"/>
      <c r="AF754" s="311"/>
      <c r="AG754" s="311"/>
      <c r="AH754" s="311"/>
      <c r="AI754" s="775"/>
      <c r="AJ754" s="308"/>
      <c r="AK754" s="311"/>
    </row>
    <row r="755" spans="1:37" s="653" customFormat="1" ht="16.5" customHeight="1">
      <c r="A755" s="311"/>
      <c r="B755" s="362"/>
      <c r="C755" s="308"/>
      <c r="D755" s="308"/>
      <c r="E755" s="309"/>
      <c r="F755" s="309"/>
      <c r="G755" s="311"/>
      <c r="H755" s="310"/>
      <c r="I755" s="311"/>
      <c r="J755" s="311"/>
      <c r="L755" s="776"/>
      <c r="M755" s="762"/>
      <c r="N755" s="762"/>
      <c r="O755" s="312"/>
      <c r="P755" s="311"/>
      <c r="Q755" s="311"/>
      <c r="R755" s="311"/>
      <c r="V755" s="311"/>
      <c r="W755" s="311"/>
      <c r="X755" s="763"/>
      <c r="Y755" s="311"/>
      <c r="Z755" s="311"/>
      <c r="AA755" s="311"/>
      <c r="AB755" s="311"/>
      <c r="AC755" s="311"/>
      <c r="AD755" s="311"/>
      <c r="AE755" s="311"/>
      <c r="AF755" s="311"/>
      <c r="AG755" s="311"/>
      <c r="AH755" s="311"/>
      <c r="AI755" s="775"/>
      <c r="AJ755" s="308"/>
      <c r="AK755" s="311"/>
    </row>
    <row r="756" spans="1:37" s="653" customFormat="1" ht="16.5" customHeight="1">
      <c r="A756" s="311"/>
      <c r="B756" s="362"/>
      <c r="C756" s="308"/>
      <c r="D756" s="308"/>
      <c r="E756" s="309"/>
      <c r="F756" s="309"/>
      <c r="G756" s="311"/>
      <c r="H756" s="310"/>
      <c r="I756" s="311"/>
      <c r="J756" s="311"/>
      <c r="L756" s="776"/>
      <c r="M756" s="762"/>
      <c r="N756" s="762"/>
      <c r="O756" s="312"/>
      <c r="P756" s="311"/>
      <c r="Q756" s="311"/>
      <c r="R756" s="311"/>
      <c r="V756" s="311"/>
      <c r="W756" s="311"/>
      <c r="X756" s="763"/>
      <c r="Y756" s="311"/>
      <c r="Z756" s="311"/>
      <c r="AA756" s="311"/>
      <c r="AB756" s="311"/>
      <c r="AC756" s="311"/>
      <c r="AD756" s="311"/>
      <c r="AE756" s="311"/>
      <c r="AF756" s="311"/>
      <c r="AG756" s="311"/>
      <c r="AH756" s="311"/>
      <c r="AI756" s="775"/>
      <c r="AJ756" s="308"/>
      <c r="AK756" s="311"/>
    </row>
    <row r="757" spans="1:37" s="653" customFormat="1" ht="16.5" customHeight="1">
      <c r="A757" s="311"/>
      <c r="B757" s="362"/>
      <c r="C757" s="308"/>
      <c r="D757" s="308"/>
      <c r="E757" s="309"/>
      <c r="F757" s="309"/>
      <c r="G757" s="311"/>
      <c r="H757" s="310"/>
      <c r="I757" s="311"/>
      <c r="J757" s="311"/>
      <c r="L757" s="776"/>
      <c r="M757" s="762"/>
      <c r="N757" s="762"/>
      <c r="O757" s="312"/>
      <c r="P757" s="311"/>
      <c r="Q757" s="311"/>
      <c r="R757" s="311"/>
      <c r="V757" s="311"/>
      <c r="W757" s="311"/>
      <c r="X757" s="763"/>
      <c r="Y757" s="311"/>
      <c r="Z757" s="311"/>
      <c r="AA757" s="311"/>
      <c r="AB757" s="311"/>
      <c r="AC757" s="311"/>
      <c r="AD757" s="311"/>
      <c r="AE757" s="311"/>
      <c r="AF757" s="311"/>
      <c r="AG757" s="311"/>
      <c r="AH757" s="311"/>
      <c r="AI757" s="775"/>
      <c r="AJ757" s="308"/>
      <c r="AK757" s="311"/>
    </row>
    <row r="758" spans="1:37" s="653" customFormat="1" ht="16.5" customHeight="1">
      <c r="A758" s="311"/>
      <c r="B758" s="362"/>
      <c r="C758" s="308"/>
      <c r="D758" s="308"/>
      <c r="E758" s="309"/>
      <c r="F758" s="309"/>
      <c r="G758" s="311"/>
      <c r="H758" s="310"/>
      <c r="I758" s="311"/>
      <c r="J758" s="311"/>
      <c r="L758" s="776"/>
      <c r="M758" s="762"/>
      <c r="N758" s="762"/>
      <c r="O758" s="312"/>
      <c r="P758" s="311"/>
      <c r="Q758" s="311"/>
      <c r="R758" s="311"/>
      <c r="V758" s="311"/>
      <c r="W758" s="311"/>
      <c r="X758" s="763"/>
      <c r="Y758" s="311"/>
      <c r="Z758" s="311"/>
      <c r="AA758" s="311"/>
      <c r="AB758" s="311"/>
      <c r="AC758" s="311"/>
      <c r="AD758" s="311"/>
      <c r="AE758" s="311"/>
      <c r="AF758" s="311"/>
      <c r="AG758" s="311"/>
      <c r="AH758" s="311"/>
      <c r="AI758" s="775"/>
      <c r="AJ758" s="308"/>
      <c r="AK758" s="311"/>
    </row>
    <row r="759" spans="1:37" s="653" customFormat="1" ht="16.5" customHeight="1">
      <c r="A759" s="311"/>
      <c r="B759" s="362"/>
      <c r="C759" s="308"/>
      <c r="D759" s="308"/>
      <c r="E759" s="309"/>
      <c r="F759" s="309"/>
      <c r="G759" s="311"/>
      <c r="H759" s="310"/>
      <c r="I759" s="311"/>
      <c r="J759" s="311"/>
      <c r="L759" s="776"/>
      <c r="M759" s="762"/>
      <c r="N759" s="762"/>
      <c r="O759" s="312"/>
      <c r="P759" s="311"/>
      <c r="Q759" s="311"/>
      <c r="R759" s="311"/>
      <c r="V759" s="311"/>
      <c r="W759" s="311"/>
      <c r="X759" s="763"/>
      <c r="Y759" s="311"/>
      <c r="Z759" s="311"/>
      <c r="AA759" s="311"/>
      <c r="AB759" s="311"/>
      <c r="AC759" s="311"/>
      <c r="AD759" s="311"/>
      <c r="AE759" s="311"/>
      <c r="AF759" s="311"/>
      <c r="AG759" s="311"/>
      <c r="AH759" s="311"/>
      <c r="AI759" s="775"/>
      <c r="AJ759" s="308"/>
      <c r="AK759" s="311"/>
    </row>
    <row r="760" spans="1:37" s="653" customFormat="1" ht="16.5" customHeight="1">
      <c r="A760" s="311"/>
      <c r="B760" s="362"/>
      <c r="C760" s="308"/>
      <c r="D760" s="308"/>
      <c r="E760" s="309"/>
      <c r="F760" s="309"/>
      <c r="G760" s="311"/>
      <c r="H760" s="310"/>
      <c r="I760" s="311"/>
      <c r="J760" s="311"/>
      <c r="L760" s="776"/>
      <c r="M760" s="762"/>
      <c r="N760" s="762"/>
      <c r="O760" s="312"/>
      <c r="P760" s="311"/>
      <c r="Q760" s="311"/>
      <c r="R760" s="311"/>
      <c r="V760" s="311"/>
      <c r="W760" s="311"/>
      <c r="X760" s="763"/>
      <c r="Y760" s="311"/>
      <c r="Z760" s="311"/>
      <c r="AA760" s="311"/>
      <c r="AB760" s="311"/>
      <c r="AC760" s="311"/>
      <c r="AD760" s="311"/>
      <c r="AE760" s="311"/>
      <c r="AF760" s="311"/>
      <c r="AG760" s="311"/>
      <c r="AH760" s="311"/>
      <c r="AI760" s="775"/>
      <c r="AJ760" s="308"/>
      <c r="AK760" s="311"/>
    </row>
    <row r="761" spans="1:37" s="653" customFormat="1" ht="16.5" customHeight="1">
      <c r="A761" s="311"/>
      <c r="B761" s="362"/>
      <c r="C761" s="308"/>
      <c r="D761" s="308"/>
      <c r="E761" s="309"/>
      <c r="F761" s="309"/>
      <c r="G761" s="311"/>
      <c r="H761" s="310"/>
      <c r="I761" s="311"/>
      <c r="J761" s="311"/>
      <c r="L761" s="776"/>
      <c r="M761" s="762"/>
      <c r="N761" s="762"/>
      <c r="O761" s="312"/>
      <c r="P761" s="311"/>
      <c r="Q761" s="311"/>
      <c r="R761" s="311"/>
      <c r="V761" s="311"/>
      <c r="W761" s="311"/>
      <c r="X761" s="763"/>
      <c r="Y761" s="311"/>
      <c r="Z761" s="311"/>
      <c r="AA761" s="311"/>
      <c r="AB761" s="311"/>
      <c r="AC761" s="311"/>
      <c r="AD761" s="311"/>
      <c r="AE761" s="311"/>
      <c r="AF761" s="311"/>
      <c r="AG761" s="311"/>
      <c r="AH761" s="311"/>
      <c r="AI761" s="775"/>
      <c r="AJ761" s="308"/>
      <c r="AK761" s="311"/>
    </row>
    <row r="762" spans="1:37" s="653" customFormat="1" ht="16.5" customHeight="1">
      <c r="A762" s="311"/>
      <c r="B762" s="362"/>
      <c r="C762" s="308"/>
      <c r="D762" s="308"/>
      <c r="E762" s="309"/>
      <c r="F762" s="309"/>
      <c r="G762" s="311"/>
      <c r="H762" s="310"/>
      <c r="I762" s="311"/>
      <c r="J762" s="311"/>
      <c r="L762" s="776"/>
      <c r="M762" s="762"/>
      <c r="N762" s="762"/>
      <c r="O762" s="312"/>
      <c r="P762" s="311"/>
      <c r="Q762" s="311"/>
      <c r="R762" s="311"/>
      <c r="V762" s="311"/>
      <c r="W762" s="311"/>
      <c r="X762" s="763"/>
      <c r="Y762" s="311"/>
      <c r="Z762" s="311"/>
      <c r="AA762" s="311"/>
      <c r="AB762" s="311"/>
      <c r="AC762" s="311"/>
      <c r="AD762" s="311"/>
      <c r="AE762" s="311"/>
      <c r="AF762" s="311"/>
      <c r="AG762" s="311"/>
      <c r="AH762" s="311"/>
      <c r="AI762" s="775"/>
      <c r="AJ762" s="308"/>
      <c r="AK762" s="311"/>
    </row>
    <row r="763" spans="1:37" s="653" customFormat="1" ht="16.5" customHeight="1">
      <c r="A763" s="311"/>
      <c r="B763" s="362"/>
      <c r="C763" s="308"/>
      <c r="D763" s="308"/>
      <c r="E763" s="309"/>
      <c r="F763" s="309"/>
      <c r="G763" s="311"/>
      <c r="H763" s="310"/>
      <c r="I763" s="311"/>
      <c r="J763" s="311"/>
      <c r="L763" s="776"/>
      <c r="M763" s="762"/>
      <c r="N763" s="762"/>
      <c r="O763" s="312"/>
      <c r="P763" s="311"/>
      <c r="Q763" s="311"/>
      <c r="R763" s="311"/>
      <c r="V763" s="311"/>
      <c r="W763" s="311"/>
      <c r="X763" s="763"/>
      <c r="Y763" s="311"/>
      <c r="Z763" s="311"/>
      <c r="AA763" s="311"/>
      <c r="AB763" s="311"/>
      <c r="AC763" s="311"/>
      <c r="AD763" s="311"/>
      <c r="AE763" s="311"/>
      <c r="AF763" s="311"/>
      <c r="AG763" s="311"/>
      <c r="AH763" s="311"/>
      <c r="AI763" s="775"/>
      <c r="AJ763" s="308"/>
      <c r="AK763" s="311"/>
    </row>
    <row r="764" spans="1:37" s="653" customFormat="1" ht="16.5" customHeight="1">
      <c r="A764" s="311"/>
      <c r="B764" s="362"/>
      <c r="C764" s="308"/>
      <c r="D764" s="308"/>
      <c r="E764" s="309"/>
      <c r="F764" s="309"/>
      <c r="G764" s="311"/>
      <c r="H764" s="310"/>
      <c r="I764" s="311"/>
      <c r="J764" s="311"/>
      <c r="L764" s="776"/>
      <c r="M764" s="762"/>
      <c r="N764" s="762"/>
      <c r="O764" s="312"/>
      <c r="P764" s="311"/>
      <c r="Q764" s="311"/>
      <c r="R764" s="311"/>
      <c r="V764" s="311"/>
      <c r="W764" s="311"/>
      <c r="X764" s="763"/>
      <c r="Y764" s="311"/>
      <c r="Z764" s="311"/>
      <c r="AA764" s="311"/>
      <c r="AB764" s="311"/>
      <c r="AC764" s="311"/>
      <c r="AD764" s="311"/>
      <c r="AE764" s="311"/>
      <c r="AF764" s="311"/>
      <c r="AG764" s="311"/>
      <c r="AH764" s="311"/>
      <c r="AI764" s="775"/>
      <c r="AJ764" s="308"/>
      <c r="AK764" s="311"/>
    </row>
    <row r="765" spans="1:37" s="778" customFormat="1" ht="16.5" customHeight="1">
      <c r="A765" s="777"/>
      <c r="B765" s="362"/>
      <c r="C765" s="308"/>
      <c r="D765" s="308"/>
      <c r="E765" s="309"/>
      <c r="F765" s="309"/>
      <c r="G765" s="311"/>
      <c r="H765" s="310"/>
      <c r="I765" s="311"/>
      <c r="J765" s="311"/>
      <c r="K765" s="653"/>
      <c r="L765" s="776"/>
      <c r="M765" s="762"/>
      <c r="N765" s="762"/>
      <c r="O765" s="312"/>
      <c r="P765" s="311"/>
      <c r="Q765" s="311"/>
      <c r="R765" s="311"/>
      <c r="S765" s="653"/>
      <c r="T765" s="653"/>
      <c r="U765" s="653"/>
      <c r="V765" s="311"/>
      <c r="W765" s="311"/>
      <c r="X765" s="763"/>
      <c r="Y765" s="311"/>
      <c r="Z765" s="311"/>
      <c r="AA765" s="311"/>
      <c r="AB765" s="311"/>
      <c r="AC765" s="311"/>
      <c r="AD765" s="311"/>
      <c r="AE765" s="311"/>
      <c r="AF765" s="311"/>
      <c r="AG765" s="311"/>
      <c r="AH765" s="311"/>
      <c r="AI765" s="775"/>
      <c r="AJ765" s="308"/>
      <c r="AK765" s="311"/>
    </row>
    <row r="766" spans="1:37" s="653" customFormat="1" ht="16.5" customHeight="1">
      <c r="A766" s="311"/>
      <c r="B766" s="779"/>
      <c r="C766" s="777"/>
      <c r="D766" s="777"/>
      <c r="E766" s="780"/>
      <c r="F766" s="780"/>
      <c r="G766" s="777"/>
      <c r="H766" s="781"/>
      <c r="I766" s="777"/>
      <c r="J766" s="777"/>
      <c r="K766" s="778"/>
      <c r="L766" s="778"/>
      <c r="M766" s="778"/>
      <c r="N766" s="778"/>
      <c r="O766" s="777"/>
      <c r="P766" s="777"/>
      <c r="Q766" s="777"/>
      <c r="R766" s="777"/>
      <c r="S766" s="778"/>
      <c r="T766" s="778"/>
      <c r="U766" s="778"/>
      <c r="V766" s="777"/>
      <c r="W766" s="777"/>
      <c r="X766" s="782"/>
      <c r="Y766" s="777"/>
      <c r="Z766" s="777"/>
      <c r="AA766" s="777"/>
      <c r="AB766" s="777"/>
      <c r="AC766" s="777"/>
      <c r="AD766" s="777"/>
      <c r="AE766" s="777"/>
      <c r="AF766" s="777"/>
      <c r="AG766" s="777"/>
      <c r="AH766" s="777"/>
      <c r="AI766" s="777"/>
      <c r="AJ766" s="777"/>
      <c r="AK766" s="777"/>
    </row>
    <row r="767" spans="1:37" s="653" customFormat="1" ht="16.5" customHeight="1">
      <c r="A767" s="311"/>
      <c r="B767" s="362"/>
      <c r="C767" s="308"/>
      <c r="D767" s="308"/>
      <c r="E767" s="309"/>
      <c r="F767" s="309"/>
      <c r="G767" s="311"/>
      <c r="H767" s="310"/>
      <c r="I767" s="311"/>
      <c r="J767" s="311"/>
      <c r="L767" s="776"/>
      <c r="M767" s="762"/>
      <c r="N767" s="762"/>
      <c r="O767" s="312"/>
      <c r="P767" s="311"/>
      <c r="Q767" s="311"/>
      <c r="R767" s="311"/>
      <c r="V767" s="311"/>
      <c r="W767" s="311"/>
      <c r="X767" s="763"/>
      <c r="Y767" s="311"/>
      <c r="Z767" s="311"/>
      <c r="AA767" s="311"/>
      <c r="AB767" s="311"/>
      <c r="AC767" s="311"/>
      <c r="AD767" s="311"/>
      <c r="AE767" s="311"/>
      <c r="AF767" s="311"/>
      <c r="AG767" s="311"/>
      <c r="AH767" s="311"/>
      <c r="AI767" s="775"/>
      <c r="AJ767" s="308"/>
      <c r="AK767" s="311"/>
    </row>
    <row r="768" spans="1:37" s="653" customFormat="1" ht="16.5" customHeight="1">
      <c r="A768" s="311"/>
      <c r="B768" s="362"/>
      <c r="C768" s="308"/>
      <c r="D768" s="308"/>
      <c r="E768" s="309"/>
      <c r="F768" s="309"/>
      <c r="G768" s="311"/>
      <c r="H768" s="310"/>
      <c r="I768" s="311"/>
      <c r="J768" s="311"/>
      <c r="L768" s="776"/>
      <c r="M768" s="762"/>
      <c r="N768" s="762"/>
      <c r="O768" s="312"/>
      <c r="P768" s="311"/>
      <c r="Q768" s="311"/>
      <c r="R768" s="311"/>
      <c r="V768" s="311"/>
      <c r="W768" s="311"/>
      <c r="X768" s="763"/>
      <c r="Y768" s="311"/>
      <c r="Z768" s="311"/>
      <c r="AA768" s="311"/>
      <c r="AB768" s="311"/>
      <c r="AC768" s="311"/>
      <c r="AD768" s="311"/>
      <c r="AE768" s="311"/>
      <c r="AF768" s="311"/>
      <c r="AG768" s="311"/>
      <c r="AH768" s="311"/>
      <c r="AI768" s="775"/>
      <c r="AJ768" s="308"/>
      <c r="AK768" s="311"/>
    </row>
    <row r="769" spans="1:37" s="653" customFormat="1" ht="16.5" customHeight="1">
      <c r="A769" s="311"/>
      <c r="B769" s="362"/>
      <c r="C769" s="308"/>
      <c r="D769" s="308"/>
      <c r="E769" s="309"/>
      <c r="F769" s="309"/>
      <c r="G769" s="311"/>
      <c r="H769" s="310"/>
      <c r="I769" s="311"/>
      <c r="J769" s="311"/>
      <c r="L769" s="776"/>
      <c r="M769" s="762"/>
      <c r="N769" s="762"/>
      <c r="O769" s="312"/>
      <c r="P769" s="311"/>
      <c r="Q769" s="311"/>
      <c r="R769" s="311"/>
      <c r="V769" s="311"/>
      <c r="W769" s="311"/>
      <c r="X769" s="763"/>
      <c r="Y769" s="311"/>
      <c r="Z769" s="311"/>
      <c r="AA769" s="311"/>
      <c r="AB769" s="311"/>
      <c r="AC769" s="311"/>
      <c r="AD769" s="311"/>
      <c r="AE769" s="311"/>
      <c r="AF769" s="311"/>
      <c r="AG769" s="311"/>
      <c r="AH769" s="311"/>
      <c r="AI769" s="775"/>
      <c r="AJ769" s="308"/>
      <c r="AK769" s="311"/>
    </row>
    <row r="770" spans="1:37" s="653" customFormat="1" ht="16.5" customHeight="1">
      <c r="A770" s="311"/>
      <c r="B770" s="362"/>
      <c r="C770" s="308"/>
      <c r="D770" s="308"/>
      <c r="E770" s="309"/>
      <c r="F770" s="309"/>
      <c r="G770" s="311"/>
      <c r="H770" s="310"/>
      <c r="I770" s="311"/>
      <c r="J770" s="311"/>
      <c r="L770" s="776"/>
      <c r="M770" s="762"/>
      <c r="N770" s="762"/>
      <c r="O770" s="312"/>
      <c r="P770" s="311"/>
      <c r="Q770" s="311"/>
      <c r="R770" s="311"/>
      <c r="V770" s="311"/>
      <c r="W770" s="311"/>
      <c r="X770" s="763"/>
      <c r="Y770" s="311"/>
      <c r="Z770" s="311"/>
      <c r="AA770" s="311"/>
      <c r="AB770" s="311"/>
      <c r="AC770" s="311"/>
      <c r="AD770" s="311"/>
      <c r="AE770" s="311"/>
      <c r="AF770" s="311"/>
      <c r="AG770" s="311"/>
      <c r="AH770" s="311"/>
      <c r="AI770" s="775"/>
      <c r="AJ770" s="308"/>
      <c r="AK770" s="311"/>
    </row>
    <row r="771" spans="1:37" s="653" customFormat="1" ht="16.5" customHeight="1">
      <c r="A771" s="311"/>
      <c r="B771" s="362"/>
      <c r="C771" s="308"/>
      <c r="D771" s="308"/>
      <c r="E771" s="309"/>
      <c r="F771" s="309"/>
      <c r="G771" s="311"/>
      <c r="H771" s="310"/>
      <c r="I771" s="311"/>
      <c r="J771" s="311"/>
      <c r="L771" s="776"/>
      <c r="M771" s="762"/>
      <c r="N771" s="762"/>
      <c r="O771" s="312"/>
      <c r="P771" s="311"/>
      <c r="Q771" s="311"/>
      <c r="R771" s="311"/>
      <c r="V771" s="311"/>
      <c r="W771" s="311"/>
      <c r="X771" s="763"/>
      <c r="Y771" s="311"/>
      <c r="Z771" s="311"/>
      <c r="AA771" s="311"/>
      <c r="AB771" s="311"/>
      <c r="AC771" s="311"/>
      <c r="AD771" s="311"/>
      <c r="AE771" s="311"/>
      <c r="AF771" s="311"/>
      <c r="AG771" s="311"/>
      <c r="AH771" s="311"/>
      <c r="AI771" s="775"/>
      <c r="AJ771" s="308"/>
      <c r="AK771" s="311"/>
    </row>
    <row r="772" spans="1:37" s="653" customFormat="1" ht="16.5" customHeight="1">
      <c r="A772" s="311"/>
      <c r="B772" s="362"/>
      <c r="C772" s="308"/>
      <c r="D772" s="308"/>
      <c r="E772" s="309"/>
      <c r="F772" s="309"/>
      <c r="G772" s="311"/>
      <c r="H772" s="310"/>
      <c r="I772" s="311"/>
      <c r="J772" s="311"/>
      <c r="L772" s="776"/>
      <c r="M772" s="762"/>
      <c r="N772" s="762"/>
      <c r="O772" s="312"/>
      <c r="P772" s="311"/>
      <c r="Q772" s="311"/>
      <c r="R772" s="311"/>
      <c r="V772" s="311"/>
      <c r="W772" s="311"/>
      <c r="X772" s="763"/>
      <c r="Y772" s="311"/>
      <c r="Z772" s="311"/>
      <c r="AA772" s="311"/>
      <c r="AB772" s="311"/>
      <c r="AC772" s="311"/>
      <c r="AD772" s="311"/>
      <c r="AE772" s="311"/>
      <c r="AF772" s="311"/>
      <c r="AG772" s="311"/>
      <c r="AH772" s="311"/>
      <c r="AI772" s="775"/>
      <c r="AJ772" s="308"/>
      <c r="AK772" s="311"/>
    </row>
    <row r="773" spans="1:37" s="653" customFormat="1" ht="16.5" customHeight="1">
      <c r="A773" s="311"/>
      <c r="B773" s="362"/>
      <c r="C773" s="308"/>
      <c r="D773" s="308"/>
      <c r="E773" s="309"/>
      <c r="F773" s="309"/>
      <c r="G773" s="311"/>
      <c r="H773" s="310"/>
      <c r="I773" s="311"/>
      <c r="J773" s="311"/>
      <c r="L773" s="776"/>
      <c r="M773" s="762"/>
      <c r="N773" s="762"/>
      <c r="O773" s="312"/>
      <c r="P773" s="311"/>
      <c r="Q773" s="311"/>
      <c r="R773" s="311"/>
      <c r="V773" s="311"/>
      <c r="W773" s="311"/>
      <c r="X773" s="763"/>
      <c r="Y773" s="311"/>
      <c r="Z773" s="311"/>
      <c r="AA773" s="311"/>
      <c r="AB773" s="311"/>
      <c r="AC773" s="311"/>
      <c r="AD773" s="311"/>
      <c r="AE773" s="311"/>
      <c r="AF773" s="311"/>
      <c r="AG773" s="311"/>
      <c r="AH773" s="311"/>
      <c r="AI773" s="775"/>
      <c r="AJ773" s="308"/>
      <c r="AK773" s="311"/>
    </row>
    <row r="774" spans="1:37" s="653" customFormat="1" ht="16.5" customHeight="1">
      <c r="A774" s="311"/>
      <c r="B774" s="362"/>
      <c r="C774" s="308"/>
      <c r="D774" s="308"/>
      <c r="E774" s="309"/>
      <c r="F774" s="309"/>
      <c r="G774" s="311"/>
      <c r="H774" s="310"/>
      <c r="I774" s="311"/>
      <c r="J774" s="311"/>
      <c r="L774" s="776"/>
      <c r="M774" s="762"/>
      <c r="N774" s="762"/>
      <c r="O774" s="312"/>
      <c r="P774" s="311"/>
      <c r="Q774" s="311"/>
      <c r="R774" s="311"/>
      <c r="V774" s="311"/>
      <c r="W774" s="311"/>
      <c r="X774" s="763"/>
      <c r="Y774" s="311"/>
      <c r="Z774" s="311"/>
      <c r="AA774" s="311"/>
      <c r="AB774" s="311"/>
      <c r="AC774" s="311"/>
      <c r="AD774" s="311"/>
      <c r="AE774" s="311"/>
      <c r="AF774" s="311"/>
      <c r="AG774" s="311"/>
      <c r="AH774" s="311"/>
      <c r="AI774" s="775"/>
      <c r="AJ774" s="308"/>
      <c r="AK774" s="311"/>
    </row>
    <row r="775" spans="1:37" s="653" customFormat="1" ht="16.5" customHeight="1">
      <c r="A775" s="311"/>
      <c r="B775" s="362"/>
      <c r="C775" s="308"/>
      <c r="D775" s="308"/>
      <c r="E775" s="309"/>
      <c r="F775" s="309"/>
      <c r="G775" s="311"/>
      <c r="H775" s="310"/>
      <c r="I775" s="311"/>
      <c r="J775" s="311"/>
      <c r="L775" s="776"/>
      <c r="M775" s="762"/>
      <c r="N775" s="762"/>
      <c r="O775" s="312"/>
      <c r="P775" s="311"/>
      <c r="Q775" s="311"/>
      <c r="R775" s="311"/>
      <c r="V775" s="311"/>
      <c r="W775" s="311"/>
      <c r="X775" s="763"/>
      <c r="Y775" s="311"/>
      <c r="Z775" s="311"/>
      <c r="AA775" s="311"/>
      <c r="AB775" s="311"/>
      <c r="AC775" s="311"/>
      <c r="AD775" s="311"/>
      <c r="AE775" s="311"/>
      <c r="AF775" s="311"/>
      <c r="AG775" s="311"/>
      <c r="AH775" s="311"/>
      <c r="AI775" s="775"/>
      <c r="AJ775" s="308"/>
      <c r="AK775" s="311"/>
    </row>
    <row r="776" spans="1:37" s="653" customFormat="1" ht="16.5" customHeight="1">
      <c r="A776" s="311"/>
      <c r="B776" s="362"/>
      <c r="C776" s="308"/>
      <c r="D776" s="308"/>
      <c r="E776" s="309"/>
      <c r="F776" s="309"/>
      <c r="G776" s="311"/>
      <c r="H776" s="310"/>
      <c r="I776" s="311"/>
      <c r="J776" s="311"/>
      <c r="L776" s="776"/>
      <c r="M776" s="762"/>
      <c r="N776" s="762"/>
      <c r="O776" s="312"/>
      <c r="P776" s="311"/>
      <c r="Q776" s="311"/>
      <c r="R776" s="311"/>
      <c r="V776" s="311"/>
      <c r="W776" s="311"/>
      <c r="X776" s="763"/>
      <c r="Y776" s="311"/>
      <c r="Z776" s="311"/>
      <c r="AA776" s="311"/>
      <c r="AB776" s="311"/>
      <c r="AC776" s="311"/>
      <c r="AD776" s="311"/>
      <c r="AE776" s="311"/>
      <c r="AF776" s="311"/>
      <c r="AG776" s="311"/>
      <c r="AH776" s="311"/>
      <c r="AI776" s="775"/>
      <c r="AJ776" s="308"/>
      <c r="AK776" s="311"/>
    </row>
    <row r="777" spans="1:37" s="653" customFormat="1" ht="16.5" customHeight="1">
      <c r="A777" s="311"/>
      <c r="B777" s="362"/>
      <c r="C777" s="308"/>
      <c r="D777" s="308"/>
      <c r="E777" s="309"/>
      <c r="F777" s="309"/>
      <c r="G777" s="311"/>
      <c r="H777" s="310"/>
      <c r="I777" s="311"/>
      <c r="J777" s="311"/>
      <c r="L777" s="776"/>
      <c r="M777" s="762"/>
      <c r="N777" s="762"/>
      <c r="O777" s="312"/>
      <c r="P777" s="311"/>
      <c r="Q777" s="311"/>
      <c r="R777" s="311"/>
      <c r="V777" s="311"/>
      <c r="W777" s="311"/>
      <c r="X777" s="763"/>
      <c r="Y777" s="311"/>
      <c r="Z777" s="311"/>
      <c r="AA777" s="311"/>
      <c r="AB777" s="311"/>
      <c r="AC777" s="311"/>
      <c r="AD777" s="311"/>
      <c r="AE777" s="311"/>
      <c r="AF777" s="311"/>
      <c r="AG777" s="311"/>
      <c r="AH777" s="311"/>
      <c r="AI777" s="775"/>
      <c r="AJ777" s="308"/>
      <c r="AK777" s="311"/>
    </row>
    <row r="778" spans="1:37" s="653" customFormat="1" ht="16.5" customHeight="1">
      <c r="A778" s="311"/>
      <c r="B778" s="362"/>
      <c r="C778" s="308"/>
      <c r="D778" s="308"/>
      <c r="E778" s="309"/>
      <c r="F778" s="309"/>
      <c r="G778" s="311"/>
      <c r="H778" s="310"/>
      <c r="I778" s="311"/>
      <c r="J778" s="311"/>
      <c r="L778" s="776"/>
      <c r="M778" s="762"/>
      <c r="N778" s="762"/>
      <c r="O778" s="312"/>
      <c r="P778" s="311"/>
      <c r="Q778" s="311"/>
      <c r="R778" s="311"/>
      <c r="V778" s="311"/>
      <c r="W778" s="311"/>
      <c r="X778" s="763"/>
      <c r="Y778" s="311"/>
      <c r="Z778" s="311"/>
      <c r="AA778" s="311"/>
      <c r="AB778" s="311"/>
      <c r="AC778" s="311"/>
      <c r="AD778" s="311"/>
      <c r="AE778" s="311"/>
      <c r="AF778" s="311"/>
      <c r="AG778" s="311"/>
      <c r="AH778" s="311"/>
      <c r="AI778" s="775"/>
      <c r="AJ778" s="308"/>
      <c r="AK778" s="311"/>
    </row>
    <row r="779" spans="1:37" s="653" customFormat="1" ht="16.5" customHeight="1">
      <c r="A779" s="311"/>
      <c r="B779" s="362"/>
      <c r="C779" s="308"/>
      <c r="D779" s="308"/>
      <c r="E779" s="309"/>
      <c r="F779" s="309"/>
      <c r="G779" s="311"/>
      <c r="H779" s="310"/>
      <c r="I779" s="311"/>
      <c r="J779" s="311"/>
      <c r="L779" s="776"/>
      <c r="M779" s="762"/>
      <c r="N779" s="762"/>
      <c r="O779" s="312"/>
      <c r="P779" s="311"/>
      <c r="Q779" s="311"/>
      <c r="R779" s="311"/>
      <c r="V779" s="311"/>
      <c r="W779" s="311"/>
      <c r="X779" s="763"/>
      <c r="Y779" s="311"/>
      <c r="Z779" s="311"/>
      <c r="AA779" s="311"/>
      <c r="AB779" s="311"/>
      <c r="AC779" s="311"/>
      <c r="AD779" s="311"/>
      <c r="AE779" s="311"/>
      <c r="AF779" s="311"/>
      <c r="AG779" s="311"/>
      <c r="AH779" s="311"/>
      <c r="AI779" s="775"/>
      <c r="AJ779" s="308"/>
      <c r="AK779" s="311"/>
    </row>
    <row r="780" spans="1:37" s="653" customFormat="1" ht="16.5" customHeight="1">
      <c r="A780" s="311"/>
      <c r="B780" s="362"/>
      <c r="C780" s="308"/>
      <c r="D780" s="308"/>
      <c r="E780" s="309"/>
      <c r="F780" s="309"/>
      <c r="G780" s="311"/>
      <c r="H780" s="310"/>
      <c r="I780" s="311"/>
      <c r="J780" s="311"/>
      <c r="L780" s="776"/>
      <c r="M780" s="762"/>
      <c r="N780" s="762"/>
      <c r="O780" s="312"/>
      <c r="P780" s="311"/>
      <c r="Q780" s="311"/>
      <c r="R780" s="311"/>
      <c r="V780" s="311"/>
      <c r="W780" s="311"/>
      <c r="X780" s="763"/>
      <c r="Y780" s="311"/>
      <c r="Z780" s="311"/>
      <c r="AA780" s="311"/>
      <c r="AB780" s="311"/>
      <c r="AC780" s="311"/>
      <c r="AD780" s="311"/>
      <c r="AE780" s="311"/>
      <c r="AF780" s="311"/>
      <c r="AG780" s="311"/>
      <c r="AH780" s="311"/>
      <c r="AI780" s="775"/>
      <c r="AJ780" s="308"/>
      <c r="AK780" s="311"/>
    </row>
    <row r="781" spans="1:37" s="653" customFormat="1" ht="16.5" customHeight="1">
      <c r="A781" s="311"/>
      <c r="B781" s="362"/>
      <c r="C781" s="308"/>
      <c r="D781" s="308"/>
      <c r="E781" s="309"/>
      <c r="F781" s="309"/>
      <c r="G781" s="311"/>
      <c r="H781" s="310"/>
      <c r="I781" s="311"/>
      <c r="J781" s="311"/>
      <c r="L781" s="776"/>
      <c r="M781" s="762"/>
      <c r="N781" s="762"/>
      <c r="O781" s="312"/>
      <c r="P781" s="311"/>
      <c r="Q781" s="311"/>
      <c r="R781" s="311"/>
      <c r="V781" s="311"/>
      <c r="W781" s="311"/>
      <c r="X781" s="763"/>
      <c r="Y781" s="311"/>
      <c r="Z781" s="311"/>
      <c r="AA781" s="311"/>
      <c r="AB781" s="311"/>
      <c r="AC781" s="311"/>
      <c r="AD781" s="311"/>
      <c r="AE781" s="311"/>
      <c r="AF781" s="311"/>
      <c r="AG781" s="311"/>
      <c r="AH781" s="311"/>
      <c r="AI781" s="775"/>
      <c r="AJ781" s="308"/>
      <c r="AK781" s="311"/>
    </row>
    <row r="782" spans="1:37" s="653" customFormat="1" ht="16.5" customHeight="1">
      <c r="A782" s="311"/>
      <c r="B782" s="362"/>
      <c r="C782" s="308"/>
      <c r="D782" s="308"/>
      <c r="E782" s="309"/>
      <c r="F782" s="309"/>
      <c r="G782" s="311"/>
      <c r="H782" s="310"/>
      <c r="I782" s="311"/>
      <c r="J782" s="311"/>
      <c r="L782" s="776"/>
      <c r="M782" s="762"/>
      <c r="N782" s="762"/>
      <c r="O782" s="312"/>
      <c r="P782" s="311"/>
      <c r="Q782" s="311"/>
      <c r="R782" s="311"/>
      <c r="V782" s="311"/>
      <c r="W782" s="311"/>
      <c r="X782" s="763"/>
      <c r="Y782" s="311"/>
      <c r="Z782" s="311"/>
      <c r="AA782" s="311"/>
      <c r="AB782" s="311"/>
      <c r="AC782" s="311"/>
      <c r="AD782" s="311"/>
      <c r="AE782" s="311"/>
      <c r="AF782" s="311"/>
      <c r="AG782" s="311"/>
      <c r="AH782" s="311"/>
      <c r="AI782" s="775"/>
      <c r="AJ782" s="308"/>
      <c r="AK782" s="311"/>
    </row>
    <row r="783" spans="1:37" s="653" customFormat="1" ht="16.5" customHeight="1">
      <c r="A783" s="311"/>
      <c r="B783" s="362"/>
      <c r="C783" s="308"/>
      <c r="D783" s="308"/>
      <c r="E783" s="309"/>
      <c r="F783" s="309"/>
      <c r="G783" s="311"/>
      <c r="H783" s="310"/>
      <c r="I783" s="311"/>
      <c r="J783" s="311"/>
      <c r="L783" s="776"/>
      <c r="M783" s="762"/>
      <c r="N783" s="762"/>
      <c r="O783" s="312"/>
      <c r="P783" s="311"/>
      <c r="Q783" s="311"/>
      <c r="R783" s="311"/>
      <c r="V783" s="311"/>
      <c r="W783" s="311"/>
      <c r="X783" s="763"/>
      <c r="Y783" s="311"/>
      <c r="Z783" s="311"/>
      <c r="AA783" s="311"/>
      <c r="AB783" s="311"/>
      <c r="AC783" s="311"/>
      <c r="AD783" s="311"/>
      <c r="AE783" s="311"/>
      <c r="AF783" s="311"/>
      <c r="AG783" s="311"/>
      <c r="AH783" s="311"/>
      <c r="AI783" s="775"/>
      <c r="AJ783" s="308"/>
      <c r="AK783" s="311"/>
    </row>
    <row r="784" spans="1:37" s="653" customFormat="1" ht="16.5" customHeight="1">
      <c r="A784" s="311"/>
      <c r="B784" s="362"/>
      <c r="C784" s="308"/>
      <c r="D784" s="308"/>
      <c r="E784" s="309"/>
      <c r="F784" s="309"/>
      <c r="G784" s="311"/>
      <c r="H784" s="310"/>
      <c r="I784" s="311"/>
      <c r="J784" s="311"/>
      <c r="L784" s="776"/>
      <c r="M784" s="762"/>
      <c r="N784" s="762"/>
      <c r="O784" s="312"/>
      <c r="P784" s="311"/>
      <c r="Q784" s="311"/>
      <c r="R784" s="311"/>
      <c r="V784" s="311"/>
      <c r="W784" s="311"/>
      <c r="X784" s="763"/>
      <c r="Y784" s="311"/>
      <c r="Z784" s="311"/>
      <c r="AA784" s="311"/>
      <c r="AB784" s="311"/>
      <c r="AC784" s="311"/>
      <c r="AD784" s="311"/>
      <c r="AE784" s="311"/>
      <c r="AF784" s="311"/>
      <c r="AG784" s="311"/>
      <c r="AH784" s="311"/>
      <c r="AI784" s="775"/>
      <c r="AJ784" s="308"/>
      <c r="AK784" s="311"/>
    </row>
    <row r="785" spans="1:37" s="653" customFormat="1" ht="16.5" customHeight="1">
      <c r="A785" s="311"/>
      <c r="B785" s="362"/>
      <c r="C785" s="308"/>
      <c r="D785" s="308"/>
      <c r="E785" s="309"/>
      <c r="F785" s="309"/>
      <c r="G785" s="311"/>
      <c r="H785" s="310"/>
      <c r="I785" s="311"/>
      <c r="J785" s="311"/>
      <c r="L785" s="776"/>
      <c r="M785" s="762"/>
      <c r="N785" s="762"/>
      <c r="O785" s="312"/>
      <c r="P785" s="311"/>
      <c r="Q785" s="311"/>
      <c r="R785" s="311"/>
      <c r="V785" s="311"/>
      <c r="W785" s="311"/>
      <c r="X785" s="763"/>
      <c r="Y785" s="311"/>
      <c r="Z785" s="311"/>
      <c r="AA785" s="311"/>
      <c r="AB785" s="311"/>
      <c r="AC785" s="311"/>
      <c r="AD785" s="311"/>
      <c r="AE785" s="311"/>
      <c r="AF785" s="311"/>
      <c r="AG785" s="311"/>
      <c r="AH785" s="311"/>
      <c r="AI785" s="775"/>
      <c r="AJ785" s="308"/>
      <c r="AK785" s="311"/>
    </row>
    <row r="786" spans="1:37" s="653" customFormat="1" ht="16.5" customHeight="1">
      <c r="A786" s="311"/>
      <c r="B786" s="362"/>
      <c r="C786" s="308"/>
      <c r="D786" s="308"/>
      <c r="E786" s="309"/>
      <c r="F786" s="309"/>
      <c r="G786" s="311"/>
      <c r="H786" s="310"/>
      <c r="I786" s="311"/>
      <c r="J786" s="311"/>
      <c r="L786" s="776"/>
      <c r="M786" s="762"/>
      <c r="N786" s="762"/>
      <c r="O786" s="312"/>
      <c r="P786" s="311"/>
      <c r="Q786" s="311"/>
      <c r="R786" s="311"/>
      <c r="V786" s="311"/>
      <c r="W786" s="311"/>
      <c r="X786" s="763"/>
      <c r="Y786" s="311"/>
      <c r="Z786" s="311"/>
      <c r="AA786" s="311"/>
      <c r="AB786" s="311"/>
      <c r="AC786" s="311"/>
      <c r="AD786" s="311"/>
      <c r="AE786" s="311"/>
      <c r="AF786" s="311"/>
      <c r="AG786" s="311"/>
      <c r="AH786" s="311"/>
      <c r="AI786" s="775"/>
      <c r="AJ786" s="308"/>
      <c r="AK786" s="311"/>
    </row>
    <row r="787" spans="1:37" s="653" customFormat="1" ht="16.5" customHeight="1">
      <c r="A787" s="311"/>
      <c r="B787" s="362"/>
      <c r="C787" s="308"/>
      <c r="D787" s="308"/>
      <c r="E787" s="309"/>
      <c r="F787" s="309"/>
      <c r="G787" s="311"/>
      <c r="H787" s="310"/>
      <c r="I787" s="311"/>
      <c r="J787" s="311"/>
      <c r="L787" s="776"/>
      <c r="M787" s="762"/>
      <c r="N787" s="762"/>
      <c r="O787" s="312"/>
      <c r="P787" s="311"/>
      <c r="Q787" s="311"/>
      <c r="R787" s="311"/>
      <c r="V787" s="311"/>
      <c r="W787" s="311"/>
      <c r="X787" s="763"/>
      <c r="Y787" s="311"/>
      <c r="Z787" s="311"/>
      <c r="AA787" s="311"/>
      <c r="AB787" s="311"/>
      <c r="AC787" s="311"/>
      <c r="AD787" s="311"/>
      <c r="AE787" s="311"/>
      <c r="AF787" s="311"/>
      <c r="AG787" s="311"/>
      <c r="AH787" s="311"/>
      <c r="AI787" s="775"/>
      <c r="AJ787" s="308"/>
      <c r="AK787" s="311"/>
    </row>
    <row r="788" spans="1:37" s="653" customFormat="1" ht="16.5" customHeight="1">
      <c r="A788" s="311"/>
      <c r="B788" s="362"/>
      <c r="C788" s="308"/>
      <c r="D788" s="308"/>
      <c r="E788" s="309"/>
      <c r="F788" s="309"/>
      <c r="G788" s="311"/>
      <c r="H788" s="310"/>
      <c r="I788" s="311"/>
      <c r="J788" s="311"/>
      <c r="L788" s="776"/>
      <c r="M788" s="762"/>
      <c r="N788" s="762"/>
      <c r="O788" s="312"/>
      <c r="P788" s="311"/>
      <c r="Q788" s="311"/>
      <c r="R788" s="311"/>
      <c r="V788" s="311"/>
      <c r="W788" s="311"/>
      <c r="X788" s="763"/>
      <c r="Y788" s="311"/>
      <c r="Z788" s="311"/>
      <c r="AA788" s="311"/>
      <c r="AB788" s="311"/>
      <c r="AC788" s="311"/>
      <c r="AD788" s="311"/>
      <c r="AE788" s="311"/>
      <c r="AF788" s="311"/>
      <c r="AG788" s="311"/>
      <c r="AH788" s="311"/>
      <c r="AI788" s="775"/>
      <c r="AJ788" s="308"/>
      <c r="AK788" s="311"/>
    </row>
    <row r="789" spans="1:37" s="653" customFormat="1" ht="16.5" customHeight="1">
      <c r="A789" s="311"/>
      <c r="B789" s="362"/>
      <c r="C789" s="308"/>
      <c r="D789" s="308"/>
      <c r="E789" s="309"/>
      <c r="F789" s="309"/>
      <c r="G789" s="311"/>
      <c r="H789" s="310"/>
      <c r="I789" s="311"/>
      <c r="J789" s="311"/>
      <c r="L789" s="776"/>
      <c r="M789" s="762"/>
      <c r="N789" s="762"/>
      <c r="O789" s="312"/>
      <c r="P789" s="311"/>
      <c r="Q789" s="311"/>
      <c r="R789" s="311"/>
      <c r="V789" s="311"/>
      <c r="W789" s="311"/>
      <c r="X789" s="763"/>
      <c r="Y789" s="311"/>
      <c r="Z789" s="311"/>
      <c r="AA789" s="311"/>
      <c r="AB789" s="311"/>
      <c r="AC789" s="311"/>
      <c r="AD789" s="311"/>
      <c r="AE789" s="311"/>
      <c r="AF789" s="311"/>
      <c r="AG789" s="311"/>
      <c r="AH789" s="311"/>
      <c r="AI789" s="775"/>
      <c r="AJ789" s="308"/>
      <c r="AK789" s="311"/>
    </row>
    <row r="790" spans="1:37" s="653" customFormat="1" ht="16.5" customHeight="1">
      <c r="A790" s="311"/>
      <c r="B790" s="362"/>
      <c r="C790" s="308"/>
      <c r="D790" s="308"/>
      <c r="E790" s="309"/>
      <c r="F790" s="309"/>
      <c r="G790" s="311"/>
      <c r="H790" s="310"/>
      <c r="I790" s="311"/>
      <c r="J790" s="311"/>
      <c r="L790" s="776"/>
      <c r="M790" s="762"/>
      <c r="N790" s="762"/>
      <c r="O790" s="312"/>
      <c r="P790" s="311"/>
      <c r="Q790" s="311"/>
      <c r="R790" s="311"/>
      <c r="V790" s="311"/>
      <c r="W790" s="311"/>
      <c r="X790" s="763"/>
      <c r="Y790" s="311"/>
      <c r="Z790" s="311"/>
      <c r="AA790" s="311"/>
      <c r="AB790" s="311"/>
      <c r="AC790" s="311"/>
      <c r="AD790" s="311"/>
      <c r="AE790" s="311"/>
      <c r="AF790" s="311"/>
      <c r="AG790" s="311"/>
      <c r="AH790" s="311"/>
      <c r="AI790" s="775"/>
      <c r="AJ790" s="308"/>
      <c r="AK790" s="311"/>
    </row>
    <row r="791" spans="1:37" s="653" customFormat="1" ht="16.5" customHeight="1">
      <c r="A791" s="311"/>
      <c r="B791" s="362"/>
      <c r="C791" s="308"/>
      <c r="D791" s="308"/>
      <c r="E791" s="309"/>
      <c r="F791" s="309"/>
      <c r="G791" s="311"/>
      <c r="H791" s="310"/>
      <c r="I791" s="311"/>
      <c r="J791" s="311"/>
      <c r="L791" s="776"/>
      <c r="M791" s="762"/>
      <c r="N791" s="762"/>
      <c r="O791" s="312"/>
      <c r="P791" s="311"/>
      <c r="Q791" s="311"/>
      <c r="R791" s="311"/>
      <c r="V791" s="311"/>
      <c r="W791" s="311"/>
      <c r="X791" s="763"/>
      <c r="Y791" s="311"/>
      <c r="Z791" s="311"/>
      <c r="AA791" s="311"/>
      <c r="AB791" s="311"/>
      <c r="AC791" s="311"/>
      <c r="AD791" s="311"/>
      <c r="AE791" s="311"/>
      <c r="AF791" s="311"/>
      <c r="AG791" s="311"/>
      <c r="AH791" s="311"/>
      <c r="AI791" s="775"/>
      <c r="AJ791" s="308"/>
      <c r="AK791" s="311"/>
    </row>
    <row r="792" spans="1:37" s="653" customFormat="1" ht="16.5" customHeight="1">
      <c r="A792" s="311"/>
      <c r="B792" s="362"/>
      <c r="C792" s="308"/>
      <c r="D792" s="308"/>
      <c r="E792" s="309"/>
      <c r="F792" s="309"/>
      <c r="G792" s="311"/>
      <c r="H792" s="310"/>
      <c r="I792" s="311"/>
      <c r="J792" s="311"/>
      <c r="L792" s="776"/>
      <c r="M792" s="762"/>
      <c r="N792" s="762"/>
      <c r="O792" s="312"/>
      <c r="P792" s="311"/>
      <c r="Q792" s="311"/>
      <c r="R792" s="311"/>
      <c r="V792" s="311"/>
      <c r="W792" s="311"/>
      <c r="X792" s="763"/>
      <c r="Y792" s="311"/>
      <c r="Z792" s="311"/>
      <c r="AA792" s="311"/>
      <c r="AB792" s="311"/>
      <c r="AC792" s="311"/>
      <c r="AD792" s="311"/>
      <c r="AE792" s="311"/>
      <c r="AF792" s="311"/>
      <c r="AG792" s="311"/>
      <c r="AH792" s="311"/>
      <c r="AI792" s="775"/>
      <c r="AJ792" s="308"/>
      <c r="AK792" s="311"/>
    </row>
    <row r="793" spans="1:37" s="653" customFormat="1" ht="16.5" customHeight="1">
      <c r="A793" s="311"/>
      <c r="B793" s="362"/>
      <c r="C793" s="308"/>
      <c r="D793" s="308"/>
      <c r="E793" s="309"/>
      <c r="F793" s="309"/>
      <c r="G793" s="311"/>
      <c r="H793" s="310"/>
      <c r="I793" s="311"/>
      <c r="J793" s="311"/>
      <c r="L793" s="776"/>
      <c r="M793" s="762"/>
      <c r="N793" s="762"/>
      <c r="O793" s="312"/>
      <c r="P793" s="311"/>
      <c r="Q793" s="311"/>
      <c r="R793" s="311"/>
      <c r="V793" s="311"/>
      <c r="W793" s="311"/>
      <c r="X793" s="763"/>
      <c r="Y793" s="311"/>
      <c r="Z793" s="311"/>
      <c r="AA793" s="311"/>
      <c r="AB793" s="311"/>
      <c r="AC793" s="311"/>
      <c r="AD793" s="311"/>
      <c r="AE793" s="311"/>
      <c r="AF793" s="311"/>
      <c r="AG793" s="311"/>
      <c r="AH793" s="311"/>
      <c r="AI793" s="775"/>
      <c r="AJ793" s="308"/>
      <c r="AK793" s="311"/>
    </row>
    <row r="794" spans="1:37" s="653" customFormat="1" ht="16.5" customHeight="1">
      <c r="A794" s="311"/>
      <c r="B794" s="362"/>
      <c r="C794" s="308"/>
      <c r="D794" s="308"/>
      <c r="E794" s="309"/>
      <c r="F794" s="309"/>
      <c r="G794" s="311"/>
      <c r="H794" s="310"/>
      <c r="I794" s="311"/>
      <c r="J794" s="311"/>
      <c r="L794" s="776"/>
      <c r="M794" s="762"/>
      <c r="N794" s="762"/>
      <c r="O794" s="312"/>
      <c r="P794" s="311"/>
      <c r="Q794" s="311"/>
      <c r="R794" s="311"/>
      <c r="V794" s="311"/>
      <c r="W794" s="311"/>
      <c r="X794" s="763"/>
      <c r="Y794" s="311"/>
      <c r="Z794" s="311"/>
      <c r="AA794" s="311"/>
      <c r="AB794" s="311"/>
      <c r="AC794" s="311"/>
      <c r="AD794" s="311"/>
      <c r="AE794" s="311"/>
      <c r="AF794" s="311"/>
      <c r="AG794" s="311"/>
      <c r="AH794" s="311"/>
      <c r="AI794" s="775"/>
      <c r="AJ794" s="308"/>
      <c r="AK794" s="311"/>
    </row>
    <row r="795" spans="1:37" s="653" customFormat="1" ht="16.5" customHeight="1">
      <c r="A795" s="311"/>
      <c r="B795" s="362"/>
      <c r="C795" s="308"/>
      <c r="D795" s="308"/>
      <c r="E795" s="309"/>
      <c r="F795" s="309"/>
      <c r="G795" s="311"/>
      <c r="H795" s="310"/>
      <c r="I795" s="311"/>
      <c r="J795" s="311"/>
      <c r="L795" s="776"/>
      <c r="M795" s="762"/>
      <c r="N795" s="762"/>
      <c r="O795" s="312"/>
      <c r="P795" s="311"/>
      <c r="Q795" s="311"/>
      <c r="R795" s="311"/>
      <c r="V795" s="311"/>
      <c r="W795" s="311"/>
      <c r="X795" s="763"/>
      <c r="Y795" s="311"/>
      <c r="Z795" s="311"/>
      <c r="AA795" s="311"/>
      <c r="AB795" s="311"/>
      <c r="AC795" s="311"/>
      <c r="AD795" s="311"/>
      <c r="AE795" s="311"/>
      <c r="AF795" s="311"/>
      <c r="AG795" s="311"/>
      <c r="AH795" s="311"/>
      <c r="AI795" s="775"/>
      <c r="AJ795" s="308"/>
      <c r="AK795" s="311"/>
    </row>
    <row r="796" spans="1:37" s="653" customFormat="1" ht="16.5" customHeight="1">
      <c r="A796" s="311"/>
      <c r="B796" s="362"/>
      <c r="C796" s="308"/>
      <c r="D796" s="308"/>
      <c r="E796" s="309"/>
      <c r="F796" s="309"/>
      <c r="G796" s="311"/>
      <c r="H796" s="310"/>
      <c r="I796" s="311"/>
      <c r="J796" s="311"/>
      <c r="L796" s="776"/>
      <c r="M796" s="762"/>
      <c r="N796" s="762"/>
      <c r="O796" s="312"/>
      <c r="P796" s="311"/>
      <c r="Q796" s="311"/>
      <c r="R796" s="311"/>
      <c r="V796" s="311"/>
      <c r="W796" s="311"/>
      <c r="X796" s="763"/>
      <c r="Y796" s="311"/>
      <c r="Z796" s="311"/>
      <c r="AA796" s="311"/>
      <c r="AB796" s="311"/>
      <c r="AC796" s="311"/>
      <c r="AD796" s="311"/>
      <c r="AE796" s="311"/>
      <c r="AF796" s="311"/>
      <c r="AG796" s="311"/>
      <c r="AH796" s="311"/>
      <c r="AI796" s="775"/>
      <c r="AJ796" s="308"/>
      <c r="AK796" s="311"/>
    </row>
    <row r="797" spans="1:37" s="653" customFormat="1" ht="16.5" customHeight="1">
      <c r="A797" s="311"/>
      <c r="B797" s="362"/>
      <c r="C797" s="308"/>
      <c r="D797" s="308"/>
      <c r="E797" s="309"/>
      <c r="F797" s="309"/>
      <c r="G797" s="311"/>
      <c r="H797" s="310"/>
      <c r="I797" s="311"/>
      <c r="J797" s="311"/>
      <c r="L797" s="776"/>
      <c r="M797" s="762"/>
      <c r="N797" s="762"/>
      <c r="O797" s="312"/>
      <c r="P797" s="311"/>
      <c r="Q797" s="311"/>
      <c r="R797" s="311"/>
      <c r="V797" s="311"/>
      <c r="W797" s="311"/>
      <c r="X797" s="763"/>
      <c r="Y797" s="311"/>
      <c r="Z797" s="311"/>
      <c r="AA797" s="311"/>
      <c r="AB797" s="311"/>
      <c r="AC797" s="311"/>
      <c r="AD797" s="311"/>
      <c r="AE797" s="311"/>
      <c r="AF797" s="311"/>
      <c r="AG797" s="311"/>
      <c r="AH797" s="311"/>
      <c r="AI797" s="775"/>
      <c r="AJ797" s="308"/>
      <c r="AK797" s="311"/>
    </row>
    <row r="798" spans="1:37" s="653" customFormat="1" ht="16.5" customHeight="1">
      <c r="A798" s="311"/>
      <c r="B798" s="362"/>
      <c r="C798" s="308"/>
      <c r="D798" s="308"/>
      <c r="E798" s="309"/>
      <c r="F798" s="309"/>
      <c r="G798" s="311"/>
      <c r="H798" s="310"/>
      <c r="I798" s="311"/>
      <c r="J798" s="311"/>
      <c r="L798" s="776"/>
      <c r="M798" s="762"/>
      <c r="N798" s="762"/>
      <c r="O798" s="312"/>
      <c r="P798" s="311"/>
      <c r="Q798" s="311"/>
      <c r="R798" s="311"/>
      <c r="V798" s="311"/>
      <c r="W798" s="311"/>
      <c r="X798" s="763"/>
      <c r="Y798" s="311"/>
      <c r="Z798" s="311"/>
      <c r="AA798" s="311"/>
      <c r="AB798" s="311"/>
      <c r="AC798" s="311"/>
      <c r="AD798" s="311"/>
      <c r="AE798" s="311"/>
      <c r="AF798" s="311"/>
      <c r="AG798" s="311"/>
      <c r="AH798" s="311"/>
      <c r="AI798" s="775"/>
      <c r="AJ798" s="308"/>
      <c r="AK798" s="311"/>
    </row>
    <row r="799" spans="1:37" s="653" customFormat="1" ht="16.5" customHeight="1">
      <c r="A799" s="311"/>
      <c r="B799" s="362"/>
      <c r="C799" s="308"/>
      <c r="D799" s="308"/>
      <c r="E799" s="309"/>
      <c r="F799" s="309"/>
      <c r="G799" s="311"/>
      <c r="H799" s="310"/>
      <c r="I799" s="311"/>
      <c r="J799" s="311"/>
      <c r="L799" s="776"/>
      <c r="M799" s="762"/>
      <c r="N799" s="762"/>
      <c r="O799" s="312"/>
      <c r="P799" s="311"/>
      <c r="Q799" s="311"/>
      <c r="R799" s="311"/>
      <c r="V799" s="311"/>
      <c r="W799" s="311"/>
      <c r="X799" s="763"/>
      <c r="Y799" s="311"/>
      <c r="Z799" s="311"/>
      <c r="AA799" s="311"/>
      <c r="AB799" s="311"/>
      <c r="AC799" s="311"/>
      <c r="AD799" s="311"/>
      <c r="AE799" s="311"/>
      <c r="AF799" s="311"/>
      <c r="AG799" s="311"/>
      <c r="AH799" s="311"/>
      <c r="AI799" s="775"/>
      <c r="AJ799" s="308"/>
      <c r="AK799" s="311"/>
    </row>
    <row r="800" spans="1:37" s="653" customFormat="1" ht="16.5" customHeight="1">
      <c r="A800" s="311"/>
      <c r="B800" s="362"/>
      <c r="C800" s="308"/>
      <c r="D800" s="308"/>
      <c r="E800" s="309"/>
      <c r="F800" s="309"/>
      <c r="G800" s="311"/>
      <c r="H800" s="310"/>
      <c r="I800" s="311"/>
      <c r="J800" s="311"/>
      <c r="L800" s="776"/>
      <c r="M800" s="762"/>
      <c r="N800" s="762"/>
      <c r="O800" s="312"/>
      <c r="P800" s="311"/>
      <c r="Q800" s="311"/>
      <c r="R800" s="311"/>
      <c r="V800" s="311"/>
      <c r="W800" s="311"/>
      <c r="X800" s="763"/>
      <c r="Y800" s="311"/>
      <c r="Z800" s="311"/>
      <c r="AA800" s="311"/>
      <c r="AB800" s="311"/>
      <c r="AC800" s="311"/>
      <c r="AD800" s="311"/>
      <c r="AE800" s="311"/>
      <c r="AF800" s="311"/>
      <c r="AG800" s="311"/>
      <c r="AH800" s="311"/>
      <c r="AI800" s="775"/>
      <c r="AJ800" s="308"/>
      <c r="AK800" s="311"/>
    </row>
    <row r="801" spans="1:37" s="653" customFormat="1" ht="16.5" customHeight="1">
      <c r="A801" s="311"/>
      <c r="B801" s="362"/>
      <c r="C801" s="308"/>
      <c r="D801" s="308"/>
      <c r="E801" s="309"/>
      <c r="F801" s="309"/>
      <c r="G801" s="311"/>
      <c r="H801" s="310"/>
      <c r="I801" s="311"/>
      <c r="J801" s="311"/>
      <c r="L801" s="776"/>
      <c r="M801" s="762"/>
      <c r="N801" s="762"/>
      <c r="O801" s="312"/>
      <c r="P801" s="311"/>
      <c r="Q801" s="311"/>
      <c r="R801" s="311"/>
      <c r="V801" s="311"/>
      <c r="W801" s="311"/>
      <c r="X801" s="763"/>
      <c r="Y801" s="311"/>
      <c r="Z801" s="311"/>
      <c r="AA801" s="311"/>
      <c r="AB801" s="311"/>
      <c r="AC801" s="311"/>
      <c r="AD801" s="311"/>
      <c r="AE801" s="311"/>
      <c r="AF801" s="311"/>
      <c r="AG801" s="311"/>
      <c r="AH801" s="311"/>
      <c r="AI801" s="775"/>
      <c r="AJ801" s="308"/>
      <c r="AK801" s="311"/>
    </row>
    <row r="802" spans="1:37" s="653" customFormat="1" ht="16.5" customHeight="1">
      <c r="A802" s="311"/>
      <c r="B802" s="362"/>
      <c r="C802" s="308"/>
      <c r="D802" s="308"/>
      <c r="E802" s="309"/>
      <c r="F802" s="309"/>
      <c r="G802" s="311"/>
      <c r="H802" s="310"/>
      <c r="I802" s="311"/>
      <c r="J802" s="311"/>
      <c r="L802" s="776"/>
      <c r="M802" s="762"/>
      <c r="N802" s="762"/>
      <c r="O802" s="312"/>
      <c r="P802" s="311"/>
      <c r="Q802" s="311"/>
      <c r="R802" s="311"/>
      <c r="V802" s="311"/>
      <c r="W802" s="311"/>
      <c r="X802" s="763"/>
      <c r="Y802" s="311"/>
      <c r="Z802" s="311"/>
      <c r="AA802" s="311"/>
      <c r="AB802" s="311"/>
      <c r="AC802" s="311"/>
      <c r="AD802" s="311"/>
      <c r="AE802" s="311"/>
      <c r="AF802" s="311"/>
      <c r="AG802" s="311"/>
      <c r="AH802" s="311"/>
      <c r="AI802" s="775"/>
      <c r="AJ802" s="308"/>
      <c r="AK802" s="311"/>
    </row>
    <row r="803" spans="1:37" s="653" customFormat="1" ht="16.5" customHeight="1">
      <c r="A803" s="311"/>
      <c r="B803" s="362"/>
      <c r="C803" s="308"/>
      <c r="D803" s="308"/>
      <c r="E803" s="309"/>
      <c r="F803" s="309"/>
      <c r="G803" s="311"/>
      <c r="H803" s="310"/>
      <c r="I803" s="311"/>
      <c r="J803" s="311"/>
      <c r="L803" s="776"/>
      <c r="M803" s="762"/>
      <c r="N803" s="762"/>
      <c r="O803" s="312"/>
      <c r="P803" s="311"/>
      <c r="Q803" s="311"/>
      <c r="R803" s="311"/>
      <c r="V803" s="311"/>
      <c r="W803" s="311"/>
      <c r="X803" s="763"/>
      <c r="Y803" s="311"/>
      <c r="Z803" s="311"/>
      <c r="AA803" s="311"/>
      <c r="AB803" s="311"/>
      <c r="AC803" s="311"/>
      <c r="AD803" s="311"/>
      <c r="AE803" s="311"/>
      <c r="AF803" s="311"/>
      <c r="AG803" s="311"/>
      <c r="AH803" s="311"/>
      <c r="AI803" s="775"/>
      <c r="AJ803" s="308"/>
      <c r="AK803" s="311"/>
    </row>
    <row r="804" spans="1:37" s="653" customFormat="1" ht="16.5" customHeight="1">
      <c r="A804" s="311"/>
      <c r="B804" s="362"/>
      <c r="C804" s="308"/>
      <c r="D804" s="308"/>
      <c r="E804" s="309"/>
      <c r="F804" s="309"/>
      <c r="G804" s="311"/>
      <c r="H804" s="310"/>
      <c r="I804" s="311"/>
      <c r="J804" s="311"/>
      <c r="L804" s="776"/>
      <c r="M804" s="762"/>
      <c r="N804" s="762"/>
      <c r="O804" s="312"/>
      <c r="P804" s="311"/>
      <c r="Q804" s="311"/>
      <c r="R804" s="311"/>
      <c r="V804" s="311"/>
      <c r="W804" s="311"/>
      <c r="X804" s="763"/>
      <c r="Y804" s="311"/>
      <c r="Z804" s="311"/>
      <c r="AA804" s="311"/>
      <c r="AB804" s="311"/>
      <c r="AC804" s="311"/>
      <c r="AD804" s="311"/>
      <c r="AE804" s="311"/>
      <c r="AF804" s="311"/>
      <c r="AG804" s="311"/>
      <c r="AH804" s="311"/>
      <c r="AI804" s="775"/>
      <c r="AJ804" s="308"/>
      <c r="AK804" s="311"/>
    </row>
    <row r="805" spans="1:37" s="653" customFormat="1" ht="16.5" customHeight="1">
      <c r="A805" s="311"/>
      <c r="B805" s="362"/>
      <c r="C805" s="308"/>
      <c r="D805" s="308"/>
      <c r="E805" s="309"/>
      <c r="F805" s="309"/>
      <c r="G805" s="311"/>
      <c r="H805" s="310"/>
      <c r="I805" s="311"/>
      <c r="J805" s="311"/>
      <c r="L805" s="776"/>
      <c r="M805" s="762"/>
      <c r="N805" s="762"/>
      <c r="O805" s="312"/>
      <c r="P805" s="311"/>
      <c r="Q805" s="311"/>
      <c r="R805" s="311"/>
      <c r="V805" s="311"/>
      <c r="W805" s="311"/>
      <c r="X805" s="763"/>
      <c r="Y805" s="311"/>
      <c r="Z805" s="311"/>
      <c r="AA805" s="311"/>
      <c r="AB805" s="311"/>
      <c r="AC805" s="311"/>
      <c r="AD805" s="311"/>
      <c r="AE805" s="311"/>
      <c r="AF805" s="311"/>
      <c r="AG805" s="311"/>
      <c r="AH805" s="311"/>
      <c r="AI805" s="775"/>
      <c r="AJ805" s="308"/>
      <c r="AK805" s="311"/>
    </row>
    <row r="806" spans="1:37" s="653" customFormat="1" ht="16.5" customHeight="1">
      <c r="A806" s="311"/>
      <c r="B806" s="362"/>
      <c r="C806" s="308"/>
      <c r="D806" s="308"/>
      <c r="E806" s="309"/>
      <c r="F806" s="309"/>
      <c r="G806" s="311"/>
      <c r="H806" s="310"/>
      <c r="I806" s="311"/>
      <c r="J806" s="311"/>
      <c r="L806" s="776"/>
      <c r="M806" s="762"/>
      <c r="N806" s="762"/>
      <c r="O806" s="312"/>
      <c r="P806" s="311"/>
      <c r="Q806" s="311"/>
      <c r="R806" s="311"/>
      <c r="V806" s="311"/>
      <c r="W806" s="311"/>
      <c r="X806" s="763"/>
      <c r="Y806" s="311"/>
      <c r="Z806" s="311"/>
      <c r="AA806" s="311"/>
      <c r="AB806" s="311"/>
      <c r="AC806" s="311"/>
      <c r="AD806" s="311"/>
      <c r="AE806" s="311"/>
      <c r="AF806" s="311"/>
      <c r="AG806" s="311"/>
      <c r="AH806" s="311"/>
      <c r="AI806" s="775"/>
      <c r="AJ806" s="308"/>
      <c r="AK806" s="311"/>
    </row>
    <row r="807" spans="1:37" s="653" customFormat="1" ht="16.5" customHeight="1">
      <c r="A807" s="311"/>
      <c r="B807" s="362"/>
      <c r="C807" s="308"/>
      <c r="D807" s="308"/>
      <c r="E807" s="309"/>
      <c r="F807" s="309"/>
      <c r="G807" s="311"/>
      <c r="H807" s="310"/>
      <c r="I807" s="311"/>
      <c r="J807" s="311"/>
      <c r="L807" s="776"/>
      <c r="M807" s="762"/>
      <c r="N807" s="762"/>
      <c r="O807" s="312"/>
      <c r="P807" s="311"/>
      <c r="Q807" s="311"/>
      <c r="R807" s="311"/>
      <c r="V807" s="311"/>
      <c r="W807" s="311"/>
      <c r="X807" s="763"/>
      <c r="Y807" s="311"/>
      <c r="Z807" s="311"/>
      <c r="AA807" s="311"/>
      <c r="AB807" s="311"/>
      <c r="AC807" s="311"/>
      <c r="AD807" s="311"/>
      <c r="AE807" s="311"/>
      <c r="AF807" s="311"/>
      <c r="AG807" s="311"/>
      <c r="AH807" s="311"/>
      <c r="AI807" s="775"/>
      <c r="AJ807" s="308"/>
      <c r="AK807" s="311"/>
    </row>
    <row r="808" spans="1:37" s="653" customFormat="1" ht="16.5" customHeight="1">
      <c r="A808" s="311"/>
      <c r="B808" s="362"/>
      <c r="C808" s="308"/>
      <c r="D808" s="308"/>
      <c r="E808" s="309"/>
      <c r="F808" s="309"/>
      <c r="G808" s="311"/>
      <c r="H808" s="310"/>
      <c r="I808" s="311"/>
      <c r="J808" s="311"/>
      <c r="L808" s="776"/>
      <c r="M808" s="762"/>
      <c r="N808" s="762"/>
      <c r="O808" s="312"/>
      <c r="P808" s="311"/>
      <c r="Q808" s="311"/>
      <c r="R808" s="311"/>
      <c r="V808" s="311"/>
      <c r="W808" s="311"/>
      <c r="X808" s="763"/>
      <c r="Y808" s="311"/>
      <c r="Z808" s="311"/>
      <c r="AA808" s="311"/>
      <c r="AB808" s="311"/>
      <c r="AC808" s="311"/>
      <c r="AD808" s="311"/>
      <c r="AE808" s="311"/>
      <c r="AF808" s="311"/>
      <c r="AG808" s="311"/>
      <c r="AH808" s="311"/>
      <c r="AI808" s="775"/>
      <c r="AJ808" s="308"/>
      <c r="AK808" s="311"/>
    </row>
    <row r="809" spans="1:37" s="653" customFormat="1" ht="16.5" customHeight="1">
      <c r="A809" s="311"/>
      <c r="B809" s="362"/>
      <c r="C809" s="308"/>
      <c r="D809" s="308"/>
      <c r="E809" s="309"/>
      <c r="F809" s="309"/>
      <c r="G809" s="311"/>
      <c r="H809" s="310"/>
      <c r="I809" s="311"/>
      <c r="J809" s="311"/>
      <c r="L809" s="776"/>
      <c r="M809" s="762"/>
      <c r="N809" s="762"/>
      <c r="O809" s="312"/>
      <c r="P809" s="311"/>
      <c r="Q809" s="311"/>
      <c r="R809" s="311"/>
      <c r="V809" s="311"/>
      <c r="W809" s="311"/>
      <c r="X809" s="763"/>
      <c r="Y809" s="311"/>
      <c r="Z809" s="311"/>
      <c r="AA809" s="311"/>
      <c r="AB809" s="311"/>
      <c r="AC809" s="311"/>
      <c r="AD809" s="311"/>
      <c r="AE809" s="311"/>
      <c r="AF809" s="311"/>
      <c r="AG809" s="311"/>
      <c r="AH809" s="311"/>
      <c r="AI809" s="775"/>
      <c r="AJ809" s="308"/>
      <c r="AK809" s="311"/>
    </row>
    <row r="810" spans="1:37" s="653" customFormat="1" ht="16.5" customHeight="1">
      <c r="A810" s="311"/>
      <c r="B810" s="362"/>
      <c r="C810" s="308"/>
      <c r="D810" s="308"/>
      <c r="E810" s="309"/>
      <c r="F810" s="309"/>
      <c r="G810" s="311"/>
      <c r="H810" s="310"/>
      <c r="I810" s="311"/>
      <c r="J810" s="311"/>
      <c r="L810" s="776"/>
      <c r="M810" s="762"/>
      <c r="N810" s="762"/>
      <c r="O810" s="312"/>
      <c r="P810" s="311"/>
      <c r="Q810" s="311"/>
      <c r="R810" s="311"/>
      <c r="V810" s="311"/>
      <c r="W810" s="311"/>
      <c r="X810" s="763"/>
      <c r="Y810" s="311"/>
      <c r="Z810" s="311"/>
      <c r="AA810" s="311"/>
      <c r="AB810" s="311"/>
      <c r="AC810" s="311"/>
      <c r="AD810" s="311"/>
      <c r="AE810" s="311"/>
      <c r="AF810" s="311"/>
      <c r="AG810" s="311"/>
      <c r="AH810" s="311"/>
      <c r="AI810" s="775"/>
      <c r="AJ810" s="308"/>
      <c r="AK810" s="311"/>
    </row>
    <row r="811" spans="1:37" s="653" customFormat="1" ht="16.5" customHeight="1">
      <c r="A811" s="311"/>
      <c r="B811" s="362"/>
      <c r="C811" s="308"/>
      <c r="D811" s="308"/>
      <c r="E811" s="309"/>
      <c r="F811" s="309"/>
      <c r="G811" s="311"/>
      <c r="H811" s="310"/>
      <c r="I811" s="311"/>
      <c r="J811" s="311"/>
      <c r="L811" s="776"/>
      <c r="M811" s="762"/>
      <c r="N811" s="762"/>
      <c r="O811" s="312"/>
      <c r="P811" s="311"/>
      <c r="Q811" s="311"/>
      <c r="R811" s="311"/>
      <c r="V811" s="311"/>
      <c r="W811" s="311"/>
      <c r="X811" s="763"/>
      <c r="Y811" s="311"/>
      <c r="Z811" s="311"/>
      <c r="AA811" s="311"/>
      <c r="AB811" s="311"/>
      <c r="AC811" s="311"/>
      <c r="AD811" s="311"/>
      <c r="AE811" s="311"/>
      <c r="AF811" s="311"/>
      <c r="AG811" s="311"/>
      <c r="AH811" s="311"/>
      <c r="AI811" s="775"/>
      <c r="AJ811" s="308"/>
      <c r="AK811" s="311"/>
    </row>
    <row r="812" spans="1:37" s="653" customFormat="1" ht="16.5" customHeight="1">
      <c r="A812" s="311"/>
      <c r="B812" s="362"/>
      <c r="C812" s="308"/>
      <c r="D812" s="308"/>
      <c r="E812" s="309"/>
      <c r="F812" s="309"/>
      <c r="G812" s="311"/>
      <c r="H812" s="310"/>
      <c r="I812" s="311"/>
      <c r="J812" s="311"/>
      <c r="L812" s="776"/>
      <c r="M812" s="762"/>
      <c r="N812" s="762"/>
      <c r="O812" s="312"/>
      <c r="P812" s="311"/>
      <c r="Q812" s="311"/>
      <c r="R812" s="311"/>
      <c r="V812" s="311"/>
      <c r="W812" s="311"/>
      <c r="X812" s="763"/>
      <c r="Y812" s="311"/>
      <c r="Z812" s="311"/>
      <c r="AA812" s="311"/>
      <c r="AB812" s="311"/>
      <c r="AC812" s="311"/>
      <c r="AD812" s="311"/>
      <c r="AE812" s="311"/>
      <c r="AF812" s="311"/>
      <c r="AG812" s="311"/>
      <c r="AH812" s="311"/>
      <c r="AI812" s="775"/>
      <c r="AJ812" s="308"/>
      <c r="AK812" s="311"/>
    </row>
    <row r="813" spans="1:37" s="653" customFormat="1" ht="16.5" customHeight="1">
      <c r="A813" s="311"/>
      <c r="B813" s="362"/>
      <c r="C813" s="308"/>
      <c r="D813" s="308"/>
      <c r="E813" s="309"/>
      <c r="F813" s="309"/>
      <c r="G813" s="311"/>
      <c r="H813" s="310"/>
      <c r="I813" s="311"/>
      <c r="J813" s="311"/>
      <c r="L813" s="776"/>
      <c r="M813" s="762"/>
      <c r="N813" s="762"/>
      <c r="O813" s="312"/>
      <c r="P813" s="311"/>
      <c r="Q813" s="311"/>
      <c r="R813" s="311"/>
      <c r="V813" s="311"/>
      <c r="W813" s="311"/>
      <c r="X813" s="763"/>
      <c r="Y813" s="311"/>
      <c r="Z813" s="311"/>
      <c r="AA813" s="311"/>
      <c r="AB813" s="311"/>
      <c r="AC813" s="311"/>
      <c r="AD813" s="311"/>
      <c r="AE813" s="311"/>
      <c r="AF813" s="311"/>
      <c r="AG813" s="311"/>
      <c r="AH813" s="311"/>
      <c r="AI813" s="775"/>
      <c r="AJ813" s="308"/>
      <c r="AK813" s="311"/>
    </row>
    <row r="814" spans="1:37" s="653" customFormat="1" ht="16.5" customHeight="1">
      <c r="A814" s="311"/>
      <c r="B814" s="362"/>
      <c r="C814" s="308"/>
      <c r="D814" s="308"/>
      <c r="E814" s="309"/>
      <c r="F814" s="309"/>
      <c r="G814" s="311"/>
      <c r="H814" s="310"/>
      <c r="I814" s="311"/>
      <c r="J814" s="311"/>
      <c r="L814" s="776"/>
      <c r="M814" s="762"/>
      <c r="N814" s="762"/>
      <c r="O814" s="312"/>
      <c r="P814" s="311"/>
      <c r="Q814" s="311"/>
      <c r="R814" s="311"/>
      <c r="V814" s="311"/>
      <c r="W814" s="311"/>
      <c r="X814" s="763"/>
      <c r="Y814" s="311"/>
      <c r="Z814" s="311"/>
      <c r="AA814" s="311"/>
      <c r="AB814" s="311"/>
      <c r="AC814" s="311"/>
      <c r="AD814" s="311"/>
      <c r="AE814" s="311"/>
      <c r="AF814" s="311"/>
      <c r="AG814" s="311"/>
      <c r="AH814" s="311"/>
      <c r="AI814" s="775"/>
      <c r="AJ814" s="308"/>
      <c r="AK814" s="311"/>
    </row>
    <row r="815" spans="1:37" s="653" customFormat="1" ht="16.5" customHeight="1">
      <c r="A815" s="311"/>
      <c r="B815" s="362"/>
      <c r="C815" s="308"/>
      <c r="D815" s="308"/>
      <c r="E815" s="309"/>
      <c r="F815" s="309"/>
      <c r="G815" s="311"/>
      <c r="H815" s="310"/>
      <c r="I815" s="311"/>
      <c r="J815" s="311"/>
      <c r="L815" s="776"/>
      <c r="M815" s="762"/>
      <c r="N815" s="762"/>
      <c r="O815" s="312"/>
      <c r="P815" s="311"/>
      <c r="Q815" s="311"/>
      <c r="R815" s="311"/>
      <c r="V815" s="311"/>
      <c r="W815" s="311"/>
      <c r="X815" s="763"/>
      <c r="Y815" s="311"/>
      <c r="Z815" s="311"/>
      <c r="AA815" s="311"/>
      <c r="AB815" s="311"/>
      <c r="AC815" s="311"/>
      <c r="AD815" s="311"/>
      <c r="AE815" s="311"/>
      <c r="AF815" s="311"/>
      <c r="AG815" s="311"/>
      <c r="AH815" s="311"/>
      <c r="AI815" s="775"/>
      <c r="AJ815" s="308"/>
      <c r="AK815" s="311"/>
    </row>
    <row r="816" spans="1:37" s="653" customFormat="1" ht="16.5" customHeight="1">
      <c r="A816" s="311"/>
      <c r="B816" s="362"/>
      <c r="C816" s="308"/>
      <c r="D816" s="308"/>
      <c r="E816" s="309"/>
      <c r="F816" s="309"/>
      <c r="G816" s="311"/>
      <c r="H816" s="310"/>
      <c r="I816" s="311"/>
      <c r="J816" s="311"/>
      <c r="L816" s="776"/>
      <c r="M816" s="762"/>
      <c r="N816" s="762"/>
      <c r="O816" s="312"/>
      <c r="P816" s="311"/>
      <c r="Q816" s="311"/>
      <c r="R816" s="311"/>
      <c r="V816" s="311"/>
      <c r="W816" s="311"/>
      <c r="X816" s="763"/>
      <c r="Y816" s="311"/>
      <c r="Z816" s="311"/>
      <c r="AA816" s="311"/>
      <c r="AB816" s="311"/>
      <c r="AC816" s="311"/>
      <c r="AD816" s="311"/>
      <c r="AE816" s="311"/>
      <c r="AF816" s="311"/>
      <c r="AG816" s="311"/>
      <c r="AH816" s="311"/>
      <c r="AI816" s="775"/>
      <c r="AJ816" s="308"/>
      <c r="AK816" s="311"/>
    </row>
    <row r="817" spans="1:37" s="653" customFormat="1" ht="16.5" customHeight="1">
      <c r="A817" s="311"/>
      <c r="B817" s="362"/>
      <c r="C817" s="308"/>
      <c r="D817" s="308"/>
      <c r="E817" s="309"/>
      <c r="F817" s="309"/>
      <c r="G817" s="311"/>
      <c r="H817" s="310"/>
      <c r="I817" s="311"/>
      <c r="J817" s="311"/>
      <c r="L817" s="776"/>
      <c r="M817" s="762"/>
      <c r="N817" s="762"/>
      <c r="O817" s="312"/>
      <c r="P817" s="311"/>
      <c r="Q817" s="311"/>
      <c r="R817" s="311"/>
      <c r="V817" s="311"/>
      <c r="W817" s="311"/>
      <c r="X817" s="763"/>
      <c r="Y817" s="311"/>
      <c r="Z817" s="311"/>
      <c r="AA817" s="311"/>
      <c r="AB817" s="311"/>
      <c r="AC817" s="311"/>
      <c r="AD817" s="311"/>
      <c r="AE817" s="311"/>
      <c r="AF817" s="311"/>
      <c r="AG817" s="311"/>
      <c r="AH817" s="311"/>
      <c r="AI817" s="775"/>
      <c r="AJ817" s="308"/>
      <c r="AK817" s="311"/>
    </row>
    <row r="818" spans="1:37" s="653" customFormat="1" ht="16.5" customHeight="1">
      <c r="A818" s="311"/>
      <c r="B818" s="362"/>
      <c r="C818" s="308"/>
      <c r="D818" s="308"/>
      <c r="E818" s="309"/>
      <c r="F818" s="309"/>
      <c r="G818" s="311"/>
      <c r="H818" s="310"/>
      <c r="I818" s="311"/>
      <c r="J818" s="311"/>
      <c r="L818" s="776"/>
      <c r="M818" s="762"/>
      <c r="N818" s="762"/>
      <c r="O818" s="312"/>
      <c r="P818" s="311"/>
      <c r="Q818" s="311"/>
      <c r="R818" s="311"/>
      <c r="V818" s="311"/>
      <c r="W818" s="311"/>
      <c r="X818" s="763"/>
      <c r="Y818" s="311"/>
      <c r="Z818" s="311"/>
      <c r="AA818" s="311"/>
      <c r="AB818" s="311"/>
      <c r="AC818" s="311"/>
      <c r="AD818" s="311"/>
      <c r="AE818" s="311"/>
      <c r="AF818" s="311"/>
      <c r="AG818" s="311"/>
      <c r="AH818" s="311"/>
      <c r="AI818" s="775"/>
      <c r="AJ818" s="308"/>
      <c r="AK818" s="311"/>
    </row>
    <row r="819" spans="1:37" s="653" customFormat="1" ht="16.5" customHeight="1">
      <c r="A819" s="311"/>
      <c r="B819" s="362"/>
      <c r="C819" s="308"/>
      <c r="D819" s="308"/>
      <c r="E819" s="309"/>
      <c r="F819" s="309"/>
      <c r="G819" s="311"/>
      <c r="H819" s="310"/>
      <c r="I819" s="311"/>
      <c r="J819" s="311"/>
      <c r="L819" s="776"/>
      <c r="M819" s="762"/>
      <c r="N819" s="762"/>
      <c r="O819" s="312"/>
      <c r="P819" s="311"/>
      <c r="Q819" s="311"/>
      <c r="R819" s="311"/>
      <c r="V819" s="311"/>
      <c r="W819" s="311"/>
      <c r="X819" s="763"/>
      <c r="Y819" s="311"/>
      <c r="Z819" s="311"/>
      <c r="AA819" s="311"/>
      <c r="AB819" s="311"/>
      <c r="AC819" s="311"/>
      <c r="AD819" s="311"/>
      <c r="AE819" s="311"/>
      <c r="AF819" s="311"/>
      <c r="AG819" s="311"/>
      <c r="AH819" s="311"/>
      <c r="AI819" s="775"/>
      <c r="AJ819" s="308"/>
      <c r="AK819" s="311"/>
    </row>
    <row r="820" spans="1:37" s="653" customFormat="1" ht="16.5" customHeight="1">
      <c r="A820" s="311"/>
      <c r="B820" s="362"/>
      <c r="C820" s="308"/>
      <c r="D820" s="308"/>
      <c r="E820" s="309"/>
      <c r="F820" s="309"/>
      <c r="G820" s="311"/>
      <c r="H820" s="310"/>
      <c r="I820" s="311"/>
      <c r="J820" s="311"/>
      <c r="L820" s="776"/>
      <c r="M820" s="762"/>
      <c r="N820" s="762"/>
      <c r="O820" s="312"/>
      <c r="P820" s="311"/>
      <c r="Q820" s="311"/>
      <c r="R820" s="311"/>
      <c r="V820" s="311"/>
      <c r="W820" s="311"/>
      <c r="X820" s="763"/>
      <c r="Y820" s="311"/>
      <c r="Z820" s="311"/>
      <c r="AA820" s="311"/>
      <c r="AB820" s="311"/>
      <c r="AC820" s="311"/>
      <c r="AD820" s="311"/>
      <c r="AE820" s="311"/>
      <c r="AF820" s="311"/>
      <c r="AG820" s="311"/>
      <c r="AH820" s="311"/>
      <c r="AI820" s="775"/>
      <c r="AJ820" s="308"/>
      <c r="AK820" s="311"/>
    </row>
    <row r="821" spans="1:37" s="653" customFormat="1" ht="16.5" customHeight="1">
      <c r="A821" s="311"/>
      <c r="B821" s="362"/>
      <c r="C821" s="308"/>
      <c r="D821" s="308"/>
      <c r="E821" s="309"/>
      <c r="F821" s="309"/>
      <c r="G821" s="311"/>
      <c r="H821" s="310"/>
      <c r="I821" s="311"/>
      <c r="J821" s="311"/>
      <c r="L821" s="776"/>
      <c r="M821" s="762"/>
      <c r="N821" s="762"/>
      <c r="O821" s="312"/>
      <c r="P821" s="311"/>
      <c r="Q821" s="311"/>
      <c r="R821" s="311"/>
      <c r="V821" s="311"/>
      <c r="W821" s="311"/>
      <c r="X821" s="763"/>
      <c r="Y821" s="311"/>
      <c r="Z821" s="311"/>
      <c r="AA821" s="311"/>
      <c r="AB821" s="311"/>
      <c r="AC821" s="311"/>
      <c r="AD821" s="311"/>
      <c r="AE821" s="311"/>
      <c r="AF821" s="311"/>
      <c r="AG821" s="311"/>
      <c r="AH821" s="311"/>
      <c r="AI821" s="775"/>
      <c r="AJ821" s="308"/>
      <c r="AK821" s="311"/>
    </row>
    <row r="822" spans="1:37" s="653" customFormat="1" ht="16.5" customHeight="1">
      <c r="A822" s="311"/>
      <c r="B822" s="362"/>
      <c r="C822" s="308"/>
      <c r="D822" s="308"/>
      <c r="E822" s="309"/>
      <c r="F822" s="309"/>
      <c r="G822" s="311"/>
      <c r="H822" s="310"/>
      <c r="I822" s="311"/>
      <c r="J822" s="311"/>
      <c r="L822" s="776"/>
      <c r="M822" s="762"/>
      <c r="N822" s="762"/>
      <c r="O822" s="312"/>
      <c r="P822" s="311"/>
      <c r="Q822" s="311"/>
      <c r="R822" s="311"/>
      <c r="V822" s="311"/>
      <c r="W822" s="311"/>
      <c r="X822" s="763"/>
      <c r="Y822" s="311"/>
      <c r="Z822" s="311"/>
      <c r="AA822" s="311"/>
      <c r="AB822" s="311"/>
      <c r="AC822" s="311"/>
      <c r="AD822" s="311"/>
      <c r="AE822" s="311"/>
      <c r="AF822" s="311"/>
      <c r="AG822" s="311"/>
      <c r="AH822" s="311"/>
      <c r="AI822" s="775"/>
      <c r="AJ822" s="308"/>
      <c r="AK822" s="311"/>
    </row>
    <row r="823" spans="1:37" s="653" customFormat="1" ht="16.5" customHeight="1">
      <c r="A823" s="311"/>
      <c r="B823" s="362"/>
      <c r="C823" s="308"/>
      <c r="D823" s="308"/>
      <c r="E823" s="309"/>
      <c r="F823" s="309"/>
      <c r="G823" s="311"/>
      <c r="H823" s="310"/>
      <c r="I823" s="311"/>
      <c r="J823" s="311"/>
      <c r="L823" s="776"/>
      <c r="M823" s="762"/>
      <c r="N823" s="762"/>
      <c r="O823" s="312"/>
      <c r="P823" s="311"/>
      <c r="Q823" s="311"/>
      <c r="R823" s="311"/>
      <c r="V823" s="311"/>
      <c r="W823" s="311"/>
      <c r="X823" s="763"/>
      <c r="Y823" s="311"/>
      <c r="Z823" s="311"/>
      <c r="AA823" s="311"/>
      <c r="AB823" s="311"/>
      <c r="AC823" s="311"/>
      <c r="AD823" s="311"/>
      <c r="AE823" s="311"/>
      <c r="AF823" s="311"/>
      <c r="AG823" s="311"/>
      <c r="AH823" s="311"/>
      <c r="AI823" s="775"/>
      <c r="AJ823" s="308"/>
      <c r="AK823" s="311"/>
    </row>
    <row r="824" spans="1:37" s="653" customFormat="1" ht="16.5" customHeight="1">
      <c r="A824" s="311"/>
      <c r="B824" s="362"/>
      <c r="C824" s="308"/>
      <c r="D824" s="308"/>
      <c r="E824" s="309"/>
      <c r="F824" s="309"/>
      <c r="G824" s="311"/>
      <c r="H824" s="310"/>
      <c r="I824" s="311"/>
      <c r="J824" s="311"/>
      <c r="L824" s="776"/>
      <c r="M824" s="762"/>
      <c r="N824" s="762"/>
      <c r="O824" s="312"/>
      <c r="P824" s="311"/>
      <c r="Q824" s="311"/>
      <c r="R824" s="311"/>
      <c r="V824" s="311"/>
      <c r="W824" s="311"/>
      <c r="X824" s="763"/>
      <c r="Y824" s="311"/>
      <c r="Z824" s="311"/>
      <c r="AA824" s="311"/>
      <c r="AB824" s="311"/>
      <c r="AC824" s="311"/>
      <c r="AD824" s="311"/>
      <c r="AE824" s="311"/>
      <c r="AF824" s="311"/>
      <c r="AG824" s="311"/>
      <c r="AH824" s="311"/>
      <c r="AI824" s="775"/>
      <c r="AJ824" s="308"/>
      <c r="AK824" s="311"/>
    </row>
    <row r="825" spans="1:37" s="653" customFormat="1" ht="16.5" customHeight="1">
      <c r="A825" s="311"/>
      <c r="B825" s="362"/>
      <c r="C825" s="308"/>
      <c r="D825" s="308"/>
      <c r="E825" s="309"/>
      <c r="F825" s="309"/>
      <c r="G825" s="311"/>
      <c r="H825" s="310"/>
      <c r="I825" s="311"/>
      <c r="J825" s="311"/>
      <c r="L825" s="776"/>
      <c r="M825" s="762"/>
      <c r="N825" s="762"/>
      <c r="O825" s="312"/>
      <c r="P825" s="311"/>
      <c r="Q825" s="311"/>
      <c r="R825" s="311"/>
      <c r="V825" s="311"/>
      <c r="W825" s="311"/>
      <c r="X825" s="763"/>
      <c r="Y825" s="311"/>
      <c r="Z825" s="311"/>
      <c r="AA825" s="311"/>
      <c r="AB825" s="311"/>
      <c r="AC825" s="311"/>
      <c r="AD825" s="311"/>
      <c r="AE825" s="311"/>
      <c r="AF825" s="311"/>
      <c r="AG825" s="311"/>
      <c r="AH825" s="311"/>
      <c r="AI825" s="775"/>
      <c r="AJ825" s="308"/>
      <c r="AK825" s="311"/>
    </row>
    <row r="826" spans="1:37" s="653" customFormat="1" ht="16.5" customHeight="1">
      <c r="A826" s="311"/>
      <c r="B826" s="362"/>
      <c r="C826" s="308"/>
      <c r="D826" s="308"/>
      <c r="E826" s="309"/>
      <c r="F826" s="309"/>
      <c r="G826" s="311"/>
      <c r="H826" s="310"/>
      <c r="I826" s="311"/>
      <c r="J826" s="311"/>
      <c r="L826" s="776"/>
      <c r="M826" s="762"/>
      <c r="N826" s="762"/>
      <c r="O826" s="312"/>
      <c r="P826" s="311"/>
      <c r="Q826" s="311"/>
      <c r="R826" s="311"/>
      <c r="V826" s="311"/>
      <c r="W826" s="311"/>
      <c r="X826" s="763"/>
      <c r="Y826" s="311"/>
      <c r="Z826" s="311"/>
      <c r="AA826" s="311"/>
      <c r="AB826" s="311"/>
      <c r="AC826" s="311"/>
      <c r="AD826" s="311"/>
      <c r="AE826" s="311"/>
      <c r="AF826" s="311"/>
      <c r="AG826" s="311"/>
      <c r="AH826" s="311"/>
      <c r="AI826" s="775"/>
      <c r="AJ826" s="308"/>
      <c r="AK826" s="311"/>
    </row>
    <row r="827" spans="1:37" s="653" customFormat="1" ht="16.5" customHeight="1">
      <c r="A827" s="311"/>
      <c r="B827" s="362"/>
      <c r="C827" s="308"/>
      <c r="D827" s="308"/>
      <c r="E827" s="309"/>
      <c r="F827" s="309"/>
      <c r="G827" s="311"/>
      <c r="H827" s="310"/>
      <c r="I827" s="311"/>
      <c r="J827" s="311"/>
      <c r="L827" s="776"/>
      <c r="M827" s="762"/>
      <c r="N827" s="762"/>
      <c r="O827" s="312"/>
      <c r="P827" s="311"/>
      <c r="Q827" s="311"/>
      <c r="R827" s="311"/>
      <c r="V827" s="311"/>
      <c r="W827" s="311"/>
      <c r="X827" s="763"/>
      <c r="Y827" s="311"/>
      <c r="Z827" s="311"/>
      <c r="AA827" s="311"/>
      <c r="AB827" s="311"/>
      <c r="AC827" s="311"/>
      <c r="AD827" s="311"/>
      <c r="AE827" s="311"/>
      <c r="AF827" s="311"/>
      <c r="AG827" s="311"/>
      <c r="AH827" s="311"/>
      <c r="AI827" s="775"/>
      <c r="AJ827" s="308"/>
      <c r="AK827" s="311"/>
    </row>
    <row r="828" spans="1:37" s="653" customFormat="1" ht="16.5" customHeight="1">
      <c r="A828" s="311"/>
      <c r="B828" s="362"/>
      <c r="C828" s="308"/>
      <c r="D828" s="308"/>
      <c r="E828" s="309"/>
      <c r="F828" s="309"/>
      <c r="G828" s="311"/>
      <c r="H828" s="310"/>
      <c r="I828" s="311"/>
      <c r="J828" s="311"/>
      <c r="L828" s="776"/>
      <c r="M828" s="762"/>
      <c r="N828" s="762"/>
      <c r="O828" s="312"/>
      <c r="P828" s="311"/>
      <c r="Q828" s="311"/>
      <c r="R828" s="311"/>
      <c r="V828" s="311"/>
      <c r="W828" s="311"/>
      <c r="X828" s="763"/>
      <c r="Y828" s="311"/>
      <c r="Z828" s="311"/>
      <c r="AA828" s="311"/>
      <c r="AB828" s="311"/>
      <c r="AC828" s="311"/>
      <c r="AD828" s="311"/>
      <c r="AE828" s="311"/>
      <c r="AF828" s="311"/>
      <c r="AG828" s="311"/>
      <c r="AH828" s="311"/>
      <c r="AI828" s="775"/>
      <c r="AJ828" s="308"/>
      <c r="AK828" s="311"/>
    </row>
    <row r="829" spans="1:37" s="653" customFormat="1" ht="16.5" customHeight="1">
      <c r="A829" s="311"/>
      <c r="B829" s="362"/>
      <c r="C829" s="308"/>
      <c r="D829" s="308"/>
      <c r="E829" s="309"/>
      <c r="F829" s="309"/>
      <c r="G829" s="311"/>
      <c r="H829" s="310"/>
      <c r="I829" s="311"/>
      <c r="J829" s="311"/>
      <c r="L829" s="776"/>
      <c r="M829" s="762"/>
      <c r="N829" s="762"/>
      <c r="O829" s="312"/>
      <c r="P829" s="311"/>
      <c r="Q829" s="311"/>
      <c r="R829" s="311"/>
      <c r="V829" s="311"/>
      <c r="W829" s="311"/>
      <c r="X829" s="763"/>
      <c r="Y829" s="311"/>
      <c r="Z829" s="311"/>
      <c r="AA829" s="311"/>
      <c r="AB829" s="311"/>
      <c r="AC829" s="311"/>
      <c r="AD829" s="311"/>
      <c r="AE829" s="311"/>
      <c r="AF829" s="311"/>
      <c r="AG829" s="311"/>
      <c r="AH829" s="311"/>
      <c r="AI829" s="775"/>
      <c r="AJ829" s="308"/>
      <c r="AK829" s="311"/>
    </row>
    <row r="830" spans="1:37" s="653" customFormat="1" ht="16.5" customHeight="1">
      <c r="A830" s="311"/>
      <c r="B830" s="362"/>
      <c r="C830" s="308"/>
      <c r="D830" s="308"/>
      <c r="E830" s="309"/>
      <c r="F830" s="309"/>
      <c r="G830" s="311"/>
      <c r="H830" s="310"/>
      <c r="I830" s="311"/>
      <c r="J830" s="311"/>
      <c r="L830" s="776"/>
      <c r="M830" s="762"/>
      <c r="N830" s="762"/>
      <c r="O830" s="312"/>
      <c r="P830" s="311"/>
      <c r="Q830" s="311"/>
      <c r="R830" s="311"/>
      <c r="V830" s="311"/>
      <c r="W830" s="311"/>
      <c r="X830" s="763"/>
      <c r="Y830" s="311"/>
      <c r="Z830" s="311"/>
      <c r="AA830" s="311"/>
      <c r="AB830" s="311"/>
      <c r="AC830" s="311"/>
      <c r="AD830" s="311"/>
      <c r="AE830" s="311"/>
      <c r="AF830" s="311"/>
      <c r="AG830" s="311"/>
      <c r="AH830" s="311"/>
      <c r="AI830" s="775"/>
      <c r="AJ830" s="308"/>
      <c r="AK830" s="311"/>
    </row>
    <row r="831" spans="1:37" s="653" customFormat="1" ht="16.5" customHeight="1">
      <c r="A831" s="311"/>
      <c r="B831" s="362"/>
      <c r="C831" s="308"/>
      <c r="D831" s="308"/>
      <c r="E831" s="309"/>
      <c r="F831" s="309"/>
      <c r="G831" s="311"/>
      <c r="H831" s="310"/>
      <c r="I831" s="311"/>
      <c r="J831" s="311"/>
      <c r="L831" s="776"/>
      <c r="M831" s="762"/>
      <c r="N831" s="762"/>
      <c r="O831" s="312"/>
      <c r="P831" s="311"/>
      <c r="Q831" s="311"/>
      <c r="R831" s="311"/>
      <c r="V831" s="311"/>
      <c r="W831" s="311"/>
      <c r="X831" s="763"/>
      <c r="Y831" s="311"/>
      <c r="Z831" s="311"/>
      <c r="AA831" s="311"/>
      <c r="AB831" s="311"/>
      <c r="AC831" s="311"/>
      <c r="AD831" s="311"/>
      <c r="AE831" s="311"/>
      <c r="AF831" s="311"/>
      <c r="AG831" s="311"/>
      <c r="AH831" s="311"/>
      <c r="AI831" s="775"/>
      <c r="AJ831" s="308"/>
      <c r="AK831" s="311"/>
    </row>
    <row r="832" spans="1:37" s="653" customFormat="1" ht="16.5" customHeight="1">
      <c r="A832" s="311"/>
      <c r="B832" s="362"/>
      <c r="C832" s="308"/>
      <c r="D832" s="308"/>
      <c r="E832" s="309"/>
      <c r="F832" s="309"/>
      <c r="G832" s="311"/>
      <c r="H832" s="310"/>
      <c r="I832" s="311"/>
      <c r="J832" s="311"/>
      <c r="L832" s="776"/>
      <c r="M832" s="762"/>
      <c r="N832" s="762"/>
      <c r="O832" s="312"/>
      <c r="P832" s="311"/>
      <c r="Q832" s="311"/>
      <c r="R832" s="311"/>
      <c r="V832" s="311"/>
      <c r="W832" s="311"/>
      <c r="X832" s="763"/>
      <c r="Y832" s="311"/>
      <c r="Z832" s="311"/>
      <c r="AA832" s="311"/>
      <c r="AB832" s="311"/>
      <c r="AC832" s="311"/>
      <c r="AD832" s="311"/>
      <c r="AE832" s="311"/>
      <c r="AF832" s="311"/>
      <c r="AG832" s="311"/>
      <c r="AH832" s="311"/>
      <c r="AI832" s="775"/>
      <c r="AJ832" s="308"/>
      <c r="AK832" s="311"/>
    </row>
    <row r="833" spans="1:37" s="653" customFormat="1" ht="16.5" customHeight="1">
      <c r="A833" s="311"/>
      <c r="B833" s="362"/>
      <c r="C833" s="308"/>
      <c r="D833" s="308"/>
      <c r="E833" s="309"/>
      <c r="F833" s="309"/>
      <c r="G833" s="311"/>
      <c r="H833" s="310"/>
      <c r="I833" s="311"/>
      <c r="J833" s="311"/>
      <c r="L833" s="776"/>
      <c r="M833" s="762"/>
      <c r="N833" s="762"/>
      <c r="O833" s="312"/>
      <c r="P833" s="311"/>
      <c r="Q833" s="311"/>
      <c r="R833" s="311"/>
      <c r="V833" s="311"/>
      <c r="W833" s="311"/>
      <c r="X833" s="763"/>
      <c r="Y833" s="311"/>
      <c r="Z833" s="311"/>
      <c r="AA833" s="311"/>
      <c r="AB833" s="311"/>
      <c r="AC833" s="311"/>
      <c r="AD833" s="311"/>
      <c r="AE833" s="311"/>
      <c r="AF833" s="311"/>
      <c r="AG833" s="311"/>
      <c r="AH833" s="311"/>
      <c r="AI833" s="775"/>
      <c r="AJ833" s="308"/>
      <c r="AK833" s="311"/>
    </row>
    <row r="834" spans="1:37" s="653" customFormat="1" ht="16.5" customHeight="1">
      <c r="A834" s="311"/>
      <c r="B834" s="362"/>
      <c r="C834" s="308"/>
      <c r="D834" s="308"/>
      <c r="E834" s="309"/>
      <c r="F834" s="309"/>
      <c r="G834" s="311"/>
      <c r="H834" s="310"/>
      <c r="I834" s="311"/>
      <c r="J834" s="311"/>
      <c r="L834" s="776"/>
      <c r="M834" s="762"/>
      <c r="N834" s="762"/>
      <c r="O834" s="312"/>
      <c r="P834" s="311"/>
      <c r="Q834" s="311"/>
      <c r="R834" s="311"/>
      <c r="V834" s="311"/>
      <c r="W834" s="311"/>
      <c r="X834" s="763"/>
      <c r="Y834" s="311"/>
      <c r="Z834" s="311"/>
      <c r="AA834" s="311"/>
      <c r="AB834" s="311"/>
      <c r="AC834" s="311"/>
      <c r="AD834" s="311"/>
      <c r="AE834" s="311"/>
      <c r="AF834" s="311"/>
      <c r="AG834" s="311"/>
      <c r="AH834" s="311"/>
      <c r="AI834" s="775"/>
      <c r="AJ834" s="308"/>
      <c r="AK834" s="311"/>
    </row>
    <row r="835" spans="1:37" s="653" customFormat="1" ht="16.5" customHeight="1">
      <c r="A835" s="311"/>
      <c r="B835" s="362"/>
      <c r="C835" s="308"/>
      <c r="D835" s="308"/>
      <c r="E835" s="309"/>
      <c r="F835" s="309"/>
      <c r="G835" s="311"/>
      <c r="H835" s="310"/>
      <c r="I835" s="311"/>
      <c r="J835" s="311"/>
      <c r="L835" s="776"/>
      <c r="M835" s="762"/>
      <c r="N835" s="762"/>
      <c r="O835" s="312"/>
      <c r="P835" s="311"/>
      <c r="Q835" s="311"/>
      <c r="R835" s="311"/>
      <c r="V835" s="311"/>
      <c r="W835" s="311"/>
      <c r="X835" s="763"/>
      <c r="Y835" s="311"/>
      <c r="Z835" s="311"/>
      <c r="AA835" s="311"/>
      <c r="AB835" s="311"/>
      <c r="AC835" s="311"/>
      <c r="AD835" s="311"/>
      <c r="AE835" s="311"/>
      <c r="AF835" s="311"/>
      <c r="AG835" s="311"/>
      <c r="AH835" s="311"/>
      <c r="AI835" s="775"/>
      <c r="AJ835" s="308"/>
      <c r="AK835" s="311"/>
    </row>
    <row r="836" spans="1:37" s="653" customFormat="1" ht="16.5" customHeight="1">
      <c r="A836" s="311"/>
      <c r="B836" s="362"/>
      <c r="C836" s="308"/>
      <c r="D836" s="308"/>
      <c r="E836" s="309"/>
      <c r="F836" s="309"/>
      <c r="G836" s="311"/>
      <c r="H836" s="310"/>
      <c r="I836" s="311"/>
      <c r="J836" s="311"/>
      <c r="L836" s="776"/>
      <c r="M836" s="762"/>
      <c r="N836" s="762"/>
      <c r="O836" s="312"/>
      <c r="P836" s="311"/>
      <c r="Q836" s="311"/>
      <c r="R836" s="311"/>
      <c r="V836" s="311"/>
      <c r="W836" s="311"/>
      <c r="X836" s="763"/>
      <c r="Y836" s="311"/>
      <c r="Z836" s="311"/>
      <c r="AA836" s="311"/>
      <c r="AB836" s="311"/>
      <c r="AC836" s="311"/>
      <c r="AD836" s="311"/>
      <c r="AE836" s="311"/>
      <c r="AF836" s="311"/>
      <c r="AG836" s="311"/>
      <c r="AH836" s="311"/>
      <c r="AI836" s="775"/>
      <c r="AJ836" s="308"/>
      <c r="AK836" s="311"/>
    </row>
    <row r="837" spans="1:37" s="653" customFormat="1" ht="16.5" customHeight="1">
      <c r="A837" s="311"/>
      <c r="B837" s="362"/>
      <c r="C837" s="308"/>
      <c r="D837" s="308"/>
      <c r="E837" s="309"/>
      <c r="F837" s="309"/>
      <c r="G837" s="311"/>
      <c r="H837" s="310"/>
      <c r="I837" s="311"/>
      <c r="J837" s="311"/>
      <c r="L837" s="776"/>
      <c r="M837" s="762"/>
      <c r="N837" s="762"/>
      <c r="O837" s="312"/>
      <c r="P837" s="311"/>
      <c r="Q837" s="311"/>
      <c r="R837" s="311"/>
      <c r="V837" s="311"/>
      <c r="W837" s="311"/>
      <c r="X837" s="763"/>
      <c r="Y837" s="311"/>
      <c r="Z837" s="311"/>
      <c r="AA837" s="311"/>
      <c r="AB837" s="311"/>
      <c r="AC837" s="311"/>
      <c r="AD837" s="311"/>
      <c r="AE837" s="311"/>
      <c r="AF837" s="311"/>
      <c r="AG837" s="311"/>
      <c r="AH837" s="311"/>
      <c r="AI837" s="775"/>
      <c r="AJ837" s="308"/>
      <c r="AK837" s="311"/>
    </row>
    <row r="838" spans="1:37" s="653" customFormat="1" ht="16.5" customHeight="1">
      <c r="A838" s="311"/>
      <c r="B838" s="362"/>
      <c r="C838" s="308"/>
      <c r="D838" s="308"/>
      <c r="E838" s="309"/>
      <c r="F838" s="309"/>
      <c r="G838" s="311"/>
      <c r="H838" s="310"/>
      <c r="I838" s="311"/>
      <c r="J838" s="311"/>
      <c r="L838" s="776"/>
      <c r="M838" s="762"/>
      <c r="N838" s="762"/>
      <c r="O838" s="312"/>
      <c r="P838" s="311"/>
      <c r="Q838" s="311"/>
      <c r="R838" s="311"/>
      <c r="V838" s="311"/>
      <c r="W838" s="311"/>
      <c r="X838" s="763"/>
      <c r="Y838" s="311"/>
      <c r="Z838" s="311"/>
      <c r="AA838" s="311"/>
      <c r="AB838" s="311"/>
      <c r="AC838" s="311"/>
      <c r="AD838" s="311"/>
      <c r="AE838" s="311"/>
      <c r="AF838" s="311"/>
      <c r="AG838" s="311"/>
      <c r="AH838" s="311"/>
      <c r="AI838" s="775"/>
      <c r="AJ838" s="308"/>
      <c r="AK838" s="311"/>
    </row>
    <row r="839" spans="1:37" s="653" customFormat="1" ht="16.5" customHeight="1">
      <c r="A839" s="311"/>
      <c r="B839" s="362"/>
      <c r="C839" s="308"/>
      <c r="D839" s="308"/>
      <c r="E839" s="309"/>
      <c r="F839" s="309"/>
      <c r="G839" s="311"/>
      <c r="H839" s="310"/>
      <c r="I839" s="311"/>
      <c r="J839" s="311"/>
      <c r="L839" s="776"/>
      <c r="M839" s="762"/>
      <c r="N839" s="762"/>
      <c r="O839" s="312"/>
      <c r="P839" s="311"/>
      <c r="Q839" s="311"/>
      <c r="R839" s="311"/>
      <c r="V839" s="311"/>
      <c r="W839" s="311"/>
      <c r="X839" s="763"/>
      <c r="Y839" s="311"/>
      <c r="Z839" s="311"/>
      <c r="AA839" s="311"/>
      <c r="AB839" s="311"/>
      <c r="AC839" s="311"/>
      <c r="AD839" s="311"/>
      <c r="AE839" s="311"/>
      <c r="AF839" s="311"/>
      <c r="AG839" s="311"/>
      <c r="AH839" s="311"/>
      <c r="AI839" s="775"/>
      <c r="AJ839" s="308"/>
      <c r="AK839" s="311"/>
    </row>
    <row r="840" spans="1:37" s="653" customFormat="1" ht="16.5" customHeight="1">
      <c r="A840" s="311"/>
      <c r="B840" s="362"/>
      <c r="C840" s="308"/>
      <c r="D840" s="308"/>
      <c r="E840" s="309"/>
      <c r="F840" s="309"/>
      <c r="G840" s="311"/>
      <c r="H840" s="310"/>
      <c r="I840" s="311"/>
      <c r="J840" s="311"/>
      <c r="L840" s="776"/>
      <c r="M840" s="762"/>
      <c r="N840" s="762"/>
      <c r="O840" s="312"/>
      <c r="P840" s="311"/>
      <c r="Q840" s="311"/>
      <c r="R840" s="311"/>
      <c r="V840" s="311"/>
      <c r="W840" s="311"/>
      <c r="X840" s="763"/>
      <c r="Y840" s="311"/>
      <c r="Z840" s="311"/>
      <c r="AA840" s="311"/>
      <c r="AB840" s="311"/>
      <c r="AC840" s="311"/>
      <c r="AD840" s="311"/>
      <c r="AE840" s="311"/>
      <c r="AF840" s="311"/>
      <c r="AG840" s="311"/>
      <c r="AH840" s="311"/>
      <c r="AI840" s="775"/>
      <c r="AJ840" s="308"/>
      <c r="AK840" s="311"/>
    </row>
    <row r="841" spans="1:37" s="653" customFormat="1" ht="16.5" customHeight="1">
      <c r="A841" s="311"/>
      <c r="B841" s="362"/>
      <c r="C841" s="308"/>
      <c r="D841" s="308"/>
      <c r="E841" s="309"/>
      <c r="F841" s="309"/>
      <c r="G841" s="311"/>
      <c r="H841" s="310"/>
      <c r="I841" s="311"/>
      <c r="J841" s="311"/>
      <c r="L841" s="776"/>
      <c r="M841" s="762"/>
      <c r="N841" s="762"/>
      <c r="O841" s="312"/>
      <c r="P841" s="311"/>
      <c r="Q841" s="311"/>
      <c r="R841" s="311"/>
      <c r="V841" s="311"/>
      <c r="W841" s="311"/>
      <c r="X841" s="763"/>
      <c r="Y841" s="311"/>
      <c r="Z841" s="311"/>
      <c r="AA841" s="311"/>
      <c r="AB841" s="311"/>
      <c r="AC841" s="311"/>
      <c r="AD841" s="311"/>
      <c r="AE841" s="311"/>
      <c r="AF841" s="311"/>
      <c r="AG841" s="311"/>
      <c r="AH841" s="311"/>
      <c r="AI841" s="775"/>
      <c r="AJ841" s="308"/>
      <c r="AK841" s="311"/>
    </row>
    <row r="842" spans="1:37" s="653" customFormat="1" ht="16.5" customHeight="1">
      <c r="A842" s="311"/>
      <c r="B842" s="362"/>
      <c r="C842" s="308"/>
      <c r="D842" s="308"/>
      <c r="E842" s="309"/>
      <c r="F842" s="309"/>
      <c r="G842" s="311"/>
      <c r="H842" s="310"/>
      <c r="I842" s="311"/>
      <c r="J842" s="311"/>
      <c r="L842" s="776"/>
      <c r="M842" s="762"/>
      <c r="N842" s="762"/>
      <c r="O842" s="312"/>
      <c r="P842" s="311"/>
      <c r="Q842" s="311"/>
      <c r="R842" s="311"/>
      <c r="V842" s="311"/>
      <c r="W842" s="311"/>
      <c r="X842" s="763"/>
      <c r="Y842" s="311"/>
      <c r="Z842" s="311"/>
      <c r="AA842" s="311"/>
      <c r="AB842" s="311"/>
      <c r="AC842" s="311"/>
      <c r="AD842" s="311"/>
      <c r="AE842" s="311"/>
      <c r="AF842" s="311"/>
      <c r="AG842" s="311"/>
      <c r="AH842" s="311"/>
      <c r="AI842" s="775"/>
      <c r="AJ842" s="308"/>
      <c r="AK842" s="311"/>
    </row>
    <row r="843" spans="1:37" s="653" customFormat="1" ht="16.5" customHeight="1">
      <c r="A843" s="311"/>
      <c r="B843" s="362"/>
      <c r="C843" s="308"/>
      <c r="D843" s="308"/>
      <c r="E843" s="309"/>
      <c r="F843" s="309"/>
      <c r="G843" s="311"/>
      <c r="H843" s="310"/>
      <c r="I843" s="311"/>
      <c r="J843" s="311"/>
      <c r="L843" s="776"/>
      <c r="M843" s="762"/>
      <c r="N843" s="762"/>
      <c r="O843" s="312"/>
      <c r="P843" s="311"/>
      <c r="Q843" s="311"/>
      <c r="R843" s="311"/>
      <c r="V843" s="311"/>
      <c r="W843" s="311"/>
      <c r="X843" s="763"/>
      <c r="Y843" s="311"/>
      <c r="Z843" s="311"/>
      <c r="AA843" s="311"/>
      <c r="AB843" s="311"/>
      <c r="AC843" s="311"/>
      <c r="AD843" s="311"/>
      <c r="AE843" s="311"/>
      <c r="AF843" s="311"/>
      <c r="AG843" s="311"/>
      <c r="AH843" s="311"/>
      <c r="AI843" s="775"/>
      <c r="AJ843" s="308"/>
      <c r="AK843" s="311"/>
    </row>
    <row r="844" spans="1:37" s="653" customFormat="1" ht="16.5" customHeight="1">
      <c r="A844" s="311"/>
      <c r="B844" s="362"/>
      <c r="C844" s="308"/>
      <c r="D844" s="308"/>
      <c r="E844" s="309"/>
      <c r="F844" s="309"/>
      <c r="G844" s="311"/>
      <c r="H844" s="310"/>
      <c r="I844" s="311"/>
      <c r="J844" s="311"/>
      <c r="L844" s="776"/>
      <c r="M844" s="762"/>
      <c r="N844" s="762"/>
      <c r="O844" s="312"/>
      <c r="P844" s="311"/>
      <c r="Q844" s="311"/>
      <c r="R844" s="311"/>
      <c r="V844" s="311"/>
      <c r="W844" s="311"/>
      <c r="X844" s="763"/>
      <c r="Y844" s="311"/>
      <c r="Z844" s="311"/>
      <c r="AA844" s="311"/>
      <c r="AB844" s="311"/>
      <c r="AC844" s="311"/>
      <c r="AD844" s="311"/>
      <c r="AE844" s="311"/>
      <c r="AF844" s="311"/>
      <c r="AG844" s="311"/>
      <c r="AH844" s="311"/>
      <c r="AI844" s="775"/>
      <c r="AJ844" s="308"/>
      <c r="AK844" s="311"/>
    </row>
    <row r="845" spans="1:37" s="653" customFormat="1" ht="16.5" customHeight="1">
      <c r="A845" s="311"/>
      <c r="B845" s="362"/>
      <c r="C845" s="308"/>
      <c r="D845" s="308"/>
      <c r="E845" s="309"/>
      <c r="F845" s="309"/>
      <c r="G845" s="311"/>
      <c r="H845" s="310"/>
      <c r="I845" s="311"/>
      <c r="J845" s="311"/>
      <c r="L845" s="776"/>
      <c r="M845" s="762"/>
      <c r="N845" s="762"/>
      <c r="O845" s="312"/>
      <c r="P845" s="311"/>
      <c r="Q845" s="311"/>
      <c r="R845" s="311"/>
      <c r="V845" s="311"/>
      <c r="W845" s="311"/>
      <c r="X845" s="763"/>
      <c r="Y845" s="311"/>
      <c r="Z845" s="311"/>
      <c r="AA845" s="311"/>
      <c r="AB845" s="311"/>
      <c r="AC845" s="311"/>
      <c r="AD845" s="311"/>
      <c r="AE845" s="311"/>
      <c r="AF845" s="311"/>
      <c r="AG845" s="311"/>
      <c r="AH845" s="311"/>
      <c r="AI845" s="775"/>
      <c r="AJ845" s="308"/>
      <c r="AK845" s="311"/>
    </row>
    <row r="846" spans="1:37" s="653" customFormat="1" ht="16.5" customHeight="1">
      <c r="A846" s="311"/>
      <c r="B846" s="362"/>
      <c r="C846" s="308"/>
      <c r="D846" s="308"/>
      <c r="E846" s="309"/>
      <c r="F846" s="309"/>
      <c r="G846" s="311"/>
      <c r="H846" s="310"/>
      <c r="I846" s="311"/>
      <c r="J846" s="311"/>
      <c r="L846" s="776"/>
      <c r="M846" s="762"/>
      <c r="N846" s="762"/>
      <c r="O846" s="312"/>
      <c r="P846" s="311"/>
      <c r="Q846" s="311"/>
      <c r="R846" s="311"/>
      <c r="V846" s="311"/>
      <c r="W846" s="311"/>
      <c r="X846" s="763"/>
      <c r="Y846" s="311"/>
      <c r="Z846" s="311"/>
      <c r="AA846" s="311"/>
      <c r="AB846" s="311"/>
      <c r="AC846" s="311"/>
      <c r="AD846" s="311"/>
      <c r="AE846" s="311"/>
      <c r="AF846" s="311"/>
      <c r="AG846" s="311"/>
      <c r="AH846" s="311"/>
      <c r="AI846" s="775"/>
      <c r="AJ846" s="308"/>
      <c r="AK846" s="311"/>
    </row>
    <row r="847" spans="1:37" s="653" customFormat="1" ht="16.5" customHeight="1">
      <c r="A847" s="311"/>
      <c r="B847" s="362"/>
      <c r="C847" s="308"/>
      <c r="D847" s="308"/>
      <c r="E847" s="309"/>
      <c r="F847" s="309"/>
      <c r="G847" s="311"/>
      <c r="H847" s="310"/>
      <c r="I847" s="311"/>
      <c r="J847" s="311"/>
      <c r="L847" s="776"/>
      <c r="M847" s="762"/>
      <c r="N847" s="762"/>
      <c r="O847" s="312"/>
      <c r="P847" s="311"/>
      <c r="Q847" s="311"/>
      <c r="R847" s="311"/>
      <c r="V847" s="311"/>
      <c r="W847" s="311"/>
      <c r="X847" s="763"/>
      <c r="Y847" s="311"/>
      <c r="Z847" s="311"/>
      <c r="AA847" s="311"/>
      <c r="AB847" s="311"/>
      <c r="AC847" s="311"/>
      <c r="AD847" s="311"/>
      <c r="AE847" s="311"/>
      <c r="AF847" s="311"/>
      <c r="AG847" s="311"/>
      <c r="AH847" s="311"/>
      <c r="AI847" s="775"/>
      <c r="AJ847" s="308"/>
      <c r="AK847" s="311"/>
    </row>
    <row r="848" spans="1:37" s="653" customFormat="1" ht="16.5" customHeight="1">
      <c r="A848" s="311"/>
      <c r="B848" s="362"/>
      <c r="C848" s="308"/>
      <c r="D848" s="308"/>
      <c r="E848" s="309"/>
      <c r="F848" s="309"/>
      <c r="G848" s="311"/>
      <c r="H848" s="310"/>
      <c r="I848" s="311"/>
      <c r="J848" s="311"/>
      <c r="L848" s="776"/>
      <c r="M848" s="762"/>
      <c r="N848" s="762"/>
      <c r="O848" s="312"/>
      <c r="P848" s="311"/>
      <c r="Q848" s="311"/>
      <c r="R848" s="311"/>
      <c r="V848" s="311"/>
      <c r="W848" s="311"/>
      <c r="X848" s="763"/>
      <c r="Y848" s="311"/>
      <c r="Z848" s="311"/>
      <c r="AA848" s="311"/>
      <c r="AB848" s="311"/>
      <c r="AC848" s="311"/>
      <c r="AD848" s="311"/>
      <c r="AE848" s="311"/>
      <c r="AF848" s="311"/>
      <c r="AG848" s="311"/>
      <c r="AH848" s="311"/>
      <c r="AI848" s="775"/>
      <c r="AJ848" s="308"/>
      <c r="AK848" s="311"/>
    </row>
    <row r="849" spans="1:37" s="653" customFormat="1" ht="16.5" customHeight="1">
      <c r="A849" s="311"/>
      <c r="B849" s="362"/>
      <c r="C849" s="308"/>
      <c r="D849" s="308"/>
      <c r="E849" s="309"/>
      <c r="F849" s="309"/>
      <c r="G849" s="311"/>
      <c r="H849" s="310"/>
      <c r="I849" s="311"/>
      <c r="J849" s="311"/>
      <c r="L849" s="776"/>
      <c r="M849" s="762"/>
      <c r="N849" s="762"/>
      <c r="O849" s="312"/>
      <c r="P849" s="311"/>
      <c r="Q849" s="311"/>
      <c r="R849" s="311"/>
      <c r="V849" s="311"/>
      <c r="W849" s="311"/>
      <c r="X849" s="763"/>
      <c r="Y849" s="311"/>
      <c r="Z849" s="311"/>
      <c r="AA849" s="311"/>
      <c r="AB849" s="311"/>
      <c r="AC849" s="311"/>
      <c r="AD849" s="311"/>
      <c r="AE849" s="311"/>
      <c r="AF849" s="311"/>
      <c r="AG849" s="311"/>
      <c r="AH849" s="311"/>
      <c r="AI849" s="775"/>
      <c r="AJ849" s="308"/>
      <c r="AK849" s="311"/>
    </row>
    <row r="850" spans="1:37" s="653" customFormat="1" ht="16.5" customHeight="1">
      <c r="A850" s="311"/>
      <c r="B850" s="362"/>
      <c r="C850" s="308"/>
      <c r="D850" s="308"/>
      <c r="E850" s="309"/>
      <c r="F850" s="309"/>
      <c r="G850" s="311"/>
      <c r="H850" s="310"/>
      <c r="I850" s="311"/>
      <c r="J850" s="311"/>
      <c r="L850" s="776"/>
      <c r="M850" s="762"/>
      <c r="N850" s="762"/>
      <c r="O850" s="312"/>
      <c r="P850" s="311"/>
      <c r="Q850" s="311"/>
      <c r="R850" s="311"/>
      <c r="V850" s="311"/>
      <c r="W850" s="311"/>
      <c r="X850" s="763"/>
      <c r="Y850" s="311"/>
      <c r="Z850" s="311"/>
      <c r="AA850" s="311"/>
      <c r="AB850" s="311"/>
      <c r="AC850" s="311"/>
      <c r="AD850" s="311"/>
      <c r="AE850" s="311"/>
      <c r="AF850" s="311"/>
      <c r="AG850" s="311"/>
      <c r="AH850" s="311"/>
      <c r="AI850" s="775"/>
      <c r="AJ850" s="308"/>
      <c r="AK850" s="311"/>
    </row>
    <row r="851" spans="1:37" s="653" customFormat="1" ht="16.5" customHeight="1">
      <c r="A851" s="311"/>
      <c r="B851" s="362"/>
      <c r="C851" s="308"/>
      <c r="D851" s="308"/>
      <c r="E851" s="309"/>
      <c r="F851" s="309"/>
      <c r="G851" s="311"/>
      <c r="H851" s="310"/>
      <c r="I851" s="311"/>
      <c r="J851" s="311"/>
      <c r="L851" s="776"/>
      <c r="M851" s="762"/>
      <c r="N851" s="762"/>
      <c r="O851" s="312"/>
      <c r="P851" s="311"/>
      <c r="Q851" s="311"/>
      <c r="R851" s="311"/>
      <c r="V851" s="311"/>
      <c r="W851" s="311"/>
      <c r="X851" s="763"/>
      <c r="Y851" s="311"/>
      <c r="Z851" s="311"/>
      <c r="AA851" s="311"/>
      <c r="AB851" s="311"/>
      <c r="AC851" s="311"/>
      <c r="AD851" s="311"/>
      <c r="AE851" s="311"/>
      <c r="AF851" s="311"/>
      <c r="AG851" s="311"/>
      <c r="AH851" s="311"/>
      <c r="AI851" s="775"/>
      <c r="AJ851" s="308"/>
      <c r="AK851" s="311"/>
    </row>
    <row r="852" spans="1:37" s="653" customFormat="1" ht="16.5" customHeight="1">
      <c r="A852" s="311"/>
      <c r="B852" s="362"/>
      <c r="C852" s="308"/>
      <c r="D852" s="308"/>
      <c r="E852" s="309"/>
      <c r="F852" s="309"/>
      <c r="G852" s="311"/>
      <c r="H852" s="310"/>
      <c r="I852" s="311"/>
      <c r="J852" s="311"/>
      <c r="L852" s="776"/>
      <c r="M852" s="762"/>
      <c r="N852" s="762"/>
      <c r="O852" s="312"/>
      <c r="P852" s="311"/>
      <c r="Q852" s="311"/>
      <c r="R852" s="311"/>
      <c r="V852" s="311"/>
      <c r="W852" s="311"/>
      <c r="X852" s="763"/>
      <c r="Y852" s="311"/>
      <c r="Z852" s="311"/>
      <c r="AA852" s="311"/>
      <c r="AB852" s="311"/>
      <c r="AC852" s="311"/>
      <c r="AD852" s="311"/>
      <c r="AE852" s="311"/>
      <c r="AF852" s="311"/>
      <c r="AG852" s="311"/>
      <c r="AH852" s="311"/>
      <c r="AI852" s="775"/>
      <c r="AJ852" s="308"/>
      <c r="AK852" s="311"/>
    </row>
    <row r="853" spans="1:37" s="653" customFormat="1" ht="16.5" customHeight="1">
      <c r="A853" s="311"/>
      <c r="B853" s="362"/>
      <c r="C853" s="308"/>
      <c r="D853" s="308"/>
      <c r="E853" s="309"/>
      <c r="F853" s="309"/>
      <c r="G853" s="311"/>
      <c r="H853" s="310"/>
      <c r="I853" s="311"/>
      <c r="J853" s="311"/>
      <c r="L853" s="776"/>
      <c r="M853" s="762"/>
      <c r="N853" s="762"/>
      <c r="O853" s="312"/>
      <c r="P853" s="311"/>
      <c r="Q853" s="311"/>
      <c r="R853" s="311"/>
      <c r="V853" s="311"/>
      <c r="W853" s="311"/>
      <c r="X853" s="763"/>
      <c r="Y853" s="311"/>
      <c r="Z853" s="311"/>
      <c r="AA853" s="311"/>
      <c r="AB853" s="311"/>
      <c r="AC853" s="311"/>
      <c r="AD853" s="311"/>
      <c r="AE853" s="311"/>
      <c r="AF853" s="311"/>
      <c r="AG853" s="311"/>
      <c r="AH853" s="311"/>
      <c r="AI853" s="775"/>
      <c r="AJ853" s="308"/>
      <c r="AK853" s="311"/>
    </row>
    <row r="854" spans="1:37" s="653" customFormat="1" ht="16.5" customHeight="1">
      <c r="A854" s="311"/>
      <c r="B854" s="362"/>
      <c r="C854" s="308"/>
      <c r="D854" s="308"/>
      <c r="E854" s="309"/>
      <c r="F854" s="309"/>
      <c r="G854" s="311"/>
      <c r="H854" s="310"/>
      <c r="I854" s="311"/>
      <c r="J854" s="311"/>
      <c r="L854" s="776"/>
      <c r="M854" s="762"/>
      <c r="N854" s="762"/>
      <c r="O854" s="312"/>
      <c r="P854" s="311"/>
      <c r="Q854" s="311"/>
      <c r="R854" s="311"/>
      <c r="V854" s="311"/>
      <c r="W854" s="311"/>
      <c r="X854" s="763"/>
      <c r="Y854" s="311"/>
      <c r="Z854" s="311"/>
      <c r="AA854" s="311"/>
      <c r="AB854" s="311"/>
      <c r="AC854" s="311"/>
      <c r="AD854" s="311"/>
      <c r="AE854" s="311"/>
      <c r="AF854" s="311"/>
      <c r="AG854" s="311"/>
      <c r="AH854" s="311"/>
      <c r="AI854" s="775"/>
      <c r="AJ854" s="308"/>
      <c r="AK854" s="311"/>
    </row>
    <row r="855" spans="1:37" s="653" customFormat="1" ht="16.5" customHeight="1">
      <c r="A855" s="311"/>
      <c r="B855" s="362"/>
      <c r="C855" s="308"/>
      <c r="D855" s="308"/>
      <c r="E855" s="309"/>
      <c r="F855" s="309"/>
      <c r="G855" s="311"/>
      <c r="H855" s="310"/>
      <c r="I855" s="311"/>
      <c r="J855" s="311"/>
      <c r="L855" s="776"/>
      <c r="M855" s="762"/>
      <c r="N855" s="762"/>
      <c r="O855" s="312"/>
      <c r="P855" s="311"/>
      <c r="Q855" s="311"/>
      <c r="R855" s="311"/>
      <c r="V855" s="311"/>
      <c r="W855" s="311"/>
      <c r="X855" s="763"/>
      <c r="Y855" s="311"/>
      <c r="Z855" s="311"/>
      <c r="AA855" s="311"/>
      <c r="AB855" s="311"/>
      <c r="AC855" s="311"/>
      <c r="AD855" s="311"/>
      <c r="AE855" s="311"/>
      <c r="AF855" s="311"/>
      <c r="AG855" s="311"/>
      <c r="AH855" s="311"/>
      <c r="AI855" s="775"/>
      <c r="AJ855" s="308"/>
      <c r="AK855" s="311"/>
    </row>
    <row r="856" spans="1:37" s="653" customFormat="1" ht="16.5" customHeight="1">
      <c r="A856" s="311"/>
      <c r="B856" s="362"/>
      <c r="C856" s="308"/>
      <c r="D856" s="308"/>
      <c r="E856" s="309"/>
      <c r="F856" s="309"/>
      <c r="G856" s="311"/>
      <c r="H856" s="310"/>
      <c r="I856" s="311"/>
      <c r="J856" s="311"/>
      <c r="L856" s="776"/>
      <c r="M856" s="762"/>
      <c r="N856" s="762"/>
      <c r="O856" s="312"/>
      <c r="P856" s="311"/>
      <c r="Q856" s="311"/>
      <c r="R856" s="311"/>
      <c r="V856" s="311"/>
      <c r="W856" s="311"/>
      <c r="X856" s="763"/>
      <c r="Y856" s="311"/>
      <c r="Z856" s="311"/>
      <c r="AA856" s="311"/>
      <c r="AB856" s="311"/>
      <c r="AC856" s="311"/>
      <c r="AD856" s="311"/>
      <c r="AE856" s="311"/>
      <c r="AF856" s="311"/>
      <c r="AG856" s="311"/>
      <c r="AH856" s="311"/>
      <c r="AI856" s="775"/>
      <c r="AJ856" s="308"/>
      <c r="AK856" s="311"/>
    </row>
  </sheetData>
  <dataConsolidate/>
  <phoneticPr fontId="5"/>
  <printOptions gridLines="1"/>
  <pageMargins left="0.70866141732283472" right="0.70866141732283472" top="0.74803149606299213" bottom="0.74803149606299213" header="0.31496062992125984" footer="0.31496062992125984"/>
  <pageSetup paperSize="8" scale="47" fitToWidth="2" fitToHeight="0" orientation="landscape" r:id="rId1"/>
  <headerFooter>
    <oddHeader>&amp;L&amp;12&amp;A&amp;R&amp;12&amp;F</oddHeader>
    <oddFooter>&amp;R&amp;12&amp;P/&amp;N</oddFooter>
  </headerFooter>
  <colBreaks count="1" manualBreakCount="1">
    <brk id="36" max="87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63B17-EEA0-4F8E-94AF-61C02E71D664}">
  <sheetPr>
    <tabColor rgb="FFFFC000"/>
  </sheetPr>
  <dimension ref="A1:BG264"/>
  <sheetViews>
    <sheetView workbookViewId="0"/>
    <sheetView workbookViewId="1"/>
  </sheetViews>
  <sheetFormatPr defaultColWidth="9" defaultRowHeight="12"/>
  <cols>
    <col min="1" max="1" width="5.5" style="180" customWidth="1"/>
    <col min="2" max="2" width="3.875" style="224" customWidth="1"/>
    <col min="3" max="3" width="4.125" style="224" customWidth="1"/>
    <col min="4" max="4" width="4.125" style="182" customWidth="1"/>
    <col min="5" max="5" width="13.875" style="183" customWidth="1"/>
    <col min="6" max="6" width="7.375" style="183" customWidth="1"/>
    <col min="7" max="7" width="22.875" style="183" customWidth="1"/>
    <col min="8" max="8" width="18.75" style="184" customWidth="1"/>
    <col min="9" max="11" width="6.75" style="184" customWidth="1"/>
    <col min="12" max="15" width="6.875" style="184" customWidth="1"/>
    <col min="16" max="16" width="14.75" style="184" customWidth="1"/>
    <col min="17" max="17" width="14.125" style="184" customWidth="1"/>
    <col min="18" max="18" width="10" style="377" customWidth="1"/>
    <col min="19" max="19" width="10.75" style="184" customWidth="1"/>
    <col min="20" max="21" width="6.875" style="184" customWidth="1"/>
    <col min="22" max="22" width="7.5" style="184" customWidth="1"/>
    <col min="23" max="23" width="6.875" style="184" customWidth="1"/>
    <col min="24" max="35" width="7.5" style="184" customWidth="1"/>
    <col min="36" max="36" width="8.5" style="184" customWidth="1"/>
    <col min="37" max="37" width="8" style="184" customWidth="1"/>
    <col min="38" max="38" width="9.625" style="184" customWidth="1"/>
    <col min="39" max="39" width="8" style="184" customWidth="1"/>
    <col min="40" max="41" width="9.625" style="184" customWidth="1"/>
    <col min="42" max="43" width="10.125" style="184" customWidth="1"/>
    <col min="44" max="44" width="14.375" style="895" customWidth="1"/>
    <col min="45" max="46" width="14.375" style="540" customWidth="1"/>
    <col min="47" max="47" width="15.125" style="540" customWidth="1"/>
    <col min="48" max="48" width="4.625" style="224" customWidth="1"/>
    <col min="49" max="53" width="9.75" style="184" customWidth="1"/>
    <col min="54" max="55" width="9" style="184"/>
    <col min="56" max="56" width="11.75" style="184" customWidth="1"/>
    <col min="57" max="16384" width="9" style="184"/>
  </cols>
  <sheetData>
    <row r="1" spans="1:56" s="789" customFormat="1" ht="13.5">
      <c r="A1" s="76" t="s">
        <v>1803</v>
      </c>
      <c r="B1" s="788"/>
      <c r="C1" s="788"/>
      <c r="D1" s="78"/>
      <c r="E1" s="79"/>
      <c r="F1" s="79"/>
      <c r="G1" s="79"/>
      <c r="H1" s="80" t="s">
        <v>2431</v>
      </c>
      <c r="I1" s="81"/>
      <c r="J1" s="81"/>
      <c r="K1" s="82"/>
      <c r="L1" s="225" t="s">
        <v>2432</v>
      </c>
      <c r="M1" s="81"/>
      <c r="N1" s="81"/>
      <c r="O1" s="81"/>
      <c r="P1" s="84"/>
      <c r="Q1" s="84"/>
      <c r="R1" s="85"/>
      <c r="S1" s="84"/>
      <c r="T1" s="81"/>
      <c r="U1" s="81"/>
      <c r="V1" s="84"/>
      <c r="W1" s="82"/>
      <c r="X1" s="80" t="s">
        <v>2433</v>
      </c>
      <c r="Y1" s="81"/>
      <c r="Z1" s="81"/>
      <c r="AA1" s="81"/>
      <c r="AB1" s="82"/>
      <c r="AC1" s="80" t="s">
        <v>2434</v>
      </c>
      <c r="AD1" s="81"/>
      <c r="AE1" s="81"/>
      <c r="AF1" s="81"/>
      <c r="AG1" s="81"/>
      <c r="AH1" s="81"/>
      <c r="AI1" s="81"/>
      <c r="AJ1" s="82"/>
      <c r="AK1" s="481" t="s">
        <v>1987</v>
      </c>
      <c r="AL1" s="81"/>
      <c r="AM1" s="81"/>
      <c r="AN1" s="81"/>
      <c r="AO1" s="81"/>
      <c r="AP1" s="81" t="s">
        <v>1988</v>
      </c>
      <c r="AQ1" s="81" t="s">
        <v>1991</v>
      </c>
      <c r="AR1" s="336" t="s">
        <v>1804</v>
      </c>
      <c r="AS1" s="88"/>
      <c r="AT1" s="88"/>
      <c r="AU1" s="89"/>
      <c r="AV1" s="481" t="s">
        <v>1952</v>
      </c>
      <c r="AW1" s="81"/>
      <c r="AX1" s="81"/>
      <c r="AY1" s="81"/>
      <c r="AZ1" s="81"/>
      <c r="BA1" s="82"/>
      <c r="BB1" s="225" t="s">
        <v>2422</v>
      </c>
      <c r="BC1" s="84"/>
      <c r="BD1" s="226"/>
    </row>
    <row r="2" spans="1:56" s="789" customFormat="1" ht="13.5">
      <c r="A2" s="76"/>
      <c r="B2" s="788"/>
      <c r="C2" s="788"/>
      <c r="D2" s="78"/>
      <c r="E2" s="79"/>
      <c r="F2" s="79"/>
      <c r="G2" s="79"/>
      <c r="H2" s="80" t="s">
        <v>1820</v>
      </c>
      <c r="I2" s="81" t="s">
        <v>1821</v>
      </c>
      <c r="J2" s="81" t="s">
        <v>1822</v>
      </c>
      <c r="K2" s="82" t="s">
        <v>1823</v>
      </c>
      <c r="L2" s="81" t="s">
        <v>1824</v>
      </c>
      <c r="M2" s="81" t="s">
        <v>1825</v>
      </c>
      <c r="N2" s="81" t="s">
        <v>1826</v>
      </c>
      <c r="O2" s="81" t="s">
        <v>1827</v>
      </c>
      <c r="P2" s="83" t="s">
        <v>1819</v>
      </c>
      <c r="Q2" s="84"/>
      <c r="R2" s="85"/>
      <c r="S2" s="84" t="s">
        <v>1828</v>
      </c>
      <c r="T2" s="81" t="s">
        <v>1829</v>
      </c>
      <c r="U2" s="81" t="s">
        <v>1830</v>
      </c>
      <c r="V2" s="84" t="s">
        <v>1831</v>
      </c>
      <c r="W2" s="82" t="s">
        <v>1832</v>
      </c>
      <c r="X2" s="81" t="s">
        <v>1833</v>
      </c>
      <c r="Y2" s="81" t="s">
        <v>1834</v>
      </c>
      <c r="Z2" s="81" t="s">
        <v>1835</v>
      </c>
      <c r="AA2" s="81" t="s">
        <v>1836</v>
      </c>
      <c r="AB2" s="82" t="s">
        <v>1837</v>
      </c>
      <c r="AC2" s="81" t="s">
        <v>1838</v>
      </c>
      <c r="AD2" s="81" t="s">
        <v>1839</v>
      </c>
      <c r="AE2" s="81" t="s">
        <v>1840</v>
      </c>
      <c r="AF2" s="81" t="s">
        <v>1841</v>
      </c>
      <c r="AG2" s="84" t="s">
        <v>1842</v>
      </c>
      <c r="AH2" s="81" t="s">
        <v>1843</v>
      </c>
      <c r="AI2" s="81" t="s">
        <v>1844</v>
      </c>
      <c r="AJ2" s="82" t="s">
        <v>1845</v>
      </c>
      <c r="AK2" s="81"/>
      <c r="AL2" s="81"/>
      <c r="AM2" s="81"/>
      <c r="AN2" s="81"/>
      <c r="AO2" s="81"/>
      <c r="AP2" s="81" t="s">
        <v>1989</v>
      </c>
      <c r="AQ2" s="81" t="s">
        <v>1989</v>
      </c>
      <c r="AR2" s="336"/>
      <c r="AS2" s="88"/>
      <c r="AT2" s="88"/>
      <c r="AU2" s="89"/>
      <c r="AV2" s="790"/>
      <c r="AW2" s="81"/>
      <c r="AX2" s="81"/>
      <c r="AY2" s="81"/>
      <c r="AZ2" s="81"/>
      <c r="BA2" s="82"/>
      <c r="BB2" s="225"/>
      <c r="BC2" s="84"/>
      <c r="BD2" s="226"/>
    </row>
    <row r="3" spans="1:56" s="791" customFormat="1" ht="36">
      <c r="A3" s="91" t="s">
        <v>1805</v>
      </c>
      <c r="B3" s="96" t="s">
        <v>0</v>
      </c>
      <c r="C3" s="96" t="s">
        <v>1</v>
      </c>
      <c r="D3" s="93" t="s">
        <v>2417</v>
      </c>
      <c r="E3" s="94" t="s">
        <v>2414</v>
      </c>
      <c r="F3" s="94" t="s">
        <v>1806</v>
      </c>
      <c r="G3" s="94" t="s">
        <v>1807</v>
      </c>
      <c r="H3" s="91" t="s">
        <v>2391</v>
      </c>
      <c r="I3" s="96" t="s">
        <v>2392</v>
      </c>
      <c r="J3" s="96" t="s">
        <v>2393</v>
      </c>
      <c r="K3" s="97" t="s">
        <v>2394</v>
      </c>
      <c r="L3" s="96" t="s">
        <v>2396</v>
      </c>
      <c r="M3" s="96" t="s">
        <v>2398</v>
      </c>
      <c r="N3" s="96" t="s">
        <v>2399</v>
      </c>
      <c r="O3" s="96" t="s">
        <v>2397</v>
      </c>
      <c r="P3" s="96" t="s">
        <v>1818</v>
      </c>
      <c r="Q3" s="96" t="s">
        <v>1817</v>
      </c>
      <c r="R3" s="98" t="s">
        <v>2440</v>
      </c>
      <c r="S3" s="96" t="s">
        <v>2395</v>
      </c>
      <c r="T3" s="96" t="s">
        <v>2400</v>
      </c>
      <c r="U3" s="99" t="s">
        <v>2401</v>
      </c>
      <c r="V3" s="96" t="s">
        <v>2404</v>
      </c>
      <c r="W3" s="97" t="s">
        <v>2394</v>
      </c>
      <c r="X3" s="96" t="s">
        <v>2403</v>
      </c>
      <c r="Y3" s="96" t="s">
        <v>2392</v>
      </c>
      <c r="Z3" s="99" t="s">
        <v>2393</v>
      </c>
      <c r="AA3" s="96" t="s">
        <v>2402</v>
      </c>
      <c r="AB3" s="97" t="s">
        <v>2394</v>
      </c>
      <c r="AC3" s="96" t="s">
        <v>2396</v>
      </c>
      <c r="AD3" s="96" t="s">
        <v>2398</v>
      </c>
      <c r="AE3" s="96" t="s">
        <v>2399</v>
      </c>
      <c r="AF3" s="99" t="s">
        <v>2397</v>
      </c>
      <c r="AG3" s="96" t="s">
        <v>2395</v>
      </c>
      <c r="AH3" s="96" t="s">
        <v>2400</v>
      </c>
      <c r="AI3" s="96" t="s">
        <v>2401</v>
      </c>
      <c r="AJ3" s="97" t="s">
        <v>2394</v>
      </c>
      <c r="AK3" s="96" t="s">
        <v>1948</v>
      </c>
      <c r="AL3" s="189" t="s">
        <v>1949</v>
      </c>
      <c r="AM3" s="189" t="s">
        <v>1950</v>
      </c>
      <c r="AN3" s="189" t="s">
        <v>1954</v>
      </c>
      <c r="AO3" s="189" t="s">
        <v>1951</v>
      </c>
      <c r="AP3" s="189" t="s">
        <v>1990</v>
      </c>
      <c r="AQ3" s="189" t="s">
        <v>1992</v>
      </c>
      <c r="AR3" s="91" t="s">
        <v>1808</v>
      </c>
      <c r="AS3" s="101" t="s">
        <v>1809</v>
      </c>
      <c r="AT3" s="101" t="s">
        <v>1810</v>
      </c>
      <c r="AU3" s="102" t="s">
        <v>1811</v>
      </c>
      <c r="AV3" s="99" t="s">
        <v>1953</v>
      </c>
      <c r="AW3" s="96" t="s">
        <v>1948</v>
      </c>
      <c r="AX3" s="189" t="s">
        <v>1949</v>
      </c>
      <c r="AY3" s="189" t="s">
        <v>1950</v>
      </c>
      <c r="AZ3" s="189" t="s">
        <v>1954</v>
      </c>
      <c r="BA3" s="190" t="s">
        <v>1951</v>
      </c>
      <c r="BB3" s="227" t="s">
        <v>2423</v>
      </c>
      <c r="BC3" s="228" t="s">
        <v>2424</v>
      </c>
      <c r="BD3" s="229" t="s">
        <v>2425</v>
      </c>
    </row>
    <row r="4" spans="1:56" s="808" customFormat="1" ht="14.25" customHeight="1">
      <c r="A4" s="792">
        <v>2024</v>
      </c>
      <c r="B4" s="793" t="str">
        <f>+INDEX('①基本情報 '!C:C,MATCH('③経費情報(2024)'!E4,'①基本情報 '!E:E,0))</f>
        <v>001</v>
      </c>
      <c r="C4" s="794" t="str">
        <f>+INDEX('①基本情報 '!B:B,MATCH('③経費情報(2024)'!E4,'①基本情報 '!E:E,0))</f>
        <v>0283</v>
      </c>
      <c r="D4" s="795" t="s">
        <v>2415</v>
      </c>
      <c r="E4" s="796" t="s">
        <v>53</v>
      </c>
      <c r="F4" s="616" t="str">
        <f>INDEX('①基本情報 '!F:F,MATCH('③経費情報(2024)'!E4,'①基本情報 '!E:E,0))</f>
        <v>総務部</v>
      </c>
      <c r="G4" s="797" t="s">
        <v>2426</v>
      </c>
      <c r="H4" s="798">
        <v>3555</v>
      </c>
      <c r="I4" s="799">
        <v>4829</v>
      </c>
      <c r="J4" s="800">
        <v>5702</v>
      </c>
      <c r="K4" s="801">
        <f t="shared" ref="K4:K69" si="0">SUBTOTAL(9,H4:J4)</f>
        <v>14086</v>
      </c>
      <c r="L4" s="799">
        <v>57730</v>
      </c>
      <c r="M4" s="799">
        <v>124591</v>
      </c>
      <c r="N4" s="800">
        <v>0</v>
      </c>
      <c r="O4" s="799">
        <v>3260</v>
      </c>
      <c r="P4" s="802">
        <v>1.2</v>
      </c>
      <c r="Q4" s="799">
        <v>9119</v>
      </c>
      <c r="R4" s="115">
        <v>10152</v>
      </c>
      <c r="S4" s="799">
        <f>ROUND(P4*Q4,0)+R4</f>
        <v>21095</v>
      </c>
      <c r="T4" s="800">
        <v>36542</v>
      </c>
      <c r="U4" s="803"/>
      <c r="V4" s="799"/>
      <c r="W4" s="801">
        <f t="shared" ref="W4:W69" si="1">SUBTOTAL(9,L4:O4,S4:V4)</f>
        <v>243218</v>
      </c>
      <c r="X4" s="799">
        <v>15969</v>
      </c>
      <c r="Y4" s="799"/>
      <c r="Z4" s="803">
        <v>75</v>
      </c>
      <c r="AA4" s="799"/>
      <c r="AB4" s="801">
        <f t="shared" ref="AB4:AB69" si="2">SUBTOTAL(9,X4:AA4)</f>
        <v>16044</v>
      </c>
      <c r="AC4" s="799"/>
      <c r="AD4" s="799">
        <v>382</v>
      </c>
      <c r="AE4" s="800"/>
      <c r="AF4" s="804"/>
      <c r="AG4" s="799">
        <v>1139</v>
      </c>
      <c r="AH4" s="800">
        <v>1232</v>
      </c>
      <c r="AI4" s="800">
        <v>17947</v>
      </c>
      <c r="AJ4" s="801">
        <f t="shared" ref="AJ4:AJ68" si="3">SUBTOTAL(9,AC4:AI4)</f>
        <v>20700</v>
      </c>
      <c r="AK4" s="800">
        <f t="shared" ref="AK4:AN13" si="4">AW4/1000</f>
        <v>12792495.85</v>
      </c>
      <c r="AL4" s="800">
        <f t="shared" si="4"/>
        <v>1324088.5730000001</v>
      </c>
      <c r="AM4" s="800">
        <f t="shared" si="4"/>
        <v>11468407.277000001</v>
      </c>
      <c r="AN4" s="800">
        <f t="shared" si="4"/>
        <v>342765.63799999998</v>
      </c>
      <c r="AO4" s="192">
        <f t="shared" ref="AO4:AO13" si="5">BA4</f>
        <v>0.10350510084394517</v>
      </c>
      <c r="AP4" s="193">
        <f t="shared" ref="AP4:AP19" si="6">W4+AN4</f>
        <v>585983.63800000004</v>
      </c>
      <c r="AQ4" s="193">
        <f>K4-AP4</f>
        <v>-571897.63800000004</v>
      </c>
      <c r="AR4" s="805"/>
      <c r="AS4" s="119"/>
      <c r="AT4" s="119"/>
      <c r="AU4" s="120"/>
      <c r="AV4" s="806"/>
      <c r="AW4" s="800">
        <v>12792495850</v>
      </c>
      <c r="AX4" s="807">
        <v>1324088573</v>
      </c>
      <c r="AY4" s="807">
        <v>11468407277</v>
      </c>
      <c r="AZ4" s="807">
        <v>342765638</v>
      </c>
      <c r="BA4" s="196">
        <f t="shared" ref="BA4:BA69" si="7">AX4/AW4</f>
        <v>0.10350510084394517</v>
      </c>
      <c r="BB4" s="210">
        <v>129712</v>
      </c>
      <c r="BC4" s="115"/>
      <c r="BD4" s="236">
        <v>1</v>
      </c>
    </row>
    <row r="5" spans="1:56" s="808" customFormat="1" ht="14.25" customHeight="1">
      <c r="A5" s="792">
        <v>2024</v>
      </c>
      <c r="B5" s="793" t="str">
        <f>+INDEX('①基本情報 '!C:C,MATCH('③経費情報(2024)'!E5,'①基本情報 '!E:E,0))</f>
        <v>002</v>
      </c>
      <c r="C5" s="794" t="str">
        <f>+INDEX('①基本情報 '!B:B,MATCH('③経費情報(2024)'!E5,'①基本情報 '!E:E,0))</f>
        <v>0001</v>
      </c>
      <c r="D5" s="809" t="s">
        <v>2415</v>
      </c>
      <c r="E5" s="616" t="s">
        <v>77</v>
      </c>
      <c r="F5" s="616" t="str">
        <f>INDEX('①基本情報 '!F:F,MATCH('③経費情報(2024)'!E5,'①基本情報 '!E:E,0))</f>
        <v>市民自治部</v>
      </c>
      <c r="G5" s="797" t="s">
        <v>2582</v>
      </c>
      <c r="H5" s="810"/>
      <c r="I5" s="800">
        <v>783</v>
      </c>
      <c r="J5" s="800"/>
      <c r="K5" s="801">
        <f t="shared" si="0"/>
        <v>783</v>
      </c>
      <c r="L5" s="800"/>
      <c r="M5" s="799"/>
      <c r="N5" s="800"/>
      <c r="O5" s="800"/>
      <c r="P5" s="802">
        <v>2</v>
      </c>
      <c r="Q5" s="799">
        <v>9119</v>
      </c>
      <c r="R5" s="115">
        <v>3880</v>
      </c>
      <c r="S5" s="799">
        <f t="shared" ref="S5:S69" si="8">ROUND(P5*Q5,0)+R5</f>
        <v>22118</v>
      </c>
      <c r="T5" s="800">
        <v>612</v>
      </c>
      <c r="U5" s="803">
        <v>374</v>
      </c>
      <c r="V5" s="799"/>
      <c r="W5" s="801">
        <f t="shared" si="1"/>
        <v>23104</v>
      </c>
      <c r="X5" s="799"/>
      <c r="Y5" s="799"/>
      <c r="Z5" s="803"/>
      <c r="AA5" s="799"/>
      <c r="AB5" s="801">
        <f t="shared" si="2"/>
        <v>0</v>
      </c>
      <c r="AC5" s="799"/>
      <c r="AD5" s="799"/>
      <c r="AE5" s="800"/>
      <c r="AF5" s="804"/>
      <c r="AG5" s="799"/>
      <c r="AH5" s="800"/>
      <c r="AI5" s="800"/>
      <c r="AJ5" s="801">
        <f t="shared" si="3"/>
        <v>0</v>
      </c>
      <c r="AK5" s="800">
        <f t="shared" si="4"/>
        <v>31661.760999999999</v>
      </c>
      <c r="AL5" s="800">
        <f t="shared" si="4"/>
        <v>11879.512000000001</v>
      </c>
      <c r="AM5" s="800">
        <f t="shared" si="4"/>
        <v>19782.249</v>
      </c>
      <c r="AN5" s="800">
        <f t="shared" si="4"/>
        <v>1134.6289999999999</v>
      </c>
      <c r="AO5" s="192">
        <f t="shared" si="5"/>
        <v>0.37520060870903549</v>
      </c>
      <c r="AP5" s="193">
        <f t="shared" si="6"/>
        <v>24238.629000000001</v>
      </c>
      <c r="AQ5" s="193">
        <f t="shared" ref="AQ5:AQ69" si="9">K5-AP5</f>
        <v>-23455.629000000001</v>
      </c>
      <c r="AR5" s="805"/>
      <c r="AS5" s="119"/>
      <c r="AT5" s="119"/>
      <c r="AU5" s="120"/>
      <c r="AV5" s="806" t="s">
        <v>2484</v>
      </c>
      <c r="AW5" s="800">
        <v>31661761</v>
      </c>
      <c r="AX5" s="807">
        <v>11879512</v>
      </c>
      <c r="AY5" s="807">
        <v>19782249</v>
      </c>
      <c r="AZ5" s="807">
        <v>1134629</v>
      </c>
      <c r="BA5" s="196">
        <f t="shared" si="7"/>
        <v>0.37520060870903549</v>
      </c>
      <c r="BB5" s="210">
        <v>0</v>
      </c>
      <c r="BC5" s="115">
        <v>0</v>
      </c>
      <c r="BD5" s="236">
        <v>0</v>
      </c>
    </row>
    <row r="6" spans="1:56" s="808" customFormat="1" ht="14.25" customHeight="1">
      <c r="A6" s="792">
        <v>2024</v>
      </c>
      <c r="B6" s="793" t="str">
        <f>+INDEX('①基本情報 '!C:C,MATCH('③経費情報(2024)'!E6,'①基本情報 '!E:E,0))</f>
        <v>003</v>
      </c>
      <c r="C6" s="794" t="str">
        <f>+INDEX('①基本情報 '!B:B,MATCH('③経費情報(2024)'!E6,'①基本情報 '!E:E,0))</f>
        <v>0002</v>
      </c>
      <c r="D6" s="809" t="s">
        <v>2415</v>
      </c>
      <c r="E6" s="616" t="s">
        <v>90</v>
      </c>
      <c r="F6" s="616" t="str">
        <f>INDEX('①基本情報 '!F:F,MATCH('③経費情報(2024)'!E6,'①基本情報 '!E:E,0))</f>
        <v>市民自治部</v>
      </c>
      <c r="G6" s="797" t="s">
        <v>2582</v>
      </c>
      <c r="H6" s="810"/>
      <c r="I6" s="800">
        <v>2021</v>
      </c>
      <c r="J6" s="800"/>
      <c r="K6" s="801">
        <f t="shared" si="0"/>
        <v>2021</v>
      </c>
      <c r="L6" s="800"/>
      <c r="M6" s="800"/>
      <c r="N6" s="800"/>
      <c r="O6" s="800"/>
      <c r="P6" s="802">
        <v>2.6</v>
      </c>
      <c r="Q6" s="799">
        <v>9119</v>
      </c>
      <c r="R6" s="115">
        <v>3546</v>
      </c>
      <c r="S6" s="799">
        <f t="shared" si="8"/>
        <v>27255</v>
      </c>
      <c r="T6" s="800">
        <v>2127</v>
      </c>
      <c r="U6" s="803">
        <v>82</v>
      </c>
      <c r="V6" s="799"/>
      <c r="W6" s="801">
        <f t="shared" si="1"/>
        <v>29464</v>
      </c>
      <c r="X6" s="799"/>
      <c r="Y6" s="799"/>
      <c r="Z6" s="803"/>
      <c r="AA6" s="799"/>
      <c r="AB6" s="801">
        <f t="shared" si="2"/>
        <v>0</v>
      </c>
      <c r="AC6" s="799"/>
      <c r="AD6" s="799"/>
      <c r="AE6" s="800"/>
      <c r="AF6" s="804"/>
      <c r="AG6" s="799"/>
      <c r="AH6" s="800"/>
      <c r="AI6" s="800"/>
      <c r="AJ6" s="801">
        <f t="shared" si="3"/>
        <v>0</v>
      </c>
      <c r="AK6" s="800">
        <f t="shared" si="4"/>
        <v>5321.0860000000002</v>
      </c>
      <c r="AL6" s="800">
        <f t="shared" si="4"/>
        <v>3259.5819999999999</v>
      </c>
      <c r="AM6" s="800">
        <f t="shared" si="4"/>
        <v>2061.5039999999999</v>
      </c>
      <c r="AN6" s="800">
        <f t="shared" si="4"/>
        <v>77.424000000000007</v>
      </c>
      <c r="AO6" s="192">
        <f t="shared" si="5"/>
        <v>0.61257833457305522</v>
      </c>
      <c r="AP6" s="193">
        <f t="shared" si="6"/>
        <v>29541.423999999999</v>
      </c>
      <c r="AQ6" s="193">
        <f t="shared" si="9"/>
        <v>-27520.423999999999</v>
      </c>
      <c r="AR6" s="805"/>
      <c r="AS6" s="119"/>
      <c r="AT6" s="119"/>
      <c r="AU6" s="120"/>
      <c r="AV6" s="806" t="s">
        <v>2484</v>
      </c>
      <c r="AW6" s="800">
        <v>5321086</v>
      </c>
      <c r="AX6" s="807">
        <v>3259582</v>
      </c>
      <c r="AY6" s="807">
        <v>2061504</v>
      </c>
      <c r="AZ6" s="807">
        <v>77424</v>
      </c>
      <c r="BA6" s="196">
        <f t="shared" si="7"/>
        <v>0.61257833457305522</v>
      </c>
      <c r="BB6" s="210">
        <v>0</v>
      </c>
      <c r="BC6" s="115">
        <v>0</v>
      </c>
      <c r="BD6" s="236">
        <v>0</v>
      </c>
    </row>
    <row r="7" spans="1:56" s="808" customFormat="1" ht="14.25" customHeight="1">
      <c r="A7" s="792">
        <v>2024</v>
      </c>
      <c r="B7" s="793" t="str">
        <f>+INDEX('①基本情報 '!C:C,MATCH('③経費情報(2024)'!E7,'①基本情報 '!E:E,0))</f>
        <v>004</v>
      </c>
      <c r="C7" s="794" t="str">
        <f>+INDEX('①基本情報 '!B:B,MATCH('③経費情報(2024)'!E7,'①基本情報 '!E:E,0))</f>
        <v>0003</v>
      </c>
      <c r="D7" s="809" t="s">
        <v>2415</v>
      </c>
      <c r="E7" s="616" t="s">
        <v>98</v>
      </c>
      <c r="F7" s="616" t="str">
        <f>INDEX('①基本情報 '!F:F,MATCH('③経費情報(2024)'!E7,'①基本情報 '!E:E,0))</f>
        <v>市民自治部</v>
      </c>
      <c r="G7" s="797" t="s">
        <v>2582</v>
      </c>
      <c r="H7" s="810"/>
      <c r="I7" s="800">
        <v>1319</v>
      </c>
      <c r="J7" s="800"/>
      <c r="K7" s="801">
        <f t="shared" si="0"/>
        <v>1319</v>
      </c>
      <c r="L7" s="799">
        <v>252</v>
      </c>
      <c r="M7" s="799">
        <v>70</v>
      </c>
      <c r="N7" s="800">
        <v>0</v>
      </c>
      <c r="O7" s="799">
        <v>73</v>
      </c>
      <c r="P7" s="802">
        <v>2</v>
      </c>
      <c r="Q7" s="799">
        <v>9119</v>
      </c>
      <c r="R7" s="115">
        <v>4439</v>
      </c>
      <c r="S7" s="799">
        <f t="shared" si="8"/>
        <v>22677</v>
      </c>
      <c r="T7" s="800">
        <v>1189</v>
      </c>
      <c r="U7" s="803">
        <v>911</v>
      </c>
      <c r="V7" s="799"/>
      <c r="W7" s="801">
        <f t="shared" si="1"/>
        <v>25172</v>
      </c>
      <c r="X7" s="799"/>
      <c r="Y7" s="799"/>
      <c r="Z7" s="803"/>
      <c r="AA7" s="799"/>
      <c r="AB7" s="801">
        <f t="shared" si="2"/>
        <v>0</v>
      </c>
      <c r="AC7" s="799"/>
      <c r="AD7" s="799"/>
      <c r="AE7" s="800"/>
      <c r="AF7" s="804"/>
      <c r="AG7" s="799"/>
      <c r="AH7" s="800"/>
      <c r="AI7" s="800"/>
      <c r="AJ7" s="801">
        <f t="shared" si="3"/>
        <v>0</v>
      </c>
      <c r="AK7" s="800">
        <f t="shared" si="4"/>
        <v>5586</v>
      </c>
      <c r="AL7" s="800">
        <f t="shared" si="4"/>
        <v>1564.08</v>
      </c>
      <c r="AM7" s="800">
        <f t="shared" si="4"/>
        <v>4021.92</v>
      </c>
      <c r="AN7" s="800">
        <f t="shared" si="4"/>
        <v>111.72</v>
      </c>
      <c r="AO7" s="192">
        <f t="shared" si="5"/>
        <v>0.28000000000000003</v>
      </c>
      <c r="AP7" s="193">
        <f t="shared" si="6"/>
        <v>25283.72</v>
      </c>
      <c r="AQ7" s="193">
        <f t="shared" si="9"/>
        <v>-23964.720000000001</v>
      </c>
      <c r="AR7" s="805"/>
      <c r="AS7" s="119"/>
      <c r="AT7" s="119"/>
      <c r="AU7" s="120"/>
      <c r="AV7" s="806"/>
      <c r="AW7" s="800">
        <v>5586000</v>
      </c>
      <c r="AX7" s="807">
        <v>1564080</v>
      </c>
      <c r="AY7" s="807">
        <v>4021920</v>
      </c>
      <c r="AZ7" s="807">
        <v>111720</v>
      </c>
      <c r="BA7" s="196">
        <f t="shared" si="7"/>
        <v>0.28000000000000003</v>
      </c>
      <c r="BB7" s="210">
        <v>5892</v>
      </c>
      <c r="BC7" s="115">
        <v>0</v>
      </c>
      <c r="BD7" s="236">
        <v>0</v>
      </c>
    </row>
    <row r="8" spans="1:56" s="808" customFormat="1" ht="14.25" customHeight="1">
      <c r="A8" s="792">
        <v>2024</v>
      </c>
      <c r="B8" s="793" t="str">
        <f>+INDEX('①基本情報 '!C:C,MATCH('③経費情報(2024)'!E8,'①基本情報 '!E:E,0))</f>
        <v>005</v>
      </c>
      <c r="C8" s="794" t="str">
        <f>+INDEX('①基本情報 '!B:B,MATCH('③経費情報(2024)'!E8,'①基本情報 '!E:E,0))</f>
        <v>0004</v>
      </c>
      <c r="D8" s="809" t="s">
        <v>2415</v>
      </c>
      <c r="E8" s="616" t="s">
        <v>104</v>
      </c>
      <c r="F8" s="616" t="str">
        <f>INDEX('①基本情報 '!F:F,MATCH('③経費情報(2024)'!E8,'①基本情報 '!E:E,0))</f>
        <v>市民自治部</v>
      </c>
      <c r="G8" s="797" t="s">
        <v>2582</v>
      </c>
      <c r="H8" s="810"/>
      <c r="I8" s="800">
        <v>1832</v>
      </c>
      <c r="J8" s="800"/>
      <c r="K8" s="801">
        <f t="shared" si="0"/>
        <v>1832</v>
      </c>
      <c r="L8" s="800"/>
      <c r="M8" s="799">
        <v>172</v>
      </c>
      <c r="N8" s="800"/>
      <c r="O8" s="800"/>
      <c r="P8" s="802">
        <v>0.8</v>
      </c>
      <c r="Q8" s="799">
        <v>9119</v>
      </c>
      <c r="R8" s="115">
        <v>8476</v>
      </c>
      <c r="S8" s="799">
        <f t="shared" si="8"/>
        <v>15771</v>
      </c>
      <c r="T8" s="800">
        <v>1561</v>
      </c>
      <c r="U8" s="803"/>
      <c r="V8" s="799"/>
      <c r="W8" s="801">
        <f t="shared" si="1"/>
        <v>17504</v>
      </c>
      <c r="X8" s="799"/>
      <c r="Y8" s="799"/>
      <c r="Z8" s="803"/>
      <c r="AA8" s="799"/>
      <c r="AB8" s="801">
        <f t="shared" si="2"/>
        <v>0</v>
      </c>
      <c r="AC8" s="799"/>
      <c r="AD8" s="799"/>
      <c r="AE8" s="800"/>
      <c r="AF8" s="804"/>
      <c r="AG8" s="799"/>
      <c r="AH8" s="800"/>
      <c r="AI8" s="800"/>
      <c r="AJ8" s="801">
        <f t="shared" si="3"/>
        <v>0</v>
      </c>
      <c r="AK8" s="800">
        <f t="shared" si="4"/>
        <v>5794.1319999999996</v>
      </c>
      <c r="AL8" s="800">
        <f t="shared" si="4"/>
        <v>5175.951</v>
      </c>
      <c r="AM8" s="800">
        <f t="shared" si="4"/>
        <v>618.18200000000002</v>
      </c>
      <c r="AN8" s="800">
        <f t="shared" si="4"/>
        <v>18.556000000000001</v>
      </c>
      <c r="AO8" s="192">
        <f t="shared" si="5"/>
        <v>0.89330912723424316</v>
      </c>
      <c r="AP8" s="193">
        <f t="shared" si="6"/>
        <v>17522.556</v>
      </c>
      <c r="AQ8" s="193">
        <f t="shared" si="9"/>
        <v>-15690.556</v>
      </c>
      <c r="AR8" s="805"/>
      <c r="AS8" s="119"/>
      <c r="AT8" s="119"/>
      <c r="AU8" s="120"/>
      <c r="AV8" s="806" t="s">
        <v>2484</v>
      </c>
      <c r="AW8" s="800">
        <v>5794132</v>
      </c>
      <c r="AX8" s="807">
        <v>5175951</v>
      </c>
      <c r="AY8" s="807">
        <v>618182</v>
      </c>
      <c r="AZ8" s="807">
        <v>18556</v>
      </c>
      <c r="BA8" s="196">
        <f t="shared" si="7"/>
        <v>0.89330912723424316</v>
      </c>
      <c r="BB8" s="210">
        <v>0</v>
      </c>
      <c r="BC8" s="115">
        <v>0</v>
      </c>
      <c r="BD8" s="236">
        <v>0</v>
      </c>
    </row>
    <row r="9" spans="1:56" s="808" customFormat="1" ht="14.25" customHeight="1">
      <c r="A9" s="792">
        <v>2024</v>
      </c>
      <c r="B9" s="793" t="str">
        <f>+INDEX('①基本情報 '!C:C,MATCH('③経費情報(2024)'!E9,'①基本情報 '!E:E,0))</f>
        <v>006</v>
      </c>
      <c r="C9" s="794" t="str">
        <f>+INDEX('①基本情報 '!B:B,MATCH('③経費情報(2024)'!E9,'①基本情報 '!E:E,0))</f>
        <v>0005</v>
      </c>
      <c r="D9" s="809" t="s">
        <v>2415</v>
      </c>
      <c r="E9" s="616" t="s">
        <v>115</v>
      </c>
      <c r="F9" s="616" t="str">
        <f>INDEX('①基本情報 '!F:F,MATCH('③経費情報(2024)'!E9,'①基本情報 '!E:E,0))</f>
        <v>市民自治部</v>
      </c>
      <c r="G9" s="797" t="s">
        <v>2582</v>
      </c>
      <c r="H9" s="810"/>
      <c r="I9" s="800">
        <v>1237</v>
      </c>
      <c r="J9" s="800"/>
      <c r="K9" s="801">
        <f t="shared" si="0"/>
        <v>1237</v>
      </c>
      <c r="L9" s="800"/>
      <c r="M9" s="799">
        <v>272</v>
      </c>
      <c r="N9" s="800"/>
      <c r="O9" s="800"/>
      <c r="P9" s="802">
        <v>1</v>
      </c>
      <c r="Q9" s="799">
        <v>9119</v>
      </c>
      <c r="R9" s="115">
        <v>7740</v>
      </c>
      <c r="S9" s="799">
        <f t="shared" si="8"/>
        <v>16859</v>
      </c>
      <c r="T9" s="800">
        <v>1201</v>
      </c>
      <c r="U9" s="803"/>
      <c r="V9" s="799"/>
      <c r="W9" s="801">
        <f t="shared" si="1"/>
        <v>18332</v>
      </c>
      <c r="X9" s="799"/>
      <c r="Y9" s="799"/>
      <c r="Z9" s="803"/>
      <c r="AA9" s="799"/>
      <c r="AB9" s="801">
        <f t="shared" si="2"/>
        <v>0</v>
      </c>
      <c r="AC9" s="799"/>
      <c r="AD9" s="799"/>
      <c r="AE9" s="800"/>
      <c r="AF9" s="804"/>
      <c r="AG9" s="799"/>
      <c r="AH9" s="800"/>
      <c r="AI9" s="800"/>
      <c r="AJ9" s="801">
        <f t="shared" si="3"/>
        <v>0</v>
      </c>
      <c r="AK9" s="800">
        <f t="shared" si="4"/>
        <v>6250.5529999999999</v>
      </c>
      <c r="AL9" s="800">
        <f t="shared" si="4"/>
        <v>5533.2460000000001</v>
      </c>
      <c r="AM9" s="800">
        <f t="shared" si="4"/>
        <v>717.30700000000002</v>
      </c>
      <c r="AN9" s="800">
        <f t="shared" si="4"/>
        <v>34.884</v>
      </c>
      <c r="AO9" s="192">
        <f t="shared" si="5"/>
        <v>0.88524103387332287</v>
      </c>
      <c r="AP9" s="193">
        <f t="shared" si="6"/>
        <v>18366.883999999998</v>
      </c>
      <c r="AQ9" s="193">
        <f t="shared" si="9"/>
        <v>-17129.883999999998</v>
      </c>
      <c r="AR9" s="805"/>
      <c r="AS9" s="119"/>
      <c r="AT9" s="119"/>
      <c r="AU9" s="120"/>
      <c r="AV9" s="806" t="s">
        <v>2484</v>
      </c>
      <c r="AW9" s="800">
        <v>6250553</v>
      </c>
      <c r="AX9" s="807">
        <v>5533246</v>
      </c>
      <c r="AY9" s="807">
        <v>717307</v>
      </c>
      <c r="AZ9" s="807">
        <v>34884</v>
      </c>
      <c r="BA9" s="196">
        <f t="shared" si="7"/>
        <v>0.88524103387332287</v>
      </c>
      <c r="BB9" s="210">
        <v>0</v>
      </c>
      <c r="BC9" s="115">
        <v>0</v>
      </c>
      <c r="BD9" s="236">
        <v>0</v>
      </c>
    </row>
    <row r="10" spans="1:56" s="808" customFormat="1" ht="14.25" customHeight="1">
      <c r="A10" s="792">
        <v>2024</v>
      </c>
      <c r="B10" s="793" t="str">
        <f>+INDEX('①基本情報 '!C:C,MATCH('③経費情報(2024)'!E10,'①基本情報 '!E:E,0))</f>
        <v>007</v>
      </c>
      <c r="C10" s="794" t="str">
        <f>+INDEX('①基本情報 '!B:B,MATCH('③経費情報(2024)'!E10,'①基本情報 '!E:E,0))</f>
        <v>0403</v>
      </c>
      <c r="D10" s="809" t="s">
        <v>2415</v>
      </c>
      <c r="E10" s="616" t="s">
        <v>124</v>
      </c>
      <c r="F10" s="616" t="str">
        <f>INDEX('①基本情報 '!F:F,MATCH('③経費情報(2024)'!E10,'①基本情報 '!E:E,0))</f>
        <v>市民自治部</v>
      </c>
      <c r="G10" s="797" t="s">
        <v>2581</v>
      </c>
      <c r="H10" s="810"/>
      <c r="I10" s="799"/>
      <c r="J10" s="800"/>
      <c r="K10" s="801">
        <f t="shared" si="0"/>
        <v>0</v>
      </c>
      <c r="L10" s="800"/>
      <c r="M10" s="799"/>
      <c r="N10" s="800"/>
      <c r="O10" s="800"/>
      <c r="P10" s="802">
        <v>5</v>
      </c>
      <c r="Q10" s="799">
        <v>9119</v>
      </c>
      <c r="R10" s="115">
        <v>25511</v>
      </c>
      <c r="S10" s="799">
        <f t="shared" si="8"/>
        <v>71106</v>
      </c>
      <c r="T10" s="800">
        <v>7621</v>
      </c>
      <c r="U10" s="803">
        <v>4562</v>
      </c>
      <c r="V10" s="799"/>
      <c r="W10" s="801">
        <f t="shared" si="1"/>
        <v>83289</v>
      </c>
      <c r="X10" s="799"/>
      <c r="Y10" s="799"/>
      <c r="Z10" s="803"/>
      <c r="AA10" s="799"/>
      <c r="AB10" s="801">
        <f t="shared" si="2"/>
        <v>0</v>
      </c>
      <c r="AC10" s="799"/>
      <c r="AD10" s="799"/>
      <c r="AE10" s="800"/>
      <c r="AF10" s="804"/>
      <c r="AG10" s="799"/>
      <c r="AH10" s="800"/>
      <c r="AI10" s="800"/>
      <c r="AJ10" s="801">
        <f t="shared" si="3"/>
        <v>0</v>
      </c>
      <c r="AK10" s="800">
        <f t="shared" si="4"/>
        <v>274445.95799999998</v>
      </c>
      <c r="AL10" s="800">
        <f t="shared" si="4"/>
        <v>120339.908</v>
      </c>
      <c r="AM10" s="800">
        <f t="shared" si="4"/>
        <v>154106.04999999999</v>
      </c>
      <c r="AN10" s="800">
        <f t="shared" si="4"/>
        <v>6432.3639999999996</v>
      </c>
      <c r="AO10" s="192">
        <f t="shared" si="5"/>
        <v>0.43848307651155133</v>
      </c>
      <c r="AP10" s="193">
        <f t="shared" si="6"/>
        <v>89721.364000000001</v>
      </c>
      <c r="AQ10" s="193">
        <f t="shared" si="9"/>
        <v>-89721.364000000001</v>
      </c>
      <c r="AR10" s="805"/>
      <c r="AS10" s="119"/>
      <c r="AT10" s="119"/>
      <c r="AU10" s="120"/>
      <c r="AV10" s="806" t="s">
        <v>2484</v>
      </c>
      <c r="AW10" s="800">
        <v>274445958</v>
      </c>
      <c r="AX10" s="807">
        <v>120339908</v>
      </c>
      <c r="AY10" s="807">
        <v>154106050</v>
      </c>
      <c r="AZ10" s="807">
        <v>6432364</v>
      </c>
      <c r="BA10" s="196">
        <f t="shared" si="7"/>
        <v>0.43848307651155133</v>
      </c>
      <c r="BB10" s="210">
        <v>31392</v>
      </c>
      <c r="BC10" s="115">
        <v>0</v>
      </c>
      <c r="BD10" s="236">
        <v>0</v>
      </c>
    </row>
    <row r="11" spans="1:56" s="808" customFormat="1" ht="14.25" customHeight="1">
      <c r="A11" s="792">
        <v>2024</v>
      </c>
      <c r="B11" s="793" t="str">
        <f>+INDEX('①基本情報 '!C:C,MATCH('③経費情報(2024)'!E11,'①基本情報 '!E:E,0))</f>
        <v>008</v>
      </c>
      <c r="C11" s="794" t="str">
        <f>+INDEX('①基本情報 '!B:B,MATCH('③経費情報(2024)'!E11,'①基本情報 '!E:E,0))</f>
        <v>041４</v>
      </c>
      <c r="D11" s="809" t="s">
        <v>2415</v>
      </c>
      <c r="E11" s="616" t="s">
        <v>138</v>
      </c>
      <c r="F11" s="616" t="str">
        <f>INDEX('①基本情報 '!F:F,MATCH('③経費情報(2024)'!E11,'①基本情報 '!E:E,0))</f>
        <v>健康福祉部</v>
      </c>
      <c r="G11" s="797" t="s">
        <v>140</v>
      </c>
      <c r="H11" s="439">
        <v>3636</v>
      </c>
      <c r="I11" s="440">
        <v>0</v>
      </c>
      <c r="J11" s="443">
        <v>2202</v>
      </c>
      <c r="K11" s="811">
        <f t="shared" si="0"/>
        <v>5838</v>
      </c>
      <c r="L11" s="440">
        <v>5379</v>
      </c>
      <c r="M11" s="440">
        <v>5985</v>
      </c>
      <c r="N11" s="443">
        <v>0</v>
      </c>
      <c r="O11" s="440">
        <v>0</v>
      </c>
      <c r="P11" s="812">
        <v>34.46</v>
      </c>
      <c r="Q11" s="799">
        <v>9119</v>
      </c>
      <c r="R11" s="390">
        <v>53421</v>
      </c>
      <c r="S11" s="440">
        <f>ROUND(P11*Q11,0)+R11</f>
        <v>367662</v>
      </c>
      <c r="T11" s="443">
        <v>1388702</v>
      </c>
      <c r="U11" s="444">
        <v>10271</v>
      </c>
      <c r="V11" s="440">
        <v>0</v>
      </c>
      <c r="W11" s="811">
        <f t="shared" si="1"/>
        <v>1777999</v>
      </c>
      <c r="X11" s="440">
        <v>0</v>
      </c>
      <c r="Y11" s="440">
        <v>0</v>
      </c>
      <c r="Z11" s="444">
        <v>0</v>
      </c>
      <c r="AA11" s="440">
        <v>0</v>
      </c>
      <c r="AB11" s="811">
        <f t="shared" si="2"/>
        <v>0</v>
      </c>
      <c r="AC11" s="440">
        <v>0</v>
      </c>
      <c r="AD11" s="440">
        <v>0</v>
      </c>
      <c r="AE11" s="443">
        <v>0</v>
      </c>
      <c r="AF11" s="445">
        <v>0</v>
      </c>
      <c r="AG11" s="440">
        <v>0</v>
      </c>
      <c r="AH11" s="443">
        <v>0</v>
      </c>
      <c r="AI11" s="443">
        <v>0</v>
      </c>
      <c r="AJ11" s="811">
        <f t="shared" si="3"/>
        <v>0</v>
      </c>
      <c r="AK11" s="800">
        <f t="shared" si="4"/>
        <v>809958.375</v>
      </c>
      <c r="AL11" s="800">
        <f t="shared" si="4"/>
        <v>54381.623</v>
      </c>
      <c r="AM11" s="800">
        <f t="shared" si="4"/>
        <v>755576.75199999998</v>
      </c>
      <c r="AN11" s="800">
        <f t="shared" si="4"/>
        <v>27190.811000000002</v>
      </c>
      <c r="AO11" s="192">
        <f t="shared" si="5"/>
        <v>6.7141256487408998E-2</v>
      </c>
      <c r="AP11" s="193">
        <f t="shared" si="6"/>
        <v>1805189.811</v>
      </c>
      <c r="AQ11" s="193">
        <f t="shared" si="9"/>
        <v>-1799351.811</v>
      </c>
      <c r="AR11" s="446"/>
      <c r="AS11" s="394"/>
      <c r="AT11" s="394"/>
      <c r="AU11" s="395"/>
      <c r="AV11" s="806" t="s">
        <v>2484</v>
      </c>
      <c r="AW11" s="800">
        <v>809958375</v>
      </c>
      <c r="AX11" s="807">
        <v>54381623</v>
      </c>
      <c r="AY11" s="807">
        <v>755576752</v>
      </c>
      <c r="AZ11" s="807">
        <v>27190811</v>
      </c>
      <c r="BA11" s="196">
        <f t="shared" si="7"/>
        <v>6.7141256487408998E-2</v>
      </c>
      <c r="BB11" s="210">
        <v>140872</v>
      </c>
      <c r="BC11" s="115">
        <v>15</v>
      </c>
      <c r="BD11" s="236">
        <v>0</v>
      </c>
    </row>
    <row r="12" spans="1:56" s="808" customFormat="1" ht="14.25" customHeight="1">
      <c r="A12" s="792">
        <v>2024</v>
      </c>
      <c r="B12" s="793" t="str">
        <f>+INDEX('①基本情報 '!C:C,MATCH('③経費情報(2024)'!E12,'①基本情報 '!E:E,0))</f>
        <v>009</v>
      </c>
      <c r="C12" s="794" t="str">
        <f>+INDEX('①基本情報 '!B:B,MATCH('③経費情報(2024)'!E12,'①基本情報 '!E:E,0))</f>
        <v>0418</v>
      </c>
      <c r="D12" s="809" t="s">
        <v>2415</v>
      </c>
      <c r="E12" s="616" t="s">
        <v>2631</v>
      </c>
      <c r="F12" s="616" t="str">
        <f>INDEX('①基本情報 '!F:F,MATCH('③経費情報(2024)'!E12,'①基本情報 '!E:E,0))</f>
        <v>健康福祉部</v>
      </c>
      <c r="G12" s="797" t="s">
        <v>140</v>
      </c>
      <c r="H12" s="439">
        <v>40924</v>
      </c>
      <c r="I12" s="440">
        <v>0</v>
      </c>
      <c r="J12" s="443">
        <v>0</v>
      </c>
      <c r="K12" s="811">
        <f t="shared" si="0"/>
        <v>40924</v>
      </c>
      <c r="L12" s="440">
        <v>0</v>
      </c>
      <c r="M12" s="440">
        <v>0</v>
      </c>
      <c r="N12" s="443">
        <v>0</v>
      </c>
      <c r="O12" s="440">
        <v>0</v>
      </c>
      <c r="P12" s="812">
        <v>2.84</v>
      </c>
      <c r="Q12" s="799">
        <v>9119</v>
      </c>
      <c r="R12" s="390">
        <v>0</v>
      </c>
      <c r="S12" s="440"/>
      <c r="T12" s="443">
        <v>62430</v>
      </c>
      <c r="U12" s="444">
        <v>0</v>
      </c>
      <c r="V12" s="440">
        <v>0</v>
      </c>
      <c r="W12" s="811">
        <f t="shared" si="1"/>
        <v>62430</v>
      </c>
      <c r="X12" s="440">
        <v>0</v>
      </c>
      <c r="Y12" s="440">
        <v>0</v>
      </c>
      <c r="Z12" s="444">
        <v>0</v>
      </c>
      <c r="AA12" s="440">
        <v>0</v>
      </c>
      <c r="AB12" s="811"/>
      <c r="AC12" s="440">
        <v>0</v>
      </c>
      <c r="AD12" s="440">
        <v>0</v>
      </c>
      <c r="AE12" s="443">
        <v>0</v>
      </c>
      <c r="AF12" s="445">
        <v>0</v>
      </c>
      <c r="AG12" s="440">
        <v>0</v>
      </c>
      <c r="AH12" s="443">
        <v>0</v>
      </c>
      <c r="AI12" s="443">
        <v>0</v>
      </c>
      <c r="AJ12" s="811"/>
      <c r="AK12" s="800">
        <f t="shared" si="4"/>
        <v>78064.775999999998</v>
      </c>
      <c r="AL12" s="800">
        <f t="shared" si="4"/>
        <v>5241.3670000000002</v>
      </c>
      <c r="AM12" s="800">
        <f t="shared" si="4"/>
        <v>72823.409</v>
      </c>
      <c r="AN12" s="800">
        <f t="shared" si="4"/>
        <v>2620.6840000000002</v>
      </c>
      <c r="AO12" s="192">
        <f t="shared" si="5"/>
        <v>0</v>
      </c>
      <c r="AP12" s="193">
        <f t="shared" si="6"/>
        <v>65050.684000000001</v>
      </c>
      <c r="AQ12" s="193">
        <f t="shared" si="9"/>
        <v>-24126.684000000001</v>
      </c>
      <c r="AR12" s="446"/>
      <c r="AS12" s="394"/>
      <c r="AT12" s="394"/>
      <c r="AU12" s="395"/>
      <c r="AV12" s="806" t="s">
        <v>2484</v>
      </c>
      <c r="AW12" s="800">
        <v>78064776</v>
      </c>
      <c r="AX12" s="807">
        <v>5241367</v>
      </c>
      <c r="AY12" s="807">
        <v>72823409</v>
      </c>
      <c r="AZ12" s="807">
        <v>2620684</v>
      </c>
      <c r="BA12" s="196"/>
      <c r="BB12" s="210"/>
      <c r="BC12" s="115"/>
      <c r="BD12" s="236"/>
    </row>
    <row r="13" spans="1:56" s="808" customFormat="1" ht="14.25" customHeight="1">
      <c r="A13" s="792">
        <v>2024</v>
      </c>
      <c r="B13" s="793" t="str">
        <f>+INDEX('①基本情報 '!C:C,MATCH('③経費情報(2024)'!E13,'①基本情報 '!E:E,0))</f>
        <v>010</v>
      </c>
      <c r="C13" s="794" t="str">
        <f>+INDEX('①基本情報 '!B:B,MATCH('③経費情報(2024)'!E13,'①基本情報 '!E:E,0))</f>
        <v>0416</v>
      </c>
      <c r="D13" s="809" t="s">
        <v>2415</v>
      </c>
      <c r="E13" s="616" t="s">
        <v>2151</v>
      </c>
      <c r="F13" s="616" t="str">
        <f>INDEX('①基本情報 '!F:F,MATCH('③経費情報(2024)'!E13,'①基本情報 '!E:E,0))</f>
        <v>健康福祉部</v>
      </c>
      <c r="G13" s="797" t="s">
        <v>2273</v>
      </c>
      <c r="H13" s="810"/>
      <c r="I13" s="799"/>
      <c r="J13" s="800"/>
      <c r="K13" s="801">
        <f t="shared" si="0"/>
        <v>0</v>
      </c>
      <c r="L13" s="799"/>
      <c r="M13" s="799"/>
      <c r="N13" s="800"/>
      <c r="O13" s="799"/>
      <c r="P13" s="802">
        <v>0.3</v>
      </c>
      <c r="Q13" s="799">
        <v>9119</v>
      </c>
      <c r="R13" s="115"/>
      <c r="S13" s="799">
        <f t="shared" si="8"/>
        <v>2736</v>
      </c>
      <c r="T13" s="800"/>
      <c r="U13" s="803"/>
      <c r="V13" s="799">
        <v>11664</v>
      </c>
      <c r="W13" s="801">
        <f t="shared" si="1"/>
        <v>14400</v>
      </c>
      <c r="X13" s="799"/>
      <c r="Y13" s="799">
        <v>15320</v>
      </c>
      <c r="Z13" s="803"/>
      <c r="AA13" s="799">
        <v>11664</v>
      </c>
      <c r="AB13" s="801">
        <f t="shared" si="2"/>
        <v>26984</v>
      </c>
      <c r="AC13" s="799"/>
      <c r="AD13" s="799"/>
      <c r="AE13" s="800"/>
      <c r="AF13" s="804">
        <v>41</v>
      </c>
      <c r="AG13" s="799">
        <v>17597</v>
      </c>
      <c r="AH13" s="800">
        <v>6758</v>
      </c>
      <c r="AI13" s="800"/>
      <c r="AJ13" s="801">
        <f t="shared" si="3"/>
        <v>24396</v>
      </c>
      <c r="AK13" s="800">
        <f t="shared" si="4"/>
        <v>95015.438999999998</v>
      </c>
      <c r="AL13" s="800">
        <f t="shared" si="4"/>
        <v>6379.4560000000001</v>
      </c>
      <c r="AM13" s="800">
        <f t="shared" si="4"/>
        <v>88635.982999999993</v>
      </c>
      <c r="AN13" s="800">
        <f t="shared" si="4"/>
        <v>3189.7280000000001</v>
      </c>
      <c r="AO13" s="192">
        <f t="shared" si="5"/>
        <v>6.7141256906680186E-2</v>
      </c>
      <c r="AP13" s="193">
        <f t="shared" si="6"/>
        <v>17589.727999999999</v>
      </c>
      <c r="AQ13" s="193">
        <f t="shared" si="9"/>
        <v>-17589.727999999999</v>
      </c>
      <c r="AR13" s="805"/>
      <c r="AS13" s="119" t="s">
        <v>2796</v>
      </c>
      <c r="AT13" s="119" t="s">
        <v>2668</v>
      </c>
      <c r="AU13" s="120"/>
      <c r="AV13" s="806" t="s">
        <v>2484</v>
      </c>
      <c r="AW13" s="800">
        <v>95015439</v>
      </c>
      <c r="AX13" s="807">
        <v>6379456</v>
      </c>
      <c r="AY13" s="807">
        <v>88635983</v>
      </c>
      <c r="AZ13" s="807">
        <v>3189728</v>
      </c>
      <c r="BA13" s="196">
        <f t="shared" si="7"/>
        <v>6.7141256906680186E-2</v>
      </c>
      <c r="BB13" s="210">
        <v>15654</v>
      </c>
      <c r="BC13" s="115">
        <v>0</v>
      </c>
      <c r="BD13" s="236">
        <v>0</v>
      </c>
    </row>
    <row r="14" spans="1:56" s="808" customFormat="1" ht="14.25" customHeight="1">
      <c r="A14" s="792">
        <v>2024</v>
      </c>
      <c r="B14" s="793" t="str">
        <f>+INDEX('①基本情報 '!C:C,MATCH('③経費情報(2024)'!E14,'①基本情報 '!E:E,0))</f>
        <v>011</v>
      </c>
      <c r="C14" s="794" t="str">
        <f>+INDEX('①基本情報 '!B:B,MATCH('③経費情報(2024)'!E14,'①基本情報 '!E:E,0))</f>
        <v>0332</v>
      </c>
      <c r="D14" s="809" t="s">
        <v>2415</v>
      </c>
      <c r="E14" s="616" t="s">
        <v>2163</v>
      </c>
      <c r="F14" s="616" t="str">
        <f>INDEX('①基本情報 '!F:F,MATCH('③経費情報(2024)'!E14,'①基本情報 '!E:E,0))</f>
        <v>教育委員会</v>
      </c>
      <c r="G14" s="797" t="s">
        <v>2621</v>
      </c>
      <c r="H14" s="810"/>
      <c r="I14" s="799"/>
      <c r="J14" s="800"/>
      <c r="K14" s="801">
        <f t="shared" si="0"/>
        <v>0</v>
      </c>
      <c r="L14" s="799"/>
      <c r="M14" s="799"/>
      <c r="N14" s="800"/>
      <c r="O14" s="799"/>
      <c r="P14" s="802">
        <v>15</v>
      </c>
      <c r="Q14" s="799">
        <v>9119</v>
      </c>
      <c r="R14" s="115"/>
      <c r="S14" s="799">
        <f t="shared" si="8"/>
        <v>136785</v>
      </c>
      <c r="T14" s="800"/>
      <c r="U14" s="803"/>
      <c r="V14" s="799">
        <v>30102</v>
      </c>
      <c r="W14" s="801">
        <f t="shared" si="1"/>
        <v>166887</v>
      </c>
      <c r="X14" s="799">
        <v>910</v>
      </c>
      <c r="Y14" s="799">
        <v>36</v>
      </c>
      <c r="Z14" s="803">
        <v>6</v>
      </c>
      <c r="AA14" s="799">
        <v>30102</v>
      </c>
      <c r="AB14" s="801">
        <f t="shared" si="2"/>
        <v>31054</v>
      </c>
      <c r="AC14" s="799">
        <v>2645</v>
      </c>
      <c r="AD14" s="799">
        <v>2444</v>
      </c>
      <c r="AE14" s="800"/>
      <c r="AF14" s="804">
        <v>500</v>
      </c>
      <c r="AG14" s="799">
        <v>21503</v>
      </c>
      <c r="AH14" s="800">
        <v>846</v>
      </c>
      <c r="AI14" s="800">
        <v>3405</v>
      </c>
      <c r="AJ14" s="801">
        <f t="shared" si="3"/>
        <v>31343</v>
      </c>
      <c r="AK14" s="800">
        <f>AW14/1000</f>
        <v>429007.22899999999</v>
      </c>
      <c r="AL14" s="800">
        <f>AX14/1000</f>
        <v>54026.262000000002</v>
      </c>
      <c r="AM14" s="800">
        <f>AY14/1000</f>
        <v>374980.967</v>
      </c>
      <c r="AN14" s="800">
        <f>AZ14/1000</f>
        <v>14213.144</v>
      </c>
      <c r="AO14" s="192">
        <f>BA14</f>
        <v>0.12593322057983317</v>
      </c>
      <c r="AP14" s="193">
        <f t="shared" si="6"/>
        <v>181100.144</v>
      </c>
      <c r="AQ14" s="193">
        <f t="shared" si="9"/>
        <v>-181100.144</v>
      </c>
      <c r="AR14" s="805"/>
      <c r="AS14" s="119"/>
      <c r="AT14" s="119"/>
      <c r="AU14" s="120"/>
      <c r="AV14" s="806" t="s">
        <v>2484</v>
      </c>
      <c r="AW14" s="800">
        <v>429007229</v>
      </c>
      <c r="AX14" s="807">
        <v>54026262</v>
      </c>
      <c r="AY14" s="807">
        <v>374980967</v>
      </c>
      <c r="AZ14" s="807">
        <v>14213144</v>
      </c>
      <c r="BA14" s="196">
        <f t="shared" si="7"/>
        <v>0.12593322057983317</v>
      </c>
      <c r="BB14" s="210">
        <v>33630</v>
      </c>
      <c r="BC14" s="115">
        <v>7469</v>
      </c>
      <c r="BD14" s="236">
        <v>0</v>
      </c>
    </row>
    <row r="15" spans="1:56" s="808" customFormat="1" ht="14.25" customHeight="1">
      <c r="A15" s="792">
        <v>2024</v>
      </c>
      <c r="B15" s="793" t="str">
        <f>+INDEX('①基本情報 '!C:C,MATCH('③経費情報(2024)'!E15,'①基本情報 '!E:E,0))</f>
        <v>012</v>
      </c>
      <c r="C15" s="794" t="str">
        <f>+INDEX('①基本情報 '!B:B,MATCH('③経費情報(2024)'!E15,'①基本情報 '!E:E,0))</f>
        <v>0415</v>
      </c>
      <c r="D15" s="809" t="s">
        <v>2415</v>
      </c>
      <c r="E15" s="616" t="s">
        <v>2428</v>
      </c>
      <c r="F15" s="616" t="str">
        <f>INDEX('①基本情報 '!F:F,MATCH('③経費情報(2024)'!E15,'①基本情報 '!E:E,0))</f>
        <v>市民自治部</v>
      </c>
      <c r="G15" s="813" t="s">
        <v>2523</v>
      </c>
      <c r="H15" s="810"/>
      <c r="I15" s="799"/>
      <c r="J15" s="800"/>
      <c r="K15" s="801">
        <f t="shared" si="0"/>
        <v>0</v>
      </c>
      <c r="L15" s="799"/>
      <c r="M15" s="799"/>
      <c r="N15" s="799"/>
      <c r="O15" s="799"/>
      <c r="P15" s="814">
        <v>0.25</v>
      </c>
      <c r="Q15" s="799">
        <v>9119</v>
      </c>
      <c r="R15" s="799"/>
      <c r="S15" s="799">
        <f t="shared" si="8"/>
        <v>2280</v>
      </c>
      <c r="T15" s="799"/>
      <c r="U15" s="804"/>
      <c r="V15" s="799">
        <v>38928</v>
      </c>
      <c r="W15" s="801">
        <f t="shared" si="1"/>
        <v>41208</v>
      </c>
      <c r="X15" s="799">
        <v>187</v>
      </c>
      <c r="Y15" s="799"/>
      <c r="Z15" s="803">
        <v>34</v>
      </c>
      <c r="AA15" s="799">
        <v>38928</v>
      </c>
      <c r="AB15" s="801">
        <f t="shared" si="2"/>
        <v>39149</v>
      </c>
      <c r="AC15" s="799">
        <v>1470</v>
      </c>
      <c r="AD15" s="799">
        <v>2120</v>
      </c>
      <c r="AE15" s="800">
        <v>0</v>
      </c>
      <c r="AF15" s="804">
        <v>28</v>
      </c>
      <c r="AG15" s="799">
        <v>22768</v>
      </c>
      <c r="AH15" s="800">
        <v>5548</v>
      </c>
      <c r="AI15" s="800">
        <v>6059</v>
      </c>
      <c r="AJ15" s="801">
        <f t="shared" si="3"/>
        <v>37993</v>
      </c>
      <c r="AK15" s="800">
        <f t="shared" ref="AK15:AN19" si="10">AW15/1000</f>
        <v>429588.29599999997</v>
      </c>
      <c r="AL15" s="800">
        <f t="shared" si="10"/>
        <v>188367.198</v>
      </c>
      <c r="AM15" s="800">
        <f t="shared" si="10"/>
        <v>241221.098</v>
      </c>
      <c r="AN15" s="800">
        <f t="shared" si="10"/>
        <v>10068.532999999999</v>
      </c>
      <c r="AO15" s="192">
        <f t="shared" ref="AO15:AO79" si="11">BA15</f>
        <v>0.43848307729501085</v>
      </c>
      <c r="AP15" s="193">
        <f t="shared" si="6"/>
        <v>51276.532999999996</v>
      </c>
      <c r="AQ15" s="193">
        <f t="shared" si="9"/>
        <v>-51276.532999999996</v>
      </c>
      <c r="AR15" s="805"/>
      <c r="AS15" s="119"/>
      <c r="AT15" s="119"/>
      <c r="AU15" s="120"/>
      <c r="AV15" s="806" t="s">
        <v>2484</v>
      </c>
      <c r="AW15" s="800">
        <v>429588296</v>
      </c>
      <c r="AX15" s="807">
        <v>188367198</v>
      </c>
      <c r="AY15" s="807">
        <v>241221098</v>
      </c>
      <c r="AZ15" s="807">
        <v>10068533</v>
      </c>
      <c r="BA15" s="196">
        <f t="shared" si="7"/>
        <v>0.43848307729501085</v>
      </c>
      <c r="BB15" s="210">
        <v>18875</v>
      </c>
      <c r="BC15" s="115">
        <v>3067</v>
      </c>
      <c r="BD15" s="236">
        <v>0</v>
      </c>
    </row>
    <row r="16" spans="1:56" s="808" customFormat="1" ht="14.25" customHeight="1">
      <c r="A16" s="792">
        <v>2024</v>
      </c>
      <c r="B16" s="793" t="str">
        <f>+INDEX('①基本情報 '!C:C,MATCH('③経費情報(2024)'!E16,'①基本情報 '!E:E,0))</f>
        <v>013</v>
      </c>
      <c r="C16" s="794" t="str">
        <f>+INDEX('①基本情報 '!B:B,MATCH('③経費情報(2024)'!E16,'①基本情報 '!E:E,0))</f>
        <v>0338</v>
      </c>
      <c r="D16" s="809" t="s">
        <v>2415</v>
      </c>
      <c r="E16" s="616" t="s">
        <v>155</v>
      </c>
      <c r="F16" s="616" t="str">
        <f>INDEX('①基本情報 '!F:F,MATCH('③経費情報(2024)'!E16,'①基本情報 '!E:E,0))</f>
        <v>市民自治部</v>
      </c>
      <c r="G16" s="797" t="s">
        <v>156</v>
      </c>
      <c r="H16" s="810">
        <v>70</v>
      </c>
      <c r="I16" s="799">
        <v>255</v>
      </c>
      <c r="J16" s="800">
        <v>26</v>
      </c>
      <c r="K16" s="801">
        <f t="shared" si="0"/>
        <v>351</v>
      </c>
      <c r="L16" s="799">
        <v>2586</v>
      </c>
      <c r="M16" s="799">
        <v>20988</v>
      </c>
      <c r="N16" s="800"/>
      <c r="O16" s="799">
        <v>335</v>
      </c>
      <c r="P16" s="802">
        <v>6</v>
      </c>
      <c r="Q16" s="799">
        <v>9119</v>
      </c>
      <c r="R16" s="115">
        <v>22926</v>
      </c>
      <c r="S16" s="799">
        <f t="shared" si="8"/>
        <v>77640</v>
      </c>
      <c r="T16" s="800">
        <v>7773</v>
      </c>
      <c r="U16" s="803">
        <v>3778</v>
      </c>
      <c r="V16" s="800"/>
      <c r="W16" s="801">
        <f t="shared" si="1"/>
        <v>113100</v>
      </c>
      <c r="X16" s="799"/>
      <c r="Y16" s="799"/>
      <c r="Z16" s="803"/>
      <c r="AA16" s="799"/>
      <c r="AB16" s="801">
        <f t="shared" si="2"/>
        <v>0</v>
      </c>
      <c r="AC16" s="799"/>
      <c r="AD16" s="799"/>
      <c r="AE16" s="800"/>
      <c r="AF16" s="804"/>
      <c r="AG16" s="799"/>
      <c r="AH16" s="800"/>
      <c r="AI16" s="800"/>
      <c r="AJ16" s="801">
        <f t="shared" si="3"/>
        <v>0</v>
      </c>
      <c r="AK16" s="800">
        <f t="shared" si="10"/>
        <v>508476.06</v>
      </c>
      <c r="AL16" s="800">
        <f t="shared" si="10"/>
        <v>386079.77100000001</v>
      </c>
      <c r="AM16" s="800">
        <f t="shared" si="10"/>
        <v>122396.289</v>
      </c>
      <c r="AN16" s="800">
        <f t="shared" si="10"/>
        <v>10850.415999999999</v>
      </c>
      <c r="AO16" s="192">
        <f t="shared" si="11"/>
        <v>0.75928800069761393</v>
      </c>
      <c r="AP16" s="193">
        <f t="shared" si="6"/>
        <v>123950.416</v>
      </c>
      <c r="AQ16" s="193">
        <f t="shared" si="9"/>
        <v>-123599.416</v>
      </c>
      <c r="AR16" s="805"/>
      <c r="AS16" s="119"/>
      <c r="AT16" s="119"/>
      <c r="AU16" s="120"/>
      <c r="AV16" s="806"/>
      <c r="AW16" s="800">
        <v>508476060</v>
      </c>
      <c r="AX16" s="807">
        <v>386079771</v>
      </c>
      <c r="AY16" s="807">
        <v>122396289</v>
      </c>
      <c r="AZ16" s="807">
        <v>10850416</v>
      </c>
      <c r="BA16" s="196">
        <f t="shared" si="7"/>
        <v>0.75928800069761393</v>
      </c>
      <c r="BB16" s="210">
        <v>81193</v>
      </c>
      <c r="BC16" s="115">
        <v>35</v>
      </c>
      <c r="BD16" s="236">
        <v>0</v>
      </c>
    </row>
    <row r="17" spans="1:56" s="808" customFormat="1" ht="14.25" customHeight="1">
      <c r="A17" s="792">
        <v>2024</v>
      </c>
      <c r="B17" s="793" t="str">
        <f>+INDEX('①基本情報 '!C:C,MATCH('③経費情報(2024)'!E17,'①基本情報 '!E:E,0))</f>
        <v>014</v>
      </c>
      <c r="C17" s="794" t="str">
        <f>+INDEX('①基本情報 '!B:B,MATCH('③経費情報(2024)'!E17,'①基本情報 '!E:E,0))</f>
        <v>1091</v>
      </c>
      <c r="D17" s="809" t="s">
        <v>2415</v>
      </c>
      <c r="E17" s="616" t="s">
        <v>169</v>
      </c>
      <c r="F17" s="616" t="str">
        <f>INDEX('①基本情報 '!F:F,MATCH('③経費情報(2024)'!E17,'①基本情報 '!E:E,0))</f>
        <v>教育委員会</v>
      </c>
      <c r="G17" s="797" t="s">
        <v>171</v>
      </c>
      <c r="H17" s="810">
        <v>23</v>
      </c>
      <c r="I17" s="799">
        <v>32</v>
      </c>
      <c r="J17" s="800">
        <v>906</v>
      </c>
      <c r="K17" s="801">
        <f t="shared" si="0"/>
        <v>961</v>
      </c>
      <c r="L17" s="799">
        <v>5709</v>
      </c>
      <c r="M17" s="799">
        <v>4945</v>
      </c>
      <c r="N17" s="800"/>
      <c r="O17" s="799">
        <v>621</v>
      </c>
      <c r="P17" s="802">
        <v>9</v>
      </c>
      <c r="Q17" s="799">
        <v>9119</v>
      </c>
      <c r="R17" s="115">
        <v>66890</v>
      </c>
      <c r="S17" s="799">
        <f t="shared" si="8"/>
        <v>148961</v>
      </c>
      <c r="T17" s="800">
        <v>60832</v>
      </c>
      <c r="U17" s="803"/>
      <c r="V17" s="799"/>
      <c r="W17" s="801">
        <f t="shared" si="1"/>
        <v>221068</v>
      </c>
      <c r="X17" s="799"/>
      <c r="Y17" s="799"/>
      <c r="Z17" s="803"/>
      <c r="AA17" s="799"/>
      <c r="AB17" s="801">
        <f t="shared" si="2"/>
        <v>0</v>
      </c>
      <c r="AC17" s="799"/>
      <c r="AD17" s="799"/>
      <c r="AE17" s="800"/>
      <c r="AF17" s="804"/>
      <c r="AG17" s="799"/>
      <c r="AH17" s="800"/>
      <c r="AI17" s="800"/>
      <c r="AJ17" s="801">
        <f t="shared" si="3"/>
        <v>0</v>
      </c>
      <c r="AK17" s="800">
        <f t="shared" si="10"/>
        <v>1519068.2879999999</v>
      </c>
      <c r="AL17" s="800">
        <f t="shared" si="10"/>
        <v>868025.78899999999</v>
      </c>
      <c r="AM17" s="800">
        <f t="shared" si="10"/>
        <v>651042.49899999995</v>
      </c>
      <c r="AN17" s="800">
        <f t="shared" si="10"/>
        <v>35614.567999999999</v>
      </c>
      <c r="AO17" s="192">
        <f t="shared" si="11"/>
        <v>0.57141986035587622</v>
      </c>
      <c r="AP17" s="193">
        <f t="shared" si="6"/>
        <v>256682.568</v>
      </c>
      <c r="AQ17" s="193">
        <f t="shared" si="9"/>
        <v>-255721.568</v>
      </c>
      <c r="AR17" s="805"/>
      <c r="AS17" s="119"/>
      <c r="AT17" s="119"/>
      <c r="AU17" s="120"/>
      <c r="AV17" s="806" t="s">
        <v>2484</v>
      </c>
      <c r="AW17" s="800">
        <v>1519068288</v>
      </c>
      <c r="AX17" s="807">
        <v>868025789</v>
      </c>
      <c r="AY17" s="807">
        <v>651042499</v>
      </c>
      <c r="AZ17" s="807">
        <v>35614568</v>
      </c>
      <c r="BA17" s="196">
        <f t="shared" si="7"/>
        <v>0.57141986035587622</v>
      </c>
      <c r="BB17" s="210">
        <v>169239</v>
      </c>
      <c r="BC17" s="115">
        <v>0</v>
      </c>
      <c r="BD17" s="236">
        <v>0</v>
      </c>
    </row>
    <row r="18" spans="1:56" s="808" customFormat="1" ht="14.25" customHeight="1">
      <c r="A18" s="792">
        <v>2024</v>
      </c>
      <c r="B18" s="793" t="str">
        <f>+INDEX('①基本情報 '!C:C,MATCH('③経費情報(2024)'!E18,'①基本情報 '!E:E,0))</f>
        <v>015</v>
      </c>
      <c r="C18" s="794" t="str">
        <f>+INDEX('①基本情報 '!B:B,MATCH('③経費情報(2024)'!E18,'①基本情報 '!E:E,0))</f>
        <v>1092</v>
      </c>
      <c r="D18" s="809" t="s">
        <v>2415</v>
      </c>
      <c r="E18" s="616" t="s">
        <v>2634</v>
      </c>
      <c r="F18" s="616" t="str">
        <f>INDEX('①基本情報 '!F:F,MATCH('③経費情報(2024)'!E18,'①基本情報 '!E:E,0))</f>
        <v>教育委員会</v>
      </c>
      <c r="G18" s="797" t="s">
        <v>2153</v>
      </c>
      <c r="H18" s="810"/>
      <c r="I18" s="799"/>
      <c r="J18" s="800"/>
      <c r="K18" s="801">
        <f t="shared" si="0"/>
        <v>0</v>
      </c>
      <c r="L18" s="799"/>
      <c r="M18" s="799"/>
      <c r="N18" s="800"/>
      <c r="O18" s="799"/>
      <c r="P18" s="115"/>
      <c r="Q18" s="799">
        <v>9119</v>
      </c>
      <c r="R18" s="115">
        <v>1113</v>
      </c>
      <c r="S18" s="799">
        <f t="shared" si="8"/>
        <v>1113</v>
      </c>
      <c r="T18" s="799">
        <v>1630</v>
      </c>
      <c r="U18" s="803"/>
      <c r="V18" s="799"/>
      <c r="W18" s="801">
        <f t="shared" si="1"/>
        <v>2743</v>
      </c>
      <c r="X18" s="799"/>
      <c r="Y18" s="799"/>
      <c r="Z18" s="803"/>
      <c r="AA18" s="799"/>
      <c r="AB18" s="801">
        <f t="shared" si="2"/>
        <v>0</v>
      </c>
      <c r="AC18" s="799"/>
      <c r="AD18" s="799"/>
      <c r="AE18" s="800"/>
      <c r="AF18" s="804"/>
      <c r="AG18" s="799"/>
      <c r="AH18" s="800"/>
      <c r="AI18" s="800"/>
      <c r="AJ18" s="801">
        <f t="shared" si="3"/>
        <v>0</v>
      </c>
      <c r="AK18" s="800">
        <f t="shared" si="10"/>
        <v>89932.089000000007</v>
      </c>
      <c r="AL18" s="800">
        <f t="shared" si="10"/>
        <v>51388.982000000004</v>
      </c>
      <c r="AM18" s="800">
        <f t="shared" si="10"/>
        <v>38543.107000000004</v>
      </c>
      <c r="AN18" s="800">
        <f t="shared" si="10"/>
        <v>2108.4589999999998</v>
      </c>
      <c r="AO18" s="192">
        <f t="shared" si="11"/>
        <v>0.57141986327038397</v>
      </c>
      <c r="AP18" s="193">
        <f t="shared" si="6"/>
        <v>4851.4589999999998</v>
      </c>
      <c r="AQ18" s="193">
        <f t="shared" si="9"/>
        <v>-4851.4589999999998</v>
      </c>
      <c r="AR18" s="805"/>
      <c r="AS18" s="119"/>
      <c r="AT18" s="119"/>
      <c r="AU18" s="120"/>
      <c r="AV18" s="806" t="s">
        <v>2484</v>
      </c>
      <c r="AW18" s="800">
        <v>89932089</v>
      </c>
      <c r="AX18" s="807">
        <v>51388982</v>
      </c>
      <c r="AY18" s="807">
        <v>38543107</v>
      </c>
      <c r="AZ18" s="807">
        <v>2108459</v>
      </c>
      <c r="BA18" s="196">
        <f t="shared" si="7"/>
        <v>0.57141986327038397</v>
      </c>
      <c r="BB18" s="115"/>
      <c r="BC18" s="115"/>
      <c r="BD18" s="115"/>
    </row>
    <row r="19" spans="1:56" s="808" customFormat="1" ht="14.25" customHeight="1">
      <c r="A19" s="792">
        <v>2024</v>
      </c>
      <c r="B19" s="793" t="str">
        <f>+INDEX('①基本情報 '!C:C,MATCH('③経費情報(2024)'!E19,'①基本情報 '!E:E,0))</f>
        <v>016</v>
      </c>
      <c r="C19" s="794" t="str">
        <f>+INDEX('①基本情報 '!B:B,MATCH('③経費情報(2024)'!E19,'①基本情報 '!E:E,0))</f>
        <v>1098</v>
      </c>
      <c r="D19" s="809" t="s">
        <v>2415</v>
      </c>
      <c r="E19" s="616" t="s">
        <v>2231</v>
      </c>
      <c r="F19" s="616" t="str">
        <f>INDEX('①基本情報 '!F:F,MATCH('③経費情報(2024)'!E19,'①基本情報 '!E:E,0))</f>
        <v>教育委員会</v>
      </c>
      <c r="G19" s="797" t="s">
        <v>171</v>
      </c>
      <c r="H19" s="810"/>
      <c r="I19" s="799"/>
      <c r="J19" s="800"/>
      <c r="K19" s="801">
        <f t="shared" si="0"/>
        <v>0</v>
      </c>
      <c r="L19" s="799">
        <v>512</v>
      </c>
      <c r="M19" s="799">
        <v>298</v>
      </c>
      <c r="N19" s="800"/>
      <c r="O19" s="799">
        <v>219</v>
      </c>
      <c r="P19" s="802">
        <v>0</v>
      </c>
      <c r="Q19" s="799">
        <v>9119</v>
      </c>
      <c r="R19" s="115">
        <v>9821</v>
      </c>
      <c r="S19" s="799">
        <f t="shared" si="8"/>
        <v>9821</v>
      </c>
      <c r="T19" s="800">
        <v>2869</v>
      </c>
      <c r="U19" s="803"/>
      <c r="V19" s="799"/>
      <c r="W19" s="801">
        <f t="shared" si="1"/>
        <v>13719</v>
      </c>
      <c r="X19" s="799"/>
      <c r="Y19" s="799"/>
      <c r="Z19" s="803"/>
      <c r="AA19" s="799"/>
      <c r="AB19" s="801">
        <f t="shared" si="2"/>
        <v>0</v>
      </c>
      <c r="AC19" s="799"/>
      <c r="AD19" s="799"/>
      <c r="AE19" s="800"/>
      <c r="AF19" s="804"/>
      <c r="AG19" s="799"/>
      <c r="AH19" s="800"/>
      <c r="AI19" s="800"/>
      <c r="AJ19" s="801">
        <f t="shared" si="3"/>
        <v>0</v>
      </c>
      <c r="AK19" s="800">
        <f t="shared" si="10"/>
        <v>17476.559000000001</v>
      </c>
      <c r="AL19" s="800">
        <f t="shared" si="10"/>
        <v>1253.1679999999999</v>
      </c>
      <c r="AM19" s="800">
        <f t="shared" si="10"/>
        <v>16223.391</v>
      </c>
      <c r="AN19" s="800">
        <f t="shared" si="10"/>
        <v>359.93200000000002</v>
      </c>
      <c r="AO19" s="192">
        <f t="shared" si="11"/>
        <v>7.1705648692056603E-2</v>
      </c>
      <c r="AP19" s="193">
        <f t="shared" si="6"/>
        <v>14078.932000000001</v>
      </c>
      <c r="AQ19" s="193">
        <f t="shared" si="9"/>
        <v>-14078.932000000001</v>
      </c>
      <c r="AR19" s="805"/>
      <c r="AS19" s="119"/>
      <c r="AT19" s="119"/>
      <c r="AU19" s="120"/>
      <c r="AV19" s="806" t="s">
        <v>2484</v>
      </c>
      <c r="AW19" s="800">
        <v>17476559</v>
      </c>
      <c r="AX19" s="807">
        <v>1253168</v>
      </c>
      <c r="AY19" s="807">
        <v>16223391</v>
      </c>
      <c r="AZ19" s="807">
        <v>359932</v>
      </c>
      <c r="BA19" s="196">
        <f t="shared" si="7"/>
        <v>7.1705648692056603E-2</v>
      </c>
      <c r="BB19" s="210">
        <v>35762</v>
      </c>
      <c r="BC19" s="115">
        <v>0</v>
      </c>
      <c r="BD19" s="236">
        <v>0</v>
      </c>
    </row>
    <row r="20" spans="1:56" s="808" customFormat="1" ht="14.25" customHeight="1">
      <c r="A20" s="792">
        <v>2024</v>
      </c>
      <c r="B20" s="793" t="str">
        <f>+INDEX('①基本情報 '!C:C,MATCH('③経費情報(2024)'!E20,'①基本情報 '!E:E,0))</f>
        <v>017</v>
      </c>
      <c r="C20" s="794" t="str">
        <f>+INDEX('①基本情報 '!B:B,MATCH('③経費情報(2024)'!E20,'①基本情報 '!E:E,0))</f>
        <v>0021</v>
      </c>
      <c r="D20" s="809" t="s">
        <v>2415</v>
      </c>
      <c r="E20" s="616" t="s">
        <v>179</v>
      </c>
      <c r="F20" s="616" t="str">
        <f>INDEX('①基本情報 '!F:F,MATCH('③経費情報(2024)'!E20,'①基本情報 '!E:E,0))</f>
        <v>市民自治部</v>
      </c>
      <c r="G20" s="797" t="s">
        <v>180</v>
      </c>
      <c r="H20" s="810">
        <v>0</v>
      </c>
      <c r="I20" s="800">
        <v>0</v>
      </c>
      <c r="J20" s="800">
        <v>0</v>
      </c>
      <c r="K20" s="801">
        <f t="shared" si="0"/>
        <v>0</v>
      </c>
      <c r="L20" s="800">
        <v>0</v>
      </c>
      <c r="M20" s="799">
        <v>0</v>
      </c>
      <c r="N20" s="800">
        <v>0</v>
      </c>
      <c r="O20" s="799">
        <v>0</v>
      </c>
      <c r="P20" s="814">
        <v>0.85</v>
      </c>
      <c r="Q20" s="799">
        <v>9119</v>
      </c>
      <c r="R20" s="800"/>
      <c r="S20" s="799">
        <f t="shared" si="8"/>
        <v>7751</v>
      </c>
      <c r="T20" s="800"/>
      <c r="U20" s="803"/>
      <c r="V20" s="799">
        <v>7490</v>
      </c>
      <c r="W20" s="801">
        <f t="shared" si="1"/>
        <v>15241</v>
      </c>
      <c r="X20" s="799"/>
      <c r="Y20" s="799">
        <v>21</v>
      </c>
      <c r="Z20" s="803"/>
      <c r="AA20" s="799">
        <v>7490</v>
      </c>
      <c r="AB20" s="801">
        <f t="shared" si="2"/>
        <v>7511</v>
      </c>
      <c r="AC20" s="799"/>
      <c r="AD20" s="799"/>
      <c r="AE20" s="800"/>
      <c r="AF20" s="804">
        <v>67</v>
      </c>
      <c r="AG20" s="799">
        <v>5052</v>
      </c>
      <c r="AH20" s="800">
        <v>840</v>
      </c>
      <c r="AI20" s="800"/>
      <c r="AJ20" s="801">
        <f t="shared" si="3"/>
        <v>5959</v>
      </c>
      <c r="AK20" s="800">
        <f>AW20/1000</f>
        <v>0</v>
      </c>
      <c r="AL20" s="800">
        <f>AX20/1000</f>
        <v>0</v>
      </c>
      <c r="AM20" s="800">
        <f>AY20/1000</f>
        <v>0</v>
      </c>
      <c r="AN20" s="800">
        <f>AZ20/1000</f>
        <v>0</v>
      </c>
      <c r="AO20" s="192" t="e">
        <f t="shared" si="11"/>
        <v>#DIV/0!</v>
      </c>
      <c r="AP20" s="815"/>
      <c r="AQ20" s="193">
        <f t="shared" si="9"/>
        <v>0</v>
      </c>
      <c r="AR20" s="805"/>
      <c r="AS20" s="119"/>
      <c r="AT20" s="119"/>
      <c r="AU20" s="120"/>
      <c r="AV20" s="806"/>
      <c r="AW20" s="800">
        <v>0</v>
      </c>
      <c r="AX20" s="807">
        <v>0</v>
      </c>
      <c r="AY20" s="807">
        <v>0</v>
      </c>
      <c r="AZ20" s="807">
        <v>0</v>
      </c>
      <c r="BA20" s="196" t="e">
        <f t="shared" si="7"/>
        <v>#DIV/0!</v>
      </c>
      <c r="BB20" s="210"/>
      <c r="BC20" s="115"/>
      <c r="BD20" s="236"/>
    </row>
    <row r="21" spans="1:56" s="808" customFormat="1" ht="14.25" customHeight="1">
      <c r="A21" s="792">
        <v>2024</v>
      </c>
      <c r="B21" s="793" t="str">
        <f>+INDEX('①基本情報 '!C:C,MATCH('③経費情報(2024)'!E21,'①基本情報 '!E:E,0))</f>
        <v>018</v>
      </c>
      <c r="C21" s="794" t="str">
        <f>+INDEX('①基本情報 '!B:B,MATCH('③経費情報(2024)'!E21,'①基本情報 '!E:E,0))</f>
        <v>0901</v>
      </c>
      <c r="D21" s="809" t="s">
        <v>2415</v>
      </c>
      <c r="E21" s="616" t="s">
        <v>2057</v>
      </c>
      <c r="F21" s="616" t="str">
        <f>INDEX('①基本情報 '!F:F,MATCH('③経費情報(2024)'!E21,'①基本情報 '!E:E,0))</f>
        <v>消防局</v>
      </c>
      <c r="G21" s="797" t="s">
        <v>2058</v>
      </c>
      <c r="H21" s="816"/>
      <c r="I21" s="817"/>
      <c r="J21" s="817"/>
      <c r="K21" s="801">
        <f t="shared" si="0"/>
        <v>0</v>
      </c>
      <c r="L21" s="799">
        <v>8912</v>
      </c>
      <c r="M21" s="799">
        <v>3412</v>
      </c>
      <c r="N21" s="800"/>
      <c r="O21" s="799">
        <v>446</v>
      </c>
      <c r="P21" s="802"/>
      <c r="Q21" s="799">
        <v>9119</v>
      </c>
      <c r="R21" s="817"/>
      <c r="S21" s="799">
        <f t="shared" si="8"/>
        <v>0</v>
      </c>
      <c r="T21" s="800">
        <v>2309</v>
      </c>
      <c r="U21" s="803"/>
      <c r="V21" s="817"/>
      <c r="W21" s="801">
        <f t="shared" si="1"/>
        <v>15079</v>
      </c>
      <c r="X21" s="818"/>
      <c r="Y21" s="818"/>
      <c r="Z21" s="819"/>
      <c r="AA21" s="818"/>
      <c r="AB21" s="801">
        <f t="shared" si="2"/>
        <v>0</v>
      </c>
      <c r="AC21" s="818"/>
      <c r="AD21" s="818"/>
      <c r="AE21" s="817"/>
      <c r="AF21" s="820"/>
      <c r="AG21" s="818"/>
      <c r="AH21" s="817"/>
      <c r="AI21" s="817"/>
      <c r="AJ21" s="801">
        <f t="shared" si="3"/>
        <v>0</v>
      </c>
      <c r="AK21" s="800">
        <f t="shared" ref="AK21:AN84" si="12">AW21/1000</f>
        <v>990831.76300000004</v>
      </c>
      <c r="AL21" s="800">
        <f t="shared" si="12"/>
        <v>761822.96900000004</v>
      </c>
      <c r="AM21" s="800">
        <f t="shared" si="12"/>
        <v>229008.79399999999</v>
      </c>
      <c r="AN21" s="800">
        <f t="shared" si="12"/>
        <v>13438.657999999999</v>
      </c>
      <c r="AO21" s="192">
        <f t="shared" si="11"/>
        <v>0.76887217128908292</v>
      </c>
      <c r="AP21" s="193">
        <f t="shared" ref="AP21:AP85" si="13">W21+AN21</f>
        <v>28517.657999999999</v>
      </c>
      <c r="AQ21" s="193">
        <f t="shared" si="9"/>
        <v>-28517.657999999999</v>
      </c>
      <c r="AR21" s="821"/>
      <c r="AS21" s="128"/>
      <c r="AT21" s="128"/>
      <c r="AU21" s="129"/>
      <c r="AV21" s="822"/>
      <c r="AW21" s="800">
        <v>990831763</v>
      </c>
      <c r="AX21" s="807">
        <v>761822969</v>
      </c>
      <c r="AY21" s="807">
        <v>229008794</v>
      </c>
      <c r="AZ21" s="807">
        <v>13438658</v>
      </c>
      <c r="BA21" s="196">
        <f t="shared" si="7"/>
        <v>0.76887217128908292</v>
      </c>
      <c r="BB21" s="210"/>
      <c r="BC21" s="115"/>
      <c r="BD21" s="236"/>
    </row>
    <row r="22" spans="1:56" s="808" customFormat="1" ht="14.25" customHeight="1">
      <c r="A22" s="792">
        <v>2024</v>
      </c>
      <c r="B22" s="793" t="str">
        <f>+INDEX('①基本情報 '!C:C,MATCH('③経費情報(2024)'!E22,'①基本情報 '!E:E,0))</f>
        <v>019</v>
      </c>
      <c r="C22" s="794" t="str">
        <f>+INDEX('①基本情報 '!B:B,MATCH('③経費情報(2024)'!E22,'①基本情報 '!E:E,0))</f>
        <v>0902</v>
      </c>
      <c r="D22" s="809" t="s">
        <v>2415</v>
      </c>
      <c r="E22" s="616" t="s">
        <v>197</v>
      </c>
      <c r="F22" s="616" t="str">
        <f>INDEX('①基本情報 '!F:F,MATCH('③経費情報(2024)'!E22,'①基本情報 '!E:E,0))</f>
        <v>消防局</v>
      </c>
      <c r="G22" s="797" t="s">
        <v>2058</v>
      </c>
      <c r="H22" s="816"/>
      <c r="I22" s="817"/>
      <c r="J22" s="817"/>
      <c r="K22" s="801">
        <f t="shared" si="0"/>
        <v>0</v>
      </c>
      <c r="L22" s="799">
        <v>3655</v>
      </c>
      <c r="M22" s="799">
        <v>823</v>
      </c>
      <c r="N22" s="800"/>
      <c r="O22" s="799">
        <v>469</v>
      </c>
      <c r="P22" s="802"/>
      <c r="Q22" s="799">
        <v>9119</v>
      </c>
      <c r="R22" s="817"/>
      <c r="S22" s="799">
        <f t="shared" si="8"/>
        <v>0</v>
      </c>
      <c r="T22" s="800">
        <v>1759</v>
      </c>
      <c r="U22" s="803"/>
      <c r="V22" s="817"/>
      <c r="W22" s="801">
        <f t="shared" si="1"/>
        <v>6706</v>
      </c>
      <c r="X22" s="818"/>
      <c r="Y22" s="818"/>
      <c r="Z22" s="819"/>
      <c r="AA22" s="818"/>
      <c r="AB22" s="801">
        <f t="shared" si="2"/>
        <v>0</v>
      </c>
      <c r="AC22" s="818"/>
      <c r="AD22" s="818"/>
      <c r="AE22" s="817"/>
      <c r="AF22" s="820"/>
      <c r="AG22" s="818"/>
      <c r="AH22" s="817"/>
      <c r="AI22" s="817"/>
      <c r="AJ22" s="801">
        <f t="shared" si="3"/>
        <v>0</v>
      </c>
      <c r="AK22" s="800">
        <f t="shared" si="12"/>
        <v>290921.22100000002</v>
      </c>
      <c r="AL22" s="800">
        <f t="shared" si="12"/>
        <v>200093.5</v>
      </c>
      <c r="AM22" s="800">
        <f t="shared" si="12"/>
        <v>90827.721000000005</v>
      </c>
      <c r="AN22" s="800">
        <f t="shared" si="12"/>
        <v>9678.2129999999997</v>
      </c>
      <c r="AO22" s="192">
        <f t="shared" si="11"/>
        <v>0.68779272722769169</v>
      </c>
      <c r="AP22" s="193">
        <f t="shared" si="13"/>
        <v>16384.213</v>
      </c>
      <c r="AQ22" s="193">
        <f t="shared" si="9"/>
        <v>-16384.213</v>
      </c>
      <c r="AR22" s="821"/>
      <c r="AS22" s="128"/>
      <c r="AT22" s="128"/>
      <c r="AU22" s="129"/>
      <c r="AV22" s="822"/>
      <c r="AW22" s="800">
        <v>290921221</v>
      </c>
      <c r="AX22" s="807">
        <v>200093500</v>
      </c>
      <c r="AY22" s="807">
        <v>90827721</v>
      </c>
      <c r="AZ22" s="807">
        <v>9678213</v>
      </c>
      <c r="BA22" s="196">
        <f t="shared" si="7"/>
        <v>0.68779272722769169</v>
      </c>
      <c r="BB22" s="210"/>
      <c r="BC22" s="115"/>
      <c r="BD22" s="236"/>
    </row>
    <row r="23" spans="1:56" s="808" customFormat="1" ht="14.25" customHeight="1">
      <c r="A23" s="792">
        <v>2024</v>
      </c>
      <c r="B23" s="793" t="str">
        <f>+INDEX('①基本情報 '!C:C,MATCH('③経費情報(2024)'!E23,'①基本情報 '!E:E,0))</f>
        <v>020</v>
      </c>
      <c r="C23" s="794" t="str">
        <f>+INDEX('①基本情報 '!B:B,MATCH('③経費情報(2024)'!E23,'①基本情報 '!E:E,0))</f>
        <v>0903</v>
      </c>
      <c r="D23" s="809" t="s">
        <v>2415</v>
      </c>
      <c r="E23" s="616" t="s">
        <v>2381</v>
      </c>
      <c r="F23" s="616" t="str">
        <f>INDEX('①基本情報 '!F:F,MATCH('③経費情報(2024)'!E23,'①基本情報 '!E:E,0))</f>
        <v>消防局</v>
      </c>
      <c r="G23" s="797" t="s">
        <v>2058</v>
      </c>
      <c r="H23" s="823"/>
      <c r="I23" s="817"/>
      <c r="J23" s="817"/>
      <c r="K23" s="801">
        <f t="shared" si="0"/>
        <v>0</v>
      </c>
      <c r="L23" s="799">
        <v>1273</v>
      </c>
      <c r="M23" s="799">
        <v>27</v>
      </c>
      <c r="N23" s="800"/>
      <c r="O23" s="799">
        <v>284</v>
      </c>
      <c r="P23" s="802"/>
      <c r="Q23" s="799">
        <v>9119</v>
      </c>
      <c r="R23" s="817"/>
      <c r="S23" s="799">
        <f t="shared" si="8"/>
        <v>0</v>
      </c>
      <c r="T23" s="800">
        <v>467</v>
      </c>
      <c r="U23" s="803"/>
      <c r="V23" s="817"/>
      <c r="W23" s="801">
        <f t="shared" si="1"/>
        <v>2051</v>
      </c>
      <c r="X23" s="818"/>
      <c r="Y23" s="818"/>
      <c r="Z23" s="819"/>
      <c r="AA23" s="818"/>
      <c r="AB23" s="801">
        <f t="shared" si="2"/>
        <v>0</v>
      </c>
      <c r="AC23" s="818"/>
      <c r="AD23" s="818"/>
      <c r="AE23" s="817"/>
      <c r="AF23" s="820"/>
      <c r="AG23" s="818"/>
      <c r="AH23" s="817"/>
      <c r="AI23" s="817"/>
      <c r="AJ23" s="801">
        <f t="shared" si="3"/>
        <v>0</v>
      </c>
      <c r="AK23" s="800">
        <f t="shared" si="12"/>
        <v>63509.696000000004</v>
      </c>
      <c r="AL23" s="800">
        <f t="shared" si="12"/>
        <v>44988.832999999999</v>
      </c>
      <c r="AM23" s="800">
        <f t="shared" si="12"/>
        <v>18520.863000000001</v>
      </c>
      <c r="AN23" s="800">
        <f t="shared" si="12"/>
        <v>2289.0349999999999</v>
      </c>
      <c r="AO23" s="192">
        <f t="shared" si="11"/>
        <v>0.7083773948469223</v>
      </c>
      <c r="AP23" s="193">
        <f t="shared" si="13"/>
        <v>4340.0349999999999</v>
      </c>
      <c r="AQ23" s="193">
        <f t="shared" si="9"/>
        <v>-4340.0349999999999</v>
      </c>
      <c r="AR23" s="821"/>
      <c r="AS23" s="128"/>
      <c r="AT23" s="128"/>
      <c r="AU23" s="129"/>
      <c r="AV23" s="822"/>
      <c r="AW23" s="800">
        <v>63509696</v>
      </c>
      <c r="AX23" s="807">
        <v>44988833</v>
      </c>
      <c r="AY23" s="807">
        <v>18520863</v>
      </c>
      <c r="AZ23" s="807">
        <v>2289035</v>
      </c>
      <c r="BA23" s="196">
        <f t="shared" si="7"/>
        <v>0.7083773948469223</v>
      </c>
      <c r="BB23" s="210"/>
      <c r="BC23" s="115"/>
      <c r="BD23" s="236"/>
    </row>
    <row r="24" spans="1:56" s="808" customFormat="1" ht="14.25" customHeight="1">
      <c r="A24" s="792">
        <v>2024</v>
      </c>
      <c r="B24" s="793" t="str">
        <f>+INDEX('①基本情報 '!C:C,MATCH('③経費情報(2024)'!E24,'①基本情報 '!E:E,0))</f>
        <v>021</v>
      </c>
      <c r="C24" s="794" t="str">
        <f>+INDEX('①基本情報 '!B:B,MATCH('③経費情報(2024)'!E24,'①基本情報 '!E:E,0))</f>
        <v>0907</v>
      </c>
      <c r="D24" s="809" t="s">
        <v>2415</v>
      </c>
      <c r="E24" s="616" t="s">
        <v>215</v>
      </c>
      <c r="F24" s="616" t="str">
        <f>INDEX('①基本情報 '!F:F,MATCH('③経費情報(2024)'!E24,'①基本情報 '!E:E,0))</f>
        <v>消防局</v>
      </c>
      <c r="G24" s="797" t="s">
        <v>2058</v>
      </c>
      <c r="H24" s="823"/>
      <c r="I24" s="817"/>
      <c r="J24" s="817"/>
      <c r="K24" s="801">
        <f t="shared" si="0"/>
        <v>0</v>
      </c>
      <c r="L24" s="799">
        <v>1561</v>
      </c>
      <c r="M24" s="799">
        <v>47</v>
      </c>
      <c r="N24" s="800"/>
      <c r="O24" s="799">
        <v>23</v>
      </c>
      <c r="P24" s="802"/>
      <c r="Q24" s="799">
        <v>9119</v>
      </c>
      <c r="R24" s="817"/>
      <c r="S24" s="799">
        <f t="shared" si="8"/>
        <v>0</v>
      </c>
      <c r="T24" s="800">
        <v>737</v>
      </c>
      <c r="U24" s="803"/>
      <c r="V24" s="817"/>
      <c r="W24" s="801">
        <f t="shared" si="1"/>
        <v>2368</v>
      </c>
      <c r="X24" s="818"/>
      <c r="Y24" s="818"/>
      <c r="Z24" s="819"/>
      <c r="AA24" s="818"/>
      <c r="AB24" s="801">
        <f t="shared" si="2"/>
        <v>0</v>
      </c>
      <c r="AC24" s="818"/>
      <c r="AD24" s="818"/>
      <c r="AE24" s="817"/>
      <c r="AF24" s="820"/>
      <c r="AG24" s="818"/>
      <c r="AH24" s="817"/>
      <c r="AI24" s="817"/>
      <c r="AJ24" s="801">
        <f t="shared" si="3"/>
        <v>0</v>
      </c>
      <c r="AK24" s="800">
        <f t="shared" si="12"/>
        <v>173521.587</v>
      </c>
      <c r="AL24" s="800">
        <f t="shared" si="12"/>
        <v>62059.381000000001</v>
      </c>
      <c r="AM24" s="800">
        <f t="shared" si="12"/>
        <v>111462.20600000001</v>
      </c>
      <c r="AN24" s="800">
        <f t="shared" si="12"/>
        <v>2091.2510000000002</v>
      </c>
      <c r="AO24" s="192">
        <f t="shared" si="11"/>
        <v>0.35764645813203633</v>
      </c>
      <c r="AP24" s="193">
        <f t="shared" si="13"/>
        <v>4459.2510000000002</v>
      </c>
      <c r="AQ24" s="193">
        <f t="shared" si="9"/>
        <v>-4459.2510000000002</v>
      </c>
      <c r="AR24" s="821"/>
      <c r="AS24" s="128"/>
      <c r="AT24" s="128"/>
      <c r="AU24" s="129"/>
      <c r="AV24" s="822"/>
      <c r="AW24" s="800">
        <v>173521587</v>
      </c>
      <c r="AX24" s="807">
        <v>62059381</v>
      </c>
      <c r="AY24" s="807">
        <v>111462206</v>
      </c>
      <c r="AZ24" s="807">
        <v>2091251</v>
      </c>
      <c r="BA24" s="196">
        <f t="shared" si="7"/>
        <v>0.35764645813203633</v>
      </c>
      <c r="BB24" s="210"/>
      <c r="BC24" s="115"/>
      <c r="BD24" s="236"/>
    </row>
    <row r="25" spans="1:56" s="808" customFormat="1" ht="14.25" customHeight="1">
      <c r="A25" s="792">
        <v>2024</v>
      </c>
      <c r="B25" s="793" t="str">
        <f>+INDEX('①基本情報 '!C:C,MATCH('③経費情報(2024)'!E25,'①基本情報 '!E:E,0))</f>
        <v>022</v>
      </c>
      <c r="C25" s="794" t="str">
        <f>+INDEX('①基本情報 '!B:B,MATCH('③経費情報(2024)'!E25,'①基本情報 '!E:E,0))</f>
        <v>0906</v>
      </c>
      <c r="D25" s="809" t="s">
        <v>2415</v>
      </c>
      <c r="E25" s="616" t="s">
        <v>205</v>
      </c>
      <c r="F25" s="616" t="str">
        <f>INDEX('①基本情報 '!F:F,MATCH('③経費情報(2024)'!E25,'①基本情報 '!E:E,0))</f>
        <v>消防局</v>
      </c>
      <c r="G25" s="797" t="s">
        <v>2058</v>
      </c>
      <c r="H25" s="823"/>
      <c r="I25" s="817"/>
      <c r="J25" s="817"/>
      <c r="K25" s="801">
        <f t="shared" si="0"/>
        <v>0</v>
      </c>
      <c r="L25" s="799">
        <v>1109</v>
      </c>
      <c r="M25" s="799">
        <v>28</v>
      </c>
      <c r="N25" s="800"/>
      <c r="O25" s="799">
        <v>0</v>
      </c>
      <c r="P25" s="802"/>
      <c r="Q25" s="799">
        <v>9119</v>
      </c>
      <c r="R25" s="817"/>
      <c r="S25" s="799">
        <f t="shared" si="8"/>
        <v>0</v>
      </c>
      <c r="T25" s="800">
        <v>413</v>
      </c>
      <c r="U25" s="803"/>
      <c r="V25" s="817"/>
      <c r="W25" s="801">
        <f t="shared" si="1"/>
        <v>1550</v>
      </c>
      <c r="X25" s="818"/>
      <c r="Y25" s="818"/>
      <c r="Z25" s="819"/>
      <c r="AA25" s="818"/>
      <c r="AB25" s="801">
        <f t="shared" si="2"/>
        <v>0</v>
      </c>
      <c r="AC25" s="818"/>
      <c r="AD25" s="818"/>
      <c r="AE25" s="817"/>
      <c r="AF25" s="820"/>
      <c r="AG25" s="818"/>
      <c r="AH25" s="817"/>
      <c r="AI25" s="817"/>
      <c r="AJ25" s="801">
        <f t="shared" si="3"/>
        <v>0</v>
      </c>
      <c r="AK25" s="800">
        <f t="shared" si="12"/>
        <v>44173.84</v>
      </c>
      <c r="AL25" s="800">
        <f t="shared" si="12"/>
        <v>29756.04</v>
      </c>
      <c r="AM25" s="800">
        <f t="shared" si="12"/>
        <v>14417.8</v>
      </c>
      <c r="AN25" s="800">
        <f t="shared" si="12"/>
        <v>965.97900000000004</v>
      </c>
      <c r="AO25" s="192">
        <f t="shared" si="11"/>
        <v>0.67361225557932025</v>
      </c>
      <c r="AP25" s="193">
        <f t="shared" si="13"/>
        <v>2515.9790000000003</v>
      </c>
      <c r="AQ25" s="193">
        <f t="shared" si="9"/>
        <v>-2515.9790000000003</v>
      </c>
      <c r="AR25" s="821"/>
      <c r="AS25" s="128"/>
      <c r="AT25" s="128"/>
      <c r="AU25" s="129"/>
      <c r="AV25" s="822"/>
      <c r="AW25" s="800">
        <v>44173840</v>
      </c>
      <c r="AX25" s="807">
        <v>29756040</v>
      </c>
      <c r="AY25" s="807">
        <v>14417800</v>
      </c>
      <c r="AZ25" s="807">
        <v>965979</v>
      </c>
      <c r="BA25" s="196">
        <f t="shared" si="7"/>
        <v>0.67361225557932025</v>
      </c>
      <c r="BB25" s="210"/>
      <c r="BC25" s="115"/>
      <c r="BD25" s="236"/>
    </row>
    <row r="26" spans="1:56" s="808" customFormat="1" ht="14.25" customHeight="1">
      <c r="A26" s="792">
        <v>2024</v>
      </c>
      <c r="B26" s="793" t="str">
        <f>+INDEX('①基本情報 '!C:C,MATCH('③経費情報(2024)'!E26,'①基本情報 '!E:E,0))</f>
        <v>023</v>
      </c>
      <c r="C26" s="794" t="str">
        <f>+INDEX('①基本情報 '!B:B,MATCH('③経費情報(2024)'!E26,'①基本情報 '!E:E,0))</f>
        <v>0904</v>
      </c>
      <c r="D26" s="809" t="s">
        <v>2415</v>
      </c>
      <c r="E26" s="616" t="s">
        <v>220</v>
      </c>
      <c r="F26" s="616" t="str">
        <f>INDEX('①基本情報 '!F:F,MATCH('③経費情報(2024)'!E26,'①基本情報 '!E:E,0))</f>
        <v>消防局</v>
      </c>
      <c r="G26" s="797" t="s">
        <v>2058</v>
      </c>
      <c r="H26" s="823"/>
      <c r="I26" s="817"/>
      <c r="J26" s="817"/>
      <c r="K26" s="801">
        <f t="shared" si="0"/>
        <v>0</v>
      </c>
      <c r="L26" s="799">
        <v>1780</v>
      </c>
      <c r="M26" s="799">
        <v>52</v>
      </c>
      <c r="N26" s="800"/>
      <c r="O26" s="799">
        <v>457</v>
      </c>
      <c r="P26" s="802"/>
      <c r="Q26" s="799">
        <v>9119</v>
      </c>
      <c r="R26" s="817"/>
      <c r="S26" s="799">
        <f t="shared" si="8"/>
        <v>0</v>
      </c>
      <c r="T26" s="800">
        <v>693</v>
      </c>
      <c r="U26" s="803"/>
      <c r="V26" s="817"/>
      <c r="W26" s="801">
        <f t="shared" si="1"/>
        <v>2982</v>
      </c>
      <c r="X26" s="818"/>
      <c r="Y26" s="818"/>
      <c r="Z26" s="819"/>
      <c r="AA26" s="818"/>
      <c r="AB26" s="801">
        <f t="shared" si="2"/>
        <v>0</v>
      </c>
      <c r="AC26" s="818"/>
      <c r="AD26" s="818"/>
      <c r="AE26" s="817"/>
      <c r="AF26" s="820"/>
      <c r="AG26" s="818"/>
      <c r="AH26" s="817"/>
      <c r="AI26" s="817"/>
      <c r="AJ26" s="801">
        <f t="shared" si="3"/>
        <v>0</v>
      </c>
      <c r="AK26" s="800">
        <f t="shared" si="12"/>
        <v>108122.963</v>
      </c>
      <c r="AL26" s="800">
        <f t="shared" si="12"/>
        <v>61166.978999999999</v>
      </c>
      <c r="AM26" s="800">
        <f t="shared" si="12"/>
        <v>46955.983999999997</v>
      </c>
      <c r="AN26" s="800">
        <f t="shared" si="12"/>
        <v>2754.36</v>
      </c>
      <c r="AO26" s="192">
        <f t="shared" si="11"/>
        <v>0.56571682187436911</v>
      </c>
      <c r="AP26" s="193">
        <f t="shared" si="13"/>
        <v>5736.3600000000006</v>
      </c>
      <c r="AQ26" s="193">
        <f t="shared" si="9"/>
        <v>-5736.3600000000006</v>
      </c>
      <c r="AR26" s="821"/>
      <c r="AS26" s="128"/>
      <c r="AT26" s="128"/>
      <c r="AU26" s="129"/>
      <c r="AV26" s="822"/>
      <c r="AW26" s="800">
        <v>108122963</v>
      </c>
      <c r="AX26" s="807">
        <v>61166979</v>
      </c>
      <c r="AY26" s="807">
        <v>46955984</v>
      </c>
      <c r="AZ26" s="807">
        <v>2754360</v>
      </c>
      <c r="BA26" s="196">
        <f t="shared" si="7"/>
        <v>0.56571682187436911</v>
      </c>
      <c r="BB26" s="210"/>
      <c r="BC26" s="115"/>
      <c r="BD26" s="236"/>
    </row>
    <row r="27" spans="1:56" s="808" customFormat="1" ht="14.25" customHeight="1">
      <c r="A27" s="792">
        <v>2024</v>
      </c>
      <c r="B27" s="793" t="str">
        <f>+INDEX('①基本情報 '!C:C,MATCH('③経費情報(2024)'!E27,'①基本情報 '!E:E,0))</f>
        <v>024</v>
      </c>
      <c r="C27" s="794" t="str">
        <f>+INDEX('①基本情報 '!B:B,MATCH('③経費情報(2024)'!E27,'①基本情報 '!E:E,0))</f>
        <v>0913</v>
      </c>
      <c r="D27" s="809" t="s">
        <v>2415</v>
      </c>
      <c r="E27" s="616" t="s">
        <v>225</v>
      </c>
      <c r="F27" s="616" t="str">
        <f>INDEX('①基本情報 '!F:F,MATCH('③経費情報(2024)'!E27,'①基本情報 '!E:E,0))</f>
        <v>消防局</v>
      </c>
      <c r="G27" s="797" t="s">
        <v>2058</v>
      </c>
      <c r="H27" s="823"/>
      <c r="I27" s="817"/>
      <c r="J27" s="817"/>
      <c r="K27" s="801">
        <f t="shared" si="0"/>
        <v>0</v>
      </c>
      <c r="L27" s="799">
        <v>48</v>
      </c>
      <c r="M27" s="800"/>
      <c r="N27" s="800"/>
      <c r="O27" s="800"/>
      <c r="P27" s="802"/>
      <c r="Q27" s="799">
        <v>9119</v>
      </c>
      <c r="R27" s="817"/>
      <c r="S27" s="799">
        <f t="shared" si="8"/>
        <v>0</v>
      </c>
      <c r="T27" s="817"/>
      <c r="U27" s="819"/>
      <c r="V27" s="817"/>
      <c r="W27" s="801">
        <f t="shared" si="1"/>
        <v>48</v>
      </c>
      <c r="X27" s="818"/>
      <c r="Y27" s="818"/>
      <c r="Z27" s="819"/>
      <c r="AA27" s="818"/>
      <c r="AB27" s="801">
        <f t="shared" si="2"/>
        <v>0</v>
      </c>
      <c r="AC27" s="818"/>
      <c r="AD27" s="818"/>
      <c r="AE27" s="817"/>
      <c r="AF27" s="820"/>
      <c r="AG27" s="818"/>
      <c r="AH27" s="817"/>
      <c r="AI27" s="817"/>
      <c r="AJ27" s="801">
        <f t="shared" si="3"/>
        <v>0</v>
      </c>
      <c r="AK27" s="800">
        <f t="shared" si="12"/>
        <v>4767.6000000000004</v>
      </c>
      <c r="AL27" s="800">
        <f t="shared" si="12"/>
        <v>1887.96</v>
      </c>
      <c r="AM27" s="800">
        <f t="shared" si="12"/>
        <v>2879.64</v>
      </c>
      <c r="AN27" s="800">
        <f t="shared" si="12"/>
        <v>157.33000000000001</v>
      </c>
      <c r="AO27" s="192">
        <f t="shared" si="11"/>
        <v>0.39599798640825573</v>
      </c>
      <c r="AP27" s="193">
        <f t="shared" si="13"/>
        <v>205.33</v>
      </c>
      <c r="AQ27" s="193">
        <f t="shared" si="9"/>
        <v>-205.33</v>
      </c>
      <c r="AR27" s="821"/>
      <c r="AS27" s="128"/>
      <c r="AT27" s="128"/>
      <c r="AU27" s="129"/>
      <c r="AV27" s="822"/>
      <c r="AW27" s="800">
        <v>4767600</v>
      </c>
      <c r="AX27" s="807">
        <v>1887960</v>
      </c>
      <c r="AY27" s="807">
        <v>2879640</v>
      </c>
      <c r="AZ27" s="807">
        <v>157330</v>
      </c>
      <c r="BA27" s="196">
        <f t="shared" si="7"/>
        <v>0.39599798640825573</v>
      </c>
      <c r="BB27" s="210"/>
      <c r="BC27" s="115"/>
      <c r="BD27" s="236"/>
    </row>
    <row r="28" spans="1:56" s="808" customFormat="1" ht="14.25" customHeight="1">
      <c r="A28" s="792">
        <v>2024</v>
      </c>
      <c r="B28" s="793" t="str">
        <f>+INDEX('①基本情報 '!C:C,MATCH('③経費情報(2024)'!E28,'①基本情報 '!E:E,0))</f>
        <v>025</v>
      </c>
      <c r="C28" s="794" t="str">
        <f>+INDEX('①基本情報 '!B:B,MATCH('③経費情報(2024)'!E28,'①基本情報 '!E:E,0))</f>
        <v>0914</v>
      </c>
      <c r="D28" s="809" t="s">
        <v>2415</v>
      </c>
      <c r="E28" s="616" t="s">
        <v>248</v>
      </c>
      <c r="F28" s="616" t="str">
        <f>INDEX('①基本情報 '!F:F,MATCH('③経費情報(2024)'!E28,'①基本情報 '!E:E,0))</f>
        <v>消防局</v>
      </c>
      <c r="G28" s="797" t="s">
        <v>2058</v>
      </c>
      <c r="H28" s="823"/>
      <c r="I28" s="817"/>
      <c r="J28" s="817"/>
      <c r="K28" s="801">
        <f t="shared" si="0"/>
        <v>0</v>
      </c>
      <c r="L28" s="800">
        <v>0</v>
      </c>
      <c r="M28" s="800"/>
      <c r="N28" s="800"/>
      <c r="O28" s="800"/>
      <c r="P28" s="802"/>
      <c r="Q28" s="799">
        <v>9119</v>
      </c>
      <c r="R28" s="817"/>
      <c r="S28" s="799">
        <f t="shared" si="8"/>
        <v>0</v>
      </c>
      <c r="T28" s="817"/>
      <c r="U28" s="819"/>
      <c r="V28" s="817"/>
      <c r="W28" s="801">
        <f t="shared" si="1"/>
        <v>0</v>
      </c>
      <c r="X28" s="818"/>
      <c r="Y28" s="818"/>
      <c r="Z28" s="819"/>
      <c r="AA28" s="818"/>
      <c r="AB28" s="801">
        <f t="shared" si="2"/>
        <v>0</v>
      </c>
      <c r="AC28" s="818"/>
      <c r="AD28" s="818"/>
      <c r="AE28" s="817"/>
      <c r="AF28" s="820"/>
      <c r="AG28" s="818"/>
      <c r="AH28" s="817"/>
      <c r="AI28" s="817"/>
      <c r="AJ28" s="801">
        <f t="shared" si="3"/>
        <v>0</v>
      </c>
      <c r="AK28" s="800">
        <f t="shared" si="12"/>
        <v>10833.9</v>
      </c>
      <c r="AL28" s="800">
        <f t="shared" si="12"/>
        <v>10833.898999999999</v>
      </c>
      <c r="AM28" s="800">
        <f t="shared" si="12"/>
        <v>1E-3</v>
      </c>
      <c r="AN28" s="800">
        <f t="shared" si="12"/>
        <v>0</v>
      </c>
      <c r="AO28" s="192">
        <f t="shared" si="11"/>
        <v>0.99999990769713587</v>
      </c>
      <c r="AP28" s="193">
        <f t="shared" si="13"/>
        <v>0</v>
      </c>
      <c r="AQ28" s="193">
        <f t="shared" si="9"/>
        <v>0</v>
      </c>
      <c r="AR28" s="821"/>
      <c r="AS28" s="128"/>
      <c r="AT28" s="128"/>
      <c r="AU28" s="129"/>
      <c r="AV28" s="822"/>
      <c r="AW28" s="800">
        <v>10833900</v>
      </c>
      <c r="AX28" s="807">
        <v>10833899</v>
      </c>
      <c r="AY28" s="807">
        <v>1</v>
      </c>
      <c r="AZ28" s="807">
        <v>0</v>
      </c>
      <c r="BA28" s="196">
        <f t="shared" si="7"/>
        <v>0.99999990769713587</v>
      </c>
      <c r="BB28" s="210"/>
      <c r="BC28" s="115"/>
      <c r="BD28" s="236"/>
    </row>
    <row r="29" spans="1:56" s="808" customFormat="1" ht="14.25" customHeight="1">
      <c r="A29" s="792">
        <v>2024</v>
      </c>
      <c r="B29" s="793" t="str">
        <f>+INDEX('①基本情報 '!C:C,MATCH('③経費情報(2024)'!E29,'①基本情報 '!E:E,0))</f>
        <v>026</v>
      </c>
      <c r="C29" s="794" t="str">
        <f>+INDEX('①基本情報 '!B:B,MATCH('③経費情報(2024)'!E29,'①基本情報 '!E:E,0))</f>
        <v>0911</v>
      </c>
      <c r="D29" s="809" t="s">
        <v>2415</v>
      </c>
      <c r="E29" s="616" t="s">
        <v>255</v>
      </c>
      <c r="F29" s="616" t="str">
        <f>INDEX('①基本情報 '!F:F,MATCH('③経費情報(2024)'!E29,'①基本情報 '!E:E,0))</f>
        <v>消防局</v>
      </c>
      <c r="G29" s="797" t="s">
        <v>2058</v>
      </c>
      <c r="H29" s="823"/>
      <c r="I29" s="817"/>
      <c r="J29" s="817"/>
      <c r="K29" s="801">
        <f t="shared" si="0"/>
        <v>0</v>
      </c>
      <c r="L29" s="799">
        <v>45</v>
      </c>
      <c r="M29" s="800"/>
      <c r="N29" s="800"/>
      <c r="O29" s="799"/>
      <c r="P29" s="802"/>
      <c r="Q29" s="799">
        <v>9119</v>
      </c>
      <c r="R29" s="817"/>
      <c r="S29" s="799">
        <f t="shared" si="8"/>
        <v>0</v>
      </c>
      <c r="T29" s="817"/>
      <c r="U29" s="819"/>
      <c r="V29" s="817"/>
      <c r="W29" s="801">
        <f t="shared" si="1"/>
        <v>45</v>
      </c>
      <c r="X29" s="818"/>
      <c r="Y29" s="818"/>
      <c r="Z29" s="819"/>
      <c r="AA29" s="818"/>
      <c r="AB29" s="801">
        <f t="shared" si="2"/>
        <v>0</v>
      </c>
      <c r="AC29" s="818"/>
      <c r="AD29" s="818"/>
      <c r="AE29" s="817"/>
      <c r="AF29" s="820"/>
      <c r="AG29" s="818"/>
      <c r="AH29" s="817"/>
      <c r="AI29" s="817"/>
      <c r="AJ29" s="801">
        <f t="shared" si="3"/>
        <v>0</v>
      </c>
      <c r="AK29" s="800">
        <f t="shared" si="12"/>
        <v>15750</v>
      </c>
      <c r="AL29" s="800">
        <f t="shared" si="12"/>
        <v>8835.75</v>
      </c>
      <c r="AM29" s="800">
        <f t="shared" si="12"/>
        <v>6914.25</v>
      </c>
      <c r="AN29" s="800">
        <f t="shared" si="12"/>
        <v>519.75</v>
      </c>
      <c r="AO29" s="192">
        <f t="shared" si="11"/>
        <v>0.56100000000000005</v>
      </c>
      <c r="AP29" s="193">
        <f t="shared" si="13"/>
        <v>564.75</v>
      </c>
      <c r="AQ29" s="193">
        <f t="shared" si="9"/>
        <v>-564.75</v>
      </c>
      <c r="AR29" s="821"/>
      <c r="AS29" s="128"/>
      <c r="AT29" s="128"/>
      <c r="AU29" s="129"/>
      <c r="AV29" s="822"/>
      <c r="AW29" s="800">
        <v>15750000</v>
      </c>
      <c r="AX29" s="807">
        <v>8835750</v>
      </c>
      <c r="AY29" s="807">
        <v>6914250</v>
      </c>
      <c r="AZ29" s="807">
        <v>519750</v>
      </c>
      <c r="BA29" s="196">
        <f t="shared" si="7"/>
        <v>0.56100000000000005</v>
      </c>
      <c r="BB29" s="210"/>
      <c r="BC29" s="115"/>
      <c r="BD29" s="236"/>
    </row>
    <row r="30" spans="1:56" s="808" customFormat="1" ht="14.25" customHeight="1">
      <c r="A30" s="792">
        <v>2024</v>
      </c>
      <c r="B30" s="793" t="str">
        <f>+INDEX('①基本情報 '!C:C,MATCH('③経費情報(2024)'!E30,'①基本情報 '!E:E,0))</f>
        <v>027</v>
      </c>
      <c r="C30" s="794" t="str">
        <f>+INDEX('①基本情報 '!B:B,MATCH('③経費情報(2024)'!E30,'①基本情報 '!E:E,0))</f>
        <v>0909</v>
      </c>
      <c r="D30" s="809" t="s">
        <v>2415</v>
      </c>
      <c r="E30" s="616" t="s">
        <v>238</v>
      </c>
      <c r="F30" s="616" t="str">
        <f>INDEX('①基本情報 '!F:F,MATCH('③経費情報(2024)'!E30,'①基本情報 '!E:E,0))</f>
        <v>消防局</v>
      </c>
      <c r="G30" s="797" t="s">
        <v>2058</v>
      </c>
      <c r="H30" s="823"/>
      <c r="I30" s="817"/>
      <c r="J30" s="817"/>
      <c r="K30" s="801">
        <f t="shared" si="0"/>
        <v>0</v>
      </c>
      <c r="L30" s="799">
        <v>47</v>
      </c>
      <c r="M30" s="800"/>
      <c r="N30" s="800"/>
      <c r="O30" s="800"/>
      <c r="P30" s="802"/>
      <c r="Q30" s="799">
        <v>9119</v>
      </c>
      <c r="R30" s="817"/>
      <c r="S30" s="799">
        <f t="shared" si="8"/>
        <v>0</v>
      </c>
      <c r="T30" s="817"/>
      <c r="U30" s="819"/>
      <c r="V30" s="817"/>
      <c r="W30" s="801">
        <f t="shared" si="1"/>
        <v>47</v>
      </c>
      <c r="X30" s="818"/>
      <c r="Y30" s="818"/>
      <c r="Z30" s="819"/>
      <c r="AA30" s="818"/>
      <c r="AB30" s="801">
        <f t="shared" si="2"/>
        <v>0</v>
      </c>
      <c r="AC30" s="818"/>
      <c r="AD30" s="818"/>
      <c r="AE30" s="817"/>
      <c r="AF30" s="820"/>
      <c r="AG30" s="818"/>
      <c r="AH30" s="817"/>
      <c r="AI30" s="817"/>
      <c r="AJ30" s="801">
        <f t="shared" si="3"/>
        <v>0</v>
      </c>
      <c r="AK30" s="800">
        <f t="shared" si="12"/>
        <v>29116</v>
      </c>
      <c r="AL30" s="800">
        <f t="shared" si="12"/>
        <v>18081.036</v>
      </c>
      <c r="AM30" s="800">
        <f t="shared" si="12"/>
        <v>11034.964</v>
      </c>
      <c r="AN30" s="800">
        <f t="shared" si="12"/>
        <v>786.13199999999995</v>
      </c>
      <c r="AO30" s="192">
        <f t="shared" si="11"/>
        <v>0.621</v>
      </c>
      <c r="AP30" s="193">
        <f t="shared" si="13"/>
        <v>833.13199999999995</v>
      </c>
      <c r="AQ30" s="193">
        <f t="shared" si="9"/>
        <v>-833.13199999999995</v>
      </c>
      <c r="AR30" s="821"/>
      <c r="AS30" s="128"/>
      <c r="AT30" s="128"/>
      <c r="AU30" s="129"/>
      <c r="AV30" s="822"/>
      <c r="AW30" s="800">
        <v>29116000</v>
      </c>
      <c r="AX30" s="807">
        <v>18081036</v>
      </c>
      <c r="AY30" s="807">
        <v>11034964</v>
      </c>
      <c r="AZ30" s="807">
        <v>786132</v>
      </c>
      <c r="BA30" s="196">
        <f t="shared" si="7"/>
        <v>0.621</v>
      </c>
      <c r="BB30" s="210"/>
      <c r="BC30" s="115"/>
      <c r="BD30" s="236"/>
    </row>
    <row r="31" spans="1:56" s="808" customFormat="1" ht="14.25" customHeight="1">
      <c r="A31" s="792">
        <v>2024</v>
      </c>
      <c r="B31" s="793" t="str">
        <f>+INDEX('①基本情報 '!C:C,MATCH('③経費情報(2024)'!E31,'①基本情報 '!E:E,0))</f>
        <v>028</v>
      </c>
      <c r="C31" s="794" t="str">
        <f>+INDEX('①基本情報 '!B:B,MATCH('③経費情報(2024)'!E31,'①基本情報 '!E:E,0))</f>
        <v>0908</v>
      </c>
      <c r="D31" s="809" t="s">
        <v>2415</v>
      </c>
      <c r="E31" s="616" t="s">
        <v>233</v>
      </c>
      <c r="F31" s="616" t="str">
        <f>INDEX('①基本情報 '!F:F,MATCH('③経費情報(2024)'!E31,'①基本情報 '!E:E,0))</f>
        <v>消防局</v>
      </c>
      <c r="G31" s="797" t="s">
        <v>2058</v>
      </c>
      <c r="H31" s="823"/>
      <c r="I31" s="817"/>
      <c r="J31" s="817"/>
      <c r="K31" s="801">
        <f t="shared" si="0"/>
        <v>0</v>
      </c>
      <c r="L31" s="799">
        <v>66</v>
      </c>
      <c r="M31" s="800"/>
      <c r="N31" s="800"/>
      <c r="O31" s="800"/>
      <c r="P31" s="802"/>
      <c r="Q31" s="799">
        <v>9119</v>
      </c>
      <c r="R31" s="817"/>
      <c r="S31" s="799">
        <f t="shared" si="8"/>
        <v>0</v>
      </c>
      <c r="T31" s="817"/>
      <c r="U31" s="819"/>
      <c r="V31" s="817"/>
      <c r="W31" s="801">
        <f t="shared" si="1"/>
        <v>66</v>
      </c>
      <c r="X31" s="818"/>
      <c r="Y31" s="818"/>
      <c r="Z31" s="819"/>
      <c r="AA31" s="818"/>
      <c r="AB31" s="801">
        <f t="shared" si="2"/>
        <v>0</v>
      </c>
      <c r="AC31" s="818"/>
      <c r="AD31" s="818"/>
      <c r="AE31" s="817"/>
      <c r="AF31" s="820"/>
      <c r="AG31" s="818"/>
      <c r="AH31" s="817"/>
      <c r="AI31" s="817"/>
      <c r="AJ31" s="801">
        <f t="shared" si="3"/>
        <v>0</v>
      </c>
      <c r="AK31" s="800">
        <f t="shared" si="12"/>
        <v>21840</v>
      </c>
      <c r="AL31" s="800">
        <f t="shared" si="12"/>
        <v>14742</v>
      </c>
      <c r="AM31" s="800">
        <f t="shared" si="12"/>
        <v>7098</v>
      </c>
      <c r="AN31" s="800">
        <f t="shared" si="12"/>
        <v>589.67999999999995</v>
      </c>
      <c r="AO31" s="192">
        <f t="shared" si="11"/>
        <v>0.67500000000000004</v>
      </c>
      <c r="AP31" s="193">
        <f t="shared" si="13"/>
        <v>655.68</v>
      </c>
      <c r="AQ31" s="193">
        <f t="shared" si="9"/>
        <v>-655.68</v>
      </c>
      <c r="AR31" s="821"/>
      <c r="AS31" s="128"/>
      <c r="AT31" s="128"/>
      <c r="AU31" s="129"/>
      <c r="AV31" s="822"/>
      <c r="AW31" s="800">
        <v>21840000</v>
      </c>
      <c r="AX31" s="807">
        <v>14742000</v>
      </c>
      <c r="AY31" s="807">
        <v>7098000</v>
      </c>
      <c r="AZ31" s="807">
        <v>589680</v>
      </c>
      <c r="BA31" s="196">
        <f t="shared" si="7"/>
        <v>0.67500000000000004</v>
      </c>
      <c r="BB31" s="210"/>
      <c r="BC31" s="115"/>
      <c r="BD31" s="236"/>
    </row>
    <row r="32" spans="1:56" s="808" customFormat="1" ht="14.25" customHeight="1">
      <c r="A32" s="792">
        <v>2024</v>
      </c>
      <c r="B32" s="793" t="str">
        <f>+INDEX('①基本情報 '!C:C,MATCH('③経費情報(2024)'!E32,'①基本情報 '!E:E,0))</f>
        <v>029</v>
      </c>
      <c r="C32" s="794" t="str">
        <f>+INDEX('①基本情報 '!B:B,MATCH('③経費情報(2024)'!E32,'①基本情報 '!E:E,0))</f>
        <v>0912</v>
      </c>
      <c r="D32" s="809" t="s">
        <v>2415</v>
      </c>
      <c r="E32" s="616" t="s">
        <v>243</v>
      </c>
      <c r="F32" s="616" t="str">
        <f>INDEX('①基本情報 '!F:F,MATCH('③経費情報(2024)'!E32,'①基本情報 '!E:E,0))</f>
        <v>消防局</v>
      </c>
      <c r="G32" s="797" t="s">
        <v>2058</v>
      </c>
      <c r="H32" s="823"/>
      <c r="I32" s="817"/>
      <c r="J32" s="817"/>
      <c r="K32" s="801">
        <f t="shared" si="0"/>
        <v>0</v>
      </c>
      <c r="L32" s="799">
        <v>49</v>
      </c>
      <c r="M32" s="800"/>
      <c r="N32" s="800"/>
      <c r="O32" s="800">
        <v>53</v>
      </c>
      <c r="P32" s="802"/>
      <c r="Q32" s="799">
        <v>9119</v>
      </c>
      <c r="R32" s="817"/>
      <c r="S32" s="799">
        <f t="shared" si="8"/>
        <v>0</v>
      </c>
      <c r="T32" s="817"/>
      <c r="U32" s="819"/>
      <c r="V32" s="817"/>
      <c r="W32" s="801">
        <f t="shared" si="1"/>
        <v>102</v>
      </c>
      <c r="X32" s="824"/>
      <c r="Y32" s="824"/>
      <c r="Z32" s="825"/>
      <c r="AA32" s="824"/>
      <c r="AB32" s="801">
        <f t="shared" si="2"/>
        <v>0</v>
      </c>
      <c r="AC32" s="824"/>
      <c r="AD32" s="824"/>
      <c r="AE32" s="826"/>
      <c r="AF32" s="827"/>
      <c r="AG32" s="824"/>
      <c r="AH32" s="826"/>
      <c r="AI32" s="826"/>
      <c r="AJ32" s="801">
        <f t="shared" si="3"/>
        <v>0</v>
      </c>
      <c r="AK32" s="800">
        <f t="shared" si="12"/>
        <v>14595</v>
      </c>
      <c r="AL32" s="800">
        <f t="shared" si="12"/>
        <v>7224.5249999999996</v>
      </c>
      <c r="AM32" s="800">
        <f t="shared" si="12"/>
        <v>7370.4750000000004</v>
      </c>
      <c r="AN32" s="800">
        <f t="shared" si="12"/>
        <v>481.63499999999999</v>
      </c>
      <c r="AO32" s="192">
        <f t="shared" si="11"/>
        <v>0.495</v>
      </c>
      <c r="AP32" s="193">
        <f t="shared" si="13"/>
        <v>583.63499999999999</v>
      </c>
      <c r="AQ32" s="193">
        <f t="shared" si="9"/>
        <v>-583.63499999999999</v>
      </c>
      <c r="AR32" s="828"/>
      <c r="AS32" s="205"/>
      <c r="AT32" s="205"/>
      <c r="AU32" s="206"/>
      <c r="AV32" s="829"/>
      <c r="AW32" s="800">
        <v>14595000</v>
      </c>
      <c r="AX32" s="807">
        <v>7224525</v>
      </c>
      <c r="AY32" s="807">
        <v>7370475</v>
      </c>
      <c r="AZ32" s="807">
        <v>481635</v>
      </c>
      <c r="BA32" s="196">
        <f t="shared" si="7"/>
        <v>0.495</v>
      </c>
      <c r="BB32" s="210"/>
      <c r="BC32" s="115"/>
      <c r="BD32" s="236"/>
    </row>
    <row r="33" spans="1:56" s="808" customFormat="1" ht="14.25" customHeight="1">
      <c r="A33" s="792">
        <v>2024</v>
      </c>
      <c r="B33" s="793" t="str">
        <f>+INDEX('①基本情報 '!C:C,MATCH('③経費情報(2024)'!E33,'①基本情報 '!E:E,0))</f>
        <v>030</v>
      </c>
      <c r="C33" s="794" t="str">
        <f>+INDEX('①基本情報 '!B:B,MATCH('③経費情報(2024)'!E33,'①基本情報 '!E:E,0))</f>
        <v>0204</v>
      </c>
      <c r="D33" s="809" t="s">
        <v>2415</v>
      </c>
      <c r="E33" s="616" t="s">
        <v>261</v>
      </c>
      <c r="F33" s="616" t="str">
        <f>INDEX('①基本情報 '!F:F,MATCH('③経費情報(2024)'!E33,'①基本情報 '!E:E,0))</f>
        <v>市民自治部</v>
      </c>
      <c r="G33" s="830" t="s">
        <v>180</v>
      </c>
      <c r="H33" s="831"/>
      <c r="I33" s="800"/>
      <c r="J33" s="832"/>
      <c r="K33" s="801">
        <f t="shared" si="0"/>
        <v>0</v>
      </c>
      <c r="L33" s="833">
        <v>250</v>
      </c>
      <c r="M33" s="833">
        <v>28</v>
      </c>
      <c r="N33" s="834"/>
      <c r="O33" s="833">
        <v>99</v>
      </c>
      <c r="P33" s="835">
        <v>2.4E-2</v>
      </c>
      <c r="Q33" s="799">
        <v>9119</v>
      </c>
      <c r="R33" s="834"/>
      <c r="S33" s="799">
        <f t="shared" si="8"/>
        <v>219</v>
      </c>
      <c r="T33" s="834"/>
      <c r="U33" s="836">
        <v>22</v>
      </c>
      <c r="V33" s="833">
        <v>100</v>
      </c>
      <c r="W33" s="801">
        <f t="shared" si="1"/>
        <v>718</v>
      </c>
      <c r="X33" s="833"/>
      <c r="Y33" s="833"/>
      <c r="Z33" s="836"/>
      <c r="AA33" s="833">
        <v>100</v>
      </c>
      <c r="AB33" s="801">
        <f t="shared" si="2"/>
        <v>100</v>
      </c>
      <c r="AC33" s="833"/>
      <c r="AD33" s="833"/>
      <c r="AE33" s="834"/>
      <c r="AF33" s="837">
        <v>152</v>
      </c>
      <c r="AG33" s="833"/>
      <c r="AH33" s="834"/>
      <c r="AI33" s="834">
        <v>121</v>
      </c>
      <c r="AJ33" s="801">
        <f t="shared" si="3"/>
        <v>273</v>
      </c>
      <c r="AK33" s="800">
        <f t="shared" si="12"/>
        <v>45186.3</v>
      </c>
      <c r="AL33" s="800">
        <f t="shared" si="12"/>
        <v>40623.633000000002</v>
      </c>
      <c r="AM33" s="800">
        <f t="shared" si="12"/>
        <v>4562.6670000000004</v>
      </c>
      <c r="AN33" s="800">
        <f t="shared" si="12"/>
        <v>412.49200000000002</v>
      </c>
      <c r="AO33" s="192">
        <f t="shared" si="11"/>
        <v>0.89902543470034058</v>
      </c>
      <c r="AP33" s="193">
        <f t="shared" si="13"/>
        <v>1130.492</v>
      </c>
      <c r="AQ33" s="193">
        <f t="shared" si="9"/>
        <v>-1130.492</v>
      </c>
      <c r="AR33" s="838"/>
      <c r="AS33" s="140"/>
      <c r="AT33" s="140"/>
      <c r="AU33" s="141"/>
      <c r="AV33" s="839"/>
      <c r="AW33" s="800">
        <v>45186300</v>
      </c>
      <c r="AX33" s="807">
        <v>40623633</v>
      </c>
      <c r="AY33" s="807">
        <v>4562667</v>
      </c>
      <c r="AZ33" s="807">
        <v>412492</v>
      </c>
      <c r="BA33" s="196">
        <f t="shared" si="7"/>
        <v>0.89902543470034058</v>
      </c>
      <c r="BB33" s="210">
        <v>4029</v>
      </c>
      <c r="BC33" s="115"/>
      <c r="BD33" s="236">
        <v>1.5000000000000002</v>
      </c>
    </row>
    <row r="34" spans="1:56" s="808" customFormat="1" ht="14.25" customHeight="1">
      <c r="A34" s="792">
        <v>2024</v>
      </c>
      <c r="B34" s="793" t="str">
        <f>+INDEX('①基本情報 '!C:C,MATCH('③経費情報(2024)'!E34,'①基本情報 '!E:E,0))</f>
        <v>031</v>
      </c>
      <c r="C34" s="794" t="str">
        <f>+INDEX('①基本情報 '!B:B,MATCH('③経費情報(2024)'!E34,'①基本情報 '!E:E,0))</f>
        <v>0278</v>
      </c>
      <c r="D34" s="809" t="s">
        <v>2415</v>
      </c>
      <c r="E34" s="616" t="s">
        <v>2737</v>
      </c>
      <c r="F34" s="616" t="str">
        <f>INDEX('①基本情報 '!F:F,MATCH('③経費情報(2024)'!E34,'①基本情報 '!E:E,0))</f>
        <v>市民自治部</v>
      </c>
      <c r="G34" s="830" t="s">
        <v>180</v>
      </c>
      <c r="H34" s="831"/>
      <c r="I34" s="800"/>
      <c r="J34" s="832"/>
      <c r="K34" s="801">
        <f t="shared" si="0"/>
        <v>0</v>
      </c>
      <c r="L34" s="833"/>
      <c r="M34" s="833"/>
      <c r="N34" s="834"/>
      <c r="O34" s="833">
        <v>423</v>
      </c>
      <c r="P34" s="835">
        <v>2.4E-2</v>
      </c>
      <c r="Q34" s="799">
        <v>9119</v>
      </c>
      <c r="R34" s="834"/>
      <c r="S34" s="799">
        <f t="shared" si="8"/>
        <v>219</v>
      </c>
      <c r="T34" s="834">
        <v>380759</v>
      </c>
      <c r="U34" s="836">
        <v>12631</v>
      </c>
      <c r="V34" s="833"/>
      <c r="W34" s="801">
        <f t="shared" si="1"/>
        <v>394032</v>
      </c>
      <c r="X34" s="833"/>
      <c r="Y34" s="833"/>
      <c r="Z34" s="836"/>
      <c r="AA34" s="833"/>
      <c r="AB34" s="801">
        <f t="shared" si="2"/>
        <v>0</v>
      </c>
      <c r="AC34" s="833"/>
      <c r="AD34" s="833"/>
      <c r="AE34" s="834"/>
      <c r="AF34" s="837"/>
      <c r="AG34" s="833"/>
      <c r="AH34" s="834"/>
      <c r="AI34" s="834"/>
      <c r="AJ34" s="801">
        <f t="shared" si="3"/>
        <v>0</v>
      </c>
      <c r="AK34" s="800">
        <f t="shared" si="12"/>
        <v>394453.33100000001</v>
      </c>
      <c r="AL34" s="800">
        <f t="shared" si="12"/>
        <v>0</v>
      </c>
      <c r="AM34" s="800">
        <f t="shared" si="12"/>
        <v>394453.33100000001</v>
      </c>
      <c r="AN34" s="800">
        <f t="shared" si="12"/>
        <v>0</v>
      </c>
      <c r="AO34" s="192">
        <f t="shared" si="11"/>
        <v>0</v>
      </c>
      <c r="AP34" s="193">
        <f t="shared" si="13"/>
        <v>394032</v>
      </c>
      <c r="AQ34" s="193">
        <f t="shared" si="9"/>
        <v>-394032</v>
      </c>
      <c r="AR34" s="838"/>
      <c r="AS34" s="140"/>
      <c r="AT34" s="140"/>
      <c r="AU34" s="141"/>
      <c r="AV34" s="839"/>
      <c r="AW34" s="800">
        <v>394453331</v>
      </c>
      <c r="AX34" s="807">
        <v>0</v>
      </c>
      <c r="AY34" s="807">
        <v>394453331</v>
      </c>
      <c r="AZ34" s="807">
        <v>0</v>
      </c>
      <c r="BA34" s="196">
        <f t="shared" si="7"/>
        <v>0</v>
      </c>
      <c r="BB34" s="210"/>
      <c r="BC34" s="115"/>
      <c r="BD34" s="236"/>
    </row>
    <row r="35" spans="1:56" s="808" customFormat="1" ht="14.25" customHeight="1">
      <c r="A35" s="792">
        <v>2024</v>
      </c>
      <c r="B35" s="793" t="s">
        <v>1966</v>
      </c>
      <c r="C35" s="794" t="s">
        <v>1966</v>
      </c>
      <c r="D35" s="809" t="s">
        <v>2415</v>
      </c>
      <c r="E35" s="616" t="s">
        <v>274</v>
      </c>
      <c r="F35" s="616" t="s">
        <v>2119</v>
      </c>
      <c r="G35" s="797" t="s">
        <v>180</v>
      </c>
      <c r="H35" s="831"/>
      <c r="I35" s="834"/>
      <c r="J35" s="840">
        <v>52</v>
      </c>
      <c r="K35" s="801">
        <f t="shared" si="0"/>
        <v>52</v>
      </c>
      <c r="L35" s="799">
        <v>293</v>
      </c>
      <c r="M35" s="833">
        <v>28</v>
      </c>
      <c r="N35" s="834"/>
      <c r="O35" s="799">
        <v>0</v>
      </c>
      <c r="P35" s="835">
        <v>2.4E-2</v>
      </c>
      <c r="Q35" s="799">
        <v>9119</v>
      </c>
      <c r="R35" s="834"/>
      <c r="S35" s="799">
        <f t="shared" si="8"/>
        <v>219</v>
      </c>
      <c r="T35" s="800"/>
      <c r="U35" s="803">
        <v>22</v>
      </c>
      <c r="V35" s="833">
        <v>100</v>
      </c>
      <c r="W35" s="801">
        <f t="shared" si="1"/>
        <v>662</v>
      </c>
      <c r="X35" s="833"/>
      <c r="Y35" s="833"/>
      <c r="Z35" s="803">
        <v>108</v>
      </c>
      <c r="AA35" s="833">
        <v>100</v>
      </c>
      <c r="AB35" s="801">
        <f t="shared" si="2"/>
        <v>208</v>
      </c>
      <c r="AC35" s="799"/>
      <c r="AD35" s="799">
        <v>54</v>
      </c>
      <c r="AE35" s="800"/>
      <c r="AF35" s="804"/>
      <c r="AG35" s="799">
        <v>52</v>
      </c>
      <c r="AH35" s="800"/>
      <c r="AI35" s="800">
        <v>381</v>
      </c>
      <c r="AJ35" s="801">
        <f t="shared" si="3"/>
        <v>487</v>
      </c>
      <c r="AK35" s="800">
        <f t="shared" si="12"/>
        <v>33622.199999999997</v>
      </c>
      <c r="AL35" s="800">
        <f t="shared" si="12"/>
        <v>32422.167000000001</v>
      </c>
      <c r="AM35" s="800">
        <f t="shared" si="12"/>
        <v>1200.0329999999999</v>
      </c>
      <c r="AN35" s="800">
        <f t="shared" si="12"/>
        <v>88.734999999999999</v>
      </c>
      <c r="AO35" s="192">
        <f t="shared" si="11"/>
        <v>0.96430831414957974</v>
      </c>
      <c r="AP35" s="193">
        <f t="shared" si="13"/>
        <v>750.73500000000001</v>
      </c>
      <c r="AQ35" s="193">
        <f t="shared" si="9"/>
        <v>-698.73500000000001</v>
      </c>
      <c r="AR35" s="805"/>
      <c r="AS35" s="119"/>
      <c r="AT35" s="119"/>
      <c r="AU35" s="120"/>
      <c r="AV35" s="806"/>
      <c r="AW35" s="800">
        <v>33622200</v>
      </c>
      <c r="AX35" s="807">
        <v>32422167</v>
      </c>
      <c r="AY35" s="807">
        <v>1200033</v>
      </c>
      <c r="AZ35" s="807">
        <v>88735</v>
      </c>
      <c r="BA35" s="196">
        <f t="shared" si="7"/>
        <v>0.96430831414957974</v>
      </c>
      <c r="BB35" s="210">
        <v>3080</v>
      </c>
      <c r="BC35" s="115">
        <v>1</v>
      </c>
      <c r="BD35" s="236"/>
    </row>
    <row r="36" spans="1:56" s="808" customFormat="1" ht="14.25" customHeight="1">
      <c r="A36" s="792">
        <v>2024</v>
      </c>
      <c r="B36" s="793" t="s">
        <v>1966</v>
      </c>
      <c r="C36" s="794" t="s">
        <v>1966</v>
      </c>
      <c r="D36" s="809" t="s">
        <v>2415</v>
      </c>
      <c r="E36" s="616" t="s">
        <v>279</v>
      </c>
      <c r="F36" s="616" t="s">
        <v>2119</v>
      </c>
      <c r="G36" s="797" t="s">
        <v>180</v>
      </c>
      <c r="H36" s="831"/>
      <c r="I36" s="834"/>
      <c r="J36" s="840">
        <v>40</v>
      </c>
      <c r="K36" s="801">
        <f t="shared" si="0"/>
        <v>40</v>
      </c>
      <c r="L36" s="799">
        <v>502</v>
      </c>
      <c r="M36" s="833">
        <v>28</v>
      </c>
      <c r="N36" s="834"/>
      <c r="O36" s="799">
        <v>0</v>
      </c>
      <c r="P36" s="835">
        <v>2.4E-2</v>
      </c>
      <c r="Q36" s="799">
        <v>9119</v>
      </c>
      <c r="R36" s="834"/>
      <c r="S36" s="799">
        <f t="shared" si="8"/>
        <v>219</v>
      </c>
      <c r="T36" s="800"/>
      <c r="U36" s="803">
        <v>22</v>
      </c>
      <c r="V36" s="833">
        <v>100</v>
      </c>
      <c r="W36" s="801">
        <f t="shared" si="1"/>
        <v>871</v>
      </c>
      <c r="X36" s="833"/>
      <c r="Y36" s="833"/>
      <c r="Z36" s="803">
        <v>101</v>
      </c>
      <c r="AA36" s="833">
        <v>100</v>
      </c>
      <c r="AB36" s="801">
        <f t="shared" si="2"/>
        <v>201</v>
      </c>
      <c r="AC36" s="799"/>
      <c r="AD36" s="799">
        <v>110</v>
      </c>
      <c r="AE36" s="800"/>
      <c r="AF36" s="804"/>
      <c r="AG36" s="799">
        <v>64</v>
      </c>
      <c r="AH36" s="800"/>
      <c r="AI36" s="800">
        <v>510</v>
      </c>
      <c r="AJ36" s="801">
        <f t="shared" si="3"/>
        <v>684</v>
      </c>
      <c r="AK36" s="800">
        <f t="shared" si="12"/>
        <v>89133.1</v>
      </c>
      <c r="AL36" s="800">
        <f t="shared" si="12"/>
        <v>82792.482000000004</v>
      </c>
      <c r="AM36" s="800">
        <f t="shared" si="12"/>
        <v>6340.6180000000004</v>
      </c>
      <c r="AN36" s="800">
        <f t="shared" si="12"/>
        <v>371.77800000000002</v>
      </c>
      <c r="AO36" s="192">
        <f t="shared" si="11"/>
        <v>0.92886348617965719</v>
      </c>
      <c r="AP36" s="193">
        <f t="shared" si="13"/>
        <v>1242.778</v>
      </c>
      <c r="AQ36" s="193">
        <f t="shared" si="9"/>
        <v>-1202.778</v>
      </c>
      <c r="AR36" s="805"/>
      <c r="AS36" s="119"/>
      <c r="AT36" s="119"/>
      <c r="AU36" s="120"/>
      <c r="AV36" s="806"/>
      <c r="AW36" s="800">
        <v>89133100</v>
      </c>
      <c r="AX36" s="807">
        <v>82792482</v>
      </c>
      <c r="AY36" s="807">
        <v>6340618</v>
      </c>
      <c r="AZ36" s="807">
        <v>371778</v>
      </c>
      <c r="BA36" s="196">
        <f t="shared" si="7"/>
        <v>0.92886348617965719</v>
      </c>
      <c r="BB36" s="210">
        <v>4647</v>
      </c>
      <c r="BC36" s="115"/>
      <c r="BD36" s="236">
        <v>0.9</v>
      </c>
    </row>
    <row r="37" spans="1:56" s="808" customFormat="1" ht="14.25" customHeight="1">
      <c r="A37" s="792">
        <v>2024</v>
      </c>
      <c r="B37" s="793" t="str">
        <f>+INDEX('①基本情報 '!C:C,MATCH('③経費情報(2024)'!E37,'①基本情報 '!E:E,0))</f>
        <v>032</v>
      </c>
      <c r="C37" s="794" t="str">
        <f>+INDEX('①基本情報 '!B:B,MATCH('③経費情報(2024)'!E37,'①基本情報 '!E:E,0))</f>
        <v>0228</v>
      </c>
      <c r="D37" s="809" t="s">
        <v>2415</v>
      </c>
      <c r="E37" s="616" t="s">
        <v>284</v>
      </c>
      <c r="F37" s="616" t="str">
        <f>INDEX('①基本情報 '!F:F,MATCH('③経費情報(2024)'!E37,'①基本情報 '!E:E,0))</f>
        <v>市民自治部</v>
      </c>
      <c r="G37" s="797" t="s">
        <v>180</v>
      </c>
      <c r="H37" s="831"/>
      <c r="I37" s="834"/>
      <c r="J37" s="840"/>
      <c r="K37" s="801">
        <f t="shared" si="0"/>
        <v>0</v>
      </c>
      <c r="L37" s="799">
        <v>151</v>
      </c>
      <c r="M37" s="833">
        <v>28</v>
      </c>
      <c r="N37" s="834"/>
      <c r="O37" s="799">
        <v>0</v>
      </c>
      <c r="P37" s="835">
        <v>2.4E-2</v>
      </c>
      <c r="Q37" s="799">
        <v>9119</v>
      </c>
      <c r="R37" s="834"/>
      <c r="S37" s="799">
        <f t="shared" si="8"/>
        <v>219</v>
      </c>
      <c r="T37" s="800"/>
      <c r="U37" s="803">
        <v>22</v>
      </c>
      <c r="V37" s="833">
        <v>100</v>
      </c>
      <c r="W37" s="801">
        <f t="shared" si="1"/>
        <v>520</v>
      </c>
      <c r="X37" s="833"/>
      <c r="Y37" s="833"/>
      <c r="Z37" s="803"/>
      <c r="AA37" s="833">
        <v>100</v>
      </c>
      <c r="AB37" s="801">
        <f t="shared" si="2"/>
        <v>100</v>
      </c>
      <c r="AC37" s="799"/>
      <c r="AD37" s="799"/>
      <c r="AE37" s="800"/>
      <c r="AF37" s="804"/>
      <c r="AG37" s="799"/>
      <c r="AH37" s="800"/>
      <c r="AI37" s="800">
        <v>116</v>
      </c>
      <c r="AJ37" s="801">
        <f t="shared" si="3"/>
        <v>116</v>
      </c>
      <c r="AK37" s="800">
        <f t="shared" si="12"/>
        <v>48817.7</v>
      </c>
      <c r="AL37" s="800">
        <f t="shared" si="12"/>
        <v>41084.519</v>
      </c>
      <c r="AM37" s="800">
        <f t="shared" si="12"/>
        <v>7733.1809999999996</v>
      </c>
      <c r="AN37" s="800">
        <f t="shared" si="12"/>
        <v>1112.7090000000001</v>
      </c>
      <c r="AO37" s="192">
        <f t="shared" si="11"/>
        <v>0.84159063208631291</v>
      </c>
      <c r="AP37" s="193">
        <f t="shared" si="13"/>
        <v>1632.7090000000001</v>
      </c>
      <c r="AQ37" s="193">
        <f t="shared" si="9"/>
        <v>-1632.7090000000001</v>
      </c>
      <c r="AR37" s="805"/>
      <c r="AS37" s="119"/>
      <c r="AT37" s="119"/>
      <c r="AU37" s="120"/>
      <c r="AV37" s="806"/>
      <c r="AW37" s="800">
        <v>48817700</v>
      </c>
      <c r="AX37" s="807">
        <v>41084519</v>
      </c>
      <c r="AY37" s="807">
        <v>7733181</v>
      </c>
      <c r="AZ37" s="807">
        <v>1112709</v>
      </c>
      <c r="BA37" s="196">
        <f t="shared" si="7"/>
        <v>0.84159063208631291</v>
      </c>
      <c r="BB37" s="210">
        <v>1660</v>
      </c>
      <c r="BC37" s="115"/>
      <c r="BD37" s="236"/>
    </row>
    <row r="38" spans="1:56" s="808" customFormat="1" ht="14.25" customHeight="1">
      <c r="A38" s="792">
        <v>2024</v>
      </c>
      <c r="B38" s="793" t="s">
        <v>1966</v>
      </c>
      <c r="C38" s="794" t="s">
        <v>1966</v>
      </c>
      <c r="D38" s="809" t="s">
        <v>2415</v>
      </c>
      <c r="E38" s="616" t="s">
        <v>291</v>
      </c>
      <c r="F38" s="616" t="s">
        <v>2119</v>
      </c>
      <c r="G38" s="797" t="s">
        <v>2246</v>
      </c>
      <c r="H38" s="841"/>
      <c r="I38" s="800"/>
      <c r="J38" s="807">
        <v>261</v>
      </c>
      <c r="K38" s="801">
        <f t="shared" si="0"/>
        <v>261</v>
      </c>
      <c r="L38" s="799">
        <v>1078</v>
      </c>
      <c r="M38" s="799">
        <v>28</v>
      </c>
      <c r="N38" s="800">
        <v>1698</v>
      </c>
      <c r="O38" s="799">
        <v>80</v>
      </c>
      <c r="P38" s="842">
        <v>2.4E-2</v>
      </c>
      <c r="Q38" s="799">
        <v>9119</v>
      </c>
      <c r="R38" s="800"/>
      <c r="S38" s="799">
        <f t="shared" si="8"/>
        <v>219</v>
      </c>
      <c r="T38" s="800"/>
      <c r="U38" s="803">
        <v>99</v>
      </c>
      <c r="V38" s="800">
        <v>100</v>
      </c>
      <c r="W38" s="801">
        <f t="shared" si="1"/>
        <v>3302</v>
      </c>
      <c r="X38" s="799"/>
      <c r="Y38" s="799"/>
      <c r="Z38" s="799">
        <v>589</v>
      </c>
      <c r="AA38" s="799">
        <v>100</v>
      </c>
      <c r="AB38" s="801">
        <f t="shared" si="2"/>
        <v>689</v>
      </c>
      <c r="AC38" s="799"/>
      <c r="AD38" s="799">
        <v>84</v>
      </c>
      <c r="AE38" s="799"/>
      <c r="AF38" s="799"/>
      <c r="AG38" s="799">
        <v>327</v>
      </c>
      <c r="AH38" s="799"/>
      <c r="AI38" s="799">
        <v>179</v>
      </c>
      <c r="AJ38" s="801">
        <f t="shared" si="3"/>
        <v>590</v>
      </c>
      <c r="AK38" s="800">
        <f t="shared" si="12"/>
        <v>86574.281000000003</v>
      </c>
      <c r="AL38" s="800">
        <f t="shared" si="12"/>
        <v>78056.928</v>
      </c>
      <c r="AM38" s="800">
        <f t="shared" si="12"/>
        <v>8517.3529999999992</v>
      </c>
      <c r="AN38" s="800">
        <f t="shared" si="12"/>
        <v>2058.7159999999999</v>
      </c>
      <c r="AO38" s="192">
        <f t="shared" si="11"/>
        <v>0.90161797589748394</v>
      </c>
      <c r="AP38" s="193">
        <f t="shared" si="13"/>
        <v>5360.7160000000003</v>
      </c>
      <c r="AQ38" s="193">
        <f t="shared" si="9"/>
        <v>-5099.7160000000003</v>
      </c>
      <c r="AR38" s="805"/>
      <c r="AS38" s="119"/>
      <c r="AT38" s="119"/>
      <c r="AU38" s="120"/>
      <c r="AV38" s="843"/>
      <c r="AW38" s="800">
        <v>86574281</v>
      </c>
      <c r="AX38" s="807">
        <v>78056928</v>
      </c>
      <c r="AY38" s="807">
        <v>8517353</v>
      </c>
      <c r="AZ38" s="807">
        <v>2058716</v>
      </c>
      <c r="BA38" s="196">
        <f t="shared" si="7"/>
        <v>0.90161797589748394</v>
      </c>
      <c r="BB38" s="210">
        <v>22590</v>
      </c>
      <c r="BC38" s="115">
        <v>145</v>
      </c>
      <c r="BD38" s="236"/>
    </row>
    <row r="39" spans="1:56" s="808" customFormat="1" ht="14.25" customHeight="1">
      <c r="A39" s="792">
        <v>2024</v>
      </c>
      <c r="B39" s="793" t="s">
        <v>1966</v>
      </c>
      <c r="C39" s="794" t="s">
        <v>1966</v>
      </c>
      <c r="D39" s="809" t="s">
        <v>2415</v>
      </c>
      <c r="E39" s="616" t="s">
        <v>296</v>
      </c>
      <c r="F39" s="616" t="s">
        <v>2119</v>
      </c>
      <c r="G39" s="797" t="s">
        <v>2246</v>
      </c>
      <c r="H39" s="841"/>
      <c r="I39" s="800"/>
      <c r="J39" s="807">
        <v>219</v>
      </c>
      <c r="K39" s="801">
        <f t="shared" si="0"/>
        <v>219</v>
      </c>
      <c r="L39" s="799">
        <v>720</v>
      </c>
      <c r="M39" s="799">
        <v>28</v>
      </c>
      <c r="N39" s="800"/>
      <c r="O39" s="799">
        <v>0</v>
      </c>
      <c r="P39" s="842">
        <v>2.4E-2</v>
      </c>
      <c r="Q39" s="799">
        <v>9119</v>
      </c>
      <c r="R39" s="800"/>
      <c r="S39" s="799">
        <f t="shared" si="8"/>
        <v>219</v>
      </c>
      <c r="T39" s="800"/>
      <c r="U39" s="803">
        <v>22</v>
      </c>
      <c r="V39" s="800">
        <v>100</v>
      </c>
      <c r="W39" s="801">
        <f t="shared" si="1"/>
        <v>1089</v>
      </c>
      <c r="X39" s="799"/>
      <c r="Y39" s="799"/>
      <c r="Z39" s="799">
        <v>465</v>
      </c>
      <c r="AA39" s="799">
        <v>100</v>
      </c>
      <c r="AB39" s="801">
        <f t="shared" si="2"/>
        <v>565</v>
      </c>
      <c r="AC39" s="799"/>
      <c r="AD39" s="799"/>
      <c r="AE39" s="799"/>
      <c r="AF39" s="799"/>
      <c r="AG39" s="799">
        <v>264</v>
      </c>
      <c r="AH39" s="799"/>
      <c r="AI39" s="799">
        <v>162</v>
      </c>
      <c r="AJ39" s="801">
        <f t="shared" si="3"/>
        <v>426</v>
      </c>
      <c r="AK39" s="800">
        <f t="shared" si="12"/>
        <v>82423.199999999997</v>
      </c>
      <c r="AL39" s="800">
        <f t="shared" si="12"/>
        <v>66542.025999999998</v>
      </c>
      <c r="AM39" s="800">
        <f t="shared" si="12"/>
        <v>15881.174000000001</v>
      </c>
      <c r="AN39" s="800">
        <f t="shared" si="12"/>
        <v>1693.19</v>
      </c>
      <c r="AO39" s="192">
        <f t="shared" si="11"/>
        <v>0.80732155509613801</v>
      </c>
      <c r="AP39" s="193">
        <f t="shared" si="13"/>
        <v>2782.19</v>
      </c>
      <c r="AQ39" s="193">
        <f t="shared" si="9"/>
        <v>-2563.19</v>
      </c>
      <c r="AR39" s="805"/>
      <c r="AS39" s="119"/>
      <c r="AT39" s="119"/>
      <c r="AU39" s="120"/>
      <c r="AV39" s="843"/>
      <c r="AW39" s="800">
        <v>82423200</v>
      </c>
      <c r="AX39" s="807">
        <v>66542026</v>
      </c>
      <c r="AY39" s="807">
        <v>15881174</v>
      </c>
      <c r="AZ39" s="807">
        <v>1693190</v>
      </c>
      <c r="BA39" s="196">
        <f t="shared" si="7"/>
        <v>0.80732155509613801</v>
      </c>
      <c r="BB39" s="210">
        <v>18177</v>
      </c>
      <c r="BC39" s="115">
        <v>6</v>
      </c>
      <c r="BD39" s="236"/>
    </row>
    <row r="40" spans="1:56" s="808" customFormat="1" ht="14.25" customHeight="1">
      <c r="A40" s="792">
        <v>2024</v>
      </c>
      <c r="B40" s="793" t="s">
        <v>1966</v>
      </c>
      <c r="C40" s="794" t="s">
        <v>1966</v>
      </c>
      <c r="D40" s="809" t="s">
        <v>2415</v>
      </c>
      <c r="E40" s="616" t="s">
        <v>2165</v>
      </c>
      <c r="F40" s="616" t="s">
        <v>2119</v>
      </c>
      <c r="G40" s="797" t="s">
        <v>2246</v>
      </c>
      <c r="H40" s="841"/>
      <c r="I40" s="800"/>
      <c r="J40" s="807">
        <v>80</v>
      </c>
      <c r="K40" s="801">
        <f t="shared" si="0"/>
        <v>80</v>
      </c>
      <c r="L40" s="799">
        <v>309</v>
      </c>
      <c r="M40" s="799">
        <v>28</v>
      </c>
      <c r="N40" s="800"/>
      <c r="O40" s="799">
        <v>0</v>
      </c>
      <c r="P40" s="842">
        <v>2.4E-2</v>
      </c>
      <c r="Q40" s="799">
        <v>9119</v>
      </c>
      <c r="R40" s="800"/>
      <c r="S40" s="799">
        <f t="shared" si="8"/>
        <v>219</v>
      </c>
      <c r="T40" s="800"/>
      <c r="U40" s="803">
        <v>22</v>
      </c>
      <c r="V40" s="800">
        <v>100</v>
      </c>
      <c r="W40" s="801">
        <f t="shared" si="1"/>
        <v>678</v>
      </c>
      <c r="X40" s="799"/>
      <c r="Y40" s="799"/>
      <c r="Z40" s="799">
        <v>112</v>
      </c>
      <c r="AA40" s="799">
        <v>100</v>
      </c>
      <c r="AB40" s="801">
        <f t="shared" si="2"/>
        <v>212</v>
      </c>
      <c r="AC40" s="799"/>
      <c r="AD40" s="799">
        <v>36</v>
      </c>
      <c r="AE40" s="799"/>
      <c r="AF40" s="799"/>
      <c r="AG40" s="799">
        <v>113</v>
      </c>
      <c r="AH40" s="799"/>
      <c r="AI40" s="799">
        <v>8</v>
      </c>
      <c r="AJ40" s="801">
        <f t="shared" si="3"/>
        <v>157</v>
      </c>
      <c r="AK40" s="800">
        <f t="shared" si="12"/>
        <v>61779.5</v>
      </c>
      <c r="AL40" s="800">
        <f t="shared" si="12"/>
        <v>48171.512000000002</v>
      </c>
      <c r="AM40" s="800">
        <f t="shared" si="12"/>
        <v>13607.987999999999</v>
      </c>
      <c r="AN40" s="800">
        <f t="shared" si="12"/>
        <v>1627.056</v>
      </c>
      <c r="AO40" s="192">
        <f t="shared" si="11"/>
        <v>0.77973295348780747</v>
      </c>
      <c r="AP40" s="193">
        <f t="shared" si="13"/>
        <v>2305.056</v>
      </c>
      <c r="AQ40" s="193">
        <f t="shared" si="9"/>
        <v>-2225.056</v>
      </c>
      <c r="AR40" s="805"/>
      <c r="AS40" s="119"/>
      <c r="AT40" s="119"/>
      <c r="AU40" s="120"/>
      <c r="AV40" s="843"/>
      <c r="AW40" s="800">
        <v>61779500</v>
      </c>
      <c r="AX40" s="807">
        <v>48171512</v>
      </c>
      <c r="AY40" s="807">
        <v>13607988</v>
      </c>
      <c r="AZ40" s="807">
        <v>1627056</v>
      </c>
      <c r="BA40" s="196">
        <f t="shared" si="7"/>
        <v>0.77973295348780747</v>
      </c>
      <c r="BB40" s="210">
        <v>5635</v>
      </c>
      <c r="BC40" s="115">
        <v>2</v>
      </c>
      <c r="BD40" s="236"/>
    </row>
    <row r="41" spans="1:56" s="808" customFormat="1" ht="14.25" customHeight="1">
      <c r="A41" s="792">
        <v>2024</v>
      </c>
      <c r="B41" s="793" t="str">
        <f>+INDEX('①基本情報 '!C:C,MATCH('③経費情報(2024)'!E41,'①基本情報 '!E:E,0))</f>
        <v>033</v>
      </c>
      <c r="C41" s="794" t="str">
        <f>+INDEX('①基本情報 '!B:B,MATCH('③経費情報(2024)'!E41,'①基本情報 '!E:E,0))</f>
        <v>0237</v>
      </c>
      <c r="D41" s="809" t="s">
        <v>2415</v>
      </c>
      <c r="E41" s="616" t="s">
        <v>303</v>
      </c>
      <c r="F41" s="616" t="str">
        <f>INDEX('①基本情報 '!F:F,MATCH('③経費情報(2024)'!E41,'①基本情報 '!E:E,0))</f>
        <v>都市交通部</v>
      </c>
      <c r="G41" s="797" t="s">
        <v>2467</v>
      </c>
      <c r="H41" s="841"/>
      <c r="I41" s="800"/>
      <c r="J41" s="807"/>
      <c r="K41" s="801">
        <f t="shared" si="0"/>
        <v>0</v>
      </c>
      <c r="L41" s="799">
        <v>3436</v>
      </c>
      <c r="M41" s="799">
        <v>50880</v>
      </c>
      <c r="N41" s="800"/>
      <c r="O41" s="799">
        <v>483</v>
      </c>
      <c r="P41" s="842"/>
      <c r="Q41" s="799">
        <v>9119</v>
      </c>
      <c r="R41" s="800"/>
      <c r="S41" s="799">
        <f t="shared" si="8"/>
        <v>0</v>
      </c>
      <c r="T41" s="800">
        <v>93</v>
      </c>
      <c r="U41" s="803"/>
      <c r="V41" s="800"/>
      <c r="W41" s="801">
        <f t="shared" si="1"/>
        <v>54892</v>
      </c>
      <c r="X41" s="799"/>
      <c r="Y41" s="799"/>
      <c r="Z41" s="799"/>
      <c r="AA41" s="799"/>
      <c r="AB41" s="801">
        <f t="shared" si="2"/>
        <v>0</v>
      </c>
      <c r="AC41" s="799"/>
      <c r="AD41" s="799"/>
      <c r="AE41" s="799"/>
      <c r="AF41" s="799"/>
      <c r="AG41" s="799"/>
      <c r="AH41" s="799"/>
      <c r="AI41" s="799"/>
      <c r="AJ41" s="801">
        <f t="shared" si="3"/>
        <v>0</v>
      </c>
      <c r="AK41" s="800">
        <f t="shared" si="12"/>
        <v>118440</v>
      </c>
      <c r="AL41" s="800">
        <f t="shared" si="12"/>
        <v>118439.999</v>
      </c>
      <c r="AM41" s="800">
        <f t="shared" si="12"/>
        <v>1E-3</v>
      </c>
      <c r="AN41" s="800">
        <f t="shared" si="12"/>
        <v>1184.3989999999999</v>
      </c>
      <c r="AO41" s="192">
        <f t="shared" si="11"/>
        <v>0.99999999155690644</v>
      </c>
      <c r="AP41" s="193">
        <f t="shared" si="13"/>
        <v>56076.398999999998</v>
      </c>
      <c r="AQ41" s="193">
        <f t="shared" si="9"/>
        <v>-56076.398999999998</v>
      </c>
      <c r="AR41" s="805"/>
      <c r="AS41" s="119"/>
      <c r="AT41" s="119"/>
      <c r="AU41" s="120"/>
      <c r="AV41" s="843"/>
      <c r="AW41" s="800">
        <v>118440000</v>
      </c>
      <c r="AX41" s="807">
        <v>118439999</v>
      </c>
      <c r="AY41" s="807">
        <v>1</v>
      </c>
      <c r="AZ41" s="807">
        <v>1184399</v>
      </c>
      <c r="BA41" s="196">
        <f t="shared" si="7"/>
        <v>0.99999999155690644</v>
      </c>
      <c r="BB41" s="210">
        <v>135058</v>
      </c>
      <c r="BC41" s="115"/>
      <c r="BD41" s="236"/>
    </row>
    <row r="42" spans="1:56" s="808" customFormat="1" ht="14.25" customHeight="1">
      <c r="A42" s="792">
        <v>2024</v>
      </c>
      <c r="B42" s="793" t="str">
        <f>+INDEX('①基本情報 '!C:C,MATCH('③経費情報(2024)'!E42,'①基本情報 '!E:E,0))</f>
        <v>034</v>
      </c>
      <c r="C42" s="794" t="str">
        <f>+INDEX('①基本情報 '!B:B,MATCH('③経費情報(2024)'!E42,'①基本情報 '!E:E,0))</f>
        <v>0254</v>
      </c>
      <c r="D42" s="809" t="s">
        <v>2415</v>
      </c>
      <c r="E42" s="616" t="s">
        <v>312</v>
      </c>
      <c r="F42" s="616" t="str">
        <f>INDEX('①基本情報 '!F:F,MATCH('③経費情報(2024)'!E42,'①基本情報 '!E:E,0))</f>
        <v>市民自治部</v>
      </c>
      <c r="G42" s="797" t="s">
        <v>180</v>
      </c>
      <c r="H42" s="831"/>
      <c r="I42" s="834"/>
      <c r="J42" s="840">
        <v>122</v>
      </c>
      <c r="K42" s="801">
        <f t="shared" si="0"/>
        <v>122</v>
      </c>
      <c r="L42" s="799">
        <v>775</v>
      </c>
      <c r="M42" s="833">
        <v>28</v>
      </c>
      <c r="N42" s="834">
        <v>1740</v>
      </c>
      <c r="O42" s="799">
        <v>0</v>
      </c>
      <c r="P42" s="835">
        <v>2.4E-2</v>
      </c>
      <c r="Q42" s="799">
        <v>9119</v>
      </c>
      <c r="R42" s="834"/>
      <c r="S42" s="799">
        <f t="shared" si="8"/>
        <v>219</v>
      </c>
      <c r="T42" s="115"/>
      <c r="U42" s="144">
        <v>67</v>
      </c>
      <c r="V42" s="833">
        <v>100</v>
      </c>
      <c r="W42" s="801">
        <f t="shared" si="1"/>
        <v>2929</v>
      </c>
      <c r="X42" s="833"/>
      <c r="Y42" s="833"/>
      <c r="Z42" s="803">
        <v>430</v>
      </c>
      <c r="AA42" s="833">
        <v>100</v>
      </c>
      <c r="AB42" s="801">
        <f t="shared" si="2"/>
        <v>530</v>
      </c>
      <c r="AC42" s="799"/>
      <c r="AD42" s="799">
        <v>134</v>
      </c>
      <c r="AE42" s="800"/>
      <c r="AF42" s="804"/>
      <c r="AG42" s="799">
        <v>245</v>
      </c>
      <c r="AH42" s="800"/>
      <c r="AI42" s="800">
        <v>81</v>
      </c>
      <c r="AJ42" s="801">
        <f t="shared" si="3"/>
        <v>460</v>
      </c>
      <c r="AK42" s="800">
        <f t="shared" si="12"/>
        <v>111794.399</v>
      </c>
      <c r="AL42" s="800">
        <f t="shared" si="12"/>
        <v>83425.043999999994</v>
      </c>
      <c r="AM42" s="800">
        <f t="shared" si="12"/>
        <v>28369.355</v>
      </c>
      <c r="AN42" s="800">
        <f t="shared" si="12"/>
        <v>2468.8560000000002</v>
      </c>
      <c r="AO42" s="192">
        <f t="shared" si="11"/>
        <v>0.74623634767248048</v>
      </c>
      <c r="AP42" s="193">
        <f t="shared" si="13"/>
        <v>5397.8559999999998</v>
      </c>
      <c r="AQ42" s="193">
        <f t="shared" si="9"/>
        <v>-5275.8559999999998</v>
      </c>
      <c r="AR42" s="805"/>
      <c r="AS42" s="119"/>
      <c r="AT42" s="119"/>
      <c r="AU42" s="120"/>
      <c r="AV42" s="806"/>
      <c r="AW42" s="800">
        <v>111794399</v>
      </c>
      <c r="AX42" s="807">
        <v>83425044</v>
      </c>
      <c r="AY42" s="807">
        <v>28369355</v>
      </c>
      <c r="AZ42" s="807">
        <v>2468856</v>
      </c>
      <c r="BA42" s="196">
        <f t="shared" si="7"/>
        <v>0.74623634767248048</v>
      </c>
      <c r="BB42" s="210">
        <v>12628</v>
      </c>
      <c r="BC42" s="115">
        <v>32</v>
      </c>
      <c r="BD42" s="236"/>
    </row>
    <row r="43" spans="1:56" s="808" customFormat="1" ht="14.25" customHeight="1">
      <c r="A43" s="792">
        <v>2024</v>
      </c>
      <c r="B43" s="793" t="str">
        <f>+INDEX('①基本情報 '!C:C,MATCH('③経費情報(2024)'!E43,'①基本情報 '!E:E,0))</f>
        <v>035</v>
      </c>
      <c r="C43" s="794" t="str">
        <f>+INDEX('①基本情報 '!B:B,MATCH('③経費情報(2024)'!E43,'①基本情報 '!E:E,0))</f>
        <v>0255</v>
      </c>
      <c r="D43" s="809" t="s">
        <v>2415</v>
      </c>
      <c r="E43" s="616" t="s">
        <v>319</v>
      </c>
      <c r="F43" s="616" t="str">
        <f>INDEX('①基本情報 '!F:F,MATCH('③経費情報(2024)'!E43,'①基本情報 '!E:E,0))</f>
        <v>市民自治部</v>
      </c>
      <c r="G43" s="797" t="s">
        <v>180</v>
      </c>
      <c r="H43" s="831"/>
      <c r="I43" s="834"/>
      <c r="J43" s="840">
        <v>22</v>
      </c>
      <c r="K43" s="801">
        <f t="shared" si="0"/>
        <v>22</v>
      </c>
      <c r="L43" s="799">
        <v>296</v>
      </c>
      <c r="M43" s="833">
        <v>28</v>
      </c>
      <c r="N43" s="834"/>
      <c r="O43" s="799">
        <v>0</v>
      </c>
      <c r="P43" s="835">
        <v>2.4E-2</v>
      </c>
      <c r="Q43" s="799">
        <v>9119</v>
      </c>
      <c r="R43" s="834"/>
      <c r="S43" s="799">
        <f t="shared" si="8"/>
        <v>219</v>
      </c>
      <c r="T43" s="115"/>
      <c r="U43" s="144">
        <v>30</v>
      </c>
      <c r="V43" s="833">
        <v>100</v>
      </c>
      <c r="W43" s="801">
        <f t="shared" si="1"/>
        <v>673</v>
      </c>
      <c r="X43" s="833"/>
      <c r="Y43" s="833"/>
      <c r="Z43" s="803">
        <v>65</v>
      </c>
      <c r="AA43" s="833">
        <v>100</v>
      </c>
      <c r="AB43" s="801">
        <f t="shared" si="2"/>
        <v>165</v>
      </c>
      <c r="AC43" s="799"/>
      <c r="AD43" s="799">
        <v>62</v>
      </c>
      <c r="AE43" s="800"/>
      <c r="AF43" s="804"/>
      <c r="AG43" s="799">
        <v>24</v>
      </c>
      <c r="AH43" s="800"/>
      <c r="AI43" s="800">
        <v>33</v>
      </c>
      <c r="AJ43" s="801">
        <f t="shared" si="3"/>
        <v>119</v>
      </c>
      <c r="AK43" s="800">
        <f t="shared" si="12"/>
        <v>39086.974999999999</v>
      </c>
      <c r="AL43" s="800">
        <f t="shared" si="12"/>
        <v>30431.360000000001</v>
      </c>
      <c r="AM43" s="800">
        <f t="shared" si="12"/>
        <v>8655.6149999999998</v>
      </c>
      <c r="AN43" s="800">
        <f t="shared" si="12"/>
        <v>1294.7660000000001</v>
      </c>
      <c r="AO43" s="192">
        <f t="shared" si="11"/>
        <v>0.77855500457633264</v>
      </c>
      <c r="AP43" s="193">
        <f t="shared" si="13"/>
        <v>1967.7660000000001</v>
      </c>
      <c r="AQ43" s="193">
        <f t="shared" si="9"/>
        <v>-1945.7660000000001</v>
      </c>
      <c r="AR43" s="805"/>
      <c r="AS43" s="119"/>
      <c r="AT43" s="119"/>
      <c r="AU43" s="120"/>
      <c r="AV43" s="806"/>
      <c r="AW43" s="800">
        <v>39086975</v>
      </c>
      <c r="AX43" s="807">
        <v>30431360</v>
      </c>
      <c r="AY43" s="807">
        <v>8655615</v>
      </c>
      <c r="AZ43" s="807">
        <v>1294766</v>
      </c>
      <c r="BA43" s="196">
        <f t="shared" si="7"/>
        <v>0.77855500457633264</v>
      </c>
      <c r="BB43" s="210">
        <v>2507</v>
      </c>
      <c r="BC43" s="115">
        <v>5</v>
      </c>
      <c r="BD43" s="236"/>
    </row>
    <row r="44" spans="1:56" s="808" customFormat="1" ht="14.25" customHeight="1">
      <c r="A44" s="792">
        <v>2024</v>
      </c>
      <c r="B44" s="793" t="str">
        <f>+INDEX('①基本情報 '!C:C,MATCH('③経費情報(2024)'!E44,'①基本情報 '!E:E,0))</f>
        <v>036</v>
      </c>
      <c r="C44" s="794" t="str">
        <f>+INDEX('①基本情報 '!B:B,MATCH('③経費情報(2024)'!E44,'①基本情報 '!E:E,0))</f>
        <v>0260</v>
      </c>
      <c r="D44" s="809" t="s">
        <v>2415</v>
      </c>
      <c r="E44" s="616" t="s">
        <v>2166</v>
      </c>
      <c r="F44" s="616" t="str">
        <f>INDEX('①基本情報 '!F:F,MATCH('③経費情報(2024)'!E44,'①基本情報 '!E:E,0))</f>
        <v>市民自治部</v>
      </c>
      <c r="G44" s="797" t="s">
        <v>180</v>
      </c>
      <c r="H44" s="831"/>
      <c r="I44" s="834"/>
      <c r="J44" s="840">
        <v>11</v>
      </c>
      <c r="K44" s="801">
        <f t="shared" si="0"/>
        <v>11</v>
      </c>
      <c r="L44" s="799">
        <v>253</v>
      </c>
      <c r="M44" s="833">
        <v>28</v>
      </c>
      <c r="N44" s="834"/>
      <c r="O44" s="799">
        <v>1512</v>
      </c>
      <c r="P44" s="835">
        <v>2.4E-2</v>
      </c>
      <c r="Q44" s="799">
        <v>9119</v>
      </c>
      <c r="R44" s="834"/>
      <c r="S44" s="799">
        <f t="shared" si="8"/>
        <v>219</v>
      </c>
      <c r="T44" s="115"/>
      <c r="U44" s="144">
        <v>22</v>
      </c>
      <c r="V44" s="833">
        <v>100</v>
      </c>
      <c r="W44" s="801">
        <f t="shared" si="1"/>
        <v>2134</v>
      </c>
      <c r="X44" s="833"/>
      <c r="Y44" s="833"/>
      <c r="Z44" s="803">
        <v>6</v>
      </c>
      <c r="AA44" s="833">
        <v>100</v>
      </c>
      <c r="AB44" s="801">
        <f t="shared" si="2"/>
        <v>106</v>
      </c>
      <c r="AC44" s="799"/>
      <c r="AD44" s="799">
        <v>48</v>
      </c>
      <c r="AE44" s="800"/>
      <c r="AF44" s="804"/>
      <c r="AG44" s="799">
        <v>10</v>
      </c>
      <c r="AH44" s="800"/>
      <c r="AI44" s="800">
        <v>112</v>
      </c>
      <c r="AJ44" s="801">
        <f t="shared" si="3"/>
        <v>170</v>
      </c>
      <c r="AK44" s="800">
        <f t="shared" si="12"/>
        <v>47207.273000000001</v>
      </c>
      <c r="AL44" s="800">
        <f t="shared" si="12"/>
        <v>33417.633000000002</v>
      </c>
      <c r="AM44" s="800">
        <f t="shared" si="12"/>
        <v>13789.64</v>
      </c>
      <c r="AN44" s="800">
        <f t="shared" si="12"/>
        <v>933.64700000000005</v>
      </c>
      <c r="AO44" s="192">
        <f t="shared" si="11"/>
        <v>0.70789162085257495</v>
      </c>
      <c r="AP44" s="193">
        <f t="shared" si="13"/>
        <v>3067.6469999999999</v>
      </c>
      <c r="AQ44" s="193">
        <f t="shared" si="9"/>
        <v>-3056.6469999999999</v>
      </c>
      <c r="AR44" s="805"/>
      <c r="AS44" s="119"/>
      <c r="AT44" s="119"/>
      <c r="AU44" s="120"/>
      <c r="AV44" s="806"/>
      <c r="AW44" s="800">
        <v>47207273</v>
      </c>
      <c r="AX44" s="807">
        <v>33417633</v>
      </c>
      <c r="AY44" s="807">
        <v>13789640</v>
      </c>
      <c r="AZ44" s="807">
        <v>933647</v>
      </c>
      <c r="BA44" s="196">
        <f t="shared" si="7"/>
        <v>0.70789162085257495</v>
      </c>
      <c r="BB44" s="210">
        <v>6001</v>
      </c>
      <c r="BC44" s="115">
        <v>2</v>
      </c>
      <c r="BD44" s="236"/>
    </row>
    <row r="45" spans="1:56" s="808" customFormat="1" ht="14.25" customHeight="1">
      <c r="A45" s="792">
        <v>2024</v>
      </c>
      <c r="B45" s="793" t="str">
        <f>+INDEX('①基本情報 '!C:C,MATCH('③経費情報(2024)'!E45,'①基本情報 '!E:E,0))</f>
        <v>037</v>
      </c>
      <c r="C45" s="794" t="str">
        <f>+INDEX('①基本情報 '!B:B,MATCH('③経費情報(2024)'!E45,'①基本情報 '!E:E,0))</f>
        <v>0207</v>
      </c>
      <c r="D45" s="809" t="s">
        <v>2415</v>
      </c>
      <c r="E45" s="616" t="s">
        <v>108</v>
      </c>
      <c r="F45" s="616" t="str">
        <f>INDEX('①基本情報 '!F:F,MATCH('③経費情報(2024)'!E45,'①基本情報 '!E:E,0))</f>
        <v>市民自治部</v>
      </c>
      <c r="G45" s="797" t="s">
        <v>180</v>
      </c>
      <c r="H45" s="831"/>
      <c r="I45" s="834"/>
      <c r="J45" s="840">
        <v>44</v>
      </c>
      <c r="K45" s="801">
        <f t="shared" si="0"/>
        <v>44</v>
      </c>
      <c r="L45" s="800">
        <v>976</v>
      </c>
      <c r="M45" s="833">
        <v>1150</v>
      </c>
      <c r="N45" s="800">
        <v>1701</v>
      </c>
      <c r="O45" s="799">
        <v>80</v>
      </c>
      <c r="P45" s="835">
        <v>2.4E-2</v>
      </c>
      <c r="Q45" s="799">
        <v>9119</v>
      </c>
      <c r="R45" s="834">
        <v>1930</v>
      </c>
      <c r="S45" s="799">
        <f t="shared" si="8"/>
        <v>2149</v>
      </c>
      <c r="T45" s="115"/>
      <c r="U45" s="144">
        <v>75</v>
      </c>
      <c r="V45" s="833">
        <v>100</v>
      </c>
      <c r="W45" s="801">
        <f t="shared" si="1"/>
        <v>6231</v>
      </c>
      <c r="X45" s="833"/>
      <c r="Y45" s="833"/>
      <c r="Z45" s="803"/>
      <c r="AA45" s="833"/>
      <c r="AB45" s="801">
        <f t="shared" si="2"/>
        <v>0</v>
      </c>
      <c r="AC45" s="799"/>
      <c r="AD45" s="799"/>
      <c r="AE45" s="800"/>
      <c r="AF45" s="804"/>
      <c r="AG45" s="799"/>
      <c r="AH45" s="800"/>
      <c r="AI45" s="800"/>
      <c r="AJ45" s="801">
        <f t="shared" si="3"/>
        <v>0</v>
      </c>
      <c r="AK45" s="800">
        <f t="shared" si="12"/>
        <v>151712.46</v>
      </c>
      <c r="AL45" s="800">
        <f t="shared" si="12"/>
        <v>135526.10200000001</v>
      </c>
      <c r="AM45" s="800">
        <f t="shared" si="12"/>
        <v>16186.357</v>
      </c>
      <c r="AN45" s="800">
        <f t="shared" si="12"/>
        <v>485.858</v>
      </c>
      <c r="AO45" s="192">
        <f t="shared" si="11"/>
        <v>0.89330897409481069</v>
      </c>
      <c r="AP45" s="193">
        <f t="shared" si="13"/>
        <v>6716.8580000000002</v>
      </c>
      <c r="AQ45" s="193">
        <f t="shared" si="9"/>
        <v>-6672.8580000000002</v>
      </c>
      <c r="AR45" s="805"/>
      <c r="AS45" s="119"/>
      <c r="AT45" s="119"/>
      <c r="AU45" s="120"/>
      <c r="AV45" s="806" t="s">
        <v>2484</v>
      </c>
      <c r="AW45" s="800">
        <v>151712460</v>
      </c>
      <c r="AX45" s="807">
        <v>135526102</v>
      </c>
      <c r="AY45" s="807">
        <v>16186357</v>
      </c>
      <c r="AZ45" s="807">
        <v>485858</v>
      </c>
      <c r="BA45" s="196">
        <f t="shared" si="7"/>
        <v>0.89330897409481069</v>
      </c>
      <c r="BB45" s="210">
        <v>19909</v>
      </c>
      <c r="BC45" s="115"/>
      <c r="BD45" s="236">
        <v>10.8</v>
      </c>
    </row>
    <row r="46" spans="1:56" s="808" customFormat="1" ht="14.25" customHeight="1">
      <c r="A46" s="792">
        <v>2024</v>
      </c>
      <c r="B46" s="793" t="str">
        <f>+INDEX('①基本情報 '!C:C,MATCH('③経費情報(2024)'!E46,'①基本情報 '!E:E,0))</f>
        <v>038</v>
      </c>
      <c r="C46" s="794" t="str">
        <f>+INDEX('①基本情報 '!B:B,MATCH('③経費情報(2024)'!E46,'①基本情報 '!E:E,0))</f>
        <v>0221</v>
      </c>
      <c r="D46" s="809" t="s">
        <v>2415</v>
      </c>
      <c r="E46" s="616" t="s">
        <v>331</v>
      </c>
      <c r="F46" s="616" t="str">
        <f>INDEX('①基本情報 '!F:F,MATCH('③経費情報(2024)'!E46,'①基本情報 '!E:E,0))</f>
        <v>市民自治部</v>
      </c>
      <c r="G46" s="797" t="s">
        <v>180</v>
      </c>
      <c r="H46" s="831"/>
      <c r="I46" s="834"/>
      <c r="J46" s="840"/>
      <c r="K46" s="801">
        <f t="shared" si="0"/>
        <v>0</v>
      </c>
      <c r="L46" s="799">
        <v>255</v>
      </c>
      <c r="M46" s="833">
        <v>28</v>
      </c>
      <c r="N46" s="115"/>
      <c r="O46" s="799">
        <v>1643</v>
      </c>
      <c r="P46" s="835">
        <v>2.4E-2</v>
      </c>
      <c r="Q46" s="799">
        <v>9119</v>
      </c>
      <c r="R46" s="834"/>
      <c r="S46" s="799">
        <f t="shared" si="8"/>
        <v>219</v>
      </c>
      <c r="T46" s="115"/>
      <c r="U46" s="144">
        <v>22</v>
      </c>
      <c r="V46" s="833">
        <v>100</v>
      </c>
      <c r="W46" s="801">
        <f t="shared" si="1"/>
        <v>2267</v>
      </c>
      <c r="X46" s="833"/>
      <c r="Y46" s="833"/>
      <c r="Z46" s="803"/>
      <c r="AA46" s="833">
        <v>100</v>
      </c>
      <c r="AB46" s="801">
        <f t="shared" si="2"/>
        <v>100</v>
      </c>
      <c r="AC46" s="799"/>
      <c r="AD46" s="799">
        <v>100</v>
      </c>
      <c r="AE46" s="800"/>
      <c r="AF46" s="804"/>
      <c r="AG46" s="799"/>
      <c r="AH46" s="800"/>
      <c r="AI46" s="800"/>
      <c r="AJ46" s="801">
        <f t="shared" si="3"/>
        <v>100</v>
      </c>
      <c r="AK46" s="800">
        <f t="shared" si="12"/>
        <v>36705.199999999997</v>
      </c>
      <c r="AL46" s="800">
        <f t="shared" si="12"/>
        <v>34930.106</v>
      </c>
      <c r="AM46" s="800">
        <f t="shared" si="12"/>
        <v>1775.0940000000001</v>
      </c>
      <c r="AN46" s="800">
        <f t="shared" si="12"/>
        <v>125.816</v>
      </c>
      <c r="AO46" s="192">
        <f t="shared" si="11"/>
        <v>0.95163916829223105</v>
      </c>
      <c r="AP46" s="193">
        <f t="shared" si="13"/>
        <v>2392.8159999999998</v>
      </c>
      <c r="AQ46" s="193">
        <f t="shared" si="9"/>
        <v>-2392.8159999999998</v>
      </c>
      <c r="AR46" s="805"/>
      <c r="AS46" s="119"/>
      <c r="AT46" s="119"/>
      <c r="AU46" s="120"/>
      <c r="AV46" s="806"/>
      <c r="AW46" s="800">
        <v>36705200</v>
      </c>
      <c r="AX46" s="807">
        <v>34930106</v>
      </c>
      <c r="AY46" s="807">
        <v>1775094</v>
      </c>
      <c r="AZ46" s="807">
        <v>125816</v>
      </c>
      <c r="BA46" s="196">
        <f t="shared" si="7"/>
        <v>0.95163916829223105</v>
      </c>
      <c r="BB46" s="210">
        <v>2670</v>
      </c>
      <c r="BC46" s="115">
        <v>4</v>
      </c>
      <c r="BD46" s="236"/>
    </row>
    <row r="47" spans="1:56" s="808" customFormat="1" ht="14.25" customHeight="1">
      <c r="A47" s="792">
        <v>2024</v>
      </c>
      <c r="B47" s="793" t="str">
        <f>+INDEX('①基本情報 '!C:C,MATCH('③経費情報(2024)'!E47,'①基本情報 '!E:E,0))</f>
        <v>039</v>
      </c>
      <c r="C47" s="794" t="str">
        <f>+INDEX('①基本情報 '!B:B,MATCH('③経費情報(2024)'!E47,'①基本情報 '!E:E,0))</f>
        <v>0233</v>
      </c>
      <c r="D47" s="809" t="s">
        <v>2415</v>
      </c>
      <c r="E47" s="616" t="s">
        <v>336</v>
      </c>
      <c r="F47" s="616" t="str">
        <f>INDEX('①基本情報 '!F:F,MATCH('③経費情報(2024)'!E47,'①基本情報 '!E:E,0))</f>
        <v>市民自治部</v>
      </c>
      <c r="G47" s="797" t="s">
        <v>180</v>
      </c>
      <c r="H47" s="831"/>
      <c r="I47" s="834"/>
      <c r="J47" s="840">
        <v>21</v>
      </c>
      <c r="K47" s="801">
        <f t="shared" si="0"/>
        <v>21</v>
      </c>
      <c r="L47" s="799">
        <v>757</v>
      </c>
      <c r="M47" s="833">
        <v>28</v>
      </c>
      <c r="N47" s="115"/>
      <c r="O47" s="799">
        <v>1432</v>
      </c>
      <c r="P47" s="835">
        <v>2.4E-2</v>
      </c>
      <c r="Q47" s="799">
        <v>9119</v>
      </c>
      <c r="R47" s="834"/>
      <c r="S47" s="799">
        <f t="shared" si="8"/>
        <v>219</v>
      </c>
      <c r="T47" s="115"/>
      <c r="U47" s="144">
        <v>22</v>
      </c>
      <c r="V47" s="833">
        <v>100</v>
      </c>
      <c r="W47" s="801">
        <f t="shared" si="1"/>
        <v>2558</v>
      </c>
      <c r="X47" s="833"/>
      <c r="Y47" s="833"/>
      <c r="Z47" s="803">
        <v>197</v>
      </c>
      <c r="AA47" s="833">
        <v>100</v>
      </c>
      <c r="AB47" s="801">
        <f t="shared" si="2"/>
        <v>297</v>
      </c>
      <c r="AC47" s="799"/>
      <c r="AD47" s="799">
        <v>147</v>
      </c>
      <c r="AE47" s="800"/>
      <c r="AF47" s="804"/>
      <c r="AG47" s="799">
        <v>128</v>
      </c>
      <c r="AH47" s="800"/>
      <c r="AI47" s="800">
        <v>10</v>
      </c>
      <c r="AJ47" s="801">
        <f t="shared" si="3"/>
        <v>285</v>
      </c>
      <c r="AK47" s="800">
        <f t="shared" si="12"/>
        <v>81048.448999999993</v>
      </c>
      <c r="AL47" s="800">
        <f t="shared" si="12"/>
        <v>70570.808000000005</v>
      </c>
      <c r="AM47" s="800">
        <f t="shared" si="12"/>
        <v>10477.641</v>
      </c>
      <c r="AN47" s="800">
        <f t="shared" si="12"/>
        <v>1944.1669999999999</v>
      </c>
      <c r="AO47" s="192">
        <f t="shared" si="11"/>
        <v>0.87072373217160515</v>
      </c>
      <c r="AP47" s="193">
        <f t="shared" si="13"/>
        <v>4502.1669999999995</v>
      </c>
      <c r="AQ47" s="193">
        <f t="shared" si="9"/>
        <v>-4481.1669999999995</v>
      </c>
      <c r="AR47" s="805"/>
      <c r="AS47" s="119"/>
      <c r="AT47" s="119"/>
      <c r="AU47" s="120"/>
      <c r="AV47" s="806"/>
      <c r="AW47" s="800">
        <v>81048449</v>
      </c>
      <c r="AX47" s="807">
        <v>70570808</v>
      </c>
      <c r="AY47" s="807">
        <v>10477641</v>
      </c>
      <c r="AZ47" s="807">
        <v>1944167</v>
      </c>
      <c r="BA47" s="196">
        <f t="shared" si="7"/>
        <v>0.87072373217160515</v>
      </c>
      <c r="BB47" s="210">
        <v>10346</v>
      </c>
      <c r="BC47" s="115">
        <v>47</v>
      </c>
      <c r="BD47" s="236"/>
    </row>
    <row r="48" spans="1:56" s="808" customFormat="1" ht="14.25" customHeight="1">
      <c r="A48" s="792">
        <v>2024</v>
      </c>
      <c r="B48" s="793" t="str">
        <f>+INDEX('①基本情報 '!C:C,MATCH('③経費情報(2024)'!E48,'①基本情報 '!E:E,0))</f>
        <v>040</v>
      </c>
      <c r="C48" s="794" t="str">
        <f>+INDEX('①基本情報 '!B:B,MATCH('③経費情報(2024)'!E48,'①基本情報 '!E:E,0))</f>
        <v>0242</v>
      </c>
      <c r="D48" s="809" t="s">
        <v>2415</v>
      </c>
      <c r="E48" s="616" t="s">
        <v>342</v>
      </c>
      <c r="F48" s="616" t="str">
        <f>INDEX('①基本情報 '!F:F,MATCH('③経費情報(2024)'!E48,'①基本情報 '!E:E,0))</f>
        <v>市民自治部</v>
      </c>
      <c r="G48" s="797" t="s">
        <v>180</v>
      </c>
      <c r="H48" s="831"/>
      <c r="I48" s="834"/>
      <c r="J48" s="840">
        <v>48</v>
      </c>
      <c r="K48" s="801">
        <f t="shared" si="0"/>
        <v>48</v>
      </c>
      <c r="L48" s="799">
        <v>655</v>
      </c>
      <c r="M48" s="833">
        <v>28</v>
      </c>
      <c r="N48" s="115"/>
      <c r="O48" s="799">
        <v>0</v>
      </c>
      <c r="P48" s="835">
        <v>2.4E-2</v>
      </c>
      <c r="Q48" s="799">
        <v>9119</v>
      </c>
      <c r="R48" s="834"/>
      <c r="S48" s="799">
        <f t="shared" si="8"/>
        <v>219</v>
      </c>
      <c r="T48" s="115"/>
      <c r="U48" s="144">
        <v>22</v>
      </c>
      <c r="V48" s="833">
        <v>100</v>
      </c>
      <c r="W48" s="801">
        <f t="shared" si="1"/>
        <v>1024</v>
      </c>
      <c r="X48" s="833"/>
      <c r="Y48" s="833"/>
      <c r="Z48" s="803">
        <v>60</v>
      </c>
      <c r="AA48" s="833">
        <v>100</v>
      </c>
      <c r="AB48" s="801">
        <f t="shared" si="2"/>
        <v>160</v>
      </c>
      <c r="AC48" s="799"/>
      <c r="AD48" s="799">
        <v>12</v>
      </c>
      <c r="AE48" s="800"/>
      <c r="AF48" s="804"/>
      <c r="AG48" s="799">
        <v>108</v>
      </c>
      <c r="AH48" s="800"/>
      <c r="AI48" s="800">
        <v>62</v>
      </c>
      <c r="AJ48" s="801">
        <f t="shared" si="3"/>
        <v>182</v>
      </c>
      <c r="AK48" s="800">
        <f t="shared" si="12"/>
        <v>88379.782999999996</v>
      </c>
      <c r="AL48" s="800">
        <f t="shared" si="12"/>
        <v>79673.547999999995</v>
      </c>
      <c r="AM48" s="800">
        <f t="shared" si="12"/>
        <v>8706.2350000000006</v>
      </c>
      <c r="AN48" s="800">
        <f t="shared" si="12"/>
        <v>2807.7150000000001</v>
      </c>
      <c r="AO48" s="192">
        <f t="shared" si="11"/>
        <v>0.90149064973377457</v>
      </c>
      <c r="AP48" s="193">
        <f t="shared" si="13"/>
        <v>3831.7150000000001</v>
      </c>
      <c r="AQ48" s="193">
        <f t="shared" si="9"/>
        <v>-3783.7150000000001</v>
      </c>
      <c r="AR48" s="805"/>
      <c r="AS48" s="119"/>
      <c r="AT48" s="119"/>
      <c r="AU48" s="120"/>
      <c r="AV48" s="806"/>
      <c r="AW48" s="800">
        <v>88379783</v>
      </c>
      <c r="AX48" s="807">
        <v>79673548</v>
      </c>
      <c r="AY48" s="807">
        <v>8706235</v>
      </c>
      <c r="AZ48" s="807">
        <v>2807715</v>
      </c>
      <c r="BA48" s="196">
        <f t="shared" si="7"/>
        <v>0.90149064973377457</v>
      </c>
      <c r="BB48" s="210">
        <v>8515</v>
      </c>
      <c r="BC48" s="115">
        <v>3</v>
      </c>
      <c r="BD48" s="236"/>
    </row>
    <row r="49" spans="1:56" s="808" customFormat="1" ht="14.25" customHeight="1">
      <c r="A49" s="792">
        <v>2024</v>
      </c>
      <c r="B49" s="793" t="str">
        <f>+INDEX('①基本情報 '!C:C,MATCH('③経費情報(2024)'!E49,'①基本情報 '!E:E,0))</f>
        <v>041</v>
      </c>
      <c r="C49" s="794" t="str">
        <f>+INDEX('①基本情報 '!B:B,MATCH('③経費情報(2024)'!E49,'①基本情報 '!E:E,0))</f>
        <v>0246</v>
      </c>
      <c r="D49" s="809" t="s">
        <v>2415</v>
      </c>
      <c r="E49" s="616" t="s">
        <v>348</v>
      </c>
      <c r="F49" s="616" t="str">
        <f>INDEX('①基本情報 '!F:F,MATCH('③経費情報(2024)'!E49,'①基本情報 '!E:E,0))</f>
        <v>市民自治部</v>
      </c>
      <c r="G49" s="797" t="s">
        <v>180</v>
      </c>
      <c r="H49" s="831"/>
      <c r="I49" s="834"/>
      <c r="J49" s="840">
        <v>114</v>
      </c>
      <c r="K49" s="801">
        <f t="shared" si="0"/>
        <v>114</v>
      </c>
      <c r="L49" s="799">
        <v>171</v>
      </c>
      <c r="M49" s="833">
        <v>28</v>
      </c>
      <c r="N49" s="115"/>
      <c r="O49" s="799">
        <v>82</v>
      </c>
      <c r="P49" s="835">
        <v>2.4E-2</v>
      </c>
      <c r="Q49" s="799">
        <v>9119</v>
      </c>
      <c r="R49" s="834"/>
      <c r="S49" s="799">
        <f t="shared" si="8"/>
        <v>219</v>
      </c>
      <c r="T49" s="115"/>
      <c r="U49" s="144">
        <v>22</v>
      </c>
      <c r="V49" s="833">
        <v>100</v>
      </c>
      <c r="W49" s="801">
        <f t="shared" si="1"/>
        <v>622</v>
      </c>
      <c r="X49" s="833"/>
      <c r="Y49" s="833"/>
      <c r="Z49" s="803">
        <v>196</v>
      </c>
      <c r="AA49" s="833">
        <v>100</v>
      </c>
      <c r="AB49" s="801">
        <f t="shared" si="2"/>
        <v>296</v>
      </c>
      <c r="AC49" s="799"/>
      <c r="AD49" s="799">
        <v>169</v>
      </c>
      <c r="AE49" s="800"/>
      <c r="AF49" s="804">
        <v>53</v>
      </c>
      <c r="AG49" s="799">
        <v>130</v>
      </c>
      <c r="AH49" s="800"/>
      <c r="AI49" s="800">
        <v>22</v>
      </c>
      <c r="AJ49" s="801">
        <f t="shared" si="3"/>
        <v>374</v>
      </c>
      <c r="AK49" s="800">
        <f t="shared" si="12"/>
        <v>30221.545999999998</v>
      </c>
      <c r="AL49" s="800">
        <f t="shared" si="12"/>
        <v>22800.902999999998</v>
      </c>
      <c r="AM49" s="800">
        <f t="shared" si="12"/>
        <v>7420.643</v>
      </c>
      <c r="AN49" s="800">
        <f t="shared" si="12"/>
        <v>755.66300000000001</v>
      </c>
      <c r="AO49" s="192">
        <f t="shared" si="11"/>
        <v>0.75445852439183625</v>
      </c>
      <c r="AP49" s="193">
        <f t="shared" si="13"/>
        <v>1377.663</v>
      </c>
      <c r="AQ49" s="193">
        <f t="shared" si="9"/>
        <v>-1263.663</v>
      </c>
      <c r="AR49" s="805"/>
      <c r="AS49" s="119"/>
      <c r="AT49" s="119"/>
      <c r="AU49" s="120"/>
      <c r="AV49" s="806"/>
      <c r="AW49" s="800">
        <v>30221546</v>
      </c>
      <c r="AX49" s="807">
        <v>22800903</v>
      </c>
      <c r="AY49" s="807">
        <v>7420643</v>
      </c>
      <c r="AZ49" s="807">
        <v>755663</v>
      </c>
      <c r="BA49" s="196">
        <f t="shared" si="7"/>
        <v>0.75445852439183625</v>
      </c>
      <c r="BB49" s="210">
        <v>3550</v>
      </c>
      <c r="BC49" s="115">
        <v>6</v>
      </c>
      <c r="BD49" s="236"/>
    </row>
    <row r="50" spans="1:56" s="808" customFormat="1" ht="14.25" customHeight="1">
      <c r="A50" s="792">
        <v>2024</v>
      </c>
      <c r="B50" s="793" t="str">
        <f>+INDEX('①基本情報 '!C:C,MATCH('③経費情報(2024)'!E50,'①基本情報 '!E:E,0))</f>
        <v>042</v>
      </c>
      <c r="C50" s="794" t="str">
        <f>+INDEX('①基本情報 '!B:B,MATCH('③経費情報(2024)'!E50,'①基本情報 '!E:E,0))</f>
        <v>0262</v>
      </c>
      <c r="D50" s="809" t="s">
        <v>2415</v>
      </c>
      <c r="E50" s="616" t="s">
        <v>2797</v>
      </c>
      <c r="F50" s="616" t="str">
        <f>INDEX('①基本情報 '!F:F,MATCH('③経費情報(2024)'!E50,'①基本情報 '!E:E,0))</f>
        <v>市民自治部</v>
      </c>
      <c r="G50" s="797" t="s">
        <v>180</v>
      </c>
      <c r="H50" s="831"/>
      <c r="I50" s="834"/>
      <c r="J50" s="840">
        <v>114</v>
      </c>
      <c r="K50" s="801">
        <f t="shared" si="0"/>
        <v>114</v>
      </c>
      <c r="L50" s="799">
        <v>336</v>
      </c>
      <c r="M50" s="833">
        <v>28</v>
      </c>
      <c r="N50" s="115"/>
      <c r="O50" s="799">
        <v>0</v>
      </c>
      <c r="P50" s="835">
        <v>2.4E-2</v>
      </c>
      <c r="Q50" s="799">
        <v>9119</v>
      </c>
      <c r="R50" s="834"/>
      <c r="S50" s="799">
        <f t="shared" si="8"/>
        <v>219</v>
      </c>
      <c r="T50" s="115"/>
      <c r="U50" s="144">
        <v>22</v>
      </c>
      <c r="V50" s="833">
        <v>100</v>
      </c>
      <c r="W50" s="801">
        <f t="shared" si="1"/>
        <v>705</v>
      </c>
      <c r="X50" s="833"/>
      <c r="Y50" s="833"/>
      <c r="Z50" s="803">
        <v>44</v>
      </c>
      <c r="AA50" s="833">
        <v>100</v>
      </c>
      <c r="AB50" s="801">
        <f t="shared" si="2"/>
        <v>144</v>
      </c>
      <c r="AC50" s="799"/>
      <c r="AD50" s="799"/>
      <c r="AE50" s="800"/>
      <c r="AF50" s="804"/>
      <c r="AG50" s="799"/>
      <c r="AH50" s="800"/>
      <c r="AI50" s="800">
        <v>504</v>
      </c>
      <c r="AJ50" s="801">
        <f t="shared" si="3"/>
        <v>504</v>
      </c>
      <c r="AK50" s="800">
        <f t="shared" si="12"/>
        <v>49620.92</v>
      </c>
      <c r="AL50" s="800">
        <f t="shared" si="12"/>
        <v>40550.690999999999</v>
      </c>
      <c r="AM50" s="800">
        <f t="shared" si="12"/>
        <v>9070.2289999999994</v>
      </c>
      <c r="AN50" s="800">
        <f t="shared" si="12"/>
        <v>1266.9570000000001</v>
      </c>
      <c r="AO50" s="192">
        <f t="shared" si="11"/>
        <v>0.81720957612232903</v>
      </c>
      <c r="AP50" s="193">
        <f t="shared" si="13"/>
        <v>1971.9570000000001</v>
      </c>
      <c r="AQ50" s="193">
        <f t="shared" si="9"/>
        <v>-1857.9570000000001</v>
      </c>
      <c r="AR50" s="805"/>
      <c r="AS50" s="119"/>
      <c r="AT50" s="119"/>
      <c r="AU50" s="120"/>
      <c r="AV50" s="806"/>
      <c r="AW50" s="800">
        <v>49620920</v>
      </c>
      <c r="AX50" s="807">
        <v>40550691</v>
      </c>
      <c r="AY50" s="807">
        <v>9070229</v>
      </c>
      <c r="AZ50" s="807">
        <v>1266957</v>
      </c>
      <c r="BA50" s="196">
        <f t="shared" si="7"/>
        <v>0.81720957612232903</v>
      </c>
      <c r="BB50" s="210">
        <v>7866</v>
      </c>
      <c r="BC50" s="115">
        <v>1</v>
      </c>
      <c r="BD50" s="236"/>
    </row>
    <row r="51" spans="1:56" s="808" customFormat="1" ht="14.25" customHeight="1">
      <c r="A51" s="792">
        <v>2024</v>
      </c>
      <c r="B51" s="793" t="str">
        <f>+INDEX('①基本情報 '!C:C,MATCH('③経費情報(2024)'!E51,'①基本情報 '!E:E,0))</f>
        <v>043</v>
      </c>
      <c r="C51" s="794" t="str">
        <f>+INDEX('①基本情報 '!B:B,MATCH('③経費情報(2024)'!E51,'①基本情報 '!E:E,0))</f>
        <v>0201</v>
      </c>
      <c r="D51" s="809" t="s">
        <v>2415</v>
      </c>
      <c r="E51" s="616" t="s">
        <v>361</v>
      </c>
      <c r="F51" s="616" t="str">
        <f>INDEX('①基本情報 '!F:F,MATCH('③経費情報(2024)'!E51,'①基本情報 '!E:E,0))</f>
        <v>市民自治部</v>
      </c>
      <c r="G51" s="797" t="s">
        <v>180</v>
      </c>
      <c r="H51" s="831"/>
      <c r="I51" s="834"/>
      <c r="J51" s="840">
        <v>72</v>
      </c>
      <c r="K51" s="801">
        <f t="shared" si="0"/>
        <v>72</v>
      </c>
      <c r="L51" s="799"/>
      <c r="M51" s="833">
        <v>376</v>
      </c>
      <c r="N51" s="115"/>
      <c r="O51" s="799">
        <v>171</v>
      </c>
      <c r="P51" s="835">
        <v>2.4E-2</v>
      </c>
      <c r="Q51" s="799">
        <v>9119</v>
      </c>
      <c r="R51" s="834"/>
      <c r="S51" s="799">
        <f t="shared" si="8"/>
        <v>219</v>
      </c>
      <c r="T51" s="115"/>
      <c r="U51" s="144">
        <v>47</v>
      </c>
      <c r="V51" s="833">
        <v>100</v>
      </c>
      <c r="W51" s="801">
        <f t="shared" si="1"/>
        <v>913</v>
      </c>
      <c r="X51" s="833"/>
      <c r="Y51" s="833"/>
      <c r="Z51" s="803">
        <v>2391</v>
      </c>
      <c r="AA51" s="833">
        <v>19511</v>
      </c>
      <c r="AB51" s="801">
        <f t="shared" si="2"/>
        <v>21902</v>
      </c>
      <c r="AC51" s="799">
        <v>3541</v>
      </c>
      <c r="AD51" s="799">
        <v>1580</v>
      </c>
      <c r="AE51" s="800"/>
      <c r="AF51" s="804">
        <v>56</v>
      </c>
      <c r="AG51" s="799">
        <v>15094</v>
      </c>
      <c r="AH51" s="800"/>
      <c r="AI51" s="800">
        <v>1912</v>
      </c>
      <c r="AJ51" s="801">
        <f t="shared" si="3"/>
        <v>22183</v>
      </c>
      <c r="AK51" s="800">
        <f t="shared" si="12"/>
        <v>332843.78899999999</v>
      </c>
      <c r="AL51" s="800">
        <f t="shared" si="12"/>
        <v>124883.189</v>
      </c>
      <c r="AM51" s="800">
        <f t="shared" si="12"/>
        <v>207960.6</v>
      </c>
      <c r="AN51" s="800">
        <f t="shared" si="12"/>
        <v>11927.773999999999</v>
      </c>
      <c r="AO51" s="192">
        <f t="shared" si="11"/>
        <v>0.37520059898128366</v>
      </c>
      <c r="AP51" s="193">
        <f t="shared" si="13"/>
        <v>12840.773999999999</v>
      </c>
      <c r="AQ51" s="193">
        <f t="shared" si="9"/>
        <v>-12768.773999999999</v>
      </c>
      <c r="AR51" s="805"/>
      <c r="AS51" s="119"/>
      <c r="AT51" s="119"/>
      <c r="AU51" s="120"/>
      <c r="AV51" s="806" t="s">
        <v>2484</v>
      </c>
      <c r="AW51" s="800">
        <v>332843789</v>
      </c>
      <c r="AX51" s="807">
        <v>124883189</v>
      </c>
      <c r="AY51" s="807">
        <v>207960600</v>
      </c>
      <c r="AZ51" s="807">
        <v>11927774</v>
      </c>
      <c r="BA51" s="196">
        <f t="shared" si="7"/>
        <v>0.37520059898128366</v>
      </c>
      <c r="BB51" s="210">
        <v>51666</v>
      </c>
      <c r="BC51" s="115">
        <v>15143</v>
      </c>
      <c r="BD51" s="236"/>
    </row>
    <row r="52" spans="1:56" s="808" customFormat="1" ht="14.25" customHeight="1">
      <c r="A52" s="792">
        <v>2024</v>
      </c>
      <c r="B52" s="793" t="str">
        <f>+INDEX('①基本情報 '!C:C,MATCH('③経費情報(2024)'!E52,'①基本情報 '!E:E,0))</f>
        <v>044</v>
      </c>
      <c r="C52" s="794" t="str">
        <f>+INDEX('①基本情報 '!B:B,MATCH('③経費情報(2024)'!E52,'①基本情報 '!E:E,0))</f>
        <v>0209</v>
      </c>
      <c r="D52" s="809" t="s">
        <v>2415</v>
      </c>
      <c r="E52" s="616" t="s">
        <v>367</v>
      </c>
      <c r="F52" s="616" t="str">
        <f>INDEX('①基本情報 '!F:F,MATCH('③経費情報(2024)'!E52,'①基本情報 '!E:E,0))</f>
        <v>市民自治部</v>
      </c>
      <c r="G52" s="797" t="s">
        <v>180</v>
      </c>
      <c r="H52" s="831"/>
      <c r="I52" s="834"/>
      <c r="J52" s="840">
        <v>1</v>
      </c>
      <c r="K52" s="801">
        <f t="shared" si="0"/>
        <v>1</v>
      </c>
      <c r="L52" s="799">
        <v>357</v>
      </c>
      <c r="M52" s="833">
        <v>28</v>
      </c>
      <c r="N52" s="115"/>
      <c r="O52" s="799">
        <v>143</v>
      </c>
      <c r="P52" s="835">
        <v>2.4E-2</v>
      </c>
      <c r="Q52" s="799">
        <v>9119</v>
      </c>
      <c r="R52" s="834"/>
      <c r="S52" s="799">
        <f t="shared" si="8"/>
        <v>219</v>
      </c>
      <c r="T52" s="115"/>
      <c r="U52" s="144">
        <v>22</v>
      </c>
      <c r="V52" s="833">
        <v>100</v>
      </c>
      <c r="W52" s="801">
        <f t="shared" si="1"/>
        <v>869</v>
      </c>
      <c r="X52" s="833"/>
      <c r="Y52" s="833"/>
      <c r="Z52" s="803">
        <v>1</v>
      </c>
      <c r="AA52" s="833">
        <v>100</v>
      </c>
      <c r="AB52" s="801">
        <f t="shared" si="2"/>
        <v>101</v>
      </c>
      <c r="AC52" s="799"/>
      <c r="AD52" s="799">
        <v>110</v>
      </c>
      <c r="AE52" s="800"/>
      <c r="AF52" s="804"/>
      <c r="AG52" s="799"/>
      <c r="AH52" s="800"/>
      <c r="AI52" s="800">
        <v>4</v>
      </c>
      <c r="AJ52" s="801">
        <f t="shared" si="3"/>
        <v>114</v>
      </c>
      <c r="AK52" s="800">
        <f t="shared" si="12"/>
        <v>60679.3</v>
      </c>
      <c r="AL52" s="800">
        <f t="shared" si="12"/>
        <v>53163.082999999999</v>
      </c>
      <c r="AM52" s="800">
        <f t="shared" si="12"/>
        <v>7516.2169999999996</v>
      </c>
      <c r="AN52" s="800">
        <f t="shared" si="12"/>
        <v>827.096</v>
      </c>
      <c r="AO52" s="192">
        <f t="shared" si="11"/>
        <v>0.87613210765450489</v>
      </c>
      <c r="AP52" s="193">
        <f t="shared" si="13"/>
        <v>1696.096</v>
      </c>
      <c r="AQ52" s="193">
        <f t="shared" si="9"/>
        <v>-1695.096</v>
      </c>
      <c r="AR52" s="805"/>
      <c r="AS52" s="119"/>
      <c r="AT52" s="119"/>
      <c r="AU52" s="120"/>
      <c r="AV52" s="806"/>
      <c r="AW52" s="800">
        <v>60679300</v>
      </c>
      <c r="AX52" s="807">
        <v>53163083</v>
      </c>
      <c r="AY52" s="807">
        <v>7516217</v>
      </c>
      <c r="AZ52" s="807">
        <v>827096</v>
      </c>
      <c r="BA52" s="196">
        <f t="shared" si="7"/>
        <v>0.87613210765450489</v>
      </c>
      <c r="BB52" s="210">
        <v>4035</v>
      </c>
      <c r="BC52" s="115">
        <v>0</v>
      </c>
      <c r="BD52" s="236">
        <v>0.1</v>
      </c>
    </row>
    <row r="53" spans="1:56" s="808" customFormat="1" ht="14.25" customHeight="1">
      <c r="A53" s="792">
        <v>2024</v>
      </c>
      <c r="B53" s="793" t="str">
        <f>+INDEX('①基本情報 '!C:C,MATCH('③経費情報(2024)'!E53,'①基本情報 '!E:E,0))</f>
        <v>045</v>
      </c>
      <c r="C53" s="794" t="str">
        <f>+INDEX('①基本情報 '!B:B,MATCH('③経費情報(2024)'!E53,'①基本情報 '!E:E,0))</f>
        <v>0214</v>
      </c>
      <c r="D53" s="809" t="s">
        <v>2415</v>
      </c>
      <c r="E53" s="616" t="s">
        <v>374</v>
      </c>
      <c r="F53" s="616" t="str">
        <f>INDEX('①基本情報 '!F:F,MATCH('③経費情報(2024)'!E53,'①基本情報 '!E:E,0))</f>
        <v>市民自治部</v>
      </c>
      <c r="G53" s="797" t="s">
        <v>180</v>
      </c>
      <c r="H53" s="831"/>
      <c r="I53" s="834"/>
      <c r="J53" s="840"/>
      <c r="K53" s="801">
        <f t="shared" si="0"/>
        <v>0</v>
      </c>
      <c r="L53" s="799">
        <v>333</v>
      </c>
      <c r="M53" s="833">
        <v>28</v>
      </c>
      <c r="N53" s="115"/>
      <c r="O53" s="799">
        <v>0</v>
      </c>
      <c r="P53" s="835">
        <v>2.4E-2</v>
      </c>
      <c r="Q53" s="799">
        <v>9119</v>
      </c>
      <c r="R53" s="834"/>
      <c r="S53" s="799">
        <f t="shared" si="8"/>
        <v>219</v>
      </c>
      <c r="T53" s="115"/>
      <c r="U53" s="144">
        <v>22</v>
      </c>
      <c r="V53" s="833">
        <v>100</v>
      </c>
      <c r="W53" s="801">
        <f t="shared" si="1"/>
        <v>702</v>
      </c>
      <c r="X53" s="833"/>
      <c r="Y53" s="833"/>
      <c r="Z53" s="803"/>
      <c r="AA53" s="833">
        <v>100</v>
      </c>
      <c r="AB53" s="801">
        <f t="shared" si="2"/>
        <v>100</v>
      </c>
      <c r="AC53" s="799"/>
      <c r="AD53" s="799"/>
      <c r="AE53" s="800"/>
      <c r="AF53" s="804"/>
      <c r="AG53" s="799"/>
      <c r="AH53" s="800"/>
      <c r="AI53" s="800">
        <v>75</v>
      </c>
      <c r="AJ53" s="801">
        <f t="shared" si="3"/>
        <v>75</v>
      </c>
      <c r="AK53" s="800">
        <f t="shared" si="12"/>
        <v>90775.05</v>
      </c>
      <c r="AL53" s="800">
        <f t="shared" si="12"/>
        <v>81771.160999999993</v>
      </c>
      <c r="AM53" s="800">
        <f t="shared" si="12"/>
        <v>9003.8889999999992</v>
      </c>
      <c r="AN53" s="800">
        <f t="shared" si="12"/>
        <v>363.17599999999999</v>
      </c>
      <c r="AO53" s="192">
        <f t="shared" si="11"/>
        <v>0.90081097173727798</v>
      </c>
      <c r="AP53" s="193">
        <f t="shared" si="13"/>
        <v>1065.1759999999999</v>
      </c>
      <c r="AQ53" s="193">
        <f t="shared" si="9"/>
        <v>-1065.1759999999999</v>
      </c>
      <c r="AR53" s="805"/>
      <c r="AS53" s="119"/>
      <c r="AT53" s="119"/>
      <c r="AU53" s="120"/>
      <c r="AV53" s="806"/>
      <c r="AW53" s="800">
        <v>90775050</v>
      </c>
      <c r="AX53" s="807">
        <v>81771161</v>
      </c>
      <c r="AY53" s="807">
        <v>9003889</v>
      </c>
      <c r="AZ53" s="807">
        <v>363176</v>
      </c>
      <c r="BA53" s="196">
        <f t="shared" si="7"/>
        <v>0.90081097173727798</v>
      </c>
      <c r="BB53" s="210">
        <v>3800</v>
      </c>
      <c r="BC53" s="115">
        <v>0</v>
      </c>
      <c r="BD53" s="236">
        <v>0.2</v>
      </c>
    </row>
    <row r="54" spans="1:56" s="808" customFormat="1" ht="14.25" customHeight="1">
      <c r="A54" s="792">
        <v>2024</v>
      </c>
      <c r="B54" s="793" t="str">
        <f>+INDEX('①基本情報 '!C:C,MATCH('③経費情報(2024)'!E54,'①基本情報 '!E:E,0))</f>
        <v>046</v>
      </c>
      <c r="C54" s="794" t="str">
        <f>+INDEX('①基本情報 '!B:B,MATCH('③経費情報(2024)'!E54,'①基本情報 '!E:E,0))</f>
        <v>0216</v>
      </c>
      <c r="D54" s="809" t="s">
        <v>2415</v>
      </c>
      <c r="E54" s="616" t="s">
        <v>381</v>
      </c>
      <c r="F54" s="616" t="str">
        <f>INDEX('①基本情報 '!F:F,MATCH('③経費情報(2024)'!E54,'①基本情報 '!E:E,0))</f>
        <v>市民自治部</v>
      </c>
      <c r="G54" s="797" t="s">
        <v>180</v>
      </c>
      <c r="H54" s="831"/>
      <c r="I54" s="834"/>
      <c r="J54" s="840">
        <v>11</v>
      </c>
      <c r="K54" s="801">
        <f t="shared" si="0"/>
        <v>11</v>
      </c>
      <c r="L54" s="799">
        <v>262</v>
      </c>
      <c r="M54" s="833">
        <v>28</v>
      </c>
      <c r="N54" s="115"/>
      <c r="O54" s="799">
        <v>82</v>
      </c>
      <c r="P54" s="835">
        <v>2.4E-2</v>
      </c>
      <c r="Q54" s="799">
        <v>9119</v>
      </c>
      <c r="R54" s="834"/>
      <c r="S54" s="799">
        <f t="shared" si="8"/>
        <v>219</v>
      </c>
      <c r="T54" s="115"/>
      <c r="U54" s="144">
        <v>22</v>
      </c>
      <c r="V54" s="833">
        <v>100</v>
      </c>
      <c r="W54" s="801">
        <f t="shared" si="1"/>
        <v>713</v>
      </c>
      <c r="X54" s="833"/>
      <c r="Y54" s="833"/>
      <c r="Z54" s="803">
        <v>680</v>
      </c>
      <c r="AA54" s="833">
        <v>100</v>
      </c>
      <c r="AB54" s="801">
        <f t="shared" si="2"/>
        <v>780</v>
      </c>
      <c r="AC54" s="799"/>
      <c r="AD54" s="799"/>
      <c r="AE54" s="800"/>
      <c r="AF54" s="804"/>
      <c r="AG54" s="799">
        <v>660</v>
      </c>
      <c r="AH54" s="800"/>
      <c r="AI54" s="800">
        <v>120</v>
      </c>
      <c r="AJ54" s="801">
        <f t="shared" si="3"/>
        <v>780</v>
      </c>
      <c r="AK54" s="800">
        <f t="shared" si="12"/>
        <v>50943.9</v>
      </c>
      <c r="AL54" s="800">
        <f t="shared" si="12"/>
        <v>46657.928</v>
      </c>
      <c r="AM54" s="800">
        <f t="shared" si="12"/>
        <v>4285.9719999999998</v>
      </c>
      <c r="AN54" s="800">
        <f t="shared" si="12"/>
        <v>212.37799999999999</v>
      </c>
      <c r="AO54" s="192">
        <f t="shared" si="11"/>
        <v>0.9158687890012347</v>
      </c>
      <c r="AP54" s="193">
        <f t="shared" si="13"/>
        <v>925.37799999999993</v>
      </c>
      <c r="AQ54" s="193">
        <f t="shared" si="9"/>
        <v>-914.37799999999993</v>
      </c>
      <c r="AR54" s="805"/>
      <c r="AS54" s="119"/>
      <c r="AT54" s="119"/>
      <c r="AU54" s="120"/>
      <c r="AV54" s="806"/>
      <c r="AW54" s="800">
        <v>50943900</v>
      </c>
      <c r="AX54" s="807">
        <v>46657928</v>
      </c>
      <c r="AY54" s="807">
        <v>4285972</v>
      </c>
      <c r="AZ54" s="807">
        <v>212378</v>
      </c>
      <c r="BA54" s="196">
        <f t="shared" si="7"/>
        <v>0.9158687890012347</v>
      </c>
      <c r="BB54" s="210">
        <v>5330</v>
      </c>
      <c r="BC54" s="115">
        <v>0</v>
      </c>
      <c r="BD54" s="236">
        <v>7.8</v>
      </c>
    </row>
    <row r="55" spans="1:56" s="808" customFormat="1" ht="14.25" customHeight="1">
      <c r="A55" s="792">
        <v>2024</v>
      </c>
      <c r="B55" s="793" t="str">
        <f>+INDEX('①基本情報 '!C:C,MATCH('③経費情報(2024)'!E55,'①基本情報 '!E:E,0))</f>
        <v>047</v>
      </c>
      <c r="C55" s="794" t="str">
        <f>+INDEX('①基本情報 '!B:B,MATCH('③経費情報(2024)'!E55,'①基本情報 '!E:E,0))</f>
        <v>0225</v>
      </c>
      <c r="D55" s="809" t="s">
        <v>2415</v>
      </c>
      <c r="E55" s="616" t="s">
        <v>387</v>
      </c>
      <c r="F55" s="616" t="str">
        <f>INDEX('①基本情報 '!F:F,MATCH('③経費情報(2024)'!E55,'①基本情報 '!E:E,0))</f>
        <v>市民自治部</v>
      </c>
      <c r="G55" s="797" t="s">
        <v>180</v>
      </c>
      <c r="H55" s="831"/>
      <c r="I55" s="834"/>
      <c r="J55" s="840">
        <v>6</v>
      </c>
      <c r="K55" s="801">
        <f t="shared" si="0"/>
        <v>6</v>
      </c>
      <c r="L55" s="799">
        <v>524</v>
      </c>
      <c r="M55" s="833">
        <v>28</v>
      </c>
      <c r="N55" s="115"/>
      <c r="O55" s="799">
        <v>66</v>
      </c>
      <c r="P55" s="835">
        <v>2.4E-2</v>
      </c>
      <c r="Q55" s="799">
        <v>9119</v>
      </c>
      <c r="R55" s="834"/>
      <c r="S55" s="799">
        <f t="shared" si="8"/>
        <v>219</v>
      </c>
      <c r="T55" s="115"/>
      <c r="U55" s="144">
        <v>22</v>
      </c>
      <c r="V55" s="833">
        <v>100</v>
      </c>
      <c r="W55" s="801">
        <f t="shared" si="1"/>
        <v>959</v>
      </c>
      <c r="X55" s="833"/>
      <c r="Y55" s="833"/>
      <c r="Z55" s="803">
        <v>25</v>
      </c>
      <c r="AA55" s="833">
        <v>100</v>
      </c>
      <c r="AB55" s="801">
        <f t="shared" si="2"/>
        <v>125</v>
      </c>
      <c r="AC55" s="799"/>
      <c r="AD55" s="799">
        <v>48</v>
      </c>
      <c r="AE55" s="800"/>
      <c r="AF55" s="804"/>
      <c r="AG55" s="799"/>
      <c r="AH55" s="800"/>
      <c r="AI55" s="800">
        <v>111</v>
      </c>
      <c r="AJ55" s="801">
        <f t="shared" si="3"/>
        <v>159</v>
      </c>
      <c r="AK55" s="800">
        <f t="shared" si="12"/>
        <v>90704.207999999999</v>
      </c>
      <c r="AL55" s="800">
        <f t="shared" si="12"/>
        <v>86077.183000000005</v>
      </c>
      <c r="AM55" s="800">
        <f t="shared" si="12"/>
        <v>4627.0249999999996</v>
      </c>
      <c r="AN55" s="800">
        <f t="shared" si="12"/>
        <v>330.24099999999999</v>
      </c>
      <c r="AO55" s="192">
        <f t="shared" si="11"/>
        <v>0.94898775809827918</v>
      </c>
      <c r="AP55" s="193">
        <f t="shared" si="13"/>
        <v>1289.241</v>
      </c>
      <c r="AQ55" s="193">
        <f t="shared" si="9"/>
        <v>-1283.241</v>
      </c>
      <c r="AR55" s="805"/>
      <c r="AS55" s="119"/>
      <c r="AT55" s="119"/>
      <c r="AU55" s="120"/>
      <c r="AV55" s="806"/>
      <c r="AW55" s="800">
        <v>90704208</v>
      </c>
      <c r="AX55" s="807">
        <v>86077183</v>
      </c>
      <c r="AY55" s="807">
        <v>4627025</v>
      </c>
      <c r="AZ55" s="807">
        <v>330241</v>
      </c>
      <c r="BA55" s="196">
        <f t="shared" si="7"/>
        <v>0.94898775809827918</v>
      </c>
      <c r="BB55" s="210">
        <v>5427</v>
      </c>
      <c r="BC55" s="115">
        <v>0</v>
      </c>
      <c r="BD55" s="236">
        <v>0</v>
      </c>
    </row>
    <row r="56" spans="1:56" s="808" customFormat="1" ht="14.25" customHeight="1">
      <c r="A56" s="792">
        <v>2024</v>
      </c>
      <c r="B56" s="793" t="str">
        <f>+INDEX('①基本情報 '!C:C,MATCH('③経費情報(2024)'!E56,'①基本情報 '!E:E,0))</f>
        <v>048</v>
      </c>
      <c r="C56" s="794" t="str">
        <f>+INDEX('①基本情報 '!B:B,MATCH('③経費情報(2024)'!E56,'①基本情報 '!E:E,0))</f>
        <v>0250</v>
      </c>
      <c r="D56" s="809" t="s">
        <v>2415</v>
      </c>
      <c r="E56" s="616" t="s">
        <v>394</v>
      </c>
      <c r="F56" s="616" t="str">
        <f>INDEX('①基本情報 '!F:F,MATCH('③経費情報(2024)'!E56,'①基本情報 '!E:E,0))</f>
        <v>市民自治部</v>
      </c>
      <c r="G56" s="797" t="s">
        <v>180</v>
      </c>
      <c r="H56" s="831"/>
      <c r="I56" s="834"/>
      <c r="J56" s="840">
        <v>34</v>
      </c>
      <c r="K56" s="801">
        <f t="shared" si="0"/>
        <v>34</v>
      </c>
      <c r="L56" s="799">
        <v>511</v>
      </c>
      <c r="M56" s="833">
        <v>28</v>
      </c>
      <c r="N56" s="115"/>
      <c r="O56" s="799">
        <v>85</v>
      </c>
      <c r="P56" s="835">
        <v>2.4E-2</v>
      </c>
      <c r="Q56" s="799">
        <v>9119</v>
      </c>
      <c r="R56" s="834"/>
      <c r="S56" s="799">
        <f t="shared" si="8"/>
        <v>219</v>
      </c>
      <c r="T56" s="144"/>
      <c r="U56" s="144">
        <v>22</v>
      </c>
      <c r="V56" s="833">
        <v>100</v>
      </c>
      <c r="W56" s="801">
        <f t="shared" si="1"/>
        <v>965</v>
      </c>
      <c r="X56" s="833"/>
      <c r="Y56" s="833"/>
      <c r="Z56" s="803">
        <v>118</v>
      </c>
      <c r="AA56" s="833">
        <v>100</v>
      </c>
      <c r="AB56" s="801">
        <f t="shared" si="2"/>
        <v>218</v>
      </c>
      <c r="AC56" s="799"/>
      <c r="AD56" s="799">
        <v>50</v>
      </c>
      <c r="AE56" s="800"/>
      <c r="AF56" s="804"/>
      <c r="AG56" s="799">
        <v>60</v>
      </c>
      <c r="AH56" s="800"/>
      <c r="AI56" s="800">
        <v>49</v>
      </c>
      <c r="AJ56" s="801">
        <f t="shared" si="3"/>
        <v>159</v>
      </c>
      <c r="AK56" s="800">
        <f t="shared" si="12"/>
        <v>89325.722999999998</v>
      </c>
      <c r="AL56" s="800">
        <f t="shared" si="12"/>
        <v>72564.327999999994</v>
      </c>
      <c r="AM56" s="800">
        <f t="shared" si="12"/>
        <v>16761.395</v>
      </c>
      <c r="AN56" s="800">
        <f t="shared" si="12"/>
        <v>2531.7469999999998</v>
      </c>
      <c r="AO56" s="192">
        <f t="shared" si="11"/>
        <v>0.81235645862054762</v>
      </c>
      <c r="AP56" s="193">
        <f t="shared" si="13"/>
        <v>3496.7469999999998</v>
      </c>
      <c r="AQ56" s="193">
        <f t="shared" si="9"/>
        <v>-3462.7469999999998</v>
      </c>
      <c r="AR56" s="805"/>
      <c r="AS56" s="119"/>
      <c r="AT56" s="119"/>
      <c r="AU56" s="120"/>
      <c r="AV56" s="806"/>
      <c r="AW56" s="800">
        <v>89325723</v>
      </c>
      <c r="AX56" s="807">
        <v>72564328</v>
      </c>
      <c r="AY56" s="807">
        <v>16761395</v>
      </c>
      <c r="AZ56" s="807">
        <v>2531747</v>
      </c>
      <c r="BA56" s="196">
        <f t="shared" si="7"/>
        <v>0.81235645862054762</v>
      </c>
      <c r="BB56" s="210">
        <v>7373</v>
      </c>
      <c r="BC56" s="115">
        <v>0</v>
      </c>
      <c r="BD56" s="236">
        <v>1.7000000000000002</v>
      </c>
    </row>
    <row r="57" spans="1:56" s="808" customFormat="1" ht="14.25" customHeight="1">
      <c r="A57" s="792">
        <v>2024</v>
      </c>
      <c r="B57" s="793" t="str">
        <f>+INDEX('①基本情報 '!C:C,MATCH('③経費情報(2024)'!E57,'①基本情報 '!E:E,0))</f>
        <v>049</v>
      </c>
      <c r="C57" s="794" t="str">
        <f>+INDEX('①基本情報 '!B:B,MATCH('③経費情報(2024)'!E57,'①基本情報 '!E:E,0))</f>
        <v>0271</v>
      </c>
      <c r="D57" s="809" t="s">
        <v>2415</v>
      </c>
      <c r="E57" s="616" t="s">
        <v>401</v>
      </c>
      <c r="F57" s="616" t="str">
        <f>INDEX('①基本情報 '!F:F,MATCH('③経費情報(2024)'!E57,'①基本情報 '!E:E,0))</f>
        <v>市民自治部</v>
      </c>
      <c r="G57" s="797" t="s">
        <v>180</v>
      </c>
      <c r="H57" s="831"/>
      <c r="I57" s="834"/>
      <c r="J57" s="840"/>
      <c r="K57" s="801">
        <f t="shared" si="0"/>
        <v>0</v>
      </c>
      <c r="L57" s="799">
        <v>135</v>
      </c>
      <c r="M57" s="833">
        <v>28</v>
      </c>
      <c r="N57" s="115"/>
      <c r="O57" s="799">
        <v>1254</v>
      </c>
      <c r="P57" s="835">
        <v>2.4E-2</v>
      </c>
      <c r="Q57" s="799">
        <v>9119</v>
      </c>
      <c r="R57" s="834"/>
      <c r="S57" s="799">
        <f t="shared" si="8"/>
        <v>219</v>
      </c>
      <c r="T57" s="115"/>
      <c r="U57" s="144">
        <v>22</v>
      </c>
      <c r="V57" s="833">
        <v>100</v>
      </c>
      <c r="W57" s="801">
        <f t="shared" si="1"/>
        <v>1758</v>
      </c>
      <c r="X57" s="833"/>
      <c r="Y57" s="833"/>
      <c r="Z57" s="803"/>
      <c r="AA57" s="833">
        <v>100</v>
      </c>
      <c r="AB57" s="801">
        <f t="shared" si="2"/>
        <v>100</v>
      </c>
      <c r="AC57" s="799"/>
      <c r="AD57" s="799"/>
      <c r="AE57" s="800"/>
      <c r="AF57" s="804"/>
      <c r="AG57" s="799"/>
      <c r="AH57" s="800"/>
      <c r="AI57" s="800">
        <v>65</v>
      </c>
      <c r="AJ57" s="801">
        <f t="shared" si="3"/>
        <v>65</v>
      </c>
      <c r="AK57" s="800">
        <f t="shared" si="12"/>
        <v>45154.667999999998</v>
      </c>
      <c r="AL57" s="800">
        <f t="shared" si="12"/>
        <v>25647.588</v>
      </c>
      <c r="AM57" s="800">
        <f t="shared" si="12"/>
        <v>19507.080000000002</v>
      </c>
      <c r="AN57" s="800">
        <f t="shared" si="12"/>
        <v>1043.0709999999999</v>
      </c>
      <c r="AO57" s="192">
        <f t="shared" si="11"/>
        <v>0.56799416618454601</v>
      </c>
      <c r="AP57" s="193">
        <f t="shared" si="13"/>
        <v>2801.0709999999999</v>
      </c>
      <c r="AQ57" s="193">
        <f t="shared" si="9"/>
        <v>-2801.0709999999999</v>
      </c>
      <c r="AR57" s="805"/>
      <c r="AS57" s="119"/>
      <c r="AT57" s="119"/>
      <c r="AU57" s="120"/>
      <c r="AV57" s="806"/>
      <c r="AW57" s="800">
        <v>45154668</v>
      </c>
      <c r="AX57" s="807">
        <v>25647588</v>
      </c>
      <c r="AY57" s="807">
        <v>19507080</v>
      </c>
      <c r="AZ57" s="807">
        <v>1043071</v>
      </c>
      <c r="BA57" s="196">
        <f t="shared" si="7"/>
        <v>0.56799416618454601</v>
      </c>
      <c r="BB57" s="210">
        <v>1518</v>
      </c>
      <c r="BC57" s="115">
        <v>0</v>
      </c>
      <c r="BD57" s="236">
        <v>1.6</v>
      </c>
    </row>
    <row r="58" spans="1:56" s="808" customFormat="1" ht="14.25" customHeight="1">
      <c r="A58" s="792">
        <v>2024</v>
      </c>
      <c r="B58" s="793" t="str">
        <f>+INDEX('①基本情報 '!C:C,MATCH('③経費情報(2024)'!E58,'①基本情報 '!E:E,0))</f>
        <v>050</v>
      </c>
      <c r="C58" s="794" t="str">
        <f>+INDEX('①基本情報 '!B:B,MATCH('③経費情報(2024)'!E58,'①基本情報 '!E:E,0))</f>
        <v>0272</v>
      </c>
      <c r="D58" s="809" t="s">
        <v>2415</v>
      </c>
      <c r="E58" s="616" t="s">
        <v>407</v>
      </c>
      <c r="F58" s="616" t="str">
        <f>INDEX('①基本情報 '!F:F,MATCH('③経費情報(2024)'!E58,'①基本情報 '!E:E,0))</f>
        <v>市民自治部</v>
      </c>
      <c r="G58" s="797" t="s">
        <v>180</v>
      </c>
      <c r="H58" s="831"/>
      <c r="I58" s="834"/>
      <c r="J58" s="840"/>
      <c r="K58" s="801">
        <f t="shared" si="0"/>
        <v>0</v>
      </c>
      <c r="L58" s="799">
        <v>150</v>
      </c>
      <c r="M58" s="833">
        <v>28</v>
      </c>
      <c r="N58" s="115"/>
      <c r="O58" s="799">
        <v>27</v>
      </c>
      <c r="P58" s="835">
        <v>2.4E-2</v>
      </c>
      <c r="Q58" s="799">
        <v>9119</v>
      </c>
      <c r="R58" s="834"/>
      <c r="S58" s="799">
        <f t="shared" si="8"/>
        <v>219</v>
      </c>
      <c r="T58" s="115"/>
      <c r="U58" s="144">
        <v>22</v>
      </c>
      <c r="V58" s="833">
        <v>100</v>
      </c>
      <c r="W58" s="801">
        <f t="shared" si="1"/>
        <v>546</v>
      </c>
      <c r="X58" s="833"/>
      <c r="Y58" s="833"/>
      <c r="Z58" s="803"/>
      <c r="AA58" s="833">
        <v>100</v>
      </c>
      <c r="AB58" s="801">
        <f t="shared" si="2"/>
        <v>100</v>
      </c>
      <c r="AC58" s="799"/>
      <c r="AD58" s="799"/>
      <c r="AE58" s="800"/>
      <c r="AF58" s="804"/>
      <c r="AG58" s="799"/>
      <c r="AH58" s="800"/>
      <c r="AI58" s="800">
        <v>63</v>
      </c>
      <c r="AJ58" s="801">
        <f t="shared" si="3"/>
        <v>63</v>
      </c>
      <c r="AK58" s="800">
        <f t="shared" si="12"/>
        <v>40936.938999999998</v>
      </c>
      <c r="AL58" s="800">
        <f t="shared" si="12"/>
        <v>23683.577000000001</v>
      </c>
      <c r="AM58" s="800">
        <f t="shared" si="12"/>
        <v>17253.362000000001</v>
      </c>
      <c r="AN58" s="800">
        <f t="shared" si="12"/>
        <v>997.03399999999999</v>
      </c>
      <c r="AO58" s="192">
        <f t="shared" si="11"/>
        <v>0.57853805337033137</v>
      </c>
      <c r="AP58" s="193">
        <f t="shared" si="13"/>
        <v>1543.0340000000001</v>
      </c>
      <c r="AQ58" s="193">
        <f t="shared" si="9"/>
        <v>-1543.0340000000001</v>
      </c>
      <c r="AR58" s="805"/>
      <c r="AS58" s="119"/>
      <c r="AT58" s="119"/>
      <c r="AU58" s="120"/>
      <c r="AV58" s="806"/>
      <c r="AW58" s="800">
        <v>40936939</v>
      </c>
      <c r="AX58" s="807">
        <v>23683577</v>
      </c>
      <c r="AY58" s="807">
        <v>17253362</v>
      </c>
      <c r="AZ58" s="807">
        <v>997034</v>
      </c>
      <c r="BA58" s="196">
        <f t="shared" si="7"/>
        <v>0.57853805337033137</v>
      </c>
      <c r="BB58" s="210">
        <v>1789</v>
      </c>
      <c r="BC58" s="115">
        <v>0</v>
      </c>
      <c r="BD58" s="236">
        <v>0.4</v>
      </c>
    </row>
    <row r="59" spans="1:56" s="808" customFormat="1" ht="14.25" customHeight="1">
      <c r="A59" s="792">
        <v>2024</v>
      </c>
      <c r="B59" s="793" t="str">
        <f>+INDEX('①基本情報 '!C:C,MATCH('③経費情報(2024)'!E59,'①基本情報 '!E:E,0))</f>
        <v>051</v>
      </c>
      <c r="C59" s="794" t="str">
        <f>+INDEX('①基本情報 '!B:B,MATCH('③経費情報(2024)'!E59,'①基本情報 '!E:E,0))</f>
        <v>0205</v>
      </c>
      <c r="D59" s="809" t="s">
        <v>2415</v>
      </c>
      <c r="E59" s="616" t="s">
        <v>412</v>
      </c>
      <c r="F59" s="616" t="str">
        <f>INDEX('①基本情報 '!F:F,MATCH('③経費情報(2024)'!E59,'①基本情報 '!E:E,0))</f>
        <v>市民自治部</v>
      </c>
      <c r="G59" s="797" t="s">
        <v>180</v>
      </c>
      <c r="H59" s="831"/>
      <c r="I59" s="834"/>
      <c r="J59" s="840">
        <v>2</v>
      </c>
      <c r="K59" s="801">
        <f t="shared" si="0"/>
        <v>2</v>
      </c>
      <c r="L59" s="799">
        <v>375</v>
      </c>
      <c r="M59" s="833">
        <v>28</v>
      </c>
      <c r="N59" s="115"/>
      <c r="O59" s="799">
        <v>0</v>
      </c>
      <c r="P59" s="835">
        <v>2.4E-2</v>
      </c>
      <c r="Q59" s="799">
        <v>9119</v>
      </c>
      <c r="R59" s="834"/>
      <c r="S59" s="799">
        <f t="shared" si="8"/>
        <v>219</v>
      </c>
      <c r="T59" s="115"/>
      <c r="U59" s="144">
        <v>22</v>
      </c>
      <c r="V59" s="833">
        <v>100</v>
      </c>
      <c r="W59" s="801">
        <f t="shared" si="1"/>
        <v>744</v>
      </c>
      <c r="X59" s="833"/>
      <c r="Y59" s="833"/>
      <c r="Z59" s="803">
        <v>10</v>
      </c>
      <c r="AA59" s="833">
        <v>100</v>
      </c>
      <c r="AB59" s="801">
        <f t="shared" si="2"/>
        <v>110</v>
      </c>
      <c r="AC59" s="799"/>
      <c r="AD59" s="799">
        <v>28</v>
      </c>
      <c r="AE59" s="800"/>
      <c r="AF59" s="804"/>
      <c r="AG59" s="799"/>
      <c r="AH59" s="800"/>
      <c r="AI59" s="800">
        <v>2</v>
      </c>
      <c r="AJ59" s="801">
        <f t="shared" si="3"/>
        <v>30</v>
      </c>
      <c r="AK59" s="800">
        <f t="shared" si="12"/>
        <v>48869.25</v>
      </c>
      <c r="AL59" s="800">
        <f t="shared" si="12"/>
        <v>40779.616999999998</v>
      </c>
      <c r="AM59" s="800">
        <f t="shared" si="12"/>
        <v>8089.6329999999998</v>
      </c>
      <c r="AN59" s="800">
        <f t="shared" si="12"/>
        <v>412.346</v>
      </c>
      <c r="AO59" s="192">
        <f t="shared" si="11"/>
        <v>0.83446373742179392</v>
      </c>
      <c r="AP59" s="193">
        <f t="shared" si="13"/>
        <v>1156.346</v>
      </c>
      <c r="AQ59" s="193">
        <f t="shared" si="9"/>
        <v>-1154.346</v>
      </c>
      <c r="AR59" s="805"/>
      <c r="AS59" s="119"/>
      <c r="AT59" s="119"/>
      <c r="AU59" s="120"/>
      <c r="AV59" s="806"/>
      <c r="AW59" s="800">
        <v>48869250</v>
      </c>
      <c r="AX59" s="807">
        <v>40779617</v>
      </c>
      <c r="AY59" s="807">
        <v>8089633</v>
      </c>
      <c r="AZ59" s="807">
        <v>412346</v>
      </c>
      <c r="BA59" s="196">
        <f t="shared" si="7"/>
        <v>0.83446373742179392</v>
      </c>
      <c r="BB59" s="210">
        <v>2637</v>
      </c>
      <c r="BC59" s="115">
        <v>0</v>
      </c>
      <c r="BD59" s="236">
        <v>0</v>
      </c>
    </row>
    <row r="60" spans="1:56" s="808" customFormat="1" ht="14.25" customHeight="1">
      <c r="A60" s="792">
        <v>2024</v>
      </c>
      <c r="B60" s="793" t="str">
        <f>+INDEX('①基本情報 '!C:C,MATCH('③経費情報(2024)'!E60,'①基本情報 '!E:E,0))</f>
        <v>052</v>
      </c>
      <c r="C60" s="794" t="str">
        <f>+INDEX('①基本情報 '!B:B,MATCH('③経費情報(2024)'!E60,'①基本情報 '!E:E,0))</f>
        <v>0238</v>
      </c>
      <c r="D60" s="809" t="s">
        <v>2415</v>
      </c>
      <c r="E60" s="616" t="s">
        <v>418</v>
      </c>
      <c r="F60" s="616" t="str">
        <f>INDEX('①基本情報 '!F:F,MATCH('③経費情報(2024)'!E60,'①基本情報 '!E:E,0))</f>
        <v>市民自治部</v>
      </c>
      <c r="G60" s="797" t="s">
        <v>180</v>
      </c>
      <c r="H60" s="831"/>
      <c r="I60" s="834"/>
      <c r="J60" s="840"/>
      <c r="K60" s="801">
        <f t="shared" si="0"/>
        <v>0</v>
      </c>
      <c r="L60" s="799">
        <v>265</v>
      </c>
      <c r="M60" s="833">
        <v>28</v>
      </c>
      <c r="N60" s="115"/>
      <c r="O60" s="799">
        <v>30</v>
      </c>
      <c r="P60" s="835">
        <v>2.4E-2</v>
      </c>
      <c r="Q60" s="799">
        <v>9119</v>
      </c>
      <c r="R60" s="834"/>
      <c r="S60" s="799">
        <f t="shared" si="8"/>
        <v>219</v>
      </c>
      <c r="T60" s="115"/>
      <c r="U60" s="144">
        <v>22</v>
      </c>
      <c r="V60" s="833">
        <v>100</v>
      </c>
      <c r="W60" s="801">
        <f t="shared" si="1"/>
        <v>664</v>
      </c>
      <c r="X60" s="833"/>
      <c r="Y60" s="833"/>
      <c r="Z60" s="803">
        <v>4</v>
      </c>
      <c r="AA60" s="833">
        <v>100</v>
      </c>
      <c r="AB60" s="801">
        <f t="shared" si="2"/>
        <v>104</v>
      </c>
      <c r="AC60" s="799"/>
      <c r="AD60" s="799"/>
      <c r="AE60" s="800"/>
      <c r="AF60" s="804"/>
      <c r="AG60" s="799"/>
      <c r="AH60" s="800"/>
      <c r="AI60" s="800">
        <v>104</v>
      </c>
      <c r="AJ60" s="801">
        <f t="shared" si="3"/>
        <v>104</v>
      </c>
      <c r="AK60" s="800">
        <f t="shared" si="12"/>
        <v>41307</v>
      </c>
      <c r="AL60" s="800">
        <f t="shared" si="12"/>
        <v>16357.572</v>
      </c>
      <c r="AM60" s="800">
        <f t="shared" si="12"/>
        <v>24949.428</v>
      </c>
      <c r="AN60" s="800">
        <f t="shared" si="12"/>
        <v>908.75400000000002</v>
      </c>
      <c r="AO60" s="192">
        <f t="shared" si="11"/>
        <v>0.39600000000000002</v>
      </c>
      <c r="AP60" s="193">
        <f t="shared" si="13"/>
        <v>1572.7539999999999</v>
      </c>
      <c r="AQ60" s="193">
        <f t="shared" si="9"/>
        <v>-1572.7539999999999</v>
      </c>
      <c r="AR60" s="805"/>
      <c r="AS60" s="119"/>
      <c r="AT60" s="119"/>
      <c r="AU60" s="120"/>
      <c r="AV60" s="806"/>
      <c r="AW60" s="800">
        <v>41307000</v>
      </c>
      <c r="AX60" s="807">
        <v>16357572</v>
      </c>
      <c r="AY60" s="807">
        <v>24949428</v>
      </c>
      <c r="AZ60" s="807">
        <v>908754</v>
      </c>
      <c r="BA60" s="196">
        <f t="shared" si="7"/>
        <v>0.39600000000000002</v>
      </c>
      <c r="BB60" s="210">
        <v>0</v>
      </c>
      <c r="BC60" s="115">
        <v>0</v>
      </c>
      <c r="BD60" s="236">
        <v>0</v>
      </c>
    </row>
    <row r="61" spans="1:56" s="808" customFormat="1" ht="14.25" customHeight="1">
      <c r="A61" s="792">
        <v>2024</v>
      </c>
      <c r="B61" s="793" t="str">
        <f>+INDEX('①基本情報 '!C:C,MATCH('③経費情報(2024)'!E61,'①基本情報 '!E:E,0))</f>
        <v>053</v>
      </c>
      <c r="C61" s="794" t="str">
        <f>+INDEX('①基本情報 '!B:B,MATCH('③経費情報(2024)'!E61,'①基本情報 '!E:E,0))</f>
        <v>0268</v>
      </c>
      <c r="D61" s="809" t="s">
        <v>2415</v>
      </c>
      <c r="E61" s="616" t="s">
        <v>425</v>
      </c>
      <c r="F61" s="616" t="str">
        <f>INDEX('①基本情報 '!F:F,MATCH('③経費情報(2024)'!E61,'①基本情報 '!E:E,0))</f>
        <v>市民自治部</v>
      </c>
      <c r="G61" s="797" t="s">
        <v>180</v>
      </c>
      <c r="H61" s="831"/>
      <c r="I61" s="834"/>
      <c r="J61" s="840">
        <v>30</v>
      </c>
      <c r="K61" s="801">
        <f t="shared" si="0"/>
        <v>30</v>
      </c>
      <c r="L61" s="799">
        <v>241</v>
      </c>
      <c r="M61" s="833">
        <v>28</v>
      </c>
      <c r="N61" s="115"/>
      <c r="O61" s="799">
        <v>0</v>
      </c>
      <c r="P61" s="835">
        <v>2.4E-2</v>
      </c>
      <c r="Q61" s="799">
        <v>9119</v>
      </c>
      <c r="R61" s="834"/>
      <c r="S61" s="799">
        <f t="shared" si="8"/>
        <v>219</v>
      </c>
      <c r="T61" s="115"/>
      <c r="U61" s="144">
        <v>22</v>
      </c>
      <c r="V61" s="833">
        <v>100</v>
      </c>
      <c r="W61" s="801">
        <f t="shared" si="1"/>
        <v>610</v>
      </c>
      <c r="X61" s="833"/>
      <c r="Y61" s="833"/>
      <c r="Z61" s="803">
        <v>45</v>
      </c>
      <c r="AA61" s="833">
        <v>100</v>
      </c>
      <c r="AB61" s="801">
        <f t="shared" si="2"/>
        <v>145</v>
      </c>
      <c r="AC61" s="799"/>
      <c r="AD61" s="799"/>
      <c r="AE61" s="800"/>
      <c r="AF61" s="804"/>
      <c r="AG61" s="799">
        <v>120</v>
      </c>
      <c r="AH61" s="800"/>
      <c r="AI61" s="800"/>
      <c r="AJ61" s="801">
        <f t="shared" si="3"/>
        <v>120</v>
      </c>
      <c r="AK61" s="800">
        <f t="shared" si="12"/>
        <v>52504</v>
      </c>
      <c r="AL61" s="800">
        <f t="shared" si="12"/>
        <v>37405.357000000004</v>
      </c>
      <c r="AM61" s="800">
        <f t="shared" si="12"/>
        <v>15098.643</v>
      </c>
      <c r="AN61" s="800">
        <f t="shared" si="12"/>
        <v>1155.088</v>
      </c>
      <c r="AO61" s="192">
        <f t="shared" si="11"/>
        <v>0.71242871019350906</v>
      </c>
      <c r="AP61" s="193">
        <f t="shared" si="13"/>
        <v>1765.088</v>
      </c>
      <c r="AQ61" s="193">
        <f t="shared" si="9"/>
        <v>-1735.088</v>
      </c>
      <c r="AR61" s="805"/>
      <c r="AS61" s="119"/>
      <c r="AT61" s="119"/>
      <c r="AU61" s="120"/>
      <c r="AV61" s="806"/>
      <c r="AW61" s="800">
        <v>52504000</v>
      </c>
      <c r="AX61" s="807">
        <v>37405357</v>
      </c>
      <c r="AY61" s="807">
        <v>15098643</v>
      </c>
      <c r="AZ61" s="807">
        <v>1155088</v>
      </c>
      <c r="BA61" s="196">
        <f t="shared" si="7"/>
        <v>0.71242871019350906</v>
      </c>
      <c r="BB61" s="210">
        <v>5091</v>
      </c>
      <c r="BC61" s="115">
        <v>9</v>
      </c>
      <c r="BD61" s="236">
        <v>0</v>
      </c>
    </row>
    <row r="62" spans="1:56" s="808" customFormat="1" ht="14.25" customHeight="1">
      <c r="A62" s="792">
        <v>2024</v>
      </c>
      <c r="B62" s="793" t="str">
        <f>+INDEX('①基本情報 '!C:C,MATCH('③経費情報(2024)'!E62,'①基本情報 '!E:E,0))</f>
        <v>054</v>
      </c>
      <c r="C62" s="794" t="str">
        <f>+INDEX('①基本情報 '!B:B,MATCH('③経費情報(2024)'!E62,'①基本情報 '!E:E,0))</f>
        <v>0273</v>
      </c>
      <c r="D62" s="809" t="s">
        <v>2415</v>
      </c>
      <c r="E62" s="616" t="s">
        <v>431</v>
      </c>
      <c r="F62" s="616" t="str">
        <f>INDEX('①基本情報 '!F:F,MATCH('③経費情報(2024)'!E62,'①基本情報 '!E:E,0))</f>
        <v>市民自治部</v>
      </c>
      <c r="G62" s="797" t="s">
        <v>180</v>
      </c>
      <c r="H62" s="831"/>
      <c r="I62" s="834"/>
      <c r="J62" s="840">
        <v>61</v>
      </c>
      <c r="K62" s="801">
        <f t="shared" si="0"/>
        <v>61</v>
      </c>
      <c r="L62" s="799">
        <v>112</v>
      </c>
      <c r="M62" s="833">
        <v>63</v>
      </c>
      <c r="N62" s="115"/>
      <c r="O62" s="799">
        <v>0</v>
      </c>
      <c r="P62" s="835">
        <v>2.4E-2</v>
      </c>
      <c r="Q62" s="799">
        <v>9119</v>
      </c>
      <c r="R62" s="834"/>
      <c r="S62" s="799">
        <f t="shared" si="8"/>
        <v>219</v>
      </c>
      <c r="T62" s="115"/>
      <c r="U62" s="144">
        <v>22</v>
      </c>
      <c r="V62" s="833">
        <v>100</v>
      </c>
      <c r="W62" s="801">
        <f t="shared" si="1"/>
        <v>516</v>
      </c>
      <c r="X62" s="833"/>
      <c r="Y62" s="833"/>
      <c r="Z62" s="803">
        <v>110</v>
      </c>
      <c r="AA62" s="833">
        <v>100</v>
      </c>
      <c r="AB62" s="801">
        <f t="shared" si="2"/>
        <v>210</v>
      </c>
      <c r="AC62" s="799"/>
      <c r="AD62" s="799"/>
      <c r="AE62" s="800"/>
      <c r="AF62" s="804"/>
      <c r="AG62" s="799">
        <v>120</v>
      </c>
      <c r="AH62" s="800"/>
      <c r="AI62" s="800"/>
      <c r="AJ62" s="801">
        <f t="shared" si="3"/>
        <v>120</v>
      </c>
      <c r="AK62" s="800">
        <f t="shared" si="12"/>
        <v>96280</v>
      </c>
      <c r="AL62" s="800">
        <f t="shared" si="12"/>
        <v>83142.369000000006</v>
      </c>
      <c r="AM62" s="800">
        <f t="shared" si="12"/>
        <v>13137.630999999999</v>
      </c>
      <c r="AN62" s="800">
        <f t="shared" si="12"/>
        <v>1644.874</v>
      </c>
      <c r="AO62" s="192">
        <f t="shared" si="11"/>
        <v>0.86354766306605735</v>
      </c>
      <c r="AP62" s="193">
        <f t="shared" si="13"/>
        <v>2160.8739999999998</v>
      </c>
      <c r="AQ62" s="193">
        <f t="shared" si="9"/>
        <v>-2099.8739999999998</v>
      </c>
      <c r="AR62" s="805"/>
      <c r="AS62" s="119"/>
      <c r="AT62" s="119"/>
      <c r="AU62" s="120"/>
      <c r="AV62" s="806"/>
      <c r="AW62" s="800">
        <v>96280000</v>
      </c>
      <c r="AX62" s="807">
        <v>83142369</v>
      </c>
      <c r="AY62" s="807">
        <v>13137631</v>
      </c>
      <c r="AZ62" s="807">
        <v>1644874</v>
      </c>
      <c r="BA62" s="196">
        <f t="shared" si="7"/>
        <v>0.86354766306605735</v>
      </c>
      <c r="BB62" s="210">
        <v>0</v>
      </c>
      <c r="BC62" s="115">
        <v>0</v>
      </c>
      <c r="BD62" s="236">
        <v>0</v>
      </c>
    </row>
    <row r="63" spans="1:56" s="808" customFormat="1" ht="14.25" customHeight="1">
      <c r="A63" s="792">
        <v>2024</v>
      </c>
      <c r="B63" s="793" t="str">
        <f>+INDEX('①基本情報 '!C:C,MATCH('③経費情報(2024)'!E63,'①基本情報 '!E:E,0))</f>
        <v>055</v>
      </c>
      <c r="C63" s="794" t="str">
        <f>+INDEX('①基本情報 '!B:B,MATCH('③経費情報(2024)'!E63,'①基本情報 '!E:E,0))</f>
        <v>0274</v>
      </c>
      <c r="D63" s="809" t="s">
        <v>2415</v>
      </c>
      <c r="E63" s="616" t="s">
        <v>440</v>
      </c>
      <c r="F63" s="616" t="str">
        <f>INDEX('①基本情報 '!F:F,MATCH('③経費情報(2024)'!E63,'①基本情報 '!E:E,0))</f>
        <v>市民自治部</v>
      </c>
      <c r="G63" s="797" t="s">
        <v>180</v>
      </c>
      <c r="H63" s="831"/>
      <c r="I63" s="834"/>
      <c r="J63" s="840">
        <v>24</v>
      </c>
      <c r="K63" s="801">
        <f t="shared" si="0"/>
        <v>24</v>
      </c>
      <c r="L63" s="799"/>
      <c r="M63" s="833">
        <v>911</v>
      </c>
      <c r="N63" s="115"/>
      <c r="O63" s="799">
        <v>98</v>
      </c>
      <c r="P63" s="835">
        <v>2.4E-2</v>
      </c>
      <c r="Q63" s="799">
        <v>9119</v>
      </c>
      <c r="R63" s="834"/>
      <c r="S63" s="799">
        <f t="shared" si="8"/>
        <v>219</v>
      </c>
      <c r="T63" s="115"/>
      <c r="U63" s="144">
        <v>10</v>
      </c>
      <c r="V63" s="833">
        <v>100</v>
      </c>
      <c r="W63" s="801">
        <f t="shared" si="1"/>
        <v>1338</v>
      </c>
      <c r="X63" s="833"/>
      <c r="Y63" s="833"/>
      <c r="Z63" s="803">
        <v>95</v>
      </c>
      <c r="AA63" s="833">
        <v>100</v>
      </c>
      <c r="AB63" s="801">
        <f t="shared" si="2"/>
        <v>195</v>
      </c>
      <c r="AC63" s="799"/>
      <c r="AD63" s="799"/>
      <c r="AE63" s="800"/>
      <c r="AF63" s="804"/>
      <c r="AG63" s="799">
        <v>120</v>
      </c>
      <c r="AH63" s="800"/>
      <c r="AI63" s="800"/>
      <c r="AJ63" s="801">
        <f t="shared" si="3"/>
        <v>120</v>
      </c>
      <c r="AK63" s="800">
        <f t="shared" si="12"/>
        <v>158400.9</v>
      </c>
      <c r="AL63" s="800">
        <f t="shared" si="12"/>
        <v>83635.656000000003</v>
      </c>
      <c r="AM63" s="800">
        <f t="shared" si="12"/>
        <v>74765.244000000006</v>
      </c>
      <c r="AN63" s="800">
        <f t="shared" si="12"/>
        <v>3484.819</v>
      </c>
      <c r="AO63" s="192">
        <f t="shared" si="11"/>
        <v>0.52799987878856747</v>
      </c>
      <c r="AP63" s="193">
        <f t="shared" si="13"/>
        <v>4822.8189999999995</v>
      </c>
      <c r="AQ63" s="193">
        <f t="shared" si="9"/>
        <v>-4798.8189999999995</v>
      </c>
      <c r="AR63" s="805"/>
      <c r="AS63" s="119"/>
      <c r="AT63" s="119"/>
      <c r="AU63" s="120"/>
      <c r="AV63" s="806"/>
      <c r="AW63" s="800">
        <v>158400900</v>
      </c>
      <c r="AX63" s="807">
        <v>83635656</v>
      </c>
      <c r="AY63" s="807">
        <v>74765244</v>
      </c>
      <c r="AZ63" s="807">
        <v>3484819</v>
      </c>
      <c r="BA63" s="196">
        <f t="shared" si="7"/>
        <v>0.52799987878856747</v>
      </c>
      <c r="BB63" s="210">
        <v>3529</v>
      </c>
      <c r="BC63" s="115">
        <v>0</v>
      </c>
      <c r="BD63" s="236">
        <v>0.2</v>
      </c>
    </row>
    <row r="64" spans="1:56" s="808" customFormat="1" ht="14.25" customHeight="1">
      <c r="A64" s="792">
        <v>2024</v>
      </c>
      <c r="B64" s="793" t="str">
        <f>+INDEX('①基本情報 '!C:C,MATCH('③経費情報(2024)'!E64,'①基本情報 '!E:E,0))</f>
        <v>056</v>
      </c>
      <c r="C64" s="794" t="str">
        <f>+INDEX('①基本情報 '!B:B,MATCH('③経費情報(2024)'!E64,'①基本情報 '!E:E,0))</f>
        <v>0275</v>
      </c>
      <c r="D64" s="809" t="s">
        <v>2415</v>
      </c>
      <c r="E64" s="616" t="s">
        <v>252</v>
      </c>
      <c r="F64" s="616" t="str">
        <f>INDEX('①基本情報 '!F:F,MATCH('③経費情報(2024)'!E64,'①基本情報 '!E:E,0))</f>
        <v>市民自治部</v>
      </c>
      <c r="G64" s="797" t="s">
        <v>180</v>
      </c>
      <c r="H64" s="831"/>
      <c r="I64" s="834"/>
      <c r="J64" s="840">
        <v>22</v>
      </c>
      <c r="K64" s="801">
        <f t="shared" si="0"/>
        <v>22</v>
      </c>
      <c r="L64" s="799">
        <v>812</v>
      </c>
      <c r="M64" s="833">
        <v>56</v>
      </c>
      <c r="N64" s="115"/>
      <c r="O64" s="799">
        <v>46</v>
      </c>
      <c r="P64" s="835">
        <v>2.4E-2</v>
      </c>
      <c r="Q64" s="799">
        <v>9119</v>
      </c>
      <c r="R64" s="834"/>
      <c r="S64" s="799">
        <f t="shared" si="8"/>
        <v>219</v>
      </c>
      <c r="T64" s="115"/>
      <c r="U64" s="144">
        <v>79</v>
      </c>
      <c r="V64" s="833">
        <v>100</v>
      </c>
      <c r="W64" s="801">
        <f t="shared" si="1"/>
        <v>1312</v>
      </c>
      <c r="X64" s="833"/>
      <c r="Y64" s="833"/>
      <c r="Z64" s="833">
        <v>89</v>
      </c>
      <c r="AA64" s="833">
        <v>100</v>
      </c>
      <c r="AB64" s="801">
        <f t="shared" si="2"/>
        <v>189</v>
      </c>
      <c r="AC64" s="799"/>
      <c r="AD64" s="799"/>
      <c r="AE64" s="800"/>
      <c r="AF64" s="804"/>
      <c r="AG64" s="799"/>
      <c r="AH64" s="800"/>
      <c r="AI64" s="800">
        <v>263</v>
      </c>
      <c r="AJ64" s="801">
        <f t="shared" si="3"/>
        <v>263</v>
      </c>
      <c r="AK64" s="800">
        <f t="shared" si="12"/>
        <v>100815.75</v>
      </c>
      <c r="AL64" s="800">
        <f t="shared" si="12"/>
        <v>92750.48</v>
      </c>
      <c r="AM64" s="800">
        <f t="shared" si="12"/>
        <v>8065.27</v>
      </c>
      <c r="AN64" s="800">
        <f t="shared" si="12"/>
        <v>4637.5240000000003</v>
      </c>
      <c r="AO64" s="192">
        <f t="shared" si="11"/>
        <v>0.9199999008091494</v>
      </c>
      <c r="AP64" s="193">
        <f t="shared" si="13"/>
        <v>5949.5240000000003</v>
      </c>
      <c r="AQ64" s="193">
        <f t="shared" si="9"/>
        <v>-5927.5240000000003</v>
      </c>
      <c r="AR64" s="805"/>
      <c r="AS64" s="119"/>
      <c r="AT64" s="119"/>
      <c r="AU64" s="120"/>
      <c r="AV64" s="806"/>
      <c r="AW64" s="800">
        <v>100815750</v>
      </c>
      <c r="AX64" s="807">
        <v>92750480</v>
      </c>
      <c r="AY64" s="807">
        <v>8065270</v>
      </c>
      <c r="AZ64" s="807">
        <v>4637524</v>
      </c>
      <c r="BA64" s="196">
        <f t="shared" si="7"/>
        <v>0.9199999008091494</v>
      </c>
      <c r="BB64" s="210">
        <v>12804</v>
      </c>
      <c r="BC64" s="115">
        <v>0</v>
      </c>
      <c r="BD64" s="236">
        <v>0</v>
      </c>
    </row>
    <row r="65" spans="1:56" s="808" customFormat="1" ht="14.25" customHeight="1">
      <c r="A65" s="792">
        <v>2024</v>
      </c>
      <c r="B65" s="793" t="str">
        <f>+INDEX('①基本情報 '!C:C,MATCH('③経費情報(2024)'!E65,'①基本情報 '!E:E,0))</f>
        <v>057</v>
      </c>
      <c r="C65" s="794" t="str">
        <f>+INDEX('①基本情報 '!B:B,MATCH('③経費情報(2024)'!E65,'①基本情報 '!E:E,0))</f>
        <v>0251</v>
      </c>
      <c r="D65" s="809" t="s">
        <v>2415</v>
      </c>
      <c r="E65" s="616" t="s">
        <v>455</v>
      </c>
      <c r="F65" s="616" t="str">
        <f>INDEX('①基本情報 '!F:F,MATCH('③経費情報(2024)'!E65,'①基本情報 '!E:E,0))</f>
        <v>市民自治部</v>
      </c>
      <c r="G65" s="797" t="s">
        <v>180</v>
      </c>
      <c r="H65" s="831"/>
      <c r="I65" s="834"/>
      <c r="J65" s="840">
        <v>11</v>
      </c>
      <c r="K65" s="801">
        <f t="shared" si="0"/>
        <v>11</v>
      </c>
      <c r="L65" s="799">
        <v>303</v>
      </c>
      <c r="M65" s="833">
        <v>28</v>
      </c>
      <c r="N65" s="115"/>
      <c r="O65" s="799">
        <v>0</v>
      </c>
      <c r="P65" s="835">
        <v>2.4E-2</v>
      </c>
      <c r="Q65" s="799">
        <v>9119</v>
      </c>
      <c r="R65" s="834"/>
      <c r="S65" s="799">
        <f t="shared" si="8"/>
        <v>219</v>
      </c>
      <c r="T65" s="115"/>
      <c r="U65" s="144">
        <v>22</v>
      </c>
      <c r="V65" s="833">
        <v>100</v>
      </c>
      <c r="W65" s="801">
        <f t="shared" si="1"/>
        <v>672</v>
      </c>
      <c r="X65" s="833"/>
      <c r="Y65" s="833"/>
      <c r="Z65" s="803"/>
      <c r="AA65" s="833">
        <v>100</v>
      </c>
      <c r="AB65" s="801">
        <f t="shared" si="2"/>
        <v>100</v>
      </c>
      <c r="AC65" s="799"/>
      <c r="AD65" s="799">
        <v>60</v>
      </c>
      <c r="AE65" s="800"/>
      <c r="AF65" s="804"/>
      <c r="AG65" s="799"/>
      <c r="AH65" s="800"/>
      <c r="AI65" s="800">
        <v>44</v>
      </c>
      <c r="AJ65" s="801">
        <f t="shared" si="3"/>
        <v>104</v>
      </c>
      <c r="AK65" s="800">
        <f t="shared" si="12"/>
        <v>42144.9</v>
      </c>
      <c r="AL65" s="800">
        <f t="shared" si="12"/>
        <v>38941.853999999999</v>
      </c>
      <c r="AM65" s="800">
        <f t="shared" si="12"/>
        <v>3203.0459999999998</v>
      </c>
      <c r="AN65" s="800">
        <f t="shared" si="12"/>
        <v>927.18700000000001</v>
      </c>
      <c r="AO65" s="192">
        <f t="shared" si="11"/>
        <v>0.92399920275051073</v>
      </c>
      <c r="AP65" s="193">
        <f t="shared" si="13"/>
        <v>1599.1869999999999</v>
      </c>
      <c r="AQ65" s="193">
        <f t="shared" si="9"/>
        <v>-1588.1869999999999</v>
      </c>
      <c r="AR65" s="805"/>
      <c r="AS65" s="119"/>
      <c r="AT65" s="119"/>
      <c r="AU65" s="120"/>
      <c r="AV65" s="806"/>
      <c r="AW65" s="800">
        <v>42144900</v>
      </c>
      <c r="AX65" s="807">
        <v>38941854</v>
      </c>
      <c r="AY65" s="807">
        <v>3203046</v>
      </c>
      <c r="AZ65" s="807">
        <v>927187</v>
      </c>
      <c r="BA65" s="196">
        <f t="shared" si="7"/>
        <v>0.92399920275051073</v>
      </c>
      <c r="BB65" s="210">
        <v>1715</v>
      </c>
      <c r="BC65" s="115">
        <v>1</v>
      </c>
      <c r="BD65" s="236">
        <v>0</v>
      </c>
    </row>
    <row r="66" spans="1:56" s="808" customFormat="1" ht="14.25" customHeight="1">
      <c r="A66" s="792">
        <v>2024</v>
      </c>
      <c r="B66" s="793" t="str">
        <f>+INDEX('①基本情報 '!C:C,MATCH('③経費情報(2024)'!E66,'①基本情報 '!E:E,0))</f>
        <v>058</v>
      </c>
      <c r="C66" s="794" t="str">
        <f>+INDEX('①基本情報 '!B:B,MATCH('③経費情報(2024)'!E66,'①基本情報 '!E:E,0))</f>
        <v>0266</v>
      </c>
      <c r="D66" s="809" t="s">
        <v>2415</v>
      </c>
      <c r="E66" s="616" t="s">
        <v>462</v>
      </c>
      <c r="F66" s="616" t="str">
        <f>INDEX('①基本情報 '!F:F,MATCH('③経費情報(2024)'!E66,'①基本情報 '!E:E,0))</f>
        <v>市民自治部</v>
      </c>
      <c r="G66" s="797" t="s">
        <v>180</v>
      </c>
      <c r="H66" s="831"/>
      <c r="I66" s="834"/>
      <c r="J66" s="840">
        <v>26</v>
      </c>
      <c r="K66" s="801">
        <f t="shared" si="0"/>
        <v>26</v>
      </c>
      <c r="L66" s="799">
        <v>187</v>
      </c>
      <c r="M66" s="833">
        <v>28</v>
      </c>
      <c r="N66" s="115"/>
      <c r="O66" s="799">
        <v>160</v>
      </c>
      <c r="P66" s="835">
        <v>2.4E-2</v>
      </c>
      <c r="Q66" s="799">
        <v>9119</v>
      </c>
      <c r="R66" s="834"/>
      <c r="S66" s="799">
        <f t="shared" si="8"/>
        <v>219</v>
      </c>
      <c r="T66" s="115"/>
      <c r="U66" s="144">
        <v>22</v>
      </c>
      <c r="V66" s="833">
        <v>100</v>
      </c>
      <c r="W66" s="801">
        <f t="shared" si="1"/>
        <v>716</v>
      </c>
      <c r="X66" s="833"/>
      <c r="Y66" s="833"/>
      <c r="Z66" s="833">
        <v>41</v>
      </c>
      <c r="AA66" s="833">
        <v>100</v>
      </c>
      <c r="AB66" s="801">
        <f t="shared" si="2"/>
        <v>141</v>
      </c>
      <c r="AC66" s="799"/>
      <c r="AD66" s="799">
        <v>70</v>
      </c>
      <c r="AE66" s="800"/>
      <c r="AF66" s="804"/>
      <c r="AG66" s="799">
        <v>100</v>
      </c>
      <c r="AH66" s="800"/>
      <c r="AI66" s="800">
        <v>10</v>
      </c>
      <c r="AJ66" s="801">
        <f t="shared" si="3"/>
        <v>180</v>
      </c>
      <c r="AK66" s="800">
        <f t="shared" si="12"/>
        <v>55003.383000000002</v>
      </c>
      <c r="AL66" s="800">
        <f t="shared" si="12"/>
        <v>38241.118999999999</v>
      </c>
      <c r="AM66" s="800">
        <f t="shared" si="12"/>
        <v>16762.263999999999</v>
      </c>
      <c r="AN66" s="800">
        <f t="shared" si="12"/>
        <v>1459.171</v>
      </c>
      <c r="AO66" s="192">
        <f t="shared" si="11"/>
        <v>0.69525030851284186</v>
      </c>
      <c r="AP66" s="193">
        <f t="shared" si="13"/>
        <v>2175.1710000000003</v>
      </c>
      <c r="AQ66" s="193">
        <f t="shared" si="9"/>
        <v>-2149.1710000000003</v>
      </c>
      <c r="AR66" s="805"/>
      <c r="AS66" s="119"/>
      <c r="AT66" s="119"/>
      <c r="AU66" s="120"/>
      <c r="AV66" s="806"/>
      <c r="AW66" s="800">
        <v>55003383</v>
      </c>
      <c r="AX66" s="807">
        <v>38241119</v>
      </c>
      <c r="AY66" s="807">
        <v>16762264</v>
      </c>
      <c r="AZ66" s="807">
        <v>1459171</v>
      </c>
      <c r="BA66" s="196">
        <f t="shared" si="7"/>
        <v>0.69525030851284186</v>
      </c>
      <c r="BB66" s="210">
        <v>1893</v>
      </c>
      <c r="BC66" s="115">
        <v>0</v>
      </c>
      <c r="BD66" s="236">
        <v>0</v>
      </c>
    </row>
    <row r="67" spans="1:56" s="808" customFormat="1" ht="14.25" customHeight="1">
      <c r="A67" s="792">
        <v>2024</v>
      </c>
      <c r="B67" s="793" t="str">
        <f>+INDEX('①基本情報 '!C:C,MATCH('③経費情報(2024)'!E67,'①基本情報 '!E:E,0))</f>
        <v>059</v>
      </c>
      <c r="C67" s="794" t="str">
        <f>+INDEX('①基本情報 '!B:B,MATCH('③経費情報(2024)'!E67,'①基本情報 '!E:E,0))</f>
        <v>0269</v>
      </c>
      <c r="D67" s="809" t="s">
        <v>2415</v>
      </c>
      <c r="E67" s="616" t="s">
        <v>468</v>
      </c>
      <c r="F67" s="616" t="str">
        <f>INDEX('①基本情報 '!F:F,MATCH('③経費情報(2024)'!E67,'①基本情報 '!E:E,0))</f>
        <v>市民自治部</v>
      </c>
      <c r="G67" s="797" t="s">
        <v>180</v>
      </c>
      <c r="H67" s="831"/>
      <c r="I67" s="834"/>
      <c r="J67" s="840"/>
      <c r="K67" s="801">
        <f t="shared" si="0"/>
        <v>0</v>
      </c>
      <c r="L67" s="799">
        <v>187</v>
      </c>
      <c r="M67" s="833">
        <v>28</v>
      </c>
      <c r="N67" s="115"/>
      <c r="O67" s="799">
        <v>63</v>
      </c>
      <c r="P67" s="835">
        <v>2.4E-2</v>
      </c>
      <c r="Q67" s="799">
        <v>9119</v>
      </c>
      <c r="R67" s="834"/>
      <c r="S67" s="799">
        <f t="shared" si="8"/>
        <v>219</v>
      </c>
      <c r="T67" s="115"/>
      <c r="U67" s="144">
        <v>79</v>
      </c>
      <c r="V67" s="833">
        <v>100</v>
      </c>
      <c r="W67" s="801">
        <f t="shared" si="1"/>
        <v>676</v>
      </c>
      <c r="X67" s="833"/>
      <c r="Y67" s="833"/>
      <c r="Z67" s="803"/>
      <c r="AA67" s="833"/>
      <c r="AB67" s="801">
        <f t="shared" si="2"/>
        <v>0</v>
      </c>
      <c r="AC67" s="799"/>
      <c r="AD67" s="799"/>
      <c r="AE67" s="800"/>
      <c r="AF67" s="804"/>
      <c r="AG67" s="799"/>
      <c r="AH67" s="800"/>
      <c r="AI67" s="800"/>
      <c r="AJ67" s="801">
        <f t="shared" si="3"/>
        <v>0</v>
      </c>
      <c r="AK67" s="800">
        <f t="shared" si="12"/>
        <v>48356.453000000001</v>
      </c>
      <c r="AL67" s="800">
        <f t="shared" si="12"/>
        <v>30928.527999999998</v>
      </c>
      <c r="AM67" s="800">
        <f t="shared" si="12"/>
        <v>17427.924999999999</v>
      </c>
      <c r="AN67" s="800">
        <f t="shared" si="12"/>
        <v>1150.845</v>
      </c>
      <c r="AO67" s="192">
        <f t="shared" si="11"/>
        <v>0.63959463693501262</v>
      </c>
      <c r="AP67" s="193">
        <f t="shared" si="13"/>
        <v>1826.845</v>
      </c>
      <c r="AQ67" s="193">
        <f t="shared" si="9"/>
        <v>-1826.845</v>
      </c>
      <c r="AR67" s="805"/>
      <c r="AS67" s="119"/>
      <c r="AT67" s="119"/>
      <c r="AU67" s="120"/>
      <c r="AV67" s="806"/>
      <c r="AW67" s="800">
        <v>48356453</v>
      </c>
      <c r="AX67" s="807">
        <v>30928528</v>
      </c>
      <c r="AY67" s="807">
        <v>17427925</v>
      </c>
      <c r="AZ67" s="807">
        <v>1150845</v>
      </c>
      <c r="BA67" s="196">
        <f t="shared" si="7"/>
        <v>0.63959463693501262</v>
      </c>
      <c r="BB67" s="210">
        <v>2018</v>
      </c>
      <c r="BC67" s="115">
        <v>0</v>
      </c>
      <c r="BD67" s="236">
        <v>0</v>
      </c>
    </row>
    <row r="68" spans="1:56" s="808" customFormat="1" ht="14.25" customHeight="1">
      <c r="A68" s="792">
        <v>2024</v>
      </c>
      <c r="B68" s="793" t="str">
        <f>+INDEX('①基本情報 '!C:C,MATCH('③経費情報(2024)'!E68,'①基本情報 '!E:E,0))</f>
        <v>060</v>
      </c>
      <c r="C68" s="794" t="str">
        <f>+INDEX('①基本情報 '!B:B,MATCH('③経費情報(2024)'!E68,'①基本情報 '!E:E,0))</f>
        <v>0202</v>
      </c>
      <c r="D68" s="809" t="s">
        <v>2415</v>
      </c>
      <c r="E68" s="616" t="s">
        <v>472</v>
      </c>
      <c r="F68" s="616" t="str">
        <f>INDEX('①基本情報 '!F:F,MATCH('③経費情報(2024)'!E68,'①基本情報 '!E:E,0))</f>
        <v>市民自治部</v>
      </c>
      <c r="G68" s="797" t="s">
        <v>180</v>
      </c>
      <c r="H68" s="831"/>
      <c r="I68" s="834"/>
      <c r="J68" s="840">
        <v>482</v>
      </c>
      <c r="K68" s="801">
        <f t="shared" si="0"/>
        <v>482</v>
      </c>
      <c r="L68" s="799">
        <v>852</v>
      </c>
      <c r="M68" s="833">
        <v>28</v>
      </c>
      <c r="N68" s="115"/>
      <c r="O68" s="799">
        <v>0</v>
      </c>
      <c r="P68" s="835">
        <v>2.4E-2</v>
      </c>
      <c r="Q68" s="799">
        <v>9119</v>
      </c>
      <c r="R68" s="834"/>
      <c r="S68" s="799">
        <f t="shared" si="8"/>
        <v>219</v>
      </c>
      <c r="T68" s="115"/>
      <c r="U68" s="144">
        <v>101</v>
      </c>
      <c r="V68" s="833">
        <v>200</v>
      </c>
      <c r="W68" s="801">
        <f t="shared" si="1"/>
        <v>1400</v>
      </c>
      <c r="X68" s="833"/>
      <c r="Y68" s="833"/>
      <c r="Z68" s="833">
        <v>578</v>
      </c>
      <c r="AA68" s="833">
        <v>100</v>
      </c>
      <c r="AB68" s="801">
        <f t="shared" si="2"/>
        <v>678</v>
      </c>
      <c r="AC68" s="799"/>
      <c r="AD68" s="799">
        <v>78</v>
      </c>
      <c r="AE68" s="800"/>
      <c r="AF68" s="804"/>
      <c r="AG68" s="799">
        <v>370</v>
      </c>
      <c r="AH68" s="800"/>
      <c r="AI68" s="800">
        <v>358</v>
      </c>
      <c r="AJ68" s="801">
        <f t="shared" si="3"/>
        <v>806</v>
      </c>
      <c r="AK68" s="800">
        <f t="shared" si="12"/>
        <v>220896.77600000001</v>
      </c>
      <c r="AL68" s="800">
        <f t="shared" si="12"/>
        <v>198227.49400000001</v>
      </c>
      <c r="AM68" s="800">
        <f t="shared" si="12"/>
        <v>22669.281999999999</v>
      </c>
      <c r="AN68" s="800">
        <f t="shared" si="12"/>
        <v>723.99</v>
      </c>
      <c r="AO68" s="192">
        <f t="shared" si="11"/>
        <v>0.89737613010703243</v>
      </c>
      <c r="AP68" s="193">
        <f t="shared" si="13"/>
        <v>2123.9899999999998</v>
      </c>
      <c r="AQ68" s="193">
        <f t="shared" si="9"/>
        <v>-1641.9899999999998</v>
      </c>
      <c r="AR68" s="805"/>
      <c r="AS68" s="119"/>
      <c r="AT68" s="119"/>
      <c r="AU68" s="120"/>
      <c r="AV68" s="806"/>
      <c r="AW68" s="800">
        <v>220896776</v>
      </c>
      <c r="AX68" s="807">
        <v>198227494</v>
      </c>
      <c r="AY68" s="807">
        <v>22669282</v>
      </c>
      <c r="AZ68" s="807">
        <v>723990</v>
      </c>
      <c r="BA68" s="196">
        <f t="shared" si="7"/>
        <v>0.89737613010703243</v>
      </c>
      <c r="BB68" s="210">
        <v>13343</v>
      </c>
      <c r="BC68" s="115">
        <v>2</v>
      </c>
      <c r="BD68" s="236">
        <v>0</v>
      </c>
    </row>
    <row r="69" spans="1:56" s="808" customFormat="1" ht="14.25" customHeight="1">
      <c r="A69" s="792">
        <v>2024</v>
      </c>
      <c r="B69" s="793" t="str">
        <f>+INDEX('①基本情報 '!C:C,MATCH('③経費情報(2024)'!E69,'①基本情報 '!E:E,0))</f>
        <v>061</v>
      </c>
      <c r="C69" s="794" t="str">
        <f>+INDEX('①基本情報 '!B:B,MATCH('③経費情報(2024)'!E69,'①基本情報 '!E:E,0))</f>
        <v>0213</v>
      </c>
      <c r="D69" s="809" t="s">
        <v>2415</v>
      </c>
      <c r="E69" s="616" t="s">
        <v>477</v>
      </c>
      <c r="F69" s="616" t="str">
        <f>INDEX('①基本情報 '!F:F,MATCH('③経費情報(2024)'!E69,'①基本情報 '!E:E,0))</f>
        <v>市民自治部</v>
      </c>
      <c r="G69" s="797" t="s">
        <v>180</v>
      </c>
      <c r="H69" s="831"/>
      <c r="I69" s="834"/>
      <c r="J69" s="840"/>
      <c r="K69" s="801">
        <f t="shared" si="0"/>
        <v>0</v>
      </c>
      <c r="L69" s="799">
        <v>496</v>
      </c>
      <c r="M69" s="833">
        <v>28</v>
      </c>
      <c r="N69" s="115"/>
      <c r="O69" s="799">
        <v>1137</v>
      </c>
      <c r="P69" s="835">
        <v>2.4E-2</v>
      </c>
      <c r="Q69" s="799">
        <v>9119</v>
      </c>
      <c r="R69" s="834"/>
      <c r="S69" s="799">
        <f t="shared" si="8"/>
        <v>219</v>
      </c>
      <c r="T69" s="115">
        <v>2805</v>
      </c>
      <c r="U69" s="144">
        <v>22</v>
      </c>
      <c r="V69" s="833">
        <v>100</v>
      </c>
      <c r="W69" s="801">
        <f t="shared" si="1"/>
        <v>4807</v>
      </c>
      <c r="X69" s="833"/>
      <c r="Y69" s="833"/>
      <c r="Z69" s="833">
        <v>36</v>
      </c>
      <c r="AA69" s="833">
        <v>100</v>
      </c>
      <c r="AB69" s="801">
        <f t="shared" si="2"/>
        <v>136</v>
      </c>
      <c r="AC69" s="799"/>
      <c r="AD69" s="799">
        <v>10</v>
      </c>
      <c r="AE69" s="800"/>
      <c r="AF69" s="804"/>
      <c r="AG69" s="799">
        <v>36</v>
      </c>
      <c r="AH69" s="800"/>
      <c r="AI69" s="800">
        <v>94</v>
      </c>
      <c r="AJ69" s="801">
        <f t="shared" ref="AJ69:AJ132" si="14">SUBTOTAL(9,AC69:AI69)</f>
        <v>140</v>
      </c>
      <c r="AK69" s="800">
        <f t="shared" si="12"/>
        <v>94369.024000000005</v>
      </c>
      <c r="AL69" s="800">
        <f t="shared" si="12"/>
        <v>83988.157999999996</v>
      </c>
      <c r="AM69" s="800">
        <f t="shared" si="12"/>
        <v>10380.866</v>
      </c>
      <c r="AN69" s="800">
        <f t="shared" si="12"/>
        <v>440.78300000000002</v>
      </c>
      <c r="AO69" s="192">
        <f t="shared" si="11"/>
        <v>0.88999710328677339</v>
      </c>
      <c r="AP69" s="193">
        <f t="shared" si="13"/>
        <v>5247.7830000000004</v>
      </c>
      <c r="AQ69" s="193">
        <f t="shared" si="9"/>
        <v>-5247.7830000000004</v>
      </c>
      <c r="AR69" s="805"/>
      <c r="AS69" s="119"/>
      <c r="AT69" s="119"/>
      <c r="AU69" s="120"/>
      <c r="AV69" s="806"/>
      <c r="AW69" s="800">
        <v>94369024</v>
      </c>
      <c r="AX69" s="807">
        <v>83988158</v>
      </c>
      <c r="AY69" s="807">
        <v>10380866</v>
      </c>
      <c r="AZ69" s="807">
        <v>440783</v>
      </c>
      <c r="BA69" s="196">
        <f t="shared" si="7"/>
        <v>0.88999710328677339</v>
      </c>
      <c r="BB69" s="210">
        <v>9333</v>
      </c>
      <c r="BC69" s="115">
        <v>0</v>
      </c>
      <c r="BD69" s="236">
        <v>35.599999999999994</v>
      </c>
    </row>
    <row r="70" spans="1:56" s="808" customFormat="1" ht="14.25" customHeight="1">
      <c r="A70" s="792">
        <v>2024</v>
      </c>
      <c r="B70" s="793" t="str">
        <f>+INDEX('①基本情報 '!C:C,MATCH('③経費情報(2024)'!E70,'①基本情報 '!E:E,0))</f>
        <v>062</v>
      </c>
      <c r="C70" s="794" t="str">
        <f>+INDEX('①基本情報 '!B:B,MATCH('③経費情報(2024)'!E70,'①基本情報 '!E:E,0))</f>
        <v>0229</v>
      </c>
      <c r="D70" s="809" t="s">
        <v>2415</v>
      </c>
      <c r="E70" s="616" t="s">
        <v>483</v>
      </c>
      <c r="F70" s="616" t="str">
        <f>INDEX('①基本情報 '!F:F,MATCH('③経費情報(2024)'!E70,'①基本情報 '!E:E,0))</f>
        <v>市民自治部</v>
      </c>
      <c r="G70" s="797" t="s">
        <v>180</v>
      </c>
      <c r="H70" s="831"/>
      <c r="I70" s="834"/>
      <c r="J70" s="840"/>
      <c r="K70" s="801">
        <f t="shared" ref="K70:K133" si="15">SUBTOTAL(9,H70:J70)</f>
        <v>0</v>
      </c>
      <c r="L70" s="799">
        <v>129</v>
      </c>
      <c r="M70" s="833">
        <v>28</v>
      </c>
      <c r="N70" s="115"/>
      <c r="O70" s="799">
        <v>94</v>
      </c>
      <c r="P70" s="835">
        <v>2.4E-2</v>
      </c>
      <c r="Q70" s="799">
        <v>9119</v>
      </c>
      <c r="R70" s="834"/>
      <c r="S70" s="799">
        <f t="shared" ref="S70:S133" si="16">ROUND(P70*Q70,0)+R70</f>
        <v>219</v>
      </c>
      <c r="T70" s="115"/>
      <c r="U70" s="144">
        <v>22</v>
      </c>
      <c r="V70" s="833">
        <v>100</v>
      </c>
      <c r="W70" s="801">
        <f t="shared" ref="W70:W133" si="17">SUBTOTAL(9,L70:O70,S70:V70)</f>
        <v>592</v>
      </c>
      <c r="X70" s="833"/>
      <c r="Y70" s="833"/>
      <c r="Z70" s="833"/>
      <c r="AA70" s="833">
        <v>100</v>
      </c>
      <c r="AB70" s="801">
        <f t="shared" ref="AB70:AB133" si="18">SUBTOTAL(9,X70:AA70)</f>
        <v>100</v>
      </c>
      <c r="AC70" s="799"/>
      <c r="AD70" s="799"/>
      <c r="AE70" s="800"/>
      <c r="AF70" s="804"/>
      <c r="AG70" s="799">
        <v>60</v>
      </c>
      <c r="AH70" s="800"/>
      <c r="AI70" s="800">
        <v>26</v>
      </c>
      <c r="AJ70" s="801">
        <f t="shared" si="14"/>
        <v>86</v>
      </c>
      <c r="AK70" s="800">
        <f t="shared" si="12"/>
        <v>37489.5</v>
      </c>
      <c r="AL70" s="800">
        <f t="shared" si="12"/>
        <v>31802.463</v>
      </c>
      <c r="AM70" s="800">
        <f t="shared" si="12"/>
        <v>5687.0370000000003</v>
      </c>
      <c r="AN70" s="800">
        <f t="shared" si="12"/>
        <v>824.76900000000001</v>
      </c>
      <c r="AO70" s="192">
        <f t="shared" si="11"/>
        <v>0.84830320489737121</v>
      </c>
      <c r="AP70" s="193">
        <f t="shared" si="13"/>
        <v>1416.769</v>
      </c>
      <c r="AQ70" s="193">
        <f t="shared" ref="AQ70:AQ133" si="19">K70-AP70</f>
        <v>-1416.769</v>
      </c>
      <c r="AR70" s="805"/>
      <c r="AS70" s="119"/>
      <c r="AT70" s="119"/>
      <c r="AU70" s="120"/>
      <c r="AV70" s="806"/>
      <c r="AW70" s="800">
        <v>37489500</v>
      </c>
      <c r="AX70" s="807">
        <v>31802463</v>
      </c>
      <c r="AY70" s="807">
        <v>5687037</v>
      </c>
      <c r="AZ70" s="807">
        <v>824769</v>
      </c>
      <c r="BA70" s="196">
        <f t="shared" ref="BA70:BA93" si="20">AX70/AW70</f>
        <v>0.84830320489737121</v>
      </c>
      <c r="BB70" s="210">
        <v>2026</v>
      </c>
      <c r="BC70" s="115">
        <v>0</v>
      </c>
      <c r="BD70" s="236">
        <v>0</v>
      </c>
    </row>
    <row r="71" spans="1:56" s="808" customFormat="1" ht="14.25" customHeight="1">
      <c r="A71" s="792">
        <v>2024</v>
      </c>
      <c r="B71" s="793" t="str">
        <f>+INDEX('①基本情報 '!C:C,MATCH('③経費情報(2024)'!E71,'①基本情報 '!E:E,0))</f>
        <v>063</v>
      </c>
      <c r="C71" s="794" t="str">
        <f>+INDEX('①基本情報 '!B:B,MATCH('③経費情報(2024)'!E71,'①基本情報 '!E:E,0))</f>
        <v>0230</v>
      </c>
      <c r="D71" s="809" t="s">
        <v>2415</v>
      </c>
      <c r="E71" s="616" t="s">
        <v>488</v>
      </c>
      <c r="F71" s="616" t="str">
        <f>INDEX('①基本情報 '!F:F,MATCH('③経費情報(2024)'!E71,'①基本情報 '!E:E,0))</f>
        <v>市民自治部</v>
      </c>
      <c r="G71" s="797" t="s">
        <v>180</v>
      </c>
      <c r="H71" s="831"/>
      <c r="I71" s="834"/>
      <c r="J71" s="840"/>
      <c r="K71" s="801">
        <f t="shared" si="15"/>
        <v>0</v>
      </c>
      <c r="L71" s="799">
        <v>493</v>
      </c>
      <c r="M71" s="833">
        <v>28</v>
      </c>
      <c r="N71" s="115"/>
      <c r="O71" s="799">
        <v>82</v>
      </c>
      <c r="P71" s="835">
        <v>2.4E-2</v>
      </c>
      <c r="Q71" s="799">
        <v>9119</v>
      </c>
      <c r="R71" s="834"/>
      <c r="S71" s="799">
        <f t="shared" si="16"/>
        <v>219</v>
      </c>
      <c r="T71" s="115"/>
      <c r="U71" s="144">
        <v>30</v>
      </c>
      <c r="V71" s="833">
        <v>100</v>
      </c>
      <c r="W71" s="801">
        <f t="shared" si="17"/>
        <v>952</v>
      </c>
      <c r="X71" s="833"/>
      <c r="Y71" s="833"/>
      <c r="Z71" s="803">
        <v>270</v>
      </c>
      <c r="AA71" s="833">
        <v>100</v>
      </c>
      <c r="AB71" s="801">
        <f t="shared" si="18"/>
        <v>370</v>
      </c>
      <c r="AC71" s="799"/>
      <c r="AD71" s="799">
        <v>150</v>
      </c>
      <c r="AE71" s="800"/>
      <c r="AF71" s="804"/>
      <c r="AG71" s="799"/>
      <c r="AH71" s="800"/>
      <c r="AI71" s="800">
        <v>168</v>
      </c>
      <c r="AJ71" s="801">
        <f t="shared" si="14"/>
        <v>318</v>
      </c>
      <c r="AK71" s="800">
        <f t="shared" si="12"/>
        <v>83334.100000000006</v>
      </c>
      <c r="AL71" s="800">
        <f t="shared" si="12"/>
        <v>81420.159</v>
      </c>
      <c r="AM71" s="800">
        <f t="shared" si="12"/>
        <v>1913.941</v>
      </c>
      <c r="AN71" s="800">
        <f t="shared" si="12"/>
        <v>654.255</v>
      </c>
      <c r="AO71" s="192">
        <f t="shared" si="11"/>
        <v>0.97703291929714242</v>
      </c>
      <c r="AP71" s="193">
        <f t="shared" si="13"/>
        <v>1606.2550000000001</v>
      </c>
      <c r="AQ71" s="193">
        <f t="shared" si="19"/>
        <v>-1606.2550000000001</v>
      </c>
      <c r="AR71" s="805"/>
      <c r="AS71" s="119"/>
      <c r="AT71" s="119"/>
      <c r="AU71" s="120"/>
      <c r="AV71" s="806"/>
      <c r="AW71" s="800">
        <v>83334100</v>
      </c>
      <c r="AX71" s="807">
        <v>81420159</v>
      </c>
      <c r="AY71" s="807">
        <v>1913941</v>
      </c>
      <c r="AZ71" s="807">
        <v>654255</v>
      </c>
      <c r="BA71" s="196">
        <f t="shared" si="20"/>
        <v>0.97703291929714242</v>
      </c>
      <c r="BB71" s="210">
        <v>7326</v>
      </c>
      <c r="BC71" s="115">
        <v>9</v>
      </c>
      <c r="BD71" s="236">
        <v>0</v>
      </c>
    </row>
    <row r="72" spans="1:56" s="808" customFormat="1" ht="14.25" customHeight="1">
      <c r="A72" s="792">
        <v>2024</v>
      </c>
      <c r="B72" s="793" t="str">
        <f>+INDEX('①基本情報 '!C:C,MATCH('③経費情報(2024)'!E72,'①基本情報 '!E:E,0))</f>
        <v>064</v>
      </c>
      <c r="C72" s="794" t="str">
        <f>+INDEX('①基本情報 '!B:B,MATCH('③経費情報(2024)'!E72,'①基本情報 '!E:E,0))</f>
        <v>0258</v>
      </c>
      <c r="D72" s="809" t="s">
        <v>2415</v>
      </c>
      <c r="E72" s="616" t="s">
        <v>494</v>
      </c>
      <c r="F72" s="616" t="str">
        <f>INDEX('①基本情報 '!F:F,MATCH('③経費情報(2024)'!E72,'①基本情報 '!E:E,0))</f>
        <v>市民自治部</v>
      </c>
      <c r="G72" s="797" t="s">
        <v>180</v>
      </c>
      <c r="H72" s="831"/>
      <c r="I72" s="834"/>
      <c r="J72" s="840">
        <v>25</v>
      </c>
      <c r="K72" s="801">
        <f t="shared" si="15"/>
        <v>25</v>
      </c>
      <c r="L72" s="799">
        <v>519</v>
      </c>
      <c r="M72" s="833">
        <v>28</v>
      </c>
      <c r="N72" s="115"/>
      <c r="O72" s="799">
        <v>197</v>
      </c>
      <c r="P72" s="835">
        <v>2.4E-2</v>
      </c>
      <c r="Q72" s="799">
        <v>9119</v>
      </c>
      <c r="R72" s="834"/>
      <c r="S72" s="799">
        <f t="shared" si="16"/>
        <v>219</v>
      </c>
      <c r="T72" s="115"/>
      <c r="U72" s="144">
        <v>30</v>
      </c>
      <c r="V72" s="833">
        <v>100</v>
      </c>
      <c r="W72" s="801">
        <f t="shared" si="17"/>
        <v>1093</v>
      </c>
      <c r="X72" s="833"/>
      <c r="Y72" s="833"/>
      <c r="Z72" s="803">
        <v>66</v>
      </c>
      <c r="AA72" s="833">
        <v>100</v>
      </c>
      <c r="AB72" s="801">
        <f t="shared" si="18"/>
        <v>166</v>
      </c>
      <c r="AC72" s="799"/>
      <c r="AD72" s="799"/>
      <c r="AE72" s="800"/>
      <c r="AF72" s="804"/>
      <c r="AG72" s="799">
        <v>104</v>
      </c>
      <c r="AH72" s="800"/>
      <c r="AI72" s="800">
        <v>30</v>
      </c>
      <c r="AJ72" s="801">
        <f t="shared" si="14"/>
        <v>134</v>
      </c>
      <c r="AK72" s="800">
        <f t="shared" si="12"/>
        <v>100172.7</v>
      </c>
      <c r="AL72" s="800">
        <f t="shared" si="12"/>
        <v>84813.505000000005</v>
      </c>
      <c r="AM72" s="800">
        <f t="shared" si="12"/>
        <v>15359.195</v>
      </c>
      <c r="AN72" s="800">
        <f t="shared" si="12"/>
        <v>1862.3810000000001</v>
      </c>
      <c r="AO72" s="192">
        <f t="shared" si="11"/>
        <v>0.84667284599496673</v>
      </c>
      <c r="AP72" s="193">
        <f t="shared" si="13"/>
        <v>2955.3810000000003</v>
      </c>
      <c r="AQ72" s="193">
        <f t="shared" si="19"/>
        <v>-2930.3810000000003</v>
      </c>
      <c r="AR72" s="805"/>
      <c r="AS72" s="119"/>
      <c r="AT72" s="119"/>
      <c r="AU72" s="120"/>
      <c r="AV72" s="806"/>
      <c r="AW72" s="800">
        <v>100172700</v>
      </c>
      <c r="AX72" s="807">
        <v>84813505</v>
      </c>
      <c r="AY72" s="807">
        <v>15359195</v>
      </c>
      <c r="AZ72" s="807">
        <v>1862381</v>
      </c>
      <c r="BA72" s="196">
        <f t="shared" si="20"/>
        <v>0.84667284599496673</v>
      </c>
      <c r="BB72" s="210">
        <v>7822</v>
      </c>
      <c r="BC72" s="115">
        <v>74</v>
      </c>
      <c r="BD72" s="236">
        <v>0</v>
      </c>
    </row>
    <row r="73" spans="1:56" s="808" customFormat="1" ht="14.25" customHeight="1">
      <c r="A73" s="792">
        <v>2024</v>
      </c>
      <c r="B73" s="793" t="str">
        <f>+INDEX('①基本情報 '!C:C,MATCH('③経費情報(2024)'!E73,'①基本情報 '!E:E,0))</f>
        <v>065</v>
      </c>
      <c r="C73" s="794" t="str">
        <f>+INDEX('①基本情報 '!B:B,MATCH('③経費情報(2024)'!E73,'①基本情報 '!E:E,0))</f>
        <v>0219</v>
      </c>
      <c r="D73" s="809" t="s">
        <v>2415</v>
      </c>
      <c r="E73" s="616" t="s">
        <v>501</v>
      </c>
      <c r="F73" s="616" t="str">
        <f>INDEX('①基本情報 '!F:F,MATCH('③経費情報(2024)'!E73,'①基本情報 '!E:E,0))</f>
        <v>市民自治部</v>
      </c>
      <c r="G73" s="797" t="s">
        <v>180</v>
      </c>
      <c r="H73" s="831"/>
      <c r="I73" s="834"/>
      <c r="J73" s="840">
        <v>131</v>
      </c>
      <c r="K73" s="801">
        <f t="shared" si="15"/>
        <v>131</v>
      </c>
      <c r="L73" s="799">
        <v>276</v>
      </c>
      <c r="M73" s="833">
        <v>28</v>
      </c>
      <c r="N73" s="115"/>
      <c r="O73" s="799">
        <v>56</v>
      </c>
      <c r="P73" s="835">
        <v>2.4E-2</v>
      </c>
      <c r="Q73" s="799">
        <v>9119</v>
      </c>
      <c r="R73" s="834"/>
      <c r="S73" s="799">
        <f t="shared" si="16"/>
        <v>219</v>
      </c>
      <c r="T73" s="115"/>
      <c r="U73" s="144">
        <v>22</v>
      </c>
      <c r="V73" s="833">
        <v>100</v>
      </c>
      <c r="W73" s="801">
        <f t="shared" si="17"/>
        <v>701</v>
      </c>
      <c r="X73" s="833"/>
      <c r="Y73" s="833"/>
      <c r="Z73" s="803">
        <v>553</v>
      </c>
      <c r="AA73" s="833">
        <v>100</v>
      </c>
      <c r="AB73" s="801">
        <f t="shared" si="18"/>
        <v>653</v>
      </c>
      <c r="AC73" s="799"/>
      <c r="AD73" s="799">
        <v>60</v>
      </c>
      <c r="AE73" s="800"/>
      <c r="AF73" s="804">
        <v>3</v>
      </c>
      <c r="AG73" s="799">
        <v>77</v>
      </c>
      <c r="AH73" s="800"/>
      <c r="AI73" s="800">
        <v>80</v>
      </c>
      <c r="AJ73" s="801">
        <f t="shared" si="14"/>
        <v>220</v>
      </c>
      <c r="AK73" s="800">
        <f t="shared" si="12"/>
        <v>38725.5</v>
      </c>
      <c r="AL73" s="800">
        <f t="shared" si="12"/>
        <v>34196.491999999998</v>
      </c>
      <c r="AM73" s="800">
        <f t="shared" si="12"/>
        <v>4529.0079999999998</v>
      </c>
      <c r="AN73" s="800">
        <f t="shared" si="12"/>
        <v>185.03100000000001</v>
      </c>
      <c r="AO73" s="192">
        <f t="shared" si="11"/>
        <v>0.88304843062065053</v>
      </c>
      <c r="AP73" s="193">
        <f t="shared" si="13"/>
        <v>886.03099999999995</v>
      </c>
      <c r="AQ73" s="193">
        <f t="shared" si="19"/>
        <v>-755.03099999999995</v>
      </c>
      <c r="AR73" s="805"/>
      <c r="AS73" s="119"/>
      <c r="AT73" s="119"/>
      <c r="AU73" s="120"/>
      <c r="AV73" s="806"/>
      <c r="AW73" s="800">
        <v>38725500</v>
      </c>
      <c r="AX73" s="807">
        <v>34196492</v>
      </c>
      <c r="AY73" s="807">
        <v>4529008</v>
      </c>
      <c r="AZ73" s="807">
        <v>185031</v>
      </c>
      <c r="BA73" s="196">
        <f t="shared" si="20"/>
        <v>0.88304843062065053</v>
      </c>
      <c r="BB73" s="210">
        <v>5189</v>
      </c>
      <c r="BC73" s="115">
        <v>0</v>
      </c>
      <c r="BD73" s="236">
        <v>9.4</v>
      </c>
    </row>
    <row r="74" spans="1:56" s="808" customFormat="1" ht="14.25" customHeight="1">
      <c r="A74" s="792">
        <v>2024</v>
      </c>
      <c r="B74" s="793" t="str">
        <f>+INDEX('①基本情報 '!C:C,MATCH('③経費情報(2024)'!E74,'①基本情報 '!E:E,0))</f>
        <v>066</v>
      </c>
      <c r="C74" s="794" t="str">
        <f>+INDEX('①基本情報 '!B:B,MATCH('③経費情報(2024)'!E74,'①基本情報 '!E:E,0))</f>
        <v>0240</v>
      </c>
      <c r="D74" s="809" t="s">
        <v>2415</v>
      </c>
      <c r="E74" s="616" t="s">
        <v>507</v>
      </c>
      <c r="F74" s="616" t="str">
        <f>INDEX('①基本情報 '!F:F,MATCH('③経費情報(2024)'!E74,'①基本情報 '!E:E,0))</f>
        <v>市民自治部</v>
      </c>
      <c r="G74" s="797" t="s">
        <v>180</v>
      </c>
      <c r="H74" s="831"/>
      <c r="I74" s="834"/>
      <c r="J74" s="840">
        <v>66</v>
      </c>
      <c r="K74" s="801">
        <f t="shared" si="15"/>
        <v>66</v>
      </c>
      <c r="L74" s="799">
        <v>358</v>
      </c>
      <c r="M74" s="833">
        <v>28</v>
      </c>
      <c r="N74" s="115"/>
      <c r="O74" s="799">
        <v>652</v>
      </c>
      <c r="P74" s="835">
        <v>2.4E-2</v>
      </c>
      <c r="Q74" s="799">
        <v>9119</v>
      </c>
      <c r="R74" s="834"/>
      <c r="S74" s="799">
        <f t="shared" si="16"/>
        <v>219</v>
      </c>
      <c r="T74" s="115"/>
      <c r="U74" s="144">
        <v>87</v>
      </c>
      <c r="V74" s="833">
        <v>100</v>
      </c>
      <c r="W74" s="801">
        <f t="shared" si="17"/>
        <v>1444</v>
      </c>
      <c r="X74" s="833"/>
      <c r="Y74" s="833"/>
      <c r="Z74" s="833">
        <v>174</v>
      </c>
      <c r="AA74" s="833">
        <v>100</v>
      </c>
      <c r="AB74" s="801">
        <f t="shared" si="18"/>
        <v>274</v>
      </c>
      <c r="AC74" s="799"/>
      <c r="AD74" s="799">
        <v>70</v>
      </c>
      <c r="AE74" s="800"/>
      <c r="AF74" s="804"/>
      <c r="AG74" s="799">
        <v>112</v>
      </c>
      <c r="AH74" s="800"/>
      <c r="AI74" s="800">
        <v>110</v>
      </c>
      <c r="AJ74" s="801">
        <f t="shared" si="14"/>
        <v>292</v>
      </c>
      <c r="AK74" s="800">
        <f t="shared" si="12"/>
        <v>83945.3</v>
      </c>
      <c r="AL74" s="800">
        <f t="shared" si="12"/>
        <v>77030.52</v>
      </c>
      <c r="AM74" s="800">
        <f t="shared" si="12"/>
        <v>6914.78</v>
      </c>
      <c r="AN74" s="800">
        <f t="shared" si="12"/>
        <v>1846.796</v>
      </c>
      <c r="AO74" s="192">
        <f t="shared" si="11"/>
        <v>0.91762755032145937</v>
      </c>
      <c r="AP74" s="193">
        <f t="shared" si="13"/>
        <v>3290.7960000000003</v>
      </c>
      <c r="AQ74" s="193">
        <f t="shared" si="19"/>
        <v>-3224.7960000000003</v>
      </c>
      <c r="AR74" s="805"/>
      <c r="AS74" s="119"/>
      <c r="AT74" s="119"/>
      <c r="AU74" s="120"/>
      <c r="AV74" s="806"/>
      <c r="AW74" s="800">
        <v>83945300</v>
      </c>
      <c r="AX74" s="807">
        <v>77030520</v>
      </c>
      <c r="AY74" s="807">
        <v>6914780</v>
      </c>
      <c r="AZ74" s="807">
        <v>1846796</v>
      </c>
      <c r="BA74" s="196">
        <f t="shared" si="20"/>
        <v>0.91762755032145937</v>
      </c>
      <c r="BB74" s="210">
        <v>5115</v>
      </c>
      <c r="BC74" s="115">
        <v>18</v>
      </c>
      <c r="BD74" s="236">
        <v>0</v>
      </c>
    </row>
    <row r="75" spans="1:56" s="808" customFormat="1" ht="14.25" customHeight="1">
      <c r="A75" s="792">
        <v>2024</v>
      </c>
      <c r="B75" s="793" t="str">
        <f>+INDEX('①基本情報 '!C:C,MATCH('③経費情報(2024)'!E75,'①基本情報 '!E:E,0))</f>
        <v>067</v>
      </c>
      <c r="C75" s="794" t="str">
        <f>+INDEX('①基本情報 '!B:B,MATCH('③経費情報(2024)'!E75,'①基本情報 '!E:E,0))</f>
        <v>0244</v>
      </c>
      <c r="D75" s="809" t="s">
        <v>2415</v>
      </c>
      <c r="E75" s="616" t="s">
        <v>515</v>
      </c>
      <c r="F75" s="616" t="str">
        <f>INDEX('①基本情報 '!F:F,MATCH('③経費情報(2024)'!E75,'①基本情報 '!E:E,0))</f>
        <v>市民自治部</v>
      </c>
      <c r="G75" s="797" t="s">
        <v>180</v>
      </c>
      <c r="H75" s="831"/>
      <c r="I75" s="834"/>
      <c r="J75" s="840">
        <v>66</v>
      </c>
      <c r="K75" s="801">
        <f t="shared" si="15"/>
        <v>66</v>
      </c>
      <c r="L75" s="799">
        <v>354</v>
      </c>
      <c r="M75" s="833">
        <v>28</v>
      </c>
      <c r="N75" s="115"/>
      <c r="O75" s="799">
        <v>464</v>
      </c>
      <c r="P75" s="835">
        <v>2.4E-2</v>
      </c>
      <c r="Q75" s="799">
        <v>9119</v>
      </c>
      <c r="R75" s="834"/>
      <c r="S75" s="799">
        <f t="shared" si="16"/>
        <v>219</v>
      </c>
      <c r="T75" s="115"/>
      <c r="U75" s="144">
        <v>10</v>
      </c>
      <c r="V75" s="833">
        <v>100</v>
      </c>
      <c r="W75" s="801">
        <f t="shared" si="17"/>
        <v>1175</v>
      </c>
      <c r="X75" s="833"/>
      <c r="Y75" s="833"/>
      <c r="Z75" s="833">
        <v>368</v>
      </c>
      <c r="AA75" s="833">
        <v>100</v>
      </c>
      <c r="AB75" s="801">
        <f t="shared" si="18"/>
        <v>468</v>
      </c>
      <c r="AC75" s="799"/>
      <c r="AD75" s="799">
        <v>58</v>
      </c>
      <c r="AE75" s="800"/>
      <c r="AF75" s="804"/>
      <c r="AG75" s="799">
        <v>83</v>
      </c>
      <c r="AH75" s="800"/>
      <c r="AI75" s="800">
        <v>84</v>
      </c>
      <c r="AJ75" s="801">
        <f t="shared" si="14"/>
        <v>225</v>
      </c>
      <c r="AK75" s="800">
        <f t="shared" si="12"/>
        <v>89546.790999999997</v>
      </c>
      <c r="AL75" s="800">
        <f t="shared" si="12"/>
        <v>76680.679999999993</v>
      </c>
      <c r="AM75" s="800">
        <f t="shared" si="12"/>
        <v>12866.111000000001</v>
      </c>
      <c r="AN75" s="800">
        <f t="shared" si="12"/>
        <v>2042.3130000000001</v>
      </c>
      <c r="AO75" s="192">
        <f t="shared" si="11"/>
        <v>0.85631968654242452</v>
      </c>
      <c r="AP75" s="193">
        <f t="shared" si="13"/>
        <v>3217.3130000000001</v>
      </c>
      <c r="AQ75" s="193">
        <f t="shared" si="19"/>
        <v>-3151.3130000000001</v>
      </c>
      <c r="AR75" s="805"/>
      <c r="AS75" s="119"/>
      <c r="AT75" s="119"/>
      <c r="AU75" s="120"/>
      <c r="AV75" s="806"/>
      <c r="AW75" s="800">
        <v>89546791</v>
      </c>
      <c r="AX75" s="807">
        <v>76680680</v>
      </c>
      <c r="AY75" s="807">
        <v>12866111</v>
      </c>
      <c r="AZ75" s="807">
        <v>2042313</v>
      </c>
      <c r="BA75" s="196">
        <f t="shared" si="20"/>
        <v>0.85631968654242452</v>
      </c>
      <c r="BB75" s="210">
        <v>5128</v>
      </c>
      <c r="BC75" s="115">
        <v>5</v>
      </c>
      <c r="BD75" s="236">
        <v>0</v>
      </c>
    </row>
    <row r="76" spans="1:56" s="808" customFormat="1" ht="14.25" customHeight="1">
      <c r="A76" s="792">
        <v>2024</v>
      </c>
      <c r="B76" s="793" t="str">
        <f>+INDEX('①基本情報 '!C:C,MATCH('③経費情報(2024)'!E76,'①基本情報 '!E:E,0))</f>
        <v>068</v>
      </c>
      <c r="C76" s="794" t="str">
        <f>+INDEX('①基本情報 '!B:B,MATCH('③経費情報(2024)'!E76,'①基本情報 '!E:E,0))</f>
        <v>0249</v>
      </c>
      <c r="D76" s="809" t="s">
        <v>2415</v>
      </c>
      <c r="E76" s="616" t="s">
        <v>520</v>
      </c>
      <c r="F76" s="616" t="str">
        <f>INDEX('①基本情報 '!F:F,MATCH('③経費情報(2024)'!E76,'①基本情報 '!E:E,0))</f>
        <v>市民自治部</v>
      </c>
      <c r="G76" s="797" t="s">
        <v>180</v>
      </c>
      <c r="H76" s="831"/>
      <c r="I76" s="834"/>
      <c r="J76" s="840">
        <v>68</v>
      </c>
      <c r="K76" s="801">
        <f t="shared" si="15"/>
        <v>68</v>
      </c>
      <c r="L76" s="799">
        <v>183</v>
      </c>
      <c r="M76" s="833">
        <v>146</v>
      </c>
      <c r="N76" s="115"/>
      <c r="O76" s="799">
        <v>116</v>
      </c>
      <c r="P76" s="835">
        <v>2.4E-2</v>
      </c>
      <c r="Q76" s="799">
        <v>9119</v>
      </c>
      <c r="R76" s="834"/>
      <c r="S76" s="799">
        <f t="shared" si="16"/>
        <v>219</v>
      </c>
      <c r="T76" s="115"/>
      <c r="U76" s="144">
        <v>22</v>
      </c>
      <c r="V76" s="833">
        <v>100</v>
      </c>
      <c r="W76" s="801">
        <f t="shared" si="17"/>
        <v>786</v>
      </c>
      <c r="X76" s="833"/>
      <c r="Y76" s="833"/>
      <c r="Z76" s="833">
        <v>198</v>
      </c>
      <c r="AA76" s="833">
        <v>100</v>
      </c>
      <c r="AB76" s="801">
        <f t="shared" si="18"/>
        <v>298</v>
      </c>
      <c r="AC76" s="799"/>
      <c r="AD76" s="799">
        <v>150</v>
      </c>
      <c r="AE76" s="800"/>
      <c r="AF76" s="804"/>
      <c r="AG76" s="799">
        <v>100</v>
      </c>
      <c r="AH76" s="800"/>
      <c r="AI76" s="800">
        <v>61</v>
      </c>
      <c r="AJ76" s="801">
        <f t="shared" si="14"/>
        <v>311</v>
      </c>
      <c r="AK76" s="800">
        <f t="shared" si="12"/>
        <v>58401.885000000002</v>
      </c>
      <c r="AL76" s="800">
        <f t="shared" si="12"/>
        <v>40320.212</v>
      </c>
      <c r="AM76" s="800">
        <f t="shared" si="12"/>
        <v>18081.672999999999</v>
      </c>
      <c r="AN76" s="800">
        <f t="shared" si="12"/>
        <v>1711.223</v>
      </c>
      <c r="AO76" s="192">
        <f t="shared" si="11"/>
        <v>0.69039230497440285</v>
      </c>
      <c r="AP76" s="193">
        <f t="shared" si="13"/>
        <v>2497.223</v>
      </c>
      <c r="AQ76" s="193">
        <f t="shared" si="19"/>
        <v>-2429.223</v>
      </c>
      <c r="AR76" s="805"/>
      <c r="AS76" s="119"/>
      <c r="AT76" s="119"/>
      <c r="AU76" s="120"/>
      <c r="AV76" s="806"/>
      <c r="AW76" s="800">
        <v>58401885</v>
      </c>
      <c r="AX76" s="807">
        <v>40320212</v>
      </c>
      <c r="AY76" s="807">
        <v>18081673</v>
      </c>
      <c r="AZ76" s="807">
        <v>1711223</v>
      </c>
      <c r="BA76" s="196">
        <f t="shared" si="20"/>
        <v>0.69039230497440285</v>
      </c>
      <c r="BB76" s="210">
        <v>4722</v>
      </c>
      <c r="BC76" s="115">
        <v>4</v>
      </c>
      <c r="BD76" s="236">
        <v>0</v>
      </c>
    </row>
    <row r="77" spans="1:56" s="808" customFormat="1" ht="14.25" customHeight="1">
      <c r="A77" s="792">
        <v>2024</v>
      </c>
      <c r="B77" s="793" t="str">
        <f>+INDEX('①基本情報 '!C:C,MATCH('③経費情報(2024)'!E77,'①基本情報 '!E:E,0))</f>
        <v>069</v>
      </c>
      <c r="C77" s="794" t="str">
        <f>+INDEX('①基本情報 '!B:B,MATCH('③経費情報(2024)'!E77,'①基本情報 '!E:E,0))</f>
        <v>0276</v>
      </c>
      <c r="D77" s="809" t="s">
        <v>2415</v>
      </c>
      <c r="E77" s="616" t="s">
        <v>2635</v>
      </c>
      <c r="F77" s="616" t="str">
        <f>INDEX('①基本情報 '!F:F,MATCH('③経費情報(2024)'!E77,'①基本情報 '!E:E,0))</f>
        <v>市民自治部</v>
      </c>
      <c r="G77" s="797" t="s">
        <v>180</v>
      </c>
      <c r="H77" s="831"/>
      <c r="I77" s="834"/>
      <c r="J77" s="840">
        <v>147</v>
      </c>
      <c r="K77" s="801">
        <f t="shared" si="15"/>
        <v>147</v>
      </c>
      <c r="L77" s="799">
        <v>871</v>
      </c>
      <c r="M77" s="833">
        <v>28</v>
      </c>
      <c r="N77" s="115"/>
      <c r="O77" s="799">
        <v>13</v>
      </c>
      <c r="P77" s="835">
        <v>2.4E-2</v>
      </c>
      <c r="Q77" s="799">
        <v>9119</v>
      </c>
      <c r="R77" s="834"/>
      <c r="S77" s="799">
        <f t="shared" si="16"/>
        <v>219</v>
      </c>
      <c r="T77" s="115"/>
      <c r="U77" s="144">
        <v>22</v>
      </c>
      <c r="V77" s="833">
        <v>200</v>
      </c>
      <c r="W77" s="801">
        <f t="shared" si="17"/>
        <v>1353</v>
      </c>
      <c r="X77" s="833"/>
      <c r="Y77" s="833"/>
      <c r="Z77" s="833">
        <v>286</v>
      </c>
      <c r="AA77" s="833">
        <v>200</v>
      </c>
      <c r="AB77" s="801">
        <f t="shared" si="18"/>
        <v>486</v>
      </c>
      <c r="AC77" s="799"/>
      <c r="AD77" s="799">
        <v>114</v>
      </c>
      <c r="AE77" s="800"/>
      <c r="AF77" s="804"/>
      <c r="AG77" s="799">
        <v>162</v>
      </c>
      <c r="AH77" s="800"/>
      <c r="AI77" s="800">
        <v>126</v>
      </c>
      <c r="AJ77" s="801">
        <f t="shared" si="14"/>
        <v>402</v>
      </c>
      <c r="AK77" s="800">
        <f t="shared" si="12"/>
        <v>260265.54500000001</v>
      </c>
      <c r="AL77" s="800">
        <f t="shared" si="12"/>
        <v>28007.603999999999</v>
      </c>
      <c r="AM77" s="800">
        <f t="shared" si="12"/>
        <v>232257.94099999999</v>
      </c>
      <c r="AN77" s="800">
        <f t="shared" si="12"/>
        <v>9335.8680000000004</v>
      </c>
      <c r="AO77" s="192">
        <f t="shared" si="11"/>
        <v>0.10761164717365873</v>
      </c>
      <c r="AP77" s="193">
        <f t="shared" si="13"/>
        <v>10688.868</v>
      </c>
      <c r="AQ77" s="193">
        <f t="shared" si="19"/>
        <v>-10541.868</v>
      </c>
      <c r="AR77" s="805"/>
      <c r="AS77" s="119"/>
      <c r="AT77" s="119"/>
      <c r="AU77" s="120"/>
      <c r="AV77" s="806"/>
      <c r="AW77" s="800">
        <v>260265545</v>
      </c>
      <c r="AX77" s="807">
        <v>28007604</v>
      </c>
      <c r="AY77" s="807">
        <v>232257941</v>
      </c>
      <c r="AZ77" s="807">
        <v>9335868</v>
      </c>
      <c r="BA77" s="196">
        <f t="shared" si="20"/>
        <v>0.10761164717365873</v>
      </c>
      <c r="BB77" s="210">
        <v>14049</v>
      </c>
      <c r="BC77" s="115">
        <v>0</v>
      </c>
      <c r="BD77" s="236">
        <v>21.799999999999997</v>
      </c>
    </row>
    <row r="78" spans="1:56" s="808" customFormat="1" ht="14.25" customHeight="1">
      <c r="A78" s="792">
        <v>2024</v>
      </c>
      <c r="B78" s="793" t="str">
        <f>+INDEX('①基本情報 '!C:C,MATCH('③経費情報(2024)'!E78,'①基本情報 '!E:E,0))</f>
        <v>070</v>
      </c>
      <c r="C78" s="794" t="str">
        <f>+INDEX('①基本情報 '!B:B,MATCH('③経費情報(2024)'!E78,'①基本情報 '!E:E,0))</f>
        <v>0215</v>
      </c>
      <c r="D78" s="809" t="s">
        <v>2415</v>
      </c>
      <c r="E78" s="616" t="s">
        <v>530</v>
      </c>
      <c r="F78" s="616" t="str">
        <f>INDEX('①基本情報 '!F:F,MATCH('③経費情報(2024)'!E78,'①基本情報 '!E:E,0))</f>
        <v>市民自治部</v>
      </c>
      <c r="G78" s="797" t="s">
        <v>180</v>
      </c>
      <c r="H78" s="831"/>
      <c r="I78" s="834"/>
      <c r="J78" s="840">
        <v>69</v>
      </c>
      <c r="K78" s="801">
        <f t="shared" si="15"/>
        <v>69</v>
      </c>
      <c r="L78" s="799">
        <v>428</v>
      </c>
      <c r="M78" s="833">
        <v>28</v>
      </c>
      <c r="N78" s="115"/>
      <c r="O78" s="799">
        <v>309</v>
      </c>
      <c r="P78" s="835">
        <v>2.4E-2</v>
      </c>
      <c r="Q78" s="799">
        <v>9119</v>
      </c>
      <c r="R78" s="834"/>
      <c r="S78" s="799">
        <f t="shared" si="16"/>
        <v>219</v>
      </c>
      <c r="T78" s="115"/>
      <c r="U78" s="144">
        <v>22</v>
      </c>
      <c r="V78" s="833">
        <v>100</v>
      </c>
      <c r="W78" s="801">
        <f t="shared" si="17"/>
        <v>1106</v>
      </c>
      <c r="X78" s="833"/>
      <c r="Y78" s="833"/>
      <c r="Z78" s="833">
        <v>387</v>
      </c>
      <c r="AA78" s="833">
        <v>100</v>
      </c>
      <c r="AB78" s="801">
        <f t="shared" si="18"/>
        <v>487</v>
      </c>
      <c r="AC78" s="799"/>
      <c r="AD78" s="799"/>
      <c r="AE78" s="800"/>
      <c r="AF78" s="804">
        <v>53</v>
      </c>
      <c r="AG78" s="799">
        <v>30</v>
      </c>
      <c r="AH78" s="800"/>
      <c r="AI78" s="800">
        <v>217</v>
      </c>
      <c r="AJ78" s="801">
        <f t="shared" si="14"/>
        <v>300</v>
      </c>
      <c r="AK78" s="800">
        <f t="shared" si="12"/>
        <v>91010.2</v>
      </c>
      <c r="AL78" s="800">
        <f t="shared" si="12"/>
        <v>85348.553</v>
      </c>
      <c r="AM78" s="800">
        <f t="shared" si="12"/>
        <v>5661.6469999999999</v>
      </c>
      <c r="AN78" s="800">
        <f t="shared" si="12"/>
        <v>491.96899999999999</v>
      </c>
      <c r="AO78" s="192">
        <f t="shared" si="11"/>
        <v>0.93779107176997745</v>
      </c>
      <c r="AP78" s="193">
        <f t="shared" si="13"/>
        <v>1597.9690000000001</v>
      </c>
      <c r="AQ78" s="193">
        <f t="shared" si="19"/>
        <v>-1528.9690000000001</v>
      </c>
      <c r="AR78" s="805"/>
      <c r="AS78" s="119"/>
      <c r="AT78" s="119"/>
      <c r="AU78" s="120"/>
      <c r="AV78" s="806"/>
      <c r="AW78" s="800">
        <v>91010200</v>
      </c>
      <c r="AX78" s="807">
        <v>85348553</v>
      </c>
      <c r="AY78" s="807">
        <v>5661647</v>
      </c>
      <c r="AZ78" s="807">
        <v>491969</v>
      </c>
      <c r="BA78" s="196">
        <f t="shared" si="20"/>
        <v>0.93779107176997745</v>
      </c>
      <c r="BB78" s="210">
        <v>8176</v>
      </c>
      <c r="BC78" s="115">
        <v>1</v>
      </c>
      <c r="BD78" s="236">
        <v>0</v>
      </c>
    </row>
    <row r="79" spans="1:56" s="808" customFormat="1" ht="14.25" customHeight="1">
      <c r="A79" s="792">
        <v>2024</v>
      </c>
      <c r="B79" s="793" t="str">
        <f>+INDEX('①基本情報 '!C:C,MATCH('③経費情報(2024)'!E79,'①基本情報 '!E:E,0))</f>
        <v>071</v>
      </c>
      <c r="C79" s="794" t="str">
        <f>+INDEX('①基本情報 '!B:B,MATCH('③経費情報(2024)'!E79,'①基本情報 '!E:E,0))</f>
        <v>0224</v>
      </c>
      <c r="D79" s="809" t="s">
        <v>2415</v>
      </c>
      <c r="E79" s="616" t="s">
        <v>535</v>
      </c>
      <c r="F79" s="616" t="str">
        <f>INDEX('①基本情報 '!F:F,MATCH('③経費情報(2024)'!E79,'①基本情報 '!E:E,0))</f>
        <v>市民自治部</v>
      </c>
      <c r="G79" s="797" t="s">
        <v>180</v>
      </c>
      <c r="H79" s="831"/>
      <c r="I79" s="834"/>
      <c r="J79" s="840">
        <v>20</v>
      </c>
      <c r="K79" s="801">
        <f t="shared" si="15"/>
        <v>20</v>
      </c>
      <c r="L79" s="799">
        <v>493</v>
      </c>
      <c r="M79" s="833">
        <v>28</v>
      </c>
      <c r="N79" s="115"/>
      <c r="O79" s="799">
        <v>201</v>
      </c>
      <c r="P79" s="835">
        <v>2.4E-2</v>
      </c>
      <c r="Q79" s="799">
        <v>9119</v>
      </c>
      <c r="R79" s="834"/>
      <c r="S79" s="799">
        <f t="shared" si="16"/>
        <v>219</v>
      </c>
      <c r="T79" s="115"/>
      <c r="U79" s="144">
        <v>79</v>
      </c>
      <c r="V79" s="833">
        <v>100</v>
      </c>
      <c r="W79" s="801">
        <f t="shared" si="17"/>
        <v>1120</v>
      </c>
      <c r="X79" s="833"/>
      <c r="Y79" s="833"/>
      <c r="Z79" s="803">
        <v>28</v>
      </c>
      <c r="AA79" s="833">
        <v>100</v>
      </c>
      <c r="AB79" s="801">
        <f t="shared" si="18"/>
        <v>128</v>
      </c>
      <c r="AC79" s="799"/>
      <c r="AD79" s="799">
        <v>78</v>
      </c>
      <c r="AE79" s="800"/>
      <c r="AF79" s="804"/>
      <c r="AG79" s="799">
        <v>48</v>
      </c>
      <c r="AH79" s="800"/>
      <c r="AI79" s="800">
        <v>69</v>
      </c>
      <c r="AJ79" s="801">
        <f t="shared" si="14"/>
        <v>195</v>
      </c>
      <c r="AK79" s="800">
        <f t="shared" si="12"/>
        <v>81662.3</v>
      </c>
      <c r="AL79" s="800">
        <f t="shared" si="12"/>
        <v>76572.544999999998</v>
      </c>
      <c r="AM79" s="800">
        <f t="shared" si="12"/>
        <v>5089.7550000000001</v>
      </c>
      <c r="AN79" s="800">
        <f t="shared" si="12"/>
        <v>210.25</v>
      </c>
      <c r="AO79" s="192">
        <f t="shared" si="11"/>
        <v>0.93767313680853959</v>
      </c>
      <c r="AP79" s="193">
        <f t="shared" si="13"/>
        <v>1330.25</v>
      </c>
      <c r="AQ79" s="193">
        <f t="shared" si="19"/>
        <v>-1310.25</v>
      </c>
      <c r="AR79" s="805"/>
      <c r="AS79" s="119"/>
      <c r="AT79" s="119"/>
      <c r="AU79" s="120"/>
      <c r="AV79" s="806"/>
      <c r="AW79" s="800">
        <v>81662300</v>
      </c>
      <c r="AX79" s="807">
        <v>76572545</v>
      </c>
      <c r="AY79" s="807">
        <v>5089755</v>
      </c>
      <c r="AZ79" s="807">
        <v>210250</v>
      </c>
      <c r="BA79" s="196">
        <f t="shared" si="20"/>
        <v>0.93767313680853959</v>
      </c>
      <c r="BB79" s="210">
        <v>8516</v>
      </c>
      <c r="BC79" s="115">
        <v>30</v>
      </c>
      <c r="BD79" s="236">
        <v>0</v>
      </c>
    </row>
    <row r="80" spans="1:56" s="808" customFormat="1" ht="14.25" customHeight="1">
      <c r="A80" s="792">
        <v>2024</v>
      </c>
      <c r="B80" s="793" t="str">
        <f>+INDEX('①基本情報 '!C:C,MATCH('③経費情報(2024)'!E80,'①基本情報 '!E:E,0))</f>
        <v>072</v>
      </c>
      <c r="C80" s="794" t="str">
        <f>+INDEX('①基本情報 '!B:B,MATCH('③経費情報(2024)'!E80,'①基本情報 '!E:E,0))</f>
        <v>0264</v>
      </c>
      <c r="D80" s="809" t="s">
        <v>2415</v>
      </c>
      <c r="E80" s="616" t="s">
        <v>541</v>
      </c>
      <c r="F80" s="616" t="str">
        <f>INDEX('①基本情報 '!F:F,MATCH('③経費情報(2024)'!E80,'①基本情報 '!E:E,0))</f>
        <v>市民自治部</v>
      </c>
      <c r="G80" s="797" t="s">
        <v>180</v>
      </c>
      <c r="H80" s="831"/>
      <c r="I80" s="834"/>
      <c r="J80" s="840">
        <v>16</v>
      </c>
      <c r="K80" s="801">
        <f t="shared" si="15"/>
        <v>16</v>
      </c>
      <c r="L80" s="799">
        <v>58</v>
      </c>
      <c r="M80" s="833">
        <v>28</v>
      </c>
      <c r="N80" s="115"/>
      <c r="O80" s="799">
        <v>71</v>
      </c>
      <c r="P80" s="835">
        <v>2.4E-2</v>
      </c>
      <c r="Q80" s="799">
        <v>9119</v>
      </c>
      <c r="R80" s="834"/>
      <c r="S80" s="799">
        <f t="shared" si="16"/>
        <v>219</v>
      </c>
      <c r="T80" s="115"/>
      <c r="U80" s="144">
        <v>22</v>
      </c>
      <c r="V80" s="833">
        <v>100</v>
      </c>
      <c r="W80" s="801">
        <f t="shared" si="17"/>
        <v>498</v>
      </c>
      <c r="X80" s="833"/>
      <c r="Y80" s="833"/>
      <c r="Z80" s="803">
        <v>22</v>
      </c>
      <c r="AA80" s="833">
        <v>100</v>
      </c>
      <c r="AB80" s="801">
        <f t="shared" si="18"/>
        <v>122</v>
      </c>
      <c r="AC80" s="799"/>
      <c r="AD80" s="799">
        <v>14</v>
      </c>
      <c r="AE80" s="800"/>
      <c r="AF80" s="804">
        <v>2</v>
      </c>
      <c r="AG80" s="799">
        <v>70</v>
      </c>
      <c r="AH80" s="800"/>
      <c r="AI80" s="800">
        <v>19</v>
      </c>
      <c r="AJ80" s="801">
        <f t="shared" si="14"/>
        <v>105</v>
      </c>
      <c r="AK80" s="800">
        <f t="shared" si="12"/>
        <v>47066.334000000003</v>
      </c>
      <c r="AL80" s="800">
        <f t="shared" si="12"/>
        <v>35470.930999999997</v>
      </c>
      <c r="AM80" s="800">
        <f t="shared" si="12"/>
        <v>11595.403</v>
      </c>
      <c r="AN80" s="800">
        <f t="shared" si="12"/>
        <v>1128.1289999999999</v>
      </c>
      <c r="AO80" s="192">
        <f t="shared" ref="AO80:AO143" si="21">BA80</f>
        <v>0.75363700516806764</v>
      </c>
      <c r="AP80" s="193">
        <f t="shared" si="13"/>
        <v>1626.1289999999999</v>
      </c>
      <c r="AQ80" s="193">
        <f t="shared" si="19"/>
        <v>-1610.1289999999999</v>
      </c>
      <c r="AR80" s="805"/>
      <c r="AS80" s="119"/>
      <c r="AT80" s="119"/>
      <c r="AU80" s="120"/>
      <c r="AV80" s="806"/>
      <c r="AW80" s="800">
        <v>47066334</v>
      </c>
      <c r="AX80" s="807">
        <v>35470931</v>
      </c>
      <c r="AY80" s="807">
        <v>11595403</v>
      </c>
      <c r="AZ80" s="807">
        <v>1128129</v>
      </c>
      <c r="BA80" s="196">
        <f t="shared" si="20"/>
        <v>0.75363700516806764</v>
      </c>
      <c r="BB80" s="210">
        <v>1126</v>
      </c>
      <c r="BC80" s="115">
        <v>3</v>
      </c>
      <c r="BD80" s="236">
        <v>0</v>
      </c>
    </row>
    <row r="81" spans="1:56" s="808" customFormat="1" ht="14.25" customHeight="1">
      <c r="A81" s="792">
        <v>2024</v>
      </c>
      <c r="B81" s="793" t="str">
        <f>+INDEX('①基本情報 '!C:C,MATCH('③経費情報(2024)'!E81,'①基本情報 '!E:E,0))</f>
        <v>073</v>
      </c>
      <c r="C81" s="794" t="str">
        <f>+INDEX('①基本情報 '!B:B,MATCH('③経費情報(2024)'!E81,'①基本情報 '!E:E,0))</f>
        <v>0223</v>
      </c>
      <c r="D81" s="809" t="s">
        <v>2415</v>
      </c>
      <c r="E81" s="616" t="s">
        <v>546</v>
      </c>
      <c r="F81" s="616" t="str">
        <f>INDEX('①基本情報 '!F:F,MATCH('③経費情報(2024)'!E81,'①基本情報 '!E:E,0))</f>
        <v>市民自治部</v>
      </c>
      <c r="G81" s="797" t="s">
        <v>180</v>
      </c>
      <c r="H81" s="831"/>
      <c r="I81" s="834"/>
      <c r="J81" s="840">
        <v>474</v>
      </c>
      <c r="K81" s="801">
        <f t="shared" si="15"/>
        <v>474</v>
      </c>
      <c r="L81" s="799">
        <v>647</v>
      </c>
      <c r="M81" s="833">
        <v>115</v>
      </c>
      <c r="N81" s="115"/>
      <c r="O81" s="799">
        <v>346</v>
      </c>
      <c r="P81" s="835">
        <v>2.4E-2</v>
      </c>
      <c r="Q81" s="799">
        <v>9119</v>
      </c>
      <c r="R81" s="834"/>
      <c r="S81" s="799">
        <f t="shared" si="16"/>
        <v>219</v>
      </c>
      <c r="T81" s="115"/>
      <c r="U81" s="144">
        <v>22</v>
      </c>
      <c r="V81" s="833">
        <v>100</v>
      </c>
      <c r="W81" s="801">
        <f t="shared" si="17"/>
        <v>1449</v>
      </c>
      <c r="X81" s="833"/>
      <c r="Y81" s="833"/>
      <c r="Z81" s="803">
        <v>893</v>
      </c>
      <c r="AA81" s="833">
        <v>100</v>
      </c>
      <c r="AB81" s="801">
        <f t="shared" si="18"/>
        <v>993</v>
      </c>
      <c r="AC81" s="799"/>
      <c r="AD81" s="799">
        <v>60</v>
      </c>
      <c r="AE81" s="800"/>
      <c r="AF81" s="804">
        <v>23</v>
      </c>
      <c r="AG81" s="799">
        <v>780</v>
      </c>
      <c r="AH81" s="800"/>
      <c r="AI81" s="800">
        <v>194</v>
      </c>
      <c r="AJ81" s="801">
        <f t="shared" si="14"/>
        <v>1057</v>
      </c>
      <c r="AK81" s="800">
        <f t="shared" si="12"/>
        <v>85390.55</v>
      </c>
      <c r="AL81" s="800">
        <f t="shared" si="12"/>
        <v>80552.188999999998</v>
      </c>
      <c r="AM81" s="800">
        <f t="shared" si="12"/>
        <v>4838.3609999999999</v>
      </c>
      <c r="AN81" s="800">
        <f t="shared" si="12"/>
        <v>190.69</v>
      </c>
      <c r="AO81" s="192">
        <f t="shared" si="21"/>
        <v>0.94333844904383446</v>
      </c>
      <c r="AP81" s="193">
        <f t="shared" si="13"/>
        <v>1639.69</v>
      </c>
      <c r="AQ81" s="193">
        <f t="shared" si="19"/>
        <v>-1165.69</v>
      </c>
      <c r="AR81" s="805"/>
      <c r="AS81" s="119"/>
      <c r="AT81" s="119"/>
      <c r="AU81" s="120"/>
      <c r="AV81" s="806"/>
      <c r="AW81" s="800">
        <v>85390550</v>
      </c>
      <c r="AX81" s="807">
        <v>80552189</v>
      </c>
      <c r="AY81" s="807">
        <v>4838361</v>
      </c>
      <c r="AZ81" s="807">
        <v>190690</v>
      </c>
      <c r="BA81" s="196">
        <f t="shared" si="20"/>
        <v>0.94333844904383446</v>
      </c>
      <c r="BB81" s="210">
        <v>13378</v>
      </c>
      <c r="BC81" s="115">
        <v>37</v>
      </c>
      <c r="BD81" s="236">
        <v>0</v>
      </c>
    </row>
    <row r="82" spans="1:56" s="808" customFormat="1" ht="14.25" customHeight="1">
      <c r="A82" s="792">
        <v>2024</v>
      </c>
      <c r="B82" s="793" t="str">
        <f>+INDEX('①基本情報 '!C:C,MATCH('③経費情報(2024)'!E82,'①基本情報 '!E:E,0))</f>
        <v>074</v>
      </c>
      <c r="C82" s="794" t="str">
        <f>+INDEX('①基本情報 '!B:B,MATCH('③経費情報(2024)'!E82,'①基本情報 '!E:E,0))</f>
        <v>0241</v>
      </c>
      <c r="D82" s="809" t="s">
        <v>2415</v>
      </c>
      <c r="E82" s="616" t="s">
        <v>553</v>
      </c>
      <c r="F82" s="616" t="str">
        <f>INDEX('①基本情報 '!F:F,MATCH('③経費情報(2024)'!E82,'①基本情報 '!E:E,0))</f>
        <v>市民自治部</v>
      </c>
      <c r="G82" s="797" t="s">
        <v>180</v>
      </c>
      <c r="H82" s="831"/>
      <c r="I82" s="834"/>
      <c r="J82" s="840">
        <v>29</v>
      </c>
      <c r="K82" s="801">
        <f t="shared" si="15"/>
        <v>29</v>
      </c>
      <c r="L82" s="799">
        <v>223</v>
      </c>
      <c r="M82" s="833">
        <v>28</v>
      </c>
      <c r="N82" s="115"/>
      <c r="O82" s="799">
        <v>0</v>
      </c>
      <c r="P82" s="835">
        <v>2.4E-2</v>
      </c>
      <c r="Q82" s="799">
        <v>9119</v>
      </c>
      <c r="R82" s="834"/>
      <c r="S82" s="799">
        <f t="shared" si="16"/>
        <v>219</v>
      </c>
      <c r="T82" s="115"/>
      <c r="U82" s="144">
        <v>22</v>
      </c>
      <c r="V82" s="833">
        <v>100</v>
      </c>
      <c r="W82" s="801">
        <f t="shared" si="17"/>
        <v>592</v>
      </c>
      <c r="X82" s="833"/>
      <c r="Y82" s="833"/>
      <c r="Z82" s="833">
        <v>68</v>
      </c>
      <c r="AA82" s="833">
        <v>100</v>
      </c>
      <c r="AB82" s="801">
        <f t="shared" si="18"/>
        <v>168</v>
      </c>
      <c r="AC82" s="799"/>
      <c r="AD82" s="799"/>
      <c r="AE82" s="800"/>
      <c r="AF82" s="804">
        <v>7</v>
      </c>
      <c r="AG82" s="799">
        <v>30</v>
      </c>
      <c r="AH82" s="800"/>
      <c r="AI82" s="800">
        <v>97</v>
      </c>
      <c r="AJ82" s="801">
        <f t="shared" si="14"/>
        <v>134</v>
      </c>
      <c r="AK82" s="800">
        <f t="shared" si="12"/>
        <v>29554.5</v>
      </c>
      <c r="AL82" s="800">
        <f t="shared" si="12"/>
        <v>28335.186000000002</v>
      </c>
      <c r="AM82" s="800">
        <f t="shared" si="12"/>
        <v>1219.3140000000001</v>
      </c>
      <c r="AN82" s="800">
        <f t="shared" si="12"/>
        <v>650.19899999999996</v>
      </c>
      <c r="AO82" s="192">
        <f t="shared" si="21"/>
        <v>0.95874354159265085</v>
      </c>
      <c r="AP82" s="193">
        <f t="shared" si="13"/>
        <v>1242.1990000000001</v>
      </c>
      <c r="AQ82" s="193">
        <f t="shared" si="19"/>
        <v>-1213.1990000000001</v>
      </c>
      <c r="AR82" s="805"/>
      <c r="AS82" s="119"/>
      <c r="AT82" s="119"/>
      <c r="AU82" s="120"/>
      <c r="AV82" s="806"/>
      <c r="AW82" s="800">
        <v>29554500</v>
      </c>
      <c r="AX82" s="807">
        <v>28335186</v>
      </c>
      <c r="AY82" s="807">
        <v>1219314</v>
      </c>
      <c r="AZ82" s="807">
        <v>650199</v>
      </c>
      <c r="BA82" s="196">
        <f t="shared" si="20"/>
        <v>0.95874354159265085</v>
      </c>
      <c r="BB82" s="210">
        <v>4111</v>
      </c>
      <c r="BC82" s="115">
        <v>2</v>
      </c>
      <c r="BD82" s="236">
        <v>0</v>
      </c>
    </row>
    <row r="83" spans="1:56" s="808" customFormat="1" ht="14.25" customHeight="1">
      <c r="A83" s="792">
        <v>2024</v>
      </c>
      <c r="B83" s="793" t="str">
        <f>+INDEX('①基本情報 '!C:C,MATCH('③経費情報(2024)'!E83,'①基本情報 '!E:E,0))</f>
        <v>075</v>
      </c>
      <c r="C83" s="794" t="str">
        <f>+INDEX('①基本情報 '!B:B,MATCH('③経費情報(2024)'!E83,'①基本情報 '!E:E,0))</f>
        <v>0247</v>
      </c>
      <c r="D83" s="809" t="s">
        <v>2415</v>
      </c>
      <c r="E83" s="616" t="s">
        <v>558</v>
      </c>
      <c r="F83" s="616" t="str">
        <f>INDEX('①基本情報 '!F:F,MATCH('③経費情報(2024)'!E83,'①基本情報 '!E:E,0))</f>
        <v>市民自治部</v>
      </c>
      <c r="G83" s="797" t="s">
        <v>180</v>
      </c>
      <c r="H83" s="831"/>
      <c r="I83" s="834"/>
      <c r="J83" s="840">
        <v>37</v>
      </c>
      <c r="K83" s="801">
        <f t="shared" si="15"/>
        <v>37</v>
      </c>
      <c r="L83" s="799">
        <v>296</v>
      </c>
      <c r="M83" s="833">
        <v>28</v>
      </c>
      <c r="N83" s="115">
        <v>629</v>
      </c>
      <c r="O83" s="799">
        <v>95</v>
      </c>
      <c r="P83" s="835">
        <v>2.4E-2</v>
      </c>
      <c r="Q83" s="799">
        <v>9119</v>
      </c>
      <c r="R83" s="834"/>
      <c r="S83" s="799">
        <f t="shared" si="16"/>
        <v>219</v>
      </c>
      <c r="T83" s="115"/>
      <c r="U83" s="144">
        <v>79</v>
      </c>
      <c r="V83" s="833">
        <v>100</v>
      </c>
      <c r="W83" s="801">
        <f t="shared" si="17"/>
        <v>1446</v>
      </c>
      <c r="X83" s="833"/>
      <c r="Y83" s="833"/>
      <c r="Z83" s="833">
        <v>120</v>
      </c>
      <c r="AA83" s="833">
        <v>100</v>
      </c>
      <c r="AB83" s="801">
        <f t="shared" si="18"/>
        <v>220</v>
      </c>
      <c r="AC83" s="799"/>
      <c r="AD83" s="799">
        <v>30</v>
      </c>
      <c r="AE83" s="800"/>
      <c r="AF83" s="804"/>
      <c r="AG83" s="799">
        <v>100</v>
      </c>
      <c r="AH83" s="800"/>
      <c r="AI83" s="800">
        <v>52</v>
      </c>
      <c r="AJ83" s="801">
        <f t="shared" si="14"/>
        <v>182</v>
      </c>
      <c r="AK83" s="800">
        <f t="shared" si="12"/>
        <v>38229.800000000003</v>
      </c>
      <c r="AL83" s="800">
        <f t="shared" si="12"/>
        <v>36165.364999999998</v>
      </c>
      <c r="AM83" s="800">
        <f t="shared" si="12"/>
        <v>2064.4349999999999</v>
      </c>
      <c r="AN83" s="800">
        <f t="shared" si="12"/>
        <v>841.05499999999995</v>
      </c>
      <c r="AO83" s="192">
        <f t="shared" si="21"/>
        <v>0.94599932513379614</v>
      </c>
      <c r="AP83" s="193">
        <f t="shared" si="13"/>
        <v>2287.0549999999998</v>
      </c>
      <c r="AQ83" s="193">
        <f t="shared" si="19"/>
        <v>-2250.0549999999998</v>
      </c>
      <c r="AR83" s="805"/>
      <c r="AS83" s="119"/>
      <c r="AT83" s="119"/>
      <c r="AU83" s="120"/>
      <c r="AV83" s="806"/>
      <c r="AW83" s="800">
        <v>38229800</v>
      </c>
      <c r="AX83" s="807">
        <v>36165365</v>
      </c>
      <c r="AY83" s="807">
        <v>2064435</v>
      </c>
      <c r="AZ83" s="807">
        <v>841055</v>
      </c>
      <c r="BA83" s="196">
        <f t="shared" si="20"/>
        <v>0.94599932513379614</v>
      </c>
      <c r="BB83" s="210">
        <v>4307</v>
      </c>
      <c r="BC83" s="115">
        <v>5</v>
      </c>
      <c r="BD83" s="236">
        <v>0</v>
      </c>
    </row>
    <row r="84" spans="1:56" s="808" customFormat="1" ht="14.25" customHeight="1">
      <c r="A84" s="792">
        <v>2024</v>
      </c>
      <c r="B84" s="793" t="str">
        <f>+INDEX('①基本情報 '!C:C,MATCH('③経費情報(2024)'!E84,'①基本情報 '!E:E,0))</f>
        <v>076</v>
      </c>
      <c r="C84" s="794" t="str">
        <f>+INDEX('①基本情報 '!B:B,MATCH('③経費情報(2024)'!E84,'①基本情報 '!E:E,0))</f>
        <v>0231</v>
      </c>
      <c r="D84" s="809" t="s">
        <v>2415</v>
      </c>
      <c r="E84" s="616" t="s">
        <v>564</v>
      </c>
      <c r="F84" s="616" t="str">
        <f>INDEX('①基本情報 '!F:F,MATCH('③経費情報(2024)'!E84,'①基本情報 '!E:E,0))</f>
        <v>市民自治部</v>
      </c>
      <c r="G84" s="797" t="s">
        <v>180</v>
      </c>
      <c r="H84" s="831"/>
      <c r="I84" s="834"/>
      <c r="J84" s="840">
        <v>16</v>
      </c>
      <c r="K84" s="801">
        <f t="shared" si="15"/>
        <v>16</v>
      </c>
      <c r="L84" s="799">
        <v>381</v>
      </c>
      <c r="M84" s="833">
        <v>28</v>
      </c>
      <c r="N84" s="115"/>
      <c r="O84" s="799">
        <v>6</v>
      </c>
      <c r="P84" s="835">
        <v>2.4E-2</v>
      </c>
      <c r="Q84" s="799">
        <v>9119</v>
      </c>
      <c r="R84" s="834"/>
      <c r="S84" s="799">
        <f t="shared" si="16"/>
        <v>219</v>
      </c>
      <c r="T84" s="115"/>
      <c r="U84" s="144">
        <v>79</v>
      </c>
      <c r="V84" s="833">
        <v>100</v>
      </c>
      <c r="W84" s="801">
        <f t="shared" si="17"/>
        <v>813</v>
      </c>
      <c r="X84" s="833"/>
      <c r="Y84" s="833"/>
      <c r="Z84" s="833">
        <v>3</v>
      </c>
      <c r="AA84" s="833">
        <v>100</v>
      </c>
      <c r="AB84" s="801">
        <f t="shared" si="18"/>
        <v>103</v>
      </c>
      <c r="AC84" s="799"/>
      <c r="AD84" s="799">
        <v>15</v>
      </c>
      <c r="AE84" s="800"/>
      <c r="AF84" s="804"/>
      <c r="AG84" s="799">
        <v>35</v>
      </c>
      <c r="AH84" s="800"/>
      <c r="AI84" s="800">
        <v>72</v>
      </c>
      <c r="AJ84" s="801">
        <f t="shared" si="14"/>
        <v>122</v>
      </c>
      <c r="AK84" s="800">
        <f t="shared" si="12"/>
        <v>50444.896000000001</v>
      </c>
      <c r="AL84" s="800">
        <f t="shared" si="12"/>
        <v>39402.114999999998</v>
      </c>
      <c r="AM84" s="800">
        <f t="shared" si="12"/>
        <v>11042.781000000001</v>
      </c>
      <c r="AN84" s="800">
        <f t="shared" ref="AK84:AN148" si="22">AZ84/1000</f>
        <v>355.55399999999997</v>
      </c>
      <c r="AO84" s="192">
        <f t="shared" si="21"/>
        <v>0.7810922040556888</v>
      </c>
      <c r="AP84" s="193">
        <f t="shared" si="13"/>
        <v>1168.5540000000001</v>
      </c>
      <c r="AQ84" s="193">
        <f t="shared" si="19"/>
        <v>-1152.5540000000001</v>
      </c>
      <c r="AR84" s="805"/>
      <c r="AS84" s="119"/>
      <c r="AT84" s="119"/>
      <c r="AU84" s="120"/>
      <c r="AV84" s="806"/>
      <c r="AW84" s="800">
        <v>50444896</v>
      </c>
      <c r="AX84" s="807">
        <v>39402115</v>
      </c>
      <c r="AY84" s="807">
        <v>11042781</v>
      </c>
      <c r="AZ84" s="807">
        <v>355554</v>
      </c>
      <c r="BA84" s="196">
        <f t="shared" si="20"/>
        <v>0.7810922040556888</v>
      </c>
      <c r="BB84" s="210">
        <v>4290</v>
      </c>
      <c r="BC84" s="115">
        <v>43</v>
      </c>
      <c r="BD84" s="236">
        <v>0</v>
      </c>
    </row>
    <row r="85" spans="1:56" s="808" customFormat="1" ht="14.25" customHeight="1">
      <c r="A85" s="792">
        <v>2024</v>
      </c>
      <c r="B85" s="793" t="str">
        <f>+INDEX('①基本情報 '!C:C,MATCH('③経費情報(2024)'!E85,'①基本情報 '!E:E,0))</f>
        <v>077</v>
      </c>
      <c r="C85" s="794" t="str">
        <f>+INDEX('①基本情報 '!B:B,MATCH('③経費情報(2024)'!E85,'①基本情報 '!E:E,0))</f>
        <v>0239</v>
      </c>
      <c r="D85" s="809" t="s">
        <v>2415</v>
      </c>
      <c r="E85" s="616" t="s">
        <v>570</v>
      </c>
      <c r="F85" s="616" t="str">
        <f>INDEX('①基本情報 '!F:F,MATCH('③経費情報(2024)'!E85,'①基本情報 '!E:E,0))</f>
        <v>市民自治部</v>
      </c>
      <c r="G85" s="797" t="s">
        <v>180</v>
      </c>
      <c r="H85" s="831"/>
      <c r="I85" s="834"/>
      <c r="J85" s="840">
        <v>21</v>
      </c>
      <c r="K85" s="801">
        <f t="shared" si="15"/>
        <v>21</v>
      </c>
      <c r="L85" s="799">
        <v>310</v>
      </c>
      <c r="M85" s="833">
        <v>28</v>
      </c>
      <c r="N85" s="115"/>
      <c r="O85" s="799">
        <v>0</v>
      </c>
      <c r="P85" s="835">
        <v>2.4E-2</v>
      </c>
      <c r="Q85" s="799">
        <v>9119</v>
      </c>
      <c r="R85" s="834"/>
      <c r="S85" s="799">
        <f t="shared" si="16"/>
        <v>219</v>
      </c>
      <c r="T85" s="115"/>
      <c r="U85" s="144">
        <v>22</v>
      </c>
      <c r="V85" s="833">
        <v>100</v>
      </c>
      <c r="W85" s="801">
        <f t="shared" si="17"/>
        <v>679</v>
      </c>
      <c r="X85" s="833"/>
      <c r="Y85" s="833"/>
      <c r="Z85" s="833">
        <v>30</v>
      </c>
      <c r="AA85" s="833">
        <v>100</v>
      </c>
      <c r="AB85" s="801">
        <f t="shared" si="18"/>
        <v>130</v>
      </c>
      <c r="AC85" s="799"/>
      <c r="AD85" s="799">
        <v>36</v>
      </c>
      <c r="AE85" s="800"/>
      <c r="AF85" s="804">
        <v>6</v>
      </c>
      <c r="AG85" s="799">
        <v>36</v>
      </c>
      <c r="AH85" s="800"/>
      <c r="AI85" s="800">
        <v>225</v>
      </c>
      <c r="AJ85" s="801">
        <f t="shared" si="14"/>
        <v>303</v>
      </c>
      <c r="AK85" s="800">
        <f t="shared" si="22"/>
        <v>40157.5</v>
      </c>
      <c r="AL85" s="800">
        <f t="shared" si="22"/>
        <v>35602.6</v>
      </c>
      <c r="AM85" s="800">
        <f t="shared" si="22"/>
        <v>4554.8999999999996</v>
      </c>
      <c r="AN85" s="800">
        <f t="shared" si="22"/>
        <v>907.05899999999997</v>
      </c>
      <c r="AO85" s="192">
        <f t="shared" si="21"/>
        <v>0.88657411442445366</v>
      </c>
      <c r="AP85" s="193">
        <f t="shared" si="13"/>
        <v>1586.059</v>
      </c>
      <c r="AQ85" s="193">
        <f t="shared" si="19"/>
        <v>-1565.059</v>
      </c>
      <c r="AR85" s="805"/>
      <c r="AS85" s="119"/>
      <c r="AT85" s="119"/>
      <c r="AU85" s="120"/>
      <c r="AV85" s="806"/>
      <c r="AW85" s="800">
        <v>40157500</v>
      </c>
      <c r="AX85" s="807">
        <v>35602600</v>
      </c>
      <c r="AY85" s="807">
        <v>4554900</v>
      </c>
      <c r="AZ85" s="807">
        <v>907059</v>
      </c>
      <c r="BA85" s="196">
        <f t="shared" si="20"/>
        <v>0.88657411442445366</v>
      </c>
      <c r="BB85" s="210">
        <v>1929</v>
      </c>
      <c r="BC85" s="115">
        <v>0</v>
      </c>
      <c r="BD85" s="236">
        <v>0</v>
      </c>
    </row>
    <row r="86" spans="1:56" s="808" customFormat="1" ht="14.25" customHeight="1">
      <c r="A86" s="792">
        <v>2024</v>
      </c>
      <c r="B86" s="793" t="str">
        <f>+INDEX('①基本情報 '!C:C,MATCH('③経費情報(2024)'!E86,'①基本情報 '!E:E,0))</f>
        <v>078</v>
      </c>
      <c r="C86" s="794" t="str">
        <f>+INDEX('①基本情報 '!B:B,MATCH('③経費情報(2024)'!E86,'①基本情報 '!E:E,0))</f>
        <v>0234</v>
      </c>
      <c r="D86" s="809" t="s">
        <v>2415</v>
      </c>
      <c r="E86" s="616" t="s">
        <v>119</v>
      </c>
      <c r="F86" s="616" t="str">
        <f>INDEX('①基本情報 '!F:F,MATCH('③経費情報(2024)'!E86,'①基本情報 '!E:E,0))</f>
        <v>市民自治部</v>
      </c>
      <c r="G86" s="797" t="s">
        <v>180</v>
      </c>
      <c r="H86" s="831"/>
      <c r="I86" s="834"/>
      <c r="J86" s="840">
        <v>63</v>
      </c>
      <c r="K86" s="801">
        <f t="shared" si="15"/>
        <v>63</v>
      </c>
      <c r="L86" s="800">
        <v>511</v>
      </c>
      <c r="M86" s="833">
        <v>28</v>
      </c>
      <c r="N86" s="115"/>
      <c r="O86" s="799">
        <v>579</v>
      </c>
      <c r="P86" s="835">
        <v>2.4E-2</v>
      </c>
      <c r="Q86" s="799">
        <v>9119</v>
      </c>
      <c r="R86" s="834"/>
      <c r="S86" s="799">
        <f t="shared" si="16"/>
        <v>219</v>
      </c>
      <c r="T86" s="115"/>
      <c r="U86" s="144">
        <v>22</v>
      </c>
      <c r="V86" s="833">
        <v>100</v>
      </c>
      <c r="W86" s="801">
        <f t="shared" si="17"/>
        <v>1459</v>
      </c>
      <c r="X86" s="833"/>
      <c r="Y86" s="833"/>
      <c r="Z86" s="833">
        <v>105</v>
      </c>
      <c r="AA86" s="833">
        <v>100</v>
      </c>
      <c r="AB86" s="801">
        <f t="shared" si="18"/>
        <v>205</v>
      </c>
      <c r="AC86" s="799"/>
      <c r="AD86" s="799">
        <v>72</v>
      </c>
      <c r="AE86" s="800"/>
      <c r="AF86" s="804"/>
      <c r="AG86" s="799">
        <v>84</v>
      </c>
      <c r="AH86" s="800"/>
      <c r="AI86" s="800">
        <v>72</v>
      </c>
      <c r="AJ86" s="801">
        <f t="shared" si="14"/>
        <v>228</v>
      </c>
      <c r="AK86" s="800">
        <f t="shared" si="22"/>
        <v>60744.599000000002</v>
      </c>
      <c r="AL86" s="800">
        <f t="shared" si="22"/>
        <v>53773.612000000001</v>
      </c>
      <c r="AM86" s="800">
        <f t="shared" si="22"/>
        <v>6970.9870000000001</v>
      </c>
      <c r="AN86" s="800">
        <f t="shared" si="22"/>
        <v>339.01299999999998</v>
      </c>
      <c r="AO86" s="192">
        <f t="shared" si="21"/>
        <v>0.88524104011288307</v>
      </c>
      <c r="AP86" s="193">
        <f t="shared" ref="AP86:AP149" si="23">W86+AN86</f>
        <v>1798.0129999999999</v>
      </c>
      <c r="AQ86" s="193">
        <f t="shared" si="19"/>
        <v>-1735.0129999999999</v>
      </c>
      <c r="AR86" s="805"/>
      <c r="AS86" s="119"/>
      <c r="AT86" s="119"/>
      <c r="AU86" s="120"/>
      <c r="AV86" s="806" t="s">
        <v>2484</v>
      </c>
      <c r="AW86" s="800">
        <v>60744599</v>
      </c>
      <c r="AX86" s="807">
        <v>53773612</v>
      </c>
      <c r="AY86" s="807">
        <v>6970987</v>
      </c>
      <c r="AZ86" s="807">
        <v>339013</v>
      </c>
      <c r="BA86" s="196">
        <f t="shared" si="20"/>
        <v>0.88524104011288307</v>
      </c>
      <c r="BB86" s="210">
        <v>11668</v>
      </c>
      <c r="BC86" s="115">
        <v>50</v>
      </c>
      <c r="BD86" s="236"/>
    </row>
    <row r="87" spans="1:56" s="808" customFormat="1" ht="14.25" customHeight="1">
      <c r="A87" s="792">
        <v>2024</v>
      </c>
      <c r="B87" s="793" t="str">
        <f>+INDEX('①基本情報 '!C:C,MATCH('③経費情報(2024)'!E87,'①基本情報 '!E:E,0))</f>
        <v>079</v>
      </c>
      <c r="C87" s="794" t="str">
        <f>+INDEX('①基本情報 '!B:B,MATCH('③経費情報(2024)'!E87,'①基本情報 '!E:E,0))</f>
        <v>0253</v>
      </c>
      <c r="D87" s="809" t="s">
        <v>2415</v>
      </c>
      <c r="E87" s="616" t="s">
        <v>582</v>
      </c>
      <c r="F87" s="616" t="str">
        <f>INDEX('①基本情報 '!F:F,MATCH('③経費情報(2024)'!E87,'①基本情報 '!E:E,0))</f>
        <v>市民自治部</v>
      </c>
      <c r="G87" s="797" t="s">
        <v>180</v>
      </c>
      <c r="H87" s="831"/>
      <c r="I87" s="834"/>
      <c r="J87" s="840">
        <v>68</v>
      </c>
      <c r="K87" s="801">
        <f t="shared" si="15"/>
        <v>68</v>
      </c>
      <c r="L87" s="799">
        <v>372</v>
      </c>
      <c r="M87" s="833">
        <v>28</v>
      </c>
      <c r="N87" s="115"/>
      <c r="O87" s="799">
        <v>183</v>
      </c>
      <c r="P87" s="835">
        <v>2.4E-2</v>
      </c>
      <c r="Q87" s="799">
        <v>9119</v>
      </c>
      <c r="R87" s="834"/>
      <c r="S87" s="799">
        <f t="shared" si="16"/>
        <v>219</v>
      </c>
      <c r="T87" s="115"/>
      <c r="U87" s="144">
        <v>20</v>
      </c>
      <c r="V87" s="833">
        <v>100</v>
      </c>
      <c r="W87" s="801">
        <f t="shared" si="17"/>
        <v>922</v>
      </c>
      <c r="X87" s="833"/>
      <c r="Y87" s="833"/>
      <c r="Z87" s="803">
        <v>76</v>
      </c>
      <c r="AA87" s="833">
        <v>100</v>
      </c>
      <c r="AB87" s="801">
        <f t="shared" si="18"/>
        <v>176</v>
      </c>
      <c r="AC87" s="799"/>
      <c r="AD87" s="799">
        <v>38</v>
      </c>
      <c r="AE87" s="800"/>
      <c r="AF87" s="804">
        <v>31</v>
      </c>
      <c r="AG87" s="799"/>
      <c r="AH87" s="800"/>
      <c r="AI87" s="800">
        <v>14</v>
      </c>
      <c r="AJ87" s="801">
        <f t="shared" si="14"/>
        <v>83</v>
      </c>
      <c r="AK87" s="800">
        <f t="shared" si="22"/>
        <v>36122.945</v>
      </c>
      <c r="AL87" s="800">
        <f t="shared" si="22"/>
        <v>30428.347000000002</v>
      </c>
      <c r="AM87" s="800">
        <f t="shared" si="22"/>
        <v>5694.598</v>
      </c>
      <c r="AN87" s="800">
        <f t="shared" si="22"/>
        <v>994.197</v>
      </c>
      <c r="AO87" s="192">
        <f t="shared" si="21"/>
        <v>0.84235510144590919</v>
      </c>
      <c r="AP87" s="193">
        <f t="shared" si="23"/>
        <v>1916.1970000000001</v>
      </c>
      <c r="AQ87" s="193">
        <f t="shared" si="19"/>
        <v>-1848.1970000000001</v>
      </c>
      <c r="AR87" s="805"/>
      <c r="AS87" s="119"/>
      <c r="AT87" s="119"/>
      <c r="AU87" s="120"/>
      <c r="AV87" s="806"/>
      <c r="AW87" s="800">
        <v>36122945</v>
      </c>
      <c r="AX87" s="807">
        <v>30428347</v>
      </c>
      <c r="AY87" s="807">
        <v>5694598</v>
      </c>
      <c r="AZ87" s="807">
        <v>994197</v>
      </c>
      <c r="BA87" s="196">
        <f t="shared" si="20"/>
        <v>0.84235510144590919</v>
      </c>
      <c r="BB87" s="210">
        <v>4233</v>
      </c>
      <c r="BC87" s="115">
        <v>1</v>
      </c>
      <c r="BD87" s="236">
        <v>0</v>
      </c>
    </row>
    <row r="88" spans="1:56" s="808" customFormat="1" ht="14.25" customHeight="1">
      <c r="A88" s="792">
        <v>2024</v>
      </c>
      <c r="B88" s="793" t="str">
        <f>+INDEX('①基本情報 '!C:C,MATCH('③経費情報(2024)'!E88,'①基本情報 '!E:E,0))</f>
        <v>080</v>
      </c>
      <c r="C88" s="794" t="str">
        <f>+INDEX('①基本情報 '!B:B,MATCH('③経費情報(2024)'!E88,'①基本情報 '!E:E,0))</f>
        <v>0261</v>
      </c>
      <c r="D88" s="809" t="s">
        <v>2415</v>
      </c>
      <c r="E88" s="616" t="s">
        <v>588</v>
      </c>
      <c r="F88" s="616" t="str">
        <f>INDEX('①基本情報 '!F:F,MATCH('③経費情報(2024)'!E88,'①基本情報 '!E:E,0))</f>
        <v>市民自治部</v>
      </c>
      <c r="G88" s="797" t="s">
        <v>180</v>
      </c>
      <c r="H88" s="831"/>
      <c r="I88" s="834"/>
      <c r="J88" s="840">
        <v>3</v>
      </c>
      <c r="K88" s="801">
        <f t="shared" si="15"/>
        <v>3</v>
      </c>
      <c r="L88" s="799">
        <v>81</v>
      </c>
      <c r="M88" s="833">
        <v>28</v>
      </c>
      <c r="N88" s="115"/>
      <c r="O88" s="799">
        <v>199</v>
      </c>
      <c r="P88" s="835">
        <v>2.4E-2</v>
      </c>
      <c r="Q88" s="799">
        <v>9119</v>
      </c>
      <c r="R88" s="834"/>
      <c r="S88" s="799">
        <f t="shared" si="16"/>
        <v>219</v>
      </c>
      <c r="T88" s="115"/>
      <c r="U88" s="144">
        <v>22</v>
      </c>
      <c r="V88" s="833">
        <v>100</v>
      </c>
      <c r="W88" s="801">
        <f t="shared" si="17"/>
        <v>649</v>
      </c>
      <c r="X88" s="833"/>
      <c r="Y88" s="833"/>
      <c r="Z88" s="833">
        <v>11</v>
      </c>
      <c r="AA88" s="833">
        <v>100</v>
      </c>
      <c r="AB88" s="801">
        <f t="shared" si="18"/>
        <v>111</v>
      </c>
      <c r="AC88" s="799"/>
      <c r="AD88" s="799">
        <v>20</v>
      </c>
      <c r="AE88" s="800"/>
      <c r="AF88" s="804"/>
      <c r="AG88" s="799">
        <v>35</v>
      </c>
      <c r="AH88" s="800"/>
      <c r="AI88" s="800">
        <v>27</v>
      </c>
      <c r="AJ88" s="801">
        <f t="shared" si="14"/>
        <v>82</v>
      </c>
      <c r="AK88" s="800">
        <f t="shared" si="22"/>
        <v>47078.5</v>
      </c>
      <c r="AL88" s="800">
        <f t="shared" si="22"/>
        <v>34160.923000000003</v>
      </c>
      <c r="AM88" s="800">
        <f t="shared" si="22"/>
        <v>12917.576999999999</v>
      </c>
      <c r="AN88" s="800">
        <f t="shared" si="22"/>
        <v>1258.796</v>
      </c>
      <c r="AO88" s="192">
        <f t="shared" si="21"/>
        <v>0.72561621546990662</v>
      </c>
      <c r="AP88" s="193">
        <f t="shared" si="23"/>
        <v>1907.796</v>
      </c>
      <c r="AQ88" s="193">
        <f t="shared" si="19"/>
        <v>-1904.796</v>
      </c>
      <c r="AR88" s="805"/>
      <c r="AS88" s="119"/>
      <c r="AT88" s="119"/>
      <c r="AU88" s="120"/>
      <c r="AV88" s="806"/>
      <c r="AW88" s="800">
        <v>47078500</v>
      </c>
      <c r="AX88" s="807">
        <v>34160923</v>
      </c>
      <c r="AY88" s="807">
        <v>12917577</v>
      </c>
      <c r="AZ88" s="807">
        <v>1258796</v>
      </c>
      <c r="BA88" s="196">
        <f t="shared" si="20"/>
        <v>0.72561621546990662</v>
      </c>
      <c r="BB88" s="210">
        <v>1807</v>
      </c>
      <c r="BC88" s="115">
        <v>9</v>
      </c>
      <c r="BD88" s="236">
        <v>0</v>
      </c>
    </row>
    <row r="89" spans="1:56" s="808" customFormat="1" ht="14.25" customHeight="1">
      <c r="A89" s="792">
        <v>2024</v>
      </c>
      <c r="B89" s="793" t="str">
        <f>+INDEX('①基本情報 '!C:C,MATCH('③経費情報(2024)'!E89,'①基本情報 '!E:E,0))</f>
        <v>081</v>
      </c>
      <c r="C89" s="794" t="str">
        <f>+INDEX('①基本情報 '!B:B,MATCH('③経費情報(2024)'!E89,'①基本情報 '!E:E,0))</f>
        <v>0263</v>
      </c>
      <c r="D89" s="809" t="s">
        <v>2415</v>
      </c>
      <c r="E89" s="616" t="s">
        <v>593</v>
      </c>
      <c r="F89" s="616" t="str">
        <f>INDEX('①基本情報 '!F:F,MATCH('③経費情報(2024)'!E89,'①基本情報 '!E:E,0))</f>
        <v>市民自治部</v>
      </c>
      <c r="G89" s="797" t="s">
        <v>180</v>
      </c>
      <c r="H89" s="810"/>
      <c r="I89" s="834"/>
      <c r="J89" s="840"/>
      <c r="K89" s="801">
        <f t="shared" si="15"/>
        <v>0</v>
      </c>
      <c r="L89" s="799">
        <v>135</v>
      </c>
      <c r="M89" s="833">
        <v>28</v>
      </c>
      <c r="N89" s="115">
        <v>656</v>
      </c>
      <c r="O89" s="799">
        <v>134</v>
      </c>
      <c r="P89" s="835">
        <v>2.4E-2</v>
      </c>
      <c r="Q89" s="799">
        <v>9119</v>
      </c>
      <c r="R89" s="834"/>
      <c r="S89" s="799">
        <f t="shared" si="16"/>
        <v>219</v>
      </c>
      <c r="T89" s="115"/>
      <c r="U89" s="144">
        <v>79</v>
      </c>
      <c r="V89" s="833">
        <v>100</v>
      </c>
      <c r="W89" s="801">
        <f t="shared" si="17"/>
        <v>1351</v>
      </c>
      <c r="X89" s="833"/>
      <c r="Y89" s="833"/>
      <c r="Z89" s="833">
        <v>8</v>
      </c>
      <c r="AA89" s="833">
        <v>100</v>
      </c>
      <c r="AB89" s="801">
        <f t="shared" si="18"/>
        <v>108</v>
      </c>
      <c r="AC89" s="799"/>
      <c r="AD89" s="799"/>
      <c r="AE89" s="800"/>
      <c r="AF89" s="804"/>
      <c r="AG89" s="799">
        <v>57</v>
      </c>
      <c r="AH89" s="800"/>
      <c r="AI89" s="800">
        <v>12</v>
      </c>
      <c r="AJ89" s="801">
        <f t="shared" si="14"/>
        <v>69</v>
      </c>
      <c r="AK89" s="800">
        <f t="shared" si="22"/>
        <v>53288.574000000001</v>
      </c>
      <c r="AL89" s="800">
        <f t="shared" si="22"/>
        <v>38559.123</v>
      </c>
      <c r="AM89" s="800">
        <f t="shared" si="22"/>
        <v>14729.450999999999</v>
      </c>
      <c r="AN89" s="800">
        <f t="shared" si="22"/>
        <v>1224.684</v>
      </c>
      <c r="AO89" s="192">
        <f t="shared" si="21"/>
        <v>0.72359082080147241</v>
      </c>
      <c r="AP89" s="193">
        <f t="shared" si="23"/>
        <v>2575.6840000000002</v>
      </c>
      <c r="AQ89" s="193">
        <f t="shared" si="19"/>
        <v>-2575.6840000000002</v>
      </c>
      <c r="AR89" s="805"/>
      <c r="AS89" s="119"/>
      <c r="AT89" s="119"/>
      <c r="AU89" s="120"/>
      <c r="AV89" s="806"/>
      <c r="AW89" s="800">
        <v>53288574</v>
      </c>
      <c r="AX89" s="807">
        <v>38559123</v>
      </c>
      <c r="AY89" s="807">
        <v>14729451</v>
      </c>
      <c r="AZ89" s="807">
        <v>1224684</v>
      </c>
      <c r="BA89" s="196">
        <f t="shared" si="20"/>
        <v>0.72359082080147241</v>
      </c>
      <c r="BB89" s="210">
        <v>3490</v>
      </c>
      <c r="BC89" s="115">
        <v>6</v>
      </c>
      <c r="BD89" s="236">
        <v>0</v>
      </c>
    </row>
    <row r="90" spans="1:56" s="808" customFormat="1" ht="14.25" customHeight="1">
      <c r="A90" s="792">
        <v>2024</v>
      </c>
      <c r="B90" s="793" t="str">
        <f>+INDEX('①基本情報 '!C:C,MATCH('③経費情報(2024)'!E90,'①基本情報 '!E:E,0))</f>
        <v>082</v>
      </c>
      <c r="C90" s="794" t="str">
        <f>+INDEX('①基本情報 '!B:B,MATCH('③経費情報(2024)'!E90,'①基本情報 '!E:E,0))</f>
        <v>0217</v>
      </c>
      <c r="D90" s="809" t="s">
        <v>2415</v>
      </c>
      <c r="E90" s="616" t="s">
        <v>163</v>
      </c>
      <c r="F90" s="616" t="str">
        <f>INDEX('①基本情報 '!F:F,MATCH('③経費情報(2024)'!E90,'①基本情報 '!E:E,0))</f>
        <v>市民自治部</v>
      </c>
      <c r="G90" s="797" t="s">
        <v>156</v>
      </c>
      <c r="H90" s="810"/>
      <c r="I90" s="800"/>
      <c r="J90" s="807"/>
      <c r="K90" s="801">
        <f t="shared" si="15"/>
        <v>0</v>
      </c>
      <c r="L90" s="799"/>
      <c r="M90" s="799"/>
      <c r="N90" s="115"/>
      <c r="O90" s="799"/>
      <c r="P90" s="802"/>
      <c r="Q90" s="799">
        <v>9119</v>
      </c>
      <c r="R90" s="800"/>
      <c r="S90" s="799">
        <f t="shared" si="16"/>
        <v>0</v>
      </c>
      <c r="T90" s="115"/>
      <c r="U90" s="144"/>
      <c r="V90" s="799"/>
      <c r="W90" s="801">
        <f t="shared" si="17"/>
        <v>0</v>
      </c>
      <c r="X90" s="799"/>
      <c r="Y90" s="799"/>
      <c r="Z90" s="803"/>
      <c r="AA90" s="799"/>
      <c r="AB90" s="801">
        <f t="shared" si="18"/>
        <v>0</v>
      </c>
      <c r="AC90" s="799"/>
      <c r="AD90" s="799"/>
      <c r="AE90" s="800"/>
      <c r="AF90" s="804"/>
      <c r="AG90" s="799"/>
      <c r="AH90" s="800"/>
      <c r="AI90" s="800"/>
      <c r="AJ90" s="801">
        <f t="shared" si="14"/>
        <v>0</v>
      </c>
      <c r="AK90" s="800">
        <f t="shared" si="22"/>
        <v>0</v>
      </c>
      <c r="AL90" s="800">
        <f t="shared" si="22"/>
        <v>0</v>
      </c>
      <c r="AM90" s="800">
        <f t="shared" si="22"/>
        <v>0</v>
      </c>
      <c r="AN90" s="800">
        <f t="shared" si="22"/>
        <v>0</v>
      </c>
      <c r="AO90" s="192" t="e">
        <f t="shared" si="21"/>
        <v>#DIV/0!</v>
      </c>
      <c r="AP90" s="193">
        <f t="shared" si="23"/>
        <v>0</v>
      </c>
      <c r="AQ90" s="193">
        <f t="shared" si="19"/>
        <v>0</v>
      </c>
      <c r="AR90" s="805"/>
      <c r="AS90" s="119"/>
      <c r="AT90" s="119"/>
      <c r="AU90" s="120"/>
      <c r="AV90" s="806"/>
      <c r="AW90" s="800">
        <v>0</v>
      </c>
      <c r="AX90" s="807">
        <v>0</v>
      </c>
      <c r="AY90" s="807">
        <v>0</v>
      </c>
      <c r="AZ90" s="807">
        <v>0</v>
      </c>
      <c r="BA90" s="196" t="e">
        <f t="shared" si="20"/>
        <v>#DIV/0!</v>
      </c>
      <c r="BB90" s="210">
        <v>0</v>
      </c>
      <c r="BC90" s="115">
        <v>0</v>
      </c>
      <c r="BD90" s="236">
        <v>0</v>
      </c>
    </row>
    <row r="91" spans="1:56" s="808" customFormat="1" ht="14.25" customHeight="1">
      <c r="A91" s="792">
        <v>2024</v>
      </c>
      <c r="B91" s="793" t="str">
        <f>+INDEX('①基本情報 '!C:C,MATCH('③経費情報(2024)'!E91,'①基本情報 '!E:E,0))</f>
        <v>083</v>
      </c>
      <c r="C91" s="794" t="str">
        <f>+INDEX('①基本情報 '!B:B,MATCH('③経費情報(2024)'!E91,'①基本情報 '!E:E,0))</f>
        <v>0232</v>
      </c>
      <c r="D91" s="809" t="s">
        <v>2415</v>
      </c>
      <c r="E91" s="616" t="s">
        <v>602</v>
      </c>
      <c r="F91" s="616" t="str">
        <f>INDEX('①基本情報 '!F:F,MATCH('③経費情報(2024)'!E91,'①基本情報 '!E:E,0))</f>
        <v>市民自治部</v>
      </c>
      <c r="G91" s="797" t="s">
        <v>180</v>
      </c>
      <c r="H91" s="810"/>
      <c r="I91" s="834"/>
      <c r="J91" s="840">
        <v>31</v>
      </c>
      <c r="K91" s="801">
        <f t="shared" si="15"/>
        <v>31</v>
      </c>
      <c r="L91" s="799">
        <v>242</v>
      </c>
      <c r="M91" s="833">
        <v>28</v>
      </c>
      <c r="N91" s="115"/>
      <c r="O91" s="799">
        <v>0</v>
      </c>
      <c r="P91" s="835">
        <v>2.4E-2</v>
      </c>
      <c r="Q91" s="799">
        <v>9119</v>
      </c>
      <c r="R91" s="834"/>
      <c r="S91" s="799">
        <f t="shared" si="16"/>
        <v>219</v>
      </c>
      <c r="T91" s="115"/>
      <c r="U91" s="144">
        <v>22</v>
      </c>
      <c r="V91" s="833">
        <v>100</v>
      </c>
      <c r="W91" s="801">
        <f t="shared" si="17"/>
        <v>611</v>
      </c>
      <c r="X91" s="833"/>
      <c r="Y91" s="833"/>
      <c r="Z91" s="803">
        <v>76</v>
      </c>
      <c r="AA91" s="833">
        <v>100</v>
      </c>
      <c r="AB91" s="801">
        <f t="shared" si="18"/>
        <v>176</v>
      </c>
      <c r="AC91" s="799"/>
      <c r="AD91" s="799"/>
      <c r="AE91" s="800"/>
      <c r="AF91" s="804"/>
      <c r="AG91" s="799">
        <v>161</v>
      </c>
      <c r="AH91" s="800"/>
      <c r="AI91" s="800">
        <v>27</v>
      </c>
      <c r="AJ91" s="801">
        <f t="shared" si="14"/>
        <v>188</v>
      </c>
      <c r="AK91" s="800">
        <f t="shared" si="22"/>
        <v>58534</v>
      </c>
      <c r="AL91" s="800">
        <f t="shared" si="22"/>
        <v>47217.978000000003</v>
      </c>
      <c r="AM91" s="800">
        <f t="shared" si="22"/>
        <v>11316.022000000001</v>
      </c>
      <c r="AN91" s="800">
        <f t="shared" si="22"/>
        <v>796.05799999999999</v>
      </c>
      <c r="AO91" s="192">
        <f t="shared" si="21"/>
        <v>0.80667608569378479</v>
      </c>
      <c r="AP91" s="193">
        <f t="shared" si="23"/>
        <v>1407.058</v>
      </c>
      <c r="AQ91" s="193">
        <f t="shared" si="19"/>
        <v>-1376.058</v>
      </c>
      <c r="AR91" s="805"/>
      <c r="AS91" s="119"/>
      <c r="AT91" s="119"/>
      <c r="AU91" s="120"/>
      <c r="AV91" s="806"/>
      <c r="AW91" s="800">
        <v>58534000</v>
      </c>
      <c r="AX91" s="807">
        <v>47217978</v>
      </c>
      <c r="AY91" s="807">
        <v>11316022</v>
      </c>
      <c r="AZ91" s="807">
        <v>796058</v>
      </c>
      <c r="BA91" s="196">
        <f t="shared" si="20"/>
        <v>0.80667608569378479</v>
      </c>
      <c r="BB91" s="210">
        <v>4166</v>
      </c>
      <c r="BC91" s="115">
        <v>2</v>
      </c>
      <c r="BD91" s="236">
        <v>0</v>
      </c>
    </row>
    <row r="92" spans="1:56" s="808" customFormat="1" ht="14.25" customHeight="1">
      <c r="A92" s="792">
        <v>2024</v>
      </c>
      <c r="B92" s="793" t="str">
        <f>+INDEX('①基本情報 '!C:C,MATCH('③経費情報(2024)'!E92,'①基本情報 '!E:E,0))</f>
        <v>084</v>
      </c>
      <c r="C92" s="794" t="str">
        <f>+INDEX('①基本情報 '!B:B,MATCH('③経費情報(2024)'!E92,'①基本情報 '!E:E,0))</f>
        <v>0245</v>
      </c>
      <c r="D92" s="809" t="s">
        <v>2415</v>
      </c>
      <c r="E92" s="616" t="s">
        <v>607</v>
      </c>
      <c r="F92" s="616" t="str">
        <f>INDEX('①基本情報 '!F:F,MATCH('③経費情報(2024)'!E92,'①基本情報 '!E:E,0))</f>
        <v>市民自治部</v>
      </c>
      <c r="G92" s="797" t="s">
        <v>180</v>
      </c>
      <c r="H92" s="810"/>
      <c r="I92" s="834"/>
      <c r="J92" s="840">
        <v>267</v>
      </c>
      <c r="K92" s="801">
        <f t="shared" si="15"/>
        <v>267</v>
      </c>
      <c r="L92" s="799">
        <v>683</v>
      </c>
      <c r="M92" s="833">
        <v>28</v>
      </c>
      <c r="N92" s="115"/>
      <c r="O92" s="799">
        <v>0</v>
      </c>
      <c r="P92" s="835">
        <v>2.4E-2</v>
      </c>
      <c r="Q92" s="799">
        <v>9119</v>
      </c>
      <c r="R92" s="834"/>
      <c r="S92" s="799">
        <f t="shared" si="16"/>
        <v>219</v>
      </c>
      <c r="T92" s="115">
        <v>20361</v>
      </c>
      <c r="U92" s="144">
        <v>22</v>
      </c>
      <c r="V92" s="833">
        <v>100</v>
      </c>
      <c r="W92" s="801">
        <f t="shared" si="17"/>
        <v>21413</v>
      </c>
      <c r="X92" s="833"/>
      <c r="Y92" s="833"/>
      <c r="Z92" s="803">
        <v>427</v>
      </c>
      <c r="AA92" s="833">
        <v>100</v>
      </c>
      <c r="AB92" s="801">
        <f t="shared" si="18"/>
        <v>527</v>
      </c>
      <c r="AC92" s="799"/>
      <c r="AD92" s="799">
        <v>223</v>
      </c>
      <c r="AE92" s="800"/>
      <c r="AF92" s="804"/>
      <c r="AG92" s="799">
        <v>60</v>
      </c>
      <c r="AH92" s="800"/>
      <c r="AI92" s="800">
        <v>103</v>
      </c>
      <c r="AJ92" s="801">
        <f t="shared" si="14"/>
        <v>386</v>
      </c>
      <c r="AK92" s="800">
        <f t="shared" si="22"/>
        <v>122725.966</v>
      </c>
      <c r="AL92" s="800">
        <f t="shared" si="22"/>
        <v>97383.057000000001</v>
      </c>
      <c r="AM92" s="800">
        <f t="shared" si="22"/>
        <v>25342.909</v>
      </c>
      <c r="AN92" s="800">
        <f t="shared" si="22"/>
        <v>2240.2779999999998</v>
      </c>
      <c r="AO92" s="192">
        <f t="shared" si="21"/>
        <v>0.79350002427359179</v>
      </c>
      <c r="AP92" s="193">
        <f t="shared" si="23"/>
        <v>23653.277999999998</v>
      </c>
      <c r="AQ92" s="193">
        <f t="shared" si="19"/>
        <v>-23386.277999999998</v>
      </c>
      <c r="AR92" s="805"/>
      <c r="AS92" s="119"/>
      <c r="AT92" s="119"/>
      <c r="AU92" s="120"/>
      <c r="AV92" s="806"/>
      <c r="AW92" s="800">
        <v>122725966</v>
      </c>
      <c r="AX92" s="807">
        <v>97383057</v>
      </c>
      <c r="AY92" s="807">
        <v>25342909</v>
      </c>
      <c r="AZ92" s="807">
        <v>2240278</v>
      </c>
      <c r="BA92" s="196">
        <f t="shared" si="20"/>
        <v>0.79350002427359179</v>
      </c>
      <c r="BB92" s="210">
        <v>14086</v>
      </c>
      <c r="BC92" s="115">
        <v>14</v>
      </c>
      <c r="BD92" s="236">
        <v>0</v>
      </c>
    </row>
    <row r="93" spans="1:56" s="808" customFormat="1" ht="14.25" customHeight="1">
      <c r="A93" s="792">
        <v>2024</v>
      </c>
      <c r="B93" s="793" t="str">
        <f>+INDEX('①基本情報 '!C:C,MATCH('③経費情報(2024)'!E93,'①基本情報 '!E:E,0))</f>
        <v>085</v>
      </c>
      <c r="C93" s="794" t="str">
        <f>+INDEX('①基本情報 '!B:B,MATCH('③経費情報(2024)'!E93,'①基本情報 '!E:E,0))</f>
        <v>0252</v>
      </c>
      <c r="D93" s="809" t="s">
        <v>2415</v>
      </c>
      <c r="E93" s="616" t="s">
        <v>613</v>
      </c>
      <c r="F93" s="616" t="str">
        <f>INDEX('①基本情報 '!F:F,MATCH('③経費情報(2024)'!E93,'①基本情報 '!E:E,0))</f>
        <v>市民自治部</v>
      </c>
      <c r="G93" s="797" t="s">
        <v>180</v>
      </c>
      <c r="H93" s="810"/>
      <c r="I93" s="834"/>
      <c r="J93" s="840">
        <v>140</v>
      </c>
      <c r="K93" s="801">
        <f t="shared" si="15"/>
        <v>140</v>
      </c>
      <c r="L93" s="799">
        <v>652</v>
      </c>
      <c r="M93" s="833">
        <v>28</v>
      </c>
      <c r="N93" s="115"/>
      <c r="O93" s="799">
        <v>573</v>
      </c>
      <c r="P93" s="835">
        <v>2.4E-2</v>
      </c>
      <c r="Q93" s="799">
        <v>9119</v>
      </c>
      <c r="R93" s="834"/>
      <c r="S93" s="799">
        <f t="shared" si="16"/>
        <v>219</v>
      </c>
      <c r="T93" s="115"/>
      <c r="U93" s="144">
        <v>93</v>
      </c>
      <c r="V93" s="833">
        <v>100</v>
      </c>
      <c r="W93" s="801">
        <f t="shared" si="17"/>
        <v>1665</v>
      </c>
      <c r="X93" s="833"/>
      <c r="Y93" s="833"/>
      <c r="Z93" s="803">
        <v>220</v>
      </c>
      <c r="AA93" s="833">
        <v>100</v>
      </c>
      <c r="AB93" s="801">
        <f t="shared" si="18"/>
        <v>320</v>
      </c>
      <c r="AC93" s="799"/>
      <c r="AD93" s="799"/>
      <c r="AE93" s="800"/>
      <c r="AF93" s="804"/>
      <c r="AG93" s="799">
        <v>245</v>
      </c>
      <c r="AH93" s="800"/>
      <c r="AI93" s="800">
        <v>142</v>
      </c>
      <c r="AJ93" s="801">
        <f t="shared" si="14"/>
        <v>387</v>
      </c>
      <c r="AK93" s="800">
        <f t="shared" si="22"/>
        <v>101542.62300000001</v>
      </c>
      <c r="AL93" s="800">
        <f t="shared" si="22"/>
        <v>78354.004000000001</v>
      </c>
      <c r="AM93" s="800">
        <f t="shared" si="22"/>
        <v>23188.618999999999</v>
      </c>
      <c r="AN93" s="800">
        <f t="shared" si="22"/>
        <v>2470.6759999999999</v>
      </c>
      <c r="AO93" s="192">
        <f t="shared" si="21"/>
        <v>0.7716365963877061</v>
      </c>
      <c r="AP93" s="193">
        <f t="shared" si="23"/>
        <v>4135.6759999999995</v>
      </c>
      <c r="AQ93" s="193">
        <f t="shared" si="19"/>
        <v>-3995.6759999999995</v>
      </c>
      <c r="AR93" s="805"/>
      <c r="AS93" s="119"/>
      <c r="AT93" s="119"/>
      <c r="AU93" s="120"/>
      <c r="AV93" s="806"/>
      <c r="AW93" s="800">
        <v>101542623</v>
      </c>
      <c r="AX93" s="807">
        <v>78354004</v>
      </c>
      <c r="AY93" s="807">
        <v>23188619</v>
      </c>
      <c r="AZ93" s="807">
        <v>2470676</v>
      </c>
      <c r="BA93" s="196">
        <f t="shared" si="20"/>
        <v>0.7716365963877061</v>
      </c>
      <c r="BB93" s="210">
        <v>11199</v>
      </c>
      <c r="BC93" s="115">
        <v>45</v>
      </c>
      <c r="BD93" s="236">
        <v>0</v>
      </c>
    </row>
    <row r="94" spans="1:56" s="808" customFormat="1" ht="14.25" customHeight="1">
      <c r="A94" s="792">
        <v>2024</v>
      </c>
      <c r="B94" s="793" t="str">
        <f>+INDEX('①基本情報 '!C:C,MATCH('③経費情報(2024)'!E94,'①基本情報 '!E:E,0))</f>
        <v>086</v>
      </c>
      <c r="C94" s="794" t="str">
        <f>+INDEX('①基本情報 '!B:B,MATCH('③経費情報(2024)'!E94,'①基本情報 '!E:E,0))</f>
        <v>0277</v>
      </c>
      <c r="D94" s="809" t="s">
        <v>2415</v>
      </c>
      <c r="E94" s="616" t="s">
        <v>2617</v>
      </c>
      <c r="F94" s="616" t="str">
        <f>INDEX('①基本情報 '!F:F,MATCH('③経費情報(2024)'!E94,'①基本情報 '!E:E,0))</f>
        <v>市民自治部</v>
      </c>
      <c r="G94" s="797" t="s">
        <v>180</v>
      </c>
      <c r="H94" s="810"/>
      <c r="I94" s="834"/>
      <c r="J94" s="840">
        <v>312</v>
      </c>
      <c r="K94" s="801">
        <f>SUBTOTAL(9,H94:J94)</f>
        <v>312</v>
      </c>
      <c r="L94" s="799">
        <v>809</v>
      </c>
      <c r="M94" s="833">
        <v>28</v>
      </c>
      <c r="N94" s="115"/>
      <c r="O94" s="799">
        <v>69</v>
      </c>
      <c r="P94" s="835">
        <v>2.4E-2</v>
      </c>
      <c r="Q94" s="799">
        <v>9119</v>
      </c>
      <c r="R94" s="834"/>
      <c r="S94" s="799">
        <f>ROUND(P94*Q94,0)+R94</f>
        <v>219</v>
      </c>
      <c r="T94" s="115"/>
      <c r="U94" s="144">
        <v>112</v>
      </c>
      <c r="V94" s="833">
        <v>200</v>
      </c>
      <c r="W94" s="801">
        <f>SUBTOTAL(9,L94:O94,S94:V94)</f>
        <v>1437</v>
      </c>
      <c r="X94" s="833"/>
      <c r="Y94" s="833"/>
      <c r="Z94" s="833">
        <v>742</v>
      </c>
      <c r="AA94" s="833">
        <v>200</v>
      </c>
      <c r="AB94" s="801">
        <f>SUBTOTAL(9,X94:AA94)</f>
        <v>942</v>
      </c>
      <c r="AC94" s="799"/>
      <c r="AD94" s="799">
        <v>290</v>
      </c>
      <c r="AE94" s="800"/>
      <c r="AF94" s="804"/>
      <c r="AG94" s="799">
        <v>269</v>
      </c>
      <c r="AH94" s="800"/>
      <c r="AI94" s="800">
        <v>252</v>
      </c>
      <c r="AJ94" s="801">
        <f>SUBTOTAL(9,AC94:AI94)</f>
        <v>811</v>
      </c>
      <c r="AK94" s="800">
        <f>AW94/1000</f>
        <v>148232.30600000001</v>
      </c>
      <c r="AL94" s="800">
        <f>AX94/1000</f>
        <v>7917.48</v>
      </c>
      <c r="AM94" s="800">
        <f>AY94/1000</f>
        <v>140314.826</v>
      </c>
      <c r="AN94" s="800">
        <f>AZ94/1000</f>
        <v>7917.48</v>
      </c>
      <c r="AO94" s="192">
        <f>BA94</f>
        <v>5.3412648117340901E-2</v>
      </c>
      <c r="AP94" s="193">
        <f>W94+AN94</f>
        <v>9354.48</v>
      </c>
      <c r="AQ94" s="193">
        <f>K94-AP94</f>
        <v>-9042.48</v>
      </c>
      <c r="AR94" s="805"/>
      <c r="AS94" s="119"/>
      <c r="AT94" s="119"/>
      <c r="AU94" s="120"/>
      <c r="AV94" s="806"/>
      <c r="AW94" s="800">
        <v>148232306</v>
      </c>
      <c r="AX94" s="807">
        <v>7917480</v>
      </c>
      <c r="AY94" s="807">
        <v>140314826</v>
      </c>
      <c r="AZ94" s="807">
        <v>7917480</v>
      </c>
      <c r="BA94" s="196">
        <f>AX94/AW94</f>
        <v>5.3412648117340901E-2</v>
      </c>
      <c r="BB94" s="210">
        <v>11155</v>
      </c>
      <c r="BC94" s="115">
        <v>37</v>
      </c>
      <c r="BD94" s="236">
        <v>0</v>
      </c>
    </row>
    <row r="95" spans="1:56" s="808" customFormat="1" ht="14.25" customHeight="1">
      <c r="A95" s="792">
        <v>2024</v>
      </c>
      <c r="B95" s="793" t="str">
        <f>+INDEX('①基本情報 '!C:C,MATCH('③経費情報(2024)'!E95,'①基本情報 '!E:E,0))</f>
        <v>087</v>
      </c>
      <c r="C95" s="794" t="str">
        <f>+INDEX('①基本情報 '!B:B,MATCH('③経費情報(2024)'!E95,'①基本情報 '!E:E,0))</f>
        <v>0212</v>
      </c>
      <c r="D95" s="809" t="s">
        <v>2415</v>
      </c>
      <c r="E95" s="616" t="s">
        <v>629</v>
      </c>
      <c r="F95" s="616" t="str">
        <f>INDEX('①基本情報 '!F:F,MATCH('③経費情報(2024)'!E95,'①基本情報 '!E:E,0))</f>
        <v>市民自治部</v>
      </c>
      <c r="G95" s="797" t="s">
        <v>180</v>
      </c>
      <c r="H95" s="810"/>
      <c r="I95" s="834"/>
      <c r="J95" s="840"/>
      <c r="K95" s="801">
        <f t="shared" si="15"/>
        <v>0</v>
      </c>
      <c r="L95" s="799">
        <v>318</v>
      </c>
      <c r="M95" s="833">
        <v>28</v>
      </c>
      <c r="N95" s="115"/>
      <c r="O95" s="799">
        <v>254</v>
      </c>
      <c r="P95" s="835">
        <v>2.4E-2</v>
      </c>
      <c r="Q95" s="799">
        <v>9119</v>
      </c>
      <c r="R95" s="834"/>
      <c r="S95" s="799">
        <f t="shared" si="16"/>
        <v>219</v>
      </c>
      <c r="T95" s="115"/>
      <c r="U95" s="144">
        <v>30</v>
      </c>
      <c r="V95" s="833">
        <v>100</v>
      </c>
      <c r="W95" s="801">
        <f t="shared" si="17"/>
        <v>949</v>
      </c>
      <c r="X95" s="833"/>
      <c r="Y95" s="833"/>
      <c r="Z95" s="803"/>
      <c r="AA95" s="833">
        <v>100</v>
      </c>
      <c r="AB95" s="801">
        <f t="shared" si="18"/>
        <v>100</v>
      </c>
      <c r="AC95" s="799"/>
      <c r="AD95" s="799">
        <v>50</v>
      </c>
      <c r="AE95" s="800"/>
      <c r="AF95" s="804"/>
      <c r="AG95" s="799">
        <v>40</v>
      </c>
      <c r="AH95" s="800"/>
      <c r="AI95" s="800">
        <v>10</v>
      </c>
      <c r="AJ95" s="801">
        <f t="shared" si="14"/>
        <v>100</v>
      </c>
      <c r="AK95" s="800">
        <f t="shared" si="22"/>
        <v>35807</v>
      </c>
      <c r="AL95" s="800">
        <f t="shared" si="22"/>
        <v>33274.372000000003</v>
      </c>
      <c r="AM95" s="800">
        <f t="shared" si="22"/>
        <v>2532.6280000000002</v>
      </c>
      <c r="AN95" s="800">
        <f t="shared" si="22"/>
        <v>164.24100000000001</v>
      </c>
      <c r="AO95" s="192">
        <f t="shared" si="21"/>
        <v>0.92927003099952521</v>
      </c>
      <c r="AP95" s="193">
        <f t="shared" si="23"/>
        <v>1113.241</v>
      </c>
      <c r="AQ95" s="193">
        <f t="shared" si="19"/>
        <v>-1113.241</v>
      </c>
      <c r="AR95" s="805"/>
      <c r="AS95" s="119"/>
      <c r="AT95" s="119"/>
      <c r="AU95" s="120"/>
      <c r="AV95" s="806"/>
      <c r="AW95" s="800">
        <v>35807000</v>
      </c>
      <c r="AX95" s="807">
        <v>33274372</v>
      </c>
      <c r="AY95" s="807">
        <v>2532628</v>
      </c>
      <c r="AZ95" s="807">
        <v>164241</v>
      </c>
      <c r="BA95" s="196">
        <f t="shared" ref="BA95:BA143" si="24">AX95/AW95</f>
        <v>0.92927003099952521</v>
      </c>
      <c r="BB95" s="210">
        <v>3870</v>
      </c>
      <c r="BC95" s="115">
        <v>0</v>
      </c>
      <c r="BD95" s="236">
        <v>0</v>
      </c>
    </row>
    <row r="96" spans="1:56" s="808" customFormat="1" ht="14.25" customHeight="1">
      <c r="A96" s="792">
        <v>2024</v>
      </c>
      <c r="B96" s="793" t="str">
        <f>+INDEX('①基本情報 '!C:C,MATCH('③経費情報(2024)'!E96,'①基本情報 '!E:E,0))</f>
        <v>088</v>
      </c>
      <c r="C96" s="794" t="str">
        <f>+INDEX('①基本情報 '!B:B,MATCH('③経費情報(2024)'!E96,'①基本情報 '!E:E,0))</f>
        <v>0220</v>
      </c>
      <c r="D96" s="809" t="s">
        <v>2415</v>
      </c>
      <c r="E96" s="616" t="s">
        <v>636</v>
      </c>
      <c r="F96" s="616" t="str">
        <f>INDEX('①基本情報 '!F:F,MATCH('③経費情報(2024)'!E96,'①基本情報 '!E:E,0))</f>
        <v>市民自治部</v>
      </c>
      <c r="G96" s="797" t="s">
        <v>180</v>
      </c>
      <c r="H96" s="810"/>
      <c r="I96" s="834"/>
      <c r="J96" s="840"/>
      <c r="K96" s="801">
        <f t="shared" si="15"/>
        <v>0</v>
      </c>
      <c r="L96" s="799">
        <v>1024</v>
      </c>
      <c r="M96" s="833">
        <v>28</v>
      </c>
      <c r="N96" s="115"/>
      <c r="O96" s="799">
        <v>624</v>
      </c>
      <c r="P96" s="835">
        <v>2.4E-2</v>
      </c>
      <c r="Q96" s="799">
        <v>9119</v>
      </c>
      <c r="R96" s="834"/>
      <c r="S96" s="799">
        <f t="shared" si="16"/>
        <v>219</v>
      </c>
      <c r="T96" s="115"/>
      <c r="U96" s="144">
        <v>79</v>
      </c>
      <c r="V96" s="833">
        <v>100</v>
      </c>
      <c r="W96" s="801">
        <f t="shared" si="17"/>
        <v>2074</v>
      </c>
      <c r="X96" s="833"/>
      <c r="Y96" s="833"/>
      <c r="Z96" s="803">
        <v>375</v>
      </c>
      <c r="AA96" s="833">
        <v>100</v>
      </c>
      <c r="AB96" s="801">
        <f t="shared" si="18"/>
        <v>475</v>
      </c>
      <c r="AC96" s="799"/>
      <c r="AD96" s="799"/>
      <c r="AE96" s="800"/>
      <c r="AF96" s="804"/>
      <c r="AG96" s="799">
        <v>380</v>
      </c>
      <c r="AH96" s="800"/>
      <c r="AI96" s="800">
        <v>121</v>
      </c>
      <c r="AJ96" s="801">
        <f t="shared" si="14"/>
        <v>501</v>
      </c>
      <c r="AK96" s="800">
        <f t="shared" si="22"/>
        <v>118378.95</v>
      </c>
      <c r="AL96" s="800">
        <f t="shared" si="22"/>
        <v>98863.198000000004</v>
      </c>
      <c r="AM96" s="800">
        <f t="shared" si="22"/>
        <v>19515.752</v>
      </c>
      <c r="AN96" s="800">
        <f t="shared" si="22"/>
        <v>665.58600000000001</v>
      </c>
      <c r="AO96" s="192">
        <f t="shared" si="21"/>
        <v>0.83514170382487762</v>
      </c>
      <c r="AP96" s="193">
        <f t="shared" si="23"/>
        <v>2739.5860000000002</v>
      </c>
      <c r="AQ96" s="193">
        <f t="shared" si="19"/>
        <v>-2739.5860000000002</v>
      </c>
      <c r="AR96" s="805"/>
      <c r="AS96" s="119"/>
      <c r="AT96" s="119"/>
      <c r="AU96" s="120"/>
      <c r="AV96" s="806"/>
      <c r="AW96" s="800">
        <v>118378950</v>
      </c>
      <c r="AX96" s="807">
        <v>98863198</v>
      </c>
      <c r="AY96" s="807">
        <v>19515752</v>
      </c>
      <c r="AZ96" s="807">
        <v>665586</v>
      </c>
      <c r="BA96" s="196">
        <f t="shared" si="24"/>
        <v>0.83514170382487762</v>
      </c>
      <c r="BB96" s="210">
        <v>21884</v>
      </c>
      <c r="BC96" s="115">
        <v>0</v>
      </c>
      <c r="BD96" s="236">
        <v>54.7</v>
      </c>
    </row>
    <row r="97" spans="1:56" s="808" customFormat="1" ht="14.25" customHeight="1">
      <c r="A97" s="792">
        <v>2024</v>
      </c>
      <c r="B97" s="793" t="str">
        <f>+INDEX('①基本情報 '!C:C,MATCH('③経費情報(2024)'!E97,'①基本情報 '!E:E,0))</f>
        <v>089</v>
      </c>
      <c r="C97" s="794" t="str">
        <f>+INDEX('①基本情報 '!B:B,MATCH('③経費情報(2024)'!E97,'①基本情報 '!E:E,0))</f>
        <v>0235</v>
      </c>
      <c r="D97" s="809" t="s">
        <v>2415</v>
      </c>
      <c r="E97" s="616" t="s">
        <v>641</v>
      </c>
      <c r="F97" s="616" t="str">
        <f>INDEX('①基本情報 '!F:F,MATCH('③経費情報(2024)'!E97,'①基本情報 '!E:E,0))</f>
        <v>市民自治部</v>
      </c>
      <c r="G97" s="797" t="s">
        <v>180</v>
      </c>
      <c r="H97" s="810"/>
      <c r="I97" s="834"/>
      <c r="J97" s="840"/>
      <c r="K97" s="801">
        <f t="shared" si="15"/>
        <v>0</v>
      </c>
      <c r="L97" s="799">
        <v>309</v>
      </c>
      <c r="M97" s="833">
        <v>28</v>
      </c>
      <c r="N97" s="115"/>
      <c r="O97" s="799">
        <v>79</v>
      </c>
      <c r="P97" s="835">
        <v>2.4E-2</v>
      </c>
      <c r="Q97" s="799">
        <v>9119</v>
      </c>
      <c r="R97" s="834"/>
      <c r="S97" s="799">
        <f t="shared" si="16"/>
        <v>219</v>
      </c>
      <c r="T97" s="115"/>
      <c r="U97" s="144">
        <v>22</v>
      </c>
      <c r="V97" s="833">
        <v>100</v>
      </c>
      <c r="W97" s="801">
        <f t="shared" si="17"/>
        <v>757</v>
      </c>
      <c r="X97" s="833"/>
      <c r="Y97" s="833"/>
      <c r="Z97" s="833">
        <v>2</v>
      </c>
      <c r="AA97" s="833">
        <v>100</v>
      </c>
      <c r="AB97" s="801">
        <f t="shared" si="18"/>
        <v>102</v>
      </c>
      <c r="AC97" s="799"/>
      <c r="AD97" s="799">
        <v>78</v>
      </c>
      <c r="AE97" s="800"/>
      <c r="AF97" s="804"/>
      <c r="AG97" s="799">
        <v>30</v>
      </c>
      <c r="AH97" s="800"/>
      <c r="AI97" s="800">
        <v>27</v>
      </c>
      <c r="AJ97" s="801">
        <f t="shared" si="14"/>
        <v>135</v>
      </c>
      <c r="AK97" s="800">
        <f t="shared" si="22"/>
        <v>35518</v>
      </c>
      <c r="AL97" s="800">
        <f t="shared" si="22"/>
        <v>30495.021000000001</v>
      </c>
      <c r="AM97" s="800">
        <f t="shared" si="22"/>
        <v>5022.9790000000003</v>
      </c>
      <c r="AN97" s="800">
        <f t="shared" si="22"/>
        <v>480.67399999999998</v>
      </c>
      <c r="AO97" s="192">
        <f t="shared" si="21"/>
        <v>0.85857934005293091</v>
      </c>
      <c r="AP97" s="193">
        <f t="shared" si="23"/>
        <v>1237.674</v>
      </c>
      <c r="AQ97" s="193">
        <f t="shared" si="19"/>
        <v>-1237.674</v>
      </c>
      <c r="AR97" s="805"/>
      <c r="AS97" s="119"/>
      <c r="AT97" s="119"/>
      <c r="AU97" s="120"/>
      <c r="AV97" s="806"/>
      <c r="AW97" s="800">
        <v>35518000</v>
      </c>
      <c r="AX97" s="807">
        <v>30495021</v>
      </c>
      <c r="AY97" s="807">
        <v>5022979</v>
      </c>
      <c r="AZ97" s="807">
        <v>480674</v>
      </c>
      <c r="BA97" s="196">
        <f t="shared" si="24"/>
        <v>0.85857934005293091</v>
      </c>
      <c r="BB97" s="210">
        <v>1776</v>
      </c>
      <c r="BC97" s="115">
        <v>4</v>
      </c>
      <c r="BD97" s="236">
        <v>0</v>
      </c>
    </row>
    <row r="98" spans="1:56" s="808" customFormat="1" ht="14.25" customHeight="1">
      <c r="A98" s="792">
        <v>2024</v>
      </c>
      <c r="B98" s="793" t="str">
        <f>+INDEX('①基本情報 '!C:C,MATCH('③経費情報(2024)'!E98,'①基本情報 '!E:E,0))</f>
        <v>090</v>
      </c>
      <c r="C98" s="794" t="str">
        <f>+INDEX('①基本情報 '!B:B,MATCH('③経費情報(2024)'!E98,'①基本情報 '!E:E,0))</f>
        <v>0248</v>
      </c>
      <c r="D98" s="809" t="s">
        <v>2415</v>
      </c>
      <c r="E98" s="616" t="s">
        <v>647</v>
      </c>
      <c r="F98" s="616" t="str">
        <f>INDEX('①基本情報 '!F:F,MATCH('③経費情報(2024)'!E98,'①基本情報 '!E:E,0))</f>
        <v>市民自治部</v>
      </c>
      <c r="G98" s="797" t="s">
        <v>180</v>
      </c>
      <c r="H98" s="810"/>
      <c r="I98" s="834"/>
      <c r="J98" s="840">
        <v>27</v>
      </c>
      <c r="K98" s="801">
        <f t="shared" si="15"/>
        <v>27</v>
      </c>
      <c r="L98" s="799">
        <v>756</v>
      </c>
      <c r="M98" s="833">
        <v>28</v>
      </c>
      <c r="N98" s="115"/>
      <c r="O98" s="799">
        <v>368</v>
      </c>
      <c r="P98" s="835">
        <v>2.4E-2</v>
      </c>
      <c r="Q98" s="799">
        <v>9119</v>
      </c>
      <c r="R98" s="834"/>
      <c r="S98" s="799">
        <f t="shared" si="16"/>
        <v>219</v>
      </c>
      <c r="T98" s="115"/>
      <c r="U98" s="144">
        <v>112</v>
      </c>
      <c r="V98" s="833">
        <v>100</v>
      </c>
      <c r="W98" s="801">
        <f t="shared" si="17"/>
        <v>1583</v>
      </c>
      <c r="X98" s="833"/>
      <c r="Y98" s="833"/>
      <c r="Z98" s="833">
        <v>62</v>
      </c>
      <c r="AA98" s="833">
        <v>100</v>
      </c>
      <c r="AB98" s="801">
        <f t="shared" si="18"/>
        <v>162</v>
      </c>
      <c r="AC98" s="799"/>
      <c r="AD98" s="799"/>
      <c r="AE98" s="800"/>
      <c r="AF98" s="804"/>
      <c r="AG98" s="799">
        <v>120</v>
      </c>
      <c r="AH98" s="800"/>
      <c r="AI98" s="800">
        <v>39</v>
      </c>
      <c r="AJ98" s="801">
        <f t="shared" si="14"/>
        <v>159</v>
      </c>
      <c r="AK98" s="800">
        <f t="shared" si="22"/>
        <v>140905.223</v>
      </c>
      <c r="AL98" s="800">
        <f t="shared" si="22"/>
        <v>106959.83500000001</v>
      </c>
      <c r="AM98" s="800">
        <f t="shared" si="22"/>
        <v>33945.387999999999</v>
      </c>
      <c r="AN98" s="800">
        <f t="shared" si="22"/>
        <v>4439.1450000000004</v>
      </c>
      <c r="AO98" s="192">
        <f t="shared" si="21"/>
        <v>0.75909063356721707</v>
      </c>
      <c r="AP98" s="193">
        <f t="shared" si="23"/>
        <v>6022.1450000000004</v>
      </c>
      <c r="AQ98" s="193">
        <f t="shared" si="19"/>
        <v>-5995.1450000000004</v>
      </c>
      <c r="AR98" s="805"/>
      <c r="AS98" s="119"/>
      <c r="AT98" s="119"/>
      <c r="AU98" s="120"/>
      <c r="AV98" s="806"/>
      <c r="AW98" s="800">
        <v>140905223</v>
      </c>
      <c r="AX98" s="807">
        <v>106959835</v>
      </c>
      <c r="AY98" s="807">
        <v>33945388</v>
      </c>
      <c r="AZ98" s="807">
        <v>4439145</v>
      </c>
      <c r="BA98" s="196">
        <f t="shared" si="24"/>
        <v>0.75909063356721707</v>
      </c>
      <c r="BB98" s="210">
        <v>14553</v>
      </c>
      <c r="BC98" s="115">
        <v>98</v>
      </c>
      <c r="BD98" s="236">
        <v>0</v>
      </c>
    </row>
    <row r="99" spans="1:56" s="808" customFormat="1" ht="14.25" customHeight="1">
      <c r="A99" s="792">
        <v>2024</v>
      </c>
      <c r="B99" s="793" t="str">
        <f>+INDEX('①基本情報 '!C:C,MATCH('③経費情報(2024)'!E99,'①基本情報 '!E:E,0))</f>
        <v>091</v>
      </c>
      <c r="C99" s="794" t="str">
        <f>+INDEX('①基本情報 '!B:B,MATCH('③経費情報(2024)'!E99,'①基本情報 '!E:E,0))</f>
        <v>0270</v>
      </c>
      <c r="D99" s="809" t="s">
        <v>2415</v>
      </c>
      <c r="E99" s="616" t="s">
        <v>654</v>
      </c>
      <c r="F99" s="616" t="str">
        <f>INDEX('①基本情報 '!F:F,MATCH('③経費情報(2024)'!E99,'①基本情報 '!E:E,0))</f>
        <v>市民自治部</v>
      </c>
      <c r="G99" s="797" t="s">
        <v>180</v>
      </c>
      <c r="H99" s="810"/>
      <c r="I99" s="834"/>
      <c r="J99" s="840">
        <v>3</v>
      </c>
      <c r="K99" s="801">
        <f t="shared" si="15"/>
        <v>3</v>
      </c>
      <c r="L99" s="799">
        <v>324</v>
      </c>
      <c r="M99" s="833">
        <v>28</v>
      </c>
      <c r="N99" s="115"/>
      <c r="O99" s="799">
        <v>297</v>
      </c>
      <c r="P99" s="835">
        <v>2.4E-2</v>
      </c>
      <c r="Q99" s="799">
        <v>9119</v>
      </c>
      <c r="R99" s="834"/>
      <c r="S99" s="799">
        <f t="shared" si="16"/>
        <v>219</v>
      </c>
      <c r="T99" s="115"/>
      <c r="U99" s="144">
        <v>22</v>
      </c>
      <c r="V99" s="833">
        <v>100</v>
      </c>
      <c r="W99" s="801">
        <f t="shared" si="17"/>
        <v>990</v>
      </c>
      <c r="X99" s="833"/>
      <c r="Y99" s="833"/>
      <c r="Z99" s="833">
        <v>4</v>
      </c>
      <c r="AA99" s="833">
        <v>100</v>
      </c>
      <c r="AB99" s="801">
        <f t="shared" si="18"/>
        <v>104</v>
      </c>
      <c r="AC99" s="799"/>
      <c r="AD99" s="799"/>
      <c r="AE99" s="800"/>
      <c r="AF99" s="804"/>
      <c r="AG99" s="799">
        <v>68</v>
      </c>
      <c r="AH99" s="800"/>
      <c r="AI99" s="800">
        <v>7</v>
      </c>
      <c r="AJ99" s="801">
        <f t="shared" si="14"/>
        <v>75</v>
      </c>
      <c r="AK99" s="800">
        <f t="shared" si="22"/>
        <v>74721.2</v>
      </c>
      <c r="AL99" s="800">
        <f t="shared" si="22"/>
        <v>49665.614000000001</v>
      </c>
      <c r="AM99" s="800">
        <f t="shared" si="22"/>
        <v>25055.585999999999</v>
      </c>
      <c r="AN99" s="800">
        <f t="shared" si="22"/>
        <v>1844.6780000000001</v>
      </c>
      <c r="AO99" s="192">
        <f t="shared" si="21"/>
        <v>0.66467902014421609</v>
      </c>
      <c r="AP99" s="193">
        <f t="shared" si="23"/>
        <v>2834.6779999999999</v>
      </c>
      <c r="AQ99" s="193">
        <f t="shared" si="19"/>
        <v>-2831.6779999999999</v>
      </c>
      <c r="AR99" s="805"/>
      <c r="AS99" s="119"/>
      <c r="AT99" s="119"/>
      <c r="AU99" s="120"/>
      <c r="AV99" s="806"/>
      <c r="AW99" s="800">
        <v>74721200</v>
      </c>
      <c r="AX99" s="807">
        <v>49665614</v>
      </c>
      <c r="AY99" s="807">
        <v>25055586</v>
      </c>
      <c r="AZ99" s="807">
        <v>1844678</v>
      </c>
      <c r="BA99" s="196">
        <f t="shared" si="24"/>
        <v>0.66467902014421609</v>
      </c>
      <c r="BB99" s="210">
        <v>5328</v>
      </c>
      <c r="BC99" s="115">
        <v>36</v>
      </c>
      <c r="BD99" s="236">
        <v>0</v>
      </c>
    </row>
    <row r="100" spans="1:56" s="808" customFormat="1" ht="14.25" customHeight="1">
      <c r="A100" s="792">
        <v>2024</v>
      </c>
      <c r="B100" s="793" t="str">
        <f>+INDEX('①基本情報 '!C:C,MATCH('③経費情報(2024)'!E100,'①基本情報 '!E:E,0))</f>
        <v>092</v>
      </c>
      <c r="C100" s="794" t="str">
        <f>+INDEX('①基本情報 '!B:B,MATCH('③経費情報(2024)'!E100,'①基本情報 '!E:E,0))</f>
        <v>0222</v>
      </c>
      <c r="D100" s="809" t="s">
        <v>2415</v>
      </c>
      <c r="E100" s="616" t="s">
        <v>660</v>
      </c>
      <c r="F100" s="616" t="str">
        <f>INDEX('①基本情報 '!F:F,MATCH('③経費情報(2024)'!E100,'①基本情報 '!E:E,0))</f>
        <v>市民自治部</v>
      </c>
      <c r="G100" s="797" t="s">
        <v>180</v>
      </c>
      <c r="H100" s="810"/>
      <c r="I100" s="834"/>
      <c r="J100" s="840"/>
      <c r="K100" s="801">
        <f t="shared" si="15"/>
        <v>0</v>
      </c>
      <c r="L100" s="799">
        <v>801</v>
      </c>
      <c r="M100" s="833">
        <v>28</v>
      </c>
      <c r="N100" s="115"/>
      <c r="O100" s="799">
        <v>104</v>
      </c>
      <c r="P100" s="835">
        <v>2.4E-2</v>
      </c>
      <c r="Q100" s="799">
        <v>9119</v>
      </c>
      <c r="R100" s="834"/>
      <c r="S100" s="799">
        <f t="shared" si="16"/>
        <v>219</v>
      </c>
      <c r="T100" s="115"/>
      <c r="U100" s="144">
        <v>79</v>
      </c>
      <c r="V100" s="833">
        <v>100</v>
      </c>
      <c r="W100" s="801">
        <f t="shared" si="17"/>
        <v>1331</v>
      </c>
      <c r="X100" s="833"/>
      <c r="Y100" s="833"/>
      <c r="Z100" s="833"/>
      <c r="AA100" s="833">
        <v>100</v>
      </c>
      <c r="AB100" s="801">
        <f t="shared" si="18"/>
        <v>100</v>
      </c>
      <c r="AC100" s="799"/>
      <c r="AD100" s="799"/>
      <c r="AE100" s="800"/>
      <c r="AF100" s="804"/>
      <c r="AG100" s="799">
        <v>90</v>
      </c>
      <c r="AH100" s="800"/>
      <c r="AI100" s="800">
        <v>4</v>
      </c>
      <c r="AJ100" s="801">
        <f t="shared" si="14"/>
        <v>94</v>
      </c>
      <c r="AK100" s="800">
        <f t="shared" si="22"/>
        <v>109729.73699999999</v>
      </c>
      <c r="AL100" s="800">
        <f t="shared" si="22"/>
        <v>101578.38099999999</v>
      </c>
      <c r="AM100" s="800">
        <f t="shared" si="22"/>
        <v>8151.3559999999998</v>
      </c>
      <c r="AN100" s="800">
        <f t="shared" si="22"/>
        <v>467.45699999999999</v>
      </c>
      <c r="AO100" s="192">
        <f t="shared" si="21"/>
        <v>0.92571424827164217</v>
      </c>
      <c r="AP100" s="193">
        <f t="shared" si="23"/>
        <v>1798.4569999999999</v>
      </c>
      <c r="AQ100" s="193">
        <f t="shared" si="19"/>
        <v>-1798.4569999999999</v>
      </c>
      <c r="AR100" s="805"/>
      <c r="AS100" s="119"/>
      <c r="AT100" s="119"/>
      <c r="AU100" s="120"/>
      <c r="AV100" s="806"/>
      <c r="AW100" s="800">
        <v>109729737</v>
      </c>
      <c r="AX100" s="807">
        <v>101578381</v>
      </c>
      <c r="AY100" s="807">
        <v>8151356</v>
      </c>
      <c r="AZ100" s="807">
        <v>467457</v>
      </c>
      <c r="BA100" s="196">
        <f t="shared" si="24"/>
        <v>0.92571424827164217</v>
      </c>
      <c r="BB100" s="210">
        <v>12684</v>
      </c>
      <c r="BC100" s="115">
        <v>218</v>
      </c>
      <c r="BD100" s="236">
        <v>0</v>
      </c>
    </row>
    <row r="101" spans="1:56" s="808" customFormat="1" ht="14.25" customHeight="1">
      <c r="A101" s="792">
        <v>2024</v>
      </c>
      <c r="B101" s="793" t="str">
        <f>+INDEX('①基本情報 '!C:C,MATCH('③経費情報(2024)'!E101,'①基本情報 '!E:E,0))</f>
        <v>093</v>
      </c>
      <c r="C101" s="794" t="str">
        <f>+INDEX('①基本情報 '!B:B,MATCH('③経費情報(2024)'!E101,'①基本情報 '!E:E,0))</f>
        <v>0256</v>
      </c>
      <c r="D101" s="809" t="s">
        <v>2415</v>
      </c>
      <c r="E101" s="616" t="s">
        <v>669</v>
      </c>
      <c r="F101" s="616" t="str">
        <f>INDEX('①基本情報 '!F:F,MATCH('③経費情報(2024)'!E101,'①基本情報 '!E:E,0))</f>
        <v>市民自治部</v>
      </c>
      <c r="G101" s="797" t="s">
        <v>180</v>
      </c>
      <c r="H101" s="810"/>
      <c r="I101" s="834"/>
      <c r="J101" s="840"/>
      <c r="K101" s="801">
        <f t="shared" si="15"/>
        <v>0</v>
      </c>
      <c r="L101" s="799">
        <v>173</v>
      </c>
      <c r="M101" s="833">
        <v>28</v>
      </c>
      <c r="N101" s="115"/>
      <c r="O101" s="799">
        <v>291</v>
      </c>
      <c r="P101" s="835">
        <v>2.4E-2</v>
      </c>
      <c r="Q101" s="799">
        <v>9119</v>
      </c>
      <c r="R101" s="834"/>
      <c r="S101" s="799">
        <f t="shared" si="16"/>
        <v>219</v>
      </c>
      <c r="T101" s="115"/>
      <c r="U101" s="144">
        <v>22</v>
      </c>
      <c r="V101" s="833">
        <v>100</v>
      </c>
      <c r="W101" s="801">
        <f t="shared" si="17"/>
        <v>833</v>
      </c>
      <c r="X101" s="833"/>
      <c r="Y101" s="833"/>
      <c r="Z101" s="833"/>
      <c r="AA101" s="833">
        <v>100</v>
      </c>
      <c r="AB101" s="801">
        <f t="shared" si="18"/>
        <v>100</v>
      </c>
      <c r="AC101" s="799"/>
      <c r="AD101" s="799"/>
      <c r="AE101" s="800"/>
      <c r="AF101" s="804">
        <v>42</v>
      </c>
      <c r="AG101" s="799"/>
      <c r="AH101" s="800"/>
      <c r="AI101" s="800">
        <v>88</v>
      </c>
      <c r="AJ101" s="801">
        <f t="shared" si="14"/>
        <v>130</v>
      </c>
      <c r="AK101" s="800">
        <f t="shared" si="22"/>
        <v>34737.129999999997</v>
      </c>
      <c r="AL101" s="800">
        <f t="shared" si="22"/>
        <v>24538.062000000002</v>
      </c>
      <c r="AM101" s="800">
        <f t="shared" si="22"/>
        <v>10199.067999999999</v>
      </c>
      <c r="AN101" s="800">
        <f t="shared" si="22"/>
        <v>914.51099999999997</v>
      </c>
      <c r="AO101" s="192">
        <f t="shared" si="21"/>
        <v>0.70639290004672239</v>
      </c>
      <c r="AP101" s="193">
        <f t="shared" si="23"/>
        <v>1747.511</v>
      </c>
      <c r="AQ101" s="193">
        <f t="shared" si="19"/>
        <v>-1747.511</v>
      </c>
      <c r="AR101" s="805"/>
      <c r="AS101" s="119"/>
      <c r="AT101" s="119"/>
      <c r="AU101" s="120"/>
      <c r="AV101" s="806"/>
      <c r="AW101" s="800">
        <v>34737130</v>
      </c>
      <c r="AX101" s="807">
        <v>24538062</v>
      </c>
      <c r="AY101" s="807">
        <v>10199068</v>
      </c>
      <c r="AZ101" s="807">
        <v>914511</v>
      </c>
      <c r="BA101" s="196">
        <f t="shared" si="24"/>
        <v>0.70639290004672239</v>
      </c>
      <c r="BB101" s="210">
        <v>2463</v>
      </c>
      <c r="BC101" s="115">
        <v>3</v>
      </c>
      <c r="BD101" s="236">
        <v>0</v>
      </c>
    </row>
    <row r="102" spans="1:56" s="808" customFormat="1" ht="14.25" customHeight="1">
      <c r="A102" s="792">
        <v>2024</v>
      </c>
      <c r="B102" s="793" t="str">
        <f>+INDEX('①基本情報 '!C:C,MATCH('③経費情報(2024)'!E102,'①基本情報 '!E:E,0))</f>
        <v>094</v>
      </c>
      <c r="C102" s="794" t="str">
        <f>+INDEX('①基本情報 '!B:B,MATCH('③経費情報(2024)'!E102,'①基本情報 '!E:E,0))</f>
        <v>0259</v>
      </c>
      <c r="D102" s="809" t="s">
        <v>2415</v>
      </c>
      <c r="E102" s="616" t="s">
        <v>674</v>
      </c>
      <c r="F102" s="616" t="str">
        <f>INDEX('①基本情報 '!F:F,MATCH('③経費情報(2024)'!E102,'①基本情報 '!E:E,0))</f>
        <v>市民自治部</v>
      </c>
      <c r="G102" s="797" t="s">
        <v>180</v>
      </c>
      <c r="H102" s="810"/>
      <c r="I102" s="834"/>
      <c r="J102" s="840">
        <v>4</v>
      </c>
      <c r="K102" s="801">
        <f t="shared" si="15"/>
        <v>4</v>
      </c>
      <c r="L102" s="799">
        <v>165</v>
      </c>
      <c r="M102" s="833">
        <v>125</v>
      </c>
      <c r="N102" s="115"/>
      <c r="O102" s="799">
        <v>410</v>
      </c>
      <c r="P102" s="835">
        <v>2.4E-2</v>
      </c>
      <c r="Q102" s="799">
        <v>9119</v>
      </c>
      <c r="R102" s="834"/>
      <c r="S102" s="799">
        <f t="shared" si="16"/>
        <v>219</v>
      </c>
      <c r="T102" s="115">
        <v>3047</v>
      </c>
      <c r="U102" s="144">
        <v>22</v>
      </c>
      <c r="V102" s="833">
        <v>100</v>
      </c>
      <c r="W102" s="801">
        <f t="shared" si="17"/>
        <v>4088</v>
      </c>
      <c r="X102" s="833"/>
      <c r="Y102" s="833"/>
      <c r="Z102" s="833">
        <v>7</v>
      </c>
      <c r="AA102" s="833">
        <v>100</v>
      </c>
      <c r="AB102" s="801">
        <f t="shared" si="18"/>
        <v>107</v>
      </c>
      <c r="AC102" s="799"/>
      <c r="AD102" s="799">
        <v>10</v>
      </c>
      <c r="AE102" s="800"/>
      <c r="AF102" s="804">
        <v>2</v>
      </c>
      <c r="AG102" s="799"/>
      <c r="AH102" s="800"/>
      <c r="AI102" s="800">
        <v>70</v>
      </c>
      <c r="AJ102" s="801">
        <f t="shared" si="14"/>
        <v>82</v>
      </c>
      <c r="AK102" s="800">
        <f t="shared" si="22"/>
        <v>44376.457999999999</v>
      </c>
      <c r="AL102" s="800">
        <f t="shared" si="22"/>
        <v>36251.481</v>
      </c>
      <c r="AM102" s="800">
        <f t="shared" si="22"/>
        <v>8124.9769999999999</v>
      </c>
      <c r="AN102" s="800">
        <f t="shared" si="22"/>
        <v>756.61300000000006</v>
      </c>
      <c r="AO102" s="192">
        <f t="shared" si="21"/>
        <v>0.81690794249509502</v>
      </c>
      <c r="AP102" s="193">
        <f t="shared" si="23"/>
        <v>4844.6130000000003</v>
      </c>
      <c r="AQ102" s="193">
        <f t="shared" si="19"/>
        <v>-4840.6130000000003</v>
      </c>
      <c r="AR102" s="805"/>
      <c r="AS102" s="119"/>
      <c r="AT102" s="119"/>
      <c r="AU102" s="120"/>
      <c r="AV102" s="806"/>
      <c r="AW102" s="800">
        <v>44376458</v>
      </c>
      <c r="AX102" s="807">
        <v>36251481</v>
      </c>
      <c r="AY102" s="807">
        <v>8124977</v>
      </c>
      <c r="AZ102" s="807">
        <v>756613</v>
      </c>
      <c r="BA102" s="196">
        <f t="shared" si="24"/>
        <v>0.81690794249509502</v>
      </c>
      <c r="BB102" s="210">
        <v>1477</v>
      </c>
      <c r="BC102" s="115">
        <v>0</v>
      </c>
      <c r="BD102" s="236">
        <v>0</v>
      </c>
    </row>
    <row r="103" spans="1:56" s="808" customFormat="1" ht="14.25" customHeight="1">
      <c r="A103" s="792">
        <v>2024</v>
      </c>
      <c r="B103" s="793" t="str">
        <f>+INDEX('①基本情報 '!C:C,MATCH('③経費情報(2024)'!E103,'①基本情報 '!E:E,0))</f>
        <v>095</v>
      </c>
      <c r="C103" s="794" t="str">
        <f>+INDEX('①基本情報 '!B:B,MATCH('③経費情報(2024)'!E103,'①基本情報 '!E:E,0))</f>
        <v>0265</v>
      </c>
      <c r="D103" s="809" t="s">
        <v>2415</v>
      </c>
      <c r="E103" s="616" t="s">
        <v>678</v>
      </c>
      <c r="F103" s="616" t="str">
        <f>INDEX('①基本情報 '!F:F,MATCH('③経費情報(2024)'!E103,'①基本情報 '!E:E,0))</f>
        <v>市民自治部</v>
      </c>
      <c r="G103" s="797" t="s">
        <v>180</v>
      </c>
      <c r="H103" s="810"/>
      <c r="I103" s="834"/>
      <c r="J103" s="840"/>
      <c r="K103" s="801">
        <f t="shared" si="15"/>
        <v>0</v>
      </c>
      <c r="L103" s="799">
        <v>162</v>
      </c>
      <c r="M103" s="833">
        <v>28</v>
      </c>
      <c r="N103" s="115"/>
      <c r="O103" s="799">
        <v>0</v>
      </c>
      <c r="P103" s="835">
        <v>1</v>
      </c>
      <c r="Q103" s="799">
        <v>9119</v>
      </c>
      <c r="R103" s="834"/>
      <c r="S103" s="799">
        <f t="shared" si="16"/>
        <v>9119</v>
      </c>
      <c r="T103" s="115"/>
      <c r="U103" s="144">
        <v>22</v>
      </c>
      <c r="V103" s="833">
        <v>100</v>
      </c>
      <c r="W103" s="801">
        <f t="shared" si="17"/>
        <v>9431</v>
      </c>
      <c r="X103" s="833"/>
      <c r="Y103" s="833"/>
      <c r="Z103" s="803">
        <v>33</v>
      </c>
      <c r="AA103" s="833">
        <v>100</v>
      </c>
      <c r="AB103" s="801">
        <f t="shared" si="18"/>
        <v>133</v>
      </c>
      <c r="AC103" s="799"/>
      <c r="AD103" s="799"/>
      <c r="AE103" s="800"/>
      <c r="AF103" s="804"/>
      <c r="AG103" s="799">
        <v>96</v>
      </c>
      <c r="AH103" s="800"/>
      <c r="AI103" s="800">
        <v>5</v>
      </c>
      <c r="AJ103" s="801">
        <f t="shared" si="14"/>
        <v>101</v>
      </c>
      <c r="AK103" s="800">
        <f t="shared" si="22"/>
        <v>46257.5</v>
      </c>
      <c r="AL103" s="800">
        <f t="shared" si="22"/>
        <v>35159.85</v>
      </c>
      <c r="AM103" s="800">
        <f t="shared" si="22"/>
        <v>11097.65</v>
      </c>
      <c r="AN103" s="800">
        <f t="shared" si="22"/>
        <v>1017.665</v>
      </c>
      <c r="AO103" s="192">
        <f t="shared" si="21"/>
        <v>0.76008971518132196</v>
      </c>
      <c r="AP103" s="193">
        <f t="shared" si="23"/>
        <v>10448.665000000001</v>
      </c>
      <c r="AQ103" s="193">
        <f t="shared" si="19"/>
        <v>-10448.665000000001</v>
      </c>
      <c r="AR103" s="805"/>
      <c r="AS103" s="119"/>
      <c r="AT103" s="119"/>
      <c r="AU103" s="120"/>
      <c r="AV103" s="806"/>
      <c r="AW103" s="800">
        <v>46257500</v>
      </c>
      <c r="AX103" s="807">
        <v>35159850</v>
      </c>
      <c r="AY103" s="807">
        <v>11097650</v>
      </c>
      <c r="AZ103" s="807">
        <v>1017665</v>
      </c>
      <c r="BA103" s="196">
        <f t="shared" si="24"/>
        <v>0.76008971518132196</v>
      </c>
      <c r="BB103" s="210">
        <v>1634</v>
      </c>
      <c r="BC103" s="115">
        <v>0</v>
      </c>
      <c r="BD103" s="236">
        <v>0</v>
      </c>
    </row>
    <row r="104" spans="1:56" s="808" customFormat="1" ht="14.25" customHeight="1">
      <c r="A104" s="792">
        <v>2024</v>
      </c>
      <c r="B104" s="793" t="str">
        <f>+INDEX('①基本情報 '!C:C,MATCH('③経費情報(2024)'!E104,'①基本情報 '!E:E,0))</f>
        <v>096</v>
      </c>
      <c r="C104" s="794" t="str">
        <f>+INDEX('①基本情報 '!B:B,MATCH('③経費情報(2024)'!E104,'①基本情報 '!E:E,0))</f>
        <v>1078</v>
      </c>
      <c r="D104" s="809" t="s">
        <v>2415</v>
      </c>
      <c r="E104" s="844" t="s">
        <v>2154</v>
      </c>
      <c r="F104" s="616" t="str">
        <f>INDEX('①基本情報 '!F:F,MATCH('③経費情報(2024)'!E104,'①基本情報 '!E:E,0))</f>
        <v>教育委員会</v>
      </c>
      <c r="G104" s="845" t="s">
        <v>683</v>
      </c>
      <c r="H104" s="810"/>
      <c r="I104" s="799">
        <v>477</v>
      </c>
      <c r="J104" s="807">
        <v>349</v>
      </c>
      <c r="K104" s="801">
        <f t="shared" si="15"/>
        <v>826</v>
      </c>
      <c r="L104" s="799"/>
      <c r="M104" s="799"/>
      <c r="N104" s="800"/>
      <c r="O104" s="799"/>
      <c r="P104" s="802">
        <v>5</v>
      </c>
      <c r="Q104" s="799">
        <v>9119</v>
      </c>
      <c r="R104" s="115">
        <v>16427</v>
      </c>
      <c r="S104" s="799">
        <f t="shared" si="16"/>
        <v>62022</v>
      </c>
      <c r="T104" s="800">
        <v>5746</v>
      </c>
      <c r="U104" s="803"/>
      <c r="V104" s="799">
        <v>24807</v>
      </c>
      <c r="W104" s="801">
        <f t="shared" si="17"/>
        <v>92575</v>
      </c>
      <c r="X104" s="799"/>
      <c r="Y104" s="799"/>
      <c r="Z104" s="803"/>
      <c r="AA104" s="799">
        <v>24807</v>
      </c>
      <c r="AB104" s="801">
        <f t="shared" si="18"/>
        <v>24807</v>
      </c>
      <c r="AC104" s="799"/>
      <c r="AD104" s="799"/>
      <c r="AE104" s="800"/>
      <c r="AF104" s="804"/>
      <c r="AG104" s="799"/>
      <c r="AH104" s="800"/>
      <c r="AI104" s="800"/>
      <c r="AJ104" s="801">
        <f t="shared" si="14"/>
        <v>0</v>
      </c>
      <c r="AK104" s="800">
        <f t="shared" si="22"/>
        <v>369090.12699999998</v>
      </c>
      <c r="AL104" s="800">
        <f t="shared" si="22"/>
        <v>146767.69500000001</v>
      </c>
      <c r="AM104" s="800">
        <f t="shared" si="22"/>
        <v>222322.43100000001</v>
      </c>
      <c r="AN104" s="800">
        <f t="shared" si="22"/>
        <v>10020.728999999999</v>
      </c>
      <c r="AO104" s="192">
        <f t="shared" si="21"/>
        <v>0.39764730688664562</v>
      </c>
      <c r="AP104" s="193">
        <f t="shared" si="23"/>
        <v>102595.72899999999</v>
      </c>
      <c r="AQ104" s="193">
        <f t="shared" si="19"/>
        <v>-101769.72899999999</v>
      </c>
      <c r="AR104" s="805"/>
      <c r="AS104" s="119"/>
      <c r="AT104" s="119"/>
      <c r="AU104" s="120"/>
      <c r="AV104" s="806" t="s">
        <v>2484</v>
      </c>
      <c r="AW104" s="800">
        <v>369090127</v>
      </c>
      <c r="AX104" s="807">
        <v>146767695</v>
      </c>
      <c r="AY104" s="807">
        <v>222322431</v>
      </c>
      <c r="AZ104" s="807">
        <v>10020729</v>
      </c>
      <c r="BA104" s="196">
        <f t="shared" si="24"/>
        <v>0.39764730688664562</v>
      </c>
      <c r="BB104" s="210"/>
      <c r="BC104" s="115"/>
      <c r="BD104" s="236"/>
    </row>
    <row r="105" spans="1:56" s="808" customFormat="1" ht="14.25" customHeight="1">
      <c r="A105" s="792">
        <v>2024</v>
      </c>
      <c r="B105" s="793" t="str">
        <f>+INDEX('①基本情報 '!C:C,MATCH('③経費情報(2024)'!E105,'①基本情報 '!E:E,0))</f>
        <v>097</v>
      </c>
      <c r="C105" s="794" t="str">
        <f>+INDEX('①基本情報 '!B:B,MATCH('③経費情報(2024)'!E105,'①基本情報 '!E:E,0))</f>
        <v>1086</v>
      </c>
      <c r="D105" s="809" t="s">
        <v>2415</v>
      </c>
      <c r="E105" s="616" t="s">
        <v>691</v>
      </c>
      <c r="F105" s="616" t="str">
        <f>INDEX('①基本情報 '!F:F,MATCH('③経費情報(2024)'!E105,'①基本情報 '!E:E,0))</f>
        <v>教育委員会</v>
      </c>
      <c r="G105" s="797" t="s">
        <v>692</v>
      </c>
      <c r="H105" s="810"/>
      <c r="I105" s="800"/>
      <c r="J105" s="807">
        <v>273</v>
      </c>
      <c r="K105" s="801">
        <f t="shared" si="15"/>
        <v>273</v>
      </c>
      <c r="L105" s="115"/>
      <c r="M105" s="115"/>
      <c r="N105" s="115"/>
      <c r="O105" s="115"/>
      <c r="P105" s="814">
        <v>0.5</v>
      </c>
      <c r="Q105" s="799">
        <v>9119</v>
      </c>
      <c r="R105" s="800"/>
      <c r="S105" s="799">
        <f t="shared" si="16"/>
        <v>4560</v>
      </c>
      <c r="T105" s="800">
        <v>663</v>
      </c>
      <c r="U105" s="144"/>
      <c r="V105" s="799">
        <v>97370</v>
      </c>
      <c r="W105" s="801">
        <f t="shared" si="17"/>
        <v>102593</v>
      </c>
      <c r="X105" s="799">
        <v>45223</v>
      </c>
      <c r="Y105" s="799">
        <v>16078</v>
      </c>
      <c r="Z105" s="803"/>
      <c r="AA105" s="799">
        <v>97370</v>
      </c>
      <c r="AB105" s="801">
        <f t="shared" si="18"/>
        <v>158671</v>
      </c>
      <c r="AC105" s="799">
        <v>20130</v>
      </c>
      <c r="AD105" s="799">
        <v>17809</v>
      </c>
      <c r="AE105" s="800">
        <v>0</v>
      </c>
      <c r="AF105" s="804">
        <v>1655</v>
      </c>
      <c r="AG105" s="799">
        <v>81455</v>
      </c>
      <c r="AH105" s="800">
        <v>24115</v>
      </c>
      <c r="AI105" s="800">
        <v>3370</v>
      </c>
      <c r="AJ105" s="801">
        <f t="shared" si="14"/>
        <v>148534</v>
      </c>
      <c r="AK105" s="800">
        <f t="shared" si="22"/>
        <v>2515941.7799999998</v>
      </c>
      <c r="AL105" s="800">
        <f t="shared" si="22"/>
        <v>1317267.8400000001</v>
      </c>
      <c r="AM105" s="800">
        <f t="shared" si="22"/>
        <v>1198673.94</v>
      </c>
      <c r="AN105" s="800">
        <f t="shared" si="22"/>
        <v>65632.298999999999</v>
      </c>
      <c r="AO105" s="192">
        <f t="shared" si="21"/>
        <v>0.52356849052365595</v>
      </c>
      <c r="AP105" s="193">
        <f t="shared" si="23"/>
        <v>168225.299</v>
      </c>
      <c r="AQ105" s="193">
        <f t="shared" si="19"/>
        <v>-167952.299</v>
      </c>
      <c r="AR105" s="805"/>
      <c r="AS105" s="119"/>
      <c r="AT105" s="119"/>
      <c r="AU105" s="120"/>
      <c r="AV105" s="806" t="s">
        <v>2484</v>
      </c>
      <c r="AW105" s="800">
        <v>2515941780</v>
      </c>
      <c r="AX105" s="807">
        <v>1317267840</v>
      </c>
      <c r="AY105" s="807">
        <v>1198673940</v>
      </c>
      <c r="AZ105" s="807">
        <v>65632299</v>
      </c>
      <c r="BA105" s="196">
        <f t="shared" si="24"/>
        <v>0.52356849052365595</v>
      </c>
      <c r="BB105" s="210">
        <v>617821</v>
      </c>
      <c r="BC105" s="115">
        <v>10372</v>
      </c>
      <c r="BD105" s="236">
        <v>0</v>
      </c>
    </row>
    <row r="106" spans="1:56" s="808" customFormat="1" ht="14.25" customHeight="1">
      <c r="A106" s="792">
        <v>2024</v>
      </c>
      <c r="B106" s="793" t="str">
        <f>+INDEX('①基本情報 '!C:C,MATCH('③経費情報(2024)'!E106,'①基本情報 '!E:E,0))</f>
        <v>098</v>
      </c>
      <c r="C106" s="794" t="str">
        <f>+INDEX('①基本情報 '!B:B,MATCH('③経費情報(2024)'!E106,'①基本情報 '!E:E,0))</f>
        <v>9405</v>
      </c>
      <c r="D106" s="809" t="s">
        <v>2415</v>
      </c>
      <c r="E106" s="616" t="s">
        <v>701</v>
      </c>
      <c r="F106" s="616" t="str">
        <f>INDEX('①基本情報 '!F:F,MATCH('③経費情報(2024)'!E106,'①基本情報 '!E:E,0))</f>
        <v>教育委員会</v>
      </c>
      <c r="G106" s="797" t="s">
        <v>692</v>
      </c>
      <c r="H106" s="810"/>
      <c r="I106" s="800"/>
      <c r="J106" s="807">
        <v>142</v>
      </c>
      <c r="K106" s="801">
        <f t="shared" si="15"/>
        <v>142</v>
      </c>
      <c r="L106" s="115"/>
      <c r="M106" s="115"/>
      <c r="N106" s="115"/>
      <c r="O106" s="115"/>
      <c r="P106" s="814">
        <v>0.5</v>
      </c>
      <c r="Q106" s="799">
        <v>9119</v>
      </c>
      <c r="R106" s="800"/>
      <c r="S106" s="799">
        <f t="shared" si="16"/>
        <v>4560</v>
      </c>
      <c r="T106" s="800">
        <v>1742</v>
      </c>
      <c r="U106" s="144"/>
      <c r="V106" s="799">
        <v>71933</v>
      </c>
      <c r="W106" s="801">
        <f t="shared" si="17"/>
        <v>78235</v>
      </c>
      <c r="X106" s="799">
        <v>7584</v>
      </c>
      <c r="Y106" s="799">
        <v>11430</v>
      </c>
      <c r="Z106" s="803">
        <v>48</v>
      </c>
      <c r="AA106" s="799">
        <v>71933</v>
      </c>
      <c r="AB106" s="801">
        <f t="shared" si="18"/>
        <v>90995</v>
      </c>
      <c r="AC106" s="799">
        <v>10528</v>
      </c>
      <c r="AD106" s="799">
        <v>17592</v>
      </c>
      <c r="AE106" s="800">
        <v>0</v>
      </c>
      <c r="AF106" s="804">
        <v>856</v>
      </c>
      <c r="AG106" s="799">
        <v>36448</v>
      </c>
      <c r="AH106" s="800">
        <v>8178</v>
      </c>
      <c r="AI106" s="800">
        <v>8525</v>
      </c>
      <c r="AJ106" s="801">
        <f t="shared" si="14"/>
        <v>82127</v>
      </c>
      <c r="AK106" s="800">
        <f t="shared" si="22"/>
        <v>1238718.942</v>
      </c>
      <c r="AL106" s="800">
        <f t="shared" si="22"/>
        <v>758812.41700000002</v>
      </c>
      <c r="AM106" s="800">
        <f t="shared" si="22"/>
        <v>479906.52500000002</v>
      </c>
      <c r="AN106" s="800">
        <f t="shared" si="22"/>
        <v>18023.804</v>
      </c>
      <c r="AO106" s="192">
        <f t="shared" si="21"/>
        <v>0.61257835919974168</v>
      </c>
      <c r="AP106" s="193">
        <f t="shared" si="23"/>
        <v>96258.804000000004</v>
      </c>
      <c r="AQ106" s="193">
        <f t="shared" si="19"/>
        <v>-96116.804000000004</v>
      </c>
      <c r="AR106" s="805"/>
      <c r="AS106" s="119"/>
      <c r="AT106" s="119"/>
      <c r="AU106" s="120"/>
      <c r="AV106" s="806" t="s">
        <v>2484</v>
      </c>
      <c r="AW106" s="800">
        <v>1238718942</v>
      </c>
      <c r="AX106" s="807">
        <v>758812417</v>
      </c>
      <c r="AY106" s="807">
        <v>479906525</v>
      </c>
      <c r="AZ106" s="807">
        <v>18023804</v>
      </c>
      <c r="BA106" s="196">
        <f t="shared" si="24"/>
        <v>0.61257835919974168</v>
      </c>
      <c r="BB106" s="210">
        <v>304356</v>
      </c>
      <c r="BC106" s="115">
        <v>38</v>
      </c>
      <c r="BD106" s="236">
        <v>0</v>
      </c>
    </row>
    <row r="107" spans="1:56" s="808" customFormat="1" ht="14.25" customHeight="1">
      <c r="A107" s="792">
        <v>2024</v>
      </c>
      <c r="B107" s="793" t="str">
        <f>+INDEX('①基本情報 '!C:C,MATCH('③経費情報(2024)'!E107,'①基本情報 '!E:E,0))</f>
        <v>099</v>
      </c>
      <c r="C107" s="794" t="str">
        <f>+INDEX('①基本情報 '!B:B,MATCH('③経費情報(2024)'!E107,'①基本情報 '!E:E,0))</f>
        <v>0502</v>
      </c>
      <c r="D107" s="809" t="s">
        <v>2415</v>
      </c>
      <c r="E107" s="616" t="s">
        <v>707</v>
      </c>
      <c r="F107" s="616" t="str">
        <f>INDEX('①基本情報 '!F:F,MATCH('③経費情報(2024)'!E107,'①基本情報 '!E:E,0))</f>
        <v>都市活力部</v>
      </c>
      <c r="G107" s="797" t="s">
        <v>709</v>
      </c>
      <c r="H107" s="810"/>
      <c r="I107" s="799"/>
      <c r="J107" s="807">
        <v>17</v>
      </c>
      <c r="K107" s="801">
        <f t="shared" si="15"/>
        <v>17</v>
      </c>
      <c r="L107" s="799"/>
      <c r="M107" s="799"/>
      <c r="N107" s="800"/>
      <c r="O107" s="799">
        <v>22</v>
      </c>
      <c r="P107" s="814">
        <v>0.55000000000000004</v>
      </c>
      <c r="Q107" s="799">
        <v>9119</v>
      </c>
      <c r="R107" s="115"/>
      <c r="S107" s="799">
        <f t="shared" si="16"/>
        <v>5015</v>
      </c>
      <c r="T107" s="800"/>
      <c r="U107" s="803">
        <v>556</v>
      </c>
      <c r="V107" s="799">
        <v>65713</v>
      </c>
      <c r="W107" s="801">
        <f t="shared" si="17"/>
        <v>71306</v>
      </c>
      <c r="X107" s="799">
        <v>27686</v>
      </c>
      <c r="Y107" s="799">
        <v>3095</v>
      </c>
      <c r="Z107" s="803">
        <v>48</v>
      </c>
      <c r="AA107" s="799">
        <v>65713</v>
      </c>
      <c r="AB107" s="801">
        <f t="shared" si="18"/>
        <v>96542</v>
      </c>
      <c r="AC107" s="799">
        <v>14951</v>
      </c>
      <c r="AD107" s="799">
        <v>18833</v>
      </c>
      <c r="AE107" s="800">
        <v>0</v>
      </c>
      <c r="AF107" s="804">
        <v>2440</v>
      </c>
      <c r="AG107" s="799">
        <v>44655</v>
      </c>
      <c r="AH107" s="800">
        <v>6107</v>
      </c>
      <c r="AI107" s="800">
        <v>20670</v>
      </c>
      <c r="AJ107" s="801">
        <f t="shared" si="14"/>
        <v>107656</v>
      </c>
      <c r="AK107" s="800">
        <f t="shared" si="22"/>
        <v>3005766.5550000002</v>
      </c>
      <c r="AL107" s="800">
        <f t="shared" si="22"/>
        <v>1195234.9790000001</v>
      </c>
      <c r="AM107" s="800">
        <f t="shared" si="22"/>
        <v>1810531.577</v>
      </c>
      <c r="AN107" s="800">
        <f t="shared" si="22"/>
        <v>81606.005999999994</v>
      </c>
      <c r="AO107" s="192">
        <f t="shared" si="21"/>
        <v>0.39764730797598485</v>
      </c>
      <c r="AP107" s="193">
        <f t="shared" si="23"/>
        <v>152912.00599999999</v>
      </c>
      <c r="AQ107" s="193">
        <f t="shared" si="19"/>
        <v>-152895.00599999999</v>
      </c>
      <c r="AR107" s="805" t="s">
        <v>2798</v>
      </c>
      <c r="AS107" s="119"/>
      <c r="AT107" s="119"/>
      <c r="AU107" s="120"/>
      <c r="AV107" s="806" t="s">
        <v>2484</v>
      </c>
      <c r="AW107" s="800">
        <v>3005766555</v>
      </c>
      <c r="AX107" s="807">
        <v>1195234979</v>
      </c>
      <c r="AY107" s="807">
        <v>1810531577</v>
      </c>
      <c r="AZ107" s="807">
        <v>81606006</v>
      </c>
      <c r="BA107" s="196">
        <f t="shared" si="24"/>
        <v>0.39764730797598485</v>
      </c>
      <c r="BB107" s="210">
        <v>437083</v>
      </c>
      <c r="BC107" s="115">
        <v>12113</v>
      </c>
      <c r="BD107" s="236">
        <v>0</v>
      </c>
    </row>
    <row r="108" spans="1:56" s="808" customFormat="1" ht="14.25" customHeight="1">
      <c r="A108" s="792">
        <v>2024</v>
      </c>
      <c r="B108" s="793" t="str">
        <f>+INDEX('①基本情報 '!C:C,MATCH('③経費情報(2024)'!E108,'①基本情報 '!E:E,0))</f>
        <v>100</v>
      </c>
      <c r="C108" s="794" t="str">
        <f>+INDEX('①基本情報 '!B:B,MATCH('③経費情報(2024)'!E108,'①基本情報 '!E:E,0))</f>
        <v>0702</v>
      </c>
      <c r="D108" s="809" t="s">
        <v>2415</v>
      </c>
      <c r="E108" s="616" t="s">
        <v>2370</v>
      </c>
      <c r="F108" s="616" t="str">
        <f>INDEX('①基本情報 '!F:F,MATCH('③経費情報(2024)'!E108,'①基本情報 '!E:E,0))</f>
        <v>都市活力部</v>
      </c>
      <c r="G108" s="797" t="s">
        <v>709</v>
      </c>
      <c r="H108" s="810">
        <v>5596</v>
      </c>
      <c r="I108" s="799"/>
      <c r="J108" s="807">
        <v>3042</v>
      </c>
      <c r="K108" s="801">
        <f t="shared" si="15"/>
        <v>8638</v>
      </c>
      <c r="L108" s="799"/>
      <c r="M108" s="799"/>
      <c r="N108" s="800"/>
      <c r="O108" s="799"/>
      <c r="P108" s="814">
        <v>0.45</v>
      </c>
      <c r="Q108" s="799">
        <v>9119</v>
      </c>
      <c r="R108" s="115"/>
      <c r="S108" s="799">
        <f t="shared" si="16"/>
        <v>4104</v>
      </c>
      <c r="T108" s="800"/>
      <c r="U108" s="803"/>
      <c r="V108" s="799">
        <v>52029</v>
      </c>
      <c r="W108" s="801">
        <f t="shared" si="17"/>
        <v>56133</v>
      </c>
      <c r="X108" s="799"/>
      <c r="Y108" s="799">
        <v>343</v>
      </c>
      <c r="Z108" s="803">
        <v>176</v>
      </c>
      <c r="AA108" s="799"/>
      <c r="AB108" s="801">
        <f t="shared" si="18"/>
        <v>519</v>
      </c>
      <c r="AC108" s="799">
        <v>3123</v>
      </c>
      <c r="AD108" s="799">
        <v>5809</v>
      </c>
      <c r="AE108" s="800">
        <v>0</v>
      </c>
      <c r="AF108" s="804">
        <v>1701</v>
      </c>
      <c r="AG108" s="799">
        <v>29971</v>
      </c>
      <c r="AH108" s="800">
        <v>10878</v>
      </c>
      <c r="AI108" s="800">
        <v>359</v>
      </c>
      <c r="AJ108" s="801">
        <f t="shared" si="14"/>
        <v>51841</v>
      </c>
      <c r="AK108" s="800">
        <f t="shared" si="22"/>
        <v>911677.80599999998</v>
      </c>
      <c r="AL108" s="800">
        <f t="shared" si="22"/>
        <v>399755.29</v>
      </c>
      <c r="AM108" s="800">
        <f t="shared" si="22"/>
        <v>511922.516</v>
      </c>
      <c r="AN108" s="800">
        <f t="shared" si="22"/>
        <v>21367.57</v>
      </c>
      <c r="AO108" s="192">
        <f t="shared" si="21"/>
        <v>0.43848307743053688</v>
      </c>
      <c r="AP108" s="193">
        <f t="shared" si="23"/>
        <v>77500.570000000007</v>
      </c>
      <c r="AQ108" s="193">
        <f t="shared" si="19"/>
        <v>-68862.570000000007</v>
      </c>
      <c r="AR108" s="805"/>
      <c r="AS108" s="119"/>
      <c r="AT108" s="119"/>
      <c r="AU108" s="120"/>
      <c r="AV108" s="806" t="s">
        <v>2484</v>
      </c>
      <c r="AW108" s="800">
        <v>911677806</v>
      </c>
      <c r="AX108" s="807">
        <v>399755290</v>
      </c>
      <c r="AY108" s="807">
        <v>511922516</v>
      </c>
      <c r="AZ108" s="807">
        <v>21367570</v>
      </c>
      <c r="BA108" s="196">
        <f t="shared" si="24"/>
        <v>0.43848307743053688</v>
      </c>
      <c r="BB108" s="210">
        <v>60081</v>
      </c>
      <c r="BC108" s="115">
        <v>6513</v>
      </c>
      <c r="BD108" s="236">
        <v>0</v>
      </c>
    </row>
    <row r="109" spans="1:56" s="808" customFormat="1" ht="14.25" customHeight="1">
      <c r="A109" s="792">
        <v>2024</v>
      </c>
      <c r="B109" s="793" t="str">
        <f>+INDEX('①基本情報 '!C:C,MATCH('③経費情報(2024)'!E109,'①基本情報 '!E:E,0))</f>
        <v>101</v>
      </c>
      <c r="C109" s="794" t="str">
        <f>+INDEX('①基本情報 '!B:B,MATCH('③経費情報(2024)'!E109,'①基本情報 '!E:E,0))</f>
        <v>0280</v>
      </c>
      <c r="D109" s="809" t="s">
        <v>2415</v>
      </c>
      <c r="E109" s="616" t="s">
        <v>1994</v>
      </c>
      <c r="F109" s="616" t="str">
        <f>INDEX('①基本情報 '!F:F,MATCH('③経費情報(2024)'!E109,'①基本情報 '!E:E,0))</f>
        <v>都市活力部</v>
      </c>
      <c r="G109" s="797" t="s">
        <v>2583</v>
      </c>
      <c r="H109" s="810">
        <v>720</v>
      </c>
      <c r="I109" s="800"/>
      <c r="J109" s="807">
        <v>236</v>
      </c>
      <c r="K109" s="801">
        <f t="shared" si="15"/>
        <v>956</v>
      </c>
      <c r="L109" s="115"/>
      <c r="M109" s="115"/>
      <c r="N109" s="115"/>
      <c r="O109" s="799">
        <v>2493</v>
      </c>
      <c r="P109" s="815">
        <v>0.5</v>
      </c>
      <c r="Q109" s="799">
        <v>9119</v>
      </c>
      <c r="R109" s="800"/>
      <c r="S109" s="799">
        <f t="shared" si="16"/>
        <v>4560</v>
      </c>
      <c r="T109" s="800">
        <v>932</v>
      </c>
      <c r="U109" s="144">
        <v>25498</v>
      </c>
      <c r="V109" s="799">
        <v>197644</v>
      </c>
      <c r="W109" s="801">
        <f t="shared" si="17"/>
        <v>231127</v>
      </c>
      <c r="X109" s="799">
        <v>41751</v>
      </c>
      <c r="Y109" s="799">
        <v>37262</v>
      </c>
      <c r="Z109" s="803">
        <v>409</v>
      </c>
      <c r="AA109" s="799">
        <v>197644</v>
      </c>
      <c r="AB109" s="801">
        <f t="shared" si="18"/>
        <v>277066</v>
      </c>
      <c r="AC109" s="799">
        <v>55688</v>
      </c>
      <c r="AD109" s="799">
        <v>110052</v>
      </c>
      <c r="AE109" s="800"/>
      <c r="AF109" s="804">
        <v>2956</v>
      </c>
      <c r="AG109" s="799">
        <v>57096</v>
      </c>
      <c r="AH109" s="800">
        <v>38571</v>
      </c>
      <c r="AI109" s="800">
        <v>4637</v>
      </c>
      <c r="AJ109" s="801">
        <f t="shared" si="14"/>
        <v>269000</v>
      </c>
      <c r="AK109" s="800">
        <f t="shared" si="22"/>
        <v>7948096.9989999998</v>
      </c>
      <c r="AL109" s="800">
        <f t="shared" si="22"/>
        <v>4080163.949</v>
      </c>
      <c r="AM109" s="800">
        <f t="shared" si="22"/>
        <v>3867933.05</v>
      </c>
      <c r="AN109" s="800">
        <f t="shared" si="22"/>
        <v>183360.785</v>
      </c>
      <c r="AO109" s="192">
        <f t="shared" si="21"/>
        <v>0.51335105114008439</v>
      </c>
      <c r="AP109" s="193">
        <f t="shared" si="23"/>
        <v>414487.78500000003</v>
      </c>
      <c r="AQ109" s="193">
        <f t="shared" si="19"/>
        <v>-413531.78500000003</v>
      </c>
      <c r="AR109" s="805"/>
      <c r="AS109" s="119"/>
      <c r="AT109" s="119"/>
      <c r="AU109" s="120"/>
      <c r="AV109" s="806"/>
      <c r="AW109" s="800">
        <v>7948096999</v>
      </c>
      <c r="AX109" s="807">
        <v>4080163949</v>
      </c>
      <c r="AY109" s="807">
        <v>3867933050</v>
      </c>
      <c r="AZ109" s="807">
        <v>183360785</v>
      </c>
      <c r="BA109" s="196">
        <f t="shared" si="24"/>
        <v>0.51335105114008439</v>
      </c>
      <c r="BB109" s="210">
        <v>1553082</v>
      </c>
      <c r="BC109" s="115">
        <v>51877</v>
      </c>
      <c r="BD109" s="236">
        <v>0</v>
      </c>
    </row>
    <row r="110" spans="1:56" s="808" customFormat="1" ht="14.25" customHeight="1">
      <c r="A110" s="792">
        <v>2024</v>
      </c>
      <c r="B110" s="793" t="str">
        <f>+INDEX('①基本情報 '!C:C,MATCH('③経費情報(2024)'!E110,'①基本情報 '!E:E,0))</f>
        <v>102</v>
      </c>
      <c r="C110" s="794" t="str">
        <f>+INDEX('①基本情報 '!B:B,MATCH('③経費情報(2024)'!E110,'①基本情報 '!E:E,0))</f>
        <v>0286</v>
      </c>
      <c r="D110" s="809" t="s">
        <v>2415</v>
      </c>
      <c r="E110" s="616" t="s">
        <v>1996</v>
      </c>
      <c r="F110" s="616" t="str">
        <f>INDEX('①基本情報 '!F:F,MATCH('③経費情報(2024)'!E110,'①基本情報 '!E:E,0))</f>
        <v>都市活力部</v>
      </c>
      <c r="G110" s="797" t="s">
        <v>2583</v>
      </c>
      <c r="H110" s="810">
        <v>809</v>
      </c>
      <c r="I110" s="800"/>
      <c r="J110" s="807">
        <v>238</v>
      </c>
      <c r="K110" s="801">
        <f t="shared" si="15"/>
        <v>1047</v>
      </c>
      <c r="L110" s="115"/>
      <c r="M110" s="115"/>
      <c r="N110" s="115"/>
      <c r="O110" s="799">
        <v>1683</v>
      </c>
      <c r="P110" s="815">
        <v>0.5</v>
      </c>
      <c r="Q110" s="799">
        <v>9119</v>
      </c>
      <c r="R110" s="800"/>
      <c r="S110" s="799">
        <f t="shared" si="16"/>
        <v>4560</v>
      </c>
      <c r="T110" s="800">
        <v>569</v>
      </c>
      <c r="U110" s="144"/>
      <c r="V110" s="799">
        <v>88517</v>
      </c>
      <c r="W110" s="801">
        <f t="shared" si="17"/>
        <v>95329</v>
      </c>
      <c r="X110" s="799">
        <v>24786</v>
      </c>
      <c r="Y110" s="799">
        <v>8016</v>
      </c>
      <c r="Z110" s="803">
        <v>62</v>
      </c>
      <c r="AA110" s="799">
        <v>88517</v>
      </c>
      <c r="AB110" s="801">
        <f t="shared" si="18"/>
        <v>121381</v>
      </c>
      <c r="AC110" s="799">
        <v>16289</v>
      </c>
      <c r="AD110" s="799">
        <v>27272</v>
      </c>
      <c r="AE110" s="800"/>
      <c r="AF110" s="804">
        <v>2690</v>
      </c>
      <c r="AG110" s="799">
        <v>50709</v>
      </c>
      <c r="AH110" s="800">
        <v>16524</v>
      </c>
      <c r="AI110" s="800">
        <v>1606</v>
      </c>
      <c r="AJ110" s="801">
        <f t="shared" si="14"/>
        <v>115090</v>
      </c>
      <c r="AK110" s="800">
        <f t="shared" si="22"/>
        <v>2782423.5290000001</v>
      </c>
      <c r="AL110" s="800">
        <f t="shared" si="22"/>
        <v>1800220.828</v>
      </c>
      <c r="AM110" s="800">
        <f t="shared" si="22"/>
        <v>982202.701</v>
      </c>
      <c r="AN110" s="800">
        <f t="shared" si="22"/>
        <v>61658.99</v>
      </c>
      <c r="AO110" s="192">
        <f t="shared" si="21"/>
        <v>0.64699741403027788</v>
      </c>
      <c r="AP110" s="193">
        <f t="shared" si="23"/>
        <v>156987.99</v>
      </c>
      <c r="AQ110" s="193">
        <f t="shared" si="19"/>
        <v>-155940.99</v>
      </c>
      <c r="AR110" s="805"/>
      <c r="AS110" s="119"/>
      <c r="AT110" s="119"/>
      <c r="AU110" s="120"/>
      <c r="AV110" s="806"/>
      <c r="AW110" s="800">
        <v>2782423529</v>
      </c>
      <c r="AX110" s="807">
        <v>1800220828</v>
      </c>
      <c r="AY110" s="807">
        <v>982202701</v>
      </c>
      <c r="AZ110" s="807">
        <v>61658990</v>
      </c>
      <c r="BA110" s="196">
        <f t="shared" si="24"/>
        <v>0.64699741403027788</v>
      </c>
      <c r="BB110" s="210">
        <v>377325</v>
      </c>
      <c r="BC110" s="115">
        <v>46202</v>
      </c>
      <c r="BD110" s="236">
        <v>0</v>
      </c>
    </row>
    <row r="111" spans="1:56" s="808" customFormat="1" ht="14.25" customHeight="1">
      <c r="A111" s="792">
        <v>2024</v>
      </c>
      <c r="B111" s="793" t="str">
        <f>+INDEX('①基本情報 '!C:C,MATCH('③経費情報(2024)'!E111,'①基本情報 '!E:E,0))</f>
        <v>103</v>
      </c>
      <c r="C111" s="794" t="str">
        <f>+INDEX('①基本情報 '!B:B,MATCH('③経費情報(2024)'!E111,'①基本情報 '!E:E,0))</f>
        <v>0287</v>
      </c>
      <c r="D111" s="809" t="s">
        <v>2415</v>
      </c>
      <c r="E111" s="616" t="s">
        <v>1998</v>
      </c>
      <c r="F111" s="616" t="str">
        <f>INDEX('①基本情報 '!F:F,MATCH('③経費情報(2024)'!E111,'①基本情報 '!E:E,0))</f>
        <v>都市活力部</v>
      </c>
      <c r="G111" s="797" t="s">
        <v>2583</v>
      </c>
      <c r="H111" s="810">
        <v>1860</v>
      </c>
      <c r="I111" s="800"/>
      <c r="J111" s="807"/>
      <c r="K111" s="801">
        <f t="shared" si="15"/>
        <v>1860</v>
      </c>
      <c r="L111" s="115"/>
      <c r="M111" s="115"/>
      <c r="N111" s="115"/>
      <c r="O111" s="799"/>
      <c r="P111" s="815">
        <v>0.4</v>
      </c>
      <c r="Q111" s="799">
        <v>9119</v>
      </c>
      <c r="R111" s="800"/>
      <c r="S111" s="799">
        <f t="shared" si="16"/>
        <v>3648</v>
      </c>
      <c r="T111" s="800">
        <v>722</v>
      </c>
      <c r="U111" s="144"/>
      <c r="V111" s="799">
        <v>62997</v>
      </c>
      <c r="W111" s="801">
        <f t="shared" si="17"/>
        <v>67367</v>
      </c>
      <c r="X111" s="799">
        <v>11695</v>
      </c>
      <c r="Y111" s="799">
        <v>2987</v>
      </c>
      <c r="Z111" s="803">
        <v>3005</v>
      </c>
      <c r="AA111" s="799">
        <v>62997</v>
      </c>
      <c r="AB111" s="801">
        <f t="shared" si="18"/>
        <v>80684</v>
      </c>
      <c r="AC111" s="799">
        <v>14949</v>
      </c>
      <c r="AD111" s="799">
        <v>20640</v>
      </c>
      <c r="AE111" s="800"/>
      <c r="AF111" s="804">
        <v>1045</v>
      </c>
      <c r="AG111" s="799">
        <v>21557</v>
      </c>
      <c r="AH111" s="800">
        <v>13260</v>
      </c>
      <c r="AI111" s="846">
        <v>7155</v>
      </c>
      <c r="AJ111" s="801">
        <f t="shared" si="14"/>
        <v>78606</v>
      </c>
      <c r="AK111" s="800">
        <f t="shared" si="22"/>
        <v>1744070.8019999999</v>
      </c>
      <c r="AL111" s="800">
        <f t="shared" si="22"/>
        <v>1211225.946</v>
      </c>
      <c r="AM111" s="800">
        <f t="shared" si="22"/>
        <v>532844.85600000003</v>
      </c>
      <c r="AN111" s="800">
        <f t="shared" si="22"/>
        <v>41044.231</v>
      </c>
      <c r="AO111" s="192">
        <f t="shared" si="21"/>
        <v>0.69448209591665422</v>
      </c>
      <c r="AP111" s="193">
        <f t="shared" si="23"/>
        <v>108411.231</v>
      </c>
      <c r="AQ111" s="193">
        <f t="shared" si="19"/>
        <v>-106551.231</v>
      </c>
      <c r="AR111" s="805"/>
      <c r="AS111" s="119"/>
      <c r="AT111" s="119"/>
      <c r="AU111" s="120"/>
      <c r="AV111" s="806"/>
      <c r="AW111" s="800">
        <v>1744070802</v>
      </c>
      <c r="AX111" s="807">
        <v>1211225946</v>
      </c>
      <c r="AY111" s="807">
        <v>532844856</v>
      </c>
      <c r="AZ111" s="807">
        <v>41044231</v>
      </c>
      <c r="BA111" s="196">
        <f t="shared" si="24"/>
        <v>0.69448209591665422</v>
      </c>
      <c r="BB111" s="210">
        <v>224430</v>
      </c>
      <c r="BC111" s="115">
        <v>19532</v>
      </c>
      <c r="BD111" s="236">
        <v>0</v>
      </c>
    </row>
    <row r="112" spans="1:56" s="808" customFormat="1" ht="14.25" customHeight="1">
      <c r="A112" s="792">
        <v>2024</v>
      </c>
      <c r="B112" s="793" t="str">
        <f>+INDEX('①基本情報 '!C:C,MATCH('③経費情報(2024)'!E112,'①基本情報 '!E:E,0))</f>
        <v>104</v>
      </c>
      <c r="C112" s="794" t="str">
        <f>+INDEX('①基本情報 '!B:B,MATCH('③経費情報(2024)'!E112,'①基本情報 '!E:E,0))</f>
        <v>0947</v>
      </c>
      <c r="D112" s="809" t="s">
        <v>2415</v>
      </c>
      <c r="E112" s="616" t="s">
        <v>2517</v>
      </c>
      <c r="F112" s="616" t="str">
        <f>INDEX('①基本情報 '!F:F,MATCH('③経費情報(2024)'!E112,'①基本情報 '!E:E,0))</f>
        <v>都市活力部</v>
      </c>
      <c r="G112" s="797" t="s">
        <v>2583</v>
      </c>
      <c r="H112" s="841"/>
      <c r="I112" s="799"/>
      <c r="J112" s="807"/>
      <c r="K112" s="801">
        <f t="shared" si="15"/>
        <v>0</v>
      </c>
      <c r="L112" s="799"/>
      <c r="M112" s="800"/>
      <c r="N112" s="800"/>
      <c r="O112" s="799"/>
      <c r="P112" s="847">
        <v>0.65</v>
      </c>
      <c r="Q112" s="799">
        <v>9119</v>
      </c>
      <c r="R112" s="115"/>
      <c r="S112" s="799">
        <f t="shared" si="16"/>
        <v>5927</v>
      </c>
      <c r="T112" s="115">
        <v>612</v>
      </c>
      <c r="U112" s="803"/>
      <c r="V112" s="115">
        <v>257790</v>
      </c>
      <c r="W112" s="801">
        <f t="shared" si="17"/>
        <v>264329</v>
      </c>
      <c r="X112" s="799">
        <v>28475</v>
      </c>
      <c r="Y112" s="800">
        <v>40856</v>
      </c>
      <c r="Z112" s="803">
        <v>3000</v>
      </c>
      <c r="AA112" s="799">
        <v>257790</v>
      </c>
      <c r="AB112" s="801">
        <f t="shared" si="18"/>
        <v>330121</v>
      </c>
      <c r="AC112" s="799">
        <v>33294</v>
      </c>
      <c r="AD112" s="800">
        <v>26867</v>
      </c>
      <c r="AE112" s="800"/>
      <c r="AF112" s="804">
        <v>1992</v>
      </c>
      <c r="AG112" s="799">
        <v>164315</v>
      </c>
      <c r="AH112" s="803">
        <v>83741</v>
      </c>
      <c r="AI112" s="848">
        <v>8045</v>
      </c>
      <c r="AJ112" s="849">
        <f t="shared" si="14"/>
        <v>318254</v>
      </c>
      <c r="AK112" s="800">
        <f t="shared" si="22"/>
        <v>3171928.7030000002</v>
      </c>
      <c r="AL112" s="800">
        <f t="shared" si="22"/>
        <v>1185642.9709999999</v>
      </c>
      <c r="AM112" s="800">
        <f t="shared" si="22"/>
        <v>1986285.7320000001</v>
      </c>
      <c r="AN112" s="800">
        <f t="shared" si="22"/>
        <v>109634.024</v>
      </c>
      <c r="AO112" s="192">
        <f t="shared" si="21"/>
        <v>0.37379244050429716</v>
      </c>
      <c r="AP112" s="193">
        <f t="shared" si="23"/>
        <v>373963.02399999998</v>
      </c>
      <c r="AQ112" s="193">
        <f t="shared" si="19"/>
        <v>-373963.02399999998</v>
      </c>
      <c r="AR112" s="805"/>
      <c r="AS112" s="119"/>
      <c r="AT112" s="119"/>
      <c r="AU112" s="120"/>
      <c r="AV112" s="806"/>
      <c r="AW112" s="800">
        <v>3171928703</v>
      </c>
      <c r="AX112" s="807">
        <v>1185642971</v>
      </c>
      <c r="AY112" s="807">
        <v>1986285732</v>
      </c>
      <c r="AZ112" s="807">
        <v>109634024</v>
      </c>
      <c r="BA112" s="196">
        <f t="shared" si="24"/>
        <v>0.37379244050429716</v>
      </c>
      <c r="BB112" s="210">
        <v>1383612.82</v>
      </c>
      <c r="BC112" s="115">
        <v>61</v>
      </c>
      <c r="BD112" s="236">
        <v>0</v>
      </c>
    </row>
    <row r="113" spans="1:56" s="808" customFormat="1" ht="14.25" customHeight="1">
      <c r="A113" s="792">
        <v>2024</v>
      </c>
      <c r="B113" s="793" t="str">
        <f>+INDEX('①基本情報 '!C:C,MATCH('③経費情報(2024)'!E113,'①基本情報 '!E:E,0))</f>
        <v>105</v>
      </c>
      <c r="C113" s="794" t="str">
        <f>+INDEX('①基本情報 '!B:B,MATCH('③経費情報(2024)'!E113,'①基本情報 '!E:E,0))</f>
        <v>1073</v>
      </c>
      <c r="D113" s="809" t="s">
        <v>2415</v>
      </c>
      <c r="E113" s="616" t="s">
        <v>2636</v>
      </c>
      <c r="F113" s="616" t="str">
        <f>INDEX('①基本情報 '!F:F,MATCH('③経費情報(2024)'!E113,'①基本情報 '!E:E,0))</f>
        <v>都市活力部</v>
      </c>
      <c r="G113" s="797" t="s">
        <v>2584</v>
      </c>
      <c r="H113" s="841"/>
      <c r="I113" s="800"/>
      <c r="J113" s="807"/>
      <c r="K113" s="801">
        <f t="shared" si="15"/>
        <v>0</v>
      </c>
      <c r="L113" s="799">
        <v>5</v>
      </c>
      <c r="M113" s="799"/>
      <c r="N113" s="115"/>
      <c r="O113" s="799"/>
      <c r="P113" s="802">
        <v>0</v>
      </c>
      <c r="Q113" s="799">
        <v>9119</v>
      </c>
      <c r="R113" s="800"/>
      <c r="S113" s="799">
        <f t="shared" si="16"/>
        <v>0</v>
      </c>
      <c r="T113" s="115"/>
      <c r="U113" s="144"/>
      <c r="V113" s="800"/>
      <c r="W113" s="801">
        <f t="shared" si="17"/>
        <v>5</v>
      </c>
      <c r="X113" s="799"/>
      <c r="Y113" s="799"/>
      <c r="Z113" s="803"/>
      <c r="AA113" s="799"/>
      <c r="AB113" s="801">
        <f t="shared" si="18"/>
        <v>0</v>
      </c>
      <c r="AC113" s="799"/>
      <c r="AD113" s="799"/>
      <c r="AE113" s="800"/>
      <c r="AF113" s="804"/>
      <c r="AG113" s="799"/>
      <c r="AH113" s="800"/>
      <c r="AI113" s="834"/>
      <c r="AJ113" s="801">
        <f t="shared" si="14"/>
        <v>0</v>
      </c>
      <c r="AK113" s="800">
        <f t="shared" si="22"/>
        <v>6462.4</v>
      </c>
      <c r="AL113" s="800">
        <f t="shared" si="22"/>
        <v>6462.3990000000003</v>
      </c>
      <c r="AM113" s="800">
        <f t="shared" si="22"/>
        <v>1E-3</v>
      </c>
      <c r="AN113" s="800">
        <f t="shared" si="22"/>
        <v>0</v>
      </c>
      <c r="AO113" s="192">
        <f t="shared" si="21"/>
        <v>0.99999984525872743</v>
      </c>
      <c r="AP113" s="193">
        <f t="shared" si="23"/>
        <v>5</v>
      </c>
      <c r="AQ113" s="193">
        <f t="shared" si="19"/>
        <v>-5</v>
      </c>
      <c r="AR113" s="805"/>
      <c r="AS113" s="119"/>
      <c r="AT113" s="119"/>
      <c r="AU113" s="120"/>
      <c r="AV113" s="806"/>
      <c r="AW113" s="800">
        <v>6462400</v>
      </c>
      <c r="AX113" s="807">
        <v>6462399</v>
      </c>
      <c r="AY113" s="807">
        <v>1</v>
      </c>
      <c r="AZ113" s="807">
        <v>0</v>
      </c>
      <c r="BA113" s="196">
        <f t="shared" si="24"/>
        <v>0.99999984525872743</v>
      </c>
      <c r="BB113" s="210"/>
      <c r="BC113" s="115"/>
      <c r="BD113" s="236"/>
    </row>
    <row r="114" spans="1:56" s="808" customFormat="1" ht="14.25" customHeight="1">
      <c r="A114" s="792">
        <v>2024</v>
      </c>
      <c r="B114" s="793" t="str">
        <f>+INDEX('①基本情報 '!C:C,MATCH('③経費情報(2024)'!E114,'①基本情報 '!E:E,0))</f>
        <v>106</v>
      </c>
      <c r="C114" s="794" t="str">
        <f>+INDEX('①基本情報 '!B:B,MATCH('③経費情報(2024)'!E114,'①基本情報 '!E:E,0))</f>
        <v>1077</v>
      </c>
      <c r="D114" s="809" t="s">
        <v>2415</v>
      </c>
      <c r="E114" s="616" t="s">
        <v>2365</v>
      </c>
      <c r="F114" s="616" t="str">
        <f>INDEX('①基本情報 '!F:F,MATCH('③経費情報(2024)'!E114,'①基本情報 '!E:E,0))</f>
        <v>都市活力部</v>
      </c>
      <c r="G114" s="797" t="s">
        <v>2584</v>
      </c>
      <c r="H114" s="841"/>
      <c r="I114" s="800"/>
      <c r="J114" s="807"/>
      <c r="K114" s="801">
        <f t="shared" si="15"/>
        <v>0</v>
      </c>
      <c r="L114" s="799">
        <v>504</v>
      </c>
      <c r="M114" s="799">
        <v>1197</v>
      </c>
      <c r="N114" s="115"/>
      <c r="O114" s="799">
        <v>360</v>
      </c>
      <c r="P114" s="802">
        <v>0</v>
      </c>
      <c r="Q114" s="799">
        <v>9119</v>
      </c>
      <c r="R114" s="800">
        <v>5692</v>
      </c>
      <c r="S114" s="799">
        <f t="shared" si="16"/>
        <v>5692</v>
      </c>
      <c r="T114" s="115">
        <v>822</v>
      </c>
      <c r="U114" s="144"/>
      <c r="V114" s="800"/>
      <c r="W114" s="801">
        <f t="shared" si="17"/>
        <v>8575</v>
      </c>
      <c r="X114" s="799"/>
      <c r="Y114" s="799"/>
      <c r="Z114" s="803"/>
      <c r="AA114" s="799"/>
      <c r="AB114" s="801">
        <f t="shared" si="18"/>
        <v>0</v>
      </c>
      <c r="AC114" s="799"/>
      <c r="AD114" s="799"/>
      <c r="AE114" s="800"/>
      <c r="AF114" s="804"/>
      <c r="AG114" s="799"/>
      <c r="AH114" s="800"/>
      <c r="AI114" s="800"/>
      <c r="AJ114" s="801">
        <f t="shared" si="14"/>
        <v>0</v>
      </c>
      <c r="AK114" s="800">
        <f t="shared" si="22"/>
        <v>79546.611000000004</v>
      </c>
      <c r="AL114" s="800">
        <f t="shared" si="22"/>
        <v>62617.243000000002</v>
      </c>
      <c r="AM114" s="800">
        <f t="shared" si="22"/>
        <v>16929.367999999999</v>
      </c>
      <c r="AN114" s="800">
        <f t="shared" si="22"/>
        <v>1638.1579999999999</v>
      </c>
      <c r="AO114" s="192">
        <f t="shared" si="21"/>
        <v>0.78717675351373551</v>
      </c>
      <c r="AP114" s="193">
        <f t="shared" si="23"/>
        <v>10213.157999999999</v>
      </c>
      <c r="AQ114" s="193">
        <f t="shared" si="19"/>
        <v>-10213.157999999999</v>
      </c>
      <c r="AR114" s="805"/>
      <c r="AS114" s="119"/>
      <c r="AT114" s="119"/>
      <c r="AU114" s="120"/>
      <c r="AV114" s="806"/>
      <c r="AW114" s="800">
        <v>79546611</v>
      </c>
      <c r="AX114" s="807">
        <v>62617243</v>
      </c>
      <c r="AY114" s="807">
        <v>16929368</v>
      </c>
      <c r="AZ114" s="807">
        <v>1638158</v>
      </c>
      <c r="BA114" s="196">
        <f t="shared" si="24"/>
        <v>0.78717675351373551</v>
      </c>
      <c r="BB114" s="210"/>
      <c r="BC114" s="115"/>
      <c r="BD114" s="236"/>
    </row>
    <row r="115" spans="1:56" s="808" customFormat="1" ht="14.25" customHeight="1">
      <c r="A115" s="792">
        <v>2024</v>
      </c>
      <c r="B115" s="793" t="str">
        <f>+INDEX('①基本情報 '!C:C,MATCH('③経費情報(2024)'!E115,'①基本情報 '!E:E,0))</f>
        <v>107</v>
      </c>
      <c r="C115" s="794" t="str">
        <f>+INDEX('①基本情報 '!B:B,MATCH('③経費情報(2024)'!E115,'①基本情報 '!E:E,0))</f>
        <v>0852</v>
      </c>
      <c r="D115" s="809" t="s">
        <v>2415</v>
      </c>
      <c r="E115" s="616" t="s">
        <v>754</v>
      </c>
      <c r="F115" s="616" t="str">
        <f>INDEX('①基本情報 '!F:F,MATCH('③経費情報(2024)'!E115,'①基本情報 '!E:E,0))</f>
        <v>都市交通部</v>
      </c>
      <c r="G115" s="797" t="s">
        <v>2475</v>
      </c>
      <c r="H115" s="810">
        <v>591</v>
      </c>
      <c r="I115" s="799">
        <v>0</v>
      </c>
      <c r="J115" s="807">
        <v>37</v>
      </c>
      <c r="K115" s="801">
        <f t="shared" si="15"/>
        <v>628</v>
      </c>
      <c r="L115" s="115">
        <v>0</v>
      </c>
      <c r="M115" s="115">
        <v>0</v>
      </c>
      <c r="N115" s="115">
        <v>0</v>
      </c>
      <c r="O115" s="115">
        <v>0</v>
      </c>
      <c r="P115" s="814">
        <v>1.1000000000000001</v>
      </c>
      <c r="Q115" s="799">
        <v>9119</v>
      </c>
      <c r="R115" s="800"/>
      <c r="S115" s="799">
        <f t="shared" si="16"/>
        <v>10031</v>
      </c>
      <c r="T115" s="115">
        <v>4689</v>
      </c>
      <c r="U115" s="144">
        <v>215</v>
      </c>
      <c r="V115" s="799">
        <v>123942</v>
      </c>
      <c r="W115" s="801">
        <f t="shared" si="17"/>
        <v>138877</v>
      </c>
      <c r="X115" s="799">
        <v>32817</v>
      </c>
      <c r="Y115" s="799">
        <v>1968</v>
      </c>
      <c r="Z115" s="803"/>
      <c r="AA115" s="799">
        <v>123942</v>
      </c>
      <c r="AB115" s="801">
        <f t="shared" si="18"/>
        <v>158727</v>
      </c>
      <c r="AC115" s="799">
        <v>12323</v>
      </c>
      <c r="AD115" s="799">
        <v>13569</v>
      </c>
      <c r="AE115" s="800">
        <v>0</v>
      </c>
      <c r="AF115" s="804">
        <v>4770</v>
      </c>
      <c r="AG115" s="799">
        <v>86265</v>
      </c>
      <c r="AH115" s="800">
        <v>28555</v>
      </c>
      <c r="AI115" s="800">
        <v>7355</v>
      </c>
      <c r="AJ115" s="801">
        <f t="shared" si="14"/>
        <v>152837</v>
      </c>
      <c r="AK115" s="800">
        <f t="shared" si="22"/>
        <v>1201585.412</v>
      </c>
      <c r="AL115" s="800">
        <f t="shared" si="22"/>
        <v>743475.14099999995</v>
      </c>
      <c r="AM115" s="800">
        <f t="shared" si="22"/>
        <v>458110.27100000001</v>
      </c>
      <c r="AN115" s="800">
        <f t="shared" si="22"/>
        <v>30833.583999999999</v>
      </c>
      <c r="AO115" s="192">
        <f t="shared" si="21"/>
        <v>0.61874514585068885</v>
      </c>
      <c r="AP115" s="193">
        <f t="shared" si="23"/>
        <v>169710.584</v>
      </c>
      <c r="AQ115" s="193">
        <f t="shared" si="19"/>
        <v>-169082.584</v>
      </c>
      <c r="AR115" s="805"/>
      <c r="AS115" s="237" t="s">
        <v>2799</v>
      </c>
      <c r="AT115" s="119"/>
      <c r="AU115" s="120"/>
      <c r="AV115" s="806"/>
      <c r="AW115" s="800">
        <v>1201585412</v>
      </c>
      <c r="AX115" s="807">
        <v>743475141</v>
      </c>
      <c r="AY115" s="807">
        <v>458110271</v>
      </c>
      <c r="AZ115" s="807">
        <v>30833584</v>
      </c>
      <c r="BA115" s="196">
        <f t="shared" si="24"/>
        <v>0.61874514585068885</v>
      </c>
      <c r="BB115" s="210">
        <v>254644</v>
      </c>
      <c r="BC115" s="115">
        <v>29031</v>
      </c>
      <c r="BD115" s="236">
        <v>0</v>
      </c>
    </row>
    <row r="116" spans="1:56" s="808" customFormat="1" ht="14.25" customHeight="1">
      <c r="A116" s="792">
        <v>2024</v>
      </c>
      <c r="B116" s="793" t="str">
        <f>+INDEX('①基本情報 '!C:C,MATCH('③経費情報(2024)'!E116,'①基本情報 '!E:E,0))</f>
        <v>108</v>
      </c>
      <c r="C116" s="794" t="str">
        <f>+INDEX('①基本情報 '!B:B,MATCH('③経費情報(2024)'!E116,'①基本情報 '!E:E,0))</f>
        <v>0855</v>
      </c>
      <c r="D116" s="809" t="s">
        <v>2415</v>
      </c>
      <c r="E116" s="616" t="s">
        <v>762</v>
      </c>
      <c r="F116" s="616" t="str">
        <f>INDEX('①基本情報 '!F:F,MATCH('③経費情報(2024)'!E116,'①基本情報 '!E:E,0))</f>
        <v>都市交通部</v>
      </c>
      <c r="G116" s="797" t="s">
        <v>2477</v>
      </c>
      <c r="H116" s="810">
        <v>6</v>
      </c>
      <c r="I116" s="799">
        <v>0</v>
      </c>
      <c r="J116" s="807">
        <v>46</v>
      </c>
      <c r="K116" s="801">
        <f t="shared" si="15"/>
        <v>52</v>
      </c>
      <c r="L116" s="115">
        <v>0</v>
      </c>
      <c r="M116" s="115">
        <v>0</v>
      </c>
      <c r="N116" s="115">
        <v>0</v>
      </c>
      <c r="O116" s="115">
        <v>0</v>
      </c>
      <c r="P116" s="814">
        <v>0.65</v>
      </c>
      <c r="Q116" s="799">
        <v>9119</v>
      </c>
      <c r="R116" s="800"/>
      <c r="S116" s="799">
        <f t="shared" si="16"/>
        <v>5927</v>
      </c>
      <c r="T116" s="115"/>
      <c r="U116" s="144"/>
      <c r="V116" s="799">
        <v>19595</v>
      </c>
      <c r="W116" s="801">
        <f t="shared" si="17"/>
        <v>25522</v>
      </c>
      <c r="X116" s="799"/>
      <c r="Y116" s="799">
        <v>405</v>
      </c>
      <c r="Z116" s="803"/>
      <c r="AA116" s="799">
        <v>19595</v>
      </c>
      <c r="AB116" s="801">
        <f t="shared" si="18"/>
        <v>20000</v>
      </c>
      <c r="AC116" s="799">
        <v>1493</v>
      </c>
      <c r="AD116" s="799">
        <v>447</v>
      </c>
      <c r="AE116" s="800">
        <v>0</v>
      </c>
      <c r="AF116" s="804">
        <v>400</v>
      </c>
      <c r="AG116" s="799">
        <v>12580</v>
      </c>
      <c r="AH116" s="800">
        <v>1553</v>
      </c>
      <c r="AI116" s="800">
        <v>3410</v>
      </c>
      <c r="AJ116" s="801">
        <f t="shared" si="14"/>
        <v>19883</v>
      </c>
      <c r="AK116" s="800">
        <f t="shared" si="22"/>
        <v>97860</v>
      </c>
      <c r="AL116" s="800">
        <f t="shared" si="22"/>
        <v>63413.279999999999</v>
      </c>
      <c r="AM116" s="800">
        <f t="shared" si="22"/>
        <v>34446.720000000001</v>
      </c>
      <c r="AN116" s="800">
        <f t="shared" si="22"/>
        <v>2642.22</v>
      </c>
      <c r="AO116" s="192">
        <f t="shared" si="21"/>
        <v>0.64800000000000002</v>
      </c>
      <c r="AP116" s="193">
        <f t="shared" si="23"/>
        <v>28164.22</v>
      </c>
      <c r="AQ116" s="193">
        <f t="shared" si="19"/>
        <v>-28112.22</v>
      </c>
      <c r="AR116" s="850"/>
      <c r="AS116" s="119"/>
      <c r="AT116" s="119"/>
      <c r="AU116" s="120"/>
      <c r="AV116" s="806"/>
      <c r="AW116" s="800">
        <v>97860000</v>
      </c>
      <c r="AX116" s="807">
        <v>63413280</v>
      </c>
      <c r="AY116" s="807">
        <v>34446720</v>
      </c>
      <c r="AZ116" s="807">
        <v>2642220</v>
      </c>
      <c r="BA116" s="196">
        <f t="shared" si="24"/>
        <v>0.64800000000000002</v>
      </c>
      <c r="BB116" s="210">
        <v>24272</v>
      </c>
      <c r="BC116" s="115">
        <v>1</v>
      </c>
      <c r="BD116" s="236">
        <v>0</v>
      </c>
    </row>
    <row r="117" spans="1:56" s="808" customFormat="1" ht="14.25" customHeight="1">
      <c r="A117" s="792">
        <v>2024</v>
      </c>
      <c r="B117" s="793" t="str">
        <f>+INDEX('①基本情報 '!C:C,MATCH('③経費情報(2024)'!E117,'①基本情報 '!E:E,0))</f>
        <v>109</v>
      </c>
      <c r="C117" s="794" t="str">
        <f>+INDEX('①基本情報 '!B:B,MATCH('③経費情報(2024)'!E117,'①基本情報 '!E:E,0))</f>
        <v>0340</v>
      </c>
      <c r="D117" s="809" t="s">
        <v>2415</v>
      </c>
      <c r="E117" s="616" t="s">
        <v>770</v>
      </c>
      <c r="F117" s="616" t="str">
        <f>INDEX('①基本情報 '!F:F,MATCH('③経費情報(2024)'!E117,'①基本情報 '!E:E,0))</f>
        <v>教育委員会</v>
      </c>
      <c r="G117" s="797" t="s">
        <v>2585</v>
      </c>
      <c r="H117" s="810">
        <v>11004</v>
      </c>
      <c r="I117" s="799">
        <v>1412</v>
      </c>
      <c r="J117" s="807"/>
      <c r="K117" s="801">
        <f t="shared" si="15"/>
        <v>12416</v>
      </c>
      <c r="L117" s="799">
        <v>1778</v>
      </c>
      <c r="M117" s="799">
        <v>5727</v>
      </c>
      <c r="N117" s="800"/>
      <c r="O117" s="799">
        <v>1778</v>
      </c>
      <c r="P117" s="802">
        <v>2.2999999999999998</v>
      </c>
      <c r="Q117" s="799">
        <v>9119</v>
      </c>
      <c r="R117" s="115">
        <v>13897</v>
      </c>
      <c r="S117" s="799">
        <f t="shared" si="16"/>
        <v>34871</v>
      </c>
      <c r="T117" s="800">
        <v>9933</v>
      </c>
      <c r="U117" s="803"/>
      <c r="V117" s="800"/>
      <c r="W117" s="801">
        <f t="shared" si="17"/>
        <v>54087</v>
      </c>
      <c r="X117" s="799"/>
      <c r="Y117" s="799"/>
      <c r="Z117" s="803"/>
      <c r="AA117" s="799"/>
      <c r="AB117" s="801">
        <f t="shared" si="18"/>
        <v>0</v>
      </c>
      <c r="AC117" s="799"/>
      <c r="AD117" s="799"/>
      <c r="AE117" s="800"/>
      <c r="AF117" s="804"/>
      <c r="AG117" s="799"/>
      <c r="AH117" s="800"/>
      <c r="AI117" s="800"/>
      <c r="AJ117" s="801">
        <f t="shared" si="14"/>
        <v>0</v>
      </c>
      <c r="AK117" s="800">
        <f t="shared" si="22"/>
        <v>1099177.345</v>
      </c>
      <c r="AL117" s="800">
        <f t="shared" si="22"/>
        <v>782707.51899999997</v>
      </c>
      <c r="AM117" s="800">
        <f t="shared" si="22"/>
        <v>316469.826</v>
      </c>
      <c r="AN117" s="800">
        <f t="shared" si="22"/>
        <v>21987.15</v>
      </c>
      <c r="AO117" s="192">
        <f t="shared" si="21"/>
        <v>0.71208483559129399</v>
      </c>
      <c r="AP117" s="193">
        <f t="shared" si="23"/>
        <v>76074.149999999994</v>
      </c>
      <c r="AQ117" s="193">
        <f t="shared" si="19"/>
        <v>-63658.149999999994</v>
      </c>
      <c r="AR117" s="851"/>
      <c r="AS117" s="148"/>
      <c r="AT117" s="148"/>
      <c r="AU117" s="149"/>
      <c r="AV117" s="806"/>
      <c r="AW117" s="800">
        <v>1099177345</v>
      </c>
      <c r="AX117" s="807">
        <v>782707519</v>
      </c>
      <c r="AY117" s="807">
        <v>316469826</v>
      </c>
      <c r="AZ117" s="807">
        <v>21987150</v>
      </c>
      <c r="BA117" s="196">
        <f t="shared" si="24"/>
        <v>0.71208483559129399</v>
      </c>
      <c r="BB117" s="210">
        <v>283214</v>
      </c>
      <c r="BC117" s="115">
        <v>0</v>
      </c>
      <c r="BD117" s="236">
        <v>0</v>
      </c>
    </row>
    <row r="118" spans="1:56" s="808" customFormat="1" ht="14.25" customHeight="1">
      <c r="A118" s="792">
        <v>2024</v>
      </c>
      <c r="B118" s="793" t="str">
        <f>+INDEX('①基本情報 '!C:C,MATCH('③経費情報(2024)'!E118,'①基本情報 '!E:E,0))</f>
        <v>110</v>
      </c>
      <c r="C118" s="794" t="str">
        <f>+INDEX('①基本情報 '!B:B,MATCH('③経費情報(2024)'!E118,'①基本情報 '!E:E,0))</f>
        <v>0501</v>
      </c>
      <c r="D118" s="809" t="s">
        <v>2415</v>
      </c>
      <c r="E118" s="616" t="s">
        <v>779</v>
      </c>
      <c r="F118" s="616" t="str">
        <f>INDEX('①基本情報 '!F:F,MATCH('③経費情報(2024)'!E118,'①基本情報 '!E:E,0))</f>
        <v>都市活力部</v>
      </c>
      <c r="G118" s="797" t="s">
        <v>2586</v>
      </c>
      <c r="H118" s="810">
        <v>253</v>
      </c>
      <c r="I118" s="799"/>
      <c r="J118" s="807">
        <v>4470</v>
      </c>
      <c r="K118" s="801">
        <f t="shared" si="15"/>
        <v>4723</v>
      </c>
      <c r="L118" s="115"/>
      <c r="M118" s="115"/>
      <c r="N118" s="800">
        <v>276</v>
      </c>
      <c r="O118" s="115"/>
      <c r="P118" s="814">
        <v>0.4</v>
      </c>
      <c r="Q118" s="799">
        <v>9119</v>
      </c>
      <c r="R118" s="800"/>
      <c r="S118" s="799">
        <f t="shared" si="16"/>
        <v>3648</v>
      </c>
      <c r="T118" s="800"/>
      <c r="U118" s="144"/>
      <c r="V118" s="799"/>
      <c r="W118" s="801">
        <f t="shared" si="17"/>
        <v>3924</v>
      </c>
      <c r="X118" s="799"/>
      <c r="Y118" s="799"/>
      <c r="Z118" s="803"/>
      <c r="AA118" s="799">
        <v>17935</v>
      </c>
      <c r="AB118" s="801">
        <f t="shared" si="18"/>
        <v>17935</v>
      </c>
      <c r="AC118" s="799">
        <v>2662</v>
      </c>
      <c r="AD118" s="799">
        <v>2257</v>
      </c>
      <c r="AE118" s="800"/>
      <c r="AF118" s="804">
        <v>867</v>
      </c>
      <c r="AG118" s="799">
        <v>10381</v>
      </c>
      <c r="AH118" s="800">
        <v>932</v>
      </c>
      <c r="AI118" s="800">
        <v>60</v>
      </c>
      <c r="AJ118" s="801">
        <f t="shared" si="14"/>
        <v>17159</v>
      </c>
      <c r="AK118" s="800">
        <f t="shared" si="22"/>
        <v>144289.69899999999</v>
      </c>
      <c r="AL118" s="800">
        <f t="shared" si="22"/>
        <v>97100.142999999996</v>
      </c>
      <c r="AM118" s="800">
        <f t="shared" si="22"/>
        <v>47189.555999999997</v>
      </c>
      <c r="AN118" s="800">
        <f t="shared" si="22"/>
        <v>3080.6439999999998</v>
      </c>
      <c r="AO118" s="192">
        <f t="shared" si="21"/>
        <v>0.67295270329727419</v>
      </c>
      <c r="AP118" s="193">
        <f t="shared" si="23"/>
        <v>7004.6440000000002</v>
      </c>
      <c r="AQ118" s="193">
        <f t="shared" si="19"/>
        <v>-2281.6440000000002</v>
      </c>
      <c r="AR118" s="805" t="s">
        <v>2800</v>
      </c>
      <c r="AS118" s="119" t="s">
        <v>2801</v>
      </c>
      <c r="AT118" s="119" t="s">
        <v>2802</v>
      </c>
      <c r="AU118" s="120" t="s">
        <v>2802</v>
      </c>
      <c r="AV118" s="806"/>
      <c r="AW118" s="800">
        <v>144289699</v>
      </c>
      <c r="AX118" s="807">
        <v>97100143</v>
      </c>
      <c r="AY118" s="807">
        <v>47189556</v>
      </c>
      <c r="AZ118" s="807">
        <v>3080644</v>
      </c>
      <c r="BA118" s="196">
        <f t="shared" si="24"/>
        <v>0.67295270329727419</v>
      </c>
      <c r="BB118" s="210">
        <v>85603</v>
      </c>
      <c r="BC118" s="115">
        <v>0</v>
      </c>
      <c r="BD118" s="236">
        <v>0</v>
      </c>
    </row>
    <row r="119" spans="1:56" s="808" customFormat="1" ht="14.25" customHeight="1">
      <c r="A119" s="792">
        <v>2024</v>
      </c>
      <c r="B119" s="793" t="str">
        <f>+INDEX('①基本情報 '!C:C,MATCH('③経費情報(2024)'!E119,'①基本情報 '!E:E,0))</f>
        <v>111</v>
      </c>
      <c r="C119" s="794" t="str">
        <f>+INDEX('①基本情報 '!B:B,MATCH('③経費情報(2024)'!E119,'①基本情報 '!E:E,0))</f>
        <v>1096</v>
      </c>
      <c r="D119" s="809" t="s">
        <v>2415</v>
      </c>
      <c r="E119" s="616" t="s">
        <v>801</v>
      </c>
      <c r="F119" s="616" t="str">
        <f>INDEX('①基本情報 '!F:F,MATCH('③経費情報(2024)'!E119,'①基本情報 '!E:E,0))</f>
        <v>教育委員会</v>
      </c>
      <c r="G119" s="797" t="s">
        <v>802</v>
      </c>
      <c r="H119" s="810">
        <v>1781</v>
      </c>
      <c r="I119" s="799">
        <v>7</v>
      </c>
      <c r="J119" s="807">
        <v>87</v>
      </c>
      <c r="K119" s="801">
        <f t="shared" si="15"/>
        <v>1875</v>
      </c>
      <c r="L119" s="799">
        <v>17827</v>
      </c>
      <c r="M119" s="799">
        <v>27562</v>
      </c>
      <c r="N119" s="800"/>
      <c r="O119" s="799">
        <v>20731</v>
      </c>
      <c r="P119" s="802">
        <v>6.35</v>
      </c>
      <c r="Q119" s="799">
        <v>9119</v>
      </c>
      <c r="R119" s="115">
        <v>78562</v>
      </c>
      <c r="S119" s="799">
        <f t="shared" si="16"/>
        <v>136468</v>
      </c>
      <c r="T119" s="800">
        <v>62645</v>
      </c>
      <c r="U119" s="803"/>
      <c r="V119" s="800">
        <v>84317</v>
      </c>
      <c r="W119" s="801">
        <f t="shared" si="17"/>
        <v>349550</v>
      </c>
      <c r="X119" s="799"/>
      <c r="Y119" s="799"/>
      <c r="Z119" s="803"/>
      <c r="AA119" s="799"/>
      <c r="AB119" s="801">
        <f t="shared" si="18"/>
        <v>0</v>
      </c>
      <c r="AC119" s="799"/>
      <c r="AD119" s="799"/>
      <c r="AE119" s="800"/>
      <c r="AF119" s="804"/>
      <c r="AG119" s="799"/>
      <c r="AH119" s="800"/>
      <c r="AI119" s="800"/>
      <c r="AJ119" s="801">
        <f t="shared" si="14"/>
        <v>0</v>
      </c>
      <c r="AK119" s="800">
        <f t="shared" si="22"/>
        <v>1937026.6</v>
      </c>
      <c r="AL119" s="800">
        <f t="shared" si="22"/>
        <v>908022.69200000004</v>
      </c>
      <c r="AM119" s="800">
        <f t="shared" si="22"/>
        <v>1029003.9080000001</v>
      </c>
      <c r="AN119" s="800">
        <f t="shared" si="22"/>
        <v>70492.244000000006</v>
      </c>
      <c r="AO119" s="192">
        <f t="shared" si="21"/>
        <v>0.46877141077980033</v>
      </c>
      <c r="AP119" s="193">
        <f t="shared" si="23"/>
        <v>420042.24400000001</v>
      </c>
      <c r="AQ119" s="193">
        <f t="shared" si="19"/>
        <v>-418167.24400000001</v>
      </c>
      <c r="AR119" s="805"/>
      <c r="AS119" s="119"/>
      <c r="AT119" s="119"/>
      <c r="AU119" s="120"/>
      <c r="AV119" s="806"/>
      <c r="AW119" s="800">
        <v>1937026600</v>
      </c>
      <c r="AX119" s="807">
        <v>908022692</v>
      </c>
      <c r="AY119" s="807">
        <v>1029003908</v>
      </c>
      <c r="AZ119" s="807">
        <v>70492244</v>
      </c>
      <c r="BA119" s="196">
        <f t="shared" si="24"/>
        <v>0.46877141077980033</v>
      </c>
      <c r="BB119" s="210">
        <v>572278</v>
      </c>
      <c r="BC119" s="115">
        <v>15477</v>
      </c>
      <c r="BD119" s="236">
        <v>0</v>
      </c>
    </row>
    <row r="120" spans="1:56" s="808" customFormat="1" ht="14.25" customHeight="1">
      <c r="A120" s="792">
        <v>2024</v>
      </c>
      <c r="B120" s="793" t="str">
        <f>+INDEX('①基本情報 '!C:C,MATCH('③経費情報(2024)'!E120,'①基本情報 '!E:E,0))</f>
        <v>112</v>
      </c>
      <c r="C120" s="794" t="str">
        <f>+INDEX('①基本情報 '!B:B,MATCH('③経費情報(2024)'!E120,'①基本情報 '!E:E,0))</f>
        <v>1093</v>
      </c>
      <c r="D120" s="809" t="s">
        <v>2415</v>
      </c>
      <c r="E120" s="616" t="s">
        <v>813</v>
      </c>
      <c r="F120" s="616" t="str">
        <f>INDEX('①基本情報 '!F:F,MATCH('③経費情報(2024)'!E120,'①基本情報 '!E:E,0))</f>
        <v>教育委員会</v>
      </c>
      <c r="G120" s="797" t="s">
        <v>802</v>
      </c>
      <c r="H120" s="810"/>
      <c r="I120" s="799"/>
      <c r="J120" s="807"/>
      <c r="K120" s="801">
        <f t="shared" si="15"/>
        <v>0</v>
      </c>
      <c r="L120" s="799"/>
      <c r="M120" s="799"/>
      <c r="N120" s="800"/>
      <c r="O120" s="799"/>
      <c r="P120" s="814">
        <v>0.3</v>
      </c>
      <c r="Q120" s="799">
        <v>9119</v>
      </c>
      <c r="R120" s="800"/>
      <c r="S120" s="799">
        <f t="shared" si="16"/>
        <v>2736</v>
      </c>
      <c r="T120" s="800"/>
      <c r="U120" s="803"/>
      <c r="V120" s="799"/>
      <c r="W120" s="801">
        <f t="shared" si="17"/>
        <v>2736</v>
      </c>
      <c r="X120" s="799"/>
      <c r="Y120" s="799"/>
      <c r="Z120" s="803">
        <v>9</v>
      </c>
      <c r="AA120" s="799">
        <v>38125</v>
      </c>
      <c r="AB120" s="801">
        <f t="shared" si="18"/>
        <v>38134</v>
      </c>
      <c r="AC120" s="799"/>
      <c r="AD120" s="799"/>
      <c r="AE120" s="800"/>
      <c r="AF120" s="804"/>
      <c r="AG120" s="799">
        <v>35698</v>
      </c>
      <c r="AH120" s="800">
        <v>2079</v>
      </c>
      <c r="AI120" s="800"/>
      <c r="AJ120" s="801">
        <f t="shared" si="14"/>
        <v>37777</v>
      </c>
      <c r="AK120" s="800">
        <f t="shared" si="22"/>
        <v>351701.93900000001</v>
      </c>
      <c r="AL120" s="800">
        <f t="shared" si="22"/>
        <v>184140.05300000001</v>
      </c>
      <c r="AM120" s="800">
        <f t="shared" si="22"/>
        <v>167561.88500000001</v>
      </c>
      <c r="AN120" s="800">
        <f t="shared" si="22"/>
        <v>9174.6980000000003</v>
      </c>
      <c r="AO120" s="192">
        <f t="shared" si="21"/>
        <v>0.52356848962382319</v>
      </c>
      <c r="AP120" s="193">
        <f t="shared" si="23"/>
        <v>11910.698</v>
      </c>
      <c r="AQ120" s="193">
        <f t="shared" si="19"/>
        <v>-11910.698</v>
      </c>
      <c r="AR120" s="805"/>
      <c r="AS120" s="119"/>
      <c r="AT120" s="119"/>
      <c r="AU120" s="120"/>
      <c r="AV120" s="806" t="s">
        <v>2484</v>
      </c>
      <c r="AW120" s="800">
        <v>351701939</v>
      </c>
      <c r="AX120" s="807">
        <v>184140053</v>
      </c>
      <c r="AY120" s="807">
        <v>167561885</v>
      </c>
      <c r="AZ120" s="807">
        <v>9174698</v>
      </c>
      <c r="BA120" s="196">
        <f t="shared" si="24"/>
        <v>0.52356848962382319</v>
      </c>
      <c r="BB120" s="210"/>
      <c r="BC120" s="115"/>
      <c r="BD120" s="236"/>
    </row>
    <row r="121" spans="1:56" s="808" customFormat="1" ht="14.25" customHeight="1">
      <c r="A121" s="792">
        <v>2024</v>
      </c>
      <c r="B121" s="793" t="str">
        <f>+INDEX('①基本情報 '!C:C,MATCH('③経費情報(2024)'!E121,'①基本情報 '!E:E,0))</f>
        <v>113</v>
      </c>
      <c r="C121" s="794" t="str">
        <f>+INDEX('①基本情報 '!B:B,MATCH('③経費情報(2024)'!E121,'①基本情報 '!E:E,0))</f>
        <v>1094</v>
      </c>
      <c r="D121" s="809" t="s">
        <v>2415</v>
      </c>
      <c r="E121" s="616" t="s">
        <v>819</v>
      </c>
      <c r="F121" s="616" t="str">
        <f>INDEX('①基本情報 '!F:F,MATCH('③経費情報(2024)'!E121,'①基本情報 '!E:E,0))</f>
        <v>教育委員会</v>
      </c>
      <c r="G121" s="797" t="s">
        <v>802</v>
      </c>
      <c r="H121" s="810"/>
      <c r="I121" s="799"/>
      <c r="J121" s="807"/>
      <c r="K121" s="801">
        <f t="shared" si="15"/>
        <v>0</v>
      </c>
      <c r="L121" s="799"/>
      <c r="M121" s="115"/>
      <c r="N121" s="115"/>
      <c r="O121" s="115"/>
      <c r="P121" s="814">
        <v>0.3</v>
      </c>
      <c r="Q121" s="799">
        <v>9119</v>
      </c>
      <c r="R121" s="800"/>
      <c r="S121" s="799">
        <f t="shared" si="16"/>
        <v>2736</v>
      </c>
      <c r="T121" s="115"/>
      <c r="U121" s="803"/>
      <c r="V121" s="799"/>
      <c r="W121" s="801">
        <f t="shared" si="17"/>
        <v>2736</v>
      </c>
      <c r="X121" s="799"/>
      <c r="Y121" s="799">
        <v>30</v>
      </c>
      <c r="Z121" s="803">
        <v>11</v>
      </c>
      <c r="AA121" s="799">
        <v>34326</v>
      </c>
      <c r="AB121" s="801">
        <f t="shared" si="18"/>
        <v>34367</v>
      </c>
      <c r="AC121" s="799"/>
      <c r="AD121" s="799"/>
      <c r="AE121" s="800"/>
      <c r="AF121" s="804">
        <v>83</v>
      </c>
      <c r="AG121" s="799">
        <v>30208</v>
      </c>
      <c r="AH121" s="800">
        <v>4630</v>
      </c>
      <c r="AI121" s="800"/>
      <c r="AJ121" s="801">
        <f t="shared" si="14"/>
        <v>34921</v>
      </c>
      <c r="AK121" s="800">
        <f t="shared" si="22"/>
        <v>256030.17199999999</v>
      </c>
      <c r="AL121" s="800">
        <f t="shared" si="22"/>
        <v>156838.54300000001</v>
      </c>
      <c r="AM121" s="800">
        <f t="shared" si="22"/>
        <v>99191.629000000001</v>
      </c>
      <c r="AN121" s="800">
        <f t="shared" si="22"/>
        <v>3725.3310000000001</v>
      </c>
      <c r="AO121" s="192">
        <f t="shared" si="21"/>
        <v>0.61257836049104397</v>
      </c>
      <c r="AP121" s="193">
        <f t="shared" si="23"/>
        <v>6461.3310000000001</v>
      </c>
      <c r="AQ121" s="193">
        <f t="shared" si="19"/>
        <v>-6461.3310000000001</v>
      </c>
      <c r="AR121" s="805"/>
      <c r="AS121" s="119"/>
      <c r="AT121" s="119"/>
      <c r="AU121" s="120"/>
      <c r="AV121" s="806" t="s">
        <v>2484</v>
      </c>
      <c r="AW121" s="800">
        <v>256030172</v>
      </c>
      <c r="AX121" s="807">
        <v>156838543</v>
      </c>
      <c r="AY121" s="807">
        <v>99191629</v>
      </c>
      <c r="AZ121" s="807">
        <v>3725331</v>
      </c>
      <c r="BA121" s="196">
        <f t="shared" si="24"/>
        <v>0.61257836049104397</v>
      </c>
      <c r="BB121" s="210"/>
      <c r="BC121" s="115"/>
      <c r="BD121" s="236"/>
    </row>
    <row r="122" spans="1:56" s="808" customFormat="1" ht="14.25" customHeight="1">
      <c r="A122" s="792">
        <v>2024</v>
      </c>
      <c r="B122" s="793" t="str">
        <f>+INDEX('①基本情報 '!C:C,MATCH('③経費情報(2024)'!E122,'①基本情報 '!E:E,0))</f>
        <v>114</v>
      </c>
      <c r="C122" s="794" t="str">
        <f>+INDEX('①基本情報 '!B:B,MATCH('③経費情報(2024)'!E122,'①基本情報 '!E:E,0))</f>
        <v>1095</v>
      </c>
      <c r="D122" s="809" t="s">
        <v>2415</v>
      </c>
      <c r="E122" s="616" t="s">
        <v>823</v>
      </c>
      <c r="F122" s="616" t="str">
        <f>INDEX('①基本情報 '!F:F,MATCH('③経費情報(2024)'!E122,'①基本情報 '!E:E,0))</f>
        <v>教育委員会</v>
      </c>
      <c r="G122" s="797" t="s">
        <v>802</v>
      </c>
      <c r="H122" s="810"/>
      <c r="I122" s="799"/>
      <c r="J122" s="807"/>
      <c r="K122" s="801">
        <f t="shared" si="15"/>
        <v>0</v>
      </c>
      <c r="L122" s="799"/>
      <c r="M122" s="799">
        <v>100</v>
      </c>
      <c r="N122" s="800"/>
      <c r="O122" s="799"/>
      <c r="P122" s="802"/>
      <c r="Q122" s="799">
        <v>9119</v>
      </c>
      <c r="R122" s="115">
        <v>13126</v>
      </c>
      <c r="S122" s="799">
        <f t="shared" si="16"/>
        <v>13126</v>
      </c>
      <c r="T122" s="800"/>
      <c r="U122" s="803"/>
      <c r="V122" s="800"/>
      <c r="W122" s="801">
        <f t="shared" si="17"/>
        <v>13226</v>
      </c>
      <c r="X122" s="799"/>
      <c r="Y122" s="799"/>
      <c r="Z122" s="803"/>
      <c r="AA122" s="799"/>
      <c r="AB122" s="801">
        <f t="shared" si="18"/>
        <v>0</v>
      </c>
      <c r="AC122" s="799"/>
      <c r="AD122" s="799"/>
      <c r="AE122" s="800"/>
      <c r="AF122" s="804"/>
      <c r="AG122" s="799"/>
      <c r="AH122" s="800"/>
      <c r="AI122" s="800"/>
      <c r="AJ122" s="801">
        <f t="shared" si="14"/>
        <v>0</v>
      </c>
      <c r="AK122" s="800">
        <f t="shared" si="22"/>
        <v>18354</v>
      </c>
      <c r="AL122" s="800">
        <f t="shared" si="22"/>
        <v>5139.12</v>
      </c>
      <c r="AM122" s="800">
        <f t="shared" si="22"/>
        <v>13214.88</v>
      </c>
      <c r="AN122" s="800">
        <f t="shared" si="22"/>
        <v>367.08</v>
      </c>
      <c r="AO122" s="192">
        <f t="shared" si="21"/>
        <v>0.28000000000000003</v>
      </c>
      <c r="AP122" s="193">
        <f t="shared" si="23"/>
        <v>13593.08</v>
      </c>
      <c r="AQ122" s="193">
        <f t="shared" si="19"/>
        <v>-13593.08</v>
      </c>
      <c r="AR122" s="805"/>
      <c r="AS122" s="119"/>
      <c r="AT122" s="119"/>
      <c r="AU122" s="120"/>
      <c r="AV122" s="806"/>
      <c r="AW122" s="800">
        <v>18354000</v>
      </c>
      <c r="AX122" s="807">
        <v>5139120</v>
      </c>
      <c r="AY122" s="807">
        <v>13214880</v>
      </c>
      <c r="AZ122" s="807">
        <v>367080</v>
      </c>
      <c r="BA122" s="196">
        <f t="shared" si="24"/>
        <v>0.28000000000000003</v>
      </c>
      <c r="BB122" s="210"/>
      <c r="BC122" s="115"/>
      <c r="BD122" s="236"/>
    </row>
    <row r="123" spans="1:56" s="808" customFormat="1" ht="14.25" customHeight="1">
      <c r="A123" s="792">
        <v>2024</v>
      </c>
      <c r="B123" s="793" t="str">
        <f>+INDEX('①基本情報 '!C:C,MATCH('③経費情報(2024)'!E123,'①基本情報 '!E:E,0))</f>
        <v>115</v>
      </c>
      <c r="C123" s="794" t="str">
        <f>+INDEX('①基本情報 '!B:B,MATCH('③経費情報(2024)'!E123,'①基本情報 '!E:E,0))</f>
        <v>1097</v>
      </c>
      <c r="D123" s="809" t="s">
        <v>2415</v>
      </c>
      <c r="E123" s="616" t="s">
        <v>831</v>
      </c>
      <c r="F123" s="616" t="str">
        <f>INDEX('①基本情報 '!F:F,MATCH('③経費情報(2024)'!E123,'①基本情報 '!E:E,0))</f>
        <v>教育委員会</v>
      </c>
      <c r="G123" s="797" t="s">
        <v>802</v>
      </c>
      <c r="H123" s="810"/>
      <c r="I123" s="799"/>
      <c r="J123" s="807"/>
      <c r="K123" s="801">
        <f t="shared" si="15"/>
        <v>0</v>
      </c>
      <c r="L123" s="799"/>
      <c r="M123" s="799"/>
      <c r="N123" s="800"/>
      <c r="O123" s="799"/>
      <c r="P123" s="814">
        <v>0.3</v>
      </c>
      <c r="Q123" s="799">
        <v>9119</v>
      </c>
      <c r="R123" s="800"/>
      <c r="S123" s="799">
        <f t="shared" si="16"/>
        <v>2736</v>
      </c>
      <c r="T123" s="800"/>
      <c r="U123" s="803"/>
      <c r="V123" s="799"/>
      <c r="W123" s="801">
        <f t="shared" si="17"/>
        <v>2736</v>
      </c>
      <c r="X123" s="799"/>
      <c r="Y123" s="799"/>
      <c r="Z123" s="803"/>
      <c r="AA123" s="799">
        <v>11866</v>
      </c>
      <c r="AB123" s="801">
        <f t="shared" si="18"/>
        <v>11866</v>
      </c>
      <c r="AC123" s="799">
        <v>291</v>
      </c>
      <c r="AD123" s="799"/>
      <c r="AE123" s="800"/>
      <c r="AF123" s="804">
        <v>121</v>
      </c>
      <c r="AG123" s="799">
        <v>9574</v>
      </c>
      <c r="AH123" s="800">
        <v>528</v>
      </c>
      <c r="AI123" s="800"/>
      <c r="AJ123" s="801">
        <f t="shared" si="14"/>
        <v>10514</v>
      </c>
      <c r="AK123" s="800">
        <f t="shared" si="22"/>
        <v>31492.346000000001</v>
      </c>
      <c r="AL123" s="800">
        <f t="shared" si="22"/>
        <v>11815.947</v>
      </c>
      <c r="AM123" s="800">
        <f t="shared" si="22"/>
        <v>19676.399000000001</v>
      </c>
      <c r="AN123" s="800">
        <f t="shared" si="22"/>
        <v>1128.558</v>
      </c>
      <c r="AO123" s="192">
        <f t="shared" si="21"/>
        <v>0.37520059636077924</v>
      </c>
      <c r="AP123" s="193">
        <f t="shared" si="23"/>
        <v>3864.558</v>
      </c>
      <c r="AQ123" s="193">
        <f t="shared" si="19"/>
        <v>-3864.558</v>
      </c>
      <c r="AR123" s="805"/>
      <c r="AS123" s="119"/>
      <c r="AT123" s="119"/>
      <c r="AU123" s="120"/>
      <c r="AV123" s="806" t="s">
        <v>2484</v>
      </c>
      <c r="AW123" s="800">
        <v>31492346</v>
      </c>
      <c r="AX123" s="807">
        <v>11815947</v>
      </c>
      <c r="AY123" s="807">
        <v>19676399</v>
      </c>
      <c r="AZ123" s="807">
        <v>1128558</v>
      </c>
      <c r="BA123" s="196">
        <f t="shared" si="24"/>
        <v>0.37520059636077924</v>
      </c>
      <c r="BB123" s="210"/>
      <c r="BC123" s="115"/>
      <c r="BD123" s="236"/>
    </row>
    <row r="124" spans="1:56" s="808" customFormat="1" ht="14.25" customHeight="1">
      <c r="A124" s="792">
        <v>2024</v>
      </c>
      <c r="B124" s="793" t="str">
        <f>+INDEX('①基本情報 '!C:C,MATCH('③経費情報(2024)'!E124,'①基本情報 '!E:E,0))</f>
        <v>116</v>
      </c>
      <c r="C124" s="794" t="str">
        <f>+INDEX('①基本情報 '!B:B,MATCH('③経費情報(2024)'!E124,'①基本情報 '!E:E,0))</f>
        <v>1021</v>
      </c>
      <c r="D124" s="809" t="s">
        <v>2415</v>
      </c>
      <c r="E124" s="616" t="s">
        <v>835</v>
      </c>
      <c r="F124" s="616" t="str">
        <f>INDEX('①基本情報 '!F:F,MATCH('③経費情報(2024)'!E124,'①基本情報 '!E:E,0))</f>
        <v>教育委員会</v>
      </c>
      <c r="G124" s="797" t="s">
        <v>2187</v>
      </c>
      <c r="H124" s="810"/>
      <c r="I124" s="799"/>
      <c r="J124" s="807">
        <v>153</v>
      </c>
      <c r="K124" s="801">
        <f t="shared" si="15"/>
        <v>153</v>
      </c>
      <c r="L124" s="799">
        <v>11392</v>
      </c>
      <c r="M124" s="799">
        <v>5663</v>
      </c>
      <c r="N124" s="800"/>
      <c r="O124" s="799">
        <v>3705</v>
      </c>
      <c r="P124" s="115">
        <v>1</v>
      </c>
      <c r="Q124" s="799">
        <v>9119</v>
      </c>
      <c r="R124" s="115">
        <v>12872</v>
      </c>
      <c r="S124" s="799">
        <f t="shared" si="16"/>
        <v>21991</v>
      </c>
      <c r="T124" s="800">
        <v>22293</v>
      </c>
      <c r="U124" s="803">
        <v>38</v>
      </c>
      <c r="V124" s="799"/>
      <c r="W124" s="801">
        <f t="shared" si="17"/>
        <v>65082</v>
      </c>
      <c r="X124" s="799"/>
      <c r="Y124" s="799"/>
      <c r="Z124" s="803"/>
      <c r="AA124" s="799"/>
      <c r="AB124" s="801">
        <f t="shared" si="18"/>
        <v>0</v>
      </c>
      <c r="AC124" s="799"/>
      <c r="AD124" s="799"/>
      <c r="AE124" s="800"/>
      <c r="AF124" s="804"/>
      <c r="AG124" s="799"/>
      <c r="AH124" s="800"/>
      <c r="AI124" s="800"/>
      <c r="AJ124" s="801">
        <f t="shared" si="14"/>
        <v>0</v>
      </c>
      <c r="AK124" s="800">
        <f t="shared" si="22"/>
        <v>2785355.7140000002</v>
      </c>
      <c r="AL124" s="800">
        <f t="shared" si="22"/>
        <v>1898150.7290000001</v>
      </c>
      <c r="AM124" s="800">
        <f t="shared" si="22"/>
        <v>887204.98499999999</v>
      </c>
      <c r="AN124" s="800">
        <f t="shared" si="22"/>
        <v>70922.149000000005</v>
      </c>
      <c r="AO124" s="192">
        <f t="shared" si="21"/>
        <v>0.68147515933399383</v>
      </c>
      <c r="AP124" s="193">
        <f t="shared" si="23"/>
        <v>136004.149</v>
      </c>
      <c r="AQ124" s="193">
        <f t="shared" si="19"/>
        <v>-135851.149</v>
      </c>
      <c r="AR124" s="805"/>
      <c r="AS124" s="119"/>
      <c r="AT124" s="119"/>
      <c r="AU124" s="120"/>
      <c r="AV124" s="806"/>
      <c r="AW124" s="800">
        <v>2785355714</v>
      </c>
      <c r="AX124" s="807">
        <v>1898150729</v>
      </c>
      <c r="AY124" s="807">
        <v>887204985</v>
      </c>
      <c r="AZ124" s="807">
        <v>70922149</v>
      </c>
      <c r="BA124" s="196">
        <f t="shared" si="24"/>
        <v>0.68147515933399383</v>
      </c>
      <c r="BB124" s="210">
        <v>241337</v>
      </c>
      <c r="BC124" s="115">
        <v>31384</v>
      </c>
      <c r="BD124" s="236">
        <v>0</v>
      </c>
    </row>
    <row r="125" spans="1:56" s="808" customFormat="1" ht="14.25" customHeight="1">
      <c r="A125" s="792">
        <v>2024</v>
      </c>
      <c r="B125" s="793" t="str">
        <f>+INDEX('①基本情報 '!C:C,MATCH('③経費情報(2024)'!E125,'①基本情報 '!E:E,0))</f>
        <v>117</v>
      </c>
      <c r="C125" s="794" t="str">
        <f>+INDEX('①基本情報 '!B:B,MATCH('③経費情報(2024)'!E125,'①基本情報 '!E:E,0))</f>
        <v>1022</v>
      </c>
      <c r="D125" s="809" t="s">
        <v>2415</v>
      </c>
      <c r="E125" s="616" t="s">
        <v>851</v>
      </c>
      <c r="F125" s="616" t="str">
        <f>INDEX('①基本情報 '!F:F,MATCH('③経費情報(2024)'!E125,'①基本情報 '!E:E,0))</f>
        <v>教育委員会</v>
      </c>
      <c r="G125" s="797" t="s">
        <v>2187</v>
      </c>
      <c r="H125" s="810"/>
      <c r="I125" s="799"/>
      <c r="J125" s="807">
        <v>48</v>
      </c>
      <c r="K125" s="801">
        <f t="shared" si="15"/>
        <v>48</v>
      </c>
      <c r="L125" s="799">
        <v>9902</v>
      </c>
      <c r="M125" s="799">
        <v>4890</v>
      </c>
      <c r="N125" s="800"/>
      <c r="O125" s="799">
        <v>5031</v>
      </c>
      <c r="P125" s="115">
        <v>1</v>
      </c>
      <c r="Q125" s="799">
        <v>9119</v>
      </c>
      <c r="R125" s="115">
        <v>8083</v>
      </c>
      <c r="S125" s="799">
        <f t="shared" si="16"/>
        <v>17202</v>
      </c>
      <c r="T125" s="800">
        <v>18412</v>
      </c>
      <c r="U125" s="803">
        <v>79</v>
      </c>
      <c r="V125" s="799"/>
      <c r="W125" s="801">
        <f t="shared" si="17"/>
        <v>55516</v>
      </c>
      <c r="X125" s="799"/>
      <c r="Y125" s="799"/>
      <c r="Z125" s="803"/>
      <c r="AA125" s="799"/>
      <c r="AB125" s="801">
        <f t="shared" si="18"/>
        <v>0</v>
      </c>
      <c r="AC125" s="799"/>
      <c r="AD125" s="799"/>
      <c r="AE125" s="800"/>
      <c r="AF125" s="804"/>
      <c r="AG125" s="799"/>
      <c r="AH125" s="800"/>
      <c r="AI125" s="800"/>
      <c r="AJ125" s="801">
        <f t="shared" si="14"/>
        <v>0</v>
      </c>
      <c r="AK125" s="800">
        <f t="shared" si="22"/>
        <v>2648777.841</v>
      </c>
      <c r="AL125" s="800">
        <f t="shared" si="22"/>
        <v>1854770.662</v>
      </c>
      <c r="AM125" s="800">
        <f t="shared" si="22"/>
        <v>794007.179</v>
      </c>
      <c r="AN125" s="800">
        <f t="shared" si="22"/>
        <v>54605.925999999999</v>
      </c>
      <c r="AO125" s="192">
        <f t="shared" si="21"/>
        <v>0.70023640083751371</v>
      </c>
      <c r="AP125" s="193">
        <f t="shared" si="23"/>
        <v>110121.92600000001</v>
      </c>
      <c r="AQ125" s="193">
        <f t="shared" si="19"/>
        <v>-110073.92600000001</v>
      </c>
      <c r="AR125" s="805"/>
      <c r="AS125" s="119"/>
      <c r="AT125" s="119"/>
      <c r="AU125" s="120"/>
      <c r="AV125" s="806"/>
      <c r="AW125" s="800">
        <v>2648777841</v>
      </c>
      <c r="AX125" s="807">
        <v>1854770662</v>
      </c>
      <c r="AY125" s="807">
        <v>794007179</v>
      </c>
      <c r="AZ125" s="807">
        <v>54605926</v>
      </c>
      <c r="BA125" s="196">
        <f t="shared" si="24"/>
        <v>0.70023640083751371</v>
      </c>
      <c r="BB125" s="210">
        <v>141007</v>
      </c>
      <c r="BC125" s="115">
        <v>47160</v>
      </c>
      <c r="BD125" s="236">
        <v>0</v>
      </c>
    </row>
    <row r="126" spans="1:56" s="808" customFormat="1" ht="14.25" customHeight="1">
      <c r="A126" s="792">
        <v>2024</v>
      </c>
      <c r="B126" s="793" t="str">
        <f>+INDEX('①基本情報 '!C:C,MATCH('③経費情報(2024)'!E126,'①基本情報 '!E:E,0))</f>
        <v>118</v>
      </c>
      <c r="C126" s="794" t="str">
        <f>+INDEX('①基本情報 '!B:B,MATCH('③経費情報(2024)'!E126,'①基本情報 '!E:E,0))</f>
        <v>1023</v>
      </c>
      <c r="D126" s="809" t="s">
        <v>2415</v>
      </c>
      <c r="E126" s="616" t="s">
        <v>857</v>
      </c>
      <c r="F126" s="616" t="str">
        <f>INDEX('①基本情報 '!F:F,MATCH('③経費情報(2024)'!E126,'①基本情報 '!E:E,0))</f>
        <v>教育委員会</v>
      </c>
      <c r="G126" s="797" t="s">
        <v>2187</v>
      </c>
      <c r="H126" s="810"/>
      <c r="I126" s="799"/>
      <c r="J126" s="807">
        <v>128</v>
      </c>
      <c r="K126" s="801">
        <f t="shared" si="15"/>
        <v>128</v>
      </c>
      <c r="L126" s="799">
        <v>9913</v>
      </c>
      <c r="M126" s="799">
        <v>4066</v>
      </c>
      <c r="N126" s="800"/>
      <c r="O126" s="799">
        <v>8482</v>
      </c>
      <c r="P126" s="115">
        <v>0</v>
      </c>
      <c r="Q126" s="799">
        <v>9119</v>
      </c>
      <c r="R126" s="115">
        <v>12498</v>
      </c>
      <c r="S126" s="799">
        <f t="shared" si="16"/>
        <v>12498</v>
      </c>
      <c r="T126" s="800">
        <v>20716</v>
      </c>
      <c r="U126" s="803">
        <v>118</v>
      </c>
      <c r="V126" s="799"/>
      <c r="W126" s="801">
        <f t="shared" si="17"/>
        <v>55793</v>
      </c>
      <c r="X126" s="799"/>
      <c r="Y126" s="799"/>
      <c r="Z126" s="803"/>
      <c r="AA126" s="799"/>
      <c r="AB126" s="801">
        <f t="shared" si="18"/>
        <v>0</v>
      </c>
      <c r="AC126" s="799"/>
      <c r="AD126" s="799"/>
      <c r="AE126" s="800"/>
      <c r="AF126" s="804"/>
      <c r="AG126" s="799"/>
      <c r="AH126" s="800"/>
      <c r="AI126" s="800"/>
      <c r="AJ126" s="801">
        <f t="shared" si="14"/>
        <v>0</v>
      </c>
      <c r="AK126" s="800">
        <f t="shared" si="22"/>
        <v>3005498.875</v>
      </c>
      <c r="AL126" s="800">
        <f t="shared" si="22"/>
        <v>1926195.281</v>
      </c>
      <c r="AM126" s="800">
        <f t="shared" si="22"/>
        <v>1079303.594</v>
      </c>
      <c r="AN126" s="800">
        <f t="shared" si="22"/>
        <v>51670.807000000001</v>
      </c>
      <c r="AO126" s="192">
        <f t="shared" si="21"/>
        <v>0.64089036832529178</v>
      </c>
      <c r="AP126" s="193">
        <f t="shared" si="23"/>
        <v>107463.807</v>
      </c>
      <c r="AQ126" s="193">
        <f t="shared" si="19"/>
        <v>-107335.807</v>
      </c>
      <c r="AR126" s="805"/>
      <c r="AS126" s="119"/>
      <c r="AT126" s="119"/>
      <c r="AU126" s="120"/>
      <c r="AV126" s="806"/>
      <c r="AW126" s="800">
        <v>3005498875</v>
      </c>
      <c r="AX126" s="807">
        <v>1926195281</v>
      </c>
      <c r="AY126" s="807">
        <v>1079303594</v>
      </c>
      <c r="AZ126" s="807">
        <v>51670807</v>
      </c>
      <c r="BA126" s="196">
        <f t="shared" si="24"/>
        <v>0.64089036832529178</v>
      </c>
      <c r="BB126" s="210">
        <v>160202</v>
      </c>
      <c r="BC126" s="115">
        <v>48113</v>
      </c>
      <c r="BD126" s="236">
        <v>0</v>
      </c>
    </row>
    <row r="127" spans="1:56" s="808" customFormat="1" ht="14.25" customHeight="1">
      <c r="A127" s="792">
        <v>2024</v>
      </c>
      <c r="B127" s="793" t="str">
        <f>+INDEX('①基本情報 '!C:C,MATCH('③経費情報(2024)'!E127,'①基本情報 '!E:E,0))</f>
        <v>119</v>
      </c>
      <c r="C127" s="794" t="str">
        <f>+INDEX('①基本情報 '!B:B,MATCH('③経費情報(2024)'!E127,'①基本情報 '!E:E,0))</f>
        <v>1024</v>
      </c>
      <c r="D127" s="809" t="s">
        <v>2415</v>
      </c>
      <c r="E127" s="616" t="s">
        <v>865</v>
      </c>
      <c r="F127" s="616" t="str">
        <f>INDEX('①基本情報 '!F:F,MATCH('③経費情報(2024)'!E127,'①基本情報 '!E:E,0))</f>
        <v>教育委員会</v>
      </c>
      <c r="G127" s="797" t="s">
        <v>2187</v>
      </c>
      <c r="H127" s="810"/>
      <c r="I127" s="799"/>
      <c r="J127" s="807">
        <v>39</v>
      </c>
      <c r="K127" s="801">
        <f t="shared" si="15"/>
        <v>39</v>
      </c>
      <c r="L127" s="799">
        <v>15320</v>
      </c>
      <c r="M127" s="799">
        <v>5594</v>
      </c>
      <c r="N127" s="800"/>
      <c r="O127" s="799">
        <v>5690</v>
      </c>
      <c r="P127" s="115">
        <v>1</v>
      </c>
      <c r="Q127" s="799">
        <v>9119</v>
      </c>
      <c r="R127" s="115">
        <v>4942</v>
      </c>
      <c r="S127" s="799">
        <f t="shared" si="16"/>
        <v>14061</v>
      </c>
      <c r="T127" s="800">
        <v>7227</v>
      </c>
      <c r="U127" s="803">
        <v>75</v>
      </c>
      <c r="V127" s="799"/>
      <c r="W127" s="801">
        <f t="shared" si="17"/>
        <v>47967</v>
      </c>
      <c r="X127" s="799"/>
      <c r="Y127" s="799"/>
      <c r="Z127" s="803"/>
      <c r="AA127" s="799"/>
      <c r="AB127" s="801">
        <f t="shared" si="18"/>
        <v>0</v>
      </c>
      <c r="AC127" s="799"/>
      <c r="AD127" s="799"/>
      <c r="AE127" s="800"/>
      <c r="AF127" s="804"/>
      <c r="AG127" s="799"/>
      <c r="AH127" s="800"/>
      <c r="AI127" s="800"/>
      <c r="AJ127" s="801">
        <f t="shared" si="14"/>
        <v>0</v>
      </c>
      <c r="AK127" s="800">
        <f t="shared" si="22"/>
        <v>1970418.2080000001</v>
      </c>
      <c r="AL127" s="800">
        <f t="shared" si="22"/>
        <v>1443868.885</v>
      </c>
      <c r="AM127" s="800">
        <f t="shared" si="22"/>
        <v>526549.32299999997</v>
      </c>
      <c r="AN127" s="800">
        <f t="shared" si="22"/>
        <v>48189.434000000001</v>
      </c>
      <c r="AO127" s="192">
        <f t="shared" si="21"/>
        <v>0.73277280890818886</v>
      </c>
      <c r="AP127" s="193">
        <f t="shared" si="23"/>
        <v>96156.434000000008</v>
      </c>
      <c r="AQ127" s="193">
        <f t="shared" si="19"/>
        <v>-96117.434000000008</v>
      </c>
      <c r="AR127" s="805"/>
      <c r="AS127" s="119"/>
      <c r="AT127" s="119"/>
      <c r="AU127" s="120"/>
      <c r="AV127" s="806"/>
      <c r="AW127" s="800">
        <v>1970418208</v>
      </c>
      <c r="AX127" s="807">
        <v>1443868885</v>
      </c>
      <c r="AY127" s="807">
        <v>526549323</v>
      </c>
      <c r="AZ127" s="807">
        <v>48189434</v>
      </c>
      <c r="BA127" s="196">
        <f t="shared" si="24"/>
        <v>0.73277280890818886</v>
      </c>
      <c r="BB127" s="210">
        <v>239872</v>
      </c>
      <c r="BC127" s="115">
        <v>0</v>
      </c>
      <c r="BD127" s="236">
        <v>17516.400000000001</v>
      </c>
    </row>
    <row r="128" spans="1:56" s="808" customFormat="1" ht="14.25" customHeight="1">
      <c r="A128" s="792">
        <v>2024</v>
      </c>
      <c r="B128" s="793" t="str">
        <f>+INDEX('①基本情報 '!C:C,MATCH('③経費情報(2024)'!E128,'①基本情報 '!E:E,0))</f>
        <v>120</v>
      </c>
      <c r="C128" s="794" t="str">
        <f>+INDEX('①基本情報 '!B:B,MATCH('③経費情報(2024)'!E128,'①基本情報 '!E:E,0))</f>
        <v>1025</v>
      </c>
      <c r="D128" s="809" t="s">
        <v>2415</v>
      </c>
      <c r="E128" s="616" t="s">
        <v>871</v>
      </c>
      <c r="F128" s="616" t="str">
        <f>INDEX('①基本情報 '!F:F,MATCH('③経費情報(2024)'!E128,'①基本情報 '!E:E,0))</f>
        <v>教育委員会</v>
      </c>
      <c r="G128" s="797" t="s">
        <v>2187</v>
      </c>
      <c r="H128" s="810"/>
      <c r="I128" s="799"/>
      <c r="J128" s="807">
        <v>23</v>
      </c>
      <c r="K128" s="801">
        <f t="shared" si="15"/>
        <v>23</v>
      </c>
      <c r="L128" s="799">
        <v>11715</v>
      </c>
      <c r="M128" s="799">
        <v>2999</v>
      </c>
      <c r="N128" s="800"/>
      <c r="O128" s="799">
        <v>3783</v>
      </c>
      <c r="P128" s="115">
        <v>0</v>
      </c>
      <c r="Q128" s="799">
        <v>9119</v>
      </c>
      <c r="R128" s="115">
        <v>11015</v>
      </c>
      <c r="S128" s="799">
        <f t="shared" si="16"/>
        <v>11015</v>
      </c>
      <c r="T128" s="800">
        <v>13388</v>
      </c>
      <c r="U128" s="803">
        <v>75</v>
      </c>
      <c r="V128" s="799"/>
      <c r="W128" s="801">
        <f t="shared" si="17"/>
        <v>42975</v>
      </c>
      <c r="X128" s="799"/>
      <c r="Y128" s="799"/>
      <c r="Z128" s="803"/>
      <c r="AA128" s="799"/>
      <c r="AB128" s="801">
        <f t="shared" si="18"/>
        <v>0</v>
      </c>
      <c r="AC128" s="799"/>
      <c r="AD128" s="799"/>
      <c r="AE128" s="800"/>
      <c r="AF128" s="804"/>
      <c r="AG128" s="799"/>
      <c r="AH128" s="800"/>
      <c r="AI128" s="800"/>
      <c r="AJ128" s="801">
        <f t="shared" si="14"/>
        <v>0</v>
      </c>
      <c r="AK128" s="800">
        <f t="shared" si="22"/>
        <v>2354509.8560000001</v>
      </c>
      <c r="AL128" s="800">
        <f t="shared" si="22"/>
        <v>1485615.483</v>
      </c>
      <c r="AM128" s="800">
        <f t="shared" si="22"/>
        <v>868894.37300000002</v>
      </c>
      <c r="AN128" s="800">
        <f t="shared" si="22"/>
        <v>43270.266000000003</v>
      </c>
      <c r="AO128" s="192">
        <f t="shared" si="21"/>
        <v>0.63096592236138005</v>
      </c>
      <c r="AP128" s="193">
        <f t="shared" si="23"/>
        <v>86245.266000000003</v>
      </c>
      <c r="AQ128" s="193">
        <f t="shared" si="19"/>
        <v>-86222.266000000003</v>
      </c>
      <c r="AR128" s="805"/>
      <c r="AS128" s="119"/>
      <c r="AT128" s="119"/>
      <c r="AU128" s="120"/>
      <c r="AV128" s="806"/>
      <c r="AW128" s="800">
        <v>2354509856</v>
      </c>
      <c r="AX128" s="807">
        <v>1485615483</v>
      </c>
      <c r="AY128" s="807">
        <v>868894373</v>
      </c>
      <c r="AZ128" s="807">
        <v>43270266</v>
      </c>
      <c r="BA128" s="196">
        <f t="shared" si="24"/>
        <v>0.63096592236138005</v>
      </c>
      <c r="BB128" s="210">
        <v>302106</v>
      </c>
      <c r="BC128" s="115">
        <v>35</v>
      </c>
      <c r="BD128" s="236">
        <v>0</v>
      </c>
    </row>
    <row r="129" spans="1:56" s="808" customFormat="1" ht="14.25" customHeight="1">
      <c r="A129" s="792">
        <v>2024</v>
      </c>
      <c r="B129" s="793" t="str">
        <f>+INDEX('①基本情報 '!C:C,MATCH('③経費情報(2024)'!E129,'①基本情報 '!E:E,0))</f>
        <v>121</v>
      </c>
      <c r="C129" s="794" t="str">
        <f>+INDEX('①基本情報 '!B:B,MATCH('③経費情報(2024)'!E129,'①基本情報 '!E:E,0))</f>
        <v>1026</v>
      </c>
      <c r="D129" s="809" t="s">
        <v>2415</v>
      </c>
      <c r="E129" s="616" t="s">
        <v>878</v>
      </c>
      <c r="F129" s="616" t="str">
        <f>INDEX('①基本情報 '!F:F,MATCH('③経費情報(2024)'!E129,'①基本情報 '!E:E,0))</f>
        <v>教育委員会</v>
      </c>
      <c r="G129" s="797" t="s">
        <v>2187</v>
      </c>
      <c r="H129" s="810"/>
      <c r="I129" s="799"/>
      <c r="J129" s="807">
        <v>102</v>
      </c>
      <c r="K129" s="801">
        <f t="shared" si="15"/>
        <v>102</v>
      </c>
      <c r="L129" s="799">
        <v>11315</v>
      </c>
      <c r="M129" s="799">
        <v>3271</v>
      </c>
      <c r="N129" s="800"/>
      <c r="O129" s="799">
        <v>4865</v>
      </c>
      <c r="P129" s="115">
        <v>1</v>
      </c>
      <c r="Q129" s="799">
        <v>9119</v>
      </c>
      <c r="R129" s="115">
        <v>10644</v>
      </c>
      <c r="S129" s="799">
        <f t="shared" si="16"/>
        <v>19763</v>
      </c>
      <c r="T129" s="800">
        <v>14136</v>
      </c>
      <c r="U129" s="803">
        <v>46</v>
      </c>
      <c r="V129" s="799"/>
      <c r="W129" s="801">
        <f t="shared" si="17"/>
        <v>53396</v>
      </c>
      <c r="X129" s="799"/>
      <c r="Y129" s="799"/>
      <c r="Z129" s="803"/>
      <c r="AA129" s="799"/>
      <c r="AB129" s="801">
        <f t="shared" si="18"/>
        <v>0</v>
      </c>
      <c r="AC129" s="799"/>
      <c r="AD129" s="799"/>
      <c r="AE129" s="800"/>
      <c r="AF129" s="804"/>
      <c r="AG129" s="799"/>
      <c r="AH129" s="800"/>
      <c r="AI129" s="800"/>
      <c r="AJ129" s="801">
        <f t="shared" si="14"/>
        <v>0</v>
      </c>
      <c r="AK129" s="800">
        <f t="shared" si="22"/>
        <v>2960170.6439999999</v>
      </c>
      <c r="AL129" s="800">
        <f t="shared" si="22"/>
        <v>1844005.7</v>
      </c>
      <c r="AM129" s="800">
        <f t="shared" si="22"/>
        <v>1116164.9439999999</v>
      </c>
      <c r="AN129" s="800">
        <f t="shared" si="22"/>
        <v>52217.466</v>
      </c>
      <c r="AO129" s="192">
        <f t="shared" si="21"/>
        <v>0.62293898621609334</v>
      </c>
      <c r="AP129" s="193">
        <f t="shared" si="23"/>
        <v>105613.466</v>
      </c>
      <c r="AQ129" s="193">
        <f t="shared" si="19"/>
        <v>-105511.466</v>
      </c>
      <c r="AR129" s="805"/>
      <c r="AS129" s="119"/>
      <c r="AT129" s="119"/>
      <c r="AU129" s="120"/>
      <c r="AV129" s="806"/>
      <c r="AW129" s="800">
        <v>2960170644</v>
      </c>
      <c r="AX129" s="807">
        <v>1844005700</v>
      </c>
      <c r="AY129" s="807">
        <v>1116164944</v>
      </c>
      <c r="AZ129" s="807">
        <v>52217466</v>
      </c>
      <c r="BA129" s="196">
        <f t="shared" si="24"/>
        <v>0.62293898621609334</v>
      </c>
      <c r="BB129" s="210">
        <v>254513</v>
      </c>
      <c r="BC129" s="115">
        <v>18933</v>
      </c>
      <c r="BD129" s="236">
        <v>0</v>
      </c>
    </row>
    <row r="130" spans="1:56" s="808" customFormat="1" ht="14.25" customHeight="1">
      <c r="A130" s="792">
        <v>2024</v>
      </c>
      <c r="B130" s="793" t="str">
        <f>+INDEX('①基本情報 '!C:C,MATCH('③経費情報(2024)'!E130,'①基本情報 '!E:E,0))</f>
        <v>122</v>
      </c>
      <c r="C130" s="794" t="str">
        <f>+INDEX('①基本情報 '!B:B,MATCH('③経費情報(2024)'!E130,'①基本情報 '!E:E,0))</f>
        <v>1027</v>
      </c>
      <c r="D130" s="809" t="s">
        <v>2415</v>
      </c>
      <c r="E130" s="616" t="s">
        <v>884</v>
      </c>
      <c r="F130" s="616" t="str">
        <f>INDEX('①基本情報 '!F:F,MATCH('③経費情報(2024)'!E130,'①基本情報 '!E:E,0))</f>
        <v>教育委員会</v>
      </c>
      <c r="G130" s="797" t="s">
        <v>2187</v>
      </c>
      <c r="H130" s="810"/>
      <c r="I130" s="799"/>
      <c r="J130" s="807">
        <v>36</v>
      </c>
      <c r="K130" s="801">
        <f t="shared" si="15"/>
        <v>36</v>
      </c>
      <c r="L130" s="799">
        <v>9902</v>
      </c>
      <c r="M130" s="799">
        <v>3006</v>
      </c>
      <c r="N130" s="800"/>
      <c r="O130" s="799">
        <v>2587</v>
      </c>
      <c r="P130" s="115">
        <v>1</v>
      </c>
      <c r="Q130" s="799">
        <v>9119</v>
      </c>
      <c r="R130" s="115">
        <v>8249</v>
      </c>
      <c r="S130" s="799">
        <f t="shared" si="16"/>
        <v>17368</v>
      </c>
      <c r="T130" s="800">
        <v>13444</v>
      </c>
      <c r="U130" s="803">
        <v>79</v>
      </c>
      <c r="V130" s="799"/>
      <c r="W130" s="801">
        <f t="shared" si="17"/>
        <v>46386</v>
      </c>
      <c r="X130" s="799"/>
      <c r="Y130" s="799"/>
      <c r="Z130" s="803"/>
      <c r="AA130" s="799"/>
      <c r="AB130" s="801">
        <f t="shared" si="18"/>
        <v>0</v>
      </c>
      <c r="AC130" s="799"/>
      <c r="AD130" s="799"/>
      <c r="AE130" s="800"/>
      <c r="AF130" s="804"/>
      <c r="AG130" s="799"/>
      <c r="AH130" s="800"/>
      <c r="AI130" s="800"/>
      <c r="AJ130" s="801">
        <f t="shared" si="14"/>
        <v>0</v>
      </c>
      <c r="AK130" s="800">
        <f t="shared" si="22"/>
        <v>2211176.5079999999</v>
      </c>
      <c r="AL130" s="800">
        <f t="shared" si="22"/>
        <v>1350542.0190000001</v>
      </c>
      <c r="AM130" s="800">
        <f t="shared" si="22"/>
        <v>860634.48899999994</v>
      </c>
      <c r="AN130" s="800">
        <f t="shared" si="22"/>
        <v>45767.008000000002</v>
      </c>
      <c r="AO130" s="192">
        <f t="shared" si="21"/>
        <v>0.61077983332120311</v>
      </c>
      <c r="AP130" s="193">
        <f t="shared" si="23"/>
        <v>92153.008000000002</v>
      </c>
      <c r="AQ130" s="193">
        <f t="shared" si="19"/>
        <v>-92117.008000000002</v>
      </c>
      <c r="AR130" s="805"/>
      <c r="AS130" s="119"/>
      <c r="AT130" s="119"/>
      <c r="AU130" s="120"/>
      <c r="AV130" s="806"/>
      <c r="AW130" s="800">
        <v>2211176508</v>
      </c>
      <c r="AX130" s="807">
        <v>1350542019</v>
      </c>
      <c r="AY130" s="807">
        <v>860634489</v>
      </c>
      <c r="AZ130" s="807">
        <v>45767008</v>
      </c>
      <c r="BA130" s="196">
        <f t="shared" si="24"/>
        <v>0.61077983332120311</v>
      </c>
      <c r="BB130" s="210">
        <v>212276</v>
      </c>
      <c r="BC130" s="115">
        <v>15516</v>
      </c>
      <c r="BD130" s="236">
        <v>0</v>
      </c>
    </row>
    <row r="131" spans="1:56" s="808" customFormat="1" ht="14.25" customHeight="1">
      <c r="A131" s="792">
        <v>2024</v>
      </c>
      <c r="B131" s="793" t="str">
        <f>+INDEX('①基本情報 '!C:C,MATCH('③経費情報(2024)'!E131,'①基本情報 '!E:E,0))</f>
        <v>123</v>
      </c>
      <c r="C131" s="794" t="str">
        <f>+INDEX('①基本情報 '!B:B,MATCH('③経費情報(2024)'!E131,'①基本情報 '!E:E,0))</f>
        <v>1028</v>
      </c>
      <c r="D131" s="809" t="s">
        <v>2415</v>
      </c>
      <c r="E131" s="616" t="s">
        <v>890</v>
      </c>
      <c r="F131" s="616" t="str">
        <f>INDEX('①基本情報 '!F:F,MATCH('③経費情報(2024)'!E131,'①基本情報 '!E:E,0))</f>
        <v>教育委員会</v>
      </c>
      <c r="G131" s="797" t="s">
        <v>2187</v>
      </c>
      <c r="H131" s="810"/>
      <c r="I131" s="799"/>
      <c r="J131" s="807">
        <v>64</v>
      </c>
      <c r="K131" s="801">
        <f t="shared" si="15"/>
        <v>64</v>
      </c>
      <c r="L131" s="799">
        <v>8844</v>
      </c>
      <c r="M131" s="799">
        <v>3006</v>
      </c>
      <c r="N131" s="800"/>
      <c r="O131" s="799">
        <v>2813</v>
      </c>
      <c r="P131" s="115">
        <v>1</v>
      </c>
      <c r="Q131" s="799">
        <v>9119</v>
      </c>
      <c r="R131" s="115">
        <v>8616</v>
      </c>
      <c r="S131" s="799">
        <f t="shared" si="16"/>
        <v>17735</v>
      </c>
      <c r="T131" s="800">
        <v>16896</v>
      </c>
      <c r="U131" s="803">
        <v>79</v>
      </c>
      <c r="V131" s="799"/>
      <c r="W131" s="801">
        <f t="shared" si="17"/>
        <v>49373</v>
      </c>
      <c r="X131" s="799"/>
      <c r="Y131" s="799"/>
      <c r="Z131" s="803"/>
      <c r="AA131" s="799"/>
      <c r="AB131" s="801">
        <f t="shared" si="18"/>
        <v>0</v>
      </c>
      <c r="AC131" s="799"/>
      <c r="AD131" s="799"/>
      <c r="AE131" s="800"/>
      <c r="AF131" s="804"/>
      <c r="AG131" s="799"/>
      <c r="AH131" s="800"/>
      <c r="AI131" s="800"/>
      <c r="AJ131" s="801">
        <f t="shared" si="14"/>
        <v>0</v>
      </c>
      <c r="AK131" s="800">
        <f t="shared" si="22"/>
        <v>2789222.4929999998</v>
      </c>
      <c r="AL131" s="800">
        <f t="shared" si="22"/>
        <v>1696015.0120000001</v>
      </c>
      <c r="AM131" s="800">
        <f t="shared" si="22"/>
        <v>1093207.4809999999</v>
      </c>
      <c r="AN131" s="800">
        <f t="shared" si="22"/>
        <v>95194.771999999997</v>
      </c>
      <c r="AO131" s="192">
        <f t="shared" si="21"/>
        <v>0.6080601372807013</v>
      </c>
      <c r="AP131" s="193">
        <f t="shared" si="23"/>
        <v>144567.772</v>
      </c>
      <c r="AQ131" s="193">
        <f t="shared" si="19"/>
        <v>-144503.772</v>
      </c>
      <c r="AR131" s="805"/>
      <c r="AS131" s="119"/>
      <c r="AT131" s="119"/>
      <c r="AU131" s="120"/>
      <c r="AV131" s="806"/>
      <c r="AW131" s="800">
        <v>2789222493</v>
      </c>
      <c r="AX131" s="807">
        <v>1696015012</v>
      </c>
      <c r="AY131" s="807">
        <v>1093207481</v>
      </c>
      <c r="AZ131" s="807">
        <v>95194772</v>
      </c>
      <c r="BA131" s="196">
        <f t="shared" si="24"/>
        <v>0.6080601372807013</v>
      </c>
      <c r="BB131" s="210">
        <v>155719</v>
      </c>
      <c r="BC131" s="115">
        <v>19697</v>
      </c>
      <c r="BD131" s="236">
        <v>0</v>
      </c>
    </row>
    <row r="132" spans="1:56" s="808" customFormat="1" ht="14.25" customHeight="1">
      <c r="A132" s="792">
        <v>2024</v>
      </c>
      <c r="B132" s="793" t="str">
        <f>+INDEX('①基本情報 '!C:C,MATCH('③経費情報(2024)'!E132,'①基本情報 '!E:E,0))</f>
        <v>124</v>
      </c>
      <c r="C132" s="794" t="str">
        <f>+INDEX('①基本情報 '!B:B,MATCH('③経費情報(2024)'!E132,'①基本情報 '!E:E,0))</f>
        <v>1029</v>
      </c>
      <c r="D132" s="809" t="s">
        <v>2415</v>
      </c>
      <c r="E132" s="616" t="s">
        <v>897</v>
      </c>
      <c r="F132" s="616" t="str">
        <f>INDEX('①基本情報 '!F:F,MATCH('③経費情報(2024)'!E132,'①基本情報 '!E:E,0))</f>
        <v>教育委員会</v>
      </c>
      <c r="G132" s="797" t="s">
        <v>2187</v>
      </c>
      <c r="H132" s="810"/>
      <c r="I132" s="799"/>
      <c r="J132" s="807">
        <v>84</v>
      </c>
      <c r="K132" s="801">
        <f t="shared" si="15"/>
        <v>84</v>
      </c>
      <c r="L132" s="799">
        <v>12617</v>
      </c>
      <c r="M132" s="799">
        <v>3006</v>
      </c>
      <c r="N132" s="800"/>
      <c r="O132" s="799">
        <v>2634</v>
      </c>
      <c r="P132" s="115">
        <v>0</v>
      </c>
      <c r="Q132" s="799">
        <v>9119</v>
      </c>
      <c r="R132" s="115">
        <v>10658</v>
      </c>
      <c r="S132" s="799">
        <f t="shared" si="16"/>
        <v>10658</v>
      </c>
      <c r="T132" s="800">
        <v>12184</v>
      </c>
      <c r="U132" s="803"/>
      <c r="V132" s="799"/>
      <c r="W132" s="801">
        <f t="shared" si="17"/>
        <v>41099</v>
      </c>
      <c r="X132" s="799"/>
      <c r="Y132" s="799"/>
      <c r="Z132" s="803"/>
      <c r="AA132" s="799"/>
      <c r="AB132" s="801">
        <f t="shared" si="18"/>
        <v>0</v>
      </c>
      <c r="AC132" s="799"/>
      <c r="AD132" s="799"/>
      <c r="AE132" s="800"/>
      <c r="AF132" s="804"/>
      <c r="AG132" s="799"/>
      <c r="AH132" s="800"/>
      <c r="AI132" s="800"/>
      <c r="AJ132" s="801">
        <f t="shared" si="14"/>
        <v>0</v>
      </c>
      <c r="AK132" s="800">
        <f t="shared" si="22"/>
        <v>2176642.952</v>
      </c>
      <c r="AL132" s="800">
        <f t="shared" si="22"/>
        <v>1552665.8119999999</v>
      </c>
      <c r="AM132" s="800">
        <f t="shared" si="22"/>
        <v>623977.14</v>
      </c>
      <c r="AN132" s="800">
        <f t="shared" si="22"/>
        <v>23337.655999999999</v>
      </c>
      <c r="AO132" s="192">
        <f t="shared" si="21"/>
        <v>0.71333050309116564</v>
      </c>
      <c r="AP132" s="193">
        <f t="shared" si="23"/>
        <v>64436.656000000003</v>
      </c>
      <c r="AQ132" s="193">
        <f t="shared" si="19"/>
        <v>-64352.656000000003</v>
      </c>
      <c r="AR132" s="805"/>
      <c r="AS132" s="119"/>
      <c r="AT132" s="119"/>
      <c r="AU132" s="120"/>
      <c r="AV132" s="806"/>
      <c r="AW132" s="800">
        <v>2176642952</v>
      </c>
      <c r="AX132" s="807">
        <v>1552665812</v>
      </c>
      <c r="AY132" s="807">
        <v>623977140</v>
      </c>
      <c r="AZ132" s="807">
        <v>23337656</v>
      </c>
      <c r="BA132" s="196">
        <f t="shared" si="24"/>
        <v>0.71333050309116564</v>
      </c>
      <c r="BB132" s="210">
        <v>266951</v>
      </c>
      <c r="BC132" s="115">
        <v>23424</v>
      </c>
      <c r="BD132" s="236">
        <v>0</v>
      </c>
    </row>
    <row r="133" spans="1:56" s="808" customFormat="1" ht="14.25" customHeight="1">
      <c r="A133" s="792">
        <v>2024</v>
      </c>
      <c r="B133" s="793" t="str">
        <f>+INDEX('①基本情報 '!C:C,MATCH('③経費情報(2024)'!E133,'①基本情報 '!E:E,0))</f>
        <v>125</v>
      </c>
      <c r="C133" s="794" t="str">
        <f>+INDEX('①基本情報 '!B:B,MATCH('③経費情報(2024)'!E133,'①基本情報 '!E:E,0))</f>
        <v>1030</v>
      </c>
      <c r="D133" s="809" t="s">
        <v>2415</v>
      </c>
      <c r="E133" s="616" t="s">
        <v>902</v>
      </c>
      <c r="F133" s="616" t="str">
        <f>INDEX('①基本情報 '!F:F,MATCH('③経費情報(2024)'!E133,'①基本情報 '!E:E,0))</f>
        <v>教育委員会</v>
      </c>
      <c r="G133" s="797" t="s">
        <v>2187</v>
      </c>
      <c r="H133" s="810"/>
      <c r="I133" s="799"/>
      <c r="J133" s="807">
        <v>51</v>
      </c>
      <c r="K133" s="801">
        <f t="shared" si="15"/>
        <v>51</v>
      </c>
      <c r="L133" s="799">
        <v>9244</v>
      </c>
      <c r="M133" s="799">
        <v>3006</v>
      </c>
      <c r="N133" s="800"/>
      <c r="O133" s="799">
        <v>1692</v>
      </c>
      <c r="P133" s="115">
        <v>1</v>
      </c>
      <c r="Q133" s="799">
        <v>9119</v>
      </c>
      <c r="R133" s="115">
        <v>8306</v>
      </c>
      <c r="S133" s="799">
        <f t="shared" si="16"/>
        <v>17425</v>
      </c>
      <c r="T133" s="800">
        <v>14480</v>
      </c>
      <c r="U133" s="803">
        <v>8</v>
      </c>
      <c r="V133" s="799"/>
      <c r="W133" s="801">
        <f t="shared" si="17"/>
        <v>45855</v>
      </c>
      <c r="X133" s="799"/>
      <c r="Y133" s="799"/>
      <c r="Z133" s="803"/>
      <c r="AA133" s="799"/>
      <c r="AB133" s="801">
        <f t="shared" si="18"/>
        <v>0</v>
      </c>
      <c r="AC133" s="799"/>
      <c r="AD133" s="799"/>
      <c r="AE133" s="800"/>
      <c r="AF133" s="804"/>
      <c r="AG133" s="799"/>
      <c r="AH133" s="800"/>
      <c r="AI133" s="800"/>
      <c r="AJ133" s="801">
        <f t="shared" ref="AJ133:AJ196" si="25">SUBTOTAL(9,AC133:AI133)</f>
        <v>0</v>
      </c>
      <c r="AK133" s="800">
        <f t="shared" si="22"/>
        <v>2659313.59</v>
      </c>
      <c r="AL133" s="800">
        <f t="shared" si="22"/>
        <v>1245860.128</v>
      </c>
      <c r="AM133" s="800">
        <f t="shared" si="22"/>
        <v>1413453.4620000001</v>
      </c>
      <c r="AN133" s="800">
        <f t="shared" si="22"/>
        <v>58977.375</v>
      </c>
      <c r="AO133" s="192">
        <f t="shared" si="21"/>
        <v>0.46848936232450872</v>
      </c>
      <c r="AP133" s="193">
        <f t="shared" si="23"/>
        <v>104832.375</v>
      </c>
      <c r="AQ133" s="193">
        <f t="shared" si="19"/>
        <v>-104781.375</v>
      </c>
      <c r="AR133" s="805"/>
      <c r="AS133" s="119"/>
      <c r="AT133" s="119"/>
      <c r="AU133" s="120"/>
      <c r="AV133" s="806"/>
      <c r="AW133" s="800">
        <v>2659313590</v>
      </c>
      <c r="AX133" s="807">
        <v>1245860128</v>
      </c>
      <c r="AY133" s="807">
        <v>1413453462</v>
      </c>
      <c r="AZ133" s="807">
        <v>58977375</v>
      </c>
      <c r="BA133" s="196">
        <f t="shared" si="24"/>
        <v>0.46848936232450872</v>
      </c>
      <c r="BB133" s="210">
        <v>184323</v>
      </c>
      <c r="BC133" s="115">
        <v>31143</v>
      </c>
      <c r="BD133" s="236">
        <v>0</v>
      </c>
    </row>
    <row r="134" spans="1:56" s="808" customFormat="1" ht="14.25" customHeight="1">
      <c r="A134" s="792">
        <v>2024</v>
      </c>
      <c r="B134" s="793" t="str">
        <f>+INDEX('①基本情報 '!C:C,MATCH('③経費情報(2024)'!E134,'①基本情報 '!E:E,0))</f>
        <v>126</v>
      </c>
      <c r="C134" s="794" t="str">
        <f>+INDEX('①基本情報 '!B:B,MATCH('③経費情報(2024)'!E134,'①基本情報 '!E:E,0))</f>
        <v>1031</v>
      </c>
      <c r="D134" s="809" t="s">
        <v>2415</v>
      </c>
      <c r="E134" s="616" t="s">
        <v>907</v>
      </c>
      <c r="F134" s="616" t="str">
        <f>INDEX('①基本情報 '!F:F,MATCH('③経費情報(2024)'!E134,'①基本情報 '!E:E,0))</f>
        <v>教育委員会</v>
      </c>
      <c r="G134" s="797" t="s">
        <v>2187</v>
      </c>
      <c r="H134" s="810"/>
      <c r="I134" s="799"/>
      <c r="J134" s="807">
        <v>52</v>
      </c>
      <c r="K134" s="801">
        <f t="shared" ref="K134:K197" si="26">SUBTOTAL(9,H134:J134)</f>
        <v>52</v>
      </c>
      <c r="L134" s="799">
        <v>7436</v>
      </c>
      <c r="M134" s="799">
        <v>3006</v>
      </c>
      <c r="N134" s="800"/>
      <c r="O134" s="799">
        <v>1515</v>
      </c>
      <c r="P134" s="115">
        <v>0</v>
      </c>
      <c r="Q134" s="799">
        <v>9119</v>
      </c>
      <c r="R134" s="115">
        <v>6911</v>
      </c>
      <c r="S134" s="799">
        <f t="shared" ref="S134:S197" si="27">ROUND(P134*Q134,0)+R134</f>
        <v>6911</v>
      </c>
      <c r="T134" s="800">
        <v>10207</v>
      </c>
      <c r="U134" s="803"/>
      <c r="V134" s="799"/>
      <c r="W134" s="801">
        <f t="shared" ref="W134:W197" si="28">SUBTOTAL(9,L134:O134,S134:V134)</f>
        <v>29075</v>
      </c>
      <c r="X134" s="799"/>
      <c r="Y134" s="799"/>
      <c r="Z134" s="803"/>
      <c r="AA134" s="799"/>
      <c r="AB134" s="801">
        <f t="shared" ref="AB134:AB197" si="29">SUBTOTAL(9,X134:AA134)</f>
        <v>0</v>
      </c>
      <c r="AC134" s="799"/>
      <c r="AD134" s="799"/>
      <c r="AE134" s="800"/>
      <c r="AF134" s="804"/>
      <c r="AG134" s="799"/>
      <c r="AH134" s="800"/>
      <c r="AI134" s="800"/>
      <c r="AJ134" s="801">
        <f t="shared" si="25"/>
        <v>0</v>
      </c>
      <c r="AK134" s="800">
        <f t="shared" si="22"/>
        <v>2504639.3870000001</v>
      </c>
      <c r="AL134" s="800">
        <f t="shared" si="22"/>
        <v>1466745.895</v>
      </c>
      <c r="AM134" s="800">
        <f t="shared" si="22"/>
        <v>1037893.492</v>
      </c>
      <c r="AN134" s="800">
        <f t="shared" si="22"/>
        <v>82945.841</v>
      </c>
      <c r="AO134" s="192">
        <f t="shared" si="21"/>
        <v>0.58561160645039401</v>
      </c>
      <c r="AP134" s="193">
        <f t="shared" si="23"/>
        <v>112020.841</v>
      </c>
      <c r="AQ134" s="193">
        <f t="shared" ref="AQ134:AQ197" si="30">K134-AP134</f>
        <v>-111968.841</v>
      </c>
      <c r="AR134" s="805"/>
      <c r="AS134" s="119"/>
      <c r="AT134" s="119"/>
      <c r="AU134" s="120"/>
      <c r="AV134" s="806"/>
      <c r="AW134" s="800">
        <v>2504639387</v>
      </c>
      <c r="AX134" s="807">
        <v>1466745895</v>
      </c>
      <c r="AY134" s="807">
        <v>1037893492</v>
      </c>
      <c r="AZ134" s="807">
        <v>82945841</v>
      </c>
      <c r="BA134" s="196">
        <f t="shared" si="24"/>
        <v>0.58561160645039401</v>
      </c>
      <c r="BB134" s="210">
        <v>173641</v>
      </c>
      <c r="BC134" s="115">
        <v>9904</v>
      </c>
      <c r="BD134" s="236">
        <v>0</v>
      </c>
    </row>
    <row r="135" spans="1:56" s="808" customFormat="1" ht="14.25" customHeight="1">
      <c r="A135" s="792">
        <v>2024</v>
      </c>
      <c r="B135" s="793" t="str">
        <f>+INDEX('①基本情報 '!C:C,MATCH('③経費情報(2024)'!E135,'①基本情報 '!E:E,0))</f>
        <v>127</v>
      </c>
      <c r="C135" s="794" t="str">
        <f>+INDEX('①基本情報 '!B:B,MATCH('③経費情報(2024)'!E135,'①基本情報 '!E:E,0))</f>
        <v>1032</v>
      </c>
      <c r="D135" s="809" t="s">
        <v>2415</v>
      </c>
      <c r="E135" s="616" t="s">
        <v>912</v>
      </c>
      <c r="F135" s="616" t="str">
        <f>INDEX('①基本情報 '!F:F,MATCH('③経費情報(2024)'!E135,'①基本情報 '!E:E,0))</f>
        <v>教育委員会</v>
      </c>
      <c r="G135" s="797" t="s">
        <v>2187</v>
      </c>
      <c r="H135" s="810"/>
      <c r="I135" s="799"/>
      <c r="J135" s="807">
        <v>91</v>
      </c>
      <c r="K135" s="801">
        <f t="shared" si="26"/>
        <v>91</v>
      </c>
      <c r="L135" s="799">
        <v>10755</v>
      </c>
      <c r="M135" s="799">
        <v>3006</v>
      </c>
      <c r="N135" s="800"/>
      <c r="O135" s="799">
        <v>2954</v>
      </c>
      <c r="P135" s="115">
        <v>0</v>
      </c>
      <c r="Q135" s="799">
        <v>9119</v>
      </c>
      <c r="R135" s="115">
        <v>11782</v>
      </c>
      <c r="S135" s="799">
        <f t="shared" si="27"/>
        <v>11782</v>
      </c>
      <c r="T135" s="800">
        <v>12516</v>
      </c>
      <c r="U135" s="803">
        <v>79</v>
      </c>
      <c r="V135" s="799"/>
      <c r="W135" s="801">
        <f t="shared" si="28"/>
        <v>41092</v>
      </c>
      <c r="X135" s="799"/>
      <c r="Y135" s="799"/>
      <c r="Z135" s="803"/>
      <c r="AA135" s="799"/>
      <c r="AB135" s="801">
        <f t="shared" si="29"/>
        <v>0</v>
      </c>
      <c r="AC135" s="799"/>
      <c r="AD135" s="799"/>
      <c r="AE135" s="800"/>
      <c r="AF135" s="804"/>
      <c r="AG135" s="799"/>
      <c r="AH135" s="800"/>
      <c r="AI135" s="800"/>
      <c r="AJ135" s="801">
        <f t="shared" si="25"/>
        <v>0</v>
      </c>
      <c r="AK135" s="800">
        <f t="shared" si="22"/>
        <v>1996333.4839999999</v>
      </c>
      <c r="AL135" s="800">
        <f t="shared" si="22"/>
        <v>1371998.348</v>
      </c>
      <c r="AM135" s="800">
        <f t="shared" si="22"/>
        <v>624335.13600000006</v>
      </c>
      <c r="AN135" s="800">
        <f t="shared" si="22"/>
        <v>29534.644</v>
      </c>
      <c r="AO135" s="192">
        <f t="shared" si="21"/>
        <v>0.68725909723808454</v>
      </c>
      <c r="AP135" s="193">
        <f t="shared" si="23"/>
        <v>70626.644</v>
      </c>
      <c r="AQ135" s="193">
        <f t="shared" si="30"/>
        <v>-70535.644</v>
      </c>
      <c r="AR135" s="805"/>
      <c r="AS135" s="119"/>
      <c r="AT135" s="119"/>
      <c r="AU135" s="120"/>
      <c r="AV135" s="806"/>
      <c r="AW135" s="800">
        <v>1996333484</v>
      </c>
      <c r="AX135" s="807">
        <v>1371998348</v>
      </c>
      <c r="AY135" s="807">
        <v>624335136</v>
      </c>
      <c r="AZ135" s="807">
        <v>29534644</v>
      </c>
      <c r="BA135" s="196">
        <f t="shared" si="24"/>
        <v>0.68725909723808454</v>
      </c>
      <c r="BB135" s="210">
        <v>253764</v>
      </c>
      <c r="BC135" s="115">
        <v>4345</v>
      </c>
      <c r="BD135" s="236">
        <v>0</v>
      </c>
    </row>
    <row r="136" spans="1:56" s="808" customFormat="1" ht="14.25" customHeight="1">
      <c r="A136" s="792">
        <v>2024</v>
      </c>
      <c r="B136" s="793" t="str">
        <f>+INDEX('①基本情報 '!C:C,MATCH('③経費情報(2024)'!E136,'①基本情報 '!E:E,0))</f>
        <v>128</v>
      </c>
      <c r="C136" s="794" t="str">
        <f>+INDEX('①基本情報 '!B:B,MATCH('③経費情報(2024)'!E136,'①基本情報 '!E:E,0))</f>
        <v>1033</v>
      </c>
      <c r="D136" s="809" t="s">
        <v>2415</v>
      </c>
      <c r="E136" s="616" t="s">
        <v>917</v>
      </c>
      <c r="F136" s="616" t="str">
        <f>INDEX('①基本情報 '!F:F,MATCH('③経費情報(2024)'!E136,'①基本情報 '!E:E,0))</f>
        <v>教育委員会</v>
      </c>
      <c r="G136" s="797" t="s">
        <v>2187</v>
      </c>
      <c r="H136" s="810"/>
      <c r="I136" s="799"/>
      <c r="J136" s="807">
        <v>151</v>
      </c>
      <c r="K136" s="801">
        <f t="shared" si="26"/>
        <v>151</v>
      </c>
      <c r="L136" s="799">
        <v>10224</v>
      </c>
      <c r="M136" s="799">
        <v>3006</v>
      </c>
      <c r="N136" s="800"/>
      <c r="O136" s="799">
        <v>4644</v>
      </c>
      <c r="P136" s="115">
        <v>0</v>
      </c>
      <c r="Q136" s="799">
        <v>9119</v>
      </c>
      <c r="R136" s="115">
        <v>8582</v>
      </c>
      <c r="S136" s="799">
        <f t="shared" si="27"/>
        <v>8582</v>
      </c>
      <c r="T136" s="800">
        <v>9082</v>
      </c>
      <c r="U136" s="803">
        <v>64</v>
      </c>
      <c r="V136" s="799"/>
      <c r="W136" s="801">
        <f t="shared" si="28"/>
        <v>35602</v>
      </c>
      <c r="X136" s="799"/>
      <c r="Y136" s="799"/>
      <c r="Z136" s="803"/>
      <c r="AA136" s="799"/>
      <c r="AB136" s="801">
        <f t="shared" si="29"/>
        <v>0</v>
      </c>
      <c r="AC136" s="799"/>
      <c r="AD136" s="799"/>
      <c r="AE136" s="800"/>
      <c r="AF136" s="804"/>
      <c r="AG136" s="799"/>
      <c r="AH136" s="800"/>
      <c r="AI136" s="800"/>
      <c r="AJ136" s="801">
        <f t="shared" si="25"/>
        <v>0</v>
      </c>
      <c r="AK136" s="800">
        <f t="shared" si="22"/>
        <v>2250712.5040000002</v>
      </c>
      <c r="AL136" s="800">
        <f t="shared" si="22"/>
        <v>1576694.584</v>
      </c>
      <c r="AM136" s="800">
        <f t="shared" si="22"/>
        <v>674017.92</v>
      </c>
      <c r="AN136" s="800">
        <f t="shared" si="22"/>
        <v>31147.307000000001</v>
      </c>
      <c r="AO136" s="192">
        <f t="shared" si="21"/>
        <v>0.70053131228349896</v>
      </c>
      <c r="AP136" s="193">
        <f t="shared" si="23"/>
        <v>66749.307000000001</v>
      </c>
      <c r="AQ136" s="193">
        <f t="shared" si="30"/>
        <v>-66598.307000000001</v>
      </c>
      <c r="AR136" s="805"/>
      <c r="AS136" s="119"/>
      <c r="AT136" s="119"/>
      <c r="AU136" s="120"/>
      <c r="AV136" s="806"/>
      <c r="AW136" s="800">
        <v>2250712504</v>
      </c>
      <c r="AX136" s="807">
        <v>1576694584</v>
      </c>
      <c r="AY136" s="807">
        <v>674017920</v>
      </c>
      <c r="AZ136" s="807">
        <v>31147307</v>
      </c>
      <c r="BA136" s="196">
        <f t="shared" si="24"/>
        <v>0.70053131228349896</v>
      </c>
      <c r="BB136" s="210">
        <v>258330</v>
      </c>
      <c r="BC136" s="115">
        <v>4805</v>
      </c>
      <c r="BD136" s="236">
        <v>0</v>
      </c>
    </row>
    <row r="137" spans="1:56" s="808" customFormat="1" ht="14.25" customHeight="1">
      <c r="A137" s="792">
        <v>2024</v>
      </c>
      <c r="B137" s="793" t="str">
        <f>+INDEX('①基本情報 '!C:C,MATCH('③経費情報(2024)'!E137,'①基本情報 '!E:E,0))</f>
        <v>129</v>
      </c>
      <c r="C137" s="794" t="str">
        <f>+INDEX('①基本情報 '!B:B,MATCH('③経費情報(2024)'!E137,'①基本情報 '!E:E,0))</f>
        <v>1034</v>
      </c>
      <c r="D137" s="809" t="s">
        <v>2415</v>
      </c>
      <c r="E137" s="616" t="s">
        <v>922</v>
      </c>
      <c r="F137" s="616" t="str">
        <f>INDEX('①基本情報 '!F:F,MATCH('③経費情報(2024)'!E137,'①基本情報 '!E:E,0))</f>
        <v>教育委員会</v>
      </c>
      <c r="G137" s="797" t="s">
        <v>2187</v>
      </c>
      <c r="H137" s="810"/>
      <c r="I137" s="799"/>
      <c r="J137" s="807">
        <v>49</v>
      </c>
      <c r="K137" s="801">
        <f t="shared" si="26"/>
        <v>49</v>
      </c>
      <c r="L137" s="799">
        <v>5153</v>
      </c>
      <c r="M137" s="799">
        <v>3006</v>
      </c>
      <c r="N137" s="800"/>
      <c r="O137" s="799">
        <v>1371</v>
      </c>
      <c r="P137" s="115">
        <v>1</v>
      </c>
      <c r="Q137" s="799">
        <v>9119</v>
      </c>
      <c r="R137" s="115">
        <v>6530</v>
      </c>
      <c r="S137" s="799">
        <f t="shared" si="27"/>
        <v>15649</v>
      </c>
      <c r="T137" s="800">
        <v>9120</v>
      </c>
      <c r="U137" s="803">
        <v>131</v>
      </c>
      <c r="V137" s="799"/>
      <c r="W137" s="801">
        <f t="shared" si="28"/>
        <v>34430</v>
      </c>
      <c r="X137" s="799"/>
      <c r="Y137" s="799"/>
      <c r="Z137" s="803"/>
      <c r="AA137" s="799"/>
      <c r="AB137" s="801">
        <f t="shared" si="29"/>
        <v>0</v>
      </c>
      <c r="AC137" s="799"/>
      <c r="AD137" s="799"/>
      <c r="AE137" s="800"/>
      <c r="AF137" s="804"/>
      <c r="AG137" s="799"/>
      <c r="AH137" s="800"/>
      <c r="AI137" s="800"/>
      <c r="AJ137" s="801">
        <f t="shared" si="25"/>
        <v>0</v>
      </c>
      <c r="AK137" s="800">
        <f t="shared" si="22"/>
        <v>1977245.862</v>
      </c>
      <c r="AL137" s="800">
        <f t="shared" si="22"/>
        <v>1284740.7450000001</v>
      </c>
      <c r="AM137" s="800">
        <f t="shared" si="22"/>
        <v>692505.11699999997</v>
      </c>
      <c r="AN137" s="800">
        <f t="shared" si="22"/>
        <v>41104.733</v>
      </c>
      <c r="AO137" s="192">
        <f t="shared" si="21"/>
        <v>0.64976276834913915</v>
      </c>
      <c r="AP137" s="193">
        <f t="shared" si="23"/>
        <v>75534.733000000007</v>
      </c>
      <c r="AQ137" s="193">
        <f t="shared" si="30"/>
        <v>-75485.733000000007</v>
      </c>
      <c r="AR137" s="805"/>
      <c r="AS137" s="119"/>
      <c r="AT137" s="119"/>
      <c r="AU137" s="120"/>
      <c r="AV137" s="806"/>
      <c r="AW137" s="800">
        <v>1977245862</v>
      </c>
      <c r="AX137" s="807">
        <v>1284740745</v>
      </c>
      <c r="AY137" s="807">
        <v>692505117</v>
      </c>
      <c r="AZ137" s="807">
        <v>41104733</v>
      </c>
      <c r="BA137" s="196">
        <f t="shared" si="24"/>
        <v>0.64976276834913915</v>
      </c>
      <c r="BB137" s="210">
        <v>119900</v>
      </c>
      <c r="BC137" s="115">
        <v>13621</v>
      </c>
      <c r="BD137" s="236">
        <v>0</v>
      </c>
    </row>
    <row r="138" spans="1:56" s="808" customFormat="1" ht="14.25" customHeight="1">
      <c r="A138" s="792">
        <v>2024</v>
      </c>
      <c r="B138" s="793" t="str">
        <f>+INDEX('①基本情報 '!C:C,MATCH('③経費情報(2024)'!E138,'①基本情報 '!E:E,0))</f>
        <v>130</v>
      </c>
      <c r="C138" s="794" t="str">
        <f>+INDEX('①基本情報 '!B:B,MATCH('③経費情報(2024)'!E138,'①基本情報 '!E:E,0))</f>
        <v>1035</v>
      </c>
      <c r="D138" s="809" t="s">
        <v>2415</v>
      </c>
      <c r="E138" s="616" t="s">
        <v>927</v>
      </c>
      <c r="F138" s="616" t="str">
        <f>INDEX('①基本情報 '!F:F,MATCH('③経費情報(2024)'!E138,'①基本情報 '!E:E,0))</f>
        <v>教育委員会</v>
      </c>
      <c r="G138" s="797" t="s">
        <v>2187</v>
      </c>
      <c r="H138" s="810"/>
      <c r="I138" s="799"/>
      <c r="J138" s="807">
        <v>80</v>
      </c>
      <c r="K138" s="801">
        <f t="shared" si="26"/>
        <v>80</v>
      </c>
      <c r="L138" s="799">
        <v>9501</v>
      </c>
      <c r="M138" s="799">
        <v>3006</v>
      </c>
      <c r="N138" s="800"/>
      <c r="O138" s="799">
        <v>8119</v>
      </c>
      <c r="P138" s="115">
        <v>0</v>
      </c>
      <c r="Q138" s="799">
        <v>9119</v>
      </c>
      <c r="R138" s="115">
        <v>11110</v>
      </c>
      <c r="S138" s="799">
        <f t="shared" si="27"/>
        <v>11110</v>
      </c>
      <c r="T138" s="800">
        <v>12909</v>
      </c>
      <c r="U138" s="803">
        <v>18</v>
      </c>
      <c r="V138" s="799"/>
      <c r="W138" s="801">
        <f t="shared" si="28"/>
        <v>44663</v>
      </c>
      <c r="X138" s="799"/>
      <c r="Y138" s="799"/>
      <c r="Z138" s="803"/>
      <c r="AA138" s="799"/>
      <c r="AB138" s="801">
        <f t="shared" si="29"/>
        <v>0</v>
      </c>
      <c r="AC138" s="799"/>
      <c r="AD138" s="799"/>
      <c r="AE138" s="800"/>
      <c r="AF138" s="804"/>
      <c r="AG138" s="799"/>
      <c r="AH138" s="800"/>
      <c r="AI138" s="800"/>
      <c r="AJ138" s="801">
        <f t="shared" si="25"/>
        <v>0</v>
      </c>
      <c r="AK138" s="800">
        <f t="shared" si="22"/>
        <v>2146469.054</v>
      </c>
      <c r="AL138" s="800">
        <f t="shared" si="22"/>
        <v>1593291.754</v>
      </c>
      <c r="AM138" s="800">
        <f t="shared" si="22"/>
        <v>553177.30000000005</v>
      </c>
      <c r="AN138" s="800">
        <f t="shared" si="22"/>
        <v>34197.286999999997</v>
      </c>
      <c r="AO138" s="192">
        <f t="shared" si="21"/>
        <v>0.74228498707254131</v>
      </c>
      <c r="AP138" s="193">
        <f t="shared" si="23"/>
        <v>78860.286999999997</v>
      </c>
      <c r="AQ138" s="193">
        <f t="shared" si="30"/>
        <v>-78780.286999999997</v>
      </c>
      <c r="AR138" s="805"/>
      <c r="AS138" s="119"/>
      <c r="AT138" s="119"/>
      <c r="AU138" s="120"/>
      <c r="AV138" s="806"/>
      <c r="AW138" s="800">
        <v>2146469054</v>
      </c>
      <c r="AX138" s="807">
        <v>1593291754</v>
      </c>
      <c r="AY138" s="807">
        <v>553177300</v>
      </c>
      <c r="AZ138" s="807">
        <v>34197287</v>
      </c>
      <c r="BA138" s="196">
        <f t="shared" si="24"/>
        <v>0.74228498707254131</v>
      </c>
      <c r="BB138" s="210">
        <v>220658</v>
      </c>
      <c r="BC138" s="115">
        <v>30271</v>
      </c>
      <c r="BD138" s="236">
        <v>0</v>
      </c>
    </row>
    <row r="139" spans="1:56" s="808" customFormat="1" ht="14.25" customHeight="1">
      <c r="A139" s="792">
        <v>2024</v>
      </c>
      <c r="B139" s="793" t="str">
        <f>+INDEX('①基本情報 '!C:C,MATCH('③経費情報(2024)'!E139,'①基本情報 '!E:E,0))</f>
        <v>131</v>
      </c>
      <c r="C139" s="794" t="str">
        <f>+INDEX('①基本情報 '!B:B,MATCH('③経費情報(2024)'!E139,'①基本情報 '!E:E,0))</f>
        <v>1036</v>
      </c>
      <c r="D139" s="809" t="s">
        <v>2415</v>
      </c>
      <c r="E139" s="616" t="s">
        <v>932</v>
      </c>
      <c r="F139" s="616" t="str">
        <f>INDEX('①基本情報 '!F:F,MATCH('③経費情報(2024)'!E139,'①基本情報 '!E:E,0))</f>
        <v>教育委員会</v>
      </c>
      <c r="G139" s="797" t="s">
        <v>2187</v>
      </c>
      <c r="H139" s="810"/>
      <c r="I139" s="799"/>
      <c r="J139" s="807">
        <v>52</v>
      </c>
      <c r="K139" s="801">
        <f t="shared" si="26"/>
        <v>52</v>
      </c>
      <c r="L139" s="799">
        <v>15014</v>
      </c>
      <c r="M139" s="799">
        <v>3006</v>
      </c>
      <c r="N139" s="800"/>
      <c r="O139" s="799">
        <v>3449</v>
      </c>
      <c r="P139" s="115">
        <v>1</v>
      </c>
      <c r="Q139" s="799">
        <v>9119</v>
      </c>
      <c r="R139" s="115">
        <v>8056</v>
      </c>
      <c r="S139" s="799">
        <f t="shared" si="27"/>
        <v>17175</v>
      </c>
      <c r="T139" s="800">
        <v>12634</v>
      </c>
      <c r="U139" s="803">
        <v>1</v>
      </c>
      <c r="V139" s="799"/>
      <c r="W139" s="801">
        <f t="shared" si="28"/>
        <v>51279</v>
      </c>
      <c r="X139" s="799"/>
      <c r="Y139" s="799"/>
      <c r="Z139" s="803"/>
      <c r="AA139" s="799"/>
      <c r="AB139" s="801">
        <f t="shared" si="29"/>
        <v>0</v>
      </c>
      <c r="AC139" s="804"/>
      <c r="AD139" s="799"/>
      <c r="AE139" s="800"/>
      <c r="AF139" s="799"/>
      <c r="AG139" s="799"/>
      <c r="AH139" s="800"/>
      <c r="AI139" s="800"/>
      <c r="AJ139" s="801">
        <f t="shared" si="25"/>
        <v>0</v>
      </c>
      <c r="AK139" s="800">
        <f t="shared" si="22"/>
        <v>1822637.456</v>
      </c>
      <c r="AL139" s="800">
        <f t="shared" si="22"/>
        <v>1348846.959</v>
      </c>
      <c r="AM139" s="800">
        <f t="shared" si="22"/>
        <v>473790.49699999997</v>
      </c>
      <c r="AN139" s="800">
        <f t="shared" si="22"/>
        <v>27982.999</v>
      </c>
      <c r="AO139" s="192">
        <f t="shared" si="21"/>
        <v>0.7400522548023396</v>
      </c>
      <c r="AP139" s="193">
        <f t="shared" si="23"/>
        <v>79261.998999999996</v>
      </c>
      <c r="AQ139" s="193">
        <f t="shared" si="30"/>
        <v>-79209.998999999996</v>
      </c>
      <c r="AR139" s="805"/>
      <c r="AS139" s="119"/>
      <c r="AT139" s="119"/>
      <c r="AU139" s="120"/>
      <c r="AV139" s="806"/>
      <c r="AW139" s="800">
        <v>1822637456</v>
      </c>
      <c r="AX139" s="807">
        <v>1348846959</v>
      </c>
      <c r="AY139" s="807">
        <v>473790497</v>
      </c>
      <c r="AZ139" s="807">
        <v>27982999</v>
      </c>
      <c r="BA139" s="196">
        <f t="shared" si="24"/>
        <v>0.7400522548023396</v>
      </c>
      <c r="BB139" s="210">
        <v>272731</v>
      </c>
      <c r="BC139" s="115">
        <v>53291</v>
      </c>
      <c r="BD139" s="236">
        <v>0</v>
      </c>
    </row>
    <row r="140" spans="1:56" s="808" customFormat="1" ht="14.25" customHeight="1">
      <c r="A140" s="792">
        <v>2024</v>
      </c>
      <c r="B140" s="793" t="str">
        <f>+INDEX('①基本情報 '!C:C,MATCH('③経費情報(2024)'!E140,'①基本情報 '!E:E,0))</f>
        <v>132</v>
      </c>
      <c r="C140" s="794" t="str">
        <f>+INDEX('①基本情報 '!B:B,MATCH('③経費情報(2024)'!E140,'①基本情報 '!E:E,0))</f>
        <v>1037</v>
      </c>
      <c r="D140" s="809" t="s">
        <v>2415</v>
      </c>
      <c r="E140" s="616" t="s">
        <v>937</v>
      </c>
      <c r="F140" s="616" t="str">
        <f>INDEX('①基本情報 '!F:F,MATCH('③経費情報(2024)'!E140,'①基本情報 '!E:E,0))</f>
        <v>教育委員会</v>
      </c>
      <c r="G140" s="797" t="s">
        <v>2187</v>
      </c>
      <c r="H140" s="810"/>
      <c r="I140" s="799"/>
      <c r="J140" s="807">
        <v>77</v>
      </c>
      <c r="K140" s="801">
        <f t="shared" si="26"/>
        <v>77</v>
      </c>
      <c r="L140" s="799">
        <v>11959</v>
      </c>
      <c r="M140" s="799">
        <v>3006</v>
      </c>
      <c r="N140" s="800"/>
      <c r="O140" s="799">
        <v>2980</v>
      </c>
      <c r="P140" s="115">
        <v>1</v>
      </c>
      <c r="Q140" s="799">
        <v>9119</v>
      </c>
      <c r="R140" s="115">
        <v>6582</v>
      </c>
      <c r="S140" s="799">
        <f t="shared" si="27"/>
        <v>15701</v>
      </c>
      <c r="T140" s="800">
        <v>13001</v>
      </c>
      <c r="U140" s="803">
        <v>79</v>
      </c>
      <c r="V140" s="799"/>
      <c r="W140" s="801">
        <f t="shared" si="28"/>
        <v>46726</v>
      </c>
      <c r="X140" s="799"/>
      <c r="Y140" s="799"/>
      <c r="Z140" s="803"/>
      <c r="AA140" s="799"/>
      <c r="AB140" s="801">
        <f t="shared" si="29"/>
        <v>0</v>
      </c>
      <c r="AC140" s="804"/>
      <c r="AD140" s="799"/>
      <c r="AE140" s="800"/>
      <c r="AF140" s="799"/>
      <c r="AG140" s="799"/>
      <c r="AH140" s="800"/>
      <c r="AI140" s="800"/>
      <c r="AJ140" s="801">
        <f t="shared" si="25"/>
        <v>0</v>
      </c>
      <c r="AK140" s="800">
        <f t="shared" si="22"/>
        <v>1805465.919</v>
      </c>
      <c r="AL140" s="800">
        <f t="shared" si="22"/>
        <v>1256630.7649999999</v>
      </c>
      <c r="AM140" s="800">
        <f t="shared" si="22"/>
        <v>548835.15399999998</v>
      </c>
      <c r="AN140" s="800">
        <f t="shared" si="22"/>
        <v>42926.233</v>
      </c>
      <c r="AO140" s="192">
        <f t="shared" si="21"/>
        <v>0.69601466955189861</v>
      </c>
      <c r="AP140" s="193">
        <f t="shared" si="23"/>
        <v>89652.233000000007</v>
      </c>
      <c r="AQ140" s="193">
        <f t="shared" si="30"/>
        <v>-89575.233000000007</v>
      </c>
      <c r="AR140" s="805"/>
      <c r="AS140" s="119"/>
      <c r="AT140" s="119"/>
      <c r="AU140" s="120"/>
      <c r="AV140" s="806"/>
      <c r="AW140" s="800">
        <v>1805465919</v>
      </c>
      <c r="AX140" s="807">
        <v>1256630765</v>
      </c>
      <c r="AY140" s="807">
        <v>548835154</v>
      </c>
      <c r="AZ140" s="807">
        <v>42926233</v>
      </c>
      <c r="BA140" s="196">
        <f t="shared" si="24"/>
        <v>0.69601466955189861</v>
      </c>
      <c r="BB140" s="210">
        <v>273757</v>
      </c>
      <c r="BC140" s="115">
        <v>21990</v>
      </c>
      <c r="BD140" s="236">
        <v>0</v>
      </c>
    </row>
    <row r="141" spans="1:56" s="808" customFormat="1" ht="14.25" customHeight="1">
      <c r="A141" s="792">
        <v>2024</v>
      </c>
      <c r="B141" s="793" t="str">
        <f>+INDEX('①基本情報 '!C:C,MATCH('③経費情報(2024)'!E141,'①基本情報 '!E:E,0))</f>
        <v>133</v>
      </c>
      <c r="C141" s="794" t="str">
        <f>+INDEX('①基本情報 '!B:B,MATCH('③経費情報(2024)'!E141,'①基本情報 '!E:E,0))</f>
        <v>0360</v>
      </c>
      <c r="D141" s="809" t="s">
        <v>2415</v>
      </c>
      <c r="E141" s="616" t="s">
        <v>942</v>
      </c>
      <c r="F141" s="616" t="str">
        <f>INDEX('①基本情報 '!F:F,MATCH('③経費情報(2024)'!E141,'①基本情報 '!E:E,0))</f>
        <v>教育委員会</v>
      </c>
      <c r="G141" s="797" t="s">
        <v>2620</v>
      </c>
      <c r="H141" s="810">
        <v>14587</v>
      </c>
      <c r="I141" s="800"/>
      <c r="J141" s="807">
        <v>1316</v>
      </c>
      <c r="K141" s="801">
        <f t="shared" si="26"/>
        <v>15903</v>
      </c>
      <c r="L141" s="799">
        <v>244</v>
      </c>
      <c r="M141" s="799"/>
      <c r="N141" s="800"/>
      <c r="O141" s="799">
        <v>30</v>
      </c>
      <c r="P141" s="802">
        <v>10</v>
      </c>
      <c r="Q141" s="799">
        <v>9119</v>
      </c>
      <c r="R141" s="799">
        <v>46724</v>
      </c>
      <c r="S141" s="799">
        <f t="shared" si="27"/>
        <v>137914</v>
      </c>
      <c r="T141" s="800">
        <v>2714</v>
      </c>
      <c r="U141" s="144"/>
      <c r="V141" s="144"/>
      <c r="W141" s="801">
        <f t="shared" si="28"/>
        <v>140902</v>
      </c>
      <c r="X141" s="852"/>
      <c r="Y141" s="799"/>
      <c r="Z141" s="853"/>
      <c r="AA141" s="799"/>
      <c r="AB141" s="801">
        <f t="shared" si="29"/>
        <v>0</v>
      </c>
      <c r="AC141" s="852"/>
      <c r="AD141" s="799"/>
      <c r="AE141" s="799"/>
      <c r="AF141" s="799"/>
      <c r="AG141" s="799"/>
      <c r="AH141" s="799"/>
      <c r="AI141" s="799"/>
      <c r="AJ141" s="801">
        <f t="shared" si="25"/>
        <v>0</v>
      </c>
      <c r="AK141" s="800">
        <f t="shared" si="22"/>
        <v>89620.52</v>
      </c>
      <c r="AL141" s="800">
        <f t="shared" si="22"/>
        <v>40661.682000000001</v>
      </c>
      <c r="AM141" s="800">
        <f t="shared" si="22"/>
        <v>48958.838000000003</v>
      </c>
      <c r="AN141" s="800">
        <f t="shared" si="22"/>
        <v>3405.509</v>
      </c>
      <c r="AO141" s="192">
        <f t="shared" si="21"/>
        <v>0.45370950759937567</v>
      </c>
      <c r="AP141" s="193">
        <f t="shared" si="23"/>
        <v>144307.50899999999</v>
      </c>
      <c r="AQ141" s="193">
        <f t="shared" si="30"/>
        <v>-128404.50899999999</v>
      </c>
      <c r="AR141" s="805"/>
      <c r="AS141" s="119"/>
      <c r="AT141" s="119"/>
      <c r="AU141" s="120"/>
      <c r="AV141" s="806"/>
      <c r="AW141" s="800">
        <v>89620520</v>
      </c>
      <c r="AX141" s="807">
        <v>40661682</v>
      </c>
      <c r="AY141" s="807">
        <v>48958838</v>
      </c>
      <c r="AZ141" s="807">
        <v>3405509</v>
      </c>
      <c r="BA141" s="196">
        <f t="shared" si="24"/>
        <v>0.45370950759937567</v>
      </c>
      <c r="BB141" s="210"/>
      <c r="BC141" s="115"/>
      <c r="BD141" s="236"/>
    </row>
    <row r="142" spans="1:56" s="808" customFormat="1" ht="14.25" customHeight="1">
      <c r="A142" s="792">
        <v>2024</v>
      </c>
      <c r="B142" s="793" t="str">
        <f>+INDEX('①基本情報 '!C:C,MATCH('③経費情報(2024)'!E142,'①基本情報 '!E:E,0))</f>
        <v>134</v>
      </c>
      <c r="C142" s="794" t="str">
        <f>+INDEX('①基本情報 '!B:B,MATCH('③経費情報(2024)'!E142,'①基本情報 '!E:E,0))</f>
        <v>0361</v>
      </c>
      <c r="D142" s="809" t="s">
        <v>2415</v>
      </c>
      <c r="E142" s="616" t="s">
        <v>950</v>
      </c>
      <c r="F142" s="616" t="str">
        <f>INDEX('①基本情報 '!F:F,MATCH('③経費情報(2024)'!E142,'①基本情報 '!E:E,0))</f>
        <v>教育委員会</v>
      </c>
      <c r="G142" s="797" t="s">
        <v>2620</v>
      </c>
      <c r="H142" s="810">
        <v>10940</v>
      </c>
      <c r="I142" s="800"/>
      <c r="J142" s="807">
        <v>987</v>
      </c>
      <c r="K142" s="801">
        <f t="shared" si="26"/>
        <v>11927</v>
      </c>
      <c r="L142" s="799">
        <v>244</v>
      </c>
      <c r="M142" s="115"/>
      <c r="N142" s="800"/>
      <c r="O142" s="799">
        <v>30</v>
      </c>
      <c r="P142" s="802">
        <v>10</v>
      </c>
      <c r="Q142" s="799">
        <v>9119</v>
      </c>
      <c r="R142" s="799">
        <v>35043</v>
      </c>
      <c r="S142" s="799">
        <f>ROUND(P142*Q142,0)+R142</f>
        <v>126233</v>
      </c>
      <c r="T142" s="800">
        <v>2714</v>
      </c>
      <c r="U142" s="144"/>
      <c r="V142" s="144"/>
      <c r="W142" s="801">
        <f>SUBTOTAL(9,L142:O142,S142:V142)</f>
        <v>129221</v>
      </c>
      <c r="X142" s="852"/>
      <c r="Y142" s="799"/>
      <c r="Z142" s="853"/>
      <c r="AA142" s="799"/>
      <c r="AB142" s="801">
        <f t="shared" si="29"/>
        <v>0</v>
      </c>
      <c r="AC142" s="852"/>
      <c r="AD142" s="799"/>
      <c r="AE142" s="799"/>
      <c r="AF142" s="799"/>
      <c r="AG142" s="799"/>
      <c r="AH142" s="799"/>
      <c r="AI142" s="799"/>
      <c r="AJ142" s="801">
        <f t="shared" si="25"/>
        <v>0</v>
      </c>
      <c r="AK142" s="800">
        <f t="shared" si="22"/>
        <v>55463.754000000001</v>
      </c>
      <c r="AL142" s="800">
        <f t="shared" si="22"/>
        <v>3977.0659999999998</v>
      </c>
      <c r="AM142" s="800">
        <f t="shared" si="22"/>
        <v>51486.688000000002</v>
      </c>
      <c r="AN142" s="800">
        <f t="shared" si="22"/>
        <v>1142.2840000000001</v>
      </c>
      <c r="AO142" s="192">
        <f t="shared" si="21"/>
        <v>7.1705676467553922E-2</v>
      </c>
      <c r="AP142" s="193">
        <f>W142+AN142</f>
        <v>130363.284</v>
      </c>
      <c r="AQ142" s="193">
        <f t="shared" si="30"/>
        <v>-118436.284</v>
      </c>
      <c r="AR142" s="805"/>
      <c r="AS142" s="119"/>
      <c r="AT142" s="119"/>
      <c r="AU142" s="120"/>
      <c r="AV142" s="806" t="s">
        <v>2484</v>
      </c>
      <c r="AW142" s="800">
        <v>55463754</v>
      </c>
      <c r="AX142" s="807">
        <v>3977066</v>
      </c>
      <c r="AY142" s="807">
        <v>51486688</v>
      </c>
      <c r="AZ142" s="807">
        <v>1142284</v>
      </c>
      <c r="BA142" s="196">
        <f t="shared" si="24"/>
        <v>7.1705676467553922E-2</v>
      </c>
      <c r="BB142" s="210"/>
      <c r="BC142" s="115"/>
      <c r="BD142" s="236"/>
    </row>
    <row r="143" spans="1:56" s="808" customFormat="1" ht="14.25" customHeight="1">
      <c r="A143" s="792">
        <v>2024</v>
      </c>
      <c r="B143" s="793" t="str">
        <f>+INDEX('①基本情報 '!C:C,MATCH('③経費情報(2024)'!E143,'①基本情報 '!E:E,0))</f>
        <v>135</v>
      </c>
      <c r="C143" s="794" t="str">
        <f>+INDEX('①基本情報 '!B:B,MATCH('③経費情報(2024)'!E143,'①基本情報 '!E:E,0))</f>
        <v>0377</v>
      </c>
      <c r="D143" s="809" t="s">
        <v>2415</v>
      </c>
      <c r="E143" s="616" t="s">
        <v>862</v>
      </c>
      <c r="F143" s="616" t="str">
        <f>INDEX('①基本情報 '!F:F,MATCH('③経費情報(2024)'!E143,'①基本情報 '!E:E,0))</f>
        <v>教育委員会</v>
      </c>
      <c r="G143" s="797" t="s">
        <v>2620</v>
      </c>
      <c r="H143" s="810">
        <v>14587</v>
      </c>
      <c r="I143" s="800"/>
      <c r="J143" s="807">
        <v>1316</v>
      </c>
      <c r="K143" s="801">
        <f t="shared" si="26"/>
        <v>15903</v>
      </c>
      <c r="L143" s="799">
        <v>244</v>
      </c>
      <c r="M143" s="115"/>
      <c r="N143" s="800"/>
      <c r="O143" s="799">
        <v>30</v>
      </c>
      <c r="P143" s="802">
        <v>11</v>
      </c>
      <c r="Q143" s="799">
        <v>9119</v>
      </c>
      <c r="R143" s="799">
        <v>46724</v>
      </c>
      <c r="S143" s="799">
        <f t="shared" si="27"/>
        <v>147033</v>
      </c>
      <c r="T143" s="800">
        <v>2714</v>
      </c>
      <c r="U143" s="144"/>
      <c r="V143" s="144"/>
      <c r="W143" s="801">
        <f t="shared" si="28"/>
        <v>150021</v>
      </c>
      <c r="X143" s="852"/>
      <c r="Y143" s="799"/>
      <c r="Z143" s="853"/>
      <c r="AA143" s="799"/>
      <c r="AB143" s="801">
        <f t="shared" si="29"/>
        <v>0</v>
      </c>
      <c r="AC143" s="852"/>
      <c r="AD143" s="799"/>
      <c r="AE143" s="799"/>
      <c r="AF143" s="799"/>
      <c r="AG143" s="799"/>
      <c r="AH143" s="799"/>
      <c r="AI143" s="799"/>
      <c r="AJ143" s="801">
        <f t="shared" si="25"/>
        <v>0</v>
      </c>
      <c r="AK143" s="800">
        <f t="shared" si="22"/>
        <v>201752.641</v>
      </c>
      <c r="AL143" s="800">
        <f t="shared" si="22"/>
        <v>0</v>
      </c>
      <c r="AM143" s="800">
        <f t="shared" si="22"/>
        <v>201752.641</v>
      </c>
      <c r="AN143" s="800">
        <f t="shared" si="22"/>
        <v>0</v>
      </c>
      <c r="AO143" s="192">
        <f t="shared" si="21"/>
        <v>0</v>
      </c>
      <c r="AP143" s="193">
        <f t="shared" si="23"/>
        <v>150021</v>
      </c>
      <c r="AQ143" s="193">
        <f t="shared" si="30"/>
        <v>-134118</v>
      </c>
      <c r="AR143" s="805"/>
      <c r="AS143" s="119"/>
      <c r="AT143" s="119"/>
      <c r="AU143" s="120"/>
      <c r="AV143" s="806"/>
      <c r="AW143" s="800">
        <v>201752641</v>
      </c>
      <c r="AX143" s="807">
        <v>0</v>
      </c>
      <c r="AY143" s="807">
        <v>201752641</v>
      </c>
      <c r="AZ143" s="807">
        <v>0</v>
      </c>
      <c r="BA143" s="196">
        <f t="shared" si="24"/>
        <v>0</v>
      </c>
      <c r="BB143" s="210"/>
      <c r="BC143" s="115"/>
      <c r="BD143" s="236"/>
    </row>
    <row r="144" spans="1:56" s="808" customFormat="1" ht="14.25" customHeight="1">
      <c r="A144" s="792">
        <v>2024</v>
      </c>
      <c r="B144" s="793" t="str">
        <f>+INDEX('①基本情報 '!C:C,MATCH('③経費情報(2024)'!E144,'①基本情報 '!E:E,0))</f>
        <v>136</v>
      </c>
      <c r="C144" s="794" t="str">
        <f>+INDEX('①基本情報 '!B:B,MATCH('③経費情報(2024)'!E144,'①基本情報 '!E:E,0))</f>
        <v>0363</v>
      </c>
      <c r="D144" s="809" t="s">
        <v>2415</v>
      </c>
      <c r="E144" s="616" t="s">
        <v>868</v>
      </c>
      <c r="F144" s="616" t="str">
        <f>INDEX('①基本情報 '!F:F,MATCH('③経費情報(2024)'!E144,'①基本情報 '!E:E,0))</f>
        <v>教育委員会</v>
      </c>
      <c r="G144" s="797" t="s">
        <v>2620</v>
      </c>
      <c r="H144" s="810">
        <v>3646</v>
      </c>
      <c r="I144" s="800"/>
      <c r="J144" s="807">
        <v>329</v>
      </c>
      <c r="K144" s="801">
        <f t="shared" si="26"/>
        <v>3975</v>
      </c>
      <c r="L144" s="799">
        <v>244</v>
      </c>
      <c r="M144" s="115"/>
      <c r="N144" s="800"/>
      <c r="O144" s="799">
        <v>30</v>
      </c>
      <c r="P144" s="802">
        <v>2</v>
      </c>
      <c r="Q144" s="799">
        <v>9119</v>
      </c>
      <c r="R144" s="799">
        <v>11681</v>
      </c>
      <c r="S144" s="799">
        <f t="shared" si="27"/>
        <v>29919</v>
      </c>
      <c r="T144" s="800">
        <v>2714</v>
      </c>
      <c r="U144" s="144"/>
      <c r="V144" s="144"/>
      <c r="W144" s="801">
        <f t="shared" si="28"/>
        <v>32907</v>
      </c>
      <c r="X144" s="852"/>
      <c r="Y144" s="799"/>
      <c r="Z144" s="853"/>
      <c r="AA144" s="799"/>
      <c r="AB144" s="801">
        <f t="shared" si="29"/>
        <v>0</v>
      </c>
      <c r="AC144" s="852"/>
      <c r="AD144" s="799"/>
      <c r="AE144" s="799"/>
      <c r="AF144" s="799"/>
      <c r="AG144" s="799"/>
      <c r="AH144" s="799"/>
      <c r="AI144" s="799"/>
      <c r="AJ144" s="801">
        <f t="shared" si="25"/>
        <v>0</v>
      </c>
      <c r="AK144" s="800">
        <f t="shared" si="22"/>
        <v>0</v>
      </c>
      <c r="AL144" s="800">
        <f t="shared" si="22"/>
        <v>0</v>
      </c>
      <c r="AM144" s="800">
        <f t="shared" si="22"/>
        <v>0</v>
      </c>
      <c r="AN144" s="800">
        <f t="shared" si="22"/>
        <v>0</v>
      </c>
      <c r="AO144" s="192" t="str">
        <f t="shared" ref="AO144:AO207" si="31">BA144</f>
        <v>-</v>
      </c>
      <c r="AP144" s="193">
        <f t="shared" si="23"/>
        <v>32907</v>
      </c>
      <c r="AQ144" s="193">
        <f t="shared" si="30"/>
        <v>-28932</v>
      </c>
      <c r="AR144" s="805"/>
      <c r="AS144" s="119"/>
      <c r="AT144" s="119"/>
      <c r="AU144" s="120"/>
      <c r="AV144" s="806"/>
      <c r="AW144" s="800">
        <v>0</v>
      </c>
      <c r="AX144" s="807">
        <v>0</v>
      </c>
      <c r="AY144" s="807">
        <v>0</v>
      </c>
      <c r="AZ144" s="807">
        <v>0</v>
      </c>
      <c r="BA144" s="196" t="s">
        <v>1966</v>
      </c>
      <c r="BB144" s="210"/>
      <c r="BC144" s="115"/>
      <c r="BD144" s="236"/>
    </row>
    <row r="145" spans="1:56" s="808" customFormat="1" ht="14.25" customHeight="1">
      <c r="A145" s="792">
        <v>2024</v>
      </c>
      <c r="B145" s="793" t="str">
        <f>+INDEX('①基本情報 '!C:C,MATCH('③経費情報(2024)'!E145,'①基本情報 '!E:E,0))</f>
        <v>137</v>
      </c>
      <c r="C145" s="794" t="str">
        <f>+INDEX('①基本情報 '!B:B,MATCH('③経費情報(2024)'!E145,'①基本情報 '!E:E,0))</f>
        <v>0364</v>
      </c>
      <c r="D145" s="809" t="s">
        <v>2415</v>
      </c>
      <c r="E145" s="616" t="s">
        <v>875</v>
      </c>
      <c r="F145" s="616" t="str">
        <f>INDEX('①基本情報 '!F:F,MATCH('③経費情報(2024)'!E145,'①基本情報 '!E:E,0))</f>
        <v>教育委員会</v>
      </c>
      <c r="G145" s="797" t="s">
        <v>2620</v>
      </c>
      <c r="H145" s="810">
        <v>7293</v>
      </c>
      <c r="I145" s="800"/>
      <c r="J145" s="807">
        <v>658</v>
      </c>
      <c r="K145" s="801">
        <f t="shared" si="26"/>
        <v>7951</v>
      </c>
      <c r="L145" s="799">
        <v>244</v>
      </c>
      <c r="M145" s="115"/>
      <c r="N145" s="800"/>
      <c r="O145" s="799">
        <v>30</v>
      </c>
      <c r="P145" s="802">
        <v>5</v>
      </c>
      <c r="Q145" s="799">
        <v>9119</v>
      </c>
      <c r="R145" s="799">
        <v>23362</v>
      </c>
      <c r="S145" s="799">
        <f t="shared" si="27"/>
        <v>68957</v>
      </c>
      <c r="T145" s="800">
        <v>2714</v>
      </c>
      <c r="U145" s="144"/>
      <c r="V145" s="144"/>
      <c r="W145" s="801">
        <f t="shared" si="28"/>
        <v>71945</v>
      </c>
      <c r="X145" s="852"/>
      <c r="Y145" s="799"/>
      <c r="Z145" s="853"/>
      <c r="AA145" s="799"/>
      <c r="AB145" s="801">
        <f t="shared" si="29"/>
        <v>0</v>
      </c>
      <c r="AC145" s="852"/>
      <c r="AD145" s="799"/>
      <c r="AE145" s="799"/>
      <c r="AF145" s="799"/>
      <c r="AG145" s="799"/>
      <c r="AH145" s="799"/>
      <c r="AI145" s="799"/>
      <c r="AJ145" s="801">
        <f t="shared" si="25"/>
        <v>0</v>
      </c>
      <c r="AK145" s="800">
        <f t="shared" si="22"/>
        <v>0</v>
      </c>
      <c r="AL145" s="800">
        <f t="shared" si="22"/>
        <v>0</v>
      </c>
      <c r="AM145" s="800">
        <f t="shared" si="22"/>
        <v>0</v>
      </c>
      <c r="AN145" s="800">
        <f t="shared" si="22"/>
        <v>0</v>
      </c>
      <c r="AO145" s="192" t="str">
        <f t="shared" si="31"/>
        <v>-</v>
      </c>
      <c r="AP145" s="193">
        <f t="shared" si="23"/>
        <v>71945</v>
      </c>
      <c r="AQ145" s="193">
        <f t="shared" si="30"/>
        <v>-63994</v>
      </c>
      <c r="AR145" s="805"/>
      <c r="AS145" s="119"/>
      <c r="AT145" s="119"/>
      <c r="AU145" s="120"/>
      <c r="AV145" s="806"/>
      <c r="AW145" s="800">
        <v>0</v>
      </c>
      <c r="AX145" s="807">
        <v>0</v>
      </c>
      <c r="AY145" s="807">
        <v>0</v>
      </c>
      <c r="AZ145" s="807">
        <v>0</v>
      </c>
      <c r="BA145" s="196" t="s">
        <v>1966</v>
      </c>
      <c r="BB145" s="210"/>
      <c r="BC145" s="115"/>
      <c r="BD145" s="236"/>
    </row>
    <row r="146" spans="1:56" s="808" customFormat="1" ht="14.25" customHeight="1">
      <c r="A146" s="792">
        <v>2024</v>
      </c>
      <c r="B146" s="793" t="str">
        <f>+INDEX('①基本情報 '!C:C,MATCH('③経費情報(2024)'!E146,'①基本情報 '!E:E,0))</f>
        <v>138</v>
      </c>
      <c r="C146" s="794" t="str">
        <f>+INDEX('①基本情報 '!B:B,MATCH('③経費情報(2024)'!E146,'①基本情報 '!E:E,0))</f>
        <v>0365</v>
      </c>
      <c r="D146" s="809" t="s">
        <v>2415</v>
      </c>
      <c r="E146" s="616" t="s">
        <v>881</v>
      </c>
      <c r="F146" s="616" t="str">
        <f>INDEX('①基本情報 '!F:F,MATCH('③経費情報(2024)'!E146,'①基本情報 '!E:E,0))</f>
        <v>教育委員会</v>
      </c>
      <c r="G146" s="797" t="s">
        <v>2620</v>
      </c>
      <c r="H146" s="810">
        <v>7293</v>
      </c>
      <c r="I146" s="800"/>
      <c r="J146" s="807">
        <v>658</v>
      </c>
      <c r="K146" s="801">
        <f t="shared" si="26"/>
        <v>7951</v>
      </c>
      <c r="L146" s="799">
        <v>244</v>
      </c>
      <c r="M146" s="115"/>
      <c r="N146" s="800"/>
      <c r="O146" s="799">
        <v>30</v>
      </c>
      <c r="P146" s="802">
        <v>5</v>
      </c>
      <c r="Q146" s="799">
        <v>9119</v>
      </c>
      <c r="R146" s="799">
        <v>23362</v>
      </c>
      <c r="S146" s="799">
        <f t="shared" si="27"/>
        <v>68957</v>
      </c>
      <c r="T146" s="800">
        <v>2714</v>
      </c>
      <c r="U146" s="144"/>
      <c r="V146" s="144"/>
      <c r="W146" s="801">
        <f t="shared" si="28"/>
        <v>71945</v>
      </c>
      <c r="X146" s="852"/>
      <c r="Y146" s="799"/>
      <c r="Z146" s="853"/>
      <c r="AA146" s="799"/>
      <c r="AB146" s="801">
        <f t="shared" si="29"/>
        <v>0</v>
      </c>
      <c r="AC146" s="852"/>
      <c r="AD146" s="799"/>
      <c r="AE146" s="799"/>
      <c r="AF146" s="799"/>
      <c r="AG146" s="799"/>
      <c r="AH146" s="799"/>
      <c r="AI146" s="799"/>
      <c r="AJ146" s="801">
        <f t="shared" si="25"/>
        <v>0</v>
      </c>
      <c r="AK146" s="800">
        <f t="shared" si="22"/>
        <v>0</v>
      </c>
      <c r="AL146" s="800">
        <f t="shared" si="22"/>
        <v>0</v>
      </c>
      <c r="AM146" s="800">
        <f t="shared" si="22"/>
        <v>0</v>
      </c>
      <c r="AN146" s="800">
        <f t="shared" si="22"/>
        <v>0</v>
      </c>
      <c r="AO146" s="192" t="str">
        <f t="shared" si="31"/>
        <v>-</v>
      </c>
      <c r="AP146" s="193">
        <f t="shared" si="23"/>
        <v>71945</v>
      </c>
      <c r="AQ146" s="193">
        <f t="shared" si="30"/>
        <v>-63994</v>
      </c>
      <c r="AR146" s="805"/>
      <c r="AS146" s="119"/>
      <c r="AT146" s="119"/>
      <c r="AU146" s="120"/>
      <c r="AV146" s="806"/>
      <c r="AW146" s="800">
        <v>0</v>
      </c>
      <c r="AX146" s="807">
        <v>0</v>
      </c>
      <c r="AY146" s="807">
        <v>0</v>
      </c>
      <c r="AZ146" s="807">
        <v>0</v>
      </c>
      <c r="BA146" s="196" t="s">
        <v>1966</v>
      </c>
      <c r="BB146" s="210"/>
      <c r="BC146" s="115"/>
      <c r="BD146" s="236"/>
    </row>
    <row r="147" spans="1:56" s="808" customFormat="1" ht="14.25" customHeight="1">
      <c r="A147" s="792">
        <v>2024</v>
      </c>
      <c r="B147" s="793" t="str">
        <f>+INDEX('①基本情報 '!C:C,MATCH('③経費情報(2024)'!E147,'①基本情報 '!E:E,0))</f>
        <v>139</v>
      </c>
      <c r="C147" s="794" t="str">
        <f>+INDEX('①基本情報 '!B:B,MATCH('③経費情報(2024)'!E147,'①基本情報 '!E:E,0))</f>
        <v>0366</v>
      </c>
      <c r="D147" s="809" t="s">
        <v>2415</v>
      </c>
      <c r="E147" s="616" t="s">
        <v>887</v>
      </c>
      <c r="F147" s="616" t="str">
        <f>INDEX('①基本情報 '!F:F,MATCH('③経費情報(2024)'!E147,'①基本情報 '!E:E,0))</f>
        <v>教育委員会</v>
      </c>
      <c r="G147" s="797" t="s">
        <v>2620</v>
      </c>
      <c r="H147" s="810">
        <v>7293</v>
      </c>
      <c r="I147" s="800"/>
      <c r="J147" s="807">
        <v>658</v>
      </c>
      <c r="K147" s="801">
        <f t="shared" si="26"/>
        <v>7951</v>
      </c>
      <c r="L147" s="799">
        <v>244</v>
      </c>
      <c r="M147" s="115"/>
      <c r="N147" s="800"/>
      <c r="O147" s="799">
        <v>30</v>
      </c>
      <c r="P147" s="802">
        <v>4</v>
      </c>
      <c r="Q147" s="799">
        <v>9119</v>
      </c>
      <c r="R147" s="799">
        <v>23362</v>
      </c>
      <c r="S147" s="799">
        <f t="shared" si="27"/>
        <v>59838</v>
      </c>
      <c r="T147" s="800">
        <v>2714</v>
      </c>
      <c r="U147" s="144"/>
      <c r="V147" s="144"/>
      <c r="W147" s="801">
        <f t="shared" si="28"/>
        <v>62826</v>
      </c>
      <c r="X147" s="852"/>
      <c r="Y147" s="799"/>
      <c r="Z147" s="853"/>
      <c r="AA147" s="799"/>
      <c r="AB147" s="801">
        <f t="shared" si="29"/>
        <v>0</v>
      </c>
      <c r="AC147" s="852"/>
      <c r="AD147" s="799"/>
      <c r="AE147" s="799"/>
      <c r="AF147" s="799"/>
      <c r="AG147" s="799"/>
      <c r="AH147" s="799"/>
      <c r="AI147" s="799"/>
      <c r="AJ147" s="801">
        <f t="shared" si="25"/>
        <v>0</v>
      </c>
      <c r="AK147" s="800">
        <f t="shared" si="22"/>
        <v>0</v>
      </c>
      <c r="AL147" s="800">
        <f t="shared" si="22"/>
        <v>0</v>
      </c>
      <c r="AM147" s="800">
        <f t="shared" si="22"/>
        <v>0</v>
      </c>
      <c r="AN147" s="800">
        <f t="shared" si="22"/>
        <v>0</v>
      </c>
      <c r="AO147" s="192" t="str">
        <f t="shared" si="31"/>
        <v>-</v>
      </c>
      <c r="AP147" s="193">
        <f t="shared" si="23"/>
        <v>62826</v>
      </c>
      <c r="AQ147" s="193">
        <f t="shared" si="30"/>
        <v>-54875</v>
      </c>
      <c r="AR147" s="805"/>
      <c r="AS147" s="119"/>
      <c r="AT147" s="119"/>
      <c r="AU147" s="120"/>
      <c r="AV147" s="806"/>
      <c r="AW147" s="800">
        <v>0</v>
      </c>
      <c r="AX147" s="807">
        <v>0</v>
      </c>
      <c r="AY147" s="807">
        <v>0</v>
      </c>
      <c r="AZ147" s="807">
        <v>0</v>
      </c>
      <c r="BA147" s="196" t="s">
        <v>1966</v>
      </c>
      <c r="BB147" s="210"/>
      <c r="BC147" s="115"/>
      <c r="BD147" s="236"/>
    </row>
    <row r="148" spans="1:56" s="808" customFormat="1" ht="14.25" customHeight="1">
      <c r="A148" s="792">
        <v>2024</v>
      </c>
      <c r="B148" s="793" t="str">
        <f>+INDEX('①基本情報 '!C:C,MATCH('③経費情報(2024)'!E148,'①基本情報 '!E:E,0))</f>
        <v>140</v>
      </c>
      <c r="C148" s="794" t="str">
        <f>+INDEX('①基本情報 '!B:B,MATCH('③経費情報(2024)'!E148,'①基本情報 '!E:E,0))</f>
        <v>0367</v>
      </c>
      <c r="D148" s="809" t="s">
        <v>2415</v>
      </c>
      <c r="E148" s="616" t="s">
        <v>894</v>
      </c>
      <c r="F148" s="616" t="str">
        <f>INDEX('①基本情報 '!F:F,MATCH('③経費情報(2024)'!E148,'①基本情報 '!E:E,0))</f>
        <v>教育委員会</v>
      </c>
      <c r="G148" s="797" t="s">
        <v>2620</v>
      </c>
      <c r="H148" s="810">
        <v>10940</v>
      </c>
      <c r="I148" s="800"/>
      <c r="J148" s="807">
        <v>987</v>
      </c>
      <c r="K148" s="801">
        <f t="shared" si="26"/>
        <v>11927</v>
      </c>
      <c r="L148" s="799">
        <v>244</v>
      </c>
      <c r="M148" s="799"/>
      <c r="N148" s="800"/>
      <c r="O148" s="799">
        <v>30</v>
      </c>
      <c r="P148" s="802">
        <v>7</v>
      </c>
      <c r="Q148" s="799">
        <v>9119</v>
      </c>
      <c r="R148" s="799">
        <v>35043</v>
      </c>
      <c r="S148" s="799">
        <f t="shared" si="27"/>
        <v>98876</v>
      </c>
      <c r="T148" s="800">
        <v>2714</v>
      </c>
      <c r="U148" s="144"/>
      <c r="V148" s="144"/>
      <c r="W148" s="801">
        <f t="shared" si="28"/>
        <v>101864</v>
      </c>
      <c r="X148" s="852"/>
      <c r="Y148" s="799"/>
      <c r="Z148" s="853"/>
      <c r="AA148" s="799"/>
      <c r="AB148" s="801">
        <f t="shared" si="29"/>
        <v>0</v>
      </c>
      <c r="AC148" s="852"/>
      <c r="AD148" s="799"/>
      <c r="AE148" s="799"/>
      <c r="AF148" s="799"/>
      <c r="AG148" s="799"/>
      <c r="AH148" s="799"/>
      <c r="AI148" s="799"/>
      <c r="AJ148" s="801">
        <f t="shared" si="25"/>
        <v>0</v>
      </c>
      <c r="AK148" s="800">
        <f t="shared" si="22"/>
        <v>21835.02</v>
      </c>
      <c r="AL148" s="800">
        <f t="shared" si="22"/>
        <v>14419.688</v>
      </c>
      <c r="AM148" s="800">
        <f t="shared" si="22"/>
        <v>7415.3320000000003</v>
      </c>
      <c r="AN148" s="800">
        <f t="shared" si="22"/>
        <v>815.36199999999997</v>
      </c>
      <c r="AO148" s="192">
        <f t="shared" si="31"/>
        <v>0.66039270859380939</v>
      </c>
      <c r="AP148" s="193">
        <f t="shared" si="23"/>
        <v>102679.36199999999</v>
      </c>
      <c r="AQ148" s="193">
        <f t="shared" si="30"/>
        <v>-90752.361999999994</v>
      </c>
      <c r="AR148" s="805"/>
      <c r="AS148" s="119"/>
      <c r="AT148" s="119"/>
      <c r="AU148" s="120"/>
      <c r="AV148" s="806"/>
      <c r="AW148" s="800">
        <v>21835020</v>
      </c>
      <c r="AX148" s="807">
        <v>14419688</v>
      </c>
      <c r="AY148" s="807">
        <v>7415332</v>
      </c>
      <c r="AZ148" s="807">
        <v>815362</v>
      </c>
      <c r="BA148" s="196">
        <f>AX148/AW148</f>
        <v>0.66039270859380939</v>
      </c>
      <c r="BB148" s="210"/>
      <c r="BC148" s="115"/>
      <c r="BD148" s="236"/>
    </row>
    <row r="149" spans="1:56" s="808" customFormat="1" ht="14.25" customHeight="1">
      <c r="A149" s="792">
        <v>2024</v>
      </c>
      <c r="B149" s="793" t="str">
        <f>+INDEX('①基本情報 '!C:C,MATCH('③経費情報(2024)'!E149,'①基本情報 '!E:E,0))</f>
        <v>141</v>
      </c>
      <c r="C149" s="794" t="str">
        <f>+INDEX('①基本情報 '!B:B,MATCH('③経費情報(2024)'!E149,'①基本情報 '!E:E,0))</f>
        <v>0368</v>
      </c>
      <c r="D149" s="809" t="s">
        <v>2415</v>
      </c>
      <c r="E149" s="616" t="s">
        <v>899</v>
      </c>
      <c r="F149" s="616" t="str">
        <f>INDEX('①基本情報 '!F:F,MATCH('③経費情報(2024)'!E149,'①基本情報 '!E:E,0))</f>
        <v>教育委員会</v>
      </c>
      <c r="G149" s="797" t="s">
        <v>2620</v>
      </c>
      <c r="H149" s="810">
        <v>7293</v>
      </c>
      <c r="I149" s="800"/>
      <c r="J149" s="807">
        <v>658</v>
      </c>
      <c r="K149" s="801">
        <f t="shared" si="26"/>
        <v>7951</v>
      </c>
      <c r="L149" s="799">
        <v>244</v>
      </c>
      <c r="M149" s="799"/>
      <c r="N149" s="800"/>
      <c r="O149" s="799">
        <v>30</v>
      </c>
      <c r="P149" s="802">
        <v>4</v>
      </c>
      <c r="Q149" s="799">
        <v>9119</v>
      </c>
      <c r="R149" s="799">
        <v>23362</v>
      </c>
      <c r="S149" s="799">
        <f t="shared" si="27"/>
        <v>59838</v>
      </c>
      <c r="T149" s="800">
        <v>2714</v>
      </c>
      <c r="U149" s="144"/>
      <c r="V149" s="144"/>
      <c r="W149" s="801">
        <f t="shared" si="28"/>
        <v>62826</v>
      </c>
      <c r="X149" s="852"/>
      <c r="Y149" s="799"/>
      <c r="Z149" s="853"/>
      <c r="AA149" s="799"/>
      <c r="AB149" s="801">
        <f t="shared" si="29"/>
        <v>0</v>
      </c>
      <c r="AC149" s="852"/>
      <c r="AD149" s="799"/>
      <c r="AE149" s="799"/>
      <c r="AF149" s="799"/>
      <c r="AG149" s="799"/>
      <c r="AH149" s="799"/>
      <c r="AI149" s="799"/>
      <c r="AJ149" s="801">
        <f t="shared" si="25"/>
        <v>0</v>
      </c>
      <c r="AK149" s="800">
        <f t="shared" ref="AK149:AN210" si="32">AW149/1000</f>
        <v>31920</v>
      </c>
      <c r="AL149" s="800">
        <f t="shared" si="32"/>
        <v>18194.400000000001</v>
      </c>
      <c r="AM149" s="800">
        <f t="shared" si="32"/>
        <v>13725.6</v>
      </c>
      <c r="AN149" s="800">
        <f t="shared" si="32"/>
        <v>1212.96</v>
      </c>
      <c r="AO149" s="192">
        <f t="shared" si="31"/>
        <v>0.56999999999999995</v>
      </c>
      <c r="AP149" s="193">
        <f t="shared" si="23"/>
        <v>64038.96</v>
      </c>
      <c r="AQ149" s="193">
        <f t="shared" si="30"/>
        <v>-56087.96</v>
      </c>
      <c r="AR149" s="805"/>
      <c r="AS149" s="119"/>
      <c r="AT149" s="119"/>
      <c r="AU149" s="120"/>
      <c r="AV149" s="806"/>
      <c r="AW149" s="800">
        <v>31920000</v>
      </c>
      <c r="AX149" s="807">
        <v>18194400</v>
      </c>
      <c r="AY149" s="807">
        <v>13725600</v>
      </c>
      <c r="AZ149" s="807">
        <v>1212960</v>
      </c>
      <c r="BA149" s="196">
        <f>AX149/AW149</f>
        <v>0.56999999999999995</v>
      </c>
      <c r="BB149" s="210"/>
      <c r="BC149" s="115"/>
      <c r="BD149" s="236"/>
    </row>
    <row r="150" spans="1:56" s="808" customFormat="1" ht="14.25" customHeight="1">
      <c r="A150" s="792">
        <v>2024</v>
      </c>
      <c r="B150" s="793" t="str">
        <f>+INDEX('①基本情報 '!C:C,MATCH('③経費情報(2024)'!E150,'①基本情報 '!E:E,0))</f>
        <v>142</v>
      </c>
      <c r="C150" s="794" t="str">
        <f>+INDEX('①基本情報 '!B:B,MATCH('③経費情報(2024)'!E150,'①基本情報 '!E:E,0))</f>
        <v>0369</v>
      </c>
      <c r="D150" s="809" t="s">
        <v>2415</v>
      </c>
      <c r="E150" s="616" t="s">
        <v>904</v>
      </c>
      <c r="F150" s="616" t="str">
        <f>INDEX('①基本情報 '!F:F,MATCH('③経費情報(2024)'!E150,'①基本情報 '!E:E,0))</f>
        <v>教育委員会</v>
      </c>
      <c r="G150" s="797" t="s">
        <v>2620</v>
      </c>
      <c r="H150" s="810">
        <v>10940</v>
      </c>
      <c r="I150" s="800"/>
      <c r="J150" s="807">
        <v>987</v>
      </c>
      <c r="K150" s="801">
        <f t="shared" si="26"/>
        <v>11927</v>
      </c>
      <c r="L150" s="799">
        <v>244</v>
      </c>
      <c r="M150" s="115"/>
      <c r="N150" s="800"/>
      <c r="O150" s="800">
        <v>30</v>
      </c>
      <c r="P150" s="802">
        <v>7</v>
      </c>
      <c r="Q150" s="799">
        <v>9119</v>
      </c>
      <c r="R150" s="799">
        <v>35043</v>
      </c>
      <c r="S150" s="799">
        <f t="shared" si="27"/>
        <v>98876</v>
      </c>
      <c r="T150" s="800">
        <v>2714</v>
      </c>
      <c r="U150" s="144"/>
      <c r="V150" s="144"/>
      <c r="W150" s="801">
        <f t="shared" si="28"/>
        <v>101864</v>
      </c>
      <c r="X150" s="852"/>
      <c r="Y150" s="799"/>
      <c r="Z150" s="853"/>
      <c r="AA150" s="799"/>
      <c r="AB150" s="801">
        <f t="shared" si="29"/>
        <v>0</v>
      </c>
      <c r="AC150" s="852"/>
      <c r="AD150" s="799"/>
      <c r="AE150" s="799"/>
      <c r="AF150" s="799"/>
      <c r="AG150" s="799"/>
      <c r="AH150" s="799"/>
      <c r="AI150" s="799"/>
      <c r="AJ150" s="801">
        <f t="shared" si="25"/>
        <v>0</v>
      </c>
      <c r="AK150" s="800">
        <f t="shared" si="32"/>
        <v>22912.998</v>
      </c>
      <c r="AL150" s="800">
        <f t="shared" si="32"/>
        <v>14423.662</v>
      </c>
      <c r="AM150" s="800">
        <f t="shared" si="32"/>
        <v>8489.3359999999993</v>
      </c>
      <c r="AN150" s="800">
        <f t="shared" si="32"/>
        <v>907.75599999999997</v>
      </c>
      <c r="AO150" s="192">
        <f t="shared" si="31"/>
        <v>0.62949693444742583</v>
      </c>
      <c r="AP150" s="193">
        <f t="shared" ref="AP150:AP213" si="33">W150+AN150</f>
        <v>102771.75599999999</v>
      </c>
      <c r="AQ150" s="193">
        <f t="shared" si="30"/>
        <v>-90844.755999999994</v>
      </c>
      <c r="AR150" s="805"/>
      <c r="AS150" s="119"/>
      <c r="AT150" s="119"/>
      <c r="AU150" s="120"/>
      <c r="AV150" s="806"/>
      <c r="AW150" s="800">
        <v>22912998</v>
      </c>
      <c r="AX150" s="807">
        <v>14423662</v>
      </c>
      <c r="AY150" s="807">
        <v>8489336</v>
      </c>
      <c r="AZ150" s="807">
        <v>907756</v>
      </c>
      <c r="BA150" s="196">
        <f>AX150/AW150</f>
        <v>0.62949693444742583</v>
      </c>
      <c r="BB150" s="210"/>
      <c r="BC150" s="115"/>
      <c r="BD150" s="236"/>
    </row>
    <row r="151" spans="1:56" s="808" customFormat="1" ht="14.25" customHeight="1">
      <c r="A151" s="792">
        <v>2024</v>
      </c>
      <c r="B151" s="793" t="str">
        <f>+INDEX('①基本情報 '!C:C,MATCH('③経費情報(2024)'!E151,'①基本情報 '!E:E,0))</f>
        <v>143</v>
      </c>
      <c r="C151" s="794" t="str">
        <f>+INDEX('①基本情報 '!B:B,MATCH('③経費情報(2024)'!E151,'①基本情報 '!E:E,0))</f>
        <v>0370</v>
      </c>
      <c r="D151" s="809" t="s">
        <v>2415</v>
      </c>
      <c r="E151" s="616" t="s">
        <v>909</v>
      </c>
      <c r="F151" s="616" t="str">
        <f>INDEX('①基本情報 '!F:F,MATCH('③経費情報(2024)'!E151,'①基本情報 '!E:E,0))</f>
        <v>教育委員会</v>
      </c>
      <c r="G151" s="797" t="s">
        <v>2620</v>
      </c>
      <c r="H151" s="810">
        <v>3646</v>
      </c>
      <c r="I151" s="800"/>
      <c r="J151" s="807">
        <v>329</v>
      </c>
      <c r="K151" s="801">
        <f t="shared" si="26"/>
        <v>3975</v>
      </c>
      <c r="L151" s="799">
        <v>244</v>
      </c>
      <c r="M151" s="115"/>
      <c r="N151" s="800"/>
      <c r="O151" s="800">
        <v>30</v>
      </c>
      <c r="P151" s="802">
        <v>2</v>
      </c>
      <c r="Q151" s="799">
        <v>9119</v>
      </c>
      <c r="R151" s="799">
        <v>11681</v>
      </c>
      <c r="S151" s="799">
        <f t="shared" si="27"/>
        <v>29919</v>
      </c>
      <c r="T151" s="800">
        <v>2714</v>
      </c>
      <c r="U151" s="144"/>
      <c r="V151" s="144"/>
      <c r="W151" s="801">
        <f t="shared" si="28"/>
        <v>32907</v>
      </c>
      <c r="X151" s="852"/>
      <c r="Y151" s="799"/>
      <c r="Z151" s="853"/>
      <c r="AA151" s="799"/>
      <c r="AB151" s="801">
        <f t="shared" si="29"/>
        <v>0</v>
      </c>
      <c r="AC151" s="852"/>
      <c r="AD151" s="799"/>
      <c r="AE151" s="799"/>
      <c r="AF151" s="799"/>
      <c r="AG151" s="799"/>
      <c r="AH151" s="799"/>
      <c r="AI151" s="799"/>
      <c r="AJ151" s="801">
        <f t="shared" si="25"/>
        <v>0</v>
      </c>
      <c r="AK151" s="800">
        <f t="shared" si="32"/>
        <v>0</v>
      </c>
      <c r="AL151" s="800">
        <f t="shared" si="32"/>
        <v>0</v>
      </c>
      <c r="AM151" s="800">
        <f t="shared" si="32"/>
        <v>0</v>
      </c>
      <c r="AN151" s="800">
        <f t="shared" si="32"/>
        <v>0</v>
      </c>
      <c r="AO151" s="192" t="str">
        <f t="shared" si="31"/>
        <v>-</v>
      </c>
      <c r="AP151" s="193">
        <f t="shared" si="33"/>
        <v>32907</v>
      </c>
      <c r="AQ151" s="193">
        <f t="shared" si="30"/>
        <v>-28932</v>
      </c>
      <c r="AR151" s="805"/>
      <c r="AS151" s="119"/>
      <c r="AT151" s="119"/>
      <c r="AU151" s="120"/>
      <c r="AV151" s="806"/>
      <c r="AW151" s="800">
        <v>0</v>
      </c>
      <c r="AX151" s="807">
        <v>0</v>
      </c>
      <c r="AY151" s="807">
        <v>0</v>
      </c>
      <c r="AZ151" s="807">
        <v>0</v>
      </c>
      <c r="BA151" s="196" t="s">
        <v>1966</v>
      </c>
      <c r="BB151" s="210"/>
      <c r="BC151" s="115"/>
      <c r="BD151" s="236"/>
    </row>
    <row r="152" spans="1:56" s="808" customFormat="1" ht="14.25" customHeight="1">
      <c r="A152" s="792">
        <v>2024</v>
      </c>
      <c r="B152" s="793" t="str">
        <f>+INDEX('①基本情報 '!C:C,MATCH('③経費情報(2024)'!E152,'①基本情報 '!E:E,0))</f>
        <v>144</v>
      </c>
      <c r="C152" s="794" t="str">
        <f>+INDEX('①基本情報 '!B:B,MATCH('③経費情報(2024)'!E152,'①基本情報 '!E:E,0))</f>
        <v>0371</v>
      </c>
      <c r="D152" s="809" t="s">
        <v>2415</v>
      </c>
      <c r="E152" s="616" t="s">
        <v>914</v>
      </c>
      <c r="F152" s="616" t="str">
        <f>INDEX('①基本情報 '!F:F,MATCH('③経費情報(2024)'!E152,'①基本情報 '!E:E,0))</f>
        <v>教育委員会</v>
      </c>
      <c r="G152" s="797" t="s">
        <v>2620</v>
      </c>
      <c r="H152" s="810">
        <v>7293</v>
      </c>
      <c r="I152" s="800"/>
      <c r="J152" s="807">
        <v>658</v>
      </c>
      <c r="K152" s="801">
        <f t="shared" si="26"/>
        <v>7951</v>
      </c>
      <c r="L152" s="799">
        <v>244</v>
      </c>
      <c r="M152" s="115"/>
      <c r="N152" s="800"/>
      <c r="O152" s="800">
        <v>30</v>
      </c>
      <c r="P152" s="802">
        <v>6</v>
      </c>
      <c r="Q152" s="799">
        <v>9119</v>
      </c>
      <c r="R152" s="799">
        <v>23362</v>
      </c>
      <c r="S152" s="799">
        <f t="shared" si="27"/>
        <v>78076</v>
      </c>
      <c r="T152" s="800">
        <v>2714</v>
      </c>
      <c r="U152" s="144"/>
      <c r="V152" s="144"/>
      <c r="W152" s="801">
        <f t="shared" si="28"/>
        <v>81064</v>
      </c>
      <c r="X152" s="852"/>
      <c r="Y152" s="799"/>
      <c r="Z152" s="853"/>
      <c r="AA152" s="799"/>
      <c r="AB152" s="801">
        <f t="shared" si="29"/>
        <v>0</v>
      </c>
      <c r="AC152" s="852"/>
      <c r="AD152" s="799"/>
      <c r="AE152" s="799"/>
      <c r="AF152" s="799"/>
      <c r="AG152" s="799"/>
      <c r="AH152" s="799"/>
      <c r="AI152" s="799"/>
      <c r="AJ152" s="801">
        <f t="shared" si="25"/>
        <v>0</v>
      </c>
      <c r="AK152" s="800">
        <f t="shared" si="32"/>
        <v>0</v>
      </c>
      <c r="AL152" s="800">
        <f t="shared" si="32"/>
        <v>0</v>
      </c>
      <c r="AM152" s="800">
        <f t="shared" si="32"/>
        <v>0</v>
      </c>
      <c r="AN152" s="800">
        <f t="shared" si="32"/>
        <v>0</v>
      </c>
      <c r="AO152" s="192" t="str">
        <f t="shared" si="31"/>
        <v>-</v>
      </c>
      <c r="AP152" s="193">
        <f t="shared" si="33"/>
        <v>81064</v>
      </c>
      <c r="AQ152" s="193">
        <f t="shared" si="30"/>
        <v>-73113</v>
      </c>
      <c r="AR152" s="805"/>
      <c r="AS152" s="119"/>
      <c r="AT152" s="119"/>
      <c r="AU152" s="120"/>
      <c r="AV152" s="806"/>
      <c r="AW152" s="800">
        <v>0</v>
      </c>
      <c r="AX152" s="807">
        <v>0</v>
      </c>
      <c r="AY152" s="807">
        <v>0</v>
      </c>
      <c r="AZ152" s="807">
        <v>0</v>
      </c>
      <c r="BA152" s="196" t="s">
        <v>1966</v>
      </c>
      <c r="BB152" s="210"/>
      <c r="BC152" s="115"/>
      <c r="BD152" s="236"/>
    </row>
    <row r="153" spans="1:56" s="808" customFormat="1" ht="14.25" customHeight="1">
      <c r="A153" s="792">
        <v>2024</v>
      </c>
      <c r="B153" s="793" t="str">
        <f>+INDEX('①基本情報 '!C:C,MATCH('③経費情報(2024)'!E153,'①基本情報 '!E:E,0))</f>
        <v>145</v>
      </c>
      <c r="C153" s="794" t="str">
        <f>+INDEX('①基本情報 '!B:B,MATCH('③経費情報(2024)'!E153,'①基本情報 '!E:E,0))</f>
        <v>0372</v>
      </c>
      <c r="D153" s="809" t="s">
        <v>2415</v>
      </c>
      <c r="E153" s="616" t="s">
        <v>919</v>
      </c>
      <c r="F153" s="616" t="str">
        <f>INDEX('①基本情報 '!F:F,MATCH('③経費情報(2024)'!E153,'①基本情報 '!E:E,0))</f>
        <v>教育委員会</v>
      </c>
      <c r="G153" s="797" t="s">
        <v>2620</v>
      </c>
      <c r="H153" s="810">
        <v>7293</v>
      </c>
      <c r="I153" s="800"/>
      <c r="J153" s="807">
        <v>658</v>
      </c>
      <c r="K153" s="801">
        <f t="shared" si="26"/>
        <v>7951</v>
      </c>
      <c r="L153" s="799">
        <v>244</v>
      </c>
      <c r="M153" s="115"/>
      <c r="N153" s="800"/>
      <c r="O153" s="800">
        <v>700</v>
      </c>
      <c r="P153" s="802">
        <v>4</v>
      </c>
      <c r="Q153" s="799">
        <v>9119</v>
      </c>
      <c r="R153" s="799">
        <v>23362</v>
      </c>
      <c r="S153" s="799">
        <f t="shared" si="27"/>
        <v>59838</v>
      </c>
      <c r="T153" s="800">
        <v>2714</v>
      </c>
      <c r="U153" s="144"/>
      <c r="V153" s="144"/>
      <c r="W153" s="801">
        <f t="shared" si="28"/>
        <v>63496</v>
      </c>
      <c r="X153" s="852"/>
      <c r="Y153" s="799"/>
      <c r="Z153" s="853"/>
      <c r="AA153" s="799"/>
      <c r="AB153" s="801">
        <f t="shared" si="29"/>
        <v>0</v>
      </c>
      <c r="AC153" s="852"/>
      <c r="AD153" s="799"/>
      <c r="AE153" s="799"/>
      <c r="AF153" s="799"/>
      <c r="AG153" s="799"/>
      <c r="AH153" s="799"/>
      <c r="AI153" s="799"/>
      <c r="AJ153" s="801">
        <f t="shared" si="25"/>
        <v>0</v>
      </c>
      <c r="AK153" s="800">
        <f t="shared" si="32"/>
        <v>0</v>
      </c>
      <c r="AL153" s="800">
        <f t="shared" si="32"/>
        <v>0</v>
      </c>
      <c r="AM153" s="800">
        <f t="shared" si="32"/>
        <v>0</v>
      </c>
      <c r="AN153" s="800">
        <f t="shared" si="32"/>
        <v>0</v>
      </c>
      <c r="AO153" s="192" t="str">
        <f t="shared" si="31"/>
        <v>-</v>
      </c>
      <c r="AP153" s="193">
        <f t="shared" si="33"/>
        <v>63496</v>
      </c>
      <c r="AQ153" s="193">
        <f t="shared" si="30"/>
        <v>-55545</v>
      </c>
      <c r="AR153" s="805"/>
      <c r="AS153" s="119"/>
      <c r="AT153" s="119"/>
      <c r="AU153" s="120"/>
      <c r="AV153" s="806"/>
      <c r="AW153" s="800">
        <v>0</v>
      </c>
      <c r="AX153" s="807">
        <v>0</v>
      </c>
      <c r="AY153" s="807">
        <v>0</v>
      </c>
      <c r="AZ153" s="807">
        <v>0</v>
      </c>
      <c r="BA153" s="196" t="s">
        <v>1966</v>
      </c>
      <c r="BB153" s="210"/>
      <c r="BC153" s="115"/>
      <c r="BD153" s="236"/>
    </row>
    <row r="154" spans="1:56" s="808" customFormat="1" ht="14.25" customHeight="1">
      <c r="A154" s="792">
        <v>2024</v>
      </c>
      <c r="B154" s="793" t="str">
        <f>+INDEX('①基本情報 '!C:C,MATCH('③経費情報(2024)'!E154,'①基本情報 '!E:E,0))</f>
        <v>146</v>
      </c>
      <c r="C154" s="794" t="str">
        <f>+INDEX('①基本情報 '!B:B,MATCH('③経費情報(2024)'!E154,'①基本情報 '!E:E,0))</f>
        <v>0373</v>
      </c>
      <c r="D154" s="809" t="s">
        <v>2415</v>
      </c>
      <c r="E154" s="616" t="s">
        <v>924</v>
      </c>
      <c r="F154" s="616" t="str">
        <f>INDEX('①基本情報 '!F:F,MATCH('③経費情報(2024)'!E154,'①基本情報 '!E:E,0))</f>
        <v>教育委員会</v>
      </c>
      <c r="G154" s="797" t="s">
        <v>2620</v>
      </c>
      <c r="H154" s="810">
        <v>3646</v>
      </c>
      <c r="I154" s="800"/>
      <c r="J154" s="807">
        <v>329</v>
      </c>
      <c r="K154" s="801">
        <f t="shared" si="26"/>
        <v>3975</v>
      </c>
      <c r="L154" s="799">
        <v>244</v>
      </c>
      <c r="M154" s="115"/>
      <c r="N154" s="800"/>
      <c r="O154" s="800">
        <v>30</v>
      </c>
      <c r="P154" s="802">
        <v>3</v>
      </c>
      <c r="Q154" s="799">
        <v>9119</v>
      </c>
      <c r="R154" s="799">
        <v>11681</v>
      </c>
      <c r="S154" s="799">
        <f t="shared" si="27"/>
        <v>39038</v>
      </c>
      <c r="T154" s="800">
        <v>2714</v>
      </c>
      <c r="U154" s="144"/>
      <c r="V154" s="144"/>
      <c r="W154" s="801">
        <f t="shared" si="28"/>
        <v>42026</v>
      </c>
      <c r="X154" s="852"/>
      <c r="Y154" s="799"/>
      <c r="Z154" s="853"/>
      <c r="AA154" s="799"/>
      <c r="AB154" s="801">
        <f t="shared" si="29"/>
        <v>0</v>
      </c>
      <c r="AC154" s="852"/>
      <c r="AD154" s="799"/>
      <c r="AE154" s="799"/>
      <c r="AF154" s="799"/>
      <c r="AG154" s="799"/>
      <c r="AH154" s="799"/>
      <c r="AI154" s="799"/>
      <c r="AJ154" s="801">
        <f t="shared" si="25"/>
        <v>0</v>
      </c>
      <c r="AK154" s="800">
        <f t="shared" si="32"/>
        <v>503.25400000000002</v>
      </c>
      <c r="AL154" s="800">
        <f t="shared" si="32"/>
        <v>236.02600000000001</v>
      </c>
      <c r="AM154" s="800">
        <f t="shared" si="32"/>
        <v>267.22800000000001</v>
      </c>
      <c r="AN154" s="800">
        <f t="shared" si="32"/>
        <v>33.718000000000004</v>
      </c>
      <c r="AO154" s="192">
        <f t="shared" si="31"/>
        <v>0.46899974962941177</v>
      </c>
      <c r="AP154" s="193">
        <f t="shared" si="33"/>
        <v>42059.718000000001</v>
      </c>
      <c r="AQ154" s="193">
        <f t="shared" si="30"/>
        <v>-38084.718000000001</v>
      </c>
      <c r="AR154" s="805"/>
      <c r="AS154" s="119"/>
      <c r="AT154" s="119"/>
      <c r="AU154" s="120"/>
      <c r="AV154" s="806"/>
      <c r="AW154" s="800">
        <v>503254</v>
      </c>
      <c r="AX154" s="807">
        <v>236026</v>
      </c>
      <c r="AY154" s="807">
        <v>267228</v>
      </c>
      <c r="AZ154" s="807">
        <v>33718</v>
      </c>
      <c r="BA154" s="196">
        <f>AX154/AW154</f>
        <v>0.46899974962941177</v>
      </c>
      <c r="BB154" s="210"/>
      <c r="BC154" s="115"/>
      <c r="BD154" s="236"/>
    </row>
    <row r="155" spans="1:56" s="808" customFormat="1" ht="14.25" customHeight="1">
      <c r="A155" s="792">
        <v>2024</v>
      </c>
      <c r="B155" s="793" t="str">
        <f>+INDEX('①基本情報 '!C:C,MATCH('③経費情報(2024)'!E155,'①基本情報 '!E:E,0))</f>
        <v>147</v>
      </c>
      <c r="C155" s="794" t="str">
        <f>+INDEX('①基本情報 '!B:B,MATCH('③経費情報(2024)'!E155,'①基本情報 '!E:E,0))</f>
        <v>0374</v>
      </c>
      <c r="D155" s="809" t="s">
        <v>2415</v>
      </c>
      <c r="E155" s="616" t="s">
        <v>929</v>
      </c>
      <c r="F155" s="616" t="str">
        <f>INDEX('①基本情報 '!F:F,MATCH('③経費情報(2024)'!E155,'①基本情報 '!E:E,0))</f>
        <v>教育委員会</v>
      </c>
      <c r="G155" s="797" t="s">
        <v>2620</v>
      </c>
      <c r="H155" s="810">
        <v>7293</v>
      </c>
      <c r="I155" s="800"/>
      <c r="J155" s="807">
        <v>658</v>
      </c>
      <c r="K155" s="801">
        <f t="shared" si="26"/>
        <v>7951</v>
      </c>
      <c r="L155" s="799">
        <v>244</v>
      </c>
      <c r="M155" s="799"/>
      <c r="N155" s="800"/>
      <c r="O155" s="800">
        <v>30</v>
      </c>
      <c r="P155" s="802">
        <v>4</v>
      </c>
      <c r="Q155" s="799">
        <v>9119</v>
      </c>
      <c r="R155" s="799">
        <v>23362</v>
      </c>
      <c r="S155" s="799">
        <f t="shared" si="27"/>
        <v>59838</v>
      </c>
      <c r="T155" s="800">
        <v>2714</v>
      </c>
      <c r="U155" s="144"/>
      <c r="V155" s="144"/>
      <c r="W155" s="801">
        <f t="shared" si="28"/>
        <v>62826</v>
      </c>
      <c r="X155" s="852"/>
      <c r="Y155" s="799"/>
      <c r="Z155" s="853"/>
      <c r="AA155" s="799"/>
      <c r="AB155" s="801">
        <f t="shared" si="29"/>
        <v>0</v>
      </c>
      <c r="AC155" s="852"/>
      <c r="AD155" s="799"/>
      <c r="AE155" s="799"/>
      <c r="AF155" s="799"/>
      <c r="AG155" s="799"/>
      <c r="AH155" s="799"/>
      <c r="AI155" s="799"/>
      <c r="AJ155" s="801">
        <f t="shared" si="25"/>
        <v>0</v>
      </c>
      <c r="AK155" s="800">
        <f t="shared" si="32"/>
        <v>32529</v>
      </c>
      <c r="AL155" s="800">
        <f t="shared" si="32"/>
        <v>20681.71</v>
      </c>
      <c r="AM155" s="800">
        <f t="shared" si="32"/>
        <v>11847.29</v>
      </c>
      <c r="AN155" s="800">
        <f t="shared" si="32"/>
        <v>1477.2650000000001</v>
      </c>
      <c r="AO155" s="192">
        <f t="shared" si="31"/>
        <v>0.63579298472132562</v>
      </c>
      <c r="AP155" s="193">
        <f t="shared" si="33"/>
        <v>64303.264999999999</v>
      </c>
      <c r="AQ155" s="193">
        <f t="shared" si="30"/>
        <v>-56352.264999999999</v>
      </c>
      <c r="AR155" s="805"/>
      <c r="AS155" s="119"/>
      <c r="AT155" s="119"/>
      <c r="AU155" s="120"/>
      <c r="AV155" s="806"/>
      <c r="AW155" s="800">
        <v>32529000</v>
      </c>
      <c r="AX155" s="807">
        <v>20681710</v>
      </c>
      <c r="AY155" s="807">
        <v>11847290</v>
      </c>
      <c r="AZ155" s="807">
        <v>1477265</v>
      </c>
      <c r="BA155" s="196">
        <f>AX155/AW155</f>
        <v>0.63579298472132562</v>
      </c>
      <c r="BB155" s="210"/>
      <c r="BC155" s="115"/>
      <c r="BD155" s="236"/>
    </row>
    <row r="156" spans="1:56" s="808" customFormat="1" ht="14.25" customHeight="1">
      <c r="A156" s="792">
        <v>2024</v>
      </c>
      <c r="B156" s="793" t="str">
        <f>+INDEX('①基本情報 '!C:C,MATCH('③経費情報(2024)'!E156,'①基本情報 '!E:E,0))</f>
        <v>148</v>
      </c>
      <c r="C156" s="794" t="str">
        <f>+INDEX('①基本情報 '!B:B,MATCH('③経費情報(2024)'!E156,'①基本情報 '!E:E,0))</f>
        <v>0375</v>
      </c>
      <c r="D156" s="809" t="s">
        <v>2415</v>
      </c>
      <c r="E156" s="616" t="s">
        <v>934</v>
      </c>
      <c r="F156" s="616" t="str">
        <f>INDEX('①基本情報 '!F:F,MATCH('③経費情報(2024)'!E156,'①基本情報 '!E:E,0))</f>
        <v>教育委員会</v>
      </c>
      <c r="G156" s="797" t="s">
        <v>2620</v>
      </c>
      <c r="H156" s="810">
        <v>7293</v>
      </c>
      <c r="I156" s="800"/>
      <c r="J156" s="807">
        <v>658</v>
      </c>
      <c r="K156" s="801">
        <f t="shared" si="26"/>
        <v>7951</v>
      </c>
      <c r="L156" s="799">
        <v>244</v>
      </c>
      <c r="M156" s="115"/>
      <c r="N156" s="800"/>
      <c r="O156" s="799">
        <v>30</v>
      </c>
      <c r="P156" s="802">
        <v>5</v>
      </c>
      <c r="Q156" s="799">
        <v>9119</v>
      </c>
      <c r="R156" s="799">
        <v>23362</v>
      </c>
      <c r="S156" s="799">
        <f t="shared" si="27"/>
        <v>68957</v>
      </c>
      <c r="T156" s="800">
        <v>2714</v>
      </c>
      <c r="U156" s="144"/>
      <c r="V156" s="144"/>
      <c r="W156" s="801">
        <f t="shared" si="28"/>
        <v>71945</v>
      </c>
      <c r="X156" s="852"/>
      <c r="Y156" s="799"/>
      <c r="Z156" s="853"/>
      <c r="AA156" s="799"/>
      <c r="AB156" s="801">
        <f t="shared" si="29"/>
        <v>0</v>
      </c>
      <c r="AC156" s="852"/>
      <c r="AD156" s="799"/>
      <c r="AE156" s="799"/>
      <c r="AF156" s="799"/>
      <c r="AG156" s="799"/>
      <c r="AH156" s="799"/>
      <c r="AI156" s="799"/>
      <c r="AJ156" s="801">
        <f t="shared" si="25"/>
        <v>0</v>
      </c>
      <c r="AK156" s="800">
        <f t="shared" si="32"/>
        <v>897.05</v>
      </c>
      <c r="AL156" s="800">
        <f t="shared" si="32"/>
        <v>180.30600000000001</v>
      </c>
      <c r="AM156" s="800">
        <f t="shared" si="32"/>
        <v>716.74400000000003</v>
      </c>
      <c r="AN156" s="800">
        <f t="shared" si="32"/>
        <v>60.101999999999997</v>
      </c>
      <c r="AO156" s="192">
        <f t="shared" si="31"/>
        <v>0.20099882949668357</v>
      </c>
      <c r="AP156" s="193">
        <f t="shared" si="33"/>
        <v>72005.101999999999</v>
      </c>
      <c r="AQ156" s="193">
        <f t="shared" si="30"/>
        <v>-64054.101999999999</v>
      </c>
      <c r="AR156" s="805"/>
      <c r="AS156" s="119"/>
      <c r="AT156" s="119"/>
      <c r="AU156" s="120"/>
      <c r="AV156" s="806"/>
      <c r="AW156" s="800">
        <v>897050</v>
      </c>
      <c r="AX156" s="807">
        <v>180306</v>
      </c>
      <c r="AY156" s="807">
        <v>716744</v>
      </c>
      <c r="AZ156" s="807">
        <v>60102</v>
      </c>
      <c r="BA156" s="196">
        <f>AX156/AW156</f>
        <v>0.20099882949668357</v>
      </c>
      <c r="BB156" s="210"/>
      <c r="BC156" s="115"/>
      <c r="BD156" s="236"/>
    </row>
    <row r="157" spans="1:56" s="808" customFormat="1" ht="14.25" customHeight="1">
      <c r="A157" s="792">
        <v>2024</v>
      </c>
      <c r="B157" s="793" t="str">
        <f>+INDEX('①基本情報 '!C:C,MATCH('③経費情報(2024)'!E157,'①基本情報 '!E:E,0))</f>
        <v>149</v>
      </c>
      <c r="C157" s="794" t="str">
        <f>+INDEX('①基本情報 '!B:B,MATCH('③経費情報(2024)'!E157,'①基本情報 '!E:E,0))</f>
        <v>0376</v>
      </c>
      <c r="D157" s="809" t="s">
        <v>2415</v>
      </c>
      <c r="E157" s="616" t="s">
        <v>939</v>
      </c>
      <c r="F157" s="616" t="str">
        <f>INDEX('①基本情報 '!F:F,MATCH('③経費情報(2024)'!E157,'①基本情報 '!E:E,0))</f>
        <v>教育委員会</v>
      </c>
      <c r="G157" s="797" t="s">
        <v>2620</v>
      </c>
      <c r="H157" s="810">
        <v>7293</v>
      </c>
      <c r="I157" s="800"/>
      <c r="J157" s="807">
        <v>658</v>
      </c>
      <c r="K157" s="801">
        <f t="shared" si="26"/>
        <v>7951</v>
      </c>
      <c r="L157" s="799">
        <v>244</v>
      </c>
      <c r="M157" s="115"/>
      <c r="N157" s="800"/>
      <c r="O157" s="799">
        <v>30</v>
      </c>
      <c r="P157" s="802">
        <v>5</v>
      </c>
      <c r="Q157" s="799">
        <v>9119</v>
      </c>
      <c r="R157" s="799">
        <v>23362</v>
      </c>
      <c r="S157" s="799">
        <f t="shared" si="27"/>
        <v>68957</v>
      </c>
      <c r="T157" s="800">
        <v>2714</v>
      </c>
      <c r="U157" s="144"/>
      <c r="V157" s="144"/>
      <c r="W157" s="801">
        <f t="shared" si="28"/>
        <v>71945</v>
      </c>
      <c r="X157" s="852"/>
      <c r="Y157" s="799"/>
      <c r="Z157" s="853"/>
      <c r="AA157" s="799"/>
      <c r="AB157" s="801">
        <f t="shared" si="29"/>
        <v>0</v>
      </c>
      <c r="AC157" s="852"/>
      <c r="AD157" s="799"/>
      <c r="AE157" s="799"/>
      <c r="AF157" s="799"/>
      <c r="AG157" s="799"/>
      <c r="AH157" s="799"/>
      <c r="AI157" s="799"/>
      <c r="AJ157" s="801">
        <f t="shared" si="25"/>
        <v>0</v>
      </c>
      <c r="AK157" s="800">
        <f t="shared" si="32"/>
        <v>0</v>
      </c>
      <c r="AL157" s="800">
        <f t="shared" si="32"/>
        <v>0</v>
      </c>
      <c r="AM157" s="800">
        <f t="shared" si="32"/>
        <v>0</v>
      </c>
      <c r="AN157" s="800">
        <f t="shared" si="32"/>
        <v>0</v>
      </c>
      <c r="AO157" s="192" t="str">
        <f t="shared" si="31"/>
        <v>-</v>
      </c>
      <c r="AP157" s="193">
        <f t="shared" si="33"/>
        <v>71945</v>
      </c>
      <c r="AQ157" s="193">
        <f t="shared" si="30"/>
        <v>-63994</v>
      </c>
      <c r="AR157" s="805"/>
      <c r="AS157" s="119"/>
      <c r="AT157" s="119"/>
      <c r="AU157" s="120"/>
      <c r="AV157" s="806"/>
      <c r="AW157" s="800">
        <v>0</v>
      </c>
      <c r="AX157" s="807">
        <v>0</v>
      </c>
      <c r="AY157" s="807">
        <v>0</v>
      </c>
      <c r="AZ157" s="807">
        <v>0</v>
      </c>
      <c r="BA157" s="196" t="s">
        <v>1966</v>
      </c>
      <c r="BB157" s="210"/>
      <c r="BC157" s="115"/>
      <c r="BD157" s="236"/>
    </row>
    <row r="158" spans="1:56" s="808" customFormat="1" ht="14.25" customHeight="1">
      <c r="A158" s="792">
        <v>2024</v>
      </c>
      <c r="B158" s="793" t="str">
        <f>+INDEX('①基本情報 '!C:C,MATCH('③経費情報(2024)'!E158,'①基本情報 '!E:E,0))</f>
        <v>150</v>
      </c>
      <c r="C158" s="794" t="str">
        <f>+INDEX('①基本情報 '!B:B,MATCH('③経費情報(2024)'!E158,'①基本情報 '!E:E,0))</f>
        <v>1041</v>
      </c>
      <c r="D158" s="809" t="s">
        <v>2415</v>
      </c>
      <c r="E158" s="616" t="s">
        <v>990</v>
      </c>
      <c r="F158" s="616" t="str">
        <f>INDEX('①基本情報 '!F:F,MATCH('③経費情報(2024)'!E158,'①基本情報 '!E:E,0))</f>
        <v>教育委員会</v>
      </c>
      <c r="G158" s="797" t="s">
        <v>2187</v>
      </c>
      <c r="H158" s="810"/>
      <c r="I158" s="799"/>
      <c r="J158" s="807">
        <v>75</v>
      </c>
      <c r="K158" s="801">
        <f t="shared" si="26"/>
        <v>75</v>
      </c>
      <c r="L158" s="799">
        <v>11277</v>
      </c>
      <c r="M158" s="799">
        <v>3545</v>
      </c>
      <c r="N158" s="800"/>
      <c r="O158" s="799">
        <v>2912</v>
      </c>
      <c r="P158" s="115">
        <v>1</v>
      </c>
      <c r="Q158" s="799">
        <v>9119</v>
      </c>
      <c r="R158" s="115">
        <v>5903</v>
      </c>
      <c r="S158" s="799">
        <f t="shared" si="27"/>
        <v>15022</v>
      </c>
      <c r="T158" s="800">
        <v>21169</v>
      </c>
      <c r="U158" s="803">
        <v>89</v>
      </c>
      <c r="V158" s="799"/>
      <c r="W158" s="801">
        <f t="shared" si="28"/>
        <v>54014</v>
      </c>
      <c r="X158" s="799"/>
      <c r="Y158" s="799"/>
      <c r="Z158" s="803"/>
      <c r="AA158" s="799"/>
      <c r="AB158" s="801">
        <f t="shared" si="29"/>
        <v>0</v>
      </c>
      <c r="AC158" s="799"/>
      <c r="AD158" s="799"/>
      <c r="AE158" s="800"/>
      <c r="AF158" s="804"/>
      <c r="AG158" s="799"/>
      <c r="AH158" s="800"/>
      <c r="AI158" s="800"/>
      <c r="AJ158" s="801">
        <f t="shared" si="25"/>
        <v>0</v>
      </c>
      <c r="AK158" s="800">
        <f t="shared" si="32"/>
        <v>2623546.5529999998</v>
      </c>
      <c r="AL158" s="800">
        <f t="shared" si="32"/>
        <v>1685471.6089999999</v>
      </c>
      <c r="AM158" s="800">
        <f t="shared" si="32"/>
        <v>938074.94400000002</v>
      </c>
      <c r="AN158" s="800">
        <f t="shared" si="32"/>
        <v>79829.178</v>
      </c>
      <c r="AO158" s="192">
        <f t="shared" si="31"/>
        <v>0.64244013778702713</v>
      </c>
      <c r="AP158" s="193">
        <f t="shared" si="33"/>
        <v>133843.17800000001</v>
      </c>
      <c r="AQ158" s="193">
        <f t="shared" si="30"/>
        <v>-133768.17800000001</v>
      </c>
      <c r="AR158" s="805"/>
      <c r="AS158" s="119"/>
      <c r="AT158" s="119"/>
      <c r="AU158" s="120"/>
      <c r="AV158" s="806"/>
      <c r="AW158" s="800">
        <v>2623546553</v>
      </c>
      <c r="AX158" s="807">
        <v>1685471609</v>
      </c>
      <c r="AY158" s="807">
        <v>938074944</v>
      </c>
      <c r="AZ158" s="807">
        <v>79829178</v>
      </c>
      <c r="BA158" s="196">
        <f t="shared" ref="BA158:BA221" si="34">AX158/AW158</f>
        <v>0.64244013778702713</v>
      </c>
      <c r="BB158" s="210">
        <v>293971</v>
      </c>
      <c r="BC158" s="115">
        <v>3055</v>
      </c>
      <c r="BD158" s="236">
        <v>0</v>
      </c>
    </row>
    <row r="159" spans="1:56" s="808" customFormat="1" ht="14.25" customHeight="1">
      <c r="A159" s="792">
        <v>2024</v>
      </c>
      <c r="B159" s="793" t="str">
        <f>+INDEX('①基本情報 '!C:C,MATCH('③経費情報(2024)'!E159,'①基本情報 '!E:E,0))</f>
        <v>151</v>
      </c>
      <c r="C159" s="794" t="str">
        <f>+INDEX('①基本情報 '!B:B,MATCH('③経費情報(2024)'!E159,'①基本情報 '!E:E,0))</f>
        <v>1042</v>
      </c>
      <c r="D159" s="809" t="s">
        <v>2415</v>
      </c>
      <c r="E159" s="616" t="s">
        <v>999</v>
      </c>
      <c r="F159" s="616" t="str">
        <f>INDEX('①基本情報 '!F:F,MATCH('③経費情報(2024)'!E159,'①基本情報 '!E:E,0))</f>
        <v>教育委員会</v>
      </c>
      <c r="G159" s="797" t="s">
        <v>2187</v>
      </c>
      <c r="H159" s="810"/>
      <c r="I159" s="799"/>
      <c r="J159" s="807">
        <v>36</v>
      </c>
      <c r="K159" s="801">
        <f t="shared" si="26"/>
        <v>36</v>
      </c>
      <c r="L159" s="799">
        <v>10977</v>
      </c>
      <c r="M159" s="799">
        <v>4281</v>
      </c>
      <c r="N159" s="800"/>
      <c r="O159" s="799">
        <v>4824</v>
      </c>
      <c r="P159" s="115">
        <v>1</v>
      </c>
      <c r="Q159" s="799">
        <v>9119</v>
      </c>
      <c r="R159" s="115">
        <v>4081</v>
      </c>
      <c r="S159" s="799">
        <f t="shared" si="27"/>
        <v>13200</v>
      </c>
      <c r="T159" s="800">
        <v>17564</v>
      </c>
      <c r="U159" s="803">
        <v>10</v>
      </c>
      <c r="V159" s="799"/>
      <c r="W159" s="801">
        <f t="shared" si="28"/>
        <v>50856</v>
      </c>
      <c r="X159" s="799"/>
      <c r="Y159" s="799"/>
      <c r="Z159" s="803"/>
      <c r="AA159" s="799"/>
      <c r="AB159" s="801">
        <f t="shared" si="29"/>
        <v>0</v>
      </c>
      <c r="AC159" s="799"/>
      <c r="AD159" s="799"/>
      <c r="AE159" s="800"/>
      <c r="AF159" s="804"/>
      <c r="AG159" s="799"/>
      <c r="AH159" s="800"/>
      <c r="AI159" s="800"/>
      <c r="AJ159" s="801">
        <f t="shared" si="25"/>
        <v>0</v>
      </c>
      <c r="AK159" s="800">
        <f t="shared" si="32"/>
        <v>2675696.1910000001</v>
      </c>
      <c r="AL159" s="800">
        <f t="shared" si="32"/>
        <v>1660051.199</v>
      </c>
      <c r="AM159" s="800">
        <f t="shared" si="32"/>
        <v>1015644.992</v>
      </c>
      <c r="AN159" s="800">
        <f t="shared" si="32"/>
        <v>75842.372000000003</v>
      </c>
      <c r="AO159" s="192">
        <f t="shared" si="31"/>
        <v>0.62041841842275136</v>
      </c>
      <c r="AP159" s="193">
        <f t="shared" si="33"/>
        <v>126698.372</v>
      </c>
      <c r="AQ159" s="193">
        <f t="shared" si="30"/>
        <v>-126662.372</v>
      </c>
      <c r="AR159" s="805"/>
      <c r="AS159" s="119"/>
      <c r="AT159" s="119"/>
      <c r="AU159" s="120"/>
      <c r="AV159" s="806"/>
      <c r="AW159" s="800">
        <v>2675696191</v>
      </c>
      <c r="AX159" s="807">
        <v>1660051199</v>
      </c>
      <c r="AY159" s="807">
        <v>1015644992</v>
      </c>
      <c r="AZ159" s="807">
        <v>75842372</v>
      </c>
      <c r="BA159" s="196">
        <f t="shared" si="34"/>
        <v>0.62041841842275136</v>
      </c>
      <c r="BB159" s="210">
        <v>170599</v>
      </c>
      <c r="BC159" s="115">
        <v>51448</v>
      </c>
      <c r="BD159" s="236">
        <v>0</v>
      </c>
    </row>
    <row r="160" spans="1:56" s="808" customFormat="1" ht="14.25" customHeight="1">
      <c r="A160" s="792">
        <v>2024</v>
      </c>
      <c r="B160" s="793" t="str">
        <f>+INDEX('①基本情報 '!C:C,MATCH('③経費情報(2024)'!E160,'①基本情報 '!E:E,0))</f>
        <v>152</v>
      </c>
      <c r="C160" s="794" t="str">
        <f>+INDEX('①基本情報 '!B:B,MATCH('③経費情報(2024)'!E160,'①基本情報 '!E:E,0))</f>
        <v>1043</v>
      </c>
      <c r="D160" s="809" t="s">
        <v>2415</v>
      </c>
      <c r="E160" s="616" t="s">
        <v>1004</v>
      </c>
      <c r="F160" s="616" t="str">
        <f>INDEX('①基本情報 '!F:F,MATCH('③経費情報(2024)'!E160,'①基本情報 '!E:E,0))</f>
        <v>教育委員会</v>
      </c>
      <c r="G160" s="797" t="s">
        <v>2187</v>
      </c>
      <c r="H160" s="810"/>
      <c r="I160" s="799"/>
      <c r="J160" s="807">
        <v>52</v>
      </c>
      <c r="K160" s="801">
        <f t="shared" si="26"/>
        <v>52</v>
      </c>
      <c r="L160" s="799">
        <v>13551</v>
      </c>
      <c r="M160" s="799">
        <v>4465</v>
      </c>
      <c r="N160" s="800"/>
      <c r="O160" s="799">
        <v>8317</v>
      </c>
      <c r="P160" s="115">
        <v>1</v>
      </c>
      <c r="Q160" s="799">
        <v>9119</v>
      </c>
      <c r="R160" s="115">
        <v>4207</v>
      </c>
      <c r="S160" s="799">
        <f t="shared" si="27"/>
        <v>13326</v>
      </c>
      <c r="T160" s="800">
        <v>21382</v>
      </c>
      <c r="U160" s="803">
        <v>57</v>
      </c>
      <c r="V160" s="799"/>
      <c r="W160" s="801">
        <f t="shared" si="28"/>
        <v>61098</v>
      </c>
      <c r="X160" s="799"/>
      <c r="Y160" s="799"/>
      <c r="Z160" s="803"/>
      <c r="AA160" s="799"/>
      <c r="AB160" s="801">
        <f t="shared" si="29"/>
        <v>0</v>
      </c>
      <c r="AC160" s="799"/>
      <c r="AD160" s="799"/>
      <c r="AE160" s="800"/>
      <c r="AF160" s="804"/>
      <c r="AG160" s="799"/>
      <c r="AH160" s="800"/>
      <c r="AI160" s="800"/>
      <c r="AJ160" s="801">
        <f t="shared" si="25"/>
        <v>0</v>
      </c>
      <c r="AK160" s="800">
        <f t="shared" si="32"/>
        <v>2903280.9980000001</v>
      </c>
      <c r="AL160" s="800">
        <f t="shared" si="32"/>
        <v>1888834.298</v>
      </c>
      <c r="AM160" s="800">
        <f t="shared" si="32"/>
        <v>1014446.7</v>
      </c>
      <c r="AN160" s="800">
        <f t="shared" si="32"/>
        <v>35979.650999999998</v>
      </c>
      <c r="AO160" s="192">
        <f t="shared" si="31"/>
        <v>0.65058611250553156</v>
      </c>
      <c r="AP160" s="193">
        <f t="shared" si="33"/>
        <v>97077.650999999998</v>
      </c>
      <c r="AQ160" s="193">
        <f t="shared" si="30"/>
        <v>-97025.650999999998</v>
      </c>
      <c r="AR160" s="805"/>
      <c r="AS160" s="119"/>
      <c r="AT160" s="119"/>
      <c r="AU160" s="120"/>
      <c r="AV160" s="806"/>
      <c r="AW160" s="800">
        <v>2903280998</v>
      </c>
      <c r="AX160" s="807">
        <v>1888834298</v>
      </c>
      <c r="AY160" s="807">
        <v>1014446700</v>
      </c>
      <c r="AZ160" s="807">
        <v>35979651</v>
      </c>
      <c r="BA160" s="196">
        <f t="shared" si="34"/>
        <v>0.65058611250553156</v>
      </c>
      <c r="BB160" s="210">
        <v>251425</v>
      </c>
      <c r="BC160" s="115">
        <v>55948</v>
      </c>
      <c r="BD160" s="236">
        <v>0</v>
      </c>
    </row>
    <row r="161" spans="1:56" s="808" customFormat="1" ht="14.25" customHeight="1">
      <c r="A161" s="792">
        <v>2024</v>
      </c>
      <c r="B161" s="793" t="str">
        <f>+INDEX('①基本情報 '!C:C,MATCH('③経費情報(2024)'!E161,'①基本情報 '!E:E,0))</f>
        <v>153</v>
      </c>
      <c r="C161" s="794" t="str">
        <f>+INDEX('①基本情報 '!B:B,MATCH('③経費情報(2024)'!E161,'①基本情報 '!E:E,0))</f>
        <v>1044</v>
      </c>
      <c r="D161" s="809" t="s">
        <v>2415</v>
      </c>
      <c r="E161" s="616" t="s">
        <v>1009</v>
      </c>
      <c r="F161" s="616" t="str">
        <f>INDEX('①基本情報 '!F:F,MATCH('③経費情報(2024)'!E161,'①基本情報 '!E:E,0))</f>
        <v>教育委員会</v>
      </c>
      <c r="G161" s="797" t="s">
        <v>2187</v>
      </c>
      <c r="H161" s="810"/>
      <c r="I161" s="799"/>
      <c r="J161" s="807">
        <v>154</v>
      </c>
      <c r="K161" s="801">
        <f t="shared" si="26"/>
        <v>154</v>
      </c>
      <c r="L161" s="799">
        <v>13037</v>
      </c>
      <c r="M161" s="799">
        <v>3623</v>
      </c>
      <c r="N161" s="800"/>
      <c r="O161" s="799">
        <v>3559</v>
      </c>
      <c r="P161" s="115">
        <v>0</v>
      </c>
      <c r="Q161" s="799">
        <v>9119</v>
      </c>
      <c r="R161" s="115">
        <v>6432</v>
      </c>
      <c r="S161" s="799">
        <f t="shared" si="27"/>
        <v>6432</v>
      </c>
      <c r="T161" s="800">
        <v>21469</v>
      </c>
      <c r="U161" s="803">
        <v>72</v>
      </c>
      <c r="V161" s="799"/>
      <c r="W161" s="801">
        <f t="shared" si="28"/>
        <v>48192</v>
      </c>
      <c r="X161" s="799"/>
      <c r="Y161" s="799"/>
      <c r="Z161" s="803"/>
      <c r="AA161" s="799"/>
      <c r="AB161" s="801">
        <f t="shared" si="29"/>
        <v>0</v>
      </c>
      <c r="AC161" s="799"/>
      <c r="AD161" s="799"/>
      <c r="AE161" s="800"/>
      <c r="AF161" s="804"/>
      <c r="AG161" s="799"/>
      <c r="AH161" s="800"/>
      <c r="AI161" s="800"/>
      <c r="AJ161" s="801">
        <f t="shared" si="25"/>
        <v>0</v>
      </c>
      <c r="AK161" s="800">
        <f t="shared" si="32"/>
        <v>1932981.9680000001</v>
      </c>
      <c r="AL161" s="800">
        <f t="shared" si="32"/>
        <v>1662105.622</v>
      </c>
      <c r="AM161" s="800">
        <f t="shared" si="32"/>
        <v>270876.34600000002</v>
      </c>
      <c r="AN161" s="800">
        <f t="shared" si="32"/>
        <v>22901.832999999999</v>
      </c>
      <c r="AO161" s="192">
        <f t="shared" si="31"/>
        <v>0.85986607713662855</v>
      </c>
      <c r="AP161" s="193">
        <f t="shared" si="33"/>
        <v>71093.832999999999</v>
      </c>
      <c r="AQ161" s="193">
        <f t="shared" si="30"/>
        <v>-70939.832999999999</v>
      </c>
      <c r="AR161" s="805"/>
      <c r="AS161" s="119"/>
      <c r="AT161" s="119"/>
      <c r="AU161" s="120"/>
      <c r="AV161" s="806"/>
      <c r="AW161" s="800">
        <v>1932981968</v>
      </c>
      <c r="AX161" s="807">
        <v>1662105622</v>
      </c>
      <c r="AY161" s="807">
        <v>270876346</v>
      </c>
      <c r="AZ161" s="807">
        <v>22901833</v>
      </c>
      <c r="BA161" s="196">
        <f t="shared" si="34"/>
        <v>0.85986607713662855</v>
      </c>
      <c r="BB161" s="210">
        <v>257129</v>
      </c>
      <c r="BC161" s="115">
        <v>28168</v>
      </c>
      <c r="BD161" s="236">
        <v>0</v>
      </c>
    </row>
    <row r="162" spans="1:56" s="808" customFormat="1" ht="14.25" customHeight="1">
      <c r="A162" s="792">
        <v>2024</v>
      </c>
      <c r="B162" s="793" t="str">
        <f>+INDEX('①基本情報 '!C:C,MATCH('③経費情報(2024)'!E162,'①基本情報 '!E:E,0))</f>
        <v>154</v>
      </c>
      <c r="C162" s="794" t="str">
        <f>+INDEX('①基本情報 '!B:B,MATCH('③経費情報(2024)'!E162,'①基本情報 '!E:E,0))</f>
        <v>1045</v>
      </c>
      <c r="D162" s="809" t="s">
        <v>2415</v>
      </c>
      <c r="E162" s="616" t="s">
        <v>1014</v>
      </c>
      <c r="F162" s="616" t="str">
        <f>INDEX('①基本情報 '!F:F,MATCH('③経費情報(2024)'!E162,'①基本情報 '!E:E,0))</f>
        <v>教育委員会</v>
      </c>
      <c r="G162" s="797" t="s">
        <v>2187</v>
      </c>
      <c r="H162" s="810"/>
      <c r="I162" s="799"/>
      <c r="J162" s="807">
        <v>25</v>
      </c>
      <c r="K162" s="801">
        <f t="shared" si="26"/>
        <v>25</v>
      </c>
      <c r="L162" s="799">
        <v>10998</v>
      </c>
      <c r="M162" s="799">
        <v>4911</v>
      </c>
      <c r="N162" s="800"/>
      <c r="O162" s="799">
        <v>2721</v>
      </c>
      <c r="P162" s="115">
        <v>1</v>
      </c>
      <c r="Q162" s="799">
        <v>9119</v>
      </c>
      <c r="R162" s="115">
        <v>8424</v>
      </c>
      <c r="S162" s="799">
        <f t="shared" si="27"/>
        <v>17543</v>
      </c>
      <c r="T162" s="800">
        <v>22881</v>
      </c>
      <c r="U162" s="803">
        <v>74</v>
      </c>
      <c r="V162" s="799"/>
      <c r="W162" s="801">
        <f t="shared" si="28"/>
        <v>59128</v>
      </c>
      <c r="X162" s="799"/>
      <c r="Y162" s="799"/>
      <c r="Z162" s="803"/>
      <c r="AA162" s="799"/>
      <c r="AB162" s="801">
        <f t="shared" si="29"/>
        <v>0</v>
      </c>
      <c r="AC162" s="799"/>
      <c r="AD162" s="799"/>
      <c r="AE162" s="800"/>
      <c r="AF162" s="804"/>
      <c r="AG162" s="799"/>
      <c r="AH162" s="800"/>
      <c r="AI162" s="800"/>
      <c r="AJ162" s="801">
        <f t="shared" si="25"/>
        <v>0</v>
      </c>
      <c r="AK162" s="800">
        <f t="shared" si="32"/>
        <v>2645161.8829999999</v>
      </c>
      <c r="AL162" s="800">
        <f t="shared" si="32"/>
        <v>1948242.6070000001</v>
      </c>
      <c r="AM162" s="800">
        <f t="shared" si="32"/>
        <v>696919.27599999995</v>
      </c>
      <c r="AN162" s="800">
        <f t="shared" si="32"/>
        <v>42403.114000000001</v>
      </c>
      <c r="AO162" s="192">
        <f t="shared" si="31"/>
        <v>0.73653057664297217</v>
      </c>
      <c r="AP162" s="193">
        <f t="shared" si="33"/>
        <v>101531.114</v>
      </c>
      <c r="AQ162" s="193">
        <f t="shared" si="30"/>
        <v>-101506.114</v>
      </c>
      <c r="AR162" s="805"/>
      <c r="AS162" s="119"/>
      <c r="AT162" s="119"/>
      <c r="AU162" s="120"/>
      <c r="AV162" s="806"/>
      <c r="AW162" s="800">
        <v>2645161883</v>
      </c>
      <c r="AX162" s="807">
        <v>1948242607</v>
      </c>
      <c r="AY162" s="807">
        <v>696919276</v>
      </c>
      <c r="AZ162" s="807">
        <v>42403114</v>
      </c>
      <c r="BA162" s="196">
        <f t="shared" si="34"/>
        <v>0.73653057664297217</v>
      </c>
      <c r="BB162" s="210">
        <v>230319</v>
      </c>
      <c r="BC162" s="115">
        <v>35999</v>
      </c>
      <c r="BD162" s="236">
        <v>0</v>
      </c>
    </row>
    <row r="163" spans="1:56" s="808" customFormat="1" ht="14.25" customHeight="1">
      <c r="A163" s="792">
        <v>2024</v>
      </c>
      <c r="B163" s="793" t="str">
        <f>+INDEX('①基本情報 '!C:C,MATCH('③経費情報(2024)'!E163,'①基本情報 '!E:E,0))</f>
        <v>155</v>
      </c>
      <c r="C163" s="794" t="str">
        <f>+INDEX('①基本情報 '!B:B,MATCH('③経費情報(2024)'!E163,'①基本情報 '!E:E,0))</f>
        <v>1046</v>
      </c>
      <c r="D163" s="809" t="s">
        <v>2415</v>
      </c>
      <c r="E163" s="616" t="s">
        <v>1018</v>
      </c>
      <c r="F163" s="616" t="str">
        <f>INDEX('①基本情報 '!F:F,MATCH('③経費情報(2024)'!E163,'①基本情報 '!E:E,0))</f>
        <v>教育委員会</v>
      </c>
      <c r="G163" s="797" t="s">
        <v>2187</v>
      </c>
      <c r="H163" s="810"/>
      <c r="I163" s="799"/>
      <c r="J163" s="807">
        <v>106</v>
      </c>
      <c r="K163" s="801">
        <f t="shared" si="26"/>
        <v>106</v>
      </c>
      <c r="L163" s="799">
        <v>14566</v>
      </c>
      <c r="M163" s="799">
        <v>4968</v>
      </c>
      <c r="N163" s="800"/>
      <c r="O163" s="799">
        <v>4310</v>
      </c>
      <c r="P163" s="115">
        <v>1</v>
      </c>
      <c r="Q163" s="799">
        <v>9119</v>
      </c>
      <c r="R163" s="115">
        <v>6399</v>
      </c>
      <c r="S163" s="799">
        <f t="shared" si="27"/>
        <v>15518</v>
      </c>
      <c r="T163" s="800">
        <v>18045</v>
      </c>
      <c r="U163" s="803">
        <v>74</v>
      </c>
      <c r="V163" s="799"/>
      <c r="W163" s="801">
        <f t="shared" si="28"/>
        <v>57481</v>
      </c>
      <c r="X163" s="799"/>
      <c r="Y163" s="799"/>
      <c r="Z163" s="803"/>
      <c r="AA163" s="799"/>
      <c r="AB163" s="801">
        <f t="shared" si="29"/>
        <v>0</v>
      </c>
      <c r="AC163" s="799"/>
      <c r="AD163" s="799"/>
      <c r="AE163" s="800"/>
      <c r="AF163" s="804"/>
      <c r="AG163" s="799"/>
      <c r="AH163" s="800"/>
      <c r="AI163" s="800"/>
      <c r="AJ163" s="801">
        <f t="shared" si="25"/>
        <v>0</v>
      </c>
      <c r="AK163" s="800">
        <f t="shared" si="32"/>
        <v>2471896.892</v>
      </c>
      <c r="AL163" s="800">
        <f t="shared" si="32"/>
        <v>1858705.493</v>
      </c>
      <c r="AM163" s="800">
        <f t="shared" si="32"/>
        <v>613191.39899999998</v>
      </c>
      <c r="AN163" s="800">
        <f t="shared" si="32"/>
        <v>34599.53</v>
      </c>
      <c r="AO163" s="192">
        <f t="shared" si="31"/>
        <v>0.75193488005728681</v>
      </c>
      <c r="AP163" s="193">
        <f t="shared" si="33"/>
        <v>92080.53</v>
      </c>
      <c r="AQ163" s="193">
        <f t="shared" si="30"/>
        <v>-91974.53</v>
      </c>
      <c r="AR163" s="805"/>
      <c r="AS163" s="119"/>
      <c r="AT163" s="119"/>
      <c r="AU163" s="120"/>
      <c r="AV163" s="806"/>
      <c r="AW163" s="800">
        <v>2471896892</v>
      </c>
      <c r="AX163" s="807">
        <v>1858705493</v>
      </c>
      <c r="AY163" s="807">
        <v>613191399</v>
      </c>
      <c r="AZ163" s="807">
        <v>34599530</v>
      </c>
      <c r="BA163" s="196">
        <f t="shared" si="34"/>
        <v>0.75193488005728681</v>
      </c>
      <c r="BB163" s="210">
        <v>263345</v>
      </c>
      <c r="BC163" s="115">
        <v>54381</v>
      </c>
      <c r="BD163" s="236">
        <v>0</v>
      </c>
    </row>
    <row r="164" spans="1:56" s="808" customFormat="1" ht="14.25" customHeight="1">
      <c r="A164" s="792">
        <v>2024</v>
      </c>
      <c r="B164" s="793" t="str">
        <f>+INDEX('①基本情報 '!C:C,MATCH('③経費情報(2024)'!E164,'①基本情報 '!E:E,0))</f>
        <v>156</v>
      </c>
      <c r="C164" s="794" t="str">
        <f>+INDEX('①基本情報 '!B:B,MATCH('③経費情報(2024)'!E164,'①基本情報 '!E:E,0))</f>
        <v>1047</v>
      </c>
      <c r="D164" s="809" t="s">
        <v>2415</v>
      </c>
      <c r="E164" s="616" t="s">
        <v>1023</v>
      </c>
      <c r="F164" s="616" t="str">
        <f>INDEX('①基本情報 '!F:F,MATCH('③経費情報(2024)'!E164,'①基本情報 '!E:E,0))</f>
        <v>教育委員会</v>
      </c>
      <c r="G164" s="797" t="s">
        <v>2187</v>
      </c>
      <c r="H164" s="810"/>
      <c r="I164" s="799"/>
      <c r="J164" s="807">
        <v>17</v>
      </c>
      <c r="K164" s="801">
        <f t="shared" si="26"/>
        <v>17</v>
      </c>
      <c r="L164" s="799">
        <v>16095</v>
      </c>
      <c r="M164" s="799">
        <v>5716</v>
      </c>
      <c r="N164" s="800"/>
      <c r="O164" s="799">
        <v>4435</v>
      </c>
      <c r="P164" s="115">
        <v>1</v>
      </c>
      <c r="Q164" s="799">
        <v>9119</v>
      </c>
      <c r="R164" s="115">
        <v>6268</v>
      </c>
      <c r="S164" s="799">
        <f t="shared" si="27"/>
        <v>15387</v>
      </c>
      <c r="T164" s="800">
        <v>19007</v>
      </c>
      <c r="U164" s="803">
        <v>73</v>
      </c>
      <c r="V164" s="799"/>
      <c r="W164" s="801">
        <f t="shared" si="28"/>
        <v>60713</v>
      </c>
      <c r="X164" s="799"/>
      <c r="Y164" s="799"/>
      <c r="Z164" s="803"/>
      <c r="AA164" s="799"/>
      <c r="AB164" s="801">
        <f t="shared" si="29"/>
        <v>0</v>
      </c>
      <c r="AC164" s="799"/>
      <c r="AD164" s="799"/>
      <c r="AE164" s="800"/>
      <c r="AF164" s="804"/>
      <c r="AG164" s="799"/>
      <c r="AH164" s="800"/>
      <c r="AI164" s="800"/>
      <c r="AJ164" s="801">
        <f t="shared" si="25"/>
        <v>0</v>
      </c>
      <c r="AK164" s="800">
        <f t="shared" si="32"/>
        <v>2244771.321</v>
      </c>
      <c r="AL164" s="800">
        <f t="shared" si="32"/>
        <v>1524360.216</v>
      </c>
      <c r="AM164" s="800">
        <f t="shared" si="32"/>
        <v>720411.10499999998</v>
      </c>
      <c r="AN164" s="800">
        <f t="shared" si="32"/>
        <v>54543.067000000003</v>
      </c>
      <c r="AO164" s="192">
        <f t="shared" si="31"/>
        <v>0.67907149460593097</v>
      </c>
      <c r="AP164" s="193">
        <f t="shared" si="33"/>
        <v>115256.06700000001</v>
      </c>
      <c r="AQ164" s="193">
        <f t="shared" si="30"/>
        <v>-115239.06700000001</v>
      </c>
      <c r="AR164" s="805"/>
      <c r="AS164" s="119"/>
      <c r="AT164" s="119"/>
      <c r="AU164" s="120"/>
      <c r="AV164" s="806"/>
      <c r="AW164" s="800">
        <v>2244771321</v>
      </c>
      <c r="AX164" s="807">
        <v>1524360216</v>
      </c>
      <c r="AY164" s="807">
        <v>720411105</v>
      </c>
      <c r="AZ164" s="807">
        <v>54543067</v>
      </c>
      <c r="BA164" s="196">
        <f t="shared" si="34"/>
        <v>0.67907149460593097</v>
      </c>
      <c r="BB164" s="210">
        <v>331535</v>
      </c>
      <c r="BC164" s="115">
        <v>41656</v>
      </c>
      <c r="BD164" s="236">
        <v>0</v>
      </c>
    </row>
    <row r="165" spans="1:56" s="808" customFormat="1" ht="14.25" customHeight="1">
      <c r="A165" s="792">
        <v>2024</v>
      </c>
      <c r="B165" s="793" t="str">
        <f>+INDEX('①基本情報 '!C:C,MATCH('③経費情報(2024)'!E165,'①基本情報 '!E:E,0))</f>
        <v>157</v>
      </c>
      <c r="C165" s="794" t="str">
        <f>+INDEX('①基本情報 '!B:B,MATCH('③経費情報(2024)'!E165,'①基本情報 '!E:E,0))</f>
        <v>1048</v>
      </c>
      <c r="D165" s="809" t="s">
        <v>2415</v>
      </c>
      <c r="E165" s="616" t="s">
        <v>1027</v>
      </c>
      <c r="F165" s="616" t="str">
        <f>INDEX('①基本情報 '!F:F,MATCH('③経費情報(2024)'!E165,'①基本情報 '!E:E,0))</f>
        <v>教育委員会</v>
      </c>
      <c r="G165" s="797" t="s">
        <v>2187</v>
      </c>
      <c r="H165" s="810"/>
      <c r="I165" s="799"/>
      <c r="J165" s="807">
        <v>67</v>
      </c>
      <c r="K165" s="801">
        <f t="shared" si="26"/>
        <v>67</v>
      </c>
      <c r="L165" s="799">
        <v>7990</v>
      </c>
      <c r="M165" s="799">
        <v>3972</v>
      </c>
      <c r="N165" s="800"/>
      <c r="O165" s="799">
        <v>767</v>
      </c>
      <c r="P165" s="115">
        <v>1</v>
      </c>
      <c r="Q165" s="799">
        <v>9119</v>
      </c>
      <c r="R165" s="115">
        <v>4042</v>
      </c>
      <c r="S165" s="799">
        <f t="shared" si="27"/>
        <v>13161</v>
      </c>
      <c r="T165" s="800">
        <v>13229</v>
      </c>
      <c r="U165" s="803"/>
      <c r="V165" s="799"/>
      <c r="W165" s="801">
        <f t="shared" si="28"/>
        <v>39119</v>
      </c>
      <c r="X165" s="799"/>
      <c r="Y165" s="799"/>
      <c r="Z165" s="803"/>
      <c r="AA165" s="799"/>
      <c r="AB165" s="801">
        <f t="shared" si="29"/>
        <v>0</v>
      </c>
      <c r="AC165" s="799"/>
      <c r="AD165" s="799"/>
      <c r="AE165" s="800"/>
      <c r="AF165" s="804"/>
      <c r="AG165" s="799"/>
      <c r="AH165" s="800"/>
      <c r="AI165" s="800"/>
      <c r="AJ165" s="801">
        <f t="shared" si="25"/>
        <v>0</v>
      </c>
      <c r="AK165" s="800">
        <f t="shared" si="32"/>
        <v>2432101.3169999998</v>
      </c>
      <c r="AL165" s="800">
        <f t="shared" si="32"/>
        <v>1559776.716</v>
      </c>
      <c r="AM165" s="800">
        <f t="shared" si="32"/>
        <v>872324.60100000002</v>
      </c>
      <c r="AN165" s="800">
        <f t="shared" si="32"/>
        <v>87426.807000000001</v>
      </c>
      <c r="AO165" s="192">
        <f t="shared" si="31"/>
        <v>0.64132883983796629</v>
      </c>
      <c r="AP165" s="193">
        <f t="shared" si="33"/>
        <v>126545.807</v>
      </c>
      <c r="AQ165" s="193">
        <f t="shared" si="30"/>
        <v>-126478.807</v>
      </c>
      <c r="AR165" s="805"/>
      <c r="AS165" s="119"/>
      <c r="AT165" s="119"/>
      <c r="AU165" s="120"/>
      <c r="AV165" s="806"/>
      <c r="AW165" s="800">
        <v>2432101317</v>
      </c>
      <c r="AX165" s="807">
        <v>1559776716</v>
      </c>
      <c r="AY165" s="807">
        <v>872324601</v>
      </c>
      <c r="AZ165" s="807">
        <v>87426807</v>
      </c>
      <c r="BA165" s="196">
        <f t="shared" si="34"/>
        <v>0.64132883983796629</v>
      </c>
      <c r="BB165" s="210">
        <v>169787</v>
      </c>
      <c r="BC165" s="115">
        <v>26951</v>
      </c>
      <c r="BD165" s="236">
        <v>0</v>
      </c>
    </row>
    <row r="166" spans="1:56" s="808" customFormat="1" ht="14.1" customHeight="1">
      <c r="A166" s="792">
        <v>2024</v>
      </c>
      <c r="B166" s="793" t="str">
        <f>+INDEX('①基本情報 '!C:C,MATCH('③経費情報(2024)'!E166,'①基本情報 '!E:E,0))</f>
        <v>158</v>
      </c>
      <c r="C166" s="794" t="str">
        <f>+INDEX('①基本情報 '!B:B,MATCH('③経費情報(2024)'!E166,'①基本情報 '!E:E,0))</f>
        <v>1061</v>
      </c>
      <c r="D166" s="809" t="s">
        <v>2415</v>
      </c>
      <c r="E166" s="616" t="s">
        <v>1031</v>
      </c>
      <c r="F166" s="616" t="str">
        <f>INDEX('①基本情報 '!F:F,MATCH('③経費情報(2024)'!E166,'①基本情報 '!E:E,0))</f>
        <v>教育委員会</v>
      </c>
      <c r="G166" s="797" t="s">
        <v>2187</v>
      </c>
      <c r="H166" s="810">
        <v>83298</v>
      </c>
      <c r="I166" s="799">
        <v>0</v>
      </c>
      <c r="J166" s="807">
        <v>1159</v>
      </c>
      <c r="K166" s="801">
        <f t="shared" si="26"/>
        <v>84457</v>
      </c>
      <c r="L166" s="799">
        <v>19161</v>
      </c>
      <c r="M166" s="799">
        <v>4208</v>
      </c>
      <c r="N166" s="800">
        <v>0</v>
      </c>
      <c r="O166" s="799">
        <v>5063</v>
      </c>
      <c r="P166" s="115">
        <v>58</v>
      </c>
      <c r="Q166" s="799">
        <v>9119</v>
      </c>
      <c r="R166" s="115">
        <v>23850</v>
      </c>
      <c r="S166" s="799">
        <f t="shared" si="27"/>
        <v>552752</v>
      </c>
      <c r="T166" s="800">
        <v>41783</v>
      </c>
      <c r="U166" s="803"/>
      <c r="V166" s="799"/>
      <c r="W166" s="801">
        <f t="shared" si="28"/>
        <v>622967</v>
      </c>
      <c r="X166" s="799"/>
      <c r="Y166" s="799"/>
      <c r="Z166" s="803"/>
      <c r="AA166" s="799"/>
      <c r="AB166" s="801">
        <f t="shared" si="29"/>
        <v>0</v>
      </c>
      <c r="AC166" s="799"/>
      <c r="AD166" s="799"/>
      <c r="AE166" s="800"/>
      <c r="AF166" s="804"/>
      <c r="AG166" s="799"/>
      <c r="AH166" s="800"/>
      <c r="AI166" s="800"/>
      <c r="AJ166" s="801">
        <f t="shared" si="25"/>
        <v>0</v>
      </c>
      <c r="AK166" s="800">
        <f t="shared" si="32"/>
        <v>3036268.3870000001</v>
      </c>
      <c r="AL166" s="800">
        <f t="shared" si="32"/>
        <v>2194965.017</v>
      </c>
      <c r="AM166" s="800">
        <f t="shared" si="32"/>
        <v>841303.37</v>
      </c>
      <c r="AN166" s="800">
        <f t="shared" si="32"/>
        <v>48610.767</v>
      </c>
      <c r="AO166" s="192">
        <f t="shared" si="31"/>
        <v>0.72291534779925892</v>
      </c>
      <c r="AP166" s="193">
        <f t="shared" si="33"/>
        <v>671577.76699999999</v>
      </c>
      <c r="AQ166" s="193">
        <f t="shared" si="30"/>
        <v>-587120.76699999999</v>
      </c>
      <c r="AR166" s="805"/>
      <c r="AS166" s="119"/>
      <c r="AT166" s="119"/>
      <c r="AU166" s="120"/>
      <c r="AV166" s="806"/>
      <c r="AW166" s="800">
        <v>3036268387</v>
      </c>
      <c r="AX166" s="807">
        <v>2194965017</v>
      </c>
      <c r="AY166" s="807">
        <v>841303370</v>
      </c>
      <c r="AZ166" s="807">
        <v>48610767</v>
      </c>
      <c r="BA166" s="196">
        <f t="shared" si="34"/>
        <v>0.72291534779925892</v>
      </c>
      <c r="BB166" s="210">
        <v>350968</v>
      </c>
      <c r="BC166" s="115">
        <v>2993</v>
      </c>
      <c r="BD166" s="236">
        <v>0</v>
      </c>
    </row>
    <row r="167" spans="1:56" s="808" customFormat="1" ht="14.25" customHeight="1">
      <c r="A167" s="792">
        <v>2024</v>
      </c>
      <c r="B167" s="793" t="str">
        <f>+INDEX('①基本情報 '!C:C,MATCH('③経費情報(2024)'!E167,'①基本情報 '!E:E,0))</f>
        <v>159</v>
      </c>
      <c r="C167" s="794" t="str">
        <f>+INDEX('①基本情報 '!B:B,MATCH('③経費情報(2024)'!E167,'①基本情報 '!E:E,0))</f>
        <v>1071</v>
      </c>
      <c r="D167" s="809" t="s">
        <v>2415</v>
      </c>
      <c r="E167" s="616" t="s">
        <v>1039</v>
      </c>
      <c r="F167" s="616" t="str">
        <f>INDEX('①基本情報 '!F:F,MATCH('③経費情報(2024)'!E167,'①基本情報 '!E:E,0))</f>
        <v>教育委員会</v>
      </c>
      <c r="G167" s="797" t="s">
        <v>2187</v>
      </c>
      <c r="H167" s="810"/>
      <c r="I167" s="799"/>
      <c r="J167" s="807"/>
      <c r="K167" s="801">
        <f t="shared" si="26"/>
        <v>0</v>
      </c>
      <c r="L167" s="799">
        <v>8089</v>
      </c>
      <c r="M167" s="799">
        <v>9808</v>
      </c>
      <c r="N167" s="800"/>
      <c r="O167" s="804">
        <v>2395</v>
      </c>
      <c r="P167" s="115">
        <v>1</v>
      </c>
      <c r="Q167" s="799">
        <v>9119</v>
      </c>
      <c r="R167" s="115">
        <v>39061</v>
      </c>
      <c r="S167" s="799">
        <f t="shared" si="27"/>
        <v>48180</v>
      </c>
      <c r="T167" s="800">
        <v>44530</v>
      </c>
      <c r="U167" s="803">
        <v>27</v>
      </c>
      <c r="V167" s="799"/>
      <c r="W167" s="801">
        <f t="shared" si="28"/>
        <v>113029</v>
      </c>
      <c r="X167" s="799"/>
      <c r="Y167" s="799"/>
      <c r="Z167" s="803"/>
      <c r="AA167" s="799"/>
      <c r="AB167" s="801">
        <f t="shared" si="29"/>
        <v>0</v>
      </c>
      <c r="AC167" s="799"/>
      <c r="AD167" s="799"/>
      <c r="AE167" s="800"/>
      <c r="AF167" s="804"/>
      <c r="AG167" s="799"/>
      <c r="AH167" s="800"/>
      <c r="AI167" s="800"/>
      <c r="AJ167" s="801">
        <f t="shared" si="25"/>
        <v>0</v>
      </c>
      <c r="AK167" s="800">
        <f t="shared" si="32"/>
        <v>1037883.936</v>
      </c>
      <c r="AL167" s="800">
        <f t="shared" si="32"/>
        <v>747773.23899999994</v>
      </c>
      <c r="AM167" s="800">
        <f t="shared" si="32"/>
        <v>290110.69699999999</v>
      </c>
      <c r="AN167" s="800">
        <f t="shared" si="32"/>
        <v>16796.429</v>
      </c>
      <c r="AO167" s="192">
        <f t="shared" si="31"/>
        <v>0.72047867113341657</v>
      </c>
      <c r="AP167" s="193">
        <f t="shared" si="33"/>
        <v>129825.429</v>
      </c>
      <c r="AQ167" s="193">
        <f t="shared" si="30"/>
        <v>-129825.429</v>
      </c>
      <c r="AR167" s="805"/>
      <c r="AS167" s="119"/>
      <c r="AT167" s="119"/>
      <c r="AU167" s="120"/>
      <c r="AV167" s="806"/>
      <c r="AW167" s="800">
        <v>1037883936</v>
      </c>
      <c r="AX167" s="807">
        <v>747773239</v>
      </c>
      <c r="AY167" s="807">
        <v>290110697</v>
      </c>
      <c r="AZ167" s="807">
        <v>16796429</v>
      </c>
      <c r="BA167" s="196">
        <f t="shared" si="34"/>
        <v>0.72047867113341657</v>
      </c>
      <c r="BB167" s="210">
        <v>189557</v>
      </c>
      <c r="BC167" s="115">
        <v>7666</v>
      </c>
      <c r="BD167" s="236">
        <v>0</v>
      </c>
    </row>
    <row r="168" spans="1:56" s="808" customFormat="1" ht="14.25" customHeight="1">
      <c r="A168" s="792">
        <v>2024</v>
      </c>
      <c r="B168" s="793" t="str">
        <f>+INDEX('①基本情報 '!C:C,MATCH('③経費情報(2024)'!E168,'①基本情報 '!E:E,0))</f>
        <v>160</v>
      </c>
      <c r="C168" s="794" t="str">
        <f>+INDEX('①基本情報 '!B:B,MATCH('③経費情報(2024)'!E168,'①基本情報 '!E:E,0))</f>
        <v>1079</v>
      </c>
      <c r="D168" s="809" t="s">
        <v>2415</v>
      </c>
      <c r="E168" s="616" t="s">
        <v>1045</v>
      </c>
      <c r="F168" s="616" t="str">
        <f>INDEX('①基本情報 '!F:F,MATCH('③経費情報(2024)'!E168,'①基本情報 '!E:E,0))</f>
        <v>教育委員会</v>
      </c>
      <c r="G168" s="797" t="s">
        <v>1046</v>
      </c>
      <c r="H168" s="810"/>
      <c r="I168" s="799">
        <v>800</v>
      </c>
      <c r="J168" s="807"/>
      <c r="K168" s="801">
        <f t="shared" si="26"/>
        <v>800</v>
      </c>
      <c r="L168" s="799">
        <v>47594</v>
      </c>
      <c r="M168" s="799">
        <v>20291</v>
      </c>
      <c r="N168" s="800">
        <v>0</v>
      </c>
      <c r="O168" s="799">
        <v>16801</v>
      </c>
      <c r="P168" s="802">
        <v>8</v>
      </c>
      <c r="Q168" s="799">
        <v>9119</v>
      </c>
      <c r="R168" s="115">
        <v>107569</v>
      </c>
      <c r="S168" s="799">
        <f t="shared" si="27"/>
        <v>180521</v>
      </c>
      <c r="T168" s="800">
        <v>709585</v>
      </c>
      <c r="U168" s="803">
        <v>4458</v>
      </c>
      <c r="V168" s="799"/>
      <c r="W168" s="801">
        <f t="shared" si="28"/>
        <v>979250</v>
      </c>
      <c r="X168" s="799"/>
      <c r="Y168" s="799"/>
      <c r="Z168" s="803"/>
      <c r="AA168" s="799"/>
      <c r="AB168" s="801">
        <f t="shared" si="29"/>
        <v>0</v>
      </c>
      <c r="AC168" s="799"/>
      <c r="AD168" s="799"/>
      <c r="AE168" s="800"/>
      <c r="AF168" s="804"/>
      <c r="AG168" s="799"/>
      <c r="AH168" s="800"/>
      <c r="AI168" s="800"/>
      <c r="AJ168" s="801">
        <f t="shared" si="25"/>
        <v>0</v>
      </c>
      <c r="AK168" s="800">
        <f t="shared" si="32"/>
        <v>1783492.8770000001</v>
      </c>
      <c r="AL168" s="800">
        <f t="shared" si="32"/>
        <v>1402593.3910000001</v>
      </c>
      <c r="AM168" s="800">
        <f t="shared" si="32"/>
        <v>380899.48599999998</v>
      </c>
      <c r="AN168" s="800">
        <f t="shared" si="32"/>
        <v>53572.273999999998</v>
      </c>
      <c r="AO168" s="192">
        <f t="shared" si="31"/>
        <v>0.78643060989359925</v>
      </c>
      <c r="AP168" s="193">
        <f t="shared" si="33"/>
        <v>1032822.274</v>
      </c>
      <c r="AQ168" s="193">
        <f t="shared" si="30"/>
        <v>-1032022.274</v>
      </c>
      <c r="AR168" s="805"/>
      <c r="AS168" s="119"/>
      <c r="AT168" s="119"/>
      <c r="AU168" s="120"/>
      <c r="AV168" s="806"/>
      <c r="AW168" s="800">
        <v>1783492877</v>
      </c>
      <c r="AX168" s="807">
        <v>1402593391</v>
      </c>
      <c r="AY168" s="807">
        <v>380899486</v>
      </c>
      <c r="AZ168" s="807">
        <v>53572274</v>
      </c>
      <c r="BA168" s="196">
        <f t="shared" si="34"/>
        <v>0.78643060989359925</v>
      </c>
      <c r="BB168" s="210">
        <v>476724</v>
      </c>
      <c r="BC168" s="115">
        <v>193724</v>
      </c>
      <c r="BD168" s="236">
        <v>0</v>
      </c>
    </row>
    <row r="169" spans="1:56" s="808" customFormat="1" ht="14.25" customHeight="1">
      <c r="A169" s="792">
        <v>2024</v>
      </c>
      <c r="B169" s="793" t="str">
        <f>+INDEX('①基本情報 '!C:C,MATCH('③経費情報(2024)'!E169,'①基本情報 '!E:E,0))</f>
        <v>161</v>
      </c>
      <c r="C169" s="794" t="str">
        <f>+INDEX('①基本情報 '!B:B,MATCH('③経費情報(2024)'!E169,'①基本情報 '!E:E,0))</f>
        <v>1081</v>
      </c>
      <c r="D169" s="809" t="s">
        <v>2415</v>
      </c>
      <c r="E169" s="616" t="s">
        <v>2133</v>
      </c>
      <c r="F169" s="616" t="str">
        <f>INDEX('①基本情報 '!F:F,MATCH('③経費情報(2024)'!E169,'①基本情報 '!E:E,0))</f>
        <v>教育委員会</v>
      </c>
      <c r="G169" s="797" t="s">
        <v>2452</v>
      </c>
      <c r="H169" s="810"/>
      <c r="I169" s="799">
        <v>730</v>
      </c>
      <c r="J169" s="807"/>
      <c r="K169" s="801">
        <f t="shared" si="26"/>
        <v>730</v>
      </c>
      <c r="L169" s="799">
        <v>43377</v>
      </c>
      <c r="M169" s="799">
        <v>13578</v>
      </c>
      <c r="N169" s="800"/>
      <c r="O169" s="799">
        <v>4052</v>
      </c>
      <c r="P169" s="802">
        <v>4</v>
      </c>
      <c r="Q169" s="799">
        <v>9119</v>
      </c>
      <c r="R169" s="115">
        <v>2125</v>
      </c>
      <c r="S169" s="799">
        <f t="shared" si="27"/>
        <v>38601</v>
      </c>
      <c r="T169" s="800">
        <v>482134</v>
      </c>
      <c r="U169" s="803">
        <v>80</v>
      </c>
      <c r="V169" s="799"/>
      <c r="W169" s="801">
        <f t="shared" si="28"/>
        <v>581822</v>
      </c>
      <c r="X169" s="799"/>
      <c r="Y169" s="799"/>
      <c r="Z169" s="803"/>
      <c r="AA169" s="799"/>
      <c r="AB169" s="801">
        <f t="shared" si="29"/>
        <v>0</v>
      </c>
      <c r="AC169" s="799"/>
      <c r="AD169" s="799"/>
      <c r="AE169" s="800"/>
      <c r="AF169" s="804"/>
      <c r="AG169" s="799"/>
      <c r="AH169" s="800"/>
      <c r="AI169" s="800"/>
      <c r="AJ169" s="801">
        <f t="shared" si="25"/>
        <v>0</v>
      </c>
      <c r="AK169" s="800">
        <f t="shared" si="32"/>
        <v>1826821.0870000001</v>
      </c>
      <c r="AL169" s="800">
        <f t="shared" si="32"/>
        <v>664760.20200000005</v>
      </c>
      <c r="AM169" s="800">
        <f t="shared" si="32"/>
        <v>1162060.885</v>
      </c>
      <c r="AN169" s="800">
        <f t="shared" si="32"/>
        <v>94823.922999999995</v>
      </c>
      <c r="AO169" s="192">
        <f t="shared" si="31"/>
        <v>0.36388905664082694</v>
      </c>
      <c r="AP169" s="193">
        <f t="shared" si="33"/>
        <v>676645.92299999995</v>
      </c>
      <c r="AQ169" s="193">
        <f t="shared" si="30"/>
        <v>-675915.92299999995</v>
      </c>
      <c r="AR169" s="805"/>
      <c r="AS169" s="119"/>
      <c r="AT169" s="119"/>
      <c r="AU169" s="120"/>
      <c r="AV169" s="806"/>
      <c r="AW169" s="800">
        <v>1826821087</v>
      </c>
      <c r="AX169" s="807">
        <v>664760202</v>
      </c>
      <c r="AY169" s="807">
        <v>1162060885</v>
      </c>
      <c r="AZ169" s="807">
        <v>94823923</v>
      </c>
      <c r="BA169" s="196">
        <f t="shared" si="34"/>
        <v>0.36388905664082694</v>
      </c>
      <c r="BB169" s="210">
        <v>485957</v>
      </c>
      <c r="BC169" s="115">
        <v>0</v>
      </c>
      <c r="BD169" s="236">
        <v>64437</v>
      </c>
    </row>
    <row r="170" spans="1:56" s="808" customFormat="1" ht="14.25" customHeight="1">
      <c r="A170" s="792">
        <v>2024</v>
      </c>
      <c r="B170" s="793" t="str">
        <f>+INDEX('①基本情報 '!C:C,MATCH('③経費情報(2024)'!E170,'①基本情報 '!E:E,0))</f>
        <v>162</v>
      </c>
      <c r="C170" s="794" t="str">
        <f>+INDEX('①基本情報 '!B:B,MATCH('③経費情報(2024)'!E170,'①基本情報 '!E:E,0))</f>
        <v>0301</v>
      </c>
      <c r="D170" s="809" t="s">
        <v>2415</v>
      </c>
      <c r="E170" s="616" t="s">
        <v>1056</v>
      </c>
      <c r="F170" s="616" t="str">
        <f>INDEX('①基本情報 '!F:F,MATCH('③経費情報(2024)'!E170,'①基本情報 '!E:E,0))</f>
        <v>教育委員会</v>
      </c>
      <c r="G170" s="813" t="s">
        <v>2188</v>
      </c>
      <c r="H170" s="810">
        <v>22438</v>
      </c>
      <c r="I170" s="799">
        <v>41</v>
      </c>
      <c r="J170" s="807">
        <v>9599</v>
      </c>
      <c r="K170" s="801">
        <f t="shared" si="26"/>
        <v>32078</v>
      </c>
      <c r="L170" s="799">
        <v>3933</v>
      </c>
      <c r="M170" s="799">
        <v>871</v>
      </c>
      <c r="N170" s="800"/>
      <c r="O170" s="804">
        <v>416</v>
      </c>
      <c r="P170" s="115">
        <v>5</v>
      </c>
      <c r="Q170" s="799">
        <v>9119</v>
      </c>
      <c r="R170" s="115">
        <v>10168</v>
      </c>
      <c r="S170" s="799">
        <f t="shared" si="27"/>
        <v>55763</v>
      </c>
      <c r="T170" s="800">
        <v>23103</v>
      </c>
      <c r="U170" s="144">
        <v>50</v>
      </c>
      <c r="V170" s="799"/>
      <c r="W170" s="801">
        <f t="shared" si="28"/>
        <v>84136</v>
      </c>
      <c r="X170" s="799"/>
      <c r="Y170" s="799"/>
      <c r="Z170" s="803"/>
      <c r="AA170" s="799"/>
      <c r="AB170" s="801">
        <f t="shared" si="29"/>
        <v>0</v>
      </c>
      <c r="AC170" s="799"/>
      <c r="AD170" s="799"/>
      <c r="AE170" s="800"/>
      <c r="AF170" s="804"/>
      <c r="AG170" s="799"/>
      <c r="AH170" s="800"/>
      <c r="AI170" s="800"/>
      <c r="AJ170" s="801">
        <f t="shared" si="25"/>
        <v>0</v>
      </c>
      <c r="AK170" s="800">
        <f t="shared" si="32"/>
        <v>441504.21</v>
      </c>
      <c r="AL170" s="800">
        <f t="shared" si="32"/>
        <v>172886.75899999999</v>
      </c>
      <c r="AM170" s="800">
        <f t="shared" si="32"/>
        <v>268617.451</v>
      </c>
      <c r="AN170" s="800">
        <f t="shared" si="32"/>
        <v>6349.0010000000002</v>
      </c>
      <c r="AO170" s="192">
        <f t="shared" si="31"/>
        <v>0.39158575407468932</v>
      </c>
      <c r="AP170" s="193">
        <f t="shared" si="33"/>
        <v>90485.001000000004</v>
      </c>
      <c r="AQ170" s="193">
        <f t="shared" si="30"/>
        <v>-58407.001000000004</v>
      </c>
      <c r="AR170" s="805"/>
      <c r="AS170" s="119"/>
      <c r="AT170" s="119"/>
      <c r="AU170" s="120"/>
      <c r="AV170" s="806"/>
      <c r="AW170" s="800">
        <v>441504210</v>
      </c>
      <c r="AX170" s="807">
        <v>172886759</v>
      </c>
      <c r="AY170" s="807">
        <v>268617451</v>
      </c>
      <c r="AZ170" s="807">
        <v>6349001</v>
      </c>
      <c r="BA170" s="196">
        <f t="shared" si="34"/>
        <v>0.39158575407468932</v>
      </c>
      <c r="BB170" s="210">
        <v>43912</v>
      </c>
      <c r="BC170" s="115">
        <v>19158</v>
      </c>
      <c r="BD170" s="236">
        <v>0</v>
      </c>
    </row>
    <row r="171" spans="1:56" s="808" customFormat="1" ht="14.25" customHeight="1">
      <c r="A171" s="792">
        <v>2024</v>
      </c>
      <c r="B171" s="793" t="str">
        <f>+INDEX('①基本情報 '!C:C,MATCH('③経費情報(2024)'!E171,'①基本情報 '!E:E,0))</f>
        <v>163</v>
      </c>
      <c r="C171" s="794" t="str">
        <f>+INDEX('①基本情報 '!B:B,MATCH('③経費情報(2024)'!E171,'①基本情報 '!E:E,0))</f>
        <v>0303</v>
      </c>
      <c r="D171" s="809" t="s">
        <v>2415</v>
      </c>
      <c r="E171" s="616" t="s">
        <v>1072</v>
      </c>
      <c r="F171" s="616" t="str">
        <f>INDEX('①基本情報 '!F:F,MATCH('③経費情報(2024)'!E171,'①基本情報 '!E:E,0))</f>
        <v>教育委員会</v>
      </c>
      <c r="G171" s="813" t="s">
        <v>2188</v>
      </c>
      <c r="H171" s="810">
        <v>8712</v>
      </c>
      <c r="I171" s="799">
        <v>41</v>
      </c>
      <c r="J171" s="807">
        <v>8192</v>
      </c>
      <c r="K171" s="801">
        <f t="shared" si="26"/>
        <v>16945</v>
      </c>
      <c r="L171" s="799">
        <v>5005</v>
      </c>
      <c r="M171" s="799">
        <v>2237</v>
      </c>
      <c r="N171" s="800"/>
      <c r="O171" s="804">
        <v>2002</v>
      </c>
      <c r="P171" s="115">
        <v>5</v>
      </c>
      <c r="Q171" s="799">
        <v>9119</v>
      </c>
      <c r="R171" s="115">
        <v>12780</v>
      </c>
      <c r="S171" s="799">
        <f t="shared" si="27"/>
        <v>58375</v>
      </c>
      <c r="T171" s="800">
        <v>19432</v>
      </c>
      <c r="U171" s="144"/>
      <c r="V171" s="799"/>
      <c r="W171" s="801">
        <f t="shared" si="28"/>
        <v>87051</v>
      </c>
      <c r="X171" s="799"/>
      <c r="Y171" s="799"/>
      <c r="Z171" s="803"/>
      <c r="AA171" s="799"/>
      <c r="AB171" s="801">
        <f t="shared" si="29"/>
        <v>0</v>
      </c>
      <c r="AC171" s="799"/>
      <c r="AD171" s="799"/>
      <c r="AE171" s="800"/>
      <c r="AF171" s="804"/>
      <c r="AG171" s="799"/>
      <c r="AH171" s="800"/>
      <c r="AI171" s="800"/>
      <c r="AJ171" s="801">
        <f t="shared" si="25"/>
        <v>0</v>
      </c>
      <c r="AK171" s="800">
        <f t="shared" si="32"/>
        <v>445592.5</v>
      </c>
      <c r="AL171" s="800">
        <f t="shared" si="32"/>
        <v>183387.696</v>
      </c>
      <c r="AM171" s="800">
        <f t="shared" si="32"/>
        <v>262204.804</v>
      </c>
      <c r="AN171" s="800">
        <f t="shared" si="32"/>
        <v>15282.308000000001</v>
      </c>
      <c r="AO171" s="192">
        <f t="shared" si="31"/>
        <v>0.41155920712310012</v>
      </c>
      <c r="AP171" s="193">
        <f t="shared" si="33"/>
        <v>102333.308</v>
      </c>
      <c r="AQ171" s="193">
        <f t="shared" si="30"/>
        <v>-85388.308000000005</v>
      </c>
      <c r="AR171" s="805"/>
      <c r="AS171" s="119"/>
      <c r="AT171" s="119"/>
      <c r="AU171" s="120"/>
      <c r="AV171" s="806"/>
      <c r="AW171" s="800">
        <v>445592500</v>
      </c>
      <c r="AX171" s="807">
        <v>183387696</v>
      </c>
      <c r="AY171" s="807">
        <v>262204804</v>
      </c>
      <c r="AZ171" s="807">
        <v>15282308</v>
      </c>
      <c r="BA171" s="196">
        <f t="shared" si="34"/>
        <v>0.41155920712310012</v>
      </c>
      <c r="BB171" s="210">
        <v>58099</v>
      </c>
      <c r="BC171" s="115">
        <v>25454</v>
      </c>
      <c r="BD171" s="236">
        <v>0</v>
      </c>
    </row>
    <row r="172" spans="1:56" s="808" customFormat="1" ht="14.25" customHeight="1">
      <c r="A172" s="792">
        <v>2024</v>
      </c>
      <c r="B172" s="793" t="str">
        <f>+INDEX('①基本情報 '!C:C,MATCH('③経費情報(2024)'!E172,'①基本情報 '!E:E,0))</f>
        <v>164</v>
      </c>
      <c r="C172" s="794" t="str">
        <f>+INDEX('①基本情報 '!B:B,MATCH('③経費情報(2024)'!E172,'①基本情報 '!E:E,0))</f>
        <v>0305</v>
      </c>
      <c r="D172" s="809" t="s">
        <v>2415</v>
      </c>
      <c r="E172" s="616" t="s">
        <v>1078</v>
      </c>
      <c r="F172" s="616" t="str">
        <f>INDEX('①基本情報 '!F:F,MATCH('③経費情報(2024)'!E172,'①基本情報 '!E:E,0))</f>
        <v>教育委員会</v>
      </c>
      <c r="G172" s="813" t="s">
        <v>2188</v>
      </c>
      <c r="H172" s="810">
        <v>18178</v>
      </c>
      <c r="I172" s="799">
        <v>41</v>
      </c>
      <c r="J172" s="807">
        <v>7856</v>
      </c>
      <c r="K172" s="801">
        <f t="shared" si="26"/>
        <v>26075</v>
      </c>
      <c r="L172" s="799">
        <v>5167</v>
      </c>
      <c r="M172" s="799">
        <v>946</v>
      </c>
      <c r="N172" s="800"/>
      <c r="O172" s="804">
        <v>568</v>
      </c>
      <c r="P172" s="115">
        <v>30</v>
      </c>
      <c r="Q172" s="799">
        <v>9119</v>
      </c>
      <c r="R172" s="115">
        <v>80245</v>
      </c>
      <c r="S172" s="799">
        <f t="shared" si="27"/>
        <v>353815</v>
      </c>
      <c r="T172" s="800">
        <v>19834</v>
      </c>
      <c r="U172" s="144">
        <v>36</v>
      </c>
      <c r="V172" s="799"/>
      <c r="W172" s="801">
        <f t="shared" si="28"/>
        <v>380366</v>
      </c>
      <c r="X172" s="799"/>
      <c r="Y172" s="799"/>
      <c r="Z172" s="803"/>
      <c r="AA172" s="799"/>
      <c r="AB172" s="801">
        <f t="shared" si="29"/>
        <v>0</v>
      </c>
      <c r="AC172" s="799"/>
      <c r="AD172" s="799"/>
      <c r="AE172" s="800"/>
      <c r="AF172" s="804"/>
      <c r="AG172" s="799"/>
      <c r="AH172" s="800"/>
      <c r="AI172" s="800"/>
      <c r="AJ172" s="801">
        <f t="shared" si="25"/>
        <v>0</v>
      </c>
      <c r="AK172" s="800">
        <f t="shared" si="32"/>
        <v>154146.09700000001</v>
      </c>
      <c r="AL172" s="800">
        <f t="shared" si="32"/>
        <v>119045.79</v>
      </c>
      <c r="AM172" s="800">
        <f t="shared" si="32"/>
        <v>35100.307000000001</v>
      </c>
      <c r="AN172" s="800">
        <f t="shared" si="32"/>
        <v>1873.7329999999999</v>
      </c>
      <c r="AO172" s="192">
        <f t="shared" si="31"/>
        <v>0.77229195105731419</v>
      </c>
      <c r="AP172" s="193">
        <f t="shared" si="33"/>
        <v>382239.73300000001</v>
      </c>
      <c r="AQ172" s="193">
        <f t="shared" si="30"/>
        <v>-356164.73300000001</v>
      </c>
      <c r="AR172" s="805"/>
      <c r="AS172" s="119"/>
      <c r="AT172" s="119"/>
      <c r="AU172" s="120"/>
      <c r="AV172" s="806"/>
      <c r="AW172" s="800">
        <v>154146097</v>
      </c>
      <c r="AX172" s="807">
        <v>119045790</v>
      </c>
      <c r="AY172" s="807">
        <v>35100307</v>
      </c>
      <c r="AZ172" s="807">
        <v>1873733</v>
      </c>
      <c r="BA172" s="196">
        <f t="shared" si="34"/>
        <v>0.77229195105731419</v>
      </c>
      <c r="BB172" s="210">
        <v>121861</v>
      </c>
      <c r="BC172" s="115">
        <v>0</v>
      </c>
      <c r="BD172" s="236">
        <v>6090.2</v>
      </c>
    </row>
    <row r="173" spans="1:56" s="808" customFormat="1" ht="14.25" customHeight="1">
      <c r="A173" s="792">
        <v>2024</v>
      </c>
      <c r="B173" s="793" t="str">
        <f>+INDEX('①基本情報 '!C:C,MATCH('③経費情報(2024)'!E173,'①基本情報 '!E:E,0))</f>
        <v>165</v>
      </c>
      <c r="C173" s="794" t="str">
        <f>+INDEX('①基本情報 '!B:B,MATCH('③経費情報(2024)'!E173,'①基本情報 '!E:E,0))</f>
        <v>0307</v>
      </c>
      <c r="D173" s="809" t="s">
        <v>2415</v>
      </c>
      <c r="E173" s="616" t="s">
        <v>1084</v>
      </c>
      <c r="F173" s="616" t="str">
        <f>INDEX('①基本情報 '!F:F,MATCH('③経費情報(2024)'!E173,'①基本情報 '!E:E,0))</f>
        <v>教育委員会</v>
      </c>
      <c r="G173" s="813" t="s">
        <v>2188</v>
      </c>
      <c r="H173" s="810">
        <v>13164</v>
      </c>
      <c r="I173" s="799">
        <v>41</v>
      </c>
      <c r="J173" s="807">
        <v>6685</v>
      </c>
      <c r="K173" s="801">
        <f t="shared" si="26"/>
        <v>19890</v>
      </c>
      <c r="L173" s="799">
        <v>2932</v>
      </c>
      <c r="M173" s="799">
        <v>1045</v>
      </c>
      <c r="N173" s="800"/>
      <c r="O173" s="804">
        <v>857</v>
      </c>
      <c r="P173" s="115">
        <v>14</v>
      </c>
      <c r="Q173" s="799">
        <v>9119</v>
      </c>
      <c r="R173" s="115">
        <v>49314</v>
      </c>
      <c r="S173" s="799">
        <f t="shared" si="27"/>
        <v>176980</v>
      </c>
      <c r="T173" s="800">
        <v>17376</v>
      </c>
      <c r="U173" s="144">
        <v>52</v>
      </c>
      <c r="V173" s="799"/>
      <c r="W173" s="801">
        <f t="shared" si="28"/>
        <v>199242</v>
      </c>
      <c r="X173" s="799"/>
      <c r="Y173" s="799"/>
      <c r="Z173" s="803"/>
      <c r="AA173" s="799"/>
      <c r="AB173" s="801">
        <f t="shared" si="29"/>
        <v>0</v>
      </c>
      <c r="AC173" s="799"/>
      <c r="AD173" s="799"/>
      <c r="AE173" s="800"/>
      <c r="AF173" s="804"/>
      <c r="AG173" s="799"/>
      <c r="AH173" s="800"/>
      <c r="AI173" s="800"/>
      <c r="AJ173" s="801">
        <f t="shared" si="25"/>
        <v>0</v>
      </c>
      <c r="AK173" s="800">
        <f t="shared" si="32"/>
        <v>457995.58799999999</v>
      </c>
      <c r="AL173" s="800">
        <f t="shared" si="32"/>
        <v>191487.94899999999</v>
      </c>
      <c r="AM173" s="800">
        <f t="shared" si="32"/>
        <v>266507.63900000002</v>
      </c>
      <c r="AN173" s="800">
        <f t="shared" si="32"/>
        <v>13266.275</v>
      </c>
      <c r="AO173" s="192">
        <f t="shared" si="31"/>
        <v>0.41809998615095828</v>
      </c>
      <c r="AP173" s="193">
        <f t="shared" si="33"/>
        <v>212508.27499999999</v>
      </c>
      <c r="AQ173" s="193">
        <f t="shared" si="30"/>
        <v>-192618.27499999999</v>
      </c>
      <c r="AR173" s="805"/>
      <c r="AS173" s="119"/>
      <c r="AT173" s="119"/>
      <c r="AU173" s="120"/>
      <c r="AV173" s="806"/>
      <c r="AW173" s="800">
        <v>457995588</v>
      </c>
      <c r="AX173" s="807">
        <v>191487949</v>
      </c>
      <c r="AY173" s="807">
        <v>266507639</v>
      </c>
      <c r="AZ173" s="807">
        <v>13266275</v>
      </c>
      <c r="BA173" s="196">
        <f t="shared" si="34"/>
        <v>0.41809998615095828</v>
      </c>
      <c r="BB173" s="210">
        <v>76672</v>
      </c>
      <c r="BC173" s="115">
        <v>3437</v>
      </c>
      <c r="BD173" s="236">
        <v>0</v>
      </c>
    </row>
    <row r="174" spans="1:56" s="808" customFormat="1" ht="14.25" customHeight="1">
      <c r="A174" s="792">
        <v>2024</v>
      </c>
      <c r="B174" s="793" t="str">
        <f>+INDEX('①基本情報 '!C:C,MATCH('③経費情報(2024)'!E174,'①基本情報 '!E:E,0))</f>
        <v>166</v>
      </c>
      <c r="C174" s="794" t="str">
        <f>+INDEX('①基本情報 '!B:B,MATCH('③経費情報(2024)'!E174,'①基本情報 '!E:E,0))</f>
        <v>0308</v>
      </c>
      <c r="D174" s="809" t="s">
        <v>2415</v>
      </c>
      <c r="E174" s="616" t="s">
        <v>1089</v>
      </c>
      <c r="F174" s="616" t="str">
        <f>INDEX('①基本情報 '!F:F,MATCH('③経費情報(2024)'!E174,'①基本情報 '!E:E,0))</f>
        <v>教育委員会</v>
      </c>
      <c r="G174" s="813" t="s">
        <v>2188</v>
      </c>
      <c r="H174" s="810">
        <v>11185</v>
      </c>
      <c r="I174" s="799">
        <v>41</v>
      </c>
      <c r="J174" s="807">
        <v>5458</v>
      </c>
      <c r="K174" s="801">
        <f t="shared" si="26"/>
        <v>16684</v>
      </c>
      <c r="L174" s="799">
        <v>3494</v>
      </c>
      <c r="M174" s="799">
        <v>1692</v>
      </c>
      <c r="N174" s="800"/>
      <c r="O174" s="804">
        <v>325</v>
      </c>
      <c r="P174" s="115">
        <v>23</v>
      </c>
      <c r="Q174" s="799">
        <v>9119</v>
      </c>
      <c r="R174" s="115">
        <v>55884</v>
      </c>
      <c r="S174" s="799">
        <f t="shared" si="27"/>
        <v>265621</v>
      </c>
      <c r="T174" s="800">
        <v>14689</v>
      </c>
      <c r="U174" s="144"/>
      <c r="V174" s="799"/>
      <c r="W174" s="801">
        <f t="shared" si="28"/>
        <v>285821</v>
      </c>
      <c r="X174" s="799"/>
      <c r="Y174" s="799"/>
      <c r="Z174" s="803"/>
      <c r="AA174" s="799"/>
      <c r="AB174" s="801">
        <f t="shared" si="29"/>
        <v>0</v>
      </c>
      <c r="AC174" s="799"/>
      <c r="AD174" s="799"/>
      <c r="AE174" s="800"/>
      <c r="AF174" s="804"/>
      <c r="AG174" s="799"/>
      <c r="AH174" s="800"/>
      <c r="AI174" s="800"/>
      <c r="AJ174" s="801">
        <f t="shared" si="25"/>
        <v>0</v>
      </c>
      <c r="AK174" s="800">
        <f t="shared" si="32"/>
        <v>374673.6</v>
      </c>
      <c r="AL174" s="800">
        <f t="shared" si="32"/>
        <v>123782.481</v>
      </c>
      <c r="AM174" s="800">
        <f t="shared" si="32"/>
        <v>250891.11900000001</v>
      </c>
      <c r="AN174" s="800">
        <f t="shared" si="32"/>
        <v>13753.609</v>
      </c>
      <c r="AO174" s="192">
        <f t="shared" si="31"/>
        <v>0.33037417368077177</v>
      </c>
      <c r="AP174" s="193">
        <f t="shared" si="33"/>
        <v>299574.609</v>
      </c>
      <c r="AQ174" s="193">
        <f t="shared" si="30"/>
        <v>-282890.609</v>
      </c>
      <c r="AR174" s="805"/>
      <c r="AS174" s="119"/>
      <c r="AT174" s="119"/>
      <c r="AU174" s="120"/>
      <c r="AV174" s="806"/>
      <c r="AW174" s="800">
        <v>374673600</v>
      </c>
      <c r="AX174" s="807">
        <v>123782481</v>
      </c>
      <c r="AY174" s="807">
        <v>250891119</v>
      </c>
      <c r="AZ174" s="807">
        <v>13753609</v>
      </c>
      <c r="BA174" s="196">
        <f t="shared" si="34"/>
        <v>0.33037417368077177</v>
      </c>
      <c r="BB174" s="210">
        <v>46474</v>
      </c>
      <c r="BC174" s="115">
        <v>14397</v>
      </c>
      <c r="BD174" s="236">
        <v>0</v>
      </c>
    </row>
    <row r="175" spans="1:56" s="808" customFormat="1" ht="14.25" customHeight="1">
      <c r="A175" s="792">
        <v>2024</v>
      </c>
      <c r="B175" s="793" t="str">
        <f>+INDEX('①基本情報 '!C:C,MATCH('③経費情報(2024)'!E175,'①基本情報 '!E:E,0))</f>
        <v>167</v>
      </c>
      <c r="C175" s="794" t="str">
        <f>+INDEX('①基本情報 '!B:B,MATCH('③経費情報(2024)'!E175,'①基本情報 '!E:E,0))</f>
        <v>1001</v>
      </c>
      <c r="D175" s="809" t="s">
        <v>2415</v>
      </c>
      <c r="E175" s="616" t="s">
        <v>1093</v>
      </c>
      <c r="F175" s="616" t="str">
        <f>INDEX('①基本情報 '!F:F,MATCH('③経費情報(2024)'!E175,'①基本情報 '!E:E,0))</f>
        <v>教育委員会</v>
      </c>
      <c r="G175" s="854" t="s">
        <v>2188</v>
      </c>
      <c r="H175" s="810">
        <v>719</v>
      </c>
      <c r="I175" s="799">
        <v>24</v>
      </c>
      <c r="J175" s="807"/>
      <c r="K175" s="801">
        <f t="shared" si="26"/>
        <v>743</v>
      </c>
      <c r="L175" s="799">
        <v>1232</v>
      </c>
      <c r="M175" s="799">
        <v>1121</v>
      </c>
      <c r="N175" s="800"/>
      <c r="O175" s="799">
        <v>986</v>
      </c>
      <c r="P175" s="115">
        <v>26</v>
      </c>
      <c r="Q175" s="799">
        <v>9119</v>
      </c>
      <c r="R175" s="115">
        <v>84501</v>
      </c>
      <c r="S175" s="799">
        <f t="shared" si="27"/>
        <v>321595</v>
      </c>
      <c r="T175" s="800">
        <v>1953</v>
      </c>
      <c r="U175" s="803">
        <v>19</v>
      </c>
      <c r="V175" s="799"/>
      <c r="W175" s="801">
        <f t="shared" si="28"/>
        <v>326906</v>
      </c>
      <c r="X175" s="799"/>
      <c r="Y175" s="799"/>
      <c r="Z175" s="803"/>
      <c r="AA175" s="799"/>
      <c r="AB175" s="801">
        <f t="shared" si="29"/>
        <v>0</v>
      </c>
      <c r="AC175" s="799"/>
      <c r="AD175" s="799"/>
      <c r="AE175" s="800"/>
      <c r="AF175" s="804"/>
      <c r="AG175" s="799"/>
      <c r="AH175" s="800"/>
      <c r="AI175" s="800"/>
      <c r="AJ175" s="801">
        <f t="shared" si="25"/>
        <v>0</v>
      </c>
      <c r="AK175" s="800">
        <f t="shared" si="32"/>
        <v>299010.69300000003</v>
      </c>
      <c r="AL175" s="800">
        <f t="shared" si="32"/>
        <v>189705.67600000001</v>
      </c>
      <c r="AM175" s="800">
        <f t="shared" si="32"/>
        <v>109305.01700000001</v>
      </c>
      <c r="AN175" s="800">
        <f t="shared" si="32"/>
        <v>6413.259</v>
      </c>
      <c r="AO175" s="192">
        <f t="shared" si="31"/>
        <v>0.63444445446638253</v>
      </c>
      <c r="AP175" s="193">
        <f t="shared" si="33"/>
        <v>333319.25900000002</v>
      </c>
      <c r="AQ175" s="193">
        <f t="shared" si="30"/>
        <v>-332576.25900000002</v>
      </c>
      <c r="AR175" s="805"/>
      <c r="AS175" s="119"/>
      <c r="AT175" s="119"/>
      <c r="AU175" s="120"/>
      <c r="AV175" s="806"/>
      <c r="AW175" s="800">
        <v>299010693</v>
      </c>
      <c r="AX175" s="807">
        <v>189705676</v>
      </c>
      <c r="AY175" s="807">
        <v>109305017</v>
      </c>
      <c r="AZ175" s="807">
        <v>6413259</v>
      </c>
      <c r="BA175" s="196">
        <f t="shared" si="34"/>
        <v>0.63444445446638253</v>
      </c>
      <c r="BB175" s="210">
        <v>12128</v>
      </c>
      <c r="BC175" s="115">
        <v>4082</v>
      </c>
      <c r="BD175" s="236">
        <v>0</v>
      </c>
    </row>
    <row r="176" spans="1:56" s="808" customFormat="1" ht="14.25" customHeight="1">
      <c r="A176" s="792">
        <v>2024</v>
      </c>
      <c r="B176" s="793" t="str">
        <f>+INDEX('①基本情報 '!C:C,MATCH('③経費情報(2024)'!E176,'①基本情報 '!E:E,0))</f>
        <v>168</v>
      </c>
      <c r="C176" s="794" t="str">
        <f>+INDEX('①基本情報 '!B:B,MATCH('③経費情報(2024)'!E176,'①基本情報 '!E:E,0))</f>
        <v>1009</v>
      </c>
      <c r="D176" s="809" t="s">
        <v>2415</v>
      </c>
      <c r="E176" s="616" t="s">
        <v>1105</v>
      </c>
      <c r="F176" s="616" t="str">
        <f>INDEX('①基本情報 '!F:F,MATCH('③経費情報(2024)'!E176,'①基本情報 '!E:E,0))</f>
        <v>教育委員会</v>
      </c>
      <c r="G176" s="854" t="s">
        <v>2188</v>
      </c>
      <c r="H176" s="810">
        <v>635</v>
      </c>
      <c r="I176" s="799">
        <v>24</v>
      </c>
      <c r="J176" s="807"/>
      <c r="K176" s="801">
        <f t="shared" si="26"/>
        <v>659</v>
      </c>
      <c r="L176" s="799">
        <v>806</v>
      </c>
      <c r="M176" s="799">
        <v>513</v>
      </c>
      <c r="N176" s="800"/>
      <c r="O176" s="799">
        <v>685</v>
      </c>
      <c r="P176" s="115">
        <v>22</v>
      </c>
      <c r="Q176" s="799">
        <v>9119</v>
      </c>
      <c r="R176" s="115">
        <v>56299</v>
      </c>
      <c r="S176" s="799">
        <f t="shared" si="27"/>
        <v>256917</v>
      </c>
      <c r="T176" s="800">
        <v>2241</v>
      </c>
      <c r="U176" s="803">
        <v>19</v>
      </c>
      <c r="V176" s="799"/>
      <c r="W176" s="801">
        <f t="shared" si="28"/>
        <v>261181</v>
      </c>
      <c r="X176" s="799"/>
      <c r="Y176" s="799"/>
      <c r="Z176" s="803"/>
      <c r="AA176" s="799"/>
      <c r="AB176" s="801">
        <f t="shared" si="29"/>
        <v>0</v>
      </c>
      <c r="AC176" s="799"/>
      <c r="AD176" s="799"/>
      <c r="AE176" s="800"/>
      <c r="AF176" s="804"/>
      <c r="AG176" s="799"/>
      <c r="AH176" s="800"/>
      <c r="AI176" s="800"/>
      <c r="AJ176" s="801">
        <f t="shared" si="25"/>
        <v>0</v>
      </c>
      <c r="AK176" s="800">
        <f t="shared" si="32"/>
        <v>173809.709</v>
      </c>
      <c r="AL176" s="800">
        <f t="shared" si="32"/>
        <v>133162.448</v>
      </c>
      <c r="AM176" s="800">
        <f t="shared" si="32"/>
        <v>40647.260999999999</v>
      </c>
      <c r="AN176" s="800">
        <f t="shared" si="32"/>
        <v>2409.2620000000002</v>
      </c>
      <c r="AO176" s="192">
        <f t="shared" si="31"/>
        <v>0.76613929547514514</v>
      </c>
      <c r="AP176" s="193">
        <f t="shared" si="33"/>
        <v>263590.26199999999</v>
      </c>
      <c r="AQ176" s="193">
        <f t="shared" si="30"/>
        <v>-262931.26199999999</v>
      </c>
      <c r="AR176" s="805"/>
      <c r="AS176" s="119"/>
      <c r="AT176" s="119"/>
      <c r="AU176" s="120"/>
      <c r="AV176" s="806"/>
      <c r="AW176" s="800">
        <v>173809709</v>
      </c>
      <c r="AX176" s="807">
        <v>133162448</v>
      </c>
      <c r="AY176" s="807">
        <v>40647261</v>
      </c>
      <c r="AZ176" s="807">
        <v>2409262</v>
      </c>
      <c r="BA176" s="196">
        <f t="shared" si="34"/>
        <v>0.76613929547514514</v>
      </c>
      <c r="BB176" s="210">
        <v>25194</v>
      </c>
      <c r="BC176" s="115">
        <v>12</v>
      </c>
      <c r="BD176" s="236">
        <v>0</v>
      </c>
    </row>
    <row r="177" spans="1:59" s="808" customFormat="1" ht="14.25" customHeight="1">
      <c r="A177" s="792">
        <v>2024</v>
      </c>
      <c r="B177" s="793" t="str">
        <f>+INDEX('①基本情報 '!C:C,MATCH('③経費情報(2024)'!E177,'①基本情報 '!E:E,0))</f>
        <v>169</v>
      </c>
      <c r="C177" s="794" t="str">
        <f>+INDEX('①基本情報 '!B:B,MATCH('③経費情報(2024)'!E177,'①基本情報 '!E:E,0))</f>
        <v>1010</v>
      </c>
      <c r="D177" s="809" t="s">
        <v>2415</v>
      </c>
      <c r="E177" s="616" t="s">
        <v>1109</v>
      </c>
      <c r="F177" s="616" t="str">
        <f>INDEX('①基本情報 '!F:F,MATCH('③経費情報(2024)'!E177,'①基本情報 '!E:E,0))</f>
        <v>教育委員会</v>
      </c>
      <c r="G177" s="854" t="s">
        <v>2188</v>
      </c>
      <c r="H177" s="810">
        <v>119</v>
      </c>
      <c r="I177" s="799">
        <v>24</v>
      </c>
      <c r="J177" s="807"/>
      <c r="K177" s="801">
        <f t="shared" si="26"/>
        <v>143</v>
      </c>
      <c r="L177" s="799">
        <v>1135</v>
      </c>
      <c r="M177" s="799">
        <v>758</v>
      </c>
      <c r="N177" s="800"/>
      <c r="O177" s="799">
        <v>2176</v>
      </c>
      <c r="P177" s="115">
        <v>25</v>
      </c>
      <c r="Q177" s="799">
        <v>9119</v>
      </c>
      <c r="R177" s="115">
        <v>59187</v>
      </c>
      <c r="S177" s="799">
        <f t="shared" si="27"/>
        <v>287162</v>
      </c>
      <c r="T177" s="800">
        <v>1366</v>
      </c>
      <c r="U177" s="803"/>
      <c r="V177" s="799"/>
      <c r="W177" s="801">
        <f t="shared" si="28"/>
        <v>292597</v>
      </c>
      <c r="X177" s="799"/>
      <c r="Y177" s="799"/>
      <c r="Z177" s="803"/>
      <c r="AA177" s="799"/>
      <c r="AB177" s="801">
        <f t="shared" si="29"/>
        <v>0</v>
      </c>
      <c r="AC177" s="799"/>
      <c r="AD177" s="799"/>
      <c r="AE177" s="800"/>
      <c r="AF177" s="804"/>
      <c r="AG177" s="799"/>
      <c r="AH177" s="800"/>
      <c r="AI177" s="800"/>
      <c r="AJ177" s="801">
        <f t="shared" si="25"/>
        <v>0</v>
      </c>
      <c r="AK177" s="800">
        <f t="shared" si="32"/>
        <v>103574.72500000001</v>
      </c>
      <c r="AL177" s="800">
        <f t="shared" si="32"/>
        <v>92657.611999999994</v>
      </c>
      <c r="AM177" s="800">
        <f t="shared" si="32"/>
        <v>10917.112999999999</v>
      </c>
      <c r="AN177" s="800">
        <f t="shared" si="32"/>
        <v>859.42399999999998</v>
      </c>
      <c r="AO177" s="192">
        <f t="shared" si="31"/>
        <v>0.89459674645527665</v>
      </c>
      <c r="AP177" s="193">
        <f t="shared" si="33"/>
        <v>293456.424</v>
      </c>
      <c r="AQ177" s="193">
        <f t="shared" si="30"/>
        <v>-293313.424</v>
      </c>
      <c r="AR177" s="805"/>
      <c r="AS177" s="119"/>
      <c r="AT177" s="119"/>
      <c r="AU177" s="120"/>
      <c r="AV177" s="806"/>
      <c r="AW177" s="800">
        <v>103574725</v>
      </c>
      <c r="AX177" s="807">
        <v>92657612</v>
      </c>
      <c r="AY177" s="807">
        <v>10917113</v>
      </c>
      <c r="AZ177" s="807">
        <v>859424</v>
      </c>
      <c r="BA177" s="196">
        <f t="shared" si="34"/>
        <v>0.89459674645527665</v>
      </c>
      <c r="BB177" s="210">
        <v>35549</v>
      </c>
      <c r="BC177" s="115">
        <v>3</v>
      </c>
      <c r="BD177" s="236">
        <v>0</v>
      </c>
    </row>
    <row r="178" spans="1:59" s="808" customFormat="1" ht="14.25" customHeight="1">
      <c r="A178" s="792">
        <v>2024</v>
      </c>
      <c r="B178" s="793" t="str">
        <f>+INDEX('①基本情報 '!C:C,MATCH('③経費情報(2024)'!E178,'①基本情報 '!E:E,0))</f>
        <v>170</v>
      </c>
      <c r="C178" s="794" t="str">
        <f>+INDEX('①基本情報 '!B:B,MATCH('③経費情報(2024)'!E178,'①基本情報 '!E:E,0))</f>
        <v>1015</v>
      </c>
      <c r="D178" s="809" t="s">
        <v>2415</v>
      </c>
      <c r="E178" s="616" t="s">
        <v>1122</v>
      </c>
      <c r="F178" s="616" t="str">
        <f>INDEX('①基本情報 '!F:F,MATCH('③経費情報(2024)'!E178,'①基本情報 '!E:E,0))</f>
        <v>教育委員会</v>
      </c>
      <c r="G178" s="854" t="s">
        <v>2188</v>
      </c>
      <c r="H178" s="810">
        <v>504</v>
      </c>
      <c r="I178" s="799">
        <v>24</v>
      </c>
      <c r="J178" s="807"/>
      <c r="K178" s="801">
        <f t="shared" si="26"/>
        <v>528</v>
      </c>
      <c r="L178" s="799">
        <v>1342</v>
      </c>
      <c r="M178" s="799">
        <v>814</v>
      </c>
      <c r="N178" s="800"/>
      <c r="O178" s="799">
        <v>1434</v>
      </c>
      <c r="P178" s="115">
        <v>18</v>
      </c>
      <c r="Q178" s="799">
        <v>9119</v>
      </c>
      <c r="R178" s="115">
        <v>56998</v>
      </c>
      <c r="S178" s="799">
        <f t="shared" si="27"/>
        <v>221140</v>
      </c>
      <c r="T178" s="800">
        <v>2109</v>
      </c>
      <c r="U178" s="803">
        <v>18</v>
      </c>
      <c r="V178" s="799"/>
      <c r="W178" s="801">
        <f t="shared" si="28"/>
        <v>226857</v>
      </c>
      <c r="X178" s="799"/>
      <c r="Y178" s="799"/>
      <c r="Z178" s="803"/>
      <c r="AA178" s="799"/>
      <c r="AB178" s="801">
        <f t="shared" si="29"/>
        <v>0</v>
      </c>
      <c r="AC178" s="799"/>
      <c r="AD178" s="799"/>
      <c r="AE178" s="800"/>
      <c r="AF178" s="804"/>
      <c r="AG178" s="799"/>
      <c r="AH178" s="800"/>
      <c r="AI178" s="800"/>
      <c r="AJ178" s="801">
        <f t="shared" si="25"/>
        <v>0</v>
      </c>
      <c r="AK178" s="800">
        <f t="shared" si="32"/>
        <v>190188.00899999999</v>
      </c>
      <c r="AL178" s="800">
        <f t="shared" si="32"/>
        <v>154753.242</v>
      </c>
      <c r="AM178" s="800">
        <f t="shared" si="32"/>
        <v>35434.767</v>
      </c>
      <c r="AN178" s="800">
        <f t="shared" si="32"/>
        <v>2486.348</v>
      </c>
      <c r="AO178" s="192">
        <f t="shared" si="31"/>
        <v>0.81368558834852722</v>
      </c>
      <c r="AP178" s="193">
        <f t="shared" si="33"/>
        <v>229343.348</v>
      </c>
      <c r="AQ178" s="193">
        <f t="shared" si="30"/>
        <v>-228815.348</v>
      </c>
      <c r="AR178" s="805"/>
      <c r="AS178" s="119"/>
      <c r="AT178" s="119"/>
      <c r="AU178" s="120"/>
      <c r="AV178" s="806"/>
      <c r="AW178" s="800">
        <v>190188009</v>
      </c>
      <c r="AX178" s="807">
        <v>154753242</v>
      </c>
      <c r="AY178" s="807">
        <v>35434767</v>
      </c>
      <c r="AZ178" s="807">
        <v>2486348</v>
      </c>
      <c r="BA178" s="196">
        <f t="shared" si="34"/>
        <v>0.81368558834852722</v>
      </c>
      <c r="BB178" s="210">
        <v>16243</v>
      </c>
      <c r="BC178" s="115">
        <v>4169</v>
      </c>
      <c r="BD178" s="236">
        <v>0</v>
      </c>
    </row>
    <row r="179" spans="1:59" s="808" customFormat="1" ht="14.25" customHeight="1">
      <c r="A179" s="792">
        <v>2024</v>
      </c>
      <c r="B179" s="793" t="str">
        <f>+INDEX('①基本情報 '!C:C,MATCH('③経費情報(2024)'!E179,'①基本情報 '!E:E,0))</f>
        <v>171</v>
      </c>
      <c r="C179" s="794" t="str">
        <f>+INDEX('①基本情報 '!B:B,MATCH('③経費情報(2024)'!E179,'①基本情報 '!E:E,0))</f>
        <v>1016</v>
      </c>
      <c r="D179" s="809" t="s">
        <v>2415</v>
      </c>
      <c r="E179" s="616" t="s">
        <v>1126</v>
      </c>
      <c r="F179" s="616" t="str">
        <f>INDEX('①基本情報 '!F:F,MATCH('③経費情報(2024)'!E179,'①基本情報 '!E:E,0))</f>
        <v>教育委員会</v>
      </c>
      <c r="G179" s="854" t="s">
        <v>2188</v>
      </c>
      <c r="H179" s="810">
        <v>489</v>
      </c>
      <c r="I179" s="799">
        <v>24</v>
      </c>
      <c r="J179" s="807"/>
      <c r="K179" s="801">
        <f t="shared" si="26"/>
        <v>513</v>
      </c>
      <c r="L179" s="799">
        <v>1589</v>
      </c>
      <c r="M179" s="799">
        <v>886</v>
      </c>
      <c r="N179" s="800"/>
      <c r="O179" s="799">
        <v>1182</v>
      </c>
      <c r="P179" s="115">
        <v>16</v>
      </c>
      <c r="Q179" s="799">
        <v>9119</v>
      </c>
      <c r="R179" s="115">
        <v>63854</v>
      </c>
      <c r="S179" s="799">
        <f t="shared" si="27"/>
        <v>209758</v>
      </c>
      <c r="T179" s="800">
        <v>2136</v>
      </c>
      <c r="U179" s="803">
        <v>45</v>
      </c>
      <c r="V179" s="799"/>
      <c r="W179" s="801">
        <f t="shared" si="28"/>
        <v>215596</v>
      </c>
      <c r="X179" s="799"/>
      <c r="Y179" s="799"/>
      <c r="Z179" s="803"/>
      <c r="AA179" s="799"/>
      <c r="AB179" s="801">
        <f t="shared" si="29"/>
        <v>0</v>
      </c>
      <c r="AC179" s="799"/>
      <c r="AD179" s="799"/>
      <c r="AE179" s="800"/>
      <c r="AF179" s="804"/>
      <c r="AG179" s="799"/>
      <c r="AH179" s="800"/>
      <c r="AI179" s="800"/>
      <c r="AJ179" s="801">
        <f t="shared" si="25"/>
        <v>0</v>
      </c>
      <c r="AK179" s="800">
        <f t="shared" si="32"/>
        <v>160541.16</v>
      </c>
      <c r="AL179" s="800">
        <f t="shared" si="32"/>
        <v>139996.99</v>
      </c>
      <c r="AM179" s="800">
        <f t="shared" si="32"/>
        <v>20544.169999999998</v>
      </c>
      <c r="AN179" s="800">
        <f t="shared" si="32"/>
        <v>4421.8140000000003</v>
      </c>
      <c r="AO179" s="192">
        <f t="shared" si="31"/>
        <v>0.87203175808621292</v>
      </c>
      <c r="AP179" s="193">
        <f t="shared" si="33"/>
        <v>220017.81400000001</v>
      </c>
      <c r="AQ179" s="193">
        <f t="shared" si="30"/>
        <v>-219504.81400000001</v>
      </c>
      <c r="AR179" s="805"/>
      <c r="AS179" s="119"/>
      <c r="AT179" s="119"/>
      <c r="AU179" s="120"/>
      <c r="AV179" s="806"/>
      <c r="AW179" s="800">
        <v>160541160</v>
      </c>
      <c r="AX179" s="807">
        <v>139996990</v>
      </c>
      <c r="AY179" s="807">
        <v>20544170</v>
      </c>
      <c r="AZ179" s="807">
        <v>4421814</v>
      </c>
      <c r="BA179" s="196">
        <f t="shared" si="34"/>
        <v>0.87203175808621292</v>
      </c>
      <c r="BB179" s="210">
        <v>40487</v>
      </c>
      <c r="BC179" s="115">
        <v>1</v>
      </c>
      <c r="BD179" s="236">
        <v>0</v>
      </c>
    </row>
    <row r="180" spans="1:59" s="808" customFormat="1" ht="14.25" customHeight="1">
      <c r="A180" s="792">
        <v>2024</v>
      </c>
      <c r="B180" s="793" t="str">
        <f>+INDEX('①基本情報 '!C:C,MATCH('③経費情報(2024)'!E180,'①基本情報 '!E:E,0))</f>
        <v>172</v>
      </c>
      <c r="C180" s="794" t="str">
        <f>+INDEX('①基本情報 '!B:B,MATCH('③経費情報(2024)'!E180,'①基本情報 '!E:E,0))</f>
        <v>1017</v>
      </c>
      <c r="D180" s="809" t="s">
        <v>2415</v>
      </c>
      <c r="E180" s="616" t="s">
        <v>1130</v>
      </c>
      <c r="F180" s="616" t="str">
        <f>INDEX('①基本情報 '!F:F,MATCH('③経費情報(2024)'!E180,'①基本情報 '!E:E,0))</f>
        <v>教育委員会</v>
      </c>
      <c r="G180" s="854" t="s">
        <v>2188</v>
      </c>
      <c r="H180" s="810">
        <v>523</v>
      </c>
      <c r="I180" s="799">
        <v>24</v>
      </c>
      <c r="J180" s="807">
        <v>15</v>
      </c>
      <c r="K180" s="801">
        <f t="shared" si="26"/>
        <v>562</v>
      </c>
      <c r="L180" s="799">
        <v>1965</v>
      </c>
      <c r="M180" s="799">
        <v>752</v>
      </c>
      <c r="N180" s="800"/>
      <c r="O180" s="799">
        <v>854</v>
      </c>
      <c r="P180" s="115">
        <v>6</v>
      </c>
      <c r="Q180" s="799">
        <v>9119</v>
      </c>
      <c r="R180" s="115">
        <v>15441</v>
      </c>
      <c r="S180" s="799">
        <f t="shared" si="27"/>
        <v>70155</v>
      </c>
      <c r="T180" s="800">
        <v>1971</v>
      </c>
      <c r="U180" s="803">
        <v>18</v>
      </c>
      <c r="V180" s="799"/>
      <c r="W180" s="801">
        <f t="shared" si="28"/>
        <v>75715</v>
      </c>
      <c r="X180" s="799"/>
      <c r="Y180" s="799"/>
      <c r="Z180" s="803"/>
      <c r="AA180" s="799"/>
      <c r="AB180" s="801">
        <f t="shared" si="29"/>
        <v>0</v>
      </c>
      <c r="AC180" s="799"/>
      <c r="AD180" s="799"/>
      <c r="AE180" s="800"/>
      <c r="AF180" s="804"/>
      <c r="AG180" s="799"/>
      <c r="AH180" s="800"/>
      <c r="AI180" s="800"/>
      <c r="AJ180" s="801">
        <f t="shared" si="25"/>
        <v>0</v>
      </c>
      <c r="AK180" s="800">
        <f t="shared" si="32"/>
        <v>120618.99099999999</v>
      </c>
      <c r="AL180" s="800">
        <f t="shared" si="32"/>
        <v>82998.293000000005</v>
      </c>
      <c r="AM180" s="800">
        <f t="shared" si="32"/>
        <v>37620.697999999997</v>
      </c>
      <c r="AN180" s="800">
        <f t="shared" si="32"/>
        <v>3152.7640000000001</v>
      </c>
      <c r="AO180" s="192">
        <f t="shared" si="31"/>
        <v>0.68810302848578797</v>
      </c>
      <c r="AP180" s="193">
        <f t="shared" si="33"/>
        <v>78867.763999999996</v>
      </c>
      <c r="AQ180" s="193">
        <f t="shared" si="30"/>
        <v>-78305.763999999996</v>
      </c>
      <c r="AR180" s="805"/>
      <c r="AS180" s="119"/>
      <c r="AT180" s="119"/>
      <c r="AU180" s="120"/>
      <c r="AV180" s="806"/>
      <c r="AW180" s="800">
        <v>120618991</v>
      </c>
      <c r="AX180" s="807">
        <v>82998293</v>
      </c>
      <c r="AY180" s="807">
        <v>37620698</v>
      </c>
      <c r="AZ180" s="807">
        <v>3152764</v>
      </c>
      <c r="BA180" s="196">
        <f t="shared" si="34"/>
        <v>0.68810302848578797</v>
      </c>
      <c r="BB180" s="210">
        <v>56997</v>
      </c>
      <c r="BC180" s="115">
        <v>0</v>
      </c>
      <c r="BD180" s="236">
        <v>0</v>
      </c>
    </row>
    <row r="181" spans="1:59" s="808" customFormat="1" ht="14.25" customHeight="1">
      <c r="A181" s="792">
        <v>2024</v>
      </c>
      <c r="B181" s="793" t="str">
        <f>+INDEX('①基本情報 '!C:C,MATCH('③経費情報(2024)'!E181,'①基本情報 '!E:E,0))</f>
        <v>173</v>
      </c>
      <c r="C181" s="794" t="str">
        <f>+INDEX('①基本情報 '!B:B,MATCH('③経費情報(2024)'!E181,'①基本情報 '!E:E,0))</f>
        <v>1018</v>
      </c>
      <c r="D181" s="809" t="s">
        <v>2415</v>
      </c>
      <c r="E181" s="855" t="s">
        <v>2140</v>
      </c>
      <c r="F181" s="616" t="str">
        <f>INDEX('①基本情報 '!F:F,MATCH('③経費情報(2024)'!E181,'①基本情報 '!E:E,0))</f>
        <v>教育委員会</v>
      </c>
      <c r="G181" s="854" t="s">
        <v>2188</v>
      </c>
      <c r="H181" s="810">
        <v>18281</v>
      </c>
      <c r="I181" s="799">
        <v>41</v>
      </c>
      <c r="J181" s="807">
        <v>13998</v>
      </c>
      <c r="K181" s="801">
        <f t="shared" si="26"/>
        <v>32320</v>
      </c>
      <c r="L181" s="799">
        <v>7591</v>
      </c>
      <c r="M181" s="799">
        <v>2470</v>
      </c>
      <c r="N181" s="800"/>
      <c r="O181" s="804">
        <v>220</v>
      </c>
      <c r="P181" s="115">
        <v>4</v>
      </c>
      <c r="Q181" s="799">
        <v>9119</v>
      </c>
      <c r="R181" s="115">
        <v>15020</v>
      </c>
      <c r="S181" s="799">
        <f t="shared" si="27"/>
        <v>51496</v>
      </c>
      <c r="T181" s="800">
        <v>28175</v>
      </c>
      <c r="U181" s="803">
        <v>88</v>
      </c>
      <c r="V181" s="799"/>
      <c r="W181" s="801">
        <f t="shared" si="28"/>
        <v>90040</v>
      </c>
      <c r="X181" s="799"/>
      <c r="Y181" s="799"/>
      <c r="Z181" s="803"/>
      <c r="AA181" s="799"/>
      <c r="AB181" s="801">
        <f t="shared" si="29"/>
        <v>0</v>
      </c>
      <c r="AC181" s="799"/>
      <c r="AD181" s="799"/>
      <c r="AE181" s="800"/>
      <c r="AF181" s="804"/>
      <c r="AG181" s="799"/>
      <c r="AH181" s="800"/>
      <c r="AI181" s="800"/>
      <c r="AJ181" s="801">
        <f t="shared" si="25"/>
        <v>0</v>
      </c>
      <c r="AK181" s="800">
        <f t="shared" si="32"/>
        <v>1151273.7009999999</v>
      </c>
      <c r="AL181" s="800">
        <f t="shared" si="32"/>
        <v>194972.66</v>
      </c>
      <c r="AM181" s="800">
        <f t="shared" si="32"/>
        <v>956301.04099999997</v>
      </c>
      <c r="AN181" s="800">
        <f t="shared" si="32"/>
        <v>38994.531999999999</v>
      </c>
      <c r="AO181" s="192">
        <f t="shared" si="31"/>
        <v>0.16935387287197312</v>
      </c>
      <c r="AP181" s="193">
        <f t="shared" si="33"/>
        <v>129034.53200000001</v>
      </c>
      <c r="AQ181" s="193">
        <f t="shared" si="30"/>
        <v>-96714.532000000007</v>
      </c>
      <c r="AR181" s="805"/>
      <c r="AS181" s="119"/>
      <c r="AT181" s="119"/>
      <c r="AU181" s="120"/>
      <c r="AV181" s="806"/>
      <c r="AW181" s="800">
        <v>1151273701</v>
      </c>
      <c r="AX181" s="807">
        <v>194972660</v>
      </c>
      <c r="AY181" s="807">
        <v>956301041</v>
      </c>
      <c r="AZ181" s="807">
        <v>38994532</v>
      </c>
      <c r="BA181" s="196">
        <f t="shared" si="34"/>
        <v>0.16935387287197312</v>
      </c>
      <c r="BB181" s="210">
        <v>155213</v>
      </c>
      <c r="BC181" s="115">
        <v>28815</v>
      </c>
      <c r="BD181" s="236">
        <v>0</v>
      </c>
    </row>
    <row r="182" spans="1:59" s="808" customFormat="1" ht="14.25" customHeight="1">
      <c r="A182" s="792">
        <v>2024</v>
      </c>
      <c r="B182" s="793" t="str">
        <f>+INDEX('①基本情報 '!C:C,MATCH('③経費情報(2024)'!E182,'①基本情報 '!E:E,0))</f>
        <v>174</v>
      </c>
      <c r="C182" s="794" t="str">
        <f>+INDEX('①基本情報 '!B:B,MATCH('③経費情報(2024)'!E182,'①基本情報 '!E:E,0))</f>
        <v>1019</v>
      </c>
      <c r="D182" s="809" t="s">
        <v>2415</v>
      </c>
      <c r="E182" s="855" t="s">
        <v>2139</v>
      </c>
      <c r="F182" s="616" t="str">
        <f>INDEX('①基本情報 '!F:F,MATCH('③経費情報(2024)'!E182,'①基本情報 '!E:E,0))</f>
        <v>教育委員会</v>
      </c>
      <c r="G182" s="854" t="s">
        <v>2188</v>
      </c>
      <c r="H182" s="810">
        <v>8163</v>
      </c>
      <c r="I182" s="799">
        <v>41</v>
      </c>
      <c r="J182" s="807">
        <v>9620</v>
      </c>
      <c r="K182" s="801">
        <f t="shared" si="26"/>
        <v>17824</v>
      </c>
      <c r="L182" s="799">
        <v>8278</v>
      </c>
      <c r="M182" s="799">
        <v>2192</v>
      </c>
      <c r="N182" s="800">
        <v>864</v>
      </c>
      <c r="O182" s="804">
        <v>1368</v>
      </c>
      <c r="P182" s="115">
        <v>5</v>
      </c>
      <c r="Q182" s="799">
        <v>9119</v>
      </c>
      <c r="R182" s="115">
        <v>12776</v>
      </c>
      <c r="S182" s="799">
        <f t="shared" si="27"/>
        <v>58371</v>
      </c>
      <c r="T182" s="800">
        <v>19385</v>
      </c>
      <c r="U182" s="803">
        <v>50</v>
      </c>
      <c r="V182" s="799"/>
      <c r="W182" s="801">
        <f t="shared" si="28"/>
        <v>90508</v>
      </c>
      <c r="X182" s="799"/>
      <c r="Y182" s="799"/>
      <c r="Z182" s="803"/>
      <c r="AA182" s="799"/>
      <c r="AB182" s="801">
        <f t="shared" si="29"/>
        <v>0</v>
      </c>
      <c r="AC182" s="799"/>
      <c r="AD182" s="799"/>
      <c r="AE182" s="800"/>
      <c r="AF182" s="804"/>
      <c r="AG182" s="799"/>
      <c r="AH182" s="800"/>
      <c r="AI182" s="800"/>
      <c r="AJ182" s="801">
        <f t="shared" si="25"/>
        <v>0</v>
      </c>
      <c r="AK182" s="800">
        <f t="shared" si="32"/>
        <v>913998.39500000002</v>
      </c>
      <c r="AL182" s="800">
        <f t="shared" si="32"/>
        <v>321193.46000000002</v>
      </c>
      <c r="AM182" s="800">
        <f t="shared" si="32"/>
        <v>592804.93500000006</v>
      </c>
      <c r="AN182" s="800">
        <f t="shared" si="32"/>
        <v>63698.692000000003</v>
      </c>
      <c r="AO182" s="192">
        <f t="shared" si="31"/>
        <v>0.35141578120604905</v>
      </c>
      <c r="AP182" s="193">
        <f t="shared" si="33"/>
        <v>154206.69200000001</v>
      </c>
      <c r="AQ182" s="193">
        <f t="shared" si="30"/>
        <v>-136382.69200000001</v>
      </c>
      <c r="AR182" s="805"/>
      <c r="AS182" s="119"/>
      <c r="AT182" s="119"/>
      <c r="AU182" s="120"/>
      <c r="AV182" s="806"/>
      <c r="AW182" s="800">
        <v>913998395</v>
      </c>
      <c r="AX182" s="807">
        <v>321193460</v>
      </c>
      <c r="AY182" s="807">
        <v>592804935</v>
      </c>
      <c r="AZ182" s="807">
        <v>63698692</v>
      </c>
      <c r="BA182" s="196">
        <f t="shared" si="34"/>
        <v>0.35141578120604905</v>
      </c>
      <c r="BB182" s="210">
        <v>159498</v>
      </c>
      <c r="BC182" s="115">
        <v>33210</v>
      </c>
      <c r="BD182" s="236">
        <v>0</v>
      </c>
    </row>
    <row r="183" spans="1:59" s="808" customFormat="1" ht="14.25" customHeight="1">
      <c r="A183" s="792">
        <v>2024</v>
      </c>
      <c r="B183" s="793" t="str">
        <f>+INDEX('①基本情報 '!C:C,MATCH('③経費情報(2024)'!E183,'①基本情報 '!E:E,0))</f>
        <v>175</v>
      </c>
      <c r="C183" s="794" t="str">
        <f>+INDEX('①基本情報 '!B:B,MATCH('③経費情報(2024)'!E183,'①基本情報 '!E:E,0))</f>
        <v>1020</v>
      </c>
      <c r="D183" s="809" t="s">
        <v>2415</v>
      </c>
      <c r="E183" s="855" t="s">
        <v>2427</v>
      </c>
      <c r="F183" s="616" t="str">
        <f>INDEX('①基本情報 '!F:F,MATCH('③経費情報(2024)'!E183,'①基本情報 '!E:E,0))</f>
        <v>教育委員会</v>
      </c>
      <c r="G183" s="854" t="s">
        <v>2188</v>
      </c>
      <c r="H183" s="810">
        <v>14988</v>
      </c>
      <c r="I183" s="799">
        <v>41</v>
      </c>
      <c r="J183" s="807">
        <v>5587</v>
      </c>
      <c r="K183" s="801">
        <f t="shared" si="26"/>
        <v>20616</v>
      </c>
      <c r="L183" s="799">
        <v>3434</v>
      </c>
      <c r="M183" s="799">
        <v>1357</v>
      </c>
      <c r="N183" s="800"/>
      <c r="O183" s="804">
        <v>591</v>
      </c>
      <c r="P183" s="115">
        <v>31</v>
      </c>
      <c r="Q183" s="799">
        <v>9119</v>
      </c>
      <c r="R183" s="115">
        <v>51644</v>
      </c>
      <c r="S183" s="799">
        <f t="shared" si="27"/>
        <v>334333</v>
      </c>
      <c r="T183" s="800">
        <v>13436</v>
      </c>
      <c r="U183" s="803"/>
      <c r="V183" s="799"/>
      <c r="W183" s="801">
        <f t="shared" si="28"/>
        <v>353151</v>
      </c>
      <c r="X183" s="799"/>
      <c r="Y183" s="799"/>
      <c r="Z183" s="803"/>
      <c r="AA183" s="799"/>
      <c r="AB183" s="801">
        <f t="shared" si="29"/>
        <v>0</v>
      </c>
      <c r="AC183" s="799"/>
      <c r="AD183" s="799"/>
      <c r="AE183" s="800"/>
      <c r="AF183" s="804"/>
      <c r="AG183" s="799"/>
      <c r="AH183" s="800"/>
      <c r="AI183" s="800"/>
      <c r="AJ183" s="801">
        <f t="shared" si="25"/>
        <v>0</v>
      </c>
      <c r="AK183" s="800">
        <f t="shared" si="32"/>
        <v>433049.81300000002</v>
      </c>
      <c r="AL183" s="800">
        <f t="shared" si="32"/>
        <v>79815.824999999997</v>
      </c>
      <c r="AM183" s="800">
        <f t="shared" si="32"/>
        <v>353233.98800000001</v>
      </c>
      <c r="AN183" s="800">
        <f t="shared" si="32"/>
        <v>15757.965</v>
      </c>
      <c r="AO183" s="192">
        <f t="shared" si="31"/>
        <v>0.1843109559315293</v>
      </c>
      <c r="AP183" s="193">
        <f t="shared" si="33"/>
        <v>368908.96500000003</v>
      </c>
      <c r="AQ183" s="193">
        <f t="shared" si="30"/>
        <v>-348292.96500000003</v>
      </c>
      <c r="AR183" s="805"/>
      <c r="AS183" s="119"/>
      <c r="AT183" s="119"/>
      <c r="AU183" s="120"/>
      <c r="AV183" s="806"/>
      <c r="AW183" s="800">
        <v>433049813</v>
      </c>
      <c r="AX183" s="807">
        <v>79815825</v>
      </c>
      <c r="AY183" s="807">
        <v>353233988</v>
      </c>
      <c r="AZ183" s="807">
        <v>15757965</v>
      </c>
      <c r="BA183" s="196">
        <f t="shared" si="34"/>
        <v>0.1843109559315293</v>
      </c>
      <c r="BB183" s="210">
        <v>52852</v>
      </c>
      <c r="BC183" s="115">
        <v>12976</v>
      </c>
      <c r="BD183" s="236">
        <v>0</v>
      </c>
    </row>
    <row r="184" spans="1:59" ht="14.25" customHeight="1">
      <c r="A184" s="792">
        <v>2024</v>
      </c>
      <c r="B184" s="793" t="str">
        <f>+INDEX('①基本情報 '!C:C,MATCH('③経費情報(2024)'!E184,'①基本情報 '!E:E,0))</f>
        <v>176</v>
      </c>
      <c r="C184" s="794" t="str">
        <f>+INDEX('①基本情報 '!B:B,MATCH('③経費情報(2024)'!E184,'①基本情報 '!E:E,0))</f>
        <v>1000</v>
      </c>
      <c r="D184" s="809" t="s">
        <v>2415</v>
      </c>
      <c r="E184" s="610" t="s">
        <v>2501</v>
      </c>
      <c r="F184" s="616" t="str">
        <f>INDEX('①基本情報 '!F:F,MATCH('③経費情報(2024)'!E184,'①基本情報 '!E:E,0))</f>
        <v>教育委員会</v>
      </c>
      <c r="G184" s="854" t="s">
        <v>2188</v>
      </c>
      <c r="H184" s="810">
        <v>16797</v>
      </c>
      <c r="I184" s="799">
        <v>41</v>
      </c>
      <c r="J184" s="800">
        <v>9895</v>
      </c>
      <c r="K184" s="801">
        <f t="shared" si="26"/>
        <v>26733</v>
      </c>
      <c r="L184" s="799">
        <v>5629</v>
      </c>
      <c r="M184" s="799">
        <v>2201</v>
      </c>
      <c r="N184" s="800"/>
      <c r="O184" s="799">
        <v>449</v>
      </c>
      <c r="P184" s="115">
        <v>6</v>
      </c>
      <c r="Q184" s="799">
        <v>9119</v>
      </c>
      <c r="R184" s="115">
        <v>17488</v>
      </c>
      <c r="S184" s="799">
        <f t="shared" si="27"/>
        <v>72202</v>
      </c>
      <c r="T184" s="800">
        <v>22840</v>
      </c>
      <c r="U184" s="803">
        <v>44</v>
      </c>
      <c r="V184" s="799"/>
      <c r="W184" s="801">
        <f t="shared" si="28"/>
        <v>103365</v>
      </c>
      <c r="X184" s="799"/>
      <c r="Y184" s="799"/>
      <c r="Z184" s="803"/>
      <c r="AA184" s="799"/>
      <c r="AB184" s="801">
        <f t="shared" si="29"/>
        <v>0</v>
      </c>
      <c r="AC184" s="799"/>
      <c r="AD184" s="799"/>
      <c r="AE184" s="800"/>
      <c r="AF184" s="804"/>
      <c r="AG184" s="799"/>
      <c r="AH184" s="800"/>
      <c r="AI184" s="800"/>
      <c r="AJ184" s="801">
        <f t="shared" si="25"/>
        <v>0</v>
      </c>
      <c r="AK184" s="800">
        <f t="shared" si="32"/>
        <v>1035225.42</v>
      </c>
      <c r="AL184" s="807">
        <f t="shared" si="32"/>
        <v>120086.901</v>
      </c>
      <c r="AM184" s="807">
        <f t="shared" si="32"/>
        <v>915138.51899999997</v>
      </c>
      <c r="AN184" s="807">
        <f t="shared" si="32"/>
        <v>40028.966999999997</v>
      </c>
      <c r="AO184" s="192">
        <f t="shared" si="31"/>
        <v>0.11600072668231041</v>
      </c>
      <c r="AP184" s="193">
        <f t="shared" si="33"/>
        <v>143393.967</v>
      </c>
      <c r="AQ184" s="193">
        <f t="shared" si="30"/>
        <v>-116660.967</v>
      </c>
      <c r="AR184" s="805"/>
      <c r="AS184" s="119"/>
      <c r="AT184" s="119"/>
      <c r="AU184" s="120"/>
      <c r="AV184" s="806"/>
      <c r="AW184" s="800">
        <v>1035225420</v>
      </c>
      <c r="AX184" s="807">
        <v>120086901</v>
      </c>
      <c r="AY184" s="807">
        <v>915138519</v>
      </c>
      <c r="AZ184" s="807">
        <v>40028967</v>
      </c>
      <c r="BA184" s="525">
        <f t="shared" si="34"/>
        <v>0.11600072668231041</v>
      </c>
      <c r="BB184" s="210">
        <v>103502</v>
      </c>
      <c r="BC184" s="115">
        <v>21784</v>
      </c>
      <c r="BD184" s="236">
        <v>0</v>
      </c>
    </row>
    <row r="185" spans="1:59" s="808" customFormat="1" ht="14.25" customHeight="1">
      <c r="A185" s="792">
        <v>2024</v>
      </c>
      <c r="B185" s="793" t="str">
        <f>+INDEX('①基本情報 '!C:C,MATCH('③経費情報(2024)'!E185,'①基本情報 '!E:E,0))</f>
        <v>177</v>
      </c>
      <c r="C185" s="794" t="str">
        <f>+INDEX('①基本情報 '!B:B,MATCH('③経費情報(2024)'!E185,'①基本情報 '!E:E,0))</f>
        <v>0350</v>
      </c>
      <c r="D185" s="795" t="s">
        <v>2415</v>
      </c>
      <c r="E185" s="856" t="s">
        <v>1134</v>
      </c>
      <c r="F185" s="857" t="str">
        <f>INDEX('①基本情報 '!F:F,MATCH('③経費情報(2024)'!E185,'①基本情報 '!E:E,0))</f>
        <v>健康福祉部</v>
      </c>
      <c r="G185" s="830" t="s">
        <v>1135</v>
      </c>
      <c r="H185" s="831"/>
      <c r="I185" s="834"/>
      <c r="J185" s="832"/>
      <c r="K185" s="858">
        <f t="shared" si="26"/>
        <v>0</v>
      </c>
      <c r="L185" s="528"/>
      <c r="M185" s="528"/>
      <c r="N185" s="528"/>
      <c r="O185" s="529">
        <v>111</v>
      </c>
      <c r="P185" s="859"/>
      <c r="Q185" s="833">
        <v>9119</v>
      </c>
      <c r="R185" s="834"/>
      <c r="S185" s="833">
        <f t="shared" si="27"/>
        <v>0</v>
      </c>
      <c r="T185" s="528"/>
      <c r="U185" s="529">
        <v>173</v>
      </c>
      <c r="V185" s="833">
        <v>33201</v>
      </c>
      <c r="W185" s="858">
        <f t="shared" si="28"/>
        <v>33485</v>
      </c>
      <c r="X185" s="833"/>
      <c r="Y185" s="833"/>
      <c r="Z185" s="836"/>
      <c r="AA185" s="833">
        <v>33201</v>
      </c>
      <c r="AB185" s="858">
        <f t="shared" si="29"/>
        <v>33201</v>
      </c>
      <c r="AC185" s="833">
        <v>5785</v>
      </c>
      <c r="AD185" s="833">
        <v>10635</v>
      </c>
      <c r="AE185" s="834"/>
      <c r="AF185" s="837">
        <v>331</v>
      </c>
      <c r="AG185" s="833">
        <v>12513</v>
      </c>
      <c r="AH185" s="834">
        <v>2830</v>
      </c>
      <c r="AI185" s="834"/>
      <c r="AJ185" s="858">
        <f t="shared" si="25"/>
        <v>32094</v>
      </c>
      <c r="AK185" s="834">
        <f t="shared" si="32"/>
        <v>570874.5</v>
      </c>
      <c r="AL185" s="834">
        <f t="shared" si="32"/>
        <v>262602.27</v>
      </c>
      <c r="AM185" s="834">
        <f t="shared" si="32"/>
        <v>308272.23</v>
      </c>
      <c r="AN185" s="834">
        <f t="shared" si="32"/>
        <v>11417.49</v>
      </c>
      <c r="AO185" s="531">
        <f t="shared" si="31"/>
        <v>0.46</v>
      </c>
      <c r="AP185" s="532">
        <f t="shared" si="33"/>
        <v>44902.49</v>
      </c>
      <c r="AQ185" s="532">
        <f t="shared" si="30"/>
        <v>-44902.49</v>
      </c>
      <c r="AR185" s="838"/>
      <c r="AS185" s="140"/>
      <c r="AT185" s="140"/>
      <c r="AU185" s="141"/>
      <c r="AV185" s="839"/>
      <c r="AW185" s="834">
        <v>570874500</v>
      </c>
      <c r="AX185" s="832">
        <v>262602270</v>
      </c>
      <c r="AY185" s="832">
        <v>308272230</v>
      </c>
      <c r="AZ185" s="832">
        <v>11417490</v>
      </c>
      <c r="BA185" s="533">
        <f t="shared" si="34"/>
        <v>0.46</v>
      </c>
      <c r="BB185" s="534">
        <v>102147</v>
      </c>
      <c r="BC185" s="528">
        <v>19666</v>
      </c>
      <c r="BD185" s="535">
        <v>0</v>
      </c>
    </row>
    <row r="186" spans="1:59" s="808" customFormat="1" ht="14.25" customHeight="1">
      <c r="A186" s="792">
        <v>2024</v>
      </c>
      <c r="B186" s="793" t="str">
        <f>+INDEX('①基本情報 '!C:C,MATCH('③経費情報(2024)'!E186,'①基本情報 '!E:E,0))</f>
        <v>178</v>
      </c>
      <c r="C186" s="794" t="str">
        <f>+INDEX('①基本情報 '!B:B,MATCH('③経費情報(2024)'!E186,'①基本情報 '!E:E,0))</f>
        <v>0337</v>
      </c>
      <c r="D186" s="809" t="s">
        <v>2415</v>
      </c>
      <c r="E186" s="616" t="s">
        <v>1147</v>
      </c>
      <c r="F186" s="616" t="str">
        <f>INDEX('①基本情報 '!F:F,MATCH('③経費情報(2024)'!E186,'①基本情報 '!E:E,0))</f>
        <v>健康福祉部</v>
      </c>
      <c r="G186" s="797" t="s">
        <v>1135</v>
      </c>
      <c r="H186" s="810"/>
      <c r="I186" s="800"/>
      <c r="J186" s="807"/>
      <c r="K186" s="801">
        <f t="shared" si="26"/>
        <v>0</v>
      </c>
      <c r="L186" s="115"/>
      <c r="M186" s="115"/>
      <c r="N186" s="115"/>
      <c r="O186" s="115">
        <v>385</v>
      </c>
      <c r="P186" s="814"/>
      <c r="Q186" s="799">
        <v>9119</v>
      </c>
      <c r="R186" s="800"/>
      <c r="S186" s="799">
        <f t="shared" si="27"/>
        <v>0</v>
      </c>
      <c r="T186" s="115"/>
      <c r="U186" s="144">
        <v>697</v>
      </c>
      <c r="V186" s="799">
        <v>55989</v>
      </c>
      <c r="W186" s="801">
        <f t="shared" si="28"/>
        <v>57071</v>
      </c>
      <c r="X186" s="799">
        <v>412</v>
      </c>
      <c r="Y186" s="799">
        <v>2098</v>
      </c>
      <c r="Z186" s="803">
        <v>281</v>
      </c>
      <c r="AA186" s="799">
        <v>55989</v>
      </c>
      <c r="AB186" s="801">
        <f t="shared" si="29"/>
        <v>58780</v>
      </c>
      <c r="AC186" s="799">
        <v>11333</v>
      </c>
      <c r="AD186" s="799">
        <v>21203</v>
      </c>
      <c r="AE186" s="800"/>
      <c r="AF186" s="804">
        <v>1426</v>
      </c>
      <c r="AG186" s="799">
        <v>22891</v>
      </c>
      <c r="AH186" s="800">
        <v>2527</v>
      </c>
      <c r="AI186" s="800">
        <v>4706</v>
      </c>
      <c r="AJ186" s="801">
        <f t="shared" si="25"/>
        <v>64086</v>
      </c>
      <c r="AK186" s="800">
        <f t="shared" si="32"/>
        <v>1342220.7279999999</v>
      </c>
      <c r="AL186" s="800">
        <f t="shared" si="32"/>
        <v>714442.81</v>
      </c>
      <c r="AM186" s="800">
        <f t="shared" si="32"/>
        <v>627777.91799999995</v>
      </c>
      <c r="AN186" s="800">
        <f t="shared" si="32"/>
        <v>37346.199999999997</v>
      </c>
      <c r="AO186" s="192">
        <f t="shared" si="31"/>
        <v>0.53228414305936722</v>
      </c>
      <c r="AP186" s="193">
        <f t="shared" si="33"/>
        <v>94417.2</v>
      </c>
      <c r="AQ186" s="193">
        <f t="shared" si="30"/>
        <v>-94417.2</v>
      </c>
      <c r="AR186" s="805"/>
      <c r="AS186" s="119"/>
      <c r="AT186" s="119"/>
      <c r="AU186" s="120"/>
      <c r="AV186" s="806"/>
      <c r="AW186" s="800">
        <v>1342220728</v>
      </c>
      <c r="AX186" s="807">
        <v>714442810</v>
      </c>
      <c r="AY186" s="807">
        <v>627777918</v>
      </c>
      <c r="AZ186" s="807">
        <v>37346200</v>
      </c>
      <c r="BA186" s="196">
        <f t="shared" si="34"/>
        <v>0.53228414305936722</v>
      </c>
      <c r="BB186" s="210">
        <v>298719</v>
      </c>
      <c r="BC186" s="115">
        <v>2368</v>
      </c>
      <c r="BD186" s="236">
        <v>0</v>
      </c>
      <c r="BG186" s="860"/>
    </row>
    <row r="187" spans="1:59" s="808" customFormat="1" ht="14.25" customHeight="1">
      <c r="A187" s="792">
        <v>2024</v>
      </c>
      <c r="B187" s="793" t="str">
        <f>+INDEX('①基本情報 '!C:C,MATCH('③経費情報(2024)'!E187,'①基本情報 '!E:E,0))</f>
        <v>179</v>
      </c>
      <c r="C187" s="794" t="str">
        <f>+INDEX('①基本情報 '!B:B,MATCH('③経費情報(2024)'!E187,'①基本情報 '!E:E,0))</f>
        <v>0347</v>
      </c>
      <c r="D187" s="809" t="s">
        <v>2415</v>
      </c>
      <c r="E187" s="616" t="s">
        <v>1157</v>
      </c>
      <c r="F187" s="616" t="str">
        <f>INDEX('①基本情報 '!F:F,MATCH('③経費情報(2024)'!E187,'①基本情報 '!E:E,0))</f>
        <v>健康福祉部</v>
      </c>
      <c r="G187" s="797" t="s">
        <v>1135</v>
      </c>
      <c r="H187" s="810"/>
      <c r="I187" s="799"/>
      <c r="J187" s="807"/>
      <c r="K187" s="801">
        <f t="shared" si="26"/>
        <v>0</v>
      </c>
      <c r="L187" s="115"/>
      <c r="M187" s="115"/>
      <c r="N187" s="115"/>
      <c r="O187" s="115">
        <v>94</v>
      </c>
      <c r="P187" s="814"/>
      <c r="Q187" s="799">
        <v>9119</v>
      </c>
      <c r="R187" s="800"/>
      <c r="S187" s="799">
        <f t="shared" si="27"/>
        <v>0</v>
      </c>
      <c r="T187" s="115"/>
      <c r="U187" s="144"/>
      <c r="V187" s="799">
        <v>31737</v>
      </c>
      <c r="W187" s="801">
        <f t="shared" si="28"/>
        <v>31831</v>
      </c>
      <c r="X187" s="799">
        <v>617</v>
      </c>
      <c r="Y187" s="799">
        <v>3723</v>
      </c>
      <c r="Z187" s="803">
        <v>142</v>
      </c>
      <c r="AA187" s="799">
        <v>31737</v>
      </c>
      <c r="AB187" s="801">
        <f t="shared" si="29"/>
        <v>36219</v>
      </c>
      <c r="AC187" s="799">
        <v>6885</v>
      </c>
      <c r="AD187" s="799">
        <v>2181</v>
      </c>
      <c r="AE187" s="800"/>
      <c r="AF187" s="804">
        <v>620</v>
      </c>
      <c r="AG187" s="799">
        <v>19123</v>
      </c>
      <c r="AH187" s="800">
        <v>7551</v>
      </c>
      <c r="AI187" s="800"/>
      <c r="AJ187" s="801">
        <f t="shared" si="25"/>
        <v>36360</v>
      </c>
      <c r="AK187" s="800">
        <f t="shared" si="32"/>
        <v>349755</v>
      </c>
      <c r="AL187" s="800">
        <f t="shared" si="32"/>
        <v>181872.6</v>
      </c>
      <c r="AM187" s="800">
        <f t="shared" si="32"/>
        <v>167882.4</v>
      </c>
      <c r="AN187" s="800">
        <f t="shared" si="32"/>
        <v>6995.1</v>
      </c>
      <c r="AO187" s="192">
        <f t="shared" si="31"/>
        <v>0.52</v>
      </c>
      <c r="AP187" s="193">
        <f t="shared" si="33"/>
        <v>38826.1</v>
      </c>
      <c r="AQ187" s="193">
        <f t="shared" si="30"/>
        <v>-38826.1</v>
      </c>
      <c r="AR187" s="805"/>
      <c r="AS187" s="119"/>
      <c r="AT187" s="119"/>
      <c r="AU187" s="120"/>
      <c r="AV187" s="806"/>
      <c r="AW187" s="800">
        <v>349755000</v>
      </c>
      <c r="AX187" s="807">
        <v>181872600</v>
      </c>
      <c r="AY187" s="807">
        <v>167882400</v>
      </c>
      <c r="AZ187" s="807">
        <v>6995100</v>
      </c>
      <c r="BA187" s="196">
        <f t="shared" si="34"/>
        <v>0.52</v>
      </c>
      <c r="BB187" s="210">
        <v>202269</v>
      </c>
      <c r="BC187" s="115">
        <v>0</v>
      </c>
      <c r="BD187" s="236">
        <v>41.2</v>
      </c>
    </row>
    <row r="188" spans="1:59" s="808" customFormat="1" ht="14.25" customHeight="1">
      <c r="A188" s="792">
        <v>2024</v>
      </c>
      <c r="B188" s="793" t="str">
        <f>+INDEX('①基本情報 '!C:C,MATCH('③経費情報(2024)'!E188,'①基本情報 '!E:E,0))</f>
        <v>180</v>
      </c>
      <c r="C188" s="794" t="str">
        <f>+INDEX('①基本情報 '!B:B,MATCH('③経費情報(2024)'!E188,'①基本情報 '!E:E,0))</f>
        <v>0321</v>
      </c>
      <c r="D188" s="809" t="s">
        <v>2415</v>
      </c>
      <c r="E188" s="616" t="s">
        <v>1166</v>
      </c>
      <c r="F188" s="616" t="str">
        <f>INDEX('①基本情報 '!F:F,MATCH('③経費情報(2024)'!E188,'①基本情報 '!E:E,0))</f>
        <v>健康福祉部</v>
      </c>
      <c r="G188" s="797" t="s">
        <v>1135</v>
      </c>
      <c r="H188" s="810"/>
      <c r="I188" s="800"/>
      <c r="J188" s="807"/>
      <c r="K188" s="801">
        <f t="shared" si="26"/>
        <v>0</v>
      </c>
      <c r="L188" s="115"/>
      <c r="M188" s="115"/>
      <c r="N188" s="115"/>
      <c r="O188" s="799"/>
      <c r="P188" s="814"/>
      <c r="Q188" s="799">
        <v>9119</v>
      </c>
      <c r="R188" s="800"/>
      <c r="S188" s="799">
        <f t="shared" si="27"/>
        <v>0</v>
      </c>
      <c r="T188" s="115"/>
      <c r="U188" s="144"/>
      <c r="V188" s="799">
        <v>98</v>
      </c>
      <c r="W188" s="801">
        <f t="shared" si="28"/>
        <v>98</v>
      </c>
      <c r="X188" s="799"/>
      <c r="Y188" s="799"/>
      <c r="Z188" s="803"/>
      <c r="AA188" s="799">
        <v>98</v>
      </c>
      <c r="AB188" s="801">
        <f t="shared" si="29"/>
        <v>98</v>
      </c>
      <c r="AC188" s="799"/>
      <c r="AD188" s="799">
        <v>91</v>
      </c>
      <c r="AE188" s="800"/>
      <c r="AF188" s="804"/>
      <c r="AG188" s="799"/>
      <c r="AH188" s="800"/>
      <c r="AI188" s="800">
        <v>8</v>
      </c>
      <c r="AJ188" s="801">
        <f t="shared" si="25"/>
        <v>99</v>
      </c>
      <c r="AK188" s="800">
        <f t="shared" si="32"/>
        <v>68490.75</v>
      </c>
      <c r="AL188" s="800">
        <f t="shared" si="32"/>
        <v>58902.044999999998</v>
      </c>
      <c r="AM188" s="800">
        <f t="shared" si="32"/>
        <v>9588.7049999999999</v>
      </c>
      <c r="AN188" s="800">
        <f t="shared" si="32"/>
        <v>1369.8150000000001</v>
      </c>
      <c r="AO188" s="192">
        <f t="shared" si="31"/>
        <v>0.86</v>
      </c>
      <c r="AP188" s="193">
        <f t="shared" si="33"/>
        <v>1467.8150000000001</v>
      </c>
      <c r="AQ188" s="193">
        <f t="shared" si="30"/>
        <v>-1467.8150000000001</v>
      </c>
      <c r="AR188" s="805"/>
      <c r="AS188" s="119"/>
      <c r="AT188" s="119"/>
      <c r="AU188" s="120"/>
      <c r="AV188" s="806"/>
      <c r="AW188" s="800">
        <v>68490750</v>
      </c>
      <c r="AX188" s="807">
        <v>58902045</v>
      </c>
      <c r="AY188" s="807">
        <v>9588705</v>
      </c>
      <c r="AZ188" s="807">
        <v>1369815</v>
      </c>
      <c r="BA188" s="196">
        <f t="shared" si="34"/>
        <v>0.86</v>
      </c>
      <c r="BB188" s="210"/>
      <c r="BC188" s="115"/>
      <c r="BD188" s="236"/>
    </row>
    <row r="189" spans="1:59" s="808" customFormat="1" ht="14.25" customHeight="1">
      <c r="A189" s="792">
        <v>2024</v>
      </c>
      <c r="B189" s="793" t="str">
        <f>+INDEX('①基本情報 '!C:C,MATCH('③経費情報(2024)'!E189,'①基本情報 '!E:E,0))</f>
        <v>181</v>
      </c>
      <c r="C189" s="794" t="str">
        <f>+INDEX('①基本情報 '!B:B,MATCH('③経費情報(2024)'!E189,'①基本情報 '!E:E,0))</f>
        <v>0344</v>
      </c>
      <c r="D189" s="809" t="s">
        <v>2415</v>
      </c>
      <c r="E189" s="616" t="s">
        <v>1172</v>
      </c>
      <c r="F189" s="616" t="str">
        <f>INDEX('①基本情報 '!F:F,MATCH('③経費情報(2024)'!E189,'①基本情報 '!E:E,0))</f>
        <v>市民自治部</v>
      </c>
      <c r="G189" s="797" t="s">
        <v>156</v>
      </c>
      <c r="H189" s="810">
        <v>10008</v>
      </c>
      <c r="I189" s="800"/>
      <c r="J189" s="807"/>
      <c r="K189" s="801">
        <f t="shared" si="26"/>
        <v>10008</v>
      </c>
      <c r="L189" s="799">
        <v>10001</v>
      </c>
      <c r="M189" s="799">
        <v>6910</v>
      </c>
      <c r="N189" s="115"/>
      <c r="O189" s="799">
        <v>2672</v>
      </c>
      <c r="P189" s="802"/>
      <c r="Q189" s="799">
        <v>9119</v>
      </c>
      <c r="R189" s="800">
        <v>3116</v>
      </c>
      <c r="S189" s="799">
        <f t="shared" si="27"/>
        <v>3116</v>
      </c>
      <c r="T189" s="800">
        <v>953</v>
      </c>
      <c r="U189" s="144">
        <v>509</v>
      </c>
      <c r="V189" s="800"/>
      <c r="W189" s="801">
        <f t="shared" si="28"/>
        <v>24161</v>
      </c>
      <c r="X189" s="799"/>
      <c r="Y189" s="799"/>
      <c r="Z189" s="803"/>
      <c r="AA189" s="799"/>
      <c r="AB189" s="801">
        <f t="shared" si="29"/>
        <v>0</v>
      </c>
      <c r="AC189" s="799"/>
      <c r="AD189" s="799"/>
      <c r="AE189" s="800"/>
      <c r="AF189" s="804"/>
      <c r="AG189" s="799"/>
      <c r="AH189" s="800"/>
      <c r="AI189" s="800"/>
      <c r="AJ189" s="801">
        <f t="shared" si="25"/>
        <v>0</v>
      </c>
      <c r="AK189" s="800">
        <f t="shared" si="32"/>
        <v>486488.45400000003</v>
      </c>
      <c r="AL189" s="800">
        <f t="shared" si="32"/>
        <v>310904.78399999999</v>
      </c>
      <c r="AM189" s="800">
        <f t="shared" si="32"/>
        <v>175583.67</v>
      </c>
      <c r="AN189" s="800">
        <f t="shared" si="32"/>
        <v>11884.42</v>
      </c>
      <c r="AO189" s="192">
        <f t="shared" si="31"/>
        <v>0.63907947134959142</v>
      </c>
      <c r="AP189" s="193">
        <f t="shared" si="33"/>
        <v>36045.42</v>
      </c>
      <c r="AQ189" s="193">
        <f t="shared" si="30"/>
        <v>-26037.42</v>
      </c>
      <c r="AR189" s="805"/>
      <c r="AS189" s="119"/>
      <c r="AT189" s="119"/>
      <c r="AU189" s="120"/>
      <c r="AV189" s="806"/>
      <c r="AW189" s="800">
        <v>486488454</v>
      </c>
      <c r="AX189" s="807">
        <v>310904784</v>
      </c>
      <c r="AY189" s="807">
        <v>175583670</v>
      </c>
      <c r="AZ189" s="807">
        <v>11884420</v>
      </c>
      <c r="BA189" s="196">
        <f t="shared" si="34"/>
        <v>0.63907947134959142</v>
      </c>
      <c r="BB189" s="210">
        <v>166573</v>
      </c>
      <c r="BC189" s="115">
        <v>35945</v>
      </c>
      <c r="BD189" s="236">
        <v>0</v>
      </c>
    </row>
    <row r="190" spans="1:59" s="808" customFormat="1" ht="14.25" customHeight="1">
      <c r="A190" s="792">
        <v>2024</v>
      </c>
      <c r="B190" s="793" t="str">
        <f>+INDEX('①基本情報 '!C:C,MATCH('③経費情報(2024)'!E190,'①基本情報 '!E:E,0))</f>
        <v>182</v>
      </c>
      <c r="C190" s="794" t="str">
        <f>+INDEX('①基本情報 '!B:B,MATCH('③経費情報(2024)'!E190,'①基本情報 '!E:E,0))</f>
        <v>0319</v>
      </c>
      <c r="D190" s="809" t="s">
        <v>2415</v>
      </c>
      <c r="E190" s="616" t="s">
        <v>1179</v>
      </c>
      <c r="F190" s="616" t="str">
        <f>INDEX('①基本情報 '!F:F,MATCH('③経費情報(2024)'!E190,'①基本情報 '!E:E,0))</f>
        <v>健康福祉部</v>
      </c>
      <c r="G190" s="797" t="s">
        <v>1180</v>
      </c>
      <c r="H190" s="810">
        <v>268</v>
      </c>
      <c r="I190" s="800">
        <v>841</v>
      </c>
      <c r="J190" s="807"/>
      <c r="K190" s="801">
        <f t="shared" si="26"/>
        <v>1109</v>
      </c>
      <c r="L190" s="115"/>
      <c r="M190" s="115"/>
      <c r="N190" s="115"/>
      <c r="O190" s="115"/>
      <c r="P190" s="802">
        <v>0.2</v>
      </c>
      <c r="Q190" s="799">
        <v>9119</v>
      </c>
      <c r="R190" s="800"/>
      <c r="S190" s="799">
        <f t="shared" si="27"/>
        <v>1824</v>
      </c>
      <c r="T190" s="115"/>
      <c r="U190" s="144">
        <v>7469</v>
      </c>
      <c r="V190" s="799">
        <v>71962</v>
      </c>
      <c r="W190" s="801">
        <f t="shared" si="28"/>
        <v>81255</v>
      </c>
      <c r="X190" s="799">
        <v>656</v>
      </c>
      <c r="Y190" s="799">
        <v>261</v>
      </c>
      <c r="Z190" s="803"/>
      <c r="AA190" s="799">
        <v>71962</v>
      </c>
      <c r="AB190" s="801">
        <f t="shared" si="29"/>
        <v>72879</v>
      </c>
      <c r="AC190" s="799">
        <v>10894</v>
      </c>
      <c r="AD190" s="799">
        <v>17071</v>
      </c>
      <c r="AE190" s="800"/>
      <c r="AF190" s="804">
        <v>464</v>
      </c>
      <c r="AG190" s="799">
        <v>36318</v>
      </c>
      <c r="AH190" s="800">
        <v>5657</v>
      </c>
      <c r="AI190" s="800">
        <v>1477</v>
      </c>
      <c r="AJ190" s="801">
        <f t="shared" si="25"/>
        <v>71881</v>
      </c>
      <c r="AK190" s="800">
        <f t="shared" si="32"/>
        <v>1278371.5530000001</v>
      </c>
      <c r="AL190" s="800">
        <f t="shared" si="32"/>
        <v>747207.44499999995</v>
      </c>
      <c r="AM190" s="800">
        <f t="shared" si="32"/>
        <v>531164.10800000001</v>
      </c>
      <c r="AN190" s="800">
        <f t="shared" si="32"/>
        <v>28364.252</v>
      </c>
      <c r="AO190" s="192">
        <f t="shared" si="31"/>
        <v>0.58449943073788035</v>
      </c>
      <c r="AP190" s="193">
        <f t="shared" si="33"/>
        <v>109619.25200000001</v>
      </c>
      <c r="AQ190" s="193">
        <f t="shared" si="30"/>
        <v>-108510.25200000001</v>
      </c>
      <c r="AR190" s="805"/>
      <c r="AS190" s="119"/>
      <c r="AT190" s="119"/>
      <c r="AU190" s="120"/>
      <c r="AV190" s="806"/>
      <c r="AW190" s="800">
        <v>1278371553</v>
      </c>
      <c r="AX190" s="807">
        <v>747207445</v>
      </c>
      <c r="AY190" s="807">
        <v>531164108</v>
      </c>
      <c r="AZ190" s="807">
        <v>28364252</v>
      </c>
      <c r="BA190" s="196">
        <f t="shared" si="34"/>
        <v>0.58449943073788035</v>
      </c>
      <c r="BB190" s="210">
        <v>266625</v>
      </c>
      <c r="BC190" s="115">
        <v>22496</v>
      </c>
      <c r="BD190" s="236">
        <v>0</v>
      </c>
    </row>
    <row r="191" spans="1:59" s="808" customFormat="1" ht="14.25" customHeight="1">
      <c r="A191" s="792">
        <v>2024</v>
      </c>
      <c r="B191" s="793" t="str">
        <f>+INDEX('①基本情報 '!C:C,MATCH('③経費情報(2024)'!E191,'①基本情報 '!E:E,0))</f>
        <v>183</v>
      </c>
      <c r="C191" s="794" t="str">
        <f>+INDEX('①基本情報 '!B:B,MATCH('③経費情報(2024)'!E191,'①基本情報 '!E:E,0))</f>
        <v>0354</v>
      </c>
      <c r="D191" s="809" t="s">
        <v>2415</v>
      </c>
      <c r="E191" s="616" t="s">
        <v>1191</v>
      </c>
      <c r="F191" s="616" t="str">
        <f>INDEX('①基本情報 '!F:F,MATCH('③経費情報(2024)'!E191,'①基本情報 '!E:E,0))</f>
        <v>健康福祉部</v>
      </c>
      <c r="G191" s="797" t="s">
        <v>1180</v>
      </c>
      <c r="H191" s="810"/>
      <c r="I191" s="799">
        <v>80242</v>
      </c>
      <c r="J191" s="807"/>
      <c r="K191" s="801">
        <f t="shared" si="26"/>
        <v>80242</v>
      </c>
      <c r="L191" s="115"/>
      <c r="M191" s="115"/>
      <c r="N191" s="115"/>
      <c r="O191" s="799"/>
      <c r="P191" s="802">
        <v>0.2</v>
      </c>
      <c r="Q191" s="799">
        <v>9119</v>
      </c>
      <c r="R191" s="800"/>
      <c r="S191" s="799">
        <f t="shared" si="27"/>
        <v>1824</v>
      </c>
      <c r="T191" s="800"/>
      <c r="U191" s="144"/>
      <c r="V191" s="799">
        <v>167665</v>
      </c>
      <c r="W191" s="801">
        <f t="shared" si="28"/>
        <v>169489</v>
      </c>
      <c r="X191" s="799"/>
      <c r="Y191" s="799">
        <v>4392</v>
      </c>
      <c r="Z191" s="803"/>
      <c r="AA191" s="799">
        <v>167665</v>
      </c>
      <c r="AB191" s="801">
        <f t="shared" si="29"/>
        <v>172057</v>
      </c>
      <c r="AC191" s="799">
        <v>4265</v>
      </c>
      <c r="AD191" s="799">
        <v>11545</v>
      </c>
      <c r="AE191" s="800"/>
      <c r="AF191" s="804">
        <v>177</v>
      </c>
      <c r="AG191" s="799">
        <v>145428</v>
      </c>
      <c r="AH191" s="800">
        <v>8411</v>
      </c>
      <c r="AI191" s="800">
        <v>1692</v>
      </c>
      <c r="AJ191" s="801">
        <f t="shared" si="25"/>
        <v>171518</v>
      </c>
      <c r="AK191" s="800">
        <f t="shared" si="32"/>
        <v>608216.43299999996</v>
      </c>
      <c r="AL191" s="800">
        <f t="shared" si="32"/>
        <v>227979.75200000001</v>
      </c>
      <c r="AM191" s="800">
        <f t="shared" si="32"/>
        <v>380236.68099999998</v>
      </c>
      <c r="AN191" s="800">
        <f t="shared" si="32"/>
        <v>17924.085999999999</v>
      </c>
      <c r="AO191" s="192">
        <f t="shared" si="31"/>
        <v>0.37483326597326583</v>
      </c>
      <c r="AP191" s="193">
        <f t="shared" si="33"/>
        <v>187413.08600000001</v>
      </c>
      <c r="AQ191" s="193">
        <f t="shared" si="30"/>
        <v>-107171.08600000001</v>
      </c>
      <c r="AR191" s="805"/>
      <c r="AS191" s="119"/>
      <c r="AT191" s="119"/>
      <c r="AU191" s="120"/>
      <c r="AV191" s="806"/>
      <c r="AW191" s="800">
        <v>608216433</v>
      </c>
      <c r="AX191" s="807">
        <v>227979752</v>
      </c>
      <c r="AY191" s="807">
        <v>380236681</v>
      </c>
      <c r="AZ191" s="807">
        <v>17924086</v>
      </c>
      <c r="BA191" s="196">
        <f t="shared" si="34"/>
        <v>0.37483326597326583</v>
      </c>
      <c r="BB191" s="210">
        <v>88187</v>
      </c>
      <c r="BC191" s="115">
        <v>3647</v>
      </c>
      <c r="BD191" s="236">
        <v>0</v>
      </c>
    </row>
    <row r="192" spans="1:59" s="808" customFormat="1" ht="14.25" customHeight="1">
      <c r="A192" s="792">
        <v>2024</v>
      </c>
      <c r="B192" s="793" t="str">
        <f>+INDEX('①基本情報 '!C:C,MATCH('③経費情報(2024)'!E192,'①基本情報 '!E:E,0))</f>
        <v>184</v>
      </c>
      <c r="C192" s="794" t="str">
        <f>+INDEX('①基本情報 '!B:B,MATCH('③経費情報(2024)'!E192,'①基本情報 '!E:E,0))</f>
        <v>0312</v>
      </c>
      <c r="D192" s="809" t="s">
        <v>2415</v>
      </c>
      <c r="E192" s="616" t="s">
        <v>1200</v>
      </c>
      <c r="F192" s="616" t="str">
        <f>INDEX('①基本情報 '!F:F,MATCH('③経費情報(2024)'!E192,'①基本情報 '!E:E,0))</f>
        <v>教育委員会</v>
      </c>
      <c r="G192" s="797" t="s">
        <v>2132</v>
      </c>
      <c r="H192" s="810">
        <v>137225</v>
      </c>
      <c r="I192" s="799">
        <v>51</v>
      </c>
      <c r="J192" s="807">
        <v>7392</v>
      </c>
      <c r="K192" s="801">
        <f t="shared" si="26"/>
        <v>144668</v>
      </c>
      <c r="L192" s="799">
        <v>5561</v>
      </c>
      <c r="M192" s="799">
        <v>6668</v>
      </c>
      <c r="N192" s="800">
        <v>0</v>
      </c>
      <c r="O192" s="799">
        <v>2093</v>
      </c>
      <c r="P192" s="802">
        <v>28</v>
      </c>
      <c r="Q192" s="799">
        <v>9119</v>
      </c>
      <c r="R192" s="115">
        <v>144811</v>
      </c>
      <c r="S192" s="799">
        <f t="shared" si="27"/>
        <v>400143</v>
      </c>
      <c r="T192" s="800">
        <v>37149</v>
      </c>
      <c r="U192" s="803">
        <v>66</v>
      </c>
      <c r="V192" s="799"/>
      <c r="W192" s="801">
        <f t="shared" si="28"/>
        <v>451680</v>
      </c>
      <c r="X192" s="799"/>
      <c r="Y192" s="799"/>
      <c r="Z192" s="803"/>
      <c r="AA192" s="799"/>
      <c r="AB192" s="801">
        <f t="shared" si="29"/>
        <v>0</v>
      </c>
      <c r="AC192" s="799"/>
      <c r="AD192" s="799"/>
      <c r="AE192" s="800"/>
      <c r="AF192" s="804"/>
      <c r="AG192" s="799"/>
      <c r="AH192" s="800"/>
      <c r="AI192" s="800"/>
      <c r="AJ192" s="801">
        <f t="shared" si="25"/>
        <v>0</v>
      </c>
      <c r="AK192" s="800">
        <f t="shared" si="32"/>
        <v>987403.65599999996</v>
      </c>
      <c r="AL192" s="800">
        <f t="shared" si="32"/>
        <v>317242.52100000001</v>
      </c>
      <c r="AM192" s="800">
        <f t="shared" si="32"/>
        <v>670161.13500000001</v>
      </c>
      <c r="AN192" s="800">
        <f t="shared" si="32"/>
        <v>35249.169000000002</v>
      </c>
      <c r="AO192" s="192">
        <f t="shared" si="31"/>
        <v>0.32128959526558609</v>
      </c>
      <c r="AP192" s="193">
        <f t="shared" si="33"/>
        <v>486929.16899999999</v>
      </c>
      <c r="AQ192" s="193">
        <f t="shared" si="30"/>
        <v>-342261.16899999999</v>
      </c>
      <c r="AR192" s="805"/>
      <c r="AS192" s="119"/>
      <c r="AT192" s="119"/>
      <c r="AU192" s="120"/>
      <c r="AV192" s="806"/>
      <c r="AW192" s="800">
        <v>987403656</v>
      </c>
      <c r="AX192" s="807">
        <v>317242521</v>
      </c>
      <c r="AY192" s="807">
        <v>670161135</v>
      </c>
      <c r="AZ192" s="807">
        <v>35249169</v>
      </c>
      <c r="BA192" s="196">
        <f t="shared" si="34"/>
        <v>0.32128959526558609</v>
      </c>
      <c r="BB192" s="210">
        <v>103624</v>
      </c>
      <c r="BC192" s="115">
        <v>17051</v>
      </c>
      <c r="BD192" s="236">
        <v>0</v>
      </c>
    </row>
    <row r="193" spans="1:56" s="808" customFormat="1" ht="14.25" customHeight="1">
      <c r="A193" s="792">
        <v>2024</v>
      </c>
      <c r="B193" s="793" t="str">
        <f>+INDEX('①基本情報 '!C:C,MATCH('③経費情報(2024)'!E193,'①基本情報 '!E:E,0))</f>
        <v>185</v>
      </c>
      <c r="C193" s="794" t="str">
        <f>+INDEX('①基本情報 '!B:B,MATCH('③経費情報(2024)'!E193,'①基本情報 '!E:E,0))</f>
        <v>0822</v>
      </c>
      <c r="D193" s="809" t="s">
        <v>2415</v>
      </c>
      <c r="E193" s="616" t="s">
        <v>1206</v>
      </c>
      <c r="F193" s="616" t="str">
        <f>INDEX('①基本情報 '!F:F,MATCH('③経費情報(2024)'!E193,'①基本情報 '!E:E,0))</f>
        <v>都市活力部</v>
      </c>
      <c r="G193" s="797" t="s">
        <v>1207</v>
      </c>
      <c r="H193" s="371">
        <v>42137</v>
      </c>
      <c r="I193" s="799"/>
      <c r="J193" s="807"/>
      <c r="K193" s="801">
        <f t="shared" si="26"/>
        <v>42137</v>
      </c>
      <c r="L193" s="799">
        <v>0</v>
      </c>
      <c r="M193" s="799"/>
      <c r="N193" s="800"/>
      <c r="O193" s="799">
        <v>1294</v>
      </c>
      <c r="P193" s="861">
        <v>0.25366795366795369</v>
      </c>
      <c r="Q193" s="799">
        <v>9119</v>
      </c>
      <c r="R193" s="800">
        <v>139</v>
      </c>
      <c r="S193" s="799">
        <f t="shared" si="27"/>
        <v>2452</v>
      </c>
      <c r="T193" s="800">
        <v>191</v>
      </c>
      <c r="U193" s="803"/>
      <c r="V193" s="799">
        <v>11304</v>
      </c>
      <c r="W193" s="801">
        <f t="shared" si="28"/>
        <v>15241</v>
      </c>
      <c r="X193" s="799">
        <v>11304</v>
      </c>
      <c r="Y193" s="799"/>
      <c r="Z193" s="803"/>
      <c r="AA193" s="799"/>
      <c r="AB193" s="801">
        <f t="shared" si="29"/>
        <v>11304</v>
      </c>
      <c r="AC193" s="799"/>
      <c r="AD193" s="799">
        <v>2007</v>
      </c>
      <c r="AE193" s="800"/>
      <c r="AF193" s="804">
        <v>5954</v>
      </c>
      <c r="AG193" s="799">
        <v>2576</v>
      </c>
      <c r="AH193" s="800">
        <v>772</v>
      </c>
      <c r="AI193" s="800"/>
      <c r="AJ193" s="801">
        <f t="shared" si="25"/>
        <v>11309</v>
      </c>
      <c r="AK193" s="800">
        <f t="shared" si="32"/>
        <v>1937809.5</v>
      </c>
      <c r="AL193" s="800">
        <f t="shared" si="32"/>
        <v>1141545.5919999999</v>
      </c>
      <c r="AM193" s="800">
        <f t="shared" si="32"/>
        <v>796263.90800000005</v>
      </c>
      <c r="AN193" s="800">
        <f t="shared" si="32"/>
        <v>42631.807000000001</v>
      </c>
      <c r="AO193" s="192">
        <f t="shared" si="31"/>
        <v>0.58909071918576106</v>
      </c>
      <c r="AP193" s="193">
        <f t="shared" si="33"/>
        <v>57872.807000000001</v>
      </c>
      <c r="AQ193" s="193">
        <f t="shared" si="30"/>
        <v>-15735.807000000001</v>
      </c>
      <c r="AR193" s="851"/>
      <c r="AS193" s="148"/>
      <c r="AT193" s="119"/>
      <c r="AU193" s="120"/>
      <c r="AV193" s="806"/>
      <c r="AW193" s="800">
        <v>1937809500</v>
      </c>
      <c r="AX193" s="807">
        <v>1141545592</v>
      </c>
      <c r="AY193" s="807">
        <v>796263908</v>
      </c>
      <c r="AZ193" s="807">
        <v>42631807</v>
      </c>
      <c r="BA193" s="196">
        <f t="shared" si="34"/>
        <v>0.58909071918576106</v>
      </c>
      <c r="BB193" s="210"/>
      <c r="BC193" s="115"/>
      <c r="BD193" s="236"/>
    </row>
    <row r="194" spans="1:56" s="808" customFormat="1" ht="14.25" customHeight="1">
      <c r="A194" s="792">
        <v>2024</v>
      </c>
      <c r="B194" s="793" t="str">
        <f>+INDEX('①基本情報 '!C:C,MATCH('③経費情報(2024)'!E194,'①基本情報 '!E:E,0))</f>
        <v>186</v>
      </c>
      <c r="C194" s="794" t="str">
        <f>+INDEX('①基本情報 '!B:B,MATCH('③経費情報(2024)'!E194,'①基本情報 '!E:E,0))</f>
        <v>0827</v>
      </c>
      <c r="D194" s="809" t="s">
        <v>2415</v>
      </c>
      <c r="E194" s="616" t="s">
        <v>1218</v>
      </c>
      <c r="F194" s="616" t="str">
        <f>INDEX('①基本情報 '!F:F,MATCH('③経費情報(2024)'!E194,'①基本情報 '!E:E,0))</f>
        <v>都市活力部</v>
      </c>
      <c r="G194" s="797" t="s">
        <v>1207</v>
      </c>
      <c r="H194" s="371">
        <v>13995</v>
      </c>
      <c r="I194" s="799"/>
      <c r="J194" s="807"/>
      <c r="K194" s="801">
        <f t="shared" si="26"/>
        <v>13995</v>
      </c>
      <c r="L194" s="799">
        <v>0</v>
      </c>
      <c r="M194" s="799"/>
      <c r="N194" s="800"/>
      <c r="O194" s="799">
        <v>1157</v>
      </c>
      <c r="P194" s="861">
        <v>8.4555984555984565E-2</v>
      </c>
      <c r="Q194" s="799">
        <v>9119</v>
      </c>
      <c r="R194" s="800">
        <v>46</v>
      </c>
      <c r="S194" s="799">
        <f t="shared" si="27"/>
        <v>817</v>
      </c>
      <c r="T194" s="800">
        <v>63</v>
      </c>
      <c r="U194" s="803"/>
      <c r="V194" s="799">
        <v>3768</v>
      </c>
      <c r="W194" s="801">
        <f t="shared" si="28"/>
        <v>5805</v>
      </c>
      <c r="X194" s="799">
        <v>3768</v>
      </c>
      <c r="Y194" s="799"/>
      <c r="Z194" s="803"/>
      <c r="AA194" s="799"/>
      <c r="AB194" s="801">
        <f t="shared" si="29"/>
        <v>3768</v>
      </c>
      <c r="AC194" s="799"/>
      <c r="AD194" s="799">
        <v>669</v>
      </c>
      <c r="AE194" s="800"/>
      <c r="AF194" s="804">
        <v>1984</v>
      </c>
      <c r="AG194" s="799">
        <v>858</v>
      </c>
      <c r="AH194" s="800">
        <v>257</v>
      </c>
      <c r="AI194" s="800"/>
      <c r="AJ194" s="801">
        <f t="shared" si="25"/>
        <v>3768</v>
      </c>
      <c r="AK194" s="800">
        <f t="shared" si="32"/>
        <v>618571.4</v>
      </c>
      <c r="AL194" s="800">
        <f t="shared" si="32"/>
        <v>353080.12599999999</v>
      </c>
      <c r="AM194" s="800">
        <f t="shared" si="32"/>
        <v>265491.27399999998</v>
      </c>
      <c r="AN194" s="800">
        <f t="shared" si="32"/>
        <v>13608.57</v>
      </c>
      <c r="AO194" s="192">
        <f t="shared" si="31"/>
        <v>0.57079930627248532</v>
      </c>
      <c r="AP194" s="193">
        <f t="shared" si="33"/>
        <v>19413.57</v>
      </c>
      <c r="AQ194" s="193">
        <f t="shared" si="30"/>
        <v>-5418.57</v>
      </c>
      <c r="AR194" s="851"/>
      <c r="AS194" s="148"/>
      <c r="AT194" s="119"/>
      <c r="AU194" s="120"/>
      <c r="AV194" s="806"/>
      <c r="AW194" s="800">
        <v>618571400</v>
      </c>
      <c r="AX194" s="807">
        <v>353080126</v>
      </c>
      <c r="AY194" s="807">
        <v>265491274</v>
      </c>
      <c r="AZ194" s="807">
        <v>13608570</v>
      </c>
      <c r="BA194" s="196">
        <f t="shared" si="34"/>
        <v>0.57079930627248532</v>
      </c>
      <c r="BB194" s="210"/>
      <c r="BC194" s="115"/>
      <c r="BD194" s="236"/>
    </row>
    <row r="195" spans="1:56" s="808" customFormat="1" ht="14.25" customHeight="1">
      <c r="A195" s="792">
        <v>2024</v>
      </c>
      <c r="B195" s="793" t="str">
        <f>+INDEX('①基本情報 '!C:C,MATCH('③経費情報(2024)'!E195,'①基本情報 '!E:E,0))</f>
        <v>187</v>
      </c>
      <c r="C195" s="794" t="str">
        <f>+INDEX('①基本情報 '!B:B,MATCH('③経費情報(2024)'!E195,'①基本情報 '!E:E,0))</f>
        <v>0806</v>
      </c>
      <c r="D195" s="809" t="s">
        <v>2415</v>
      </c>
      <c r="E195" s="616" t="s">
        <v>1223</v>
      </c>
      <c r="F195" s="616" t="str">
        <f>INDEX('①基本情報 '!F:F,MATCH('③経費情報(2024)'!E195,'①基本情報 '!E:E,0))</f>
        <v>都市活力部</v>
      </c>
      <c r="G195" s="797" t="s">
        <v>1207</v>
      </c>
      <c r="H195" s="371">
        <v>31140</v>
      </c>
      <c r="I195" s="799"/>
      <c r="J195" s="807"/>
      <c r="K195" s="801">
        <f t="shared" si="26"/>
        <v>31140</v>
      </c>
      <c r="L195" s="799">
        <v>140</v>
      </c>
      <c r="M195" s="799"/>
      <c r="N195" s="800"/>
      <c r="O195" s="799">
        <v>1909</v>
      </c>
      <c r="P195" s="861">
        <v>0.1785070785070785</v>
      </c>
      <c r="Q195" s="799">
        <v>9119</v>
      </c>
      <c r="R195" s="800">
        <v>98</v>
      </c>
      <c r="S195" s="799">
        <f t="shared" si="27"/>
        <v>1726</v>
      </c>
      <c r="T195" s="800">
        <v>412</v>
      </c>
      <c r="U195" s="803">
        <v>870</v>
      </c>
      <c r="V195" s="799">
        <v>7954</v>
      </c>
      <c r="W195" s="801">
        <f t="shared" si="28"/>
        <v>13011</v>
      </c>
      <c r="X195" s="799">
        <v>7954</v>
      </c>
      <c r="Y195" s="799"/>
      <c r="Z195" s="803"/>
      <c r="AA195" s="799"/>
      <c r="AB195" s="801">
        <f t="shared" si="29"/>
        <v>7954</v>
      </c>
      <c r="AC195" s="799"/>
      <c r="AD195" s="799">
        <v>1412</v>
      </c>
      <c r="AE195" s="800"/>
      <c r="AF195" s="804">
        <v>4190</v>
      </c>
      <c r="AG195" s="799">
        <v>1812</v>
      </c>
      <c r="AH195" s="800">
        <v>543</v>
      </c>
      <c r="AI195" s="800"/>
      <c r="AJ195" s="801">
        <f t="shared" si="25"/>
        <v>7957</v>
      </c>
      <c r="AK195" s="800">
        <f t="shared" si="32"/>
        <v>1837072.199</v>
      </c>
      <c r="AL195" s="800">
        <f t="shared" si="32"/>
        <v>1342432.4779999999</v>
      </c>
      <c r="AM195" s="800">
        <f t="shared" si="32"/>
        <v>494639.72100000002</v>
      </c>
      <c r="AN195" s="800">
        <f t="shared" si="32"/>
        <v>29891.35</v>
      </c>
      <c r="AO195" s="192">
        <f t="shared" si="31"/>
        <v>0.73074562814174948</v>
      </c>
      <c r="AP195" s="193">
        <f t="shared" si="33"/>
        <v>42902.35</v>
      </c>
      <c r="AQ195" s="193">
        <f t="shared" si="30"/>
        <v>-11762.349999999999</v>
      </c>
      <c r="AR195" s="851"/>
      <c r="AS195" s="148"/>
      <c r="AT195" s="119"/>
      <c r="AU195" s="120"/>
      <c r="AV195" s="806"/>
      <c r="AW195" s="800">
        <v>1837072199</v>
      </c>
      <c r="AX195" s="807">
        <v>1342432478</v>
      </c>
      <c r="AY195" s="807">
        <v>494639721</v>
      </c>
      <c r="AZ195" s="807">
        <v>29891350</v>
      </c>
      <c r="BA195" s="196">
        <f t="shared" si="34"/>
        <v>0.73074562814174948</v>
      </c>
      <c r="BB195" s="210"/>
      <c r="BC195" s="115"/>
      <c r="BD195" s="236"/>
    </row>
    <row r="196" spans="1:56" s="808" customFormat="1" ht="14.25" customHeight="1">
      <c r="A196" s="792">
        <v>2024</v>
      </c>
      <c r="B196" s="793" t="s">
        <v>1966</v>
      </c>
      <c r="C196" s="794" t="s">
        <v>1966</v>
      </c>
      <c r="D196" s="809" t="s">
        <v>2415</v>
      </c>
      <c r="E196" s="616" t="s">
        <v>1227</v>
      </c>
      <c r="F196" s="616" t="e">
        <f>INDEX('①基本情報 '!F:F,MATCH('③経費情報(2024)'!E196,'①基本情報 '!E:E,0))</f>
        <v>#N/A</v>
      </c>
      <c r="G196" s="797" t="s">
        <v>1207</v>
      </c>
      <c r="H196" s="371">
        <v>271</v>
      </c>
      <c r="I196" s="799"/>
      <c r="J196" s="807"/>
      <c r="K196" s="801">
        <f t="shared" si="26"/>
        <v>271</v>
      </c>
      <c r="L196" s="799">
        <v>6</v>
      </c>
      <c r="M196" s="799"/>
      <c r="N196" s="800"/>
      <c r="O196" s="799"/>
      <c r="P196" s="861">
        <v>0</v>
      </c>
      <c r="Q196" s="799">
        <v>9119</v>
      </c>
      <c r="R196" s="800">
        <v>0</v>
      </c>
      <c r="S196" s="799">
        <f t="shared" si="27"/>
        <v>0</v>
      </c>
      <c r="T196" s="800">
        <v>205</v>
      </c>
      <c r="U196" s="803">
        <v>1440</v>
      </c>
      <c r="V196" s="799">
        <v>0</v>
      </c>
      <c r="W196" s="801">
        <f t="shared" si="28"/>
        <v>1651</v>
      </c>
      <c r="X196" s="799">
        <v>0</v>
      </c>
      <c r="Y196" s="799"/>
      <c r="Z196" s="803"/>
      <c r="AA196" s="799"/>
      <c r="AB196" s="801">
        <f t="shared" si="29"/>
        <v>0</v>
      </c>
      <c r="AC196" s="799"/>
      <c r="AD196" s="799">
        <v>0</v>
      </c>
      <c r="AE196" s="800"/>
      <c r="AF196" s="804">
        <v>0</v>
      </c>
      <c r="AG196" s="799">
        <v>0</v>
      </c>
      <c r="AH196" s="800">
        <v>0</v>
      </c>
      <c r="AI196" s="800"/>
      <c r="AJ196" s="801">
        <f t="shared" si="25"/>
        <v>0</v>
      </c>
      <c r="AK196" s="800">
        <f t="shared" si="32"/>
        <v>180691.22500000001</v>
      </c>
      <c r="AL196" s="800">
        <f t="shared" si="32"/>
        <v>150853.96100000001</v>
      </c>
      <c r="AM196" s="800">
        <f t="shared" si="32"/>
        <v>29837.263999999999</v>
      </c>
      <c r="AN196" s="800">
        <f t="shared" si="32"/>
        <v>3023.3580000000002</v>
      </c>
      <c r="AO196" s="192">
        <f t="shared" si="31"/>
        <v>0.83487153844908624</v>
      </c>
      <c r="AP196" s="193">
        <f t="shared" si="33"/>
        <v>4674.3580000000002</v>
      </c>
      <c r="AQ196" s="193">
        <f t="shared" si="30"/>
        <v>-4403.3580000000002</v>
      </c>
      <c r="AR196" s="851"/>
      <c r="AS196" s="148"/>
      <c r="AT196" s="119"/>
      <c r="AU196" s="120"/>
      <c r="AV196" s="806"/>
      <c r="AW196" s="800">
        <v>180691225</v>
      </c>
      <c r="AX196" s="807">
        <v>150853961</v>
      </c>
      <c r="AY196" s="807">
        <v>29837264</v>
      </c>
      <c r="AZ196" s="807">
        <v>3023358</v>
      </c>
      <c r="BA196" s="196">
        <f t="shared" si="34"/>
        <v>0.83487153844908624</v>
      </c>
      <c r="BB196" s="210"/>
      <c r="BC196" s="115"/>
      <c r="BD196" s="236"/>
    </row>
    <row r="197" spans="1:56" s="808" customFormat="1" ht="14.25" customHeight="1">
      <c r="A197" s="792">
        <v>2024</v>
      </c>
      <c r="B197" s="793" t="s">
        <v>1966</v>
      </c>
      <c r="C197" s="794" t="s">
        <v>1966</v>
      </c>
      <c r="D197" s="809" t="s">
        <v>2415</v>
      </c>
      <c r="E197" s="616" t="s">
        <v>1230</v>
      </c>
      <c r="F197" s="616" t="e">
        <f>INDEX('①基本情報 '!F:F,MATCH('③経費情報(2024)'!E197,'①基本情報 '!E:E,0))</f>
        <v>#N/A</v>
      </c>
      <c r="G197" s="797" t="s">
        <v>1207</v>
      </c>
      <c r="H197" s="371">
        <v>348</v>
      </c>
      <c r="I197" s="799"/>
      <c r="J197" s="807"/>
      <c r="K197" s="801">
        <f t="shared" si="26"/>
        <v>348</v>
      </c>
      <c r="L197" s="799">
        <v>6</v>
      </c>
      <c r="M197" s="799"/>
      <c r="N197" s="800"/>
      <c r="O197" s="799"/>
      <c r="P197" s="861">
        <v>0</v>
      </c>
      <c r="Q197" s="799">
        <v>9119</v>
      </c>
      <c r="R197" s="800">
        <v>0</v>
      </c>
      <c r="S197" s="799">
        <f t="shared" si="27"/>
        <v>0</v>
      </c>
      <c r="T197" s="800">
        <v>0</v>
      </c>
      <c r="U197" s="803"/>
      <c r="V197" s="799">
        <v>0</v>
      </c>
      <c r="W197" s="801">
        <f t="shared" si="28"/>
        <v>6</v>
      </c>
      <c r="X197" s="799">
        <v>0</v>
      </c>
      <c r="Y197" s="799"/>
      <c r="Z197" s="803"/>
      <c r="AA197" s="799"/>
      <c r="AB197" s="801">
        <f t="shared" si="29"/>
        <v>0</v>
      </c>
      <c r="AC197" s="799"/>
      <c r="AD197" s="799">
        <v>0</v>
      </c>
      <c r="AE197" s="800"/>
      <c r="AF197" s="804">
        <v>0</v>
      </c>
      <c r="AG197" s="799">
        <v>0</v>
      </c>
      <c r="AH197" s="800">
        <v>0</v>
      </c>
      <c r="AI197" s="800"/>
      <c r="AJ197" s="801">
        <f t="shared" ref="AJ197:AJ260" si="35">SUBTOTAL(9,AC197:AI197)</f>
        <v>0</v>
      </c>
      <c r="AK197" s="800">
        <f t="shared" si="32"/>
        <v>180691.22500000001</v>
      </c>
      <c r="AL197" s="800">
        <f t="shared" si="32"/>
        <v>150853.96100000001</v>
      </c>
      <c r="AM197" s="800">
        <f t="shared" si="32"/>
        <v>29837.263999999999</v>
      </c>
      <c r="AN197" s="800">
        <f t="shared" si="32"/>
        <v>3023.3580000000002</v>
      </c>
      <c r="AO197" s="192">
        <f t="shared" si="31"/>
        <v>0.83487153844908624</v>
      </c>
      <c r="AP197" s="193">
        <f t="shared" si="33"/>
        <v>3029.3580000000002</v>
      </c>
      <c r="AQ197" s="193">
        <f t="shared" si="30"/>
        <v>-2681.3580000000002</v>
      </c>
      <c r="AR197" s="851"/>
      <c r="AS197" s="148"/>
      <c r="AT197" s="119"/>
      <c r="AU197" s="120"/>
      <c r="AV197" s="806"/>
      <c r="AW197" s="800">
        <v>180691225</v>
      </c>
      <c r="AX197" s="807">
        <v>150853961</v>
      </c>
      <c r="AY197" s="807">
        <v>29837264</v>
      </c>
      <c r="AZ197" s="807">
        <v>3023358</v>
      </c>
      <c r="BA197" s="196">
        <f t="shared" si="34"/>
        <v>0.83487153844908624</v>
      </c>
      <c r="BB197" s="210"/>
      <c r="BC197" s="115"/>
      <c r="BD197" s="236"/>
    </row>
    <row r="198" spans="1:56" s="808" customFormat="1" ht="14.25" customHeight="1">
      <c r="A198" s="792">
        <v>2024</v>
      </c>
      <c r="B198" s="793" t="str">
        <f>+INDEX('①基本情報 '!C:C,MATCH('③経費情報(2024)'!E198,'①基本情報 '!E:E,0))</f>
        <v>188</v>
      </c>
      <c r="C198" s="794" t="str">
        <f>+INDEX('①基本情報 '!B:B,MATCH('③経費情報(2024)'!E198,'①基本情報 '!E:E,0))</f>
        <v>0807</v>
      </c>
      <c r="D198" s="809" t="s">
        <v>2415</v>
      </c>
      <c r="E198" s="616" t="s">
        <v>1233</v>
      </c>
      <c r="F198" s="616" t="str">
        <f>INDEX('①基本情報 '!F:F,MATCH('③経費情報(2024)'!E198,'①基本情報 '!E:E,0))</f>
        <v>都市活力部</v>
      </c>
      <c r="G198" s="797" t="s">
        <v>1207</v>
      </c>
      <c r="H198" s="371">
        <v>8213</v>
      </c>
      <c r="I198" s="799"/>
      <c r="J198" s="807"/>
      <c r="K198" s="801">
        <f t="shared" ref="K198:K259" si="36">SUBTOTAL(9,H198:J198)</f>
        <v>8213</v>
      </c>
      <c r="L198" s="799">
        <v>20</v>
      </c>
      <c r="M198" s="799"/>
      <c r="N198" s="800"/>
      <c r="O198" s="799">
        <v>830</v>
      </c>
      <c r="P198" s="861">
        <v>0.14092664092664095</v>
      </c>
      <c r="Q198" s="799">
        <v>9119</v>
      </c>
      <c r="R198" s="800">
        <v>77</v>
      </c>
      <c r="S198" s="799">
        <f t="shared" ref="S198:S259" si="37">ROUND(P198*Q198,0)+R198</f>
        <v>1362</v>
      </c>
      <c r="T198" s="800">
        <v>106</v>
      </c>
      <c r="U198" s="803"/>
      <c r="V198" s="799">
        <v>6280</v>
      </c>
      <c r="W198" s="801">
        <f t="shared" ref="W198:W259" si="38">SUBTOTAL(9,L198:O198,S198:V198)</f>
        <v>8598</v>
      </c>
      <c r="X198" s="799">
        <v>6280</v>
      </c>
      <c r="Y198" s="799"/>
      <c r="Z198" s="803"/>
      <c r="AA198" s="799"/>
      <c r="AB198" s="801">
        <f t="shared" ref="AB198:AB261" si="39">SUBTOTAL(9,X198:AA198)</f>
        <v>6280</v>
      </c>
      <c r="AC198" s="799"/>
      <c r="AD198" s="799">
        <v>1115</v>
      </c>
      <c r="AE198" s="800"/>
      <c r="AF198" s="804">
        <v>3307</v>
      </c>
      <c r="AG198" s="799">
        <v>1431</v>
      </c>
      <c r="AH198" s="800">
        <v>429</v>
      </c>
      <c r="AI198" s="800"/>
      <c r="AJ198" s="801">
        <f t="shared" si="35"/>
        <v>6282</v>
      </c>
      <c r="AK198" s="800">
        <f t="shared" si="32"/>
        <v>703743.84699999995</v>
      </c>
      <c r="AL198" s="800">
        <f t="shared" si="32"/>
        <v>494323.13299999997</v>
      </c>
      <c r="AM198" s="800">
        <f t="shared" si="32"/>
        <v>209420.71400000001</v>
      </c>
      <c r="AN198" s="800">
        <f t="shared" si="32"/>
        <v>5785.0540000000001</v>
      </c>
      <c r="AO198" s="192">
        <f t="shared" si="31"/>
        <v>0.70241911898378562</v>
      </c>
      <c r="AP198" s="193">
        <f t="shared" si="33"/>
        <v>14383.054</v>
      </c>
      <c r="AQ198" s="193">
        <f t="shared" ref="AQ198:AQ250" si="40">K198-AP198</f>
        <v>-6170.0540000000001</v>
      </c>
      <c r="AR198" s="851"/>
      <c r="AS198" s="148"/>
      <c r="AT198" s="119"/>
      <c r="AU198" s="120"/>
      <c r="AV198" s="806"/>
      <c r="AW198" s="800">
        <v>703743847</v>
      </c>
      <c r="AX198" s="807">
        <v>494323133</v>
      </c>
      <c r="AY198" s="807">
        <v>209420714</v>
      </c>
      <c r="AZ198" s="807">
        <v>5785054</v>
      </c>
      <c r="BA198" s="196">
        <f t="shared" si="34"/>
        <v>0.70241911898378562</v>
      </c>
      <c r="BB198" s="210"/>
      <c r="BC198" s="115"/>
      <c r="BD198" s="236"/>
    </row>
    <row r="199" spans="1:56" s="808" customFormat="1" ht="14.25" customHeight="1">
      <c r="A199" s="792">
        <v>2024</v>
      </c>
      <c r="B199" s="793" t="str">
        <f>+INDEX('①基本情報 '!C:C,MATCH('③経費情報(2024)'!E199,'①基本情報 '!E:E,0))</f>
        <v>189</v>
      </c>
      <c r="C199" s="794" t="str">
        <f>+INDEX('①基本情報 '!B:B,MATCH('③経費情報(2024)'!E199,'①基本情報 '!E:E,0))</f>
        <v>0810</v>
      </c>
      <c r="D199" s="809" t="s">
        <v>2415</v>
      </c>
      <c r="E199" s="616" t="s">
        <v>1237</v>
      </c>
      <c r="F199" s="616" t="str">
        <f>INDEX('①基本情報 '!F:F,MATCH('③経費情報(2024)'!E199,'①基本情報 '!E:E,0))</f>
        <v>都市活力部</v>
      </c>
      <c r="G199" s="797" t="s">
        <v>1207</v>
      </c>
      <c r="H199" s="371">
        <v>34046</v>
      </c>
      <c r="I199" s="799"/>
      <c r="J199" s="807"/>
      <c r="K199" s="801">
        <f t="shared" si="36"/>
        <v>34046</v>
      </c>
      <c r="L199" s="799">
        <v>155</v>
      </c>
      <c r="M199" s="799"/>
      <c r="N199" s="800"/>
      <c r="O199" s="799">
        <v>992</v>
      </c>
      <c r="P199" s="861">
        <v>0.46740669240669247</v>
      </c>
      <c r="Q199" s="799">
        <v>9119</v>
      </c>
      <c r="R199" s="800">
        <v>257</v>
      </c>
      <c r="S199" s="799">
        <f t="shared" si="37"/>
        <v>4519</v>
      </c>
      <c r="T199" s="800">
        <v>352</v>
      </c>
      <c r="U199" s="803"/>
      <c r="V199" s="799">
        <v>20829</v>
      </c>
      <c r="W199" s="801">
        <f t="shared" si="38"/>
        <v>26847</v>
      </c>
      <c r="X199" s="799">
        <v>20829</v>
      </c>
      <c r="Y199" s="799"/>
      <c r="Z199" s="803"/>
      <c r="AA199" s="799"/>
      <c r="AB199" s="801">
        <f t="shared" si="39"/>
        <v>20829</v>
      </c>
      <c r="AC199" s="799"/>
      <c r="AD199" s="799">
        <v>3698</v>
      </c>
      <c r="AE199" s="800"/>
      <c r="AF199" s="804">
        <v>10971</v>
      </c>
      <c r="AG199" s="799">
        <v>4746</v>
      </c>
      <c r="AH199" s="800">
        <v>1423</v>
      </c>
      <c r="AI199" s="800"/>
      <c r="AJ199" s="801">
        <f t="shared" si="35"/>
        <v>20838</v>
      </c>
      <c r="AK199" s="800">
        <f t="shared" si="32"/>
        <v>2089611.5719999999</v>
      </c>
      <c r="AL199" s="800">
        <f t="shared" si="32"/>
        <v>1996767.169</v>
      </c>
      <c r="AM199" s="800">
        <f t="shared" si="32"/>
        <v>92844.403000000006</v>
      </c>
      <c r="AN199" s="800">
        <f t="shared" si="32"/>
        <v>4897.1840000000002</v>
      </c>
      <c r="AO199" s="192">
        <f t="shared" si="31"/>
        <v>0.95556858305912939</v>
      </c>
      <c r="AP199" s="193">
        <f t="shared" si="33"/>
        <v>31744.184000000001</v>
      </c>
      <c r="AQ199" s="193">
        <f t="shared" si="40"/>
        <v>2301.8159999999989</v>
      </c>
      <c r="AR199" s="851"/>
      <c r="AS199" s="148"/>
      <c r="AT199" s="119"/>
      <c r="AU199" s="120"/>
      <c r="AV199" s="806"/>
      <c r="AW199" s="800">
        <v>2089611572</v>
      </c>
      <c r="AX199" s="807">
        <v>1996767169</v>
      </c>
      <c r="AY199" s="807">
        <v>92844403</v>
      </c>
      <c r="AZ199" s="807">
        <v>4897184</v>
      </c>
      <c r="BA199" s="196">
        <f t="shared" si="34"/>
        <v>0.95556858305912939</v>
      </c>
      <c r="BB199" s="210"/>
      <c r="BC199" s="115"/>
      <c r="BD199" s="236"/>
    </row>
    <row r="200" spans="1:56" s="808" customFormat="1" ht="14.25" customHeight="1">
      <c r="A200" s="792">
        <v>2024</v>
      </c>
      <c r="B200" s="793" t="str">
        <f>+INDEX('①基本情報 '!C:C,MATCH('③経費情報(2024)'!E200,'①基本情報 '!E:E,0))</f>
        <v>190</v>
      </c>
      <c r="C200" s="794" t="str">
        <f>+INDEX('①基本情報 '!B:B,MATCH('③経費情報(2024)'!E200,'①基本情報 '!E:E,0))</f>
        <v>0808</v>
      </c>
      <c r="D200" s="809" t="s">
        <v>2415</v>
      </c>
      <c r="E200" s="616" t="s">
        <v>1240</v>
      </c>
      <c r="F200" s="616" t="str">
        <f>INDEX('①基本情報 '!F:F,MATCH('③経費情報(2024)'!E200,'①基本情報 '!E:E,0))</f>
        <v>都市活力部</v>
      </c>
      <c r="G200" s="797" t="s">
        <v>1207</v>
      </c>
      <c r="H200" s="371">
        <v>13059</v>
      </c>
      <c r="I200" s="799"/>
      <c r="J200" s="807"/>
      <c r="K200" s="801">
        <f t="shared" si="36"/>
        <v>13059</v>
      </c>
      <c r="L200" s="799">
        <v>13</v>
      </c>
      <c r="M200" s="799"/>
      <c r="N200" s="800"/>
      <c r="O200" s="799">
        <v>899</v>
      </c>
      <c r="P200" s="861">
        <v>0.26071428571428573</v>
      </c>
      <c r="Q200" s="799">
        <v>9119</v>
      </c>
      <c r="R200" s="800">
        <v>143</v>
      </c>
      <c r="S200" s="799">
        <f t="shared" si="37"/>
        <v>2520</v>
      </c>
      <c r="T200" s="800">
        <v>196</v>
      </c>
      <c r="U200" s="803"/>
      <c r="V200" s="799">
        <v>11618</v>
      </c>
      <c r="W200" s="801">
        <f t="shared" si="38"/>
        <v>15246</v>
      </c>
      <c r="X200" s="799">
        <v>11618</v>
      </c>
      <c r="Y200" s="799"/>
      <c r="Z200" s="803"/>
      <c r="AA200" s="799"/>
      <c r="AB200" s="801">
        <f t="shared" si="39"/>
        <v>11618</v>
      </c>
      <c r="AC200" s="799"/>
      <c r="AD200" s="799">
        <v>2063</v>
      </c>
      <c r="AE200" s="800"/>
      <c r="AF200" s="804">
        <v>6119</v>
      </c>
      <c r="AG200" s="799">
        <v>2647</v>
      </c>
      <c r="AH200" s="800">
        <v>794</v>
      </c>
      <c r="AI200" s="800"/>
      <c r="AJ200" s="801">
        <f t="shared" si="35"/>
        <v>11623</v>
      </c>
      <c r="AK200" s="800">
        <f t="shared" si="32"/>
        <v>1856908.246</v>
      </c>
      <c r="AL200" s="800">
        <f t="shared" si="32"/>
        <v>1249699.8230000001</v>
      </c>
      <c r="AM200" s="800">
        <f t="shared" si="32"/>
        <v>607208.42299999995</v>
      </c>
      <c r="AN200" s="800">
        <f t="shared" si="32"/>
        <v>22720.427</v>
      </c>
      <c r="AO200" s="192">
        <f t="shared" si="31"/>
        <v>0.6730003088154739</v>
      </c>
      <c r="AP200" s="193">
        <f t="shared" si="33"/>
        <v>37966.426999999996</v>
      </c>
      <c r="AQ200" s="193">
        <f t="shared" si="40"/>
        <v>-24907.426999999996</v>
      </c>
      <c r="AR200" s="851"/>
      <c r="AS200" s="148"/>
      <c r="AT200" s="119"/>
      <c r="AU200" s="120"/>
      <c r="AV200" s="806"/>
      <c r="AW200" s="800">
        <v>1856908246</v>
      </c>
      <c r="AX200" s="807">
        <v>1249699823</v>
      </c>
      <c r="AY200" s="807">
        <v>607208423</v>
      </c>
      <c r="AZ200" s="807">
        <v>22720427</v>
      </c>
      <c r="BA200" s="196">
        <f t="shared" si="34"/>
        <v>0.6730003088154739</v>
      </c>
      <c r="BB200" s="210"/>
      <c r="BC200" s="115"/>
      <c r="BD200" s="236"/>
    </row>
    <row r="201" spans="1:56" s="808" customFormat="1" ht="14.25" customHeight="1">
      <c r="A201" s="792">
        <v>2024</v>
      </c>
      <c r="B201" s="793" t="str">
        <f>+INDEX('①基本情報 '!C:C,MATCH('③経費情報(2024)'!E201,'①基本情報 '!E:E,0))</f>
        <v>191</v>
      </c>
      <c r="C201" s="794" t="str">
        <f>+INDEX('①基本情報 '!B:B,MATCH('③経費情報(2024)'!E201,'①基本情報 '!E:E,0))</f>
        <v>0813</v>
      </c>
      <c r="D201" s="809" t="s">
        <v>2415</v>
      </c>
      <c r="E201" s="616" t="s">
        <v>1243</v>
      </c>
      <c r="F201" s="616" t="str">
        <f>INDEX('①基本情報 '!F:F,MATCH('③経費情報(2024)'!E201,'①基本情報 '!E:E,0))</f>
        <v>都市活力部</v>
      </c>
      <c r="G201" s="797" t="s">
        <v>1207</v>
      </c>
      <c r="H201" s="371">
        <v>2199</v>
      </c>
      <c r="I201" s="799"/>
      <c r="J201" s="807"/>
      <c r="K201" s="801">
        <f t="shared" si="36"/>
        <v>2199</v>
      </c>
      <c r="L201" s="799">
        <v>33</v>
      </c>
      <c r="M201" s="799"/>
      <c r="N201" s="800"/>
      <c r="O201" s="799">
        <v>830</v>
      </c>
      <c r="P201" s="861">
        <v>4.2277992277992282E-2</v>
      </c>
      <c r="Q201" s="799">
        <v>9119</v>
      </c>
      <c r="R201" s="800">
        <v>23</v>
      </c>
      <c r="S201" s="799">
        <f t="shared" si="37"/>
        <v>409</v>
      </c>
      <c r="T201" s="800">
        <v>31</v>
      </c>
      <c r="U201" s="803"/>
      <c r="V201" s="799">
        <v>1884</v>
      </c>
      <c r="W201" s="801">
        <f t="shared" si="38"/>
        <v>3187</v>
      </c>
      <c r="X201" s="799">
        <v>1884</v>
      </c>
      <c r="Y201" s="799"/>
      <c r="Z201" s="803"/>
      <c r="AA201" s="799"/>
      <c r="AB201" s="801">
        <f t="shared" si="39"/>
        <v>1884</v>
      </c>
      <c r="AC201" s="799"/>
      <c r="AD201" s="799">
        <v>334</v>
      </c>
      <c r="AE201" s="800"/>
      <c r="AF201" s="804">
        <v>992</v>
      </c>
      <c r="AG201" s="799">
        <v>429</v>
      </c>
      <c r="AH201" s="800">
        <v>128</v>
      </c>
      <c r="AI201" s="800"/>
      <c r="AJ201" s="801">
        <f t="shared" si="35"/>
        <v>1883</v>
      </c>
      <c r="AK201" s="800">
        <f t="shared" si="32"/>
        <v>193948.52499999999</v>
      </c>
      <c r="AL201" s="800">
        <f t="shared" si="32"/>
        <v>152659.41099999999</v>
      </c>
      <c r="AM201" s="800">
        <f t="shared" si="32"/>
        <v>41289.114000000001</v>
      </c>
      <c r="AN201" s="800">
        <f t="shared" si="32"/>
        <v>1153.2750000000001</v>
      </c>
      <c r="AO201" s="192">
        <f t="shared" si="31"/>
        <v>0.78711302908851721</v>
      </c>
      <c r="AP201" s="193">
        <f t="shared" si="33"/>
        <v>4340.2749999999996</v>
      </c>
      <c r="AQ201" s="193">
        <f t="shared" si="40"/>
        <v>-2141.2749999999996</v>
      </c>
      <c r="AR201" s="851"/>
      <c r="AS201" s="148"/>
      <c r="AT201" s="119"/>
      <c r="AU201" s="120"/>
      <c r="AV201" s="806"/>
      <c r="AW201" s="800">
        <v>193948525</v>
      </c>
      <c r="AX201" s="807">
        <v>152659411</v>
      </c>
      <c r="AY201" s="807">
        <v>41289114</v>
      </c>
      <c r="AZ201" s="807">
        <v>1153275</v>
      </c>
      <c r="BA201" s="196">
        <f t="shared" si="34"/>
        <v>0.78711302908851721</v>
      </c>
      <c r="BB201" s="210"/>
      <c r="BC201" s="115"/>
      <c r="BD201" s="236"/>
    </row>
    <row r="202" spans="1:56" s="808" customFormat="1" ht="14.25" customHeight="1">
      <c r="A202" s="792">
        <v>2024</v>
      </c>
      <c r="B202" s="793" t="str">
        <f>+INDEX('①基本情報 '!C:C,MATCH('③経費情報(2024)'!E202,'①基本情報 '!E:E,0))</f>
        <v>192</v>
      </c>
      <c r="C202" s="794" t="str">
        <f>+INDEX('①基本情報 '!B:B,MATCH('③経費情報(2024)'!E202,'①基本情報 '!E:E,0))</f>
        <v>0809</v>
      </c>
      <c r="D202" s="809" t="s">
        <v>2415</v>
      </c>
      <c r="E202" s="616" t="s">
        <v>1247</v>
      </c>
      <c r="F202" s="616" t="str">
        <f>INDEX('①基本情報 '!F:F,MATCH('③経費情報(2024)'!E202,'①基本情報 '!E:E,0))</f>
        <v>都市活力部</v>
      </c>
      <c r="G202" s="797" t="s">
        <v>1207</v>
      </c>
      <c r="H202" s="371">
        <v>19135</v>
      </c>
      <c r="I202" s="799"/>
      <c r="J202" s="807"/>
      <c r="K202" s="801">
        <f t="shared" si="36"/>
        <v>19135</v>
      </c>
      <c r="L202" s="799">
        <v>103</v>
      </c>
      <c r="M202" s="799"/>
      <c r="N202" s="800"/>
      <c r="O202" s="799">
        <v>394</v>
      </c>
      <c r="P202" s="861">
        <v>0.25836550836550842</v>
      </c>
      <c r="Q202" s="799">
        <v>9119</v>
      </c>
      <c r="R202" s="800">
        <v>142</v>
      </c>
      <c r="S202" s="799">
        <f t="shared" si="37"/>
        <v>2498</v>
      </c>
      <c r="T202" s="800">
        <v>195</v>
      </c>
      <c r="U202" s="803"/>
      <c r="V202" s="799">
        <v>11513</v>
      </c>
      <c r="W202" s="801">
        <f t="shared" si="38"/>
        <v>14703</v>
      </c>
      <c r="X202" s="799">
        <v>11513</v>
      </c>
      <c r="Y202" s="799"/>
      <c r="Z202" s="803"/>
      <c r="AA202" s="799"/>
      <c r="AB202" s="801">
        <f t="shared" si="39"/>
        <v>11513</v>
      </c>
      <c r="AC202" s="799"/>
      <c r="AD202" s="799">
        <v>2044</v>
      </c>
      <c r="AE202" s="800"/>
      <c r="AF202" s="804">
        <v>6064</v>
      </c>
      <c r="AG202" s="799">
        <v>2623</v>
      </c>
      <c r="AH202" s="800">
        <v>786</v>
      </c>
      <c r="AI202" s="800"/>
      <c r="AJ202" s="801">
        <f t="shared" si="35"/>
        <v>11517</v>
      </c>
      <c r="AK202" s="800">
        <f t="shared" si="32"/>
        <v>1080293.058</v>
      </c>
      <c r="AL202" s="800">
        <f t="shared" si="32"/>
        <v>976780.47400000005</v>
      </c>
      <c r="AM202" s="800">
        <f t="shared" si="32"/>
        <v>103512.584</v>
      </c>
      <c r="AN202" s="800">
        <f t="shared" si="32"/>
        <v>3921.6559999999999</v>
      </c>
      <c r="AO202" s="192">
        <f t="shared" si="31"/>
        <v>0.90418101529631412</v>
      </c>
      <c r="AP202" s="193">
        <f t="shared" si="33"/>
        <v>18624.655999999999</v>
      </c>
      <c r="AQ202" s="193">
        <f t="shared" si="40"/>
        <v>510.34400000000096</v>
      </c>
      <c r="AR202" s="851"/>
      <c r="AS202" s="148"/>
      <c r="AT202" s="119"/>
      <c r="AU202" s="120"/>
      <c r="AV202" s="806"/>
      <c r="AW202" s="800">
        <v>1080293058</v>
      </c>
      <c r="AX202" s="807">
        <v>976780474</v>
      </c>
      <c r="AY202" s="807">
        <v>103512584</v>
      </c>
      <c r="AZ202" s="807">
        <v>3921656</v>
      </c>
      <c r="BA202" s="196">
        <f t="shared" si="34"/>
        <v>0.90418101529631412</v>
      </c>
      <c r="BB202" s="210"/>
      <c r="BC202" s="115"/>
      <c r="BD202" s="236"/>
    </row>
    <row r="203" spans="1:56" s="808" customFormat="1" ht="14.25" customHeight="1">
      <c r="A203" s="792">
        <v>2024</v>
      </c>
      <c r="B203" s="793" t="str">
        <f>+INDEX('①基本情報 '!C:C,MATCH('③経費情報(2024)'!E203,'①基本情報 '!E:E,0))</f>
        <v>193</v>
      </c>
      <c r="C203" s="794" t="str">
        <f>+INDEX('①基本情報 '!B:B,MATCH('③経費情報(2024)'!E203,'①基本情報 '!E:E,0))</f>
        <v>0805</v>
      </c>
      <c r="D203" s="809" t="s">
        <v>2415</v>
      </c>
      <c r="E203" s="616" t="s">
        <v>1251</v>
      </c>
      <c r="F203" s="616" t="str">
        <f>INDEX('①基本情報 '!F:F,MATCH('③経費情報(2024)'!E203,'①基本情報 '!E:E,0))</f>
        <v>都市活力部</v>
      </c>
      <c r="G203" s="797" t="s">
        <v>1207</v>
      </c>
      <c r="H203" s="371">
        <v>2828</v>
      </c>
      <c r="I203" s="799"/>
      <c r="J203" s="807"/>
      <c r="K203" s="801">
        <f t="shared" si="36"/>
        <v>2828</v>
      </c>
      <c r="L203" s="799">
        <v>0</v>
      </c>
      <c r="M203" s="799"/>
      <c r="N203" s="800"/>
      <c r="O203" s="799"/>
      <c r="P203" s="861">
        <v>4.9324324324324334E-2</v>
      </c>
      <c r="Q203" s="799">
        <v>9119</v>
      </c>
      <c r="R203" s="800">
        <v>27</v>
      </c>
      <c r="S203" s="799">
        <f t="shared" si="37"/>
        <v>477</v>
      </c>
      <c r="T203" s="800">
        <v>37</v>
      </c>
      <c r="U203" s="803"/>
      <c r="V203" s="799">
        <v>2198</v>
      </c>
      <c r="W203" s="801">
        <f t="shared" si="38"/>
        <v>2712</v>
      </c>
      <c r="X203" s="799">
        <v>2198</v>
      </c>
      <c r="Y203" s="799"/>
      <c r="Z203" s="803"/>
      <c r="AA203" s="799"/>
      <c r="AB203" s="801">
        <f t="shared" si="39"/>
        <v>2198</v>
      </c>
      <c r="AC203" s="799"/>
      <c r="AD203" s="799">
        <v>390</v>
      </c>
      <c r="AE203" s="800"/>
      <c r="AF203" s="804">
        <v>1157</v>
      </c>
      <c r="AG203" s="799">
        <v>500</v>
      </c>
      <c r="AH203" s="800">
        <v>150</v>
      </c>
      <c r="AI203" s="800"/>
      <c r="AJ203" s="801">
        <f t="shared" si="35"/>
        <v>2197</v>
      </c>
      <c r="AK203" s="800">
        <f t="shared" si="32"/>
        <v>231159.13500000001</v>
      </c>
      <c r="AL203" s="800">
        <f t="shared" si="32"/>
        <v>220546.09400000001</v>
      </c>
      <c r="AM203" s="800">
        <f t="shared" si="32"/>
        <v>10613.040999999999</v>
      </c>
      <c r="AN203" s="800">
        <f t="shared" si="32"/>
        <v>514.96500000000003</v>
      </c>
      <c r="AO203" s="192">
        <f t="shared" si="31"/>
        <v>0.95408772835215883</v>
      </c>
      <c r="AP203" s="193">
        <f t="shared" si="33"/>
        <v>3226.9650000000001</v>
      </c>
      <c r="AQ203" s="193">
        <f t="shared" si="40"/>
        <v>-398.96500000000015</v>
      </c>
      <c r="AR203" s="851"/>
      <c r="AS203" s="148"/>
      <c r="AT203" s="119"/>
      <c r="AU203" s="120"/>
      <c r="AV203" s="806"/>
      <c r="AW203" s="800">
        <v>231159135</v>
      </c>
      <c r="AX203" s="807">
        <v>220546094</v>
      </c>
      <c r="AY203" s="807">
        <v>10613041</v>
      </c>
      <c r="AZ203" s="807">
        <v>514965</v>
      </c>
      <c r="BA203" s="196">
        <f t="shared" si="34"/>
        <v>0.95408772835215883</v>
      </c>
      <c r="BB203" s="210"/>
      <c r="BC203" s="115"/>
      <c r="BD203" s="236"/>
    </row>
    <row r="204" spans="1:56" s="808" customFormat="1" ht="14.25" customHeight="1">
      <c r="A204" s="792">
        <v>2024</v>
      </c>
      <c r="B204" s="793" t="str">
        <f>+INDEX('①基本情報 '!C:C,MATCH('③経費情報(2024)'!E204,'①基本情報 '!E:E,0))</f>
        <v>194</v>
      </c>
      <c r="C204" s="794" t="str">
        <f>+INDEX('①基本情報 '!B:B,MATCH('③経費情報(2024)'!E204,'①基本情報 '!E:E,0))</f>
        <v>0814</v>
      </c>
      <c r="D204" s="809" t="s">
        <v>2415</v>
      </c>
      <c r="E204" s="616" t="s">
        <v>1256</v>
      </c>
      <c r="F204" s="616" t="str">
        <f>INDEX('①基本情報 '!F:F,MATCH('③経費情報(2024)'!E204,'①基本情報 '!E:E,0))</f>
        <v>都市活力部</v>
      </c>
      <c r="G204" s="797" t="s">
        <v>1207</v>
      </c>
      <c r="H204" s="371">
        <v>2494</v>
      </c>
      <c r="I204" s="799"/>
      <c r="J204" s="800"/>
      <c r="K204" s="801">
        <f t="shared" si="36"/>
        <v>2494</v>
      </c>
      <c r="L204" s="799">
        <v>52</v>
      </c>
      <c r="M204" s="799"/>
      <c r="N204" s="800"/>
      <c r="O204" s="799"/>
      <c r="P204" s="861">
        <v>4.4626769626769626E-2</v>
      </c>
      <c r="Q204" s="799">
        <v>9119</v>
      </c>
      <c r="R204" s="800">
        <v>24</v>
      </c>
      <c r="S204" s="799">
        <f t="shared" si="37"/>
        <v>431</v>
      </c>
      <c r="T204" s="800">
        <v>33</v>
      </c>
      <c r="U204" s="803"/>
      <c r="V204" s="799">
        <v>1988</v>
      </c>
      <c r="W204" s="801">
        <f t="shared" si="38"/>
        <v>2504</v>
      </c>
      <c r="X204" s="799">
        <v>1988</v>
      </c>
      <c r="Y204" s="799"/>
      <c r="Z204" s="803"/>
      <c r="AA204" s="799"/>
      <c r="AB204" s="801">
        <f t="shared" si="39"/>
        <v>1988</v>
      </c>
      <c r="AC204" s="799"/>
      <c r="AD204" s="799">
        <v>353</v>
      </c>
      <c r="AE204" s="800"/>
      <c r="AF204" s="804">
        <v>1047</v>
      </c>
      <c r="AG204" s="799">
        <v>453</v>
      </c>
      <c r="AH204" s="800">
        <v>135</v>
      </c>
      <c r="AI204" s="800"/>
      <c r="AJ204" s="801">
        <f t="shared" si="35"/>
        <v>1988</v>
      </c>
      <c r="AK204" s="800">
        <f t="shared" si="32"/>
        <v>156178.00399999999</v>
      </c>
      <c r="AL204" s="800">
        <f t="shared" si="32"/>
        <v>87292.98</v>
      </c>
      <c r="AM204" s="800">
        <f t="shared" si="32"/>
        <v>68885.024000000005</v>
      </c>
      <c r="AN204" s="800">
        <f t="shared" si="32"/>
        <v>2175.2020000000002</v>
      </c>
      <c r="AO204" s="192">
        <f t="shared" si="31"/>
        <v>0.55893261383978243</v>
      </c>
      <c r="AP204" s="193">
        <f t="shared" si="33"/>
        <v>4679.2020000000002</v>
      </c>
      <c r="AQ204" s="193">
        <f t="shared" si="40"/>
        <v>-2185.2020000000002</v>
      </c>
      <c r="AR204" s="851"/>
      <c r="AS204" s="148"/>
      <c r="AT204" s="119"/>
      <c r="AU204" s="120"/>
      <c r="AV204" s="806"/>
      <c r="AW204" s="800">
        <v>156178004</v>
      </c>
      <c r="AX204" s="807">
        <v>87292980</v>
      </c>
      <c r="AY204" s="807">
        <v>68885024</v>
      </c>
      <c r="AZ204" s="807">
        <v>2175202</v>
      </c>
      <c r="BA204" s="196">
        <f t="shared" si="34"/>
        <v>0.55893261383978243</v>
      </c>
      <c r="BB204" s="210"/>
      <c r="BC204" s="115"/>
      <c r="BD204" s="236"/>
    </row>
    <row r="205" spans="1:56" s="808" customFormat="1" ht="14.25" customHeight="1">
      <c r="A205" s="792">
        <v>2024</v>
      </c>
      <c r="B205" s="793" t="str">
        <f>+INDEX('①基本情報 '!C:C,MATCH('③経費情報(2024)'!E205,'①基本情報 '!E:E,0))</f>
        <v>195</v>
      </c>
      <c r="C205" s="794" t="str">
        <f>+INDEX('①基本情報 '!B:B,MATCH('③経費情報(2024)'!E205,'①基本情報 '!E:E,0))</f>
        <v>0815</v>
      </c>
      <c r="D205" s="809" t="s">
        <v>2415</v>
      </c>
      <c r="E205" s="616" t="s">
        <v>1260</v>
      </c>
      <c r="F205" s="616" t="str">
        <f>INDEX('①基本情報 '!F:F,MATCH('③経費情報(2024)'!E205,'①基本情報 '!E:E,0))</f>
        <v>都市活力部</v>
      </c>
      <c r="G205" s="797" t="s">
        <v>1207</v>
      </c>
      <c r="H205" s="371">
        <v>5843</v>
      </c>
      <c r="I205" s="799"/>
      <c r="J205" s="800"/>
      <c r="K205" s="801">
        <f t="shared" si="36"/>
        <v>5843</v>
      </c>
      <c r="L205" s="799">
        <v>26</v>
      </c>
      <c r="M205" s="799"/>
      <c r="N205" s="800"/>
      <c r="O205" s="799"/>
      <c r="P205" s="861">
        <v>6.1068211068211073E-2</v>
      </c>
      <c r="Q205" s="799">
        <v>9119</v>
      </c>
      <c r="R205" s="800">
        <v>33</v>
      </c>
      <c r="S205" s="799">
        <f t="shared" si="37"/>
        <v>590</v>
      </c>
      <c r="T205" s="800">
        <v>46</v>
      </c>
      <c r="U205" s="803"/>
      <c r="V205" s="799">
        <v>2721</v>
      </c>
      <c r="W205" s="801">
        <f t="shared" si="38"/>
        <v>3383</v>
      </c>
      <c r="X205" s="799">
        <v>2721</v>
      </c>
      <c r="Y205" s="799"/>
      <c r="Z205" s="803"/>
      <c r="AA205" s="799"/>
      <c r="AB205" s="801">
        <f t="shared" si="39"/>
        <v>2721</v>
      </c>
      <c r="AC205" s="799"/>
      <c r="AD205" s="799">
        <v>483</v>
      </c>
      <c r="AE205" s="800"/>
      <c r="AF205" s="804">
        <v>1433</v>
      </c>
      <c r="AG205" s="799">
        <v>620</v>
      </c>
      <c r="AH205" s="800">
        <v>185</v>
      </c>
      <c r="AI205" s="800"/>
      <c r="AJ205" s="801">
        <f t="shared" si="35"/>
        <v>2721</v>
      </c>
      <c r="AK205" s="800">
        <f t="shared" si="32"/>
        <v>259260.22</v>
      </c>
      <c r="AL205" s="800">
        <f t="shared" si="32"/>
        <v>233857.5</v>
      </c>
      <c r="AM205" s="800">
        <f t="shared" si="32"/>
        <v>25402.720000000001</v>
      </c>
      <c r="AN205" s="800">
        <f t="shared" si="32"/>
        <v>724.59799999999996</v>
      </c>
      <c r="AO205" s="192">
        <f t="shared" si="31"/>
        <v>0.90201844309165513</v>
      </c>
      <c r="AP205" s="193">
        <f t="shared" si="33"/>
        <v>4107.598</v>
      </c>
      <c r="AQ205" s="193">
        <f t="shared" si="40"/>
        <v>1735.402</v>
      </c>
      <c r="AR205" s="851"/>
      <c r="AS205" s="148"/>
      <c r="AT205" s="119"/>
      <c r="AU205" s="120"/>
      <c r="AV205" s="806"/>
      <c r="AW205" s="800">
        <v>259260220</v>
      </c>
      <c r="AX205" s="807">
        <v>233857500</v>
      </c>
      <c r="AY205" s="807">
        <v>25402720</v>
      </c>
      <c r="AZ205" s="807">
        <v>724598</v>
      </c>
      <c r="BA205" s="196">
        <f t="shared" si="34"/>
        <v>0.90201844309165513</v>
      </c>
      <c r="BB205" s="210"/>
      <c r="BC205" s="115"/>
      <c r="BD205" s="236"/>
    </row>
    <row r="206" spans="1:56" s="808" customFormat="1" ht="14.25" customHeight="1">
      <c r="A206" s="792">
        <v>2024</v>
      </c>
      <c r="B206" s="793" t="str">
        <f>+INDEX('①基本情報 '!C:C,MATCH('③経費情報(2024)'!E206,'①基本情報 '!E:E,0))</f>
        <v>196</v>
      </c>
      <c r="C206" s="794" t="str">
        <f>+INDEX('①基本情報 '!B:B,MATCH('③経費情報(2024)'!E206,'①基本情報 '!E:E,0))</f>
        <v>0816</v>
      </c>
      <c r="D206" s="809" t="s">
        <v>2415</v>
      </c>
      <c r="E206" s="616" t="s">
        <v>1265</v>
      </c>
      <c r="F206" s="616" t="str">
        <f>INDEX('①基本情報 '!F:F,MATCH('③経費情報(2024)'!E206,'①基本情報 '!E:E,0))</f>
        <v>都市活力部</v>
      </c>
      <c r="G206" s="797" t="s">
        <v>1207</v>
      </c>
      <c r="H206" s="371">
        <v>29552</v>
      </c>
      <c r="I206" s="799"/>
      <c r="J206" s="800"/>
      <c r="K206" s="801">
        <f t="shared" si="36"/>
        <v>29552</v>
      </c>
      <c r="L206" s="799">
        <v>125</v>
      </c>
      <c r="M206" s="799"/>
      <c r="N206" s="800"/>
      <c r="O206" s="799"/>
      <c r="P206" s="861">
        <v>0.16676319176319179</v>
      </c>
      <c r="Q206" s="799">
        <v>9119</v>
      </c>
      <c r="R206" s="800">
        <v>91</v>
      </c>
      <c r="S206" s="799">
        <f t="shared" si="37"/>
        <v>1612</v>
      </c>
      <c r="T206" s="800">
        <v>125</v>
      </c>
      <c r="U206" s="803"/>
      <c r="V206" s="799">
        <v>7431</v>
      </c>
      <c r="W206" s="801">
        <f t="shared" si="38"/>
        <v>9293</v>
      </c>
      <c r="X206" s="799">
        <v>7431</v>
      </c>
      <c r="Y206" s="799"/>
      <c r="Z206" s="803"/>
      <c r="AA206" s="799"/>
      <c r="AB206" s="801">
        <f t="shared" si="39"/>
        <v>7431</v>
      </c>
      <c r="AC206" s="799"/>
      <c r="AD206" s="799">
        <v>1319</v>
      </c>
      <c r="AE206" s="800"/>
      <c r="AF206" s="804">
        <v>3914</v>
      </c>
      <c r="AG206" s="799">
        <v>1693</v>
      </c>
      <c r="AH206" s="800">
        <v>507</v>
      </c>
      <c r="AI206" s="800"/>
      <c r="AJ206" s="801">
        <f t="shared" si="35"/>
        <v>7433</v>
      </c>
      <c r="AK206" s="800">
        <f t="shared" si="32"/>
        <v>776524.19499999995</v>
      </c>
      <c r="AL206" s="800">
        <f t="shared" si="32"/>
        <v>608906.96299999999</v>
      </c>
      <c r="AM206" s="800">
        <f t="shared" si="32"/>
        <v>167617.23199999999</v>
      </c>
      <c r="AN206" s="800">
        <f t="shared" si="32"/>
        <v>6071.9660000000003</v>
      </c>
      <c r="AO206" s="192">
        <f t="shared" si="31"/>
        <v>0.78414422489437052</v>
      </c>
      <c r="AP206" s="193">
        <f t="shared" si="33"/>
        <v>15364.966</v>
      </c>
      <c r="AQ206" s="193">
        <f t="shared" si="40"/>
        <v>14187.034</v>
      </c>
      <c r="AR206" s="851"/>
      <c r="AS206" s="148"/>
      <c r="AT206" s="119"/>
      <c r="AU206" s="120"/>
      <c r="AV206" s="806"/>
      <c r="AW206" s="800">
        <v>776524195</v>
      </c>
      <c r="AX206" s="807">
        <v>608906963</v>
      </c>
      <c r="AY206" s="807">
        <v>167617232</v>
      </c>
      <c r="AZ206" s="807">
        <v>6071966</v>
      </c>
      <c r="BA206" s="196">
        <f t="shared" si="34"/>
        <v>0.78414422489437052</v>
      </c>
      <c r="BB206" s="210"/>
      <c r="BC206" s="115"/>
      <c r="BD206" s="236"/>
    </row>
    <row r="207" spans="1:56" s="808" customFormat="1" ht="14.25" customHeight="1">
      <c r="A207" s="792">
        <v>2024</v>
      </c>
      <c r="B207" s="793" t="str">
        <f>+INDEX('①基本情報 '!C:C,MATCH('③経費情報(2024)'!E207,'①基本情報 '!E:E,0))</f>
        <v>197</v>
      </c>
      <c r="C207" s="794" t="str">
        <f>+INDEX('①基本情報 '!B:B,MATCH('③経費情報(2024)'!E207,'①基本情報 '!E:E,0))</f>
        <v>0817</v>
      </c>
      <c r="D207" s="809" t="s">
        <v>2415</v>
      </c>
      <c r="E207" s="616" t="s">
        <v>1269</v>
      </c>
      <c r="F207" s="616" t="str">
        <f>INDEX('①基本情報 '!F:F,MATCH('③経費情報(2024)'!E207,'①基本情報 '!E:E,0))</f>
        <v>都市活力部</v>
      </c>
      <c r="G207" s="797" t="s">
        <v>1207</v>
      </c>
      <c r="H207" s="371">
        <v>23894</v>
      </c>
      <c r="I207" s="799"/>
      <c r="J207" s="800"/>
      <c r="K207" s="801">
        <f t="shared" si="36"/>
        <v>23894</v>
      </c>
      <c r="L207" s="329">
        <v>120</v>
      </c>
      <c r="M207" s="799"/>
      <c r="N207" s="800"/>
      <c r="O207" s="799">
        <v>1427</v>
      </c>
      <c r="P207" s="861">
        <v>0.17380952380952383</v>
      </c>
      <c r="Q207" s="799">
        <v>9119</v>
      </c>
      <c r="R207" s="800">
        <v>95</v>
      </c>
      <c r="S207" s="799">
        <f t="shared" si="37"/>
        <v>1680</v>
      </c>
      <c r="T207" s="800">
        <v>131</v>
      </c>
      <c r="U207" s="803"/>
      <c r="V207" s="799">
        <v>7745</v>
      </c>
      <c r="W207" s="801">
        <f t="shared" si="38"/>
        <v>11103</v>
      </c>
      <c r="X207" s="799">
        <v>7745</v>
      </c>
      <c r="Y207" s="799"/>
      <c r="Z207" s="803"/>
      <c r="AA207" s="799"/>
      <c r="AB207" s="801">
        <f t="shared" si="39"/>
        <v>7745</v>
      </c>
      <c r="AC207" s="799"/>
      <c r="AD207" s="799">
        <v>1375</v>
      </c>
      <c r="AE207" s="800"/>
      <c r="AF207" s="804">
        <v>4079</v>
      </c>
      <c r="AG207" s="799">
        <v>1765</v>
      </c>
      <c r="AH207" s="800">
        <v>529</v>
      </c>
      <c r="AI207" s="800"/>
      <c r="AJ207" s="801">
        <f t="shared" si="35"/>
        <v>7748</v>
      </c>
      <c r="AK207" s="800">
        <f t="shared" si="32"/>
        <v>762841.38500000001</v>
      </c>
      <c r="AL207" s="800">
        <f t="shared" si="32"/>
        <v>603863.88100000005</v>
      </c>
      <c r="AM207" s="800">
        <f t="shared" si="32"/>
        <v>158977.50399999999</v>
      </c>
      <c r="AN207" s="800">
        <f t="shared" si="32"/>
        <v>7770.8609999999999</v>
      </c>
      <c r="AO207" s="192">
        <f t="shared" si="31"/>
        <v>0.79159821802274144</v>
      </c>
      <c r="AP207" s="193">
        <f t="shared" si="33"/>
        <v>18873.861000000001</v>
      </c>
      <c r="AQ207" s="193">
        <f t="shared" si="40"/>
        <v>5020.1389999999992</v>
      </c>
      <c r="AR207" s="851"/>
      <c r="AS207" s="148"/>
      <c r="AT207" s="119"/>
      <c r="AU207" s="120"/>
      <c r="AV207" s="806"/>
      <c r="AW207" s="800">
        <v>762841385</v>
      </c>
      <c r="AX207" s="807">
        <v>603863881</v>
      </c>
      <c r="AY207" s="807">
        <v>158977504</v>
      </c>
      <c r="AZ207" s="807">
        <v>7770861</v>
      </c>
      <c r="BA207" s="196">
        <f t="shared" si="34"/>
        <v>0.79159821802274144</v>
      </c>
      <c r="BB207" s="210"/>
      <c r="BC207" s="115"/>
      <c r="BD207" s="236"/>
    </row>
    <row r="208" spans="1:56" s="808" customFormat="1" ht="14.25" customHeight="1">
      <c r="A208" s="792">
        <v>2024</v>
      </c>
      <c r="B208" s="793" t="str">
        <f>+INDEX('①基本情報 '!C:C,MATCH('③経費情報(2024)'!E208,'①基本情報 '!E:E,0))</f>
        <v>198</v>
      </c>
      <c r="C208" s="794" t="str">
        <f>+INDEX('①基本情報 '!B:B,MATCH('③経費情報(2024)'!E208,'①基本情報 '!E:E,0))</f>
        <v>0818</v>
      </c>
      <c r="D208" s="809" t="s">
        <v>2415</v>
      </c>
      <c r="E208" s="616" t="s">
        <v>1272</v>
      </c>
      <c r="F208" s="616" t="str">
        <f>INDEX('①基本情報 '!F:F,MATCH('③経費情報(2024)'!E208,'①基本情報 '!E:E,0))</f>
        <v>都市活力部</v>
      </c>
      <c r="G208" s="797" t="s">
        <v>1207</v>
      </c>
      <c r="H208" s="371">
        <v>6036</v>
      </c>
      <c r="I208" s="799"/>
      <c r="J208" s="800"/>
      <c r="K208" s="801">
        <f t="shared" si="36"/>
        <v>6036</v>
      </c>
      <c r="L208" s="799">
        <v>4</v>
      </c>
      <c r="M208" s="799"/>
      <c r="N208" s="800"/>
      <c r="O208" s="799"/>
      <c r="P208" s="861">
        <v>4.4626769626769626E-2</v>
      </c>
      <c r="Q208" s="799">
        <v>9119</v>
      </c>
      <c r="R208" s="800">
        <v>24</v>
      </c>
      <c r="S208" s="799">
        <f t="shared" si="37"/>
        <v>431</v>
      </c>
      <c r="T208" s="800">
        <v>33</v>
      </c>
      <c r="U208" s="803"/>
      <c r="V208" s="799">
        <v>1988</v>
      </c>
      <c r="W208" s="801">
        <f t="shared" si="38"/>
        <v>2456</v>
      </c>
      <c r="X208" s="799">
        <v>1988</v>
      </c>
      <c r="Y208" s="799"/>
      <c r="Z208" s="803"/>
      <c r="AA208" s="799"/>
      <c r="AB208" s="801">
        <f t="shared" si="39"/>
        <v>1988</v>
      </c>
      <c r="AC208" s="799"/>
      <c r="AD208" s="799">
        <v>353</v>
      </c>
      <c r="AE208" s="800"/>
      <c r="AF208" s="804">
        <v>1047</v>
      </c>
      <c r="AG208" s="799">
        <v>453</v>
      </c>
      <c r="AH208" s="800">
        <v>135</v>
      </c>
      <c r="AI208" s="800"/>
      <c r="AJ208" s="801">
        <f t="shared" si="35"/>
        <v>1988</v>
      </c>
      <c r="AK208" s="800">
        <f t="shared" si="32"/>
        <v>244196.30900000001</v>
      </c>
      <c r="AL208" s="800">
        <f t="shared" si="32"/>
        <v>227869.204</v>
      </c>
      <c r="AM208" s="800">
        <f t="shared" si="32"/>
        <v>16327.105</v>
      </c>
      <c r="AN208" s="800">
        <f t="shared" si="32"/>
        <v>471.58100000000002</v>
      </c>
      <c r="AO208" s="192">
        <f t="shared" ref="AO208:AO250" si="41">BA208</f>
        <v>0.93313942759061108</v>
      </c>
      <c r="AP208" s="193">
        <f t="shared" si="33"/>
        <v>2927.5810000000001</v>
      </c>
      <c r="AQ208" s="193">
        <f t="shared" si="40"/>
        <v>3108.4189999999999</v>
      </c>
      <c r="AR208" s="851"/>
      <c r="AS208" s="148"/>
      <c r="AT208" s="119"/>
      <c r="AU208" s="120"/>
      <c r="AV208" s="806"/>
      <c r="AW208" s="800">
        <v>244196309</v>
      </c>
      <c r="AX208" s="807">
        <v>227869204</v>
      </c>
      <c r="AY208" s="807">
        <v>16327105</v>
      </c>
      <c r="AZ208" s="807">
        <v>471581</v>
      </c>
      <c r="BA208" s="196">
        <f t="shared" si="34"/>
        <v>0.93313942759061108</v>
      </c>
      <c r="BB208" s="210"/>
      <c r="BC208" s="115"/>
      <c r="BD208" s="236"/>
    </row>
    <row r="209" spans="1:56" s="808" customFormat="1" ht="14.25" customHeight="1">
      <c r="A209" s="792">
        <v>2024</v>
      </c>
      <c r="B209" s="793" t="str">
        <f>+INDEX('①基本情報 '!C:C,MATCH('③経費情報(2024)'!E209,'①基本情報 '!E:E,0))</f>
        <v>199</v>
      </c>
      <c r="C209" s="794" t="str">
        <f>+INDEX('①基本情報 '!B:B,MATCH('③経費情報(2024)'!E209,'①基本情報 '!E:E,0))</f>
        <v>0819</v>
      </c>
      <c r="D209" s="809" t="s">
        <v>2415</v>
      </c>
      <c r="E209" s="616" t="s">
        <v>1276</v>
      </c>
      <c r="F209" s="616" t="str">
        <f>INDEX('①基本情報 '!F:F,MATCH('③経費情報(2024)'!E209,'①基本情報 '!E:E,0))</f>
        <v>都市活力部</v>
      </c>
      <c r="G209" s="797" t="s">
        <v>1207</v>
      </c>
      <c r="H209" s="371">
        <v>5670</v>
      </c>
      <c r="I209" s="799"/>
      <c r="J209" s="800"/>
      <c r="K209" s="801">
        <f t="shared" si="36"/>
        <v>5670</v>
      </c>
      <c r="L209" s="799">
        <v>0</v>
      </c>
      <c r="M209" s="799"/>
      <c r="N209" s="800"/>
      <c r="O209" s="799"/>
      <c r="P209" s="861">
        <v>3.9929214929214932E-2</v>
      </c>
      <c r="Q209" s="799">
        <v>9119</v>
      </c>
      <c r="R209" s="800">
        <v>22</v>
      </c>
      <c r="S209" s="799">
        <f t="shared" si="37"/>
        <v>386</v>
      </c>
      <c r="T209" s="800">
        <v>30</v>
      </c>
      <c r="U209" s="803"/>
      <c r="V209" s="799">
        <v>1779</v>
      </c>
      <c r="W209" s="801">
        <f t="shared" si="38"/>
        <v>2195</v>
      </c>
      <c r="X209" s="799">
        <v>1779</v>
      </c>
      <c r="Y209" s="799"/>
      <c r="Z209" s="803"/>
      <c r="AA209" s="799"/>
      <c r="AB209" s="801">
        <f t="shared" si="39"/>
        <v>1779</v>
      </c>
      <c r="AC209" s="799"/>
      <c r="AD209" s="799">
        <v>315</v>
      </c>
      <c r="AE209" s="800"/>
      <c r="AF209" s="804">
        <v>937</v>
      </c>
      <c r="AG209" s="799">
        <v>405</v>
      </c>
      <c r="AH209" s="800">
        <v>121</v>
      </c>
      <c r="AI209" s="800"/>
      <c r="AJ209" s="801">
        <f t="shared" si="35"/>
        <v>1778</v>
      </c>
      <c r="AK209" s="800">
        <f t="shared" si="32"/>
        <v>240302.024</v>
      </c>
      <c r="AL209" s="800">
        <f t="shared" si="32"/>
        <v>197861.75599999999</v>
      </c>
      <c r="AM209" s="800">
        <f t="shared" si="32"/>
        <v>42440.267999999996</v>
      </c>
      <c r="AN209" s="800">
        <f t="shared" si="32"/>
        <v>5295.8180000000002</v>
      </c>
      <c r="AO209" s="192">
        <f t="shared" si="41"/>
        <v>0.82338780467367179</v>
      </c>
      <c r="AP209" s="193">
        <f t="shared" si="33"/>
        <v>7490.8180000000002</v>
      </c>
      <c r="AQ209" s="193">
        <f t="shared" si="40"/>
        <v>-1820.8180000000002</v>
      </c>
      <c r="AR209" s="851"/>
      <c r="AS209" s="148"/>
      <c r="AT209" s="119"/>
      <c r="AU209" s="120"/>
      <c r="AV209" s="806"/>
      <c r="AW209" s="800">
        <v>240302024</v>
      </c>
      <c r="AX209" s="807">
        <v>197861756</v>
      </c>
      <c r="AY209" s="807">
        <v>42440268</v>
      </c>
      <c r="AZ209" s="807">
        <v>5295818</v>
      </c>
      <c r="BA209" s="196">
        <f t="shared" si="34"/>
        <v>0.82338780467367179</v>
      </c>
      <c r="BB209" s="210"/>
      <c r="BC209" s="115"/>
      <c r="BD209" s="236"/>
    </row>
    <row r="210" spans="1:56" s="808" customFormat="1" ht="14.25" customHeight="1">
      <c r="A210" s="792">
        <v>2024</v>
      </c>
      <c r="B210" s="793" t="str">
        <f>+INDEX('①基本情報 '!C:C,MATCH('③経費情報(2024)'!E210,'①基本情報 '!E:E,0))</f>
        <v>200</v>
      </c>
      <c r="C210" s="794" t="str">
        <f>+INDEX('①基本情報 '!B:B,MATCH('③経費情報(2024)'!E210,'①基本情報 '!E:E,0))</f>
        <v>0820</v>
      </c>
      <c r="D210" s="809" t="s">
        <v>2415</v>
      </c>
      <c r="E210" s="616" t="s">
        <v>1280</v>
      </c>
      <c r="F210" s="616" t="str">
        <f>INDEX('①基本情報 '!F:F,MATCH('③経費情報(2024)'!E210,'①基本情報 '!E:E,0))</f>
        <v>都市活力部</v>
      </c>
      <c r="G210" s="797" t="s">
        <v>1207</v>
      </c>
      <c r="H210" s="371">
        <v>5670</v>
      </c>
      <c r="I210" s="799"/>
      <c r="J210" s="800"/>
      <c r="K210" s="801">
        <f t="shared" si="36"/>
        <v>5670</v>
      </c>
      <c r="L210" s="799">
        <v>0</v>
      </c>
      <c r="M210" s="799"/>
      <c r="N210" s="800"/>
      <c r="O210" s="799"/>
      <c r="P210" s="861">
        <v>4.9324324324324334E-2</v>
      </c>
      <c r="Q210" s="799">
        <v>9119</v>
      </c>
      <c r="R210" s="800">
        <v>27</v>
      </c>
      <c r="S210" s="799">
        <f t="shared" si="37"/>
        <v>477</v>
      </c>
      <c r="T210" s="800">
        <v>37</v>
      </c>
      <c r="U210" s="803"/>
      <c r="V210" s="799">
        <v>2198</v>
      </c>
      <c r="W210" s="801">
        <f t="shared" si="38"/>
        <v>2712</v>
      </c>
      <c r="X210" s="799">
        <v>2198</v>
      </c>
      <c r="Y210" s="799"/>
      <c r="Z210" s="803"/>
      <c r="AA210" s="799"/>
      <c r="AB210" s="801">
        <f t="shared" si="39"/>
        <v>2198</v>
      </c>
      <c r="AC210" s="799"/>
      <c r="AD210" s="799">
        <v>390</v>
      </c>
      <c r="AE210" s="799"/>
      <c r="AF210" s="804">
        <v>1157</v>
      </c>
      <c r="AG210" s="799">
        <v>500</v>
      </c>
      <c r="AH210" s="799">
        <v>150</v>
      </c>
      <c r="AI210" s="799"/>
      <c r="AJ210" s="801">
        <f t="shared" si="35"/>
        <v>2197</v>
      </c>
      <c r="AK210" s="800">
        <f t="shared" si="32"/>
        <v>343118.1</v>
      </c>
      <c r="AL210" s="800">
        <f t="shared" si="32"/>
        <v>252098.962</v>
      </c>
      <c r="AM210" s="800">
        <f t="shared" si="32"/>
        <v>91019.138000000006</v>
      </c>
      <c r="AN210" s="800">
        <f t="shared" si="32"/>
        <v>7548.598</v>
      </c>
      <c r="AO210" s="192">
        <f t="shared" si="41"/>
        <v>0.73472941823821014</v>
      </c>
      <c r="AP210" s="193">
        <f t="shared" si="33"/>
        <v>10260.598</v>
      </c>
      <c r="AQ210" s="193">
        <f t="shared" si="40"/>
        <v>-4590.598</v>
      </c>
      <c r="AR210" s="851"/>
      <c r="AS210" s="148"/>
      <c r="AT210" s="119"/>
      <c r="AU210" s="120"/>
      <c r="AV210" s="806"/>
      <c r="AW210" s="800">
        <v>343118100</v>
      </c>
      <c r="AX210" s="807">
        <v>252098962</v>
      </c>
      <c r="AY210" s="807">
        <v>91019138</v>
      </c>
      <c r="AZ210" s="807">
        <v>7548598</v>
      </c>
      <c r="BA210" s="196">
        <f t="shared" si="34"/>
        <v>0.73472941823821014</v>
      </c>
      <c r="BB210" s="210"/>
      <c r="BC210" s="115"/>
      <c r="BD210" s="236"/>
    </row>
    <row r="211" spans="1:56" s="808" customFormat="1" ht="14.25" customHeight="1">
      <c r="A211" s="792">
        <v>2024</v>
      </c>
      <c r="B211" s="793" t="str">
        <f>+INDEX('①基本情報 '!C:C,MATCH('③経費情報(2024)'!E211,'①基本情報 '!E:E,0))</f>
        <v>201</v>
      </c>
      <c r="C211" s="794" t="str">
        <f>+INDEX('①基本情報 '!B:B,MATCH('③経費情報(2024)'!E211,'①基本情報 '!E:E,0))</f>
        <v>0821</v>
      </c>
      <c r="D211" s="809" t="s">
        <v>2415</v>
      </c>
      <c r="E211" s="616" t="s">
        <v>1284</v>
      </c>
      <c r="F211" s="616" t="str">
        <f>INDEX('①基本情報 '!F:F,MATCH('③経費情報(2024)'!E211,'①基本情報 '!E:E,0))</f>
        <v>都市活力部</v>
      </c>
      <c r="G211" s="797" t="s">
        <v>1207</v>
      </c>
      <c r="H211" s="371">
        <v>17243</v>
      </c>
      <c r="I211" s="799"/>
      <c r="J211" s="800"/>
      <c r="K211" s="801">
        <f t="shared" si="36"/>
        <v>17243</v>
      </c>
      <c r="L211" s="799">
        <v>18</v>
      </c>
      <c r="M211" s="799"/>
      <c r="N211" s="800"/>
      <c r="O211" s="799"/>
      <c r="P211" s="861">
        <v>0.11509009009009009</v>
      </c>
      <c r="Q211" s="799">
        <v>9119</v>
      </c>
      <c r="R211" s="800">
        <v>63</v>
      </c>
      <c r="S211" s="799">
        <f t="shared" si="37"/>
        <v>1113</v>
      </c>
      <c r="T211" s="800">
        <v>86</v>
      </c>
      <c r="U211" s="803"/>
      <c r="V211" s="799">
        <v>5128</v>
      </c>
      <c r="W211" s="801">
        <f t="shared" si="38"/>
        <v>6345</v>
      </c>
      <c r="X211" s="799">
        <v>5128</v>
      </c>
      <c r="Y211" s="799"/>
      <c r="Z211" s="803"/>
      <c r="AA211" s="799"/>
      <c r="AB211" s="801">
        <f t="shared" si="39"/>
        <v>5128</v>
      </c>
      <c r="AC211" s="799"/>
      <c r="AD211" s="799">
        <v>910</v>
      </c>
      <c r="AE211" s="799"/>
      <c r="AF211" s="799">
        <v>2701</v>
      </c>
      <c r="AG211" s="799">
        <v>1168</v>
      </c>
      <c r="AH211" s="799">
        <v>350</v>
      </c>
      <c r="AI211" s="799"/>
      <c r="AJ211" s="801">
        <f t="shared" si="35"/>
        <v>5129</v>
      </c>
      <c r="AK211" s="800">
        <f t="shared" ref="AK211:AN250" si="42">AW211/1000</f>
        <v>1087534.736</v>
      </c>
      <c r="AL211" s="800">
        <f t="shared" si="42"/>
        <v>663550.15599999996</v>
      </c>
      <c r="AM211" s="800">
        <f t="shared" si="42"/>
        <v>423984.58</v>
      </c>
      <c r="AN211" s="800">
        <f t="shared" si="42"/>
        <v>24083.045999999998</v>
      </c>
      <c r="AO211" s="192">
        <f t="shared" si="41"/>
        <v>0.61014157436530836</v>
      </c>
      <c r="AP211" s="193">
        <f t="shared" si="33"/>
        <v>30428.045999999998</v>
      </c>
      <c r="AQ211" s="193">
        <f t="shared" si="40"/>
        <v>-13185.045999999998</v>
      </c>
      <c r="AR211" s="851"/>
      <c r="AS211" s="148"/>
      <c r="AT211" s="119"/>
      <c r="AU211" s="120"/>
      <c r="AV211" s="806"/>
      <c r="AW211" s="800">
        <v>1087534736</v>
      </c>
      <c r="AX211" s="807">
        <v>663550156</v>
      </c>
      <c r="AY211" s="807">
        <v>423984580</v>
      </c>
      <c r="AZ211" s="807">
        <v>24083046</v>
      </c>
      <c r="BA211" s="196">
        <f t="shared" si="34"/>
        <v>0.61014157436530836</v>
      </c>
      <c r="BB211" s="210"/>
      <c r="BC211" s="115"/>
      <c r="BD211" s="236"/>
    </row>
    <row r="212" spans="1:56" s="808" customFormat="1" ht="14.25" customHeight="1">
      <c r="A212" s="792">
        <v>2024</v>
      </c>
      <c r="B212" s="793" t="str">
        <f>+INDEX('①基本情報 '!C:C,MATCH('③経費情報(2024)'!E212,'①基本情報 '!E:E,0))</f>
        <v>202</v>
      </c>
      <c r="C212" s="794" t="str">
        <f>+INDEX('①基本情報 '!B:B,MATCH('③経費情報(2024)'!E212,'①基本情報 '!E:E,0))</f>
        <v>0824</v>
      </c>
      <c r="D212" s="809" t="s">
        <v>2415</v>
      </c>
      <c r="E212" s="616" t="s">
        <v>1288</v>
      </c>
      <c r="F212" s="616" t="str">
        <f>INDEX('①基本情報 '!F:F,MATCH('③経費情報(2024)'!E212,'①基本情報 '!E:E,0))</f>
        <v>都市活力部</v>
      </c>
      <c r="G212" s="797" t="s">
        <v>1207</v>
      </c>
      <c r="H212" s="371">
        <v>43094</v>
      </c>
      <c r="I212" s="799"/>
      <c r="J212" s="800"/>
      <c r="K212" s="801">
        <f t="shared" si="36"/>
        <v>43094</v>
      </c>
      <c r="L212" s="799">
        <v>6</v>
      </c>
      <c r="M212" s="799"/>
      <c r="N212" s="800"/>
      <c r="O212" s="799"/>
      <c r="P212" s="861">
        <v>0.2818532818532819</v>
      </c>
      <c r="Q212" s="799">
        <v>9119</v>
      </c>
      <c r="R212" s="800">
        <v>155</v>
      </c>
      <c r="S212" s="799">
        <f t="shared" si="37"/>
        <v>2725</v>
      </c>
      <c r="T212" s="800">
        <v>212</v>
      </c>
      <c r="U212" s="803"/>
      <c r="V212" s="799">
        <v>12560</v>
      </c>
      <c r="W212" s="801">
        <f t="shared" si="38"/>
        <v>15503</v>
      </c>
      <c r="X212" s="799">
        <v>12560</v>
      </c>
      <c r="Y212" s="799"/>
      <c r="Z212" s="803"/>
      <c r="AA212" s="799"/>
      <c r="AB212" s="801">
        <f t="shared" si="39"/>
        <v>12560</v>
      </c>
      <c r="AC212" s="799"/>
      <c r="AD212" s="799">
        <v>2230</v>
      </c>
      <c r="AE212" s="799"/>
      <c r="AF212" s="799">
        <v>6615</v>
      </c>
      <c r="AG212" s="799">
        <v>2862</v>
      </c>
      <c r="AH212" s="799">
        <v>858</v>
      </c>
      <c r="AI212" s="799"/>
      <c r="AJ212" s="801">
        <f t="shared" si="35"/>
        <v>12565</v>
      </c>
      <c r="AK212" s="800">
        <f t="shared" si="42"/>
        <v>2173352.2990000001</v>
      </c>
      <c r="AL212" s="800">
        <f t="shared" si="42"/>
        <v>1253714.9550000001</v>
      </c>
      <c r="AM212" s="800">
        <f t="shared" si="42"/>
        <v>919637.34400000004</v>
      </c>
      <c r="AN212" s="800">
        <f t="shared" si="42"/>
        <v>48111.576000000001</v>
      </c>
      <c r="AO212" s="192">
        <f t="shared" si="41"/>
        <v>0.57685767538785948</v>
      </c>
      <c r="AP212" s="193">
        <f t="shared" si="33"/>
        <v>63614.576000000001</v>
      </c>
      <c r="AQ212" s="193">
        <f t="shared" si="40"/>
        <v>-20520.576000000001</v>
      </c>
      <c r="AR212" s="851"/>
      <c r="AS212" s="148"/>
      <c r="AT212" s="119"/>
      <c r="AU212" s="120"/>
      <c r="AV212" s="806"/>
      <c r="AW212" s="800">
        <v>2173352299</v>
      </c>
      <c r="AX212" s="807">
        <v>1253714955</v>
      </c>
      <c r="AY212" s="807">
        <v>919637344</v>
      </c>
      <c r="AZ212" s="807">
        <v>48111576</v>
      </c>
      <c r="BA212" s="196">
        <f t="shared" si="34"/>
        <v>0.57685767538785948</v>
      </c>
      <c r="BB212" s="210"/>
      <c r="BC212" s="115"/>
      <c r="BD212" s="236"/>
    </row>
    <row r="213" spans="1:56" s="808" customFormat="1" ht="14.25" customHeight="1">
      <c r="A213" s="792">
        <v>2024</v>
      </c>
      <c r="B213" s="793" t="str">
        <f>+INDEX('①基本情報 '!C:C,MATCH('③経費情報(2024)'!E213,'①基本情報 '!E:E,0))</f>
        <v>203</v>
      </c>
      <c r="C213" s="794" t="str">
        <f>+INDEX('①基本情報 '!B:B,MATCH('③経費情報(2024)'!E213,'①基本情報 '!E:E,0))</f>
        <v>0830</v>
      </c>
      <c r="D213" s="809" t="s">
        <v>2415</v>
      </c>
      <c r="E213" s="616" t="s">
        <v>1292</v>
      </c>
      <c r="F213" s="616" t="str">
        <f>INDEX('①基本情報 '!F:F,MATCH('③経費情報(2024)'!E213,'①基本情報 '!E:E,0))</f>
        <v>都市活力部</v>
      </c>
      <c r="G213" s="797" t="s">
        <v>1207</v>
      </c>
      <c r="H213" s="371">
        <v>23960</v>
      </c>
      <c r="I213" s="799"/>
      <c r="J213" s="800"/>
      <c r="K213" s="801">
        <f t="shared" si="36"/>
        <v>23960</v>
      </c>
      <c r="L213" s="799">
        <v>0</v>
      </c>
      <c r="M213" s="799"/>
      <c r="N213" s="800"/>
      <c r="O213" s="799"/>
      <c r="P213" s="861">
        <v>0.14562419562419562</v>
      </c>
      <c r="Q213" s="799">
        <v>9119</v>
      </c>
      <c r="R213" s="800">
        <v>80</v>
      </c>
      <c r="S213" s="799">
        <f t="shared" si="37"/>
        <v>1408</v>
      </c>
      <c r="T213" s="800">
        <v>109</v>
      </c>
      <c r="U213" s="803"/>
      <c r="V213" s="799">
        <v>6489</v>
      </c>
      <c r="W213" s="801">
        <f t="shared" si="38"/>
        <v>8006</v>
      </c>
      <c r="X213" s="799">
        <v>6489</v>
      </c>
      <c r="Y213" s="799"/>
      <c r="Z213" s="803"/>
      <c r="AA213" s="799"/>
      <c r="AB213" s="801">
        <f t="shared" si="39"/>
        <v>6489</v>
      </c>
      <c r="AC213" s="799"/>
      <c r="AD213" s="799">
        <v>1152</v>
      </c>
      <c r="AE213" s="799"/>
      <c r="AF213" s="799">
        <v>3418</v>
      </c>
      <c r="AG213" s="799">
        <v>1478</v>
      </c>
      <c r="AH213" s="799">
        <v>443</v>
      </c>
      <c r="AI213" s="799"/>
      <c r="AJ213" s="801">
        <f t="shared" si="35"/>
        <v>6491</v>
      </c>
      <c r="AK213" s="800">
        <f t="shared" si="42"/>
        <v>1217507.662</v>
      </c>
      <c r="AL213" s="800">
        <f t="shared" si="42"/>
        <v>618098.86699999997</v>
      </c>
      <c r="AM213" s="800">
        <f t="shared" si="42"/>
        <v>599408.79500000004</v>
      </c>
      <c r="AN213" s="800">
        <f t="shared" si="42"/>
        <v>27261.557000000001</v>
      </c>
      <c r="AO213" s="192">
        <f t="shared" si="41"/>
        <v>0.50767554594658482</v>
      </c>
      <c r="AP213" s="193">
        <f t="shared" si="33"/>
        <v>35267.557000000001</v>
      </c>
      <c r="AQ213" s="193">
        <f t="shared" si="40"/>
        <v>-11307.557000000001</v>
      </c>
      <c r="AR213" s="851"/>
      <c r="AS213" s="148"/>
      <c r="AT213" s="119"/>
      <c r="AU213" s="120"/>
      <c r="AV213" s="806"/>
      <c r="AW213" s="800">
        <v>1217507662</v>
      </c>
      <c r="AX213" s="807">
        <v>618098867</v>
      </c>
      <c r="AY213" s="807">
        <v>599408795</v>
      </c>
      <c r="AZ213" s="807">
        <v>27261557</v>
      </c>
      <c r="BA213" s="196">
        <f t="shared" si="34"/>
        <v>0.50767554594658482</v>
      </c>
      <c r="BB213" s="210"/>
      <c r="BC213" s="115"/>
      <c r="BD213" s="236"/>
    </row>
    <row r="214" spans="1:56" s="808" customFormat="1" ht="14.25" customHeight="1">
      <c r="A214" s="792">
        <v>2024</v>
      </c>
      <c r="B214" s="793" t="str">
        <f>+INDEX('①基本情報 '!C:C,MATCH('③経費情報(2024)'!E214,'①基本情報 '!E:E,0))</f>
        <v>204</v>
      </c>
      <c r="C214" s="794" t="str">
        <f>+INDEX('①基本情報 '!B:B,MATCH('③経費情報(2024)'!E214,'①基本情報 '!E:E,0))</f>
        <v>0831</v>
      </c>
      <c r="D214" s="809" t="s">
        <v>2415</v>
      </c>
      <c r="E214" s="616" t="s">
        <v>1296</v>
      </c>
      <c r="F214" s="616" t="str">
        <f>INDEX('①基本情報 '!F:F,MATCH('③経費情報(2024)'!E214,'①基本情報 '!E:E,0))</f>
        <v>都市活力部</v>
      </c>
      <c r="G214" s="797" t="s">
        <v>1207</v>
      </c>
      <c r="H214" s="371">
        <v>18325</v>
      </c>
      <c r="I214" s="799"/>
      <c r="J214" s="800"/>
      <c r="K214" s="801">
        <f t="shared" si="36"/>
        <v>18325</v>
      </c>
      <c r="L214" s="799">
        <v>0</v>
      </c>
      <c r="M214" s="799"/>
      <c r="N214" s="800"/>
      <c r="O214" s="799"/>
      <c r="P214" s="861">
        <v>0.10804375804375806</v>
      </c>
      <c r="Q214" s="799">
        <v>9119</v>
      </c>
      <c r="R214" s="800">
        <v>59</v>
      </c>
      <c r="S214" s="799">
        <f t="shared" si="37"/>
        <v>1044</v>
      </c>
      <c r="T214" s="800">
        <v>81</v>
      </c>
      <c r="U214" s="803"/>
      <c r="V214" s="799">
        <v>4814</v>
      </c>
      <c r="W214" s="801">
        <f t="shared" si="38"/>
        <v>5939</v>
      </c>
      <c r="X214" s="799">
        <v>4814</v>
      </c>
      <c r="Y214" s="799"/>
      <c r="Z214" s="803"/>
      <c r="AA214" s="799"/>
      <c r="AB214" s="801">
        <f t="shared" si="39"/>
        <v>4814</v>
      </c>
      <c r="AC214" s="799"/>
      <c r="AD214" s="799">
        <v>854</v>
      </c>
      <c r="AE214" s="800"/>
      <c r="AF214" s="799">
        <v>2536</v>
      </c>
      <c r="AG214" s="799">
        <v>1097</v>
      </c>
      <c r="AH214" s="800">
        <v>329</v>
      </c>
      <c r="AI214" s="800"/>
      <c r="AJ214" s="801">
        <f t="shared" si="35"/>
        <v>4816</v>
      </c>
      <c r="AK214" s="800">
        <f t="shared" si="42"/>
        <v>913790.09600000002</v>
      </c>
      <c r="AL214" s="800">
        <f t="shared" si="42"/>
        <v>438464.614</v>
      </c>
      <c r="AM214" s="800">
        <f t="shared" si="42"/>
        <v>475325.48200000002</v>
      </c>
      <c r="AN214" s="800">
        <f t="shared" si="42"/>
        <v>20376.648000000001</v>
      </c>
      <c r="AO214" s="192">
        <f t="shared" si="41"/>
        <v>0.47983077943099089</v>
      </c>
      <c r="AP214" s="193">
        <f t="shared" ref="AP214:AP250" si="43">W214+AN214</f>
        <v>26315.648000000001</v>
      </c>
      <c r="AQ214" s="193">
        <f t="shared" si="40"/>
        <v>-7990.648000000001</v>
      </c>
      <c r="AR214" s="851"/>
      <c r="AS214" s="148"/>
      <c r="AT214" s="119"/>
      <c r="AU214" s="120"/>
      <c r="AV214" s="806"/>
      <c r="AW214" s="800">
        <v>913790096</v>
      </c>
      <c r="AX214" s="807">
        <v>438464614</v>
      </c>
      <c r="AY214" s="807">
        <v>475325482</v>
      </c>
      <c r="AZ214" s="807">
        <v>20376648</v>
      </c>
      <c r="BA214" s="196">
        <f t="shared" si="34"/>
        <v>0.47983077943099089</v>
      </c>
      <c r="BB214" s="210"/>
      <c r="BC214" s="115"/>
      <c r="BD214" s="236"/>
    </row>
    <row r="215" spans="1:56" s="808" customFormat="1" ht="14.25" customHeight="1">
      <c r="A215" s="792">
        <v>2024</v>
      </c>
      <c r="B215" s="793" t="str">
        <f>+INDEX('①基本情報 '!C:C,MATCH('③経費情報(2024)'!E215,'①基本情報 '!E:E,0))</f>
        <v>205</v>
      </c>
      <c r="C215" s="794" t="str">
        <f>+INDEX('①基本情報 '!B:B,MATCH('③経費情報(2024)'!E215,'①基本情報 '!E:E,0))</f>
        <v>0801</v>
      </c>
      <c r="D215" s="809" t="s">
        <v>2415</v>
      </c>
      <c r="E215" s="616" t="s">
        <v>1300</v>
      </c>
      <c r="F215" s="616" t="str">
        <f>INDEX('①基本情報 '!F:F,MATCH('③経費情報(2024)'!E215,'①基本情報 '!E:E,0))</f>
        <v>都市活力部</v>
      </c>
      <c r="G215" s="797" t="s">
        <v>1207</v>
      </c>
      <c r="H215" s="371">
        <v>12289</v>
      </c>
      <c r="I215" s="799"/>
      <c r="J215" s="800"/>
      <c r="K215" s="801">
        <f t="shared" si="36"/>
        <v>12289</v>
      </c>
      <c r="L215" s="799">
        <v>0</v>
      </c>
      <c r="M215" s="799"/>
      <c r="N215" s="800"/>
      <c r="O215" s="799"/>
      <c r="P215" s="861">
        <v>7.0463320463320475E-2</v>
      </c>
      <c r="Q215" s="799">
        <v>9119</v>
      </c>
      <c r="R215" s="800">
        <v>38</v>
      </c>
      <c r="S215" s="799">
        <f t="shared" si="37"/>
        <v>681</v>
      </c>
      <c r="T215" s="800">
        <v>53</v>
      </c>
      <c r="U215" s="803"/>
      <c r="V215" s="799">
        <v>3140</v>
      </c>
      <c r="W215" s="801">
        <f t="shared" si="38"/>
        <v>3874</v>
      </c>
      <c r="X215" s="799">
        <v>3140</v>
      </c>
      <c r="Y215" s="799"/>
      <c r="Z215" s="803"/>
      <c r="AA215" s="799"/>
      <c r="AB215" s="801">
        <f t="shared" si="39"/>
        <v>3140</v>
      </c>
      <c r="AC215" s="799"/>
      <c r="AD215" s="799">
        <v>557</v>
      </c>
      <c r="AE215" s="799"/>
      <c r="AF215" s="804">
        <v>1653</v>
      </c>
      <c r="AG215" s="799">
        <v>715</v>
      </c>
      <c r="AH215" s="799">
        <v>214</v>
      </c>
      <c r="AI215" s="799"/>
      <c r="AJ215" s="801">
        <f t="shared" si="35"/>
        <v>3139</v>
      </c>
      <c r="AK215" s="800">
        <f t="shared" si="42"/>
        <v>600689.17200000002</v>
      </c>
      <c r="AL215" s="800">
        <f t="shared" si="42"/>
        <v>255971.848</v>
      </c>
      <c r="AM215" s="800">
        <f t="shared" si="42"/>
        <v>344717.32400000002</v>
      </c>
      <c r="AN215" s="800">
        <f t="shared" si="42"/>
        <v>11635.084000000001</v>
      </c>
      <c r="AO215" s="192">
        <f t="shared" si="41"/>
        <v>0.42613028489882615</v>
      </c>
      <c r="AP215" s="193">
        <f t="shared" si="43"/>
        <v>15509.084000000001</v>
      </c>
      <c r="AQ215" s="193">
        <f t="shared" si="40"/>
        <v>-3220.0840000000007</v>
      </c>
      <c r="AR215" s="851"/>
      <c r="AS215" s="148"/>
      <c r="AT215" s="119"/>
      <c r="AU215" s="120"/>
      <c r="AV215" s="806"/>
      <c r="AW215" s="800">
        <v>600689172</v>
      </c>
      <c r="AX215" s="807">
        <v>255971848</v>
      </c>
      <c r="AY215" s="807">
        <v>344717324</v>
      </c>
      <c r="AZ215" s="807">
        <v>11635084</v>
      </c>
      <c r="BA215" s="196">
        <f t="shared" si="34"/>
        <v>0.42613028489882615</v>
      </c>
      <c r="BB215" s="210"/>
      <c r="BC215" s="115"/>
      <c r="BD215" s="236"/>
    </row>
    <row r="216" spans="1:56" s="808" customFormat="1" ht="14.25" customHeight="1">
      <c r="A216" s="792">
        <v>2024</v>
      </c>
      <c r="B216" s="793" t="str">
        <f>+INDEX('①基本情報 '!C:C,MATCH('③経費情報(2024)'!E216,'①基本情報 '!E:E,0))</f>
        <v>206</v>
      </c>
      <c r="C216" s="794" t="str">
        <f>+INDEX('①基本情報 '!B:B,MATCH('③経費情報(2024)'!E216,'①基本情報 '!E:E,0))</f>
        <v>0832</v>
      </c>
      <c r="D216" s="809" t="s">
        <v>2415</v>
      </c>
      <c r="E216" s="616" t="s">
        <v>1305</v>
      </c>
      <c r="F216" s="616" t="str">
        <f>INDEX('①基本情報 '!F:F,MATCH('③経費情報(2024)'!E216,'①基本情報 '!E:E,0))</f>
        <v>都市活力部</v>
      </c>
      <c r="G216" s="797" t="s">
        <v>1207</v>
      </c>
      <c r="H216" s="371">
        <v>31020</v>
      </c>
      <c r="I216" s="799"/>
      <c r="J216" s="800"/>
      <c r="K216" s="801">
        <f t="shared" si="36"/>
        <v>31020</v>
      </c>
      <c r="L216" s="799">
        <v>34</v>
      </c>
      <c r="M216" s="799"/>
      <c r="N216" s="800"/>
      <c r="O216" s="799">
        <v>1036</v>
      </c>
      <c r="P216" s="861">
        <v>0.20199485199485204</v>
      </c>
      <c r="Q216" s="799">
        <v>9119</v>
      </c>
      <c r="R216" s="800">
        <v>111</v>
      </c>
      <c r="S216" s="799">
        <f t="shared" si="37"/>
        <v>1953</v>
      </c>
      <c r="T216" s="800">
        <v>152</v>
      </c>
      <c r="U216" s="803"/>
      <c r="V216" s="799">
        <v>9001</v>
      </c>
      <c r="W216" s="801">
        <f t="shared" si="38"/>
        <v>12176</v>
      </c>
      <c r="X216" s="799">
        <v>9001</v>
      </c>
      <c r="Y216" s="799"/>
      <c r="Z216" s="803"/>
      <c r="AA216" s="799"/>
      <c r="AB216" s="801">
        <f t="shared" si="39"/>
        <v>9001</v>
      </c>
      <c r="AC216" s="799"/>
      <c r="AD216" s="799">
        <v>1598</v>
      </c>
      <c r="AE216" s="799"/>
      <c r="AF216" s="799">
        <v>4741</v>
      </c>
      <c r="AG216" s="799">
        <v>2051</v>
      </c>
      <c r="AH216" s="799">
        <v>615</v>
      </c>
      <c r="AI216" s="799"/>
      <c r="AJ216" s="801">
        <f t="shared" si="35"/>
        <v>9005</v>
      </c>
      <c r="AK216" s="800">
        <f t="shared" si="42"/>
        <v>1273503</v>
      </c>
      <c r="AL216" s="800">
        <f t="shared" si="42"/>
        <v>493285.80499999999</v>
      </c>
      <c r="AM216" s="800">
        <f t="shared" si="42"/>
        <v>780217.19499999995</v>
      </c>
      <c r="AN216" s="800">
        <f t="shared" si="42"/>
        <v>28107.362000000001</v>
      </c>
      <c r="AO216" s="192">
        <f t="shared" si="41"/>
        <v>0.38734561677514695</v>
      </c>
      <c r="AP216" s="193">
        <f t="shared" si="43"/>
        <v>40283.362000000001</v>
      </c>
      <c r="AQ216" s="193">
        <f t="shared" si="40"/>
        <v>-9263.362000000001</v>
      </c>
      <c r="AR216" s="851"/>
      <c r="AS216" s="148"/>
      <c r="AT216" s="119"/>
      <c r="AU216" s="120"/>
      <c r="AV216" s="806"/>
      <c r="AW216" s="800">
        <v>1273503000</v>
      </c>
      <c r="AX216" s="807">
        <v>493285805</v>
      </c>
      <c r="AY216" s="807">
        <v>780217195</v>
      </c>
      <c r="AZ216" s="807">
        <v>28107362</v>
      </c>
      <c r="BA216" s="196">
        <f t="shared" si="34"/>
        <v>0.38734561677514695</v>
      </c>
      <c r="BB216" s="210"/>
      <c r="BC216" s="115"/>
      <c r="BD216" s="236"/>
    </row>
    <row r="217" spans="1:56" s="808" customFormat="1" ht="14.25" customHeight="1">
      <c r="A217" s="792">
        <v>2024</v>
      </c>
      <c r="B217" s="793" t="str">
        <f>+INDEX('①基本情報 '!C:C,MATCH('③経費情報(2024)'!E217,'①基本情報 '!E:E,0))</f>
        <v>207</v>
      </c>
      <c r="C217" s="794" t="str">
        <f>+INDEX('①基本情報 '!B:B,MATCH('③経費情報(2024)'!E217,'①基本情報 '!E:E,0))</f>
        <v>0845</v>
      </c>
      <c r="D217" s="809" t="s">
        <v>2415</v>
      </c>
      <c r="E217" s="616" t="s">
        <v>1309</v>
      </c>
      <c r="F217" s="616" t="str">
        <f>INDEX('①基本情報 '!F:F,MATCH('③経費情報(2024)'!E217,'①基本情報 '!E:E,0))</f>
        <v>都市活力部</v>
      </c>
      <c r="G217" s="797" t="s">
        <v>1207</v>
      </c>
      <c r="H217" s="371">
        <v>23933</v>
      </c>
      <c r="I217" s="799"/>
      <c r="J217" s="800"/>
      <c r="K217" s="801">
        <f t="shared" si="36"/>
        <v>23933</v>
      </c>
      <c r="L217" s="799">
        <v>0</v>
      </c>
      <c r="M217" s="799"/>
      <c r="N217" s="800"/>
      <c r="O217" s="799">
        <v>1285</v>
      </c>
      <c r="P217" s="861">
        <v>0.10334620334620336</v>
      </c>
      <c r="Q217" s="799">
        <v>9119</v>
      </c>
      <c r="R217" s="800">
        <v>56</v>
      </c>
      <c r="S217" s="799">
        <f t="shared" si="37"/>
        <v>998</v>
      </c>
      <c r="T217" s="800">
        <v>78</v>
      </c>
      <c r="U217" s="803"/>
      <c r="V217" s="799">
        <v>4605</v>
      </c>
      <c r="W217" s="801">
        <f t="shared" si="38"/>
        <v>6966</v>
      </c>
      <c r="X217" s="799">
        <v>4605</v>
      </c>
      <c r="Y217" s="799"/>
      <c r="Z217" s="803"/>
      <c r="AA217" s="799"/>
      <c r="AB217" s="801">
        <f t="shared" si="39"/>
        <v>4605</v>
      </c>
      <c r="AC217" s="799"/>
      <c r="AD217" s="799">
        <v>817</v>
      </c>
      <c r="AE217" s="800"/>
      <c r="AF217" s="799">
        <v>2425</v>
      </c>
      <c r="AG217" s="799">
        <v>1049</v>
      </c>
      <c r="AH217" s="800">
        <v>314</v>
      </c>
      <c r="AI217" s="800"/>
      <c r="AJ217" s="801">
        <f t="shared" si="35"/>
        <v>4605</v>
      </c>
      <c r="AK217" s="800">
        <f t="shared" si="42"/>
        <v>639345.65099999995</v>
      </c>
      <c r="AL217" s="800">
        <f t="shared" si="42"/>
        <v>557165.60800000001</v>
      </c>
      <c r="AM217" s="800">
        <f t="shared" si="42"/>
        <v>82180.043000000005</v>
      </c>
      <c r="AN217" s="800">
        <f t="shared" si="42"/>
        <v>2299.1909999999998</v>
      </c>
      <c r="AO217" s="192">
        <f t="shared" si="41"/>
        <v>0.87146226321949283</v>
      </c>
      <c r="AP217" s="193">
        <f t="shared" si="43"/>
        <v>9265.1909999999989</v>
      </c>
      <c r="AQ217" s="193">
        <f t="shared" si="40"/>
        <v>14667.809000000001</v>
      </c>
      <c r="AR217" s="851"/>
      <c r="AS217" s="148"/>
      <c r="AT217" s="119"/>
      <c r="AU217" s="120"/>
      <c r="AV217" s="806"/>
      <c r="AW217" s="800">
        <v>639345651</v>
      </c>
      <c r="AX217" s="807">
        <v>557165608</v>
      </c>
      <c r="AY217" s="807">
        <v>82180043</v>
      </c>
      <c r="AZ217" s="807">
        <v>2299191</v>
      </c>
      <c r="BA217" s="196">
        <f t="shared" si="34"/>
        <v>0.87146226321949283</v>
      </c>
      <c r="BB217" s="210"/>
      <c r="BC217" s="115"/>
      <c r="BD217" s="236"/>
    </row>
    <row r="218" spans="1:56" s="808" customFormat="1" ht="14.25" customHeight="1">
      <c r="A218" s="792">
        <v>2024</v>
      </c>
      <c r="B218" s="793" t="str">
        <f>+INDEX('①基本情報 '!C:C,MATCH('③経費情報(2024)'!E218,'①基本情報 '!E:E,0))</f>
        <v>208</v>
      </c>
      <c r="C218" s="794" t="str">
        <f>+INDEX('①基本情報 '!B:B,MATCH('③経費情報(2024)'!E218,'①基本情報 '!E:E,0))</f>
        <v>0846</v>
      </c>
      <c r="D218" s="809" t="s">
        <v>2415</v>
      </c>
      <c r="E218" s="616" t="s">
        <v>2590</v>
      </c>
      <c r="F218" s="616" t="str">
        <f>INDEX('①基本情報 '!F:F,MATCH('③経費情報(2024)'!E218,'①基本情報 '!E:E,0))</f>
        <v>都市活力部</v>
      </c>
      <c r="G218" s="797" t="s">
        <v>1207</v>
      </c>
      <c r="H218" s="371">
        <v>23020</v>
      </c>
      <c r="I218" s="799"/>
      <c r="J218" s="800"/>
      <c r="K218" s="801">
        <f t="shared" si="36"/>
        <v>23020</v>
      </c>
      <c r="L218" s="799">
        <v>0</v>
      </c>
      <c r="M218" s="799"/>
      <c r="N218" s="800"/>
      <c r="O218" s="799"/>
      <c r="P218" s="861">
        <v>0.11509009009009009</v>
      </c>
      <c r="Q218" s="799">
        <v>9119</v>
      </c>
      <c r="R218" s="800">
        <v>63</v>
      </c>
      <c r="S218" s="799">
        <f t="shared" si="37"/>
        <v>1113</v>
      </c>
      <c r="T218" s="800">
        <v>86</v>
      </c>
      <c r="U218" s="803"/>
      <c r="V218" s="799">
        <v>5128</v>
      </c>
      <c r="W218" s="801">
        <f t="shared" si="38"/>
        <v>6327</v>
      </c>
      <c r="X218" s="799">
        <v>5128</v>
      </c>
      <c r="Y218" s="799"/>
      <c r="Z218" s="803"/>
      <c r="AA218" s="799"/>
      <c r="AB218" s="801">
        <f t="shared" si="39"/>
        <v>5128</v>
      </c>
      <c r="AC218" s="799"/>
      <c r="AD218" s="799">
        <v>910</v>
      </c>
      <c r="AE218" s="800"/>
      <c r="AF218" s="804">
        <v>2701</v>
      </c>
      <c r="AG218" s="799">
        <v>1168</v>
      </c>
      <c r="AH218" s="800">
        <v>350</v>
      </c>
      <c r="AI218" s="800"/>
      <c r="AJ218" s="801">
        <f t="shared" si="35"/>
        <v>5129</v>
      </c>
      <c r="AK218" s="800"/>
      <c r="AL218" s="800"/>
      <c r="AM218" s="800"/>
      <c r="AN218" s="800"/>
      <c r="AO218" s="192"/>
      <c r="AP218" s="193"/>
      <c r="AQ218" s="193"/>
      <c r="AR218" s="851"/>
      <c r="AS218" s="148"/>
      <c r="AT218" s="119"/>
      <c r="AU218" s="120"/>
      <c r="AV218" s="806"/>
      <c r="AW218" s="800">
        <v>93832291</v>
      </c>
      <c r="AX218" s="807">
        <v>18055559</v>
      </c>
      <c r="AY218" s="807">
        <v>75776732</v>
      </c>
      <c r="AZ218" s="807">
        <v>2077695</v>
      </c>
      <c r="BA218" s="196"/>
      <c r="BB218" s="210"/>
      <c r="BC218" s="115"/>
      <c r="BD218" s="236"/>
    </row>
    <row r="219" spans="1:56" s="808" customFormat="1" ht="14.25" customHeight="1">
      <c r="A219" s="792">
        <v>2024</v>
      </c>
      <c r="B219" s="793" t="str">
        <f>+INDEX('①基本情報 '!C:C,MATCH('③経費情報(2024)'!E219,'①基本情報 '!E:E,0))</f>
        <v>209</v>
      </c>
      <c r="C219" s="794" t="str">
        <f>+INDEX('①基本情報 '!B:B,MATCH('③経費情報(2024)'!E219,'①基本情報 '!E:E,0))</f>
        <v>0851</v>
      </c>
      <c r="D219" s="809" t="s">
        <v>2415</v>
      </c>
      <c r="E219" s="616" t="s">
        <v>1313</v>
      </c>
      <c r="F219" s="616" t="str">
        <f>INDEX('①基本情報 '!F:F,MATCH('③経費情報(2024)'!E219,'①基本情報 '!E:E,0))</f>
        <v>都市交通部</v>
      </c>
      <c r="G219" s="797" t="s">
        <v>2467</v>
      </c>
      <c r="H219" s="841"/>
      <c r="I219" s="800"/>
      <c r="J219" s="800"/>
      <c r="K219" s="801">
        <f t="shared" si="36"/>
        <v>0</v>
      </c>
      <c r="L219" s="799">
        <v>1491</v>
      </c>
      <c r="M219" s="799">
        <v>28</v>
      </c>
      <c r="N219" s="800"/>
      <c r="O219" s="799">
        <v>763</v>
      </c>
      <c r="P219" s="802"/>
      <c r="Q219" s="799">
        <v>9119</v>
      </c>
      <c r="R219" s="800"/>
      <c r="S219" s="799">
        <f t="shared" si="37"/>
        <v>0</v>
      </c>
      <c r="T219" s="800">
        <v>66</v>
      </c>
      <c r="U219" s="803"/>
      <c r="V219" s="800"/>
      <c r="W219" s="801">
        <f t="shared" si="38"/>
        <v>2348</v>
      </c>
      <c r="X219" s="799"/>
      <c r="Y219" s="799"/>
      <c r="Z219" s="804"/>
      <c r="AA219" s="799"/>
      <c r="AB219" s="801">
        <f t="shared" si="39"/>
        <v>0</v>
      </c>
      <c r="AC219" s="799"/>
      <c r="AD219" s="799"/>
      <c r="AE219" s="799"/>
      <c r="AF219" s="804"/>
      <c r="AG219" s="799"/>
      <c r="AH219" s="799"/>
      <c r="AI219" s="799"/>
      <c r="AJ219" s="801">
        <f t="shared" si="35"/>
        <v>0</v>
      </c>
      <c r="AK219" s="800">
        <f t="shared" si="42"/>
        <v>201055.796</v>
      </c>
      <c r="AL219" s="800">
        <f t="shared" si="42"/>
        <v>120105.897</v>
      </c>
      <c r="AM219" s="800">
        <f t="shared" si="42"/>
        <v>80949.899000000005</v>
      </c>
      <c r="AN219" s="800">
        <f t="shared" si="42"/>
        <v>1019.643</v>
      </c>
      <c r="AO219" s="192">
        <f t="shared" si="41"/>
        <v>0.59737594931110571</v>
      </c>
      <c r="AP219" s="193">
        <f t="shared" si="43"/>
        <v>3367.643</v>
      </c>
      <c r="AQ219" s="193">
        <f t="shared" si="40"/>
        <v>-3367.643</v>
      </c>
      <c r="AR219" s="805"/>
      <c r="AS219" s="119"/>
      <c r="AT219" s="119"/>
      <c r="AU219" s="120"/>
      <c r="AV219" s="806"/>
      <c r="AW219" s="800">
        <v>201055796</v>
      </c>
      <c r="AX219" s="807">
        <v>120105897</v>
      </c>
      <c r="AY219" s="807">
        <v>80949899</v>
      </c>
      <c r="AZ219" s="807">
        <v>1019643</v>
      </c>
      <c r="BA219" s="196">
        <f t="shared" si="34"/>
        <v>0.59737594931110571</v>
      </c>
      <c r="BB219" s="210">
        <v>152730</v>
      </c>
      <c r="BC219" s="115">
        <v>0</v>
      </c>
      <c r="BD219" s="236">
        <v>0</v>
      </c>
    </row>
    <row r="220" spans="1:56" s="808" customFormat="1" ht="14.25" customHeight="1">
      <c r="A220" s="792">
        <v>2024</v>
      </c>
      <c r="B220" s="793" t="str">
        <f>+INDEX('①基本情報 '!C:C,MATCH('③経費情報(2024)'!E220,'①基本情報 '!E:E,0))</f>
        <v>210</v>
      </c>
      <c r="C220" s="794" t="str">
        <f>+INDEX('①基本情報 '!B:B,MATCH('③経費情報(2024)'!E220,'①基本情報 '!E:E,0))</f>
        <v>0854</v>
      </c>
      <c r="D220" s="809" t="s">
        <v>2415</v>
      </c>
      <c r="E220" s="616" t="s">
        <v>1321</v>
      </c>
      <c r="F220" s="616" t="str">
        <f>INDEX('①基本情報 '!F:F,MATCH('③経費情報(2024)'!E220,'①基本情報 '!E:E,0))</f>
        <v>都市交通部</v>
      </c>
      <c r="G220" s="797" t="s">
        <v>2467</v>
      </c>
      <c r="H220" s="841"/>
      <c r="I220" s="800"/>
      <c r="J220" s="800"/>
      <c r="K220" s="801">
        <f t="shared" si="36"/>
        <v>0</v>
      </c>
      <c r="L220" s="799"/>
      <c r="M220" s="799"/>
      <c r="N220" s="800"/>
      <c r="O220" s="799"/>
      <c r="P220" s="802"/>
      <c r="Q220" s="799">
        <v>9119</v>
      </c>
      <c r="R220" s="800"/>
      <c r="S220" s="799">
        <f t="shared" si="37"/>
        <v>0</v>
      </c>
      <c r="T220" s="800">
        <v>31</v>
      </c>
      <c r="U220" s="803"/>
      <c r="V220" s="800"/>
      <c r="W220" s="801">
        <f t="shared" si="38"/>
        <v>31</v>
      </c>
      <c r="X220" s="799"/>
      <c r="Y220" s="799"/>
      <c r="Z220" s="799"/>
      <c r="AA220" s="799"/>
      <c r="AB220" s="801">
        <f t="shared" si="39"/>
        <v>0</v>
      </c>
      <c r="AC220" s="799"/>
      <c r="AD220" s="799"/>
      <c r="AE220" s="799"/>
      <c r="AF220" s="799"/>
      <c r="AG220" s="799"/>
      <c r="AH220" s="799"/>
      <c r="AI220" s="799"/>
      <c r="AJ220" s="801">
        <f t="shared" si="35"/>
        <v>0</v>
      </c>
      <c r="AK220" s="800">
        <f t="shared" si="42"/>
        <v>884502</v>
      </c>
      <c r="AL220" s="800">
        <f t="shared" si="42"/>
        <v>588752.88199999998</v>
      </c>
      <c r="AM220" s="800">
        <f t="shared" si="42"/>
        <v>295749.11800000002</v>
      </c>
      <c r="AN220" s="800">
        <f t="shared" si="42"/>
        <v>17816.754000000001</v>
      </c>
      <c r="AO220" s="192">
        <f t="shared" si="41"/>
        <v>0.66563205283877258</v>
      </c>
      <c r="AP220" s="193">
        <f t="shared" si="43"/>
        <v>17847.754000000001</v>
      </c>
      <c r="AQ220" s="193">
        <f t="shared" si="40"/>
        <v>-17847.754000000001</v>
      </c>
      <c r="AR220" s="805"/>
      <c r="AS220" s="119"/>
      <c r="AT220" s="119"/>
      <c r="AU220" s="120"/>
      <c r="AV220" s="862"/>
      <c r="AW220" s="800">
        <v>884502000</v>
      </c>
      <c r="AX220" s="807">
        <v>588752882</v>
      </c>
      <c r="AY220" s="807">
        <v>295749118</v>
      </c>
      <c r="AZ220" s="807">
        <v>17816754</v>
      </c>
      <c r="BA220" s="196">
        <f t="shared" si="34"/>
        <v>0.66563205283877258</v>
      </c>
      <c r="BB220" s="210">
        <v>24951</v>
      </c>
      <c r="BC220" s="115"/>
      <c r="BD220" s="236"/>
    </row>
    <row r="221" spans="1:56" s="808" customFormat="1" ht="14.25" customHeight="1">
      <c r="A221" s="792">
        <v>2024</v>
      </c>
      <c r="B221" s="793" t="str">
        <f>+INDEX('①基本情報 '!C:C,MATCH('③経費情報(2024)'!E221,'①基本情報 '!E:E,0))</f>
        <v>211</v>
      </c>
      <c r="C221" s="794" t="str">
        <f>+INDEX('①基本情報 '!B:B,MATCH('③経費情報(2024)'!E221,'①基本情報 '!E:E,0))</f>
        <v>0867</v>
      </c>
      <c r="D221" s="809" t="s">
        <v>2415</v>
      </c>
      <c r="E221" s="616" t="s">
        <v>1329</v>
      </c>
      <c r="F221" s="616" t="str">
        <f>INDEX('①基本情報 '!F:F,MATCH('③経費情報(2024)'!E221,'①基本情報 '!E:E,0))</f>
        <v>都市交通部</v>
      </c>
      <c r="G221" s="797" t="s">
        <v>2467</v>
      </c>
      <c r="H221" s="841">
        <v>5264</v>
      </c>
      <c r="I221" s="800"/>
      <c r="J221" s="800"/>
      <c r="K221" s="801">
        <f t="shared" si="36"/>
        <v>5264</v>
      </c>
      <c r="L221" s="799">
        <v>801</v>
      </c>
      <c r="M221" s="799">
        <v>2713</v>
      </c>
      <c r="N221" s="800"/>
      <c r="O221" s="799"/>
      <c r="P221" s="802"/>
      <c r="Q221" s="799">
        <v>9119</v>
      </c>
      <c r="R221" s="800"/>
      <c r="S221" s="799">
        <f t="shared" si="37"/>
        <v>0</v>
      </c>
      <c r="T221" s="800">
        <v>33</v>
      </c>
      <c r="U221" s="803"/>
      <c r="V221" s="800"/>
      <c r="W221" s="801">
        <f t="shared" si="38"/>
        <v>3547</v>
      </c>
      <c r="X221" s="799"/>
      <c r="Y221" s="799"/>
      <c r="Z221" s="799"/>
      <c r="AA221" s="799"/>
      <c r="AB221" s="801">
        <f t="shared" si="39"/>
        <v>0</v>
      </c>
      <c r="AC221" s="799"/>
      <c r="AD221" s="799"/>
      <c r="AE221" s="799"/>
      <c r="AF221" s="799"/>
      <c r="AG221" s="799"/>
      <c r="AH221" s="799"/>
      <c r="AI221" s="799"/>
      <c r="AJ221" s="801">
        <f t="shared" si="35"/>
        <v>0</v>
      </c>
      <c r="AK221" s="800">
        <f t="shared" si="42"/>
        <v>75640.994000000006</v>
      </c>
      <c r="AL221" s="800">
        <f t="shared" si="42"/>
        <v>36609.639000000003</v>
      </c>
      <c r="AM221" s="800">
        <f t="shared" si="42"/>
        <v>39031.355000000003</v>
      </c>
      <c r="AN221" s="800">
        <f t="shared" si="42"/>
        <v>1512.8130000000001</v>
      </c>
      <c r="AO221" s="192">
        <f t="shared" si="41"/>
        <v>0.48399204008344998</v>
      </c>
      <c r="AP221" s="193">
        <f t="shared" si="43"/>
        <v>5059.8130000000001</v>
      </c>
      <c r="AQ221" s="193">
        <f t="shared" si="40"/>
        <v>204.1869999999999</v>
      </c>
      <c r="AR221" s="805"/>
      <c r="AS221" s="119"/>
      <c r="AT221" s="119"/>
      <c r="AU221" s="120"/>
      <c r="AV221" s="862"/>
      <c r="AW221" s="800">
        <v>75640994</v>
      </c>
      <c r="AX221" s="807">
        <v>36609639</v>
      </c>
      <c r="AY221" s="807">
        <v>39031355</v>
      </c>
      <c r="AZ221" s="807">
        <v>1512813</v>
      </c>
      <c r="BA221" s="196">
        <f t="shared" si="34"/>
        <v>0.48399204008344998</v>
      </c>
      <c r="BB221" s="210">
        <v>23556</v>
      </c>
      <c r="BC221" s="115">
        <v>6</v>
      </c>
      <c r="BD221" s="236"/>
    </row>
    <row r="222" spans="1:56" s="808" customFormat="1" ht="14.25" customHeight="1">
      <c r="A222" s="792">
        <v>2024</v>
      </c>
      <c r="B222" s="793" t="str">
        <f>+INDEX('①基本情報 '!C:C,MATCH('③経費情報(2024)'!E222,'①基本情報 '!E:E,0))</f>
        <v>212</v>
      </c>
      <c r="C222" s="794" t="str">
        <f>+INDEX('①基本情報 '!B:B,MATCH('③経費情報(2024)'!E222,'①基本情報 '!E:E,0))</f>
        <v>0868</v>
      </c>
      <c r="D222" s="809" t="s">
        <v>2415</v>
      </c>
      <c r="E222" s="616" t="s">
        <v>1337</v>
      </c>
      <c r="F222" s="616" t="str">
        <f>INDEX('①基本情報 '!F:F,MATCH('③経費情報(2024)'!E222,'①基本情報 '!E:E,0))</f>
        <v>都市交通部</v>
      </c>
      <c r="G222" s="797" t="s">
        <v>2467</v>
      </c>
      <c r="H222" s="841"/>
      <c r="I222" s="800"/>
      <c r="J222" s="800"/>
      <c r="K222" s="801">
        <f t="shared" si="36"/>
        <v>0</v>
      </c>
      <c r="L222" s="799">
        <v>46</v>
      </c>
      <c r="M222" s="799">
        <v>686</v>
      </c>
      <c r="N222" s="800"/>
      <c r="O222" s="799">
        <v>311</v>
      </c>
      <c r="P222" s="802">
        <v>1</v>
      </c>
      <c r="Q222" s="799">
        <v>9119</v>
      </c>
      <c r="R222" s="800"/>
      <c r="S222" s="799">
        <f t="shared" si="37"/>
        <v>9119</v>
      </c>
      <c r="T222" s="800"/>
      <c r="U222" s="803"/>
      <c r="V222" s="800"/>
      <c r="W222" s="801">
        <f t="shared" si="38"/>
        <v>10162</v>
      </c>
      <c r="X222" s="799"/>
      <c r="Y222" s="799"/>
      <c r="Z222" s="799"/>
      <c r="AA222" s="799"/>
      <c r="AB222" s="801">
        <f t="shared" si="39"/>
        <v>0</v>
      </c>
      <c r="AC222" s="799"/>
      <c r="AD222" s="799"/>
      <c r="AE222" s="799"/>
      <c r="AF222" s="799"/>
      <c r="AG222" s="799"/>
      <c r="AH222" s="799"/>
      <c r="AI222" s="799"/>
      <c r="AJ222" s="801">
        <f t="shared" si="35"/>
        <v>0</v>
      </c>
      <c r="AK222" s="800">
        <f t="shared" si="42"/>
        <v>97737.3</v>
      </c>
      <c r="AL222" s="800">
        <f t="shared" si="42"/>
        <v>70693.581000000006</v>
      </c>
      <c r="AM222" s="800">
        <f t="shared" si="42"/>
        <v>27043.719000000001</v>
      </c>
      <c r="AN222" s="800">
        <f t="shared" si="42"/>
        <v>2243.0479999999998</v>
      </c>
      <c r="AO222" s="192">
        <f t="shared" si="41"/>
        <v>0.72330196352876541</v>
      </c>
      <c r="AP222" s="193">
        <f t="shared" si="43"/>
        <v>12405.047999999999</v>
      </c>
      <c r="AQ222" s="193">
        <f t="shared" si="40"/>
        <v>-12405.047999999999</v>
      </c>
      <c r="AR222" s="805"/>
      <c r="AS222" s="119"/>
      <c r="AT222" s="119"/>
      <c r="AU222" s="120"/>
      <c r="AV222" s="862"/>
      <c r="AW222" s="800">
        <v>97737300</v>
      </c>
      <c r="AX222" s="807">
        <v>70693581</v>
      </c>
      <c r="AY222" s="807">
        <v>27043719</v>
      </c>
      <c r="AZ222" s="807">
        <v>2243048</v>
      </c>
      <c r="BA222" s="196">
        <f>AX222/AW222</f>
        <v>0.72330196352876541</v>
      </c>
      <c r="BB222" s="210">
        <v>8142</v>
      </c>
      <c r="BC222" s="115"/>
      <c r="BD222" s="236"/>
    </row>
    <row r="223" spans="1:56" s="808" customFormat="1" ht="14.25" customHeight="1">
      <c r="A223" s="792">
        <v>2024</v>
      </c>
      <c r="B223" s="793" t="str">
        <f>+INDEX('①基本情報 '!C:C,MATCH('③経費情報(2024)'!E223,'①基本情報 '!E:E,0))</f>
        <v>213</v>
      </c>
      <c r="C223" s="794" t="str">
        <f>+INDEX('①基本情報 '!B:B,MATCH('③経費情報(2024)'!E223,'①基本情報 '!E:E,0))</f>
        <v>0870</v>
      </c>
      <c r="D223" s="809" t="s">
        <v>2415</v>
      </c>
      <c r="E223" s="616" t="s">
        <v>1343</v>
      </c>
      <c r="F223" s="616" t="str">
        <f>INDEX('①基本情報 '!F:F,MATCH('③経費情報(2024)'!E223,'①基本情報 '!E:E,0))</f>
        <v>都市交通部</v>
      </c>
      <c r="G223" s="797" t="s">
        <v>2467</v>
      </c>
      <c r="H223" s="810">
        <v>764</v>
      </c>
      <c r="I223" s="800"/>
      <c r="J223" s="800"/>
      <c r="K223" s="801">
        <f t="shared" si="36"/>
        <v>764</v>
      </c>
      <c r="L223" s="799">
        <v>20</v>
      </c>
      <c r="M223" s="799"/>
      <c r="N223" s="800"/>
      <c r="O223" s="799">
        <v>1349</v>
      </c>
      <c r="P223" s="802"/>
      <c r="Q223" s="799">
        <v>9119</v>
      </c>
      <c r="R223" s="800"/>
      <c r="S223" s="799">
        <f t="shared" si="37"/>
        <v>0</v>
      </c>
      <c r="T223" s="800"/>
      <c r="U223" s="803"/>
      <c r="V223" s="800">
        <v>15608</v>
      </c>
      <c r="W223" s="801">
        <f t="shared" si="38"/>
        <v>16977</v>
      </c>
      <c r="X223" s="799">
        <v>58387</v>
      </c>
      <c r="Y223" s="799">
        <v>3740</v>
      </c>
      <c r="Z223" s="800"/>
      <c r="AA223" s="799">
        <v>15608</v>
      </c>
      <c r="AB223" s="801">
        <f t="shared" si="39"/>
        <v>77735</v>
      </c>
      <c r="AC223" s="799">
        <v>7989</v>
      </c>
      <c r="AD223" s="799">
        <v>34531</v>
      </c>
      <c r="AE223" s="800"/>
      <c r="AF223" s="799">
        <v>4600</v>
      </c>
      <c r="AG223" s="799">
        <v>29179</v>
      </c>
      <c r="AH223" s="800">
        <v>6978</v>
      </c>
      <c r="AI223" s="800"/>
      <c r="AJ223" s="801">
        <f t="shared" si="35"/>
        <v>83277</v>
      </c>
      <c r="AK223" s="800">
        <f t="shared" si="42"/>
        <v>460721.473</v>
      </c>
      <c r="AL223" s="800">
        <f t="shared" si="42"/>
        <v>174327.712</v>
      </c>
      <c r="AM223" s="800">
        <f t="shared" si="42"/>
        <v>286393.761</v>
      </c>
      <c r="AN223" s="800">
        <f t="shared" si="42"/>
        <v>9775.7000000000007</v>
      </c>
      <c r="AO223" s="192">
        <f t="shared" si="41"/>
        <v>0.37837982863021452</v>
      </c>
      <c r="AP223" s="193">
        <f t="shared" si="43"/>
        <v>26752.7</v>
      </c>
      <c r="AQ223" s="193">
        <f t="shared" si="40"/>
        <v>-25988.7</v>
      </c>
      <c r="AR223" s="805"/>
      <c r="AS223" s="119"/>
      <c r="AT223" s="119"/>
      <c r="AU223" s="120"/>
      <c r="AV223" s="862"/>
      <c r="AW223" s="800">
        <v>460721473</v>
      </c>
      <c r="AX223" s="807">
        <v>174327712</v>
      </c>
      <c r="AY223" s="807">
        <v>286393761</v>
      </c>
      <c r="AZ223" s="807">
        <v>9775700</v>
      </c>
      <c r="BA223" s="196">
        <f>AX223/AW223</f>
        <v>0.37837982863021452</v>
      </c>
      <c r="BB223" s="210">
        <v>230577</v>
      </c>
      <c r="BC223" s="115"/>
      <c r="BD223" s="236"/>
    </row>
    <row r="224" spans="1:56" s="808" customFormat="1" ht="14.25" customHeight="1">
      <c r="A224" s="792">
        <v>2024</v>
      </c>
      <c r="B224" s="793" t="str">
        <f>+INDEX('①基本情報 '!C:C,MATCH('③経費情報(2024)'!E224,'①基本情報 '!E:E,0))</f>
        <v>214</v>
      </c>
      <c r="C224" s="794" t="str">
        <f>+INDEX('①基本情報 '!B:B,MATCH('③経費情報(2024)'!E224,'①基本情報 '!E:E,0))</f>
        <v>0858</v>
      </c>
      <c r="D224" s="809" t="s">
        <v>2415</v>
      </c>
      <c r="E224" s="616" t="s">
        <v>1349</v>
      </c>
      <c r="F224" s="616" t="str">
        <f>INDEX('①基本情報 '!F:F,MATCH('③経費情報(2024)'!E224,'①基本情報 '!E:E,0))</f>
        <v>都市交通部</v>
      </c>
      <c r="G224" s="797" t="s">
        <v>2467</v>
      </c>
      <c r="H224" s="841"/>
      <c r="I224" s="800"/>
      <c r="J224" s="800"/>
      <c r="K224" s="801">
        <f t="shared" si="36"/>
        <v>0</v>
      </c>
      <c r="L224" s="799">
        <v>939</v>
      </c>
      <c r="M224" s="799">
        <v>1974</v>
      </c>
      <c r="N224" s="800"/>
      <c r="O224" s="799">
        <v>206</v>
      </c>
      <c r="P224" s="802"/>
      <c r="Q224" s="799">
        <v>9119</v>
      </c>
      <c r="R224" s="800"/>
      <c r="S224" s="799">
        <f t="shared" si="37"/>
        <v>0</v>
      </c>
      <c r="T224" s="800">
        <v>63</v>
      </c>
      <c r="U224" s="803"/>
      <c r="V224" s="800"/>
      <c r="W224" s="801">
        <f t="shared" si="38"/>
        <v>3182</v>
      </c>
      <c r="X224" s="799"/>
      <c r="Y224" s="799"/>
      <c r="Z224" s="804"/>
      <c r="AA224" s="799"/>
      <c r="AB224" s="801">
        <f t="shared" si="39"/>
        <v>0</v>
      </c>
      <c r="AC224" s="799"/>
      <c r="AD224" s="799"/>
      <c r="AE224" s="799"/>
      <c r="AF224" s="804"/>
      <c r="AG224" s="799"/>
      <c r="AH224" s="799"/>
      <c r="AI224" s="799"/>
      <c r="AJ224" s="801">
        <f t="shared" si="35"/>
        <v>0</v>
      </c>
      <c r="AK224" s="800">
        <f t="shared" si="42"/>
        <v>73845.010999999999</v>
      </c>
      <c r="AL224" s="800">
        <f t="shared" si="42"/>
        <v>42623.595000000001</v>
      </c>
      <c r="AM224" s="800">
        <f t="shared" si="42"/>
        <v>31221.416000000001</v>
      </c>
      <c r="AN224" s="800">
        <f t="shared" si="42"/>
        <v>2035.2149999999999</v>
      </c>
      <c r="AO224" s="192">
        <f t="shared" si="41"/>
        <v>0.57720344844961835</v>
      </c>
      <c r="AP224" s="193">
        <f t="shared" si="43"/>
        <v>5217.2150000000001</v>
      </c>
      <c r="AQ224" s="193">
        <f t="shared" si="40"/>
        <v>-5217.2150000000001</v>
      </c>
      <c r="AR224" s="805"/>
      <c r="AS224" s="119"/>
      <c r="AT224" s="119"/>
      <c r="AU224" s="120"/>
      <c r="AV224" s="862"/>
      <c r="AW224" s="800">
        <v>73845011</v>
      </c>
      <c r="AX224" s="807">
        <v>42623595</v>
      </c>
      <c r="AY224" s="807">
        <v>31221416</v>
      </c>
      <c r="AZ224" s="807">
        <v>2035215</v>
      </c>
      <c r="BA224" s="196">
        <f>AX224/AW224</f>
        <v>0.57720344844961835</v>
      </c>
      <c r="BB224" s="210">
        <v>15760</v>
      </c>
      <c r="BC224" s="115"/>
      <c r="BD224" s="236"/>
    </row>
    <row r="225" spans="1:56" s="808" customFormat="1" ht="14.25" customHeight="1">
      <c r="A225" s="792">
        <v>2024</v>
      </c>
      <c r="B225" s="793" t="str">
        <f>+INDEX('①基本情報 '!C:C,MATCH('③経費情報(2024)'!E225,'①基本情報 '!E:E,0))</f>
        <v>215</v>
      </c>
      <c r="C225" s="794" t="str">
        <f>+INDEX('①基本情報 '!B:B,MATCH('③経費情報(2024)'!E225,'①基本情報 '!E:E,0))</f>
        <v>0877</v>
      </c>
      <c r="D225" s="809" t="s">
        <v>2415</v>
      </c>
      <c r="E225" s="616" t="s">
        <v>1358</v>
      </c>
      <c r="F225" s="616" t="str">
        <f>INDEX('①基本情報 '!F:F,MATCH('③経費情報(2024)'!E225,'①基本情報 '!E:E,0))</f>
        <v>都市交通部</v>
      </c>
      <c r="G225" s="797" t="s">
        <v>2467</v>
      </c>
      <c r="H225" s="841"/>
      <c r="I225" s="800"/>
      <c r="J225" s="800"/>
      <c r="K225" s="801">
        <f t="shared" si="36"/>
        <v>0</v>
      </c>
      <c r="L225" s="799">
        <v>66</v>
      </c>
      <c r="M225" s="799">
        <v>1124</v>
      </c>
      <c r="N225" s="800"/>
      <c r="O225" s="799">
        <v>431</v>
      </c>
      <c r="P225" s="802"/>
      <c r="Q225" s="799">
        <v>9119</v>
      </c>
      <c r="R225" s="800"/>
      <c r="S225" s="799">
        <f t="shared" si="37"/>
        <v>0</v>
      </c>
      <c r="T225" s="800"/>
      <c r="U225" s="803"/>
      <c r="V225" s="800"/>
      <c r="W225" s="801">
        <f t="shared" si="38"/>
        <v>1621</v>
      </c>
      <c r="X225" s="799"/>
      <c r="Y225" s="799"/>
      <c r="Z225" s="799"/>
      <c r="AA225" s="799"/>
      <c r="AB225" s="801">
        <f t="shared" si="39"/>
        <v>0</v>
      </c>
      <c r="AC225" s="799"/>
      <c r="AD225" s="799"/>
      <c r="AE225" s="799"/>
      <c r="AF225" s="799"/>
      <c r="AG225" s="799"/>
      <c r="AH225" s="799"/>
      <c r="AI225" s="799"/>
      <c r="AJ225" s="801">
        <f t="shared" si="35"/>
        <v>0</v>
      </c>
      <c r="AK225" s="800">
        <f t="shared" si="42"/>
        <v>0</v>
      </c>
      <c r="AL225" s="800">
        <f t="shared" si="42"/>
        <v>0</v>
      </c>
      <c r="AM225" s="800">
        <f t="shared" si="42"/>
        <v>0</v>
      </c>
      <c r="AN225" s="800">
        <f t="shared" si="42"/>
        <v>0</v>
      </c>
      <c r="AO225" s="192" t="str">
        <f t="shared" si="41"/>
        <v>-</v>
      </c>
      <c r="AP225" s="193">
        <f t="shared" si="43"/>
        <v>1621</v>
      </c>
      <c r="AQ225" s="193">
        <f t="shared" si="40"/>
        <v>-1621</v>
      </c>
      <c r="AR225" s="805"/>
      <c r="AS225" s="119"/>
      <c r="AT225" s="119"/>
      <c r="AU225" s="120"/>
      <c r="AV225" s="862"/>
      <c r="AW225" s="800">
        <v>0</v>
      </c>
      <c r="AX225" s="807">
        <v>0</v>
      </c>
      <c r="AY225" s="807">
        <v>0</v>
      </c>
      <c r="AZ225" s="807">
        <v>0</v>
      </c>
      <c r="BA225" s="196" t="s">
        <v>1966</v>
      </c>
      <c r="BB225" s="210">
        <v>25595</v>
      </c>
      <c r="BC225" s="115"/>
      <c r="BD225" s="236"/>
    </row>
    <row r="226" spans="1:56" s="808" customFormat="1" ht="14.25" customHeight="1">
      <c r="A226" s="792">
        <v>2024</v>
      </c>
      <c r="B226" s="793" t="str">
        <f>+INDEX('①基本情報 '!C:C,MATCH('③経費情報(2024)'!E226,'①基本情報 '!E:E,0))</f>
        <v>216</v>
      </c>
      <c r="C226" s="794" t="str">
        <f>+INDEX('①基本情報 '!B:B,MATCH('③経費情報(2024)'!E226,'①基本情報 '!E:E,0))</f>
        <v>0289</v>
      </c>
      <c r="D226" s="809" t="s">
        <v>2415</v>
      </c>
      <c r="E226" s="616" t="s">
        <v>1362</v>
      </c>
      <c r="F226" s="616" t="str">
        <f>INDEX('①基本情報 '!F:F,MATCH('③経費情報(2024)'!E226,'①基本情報 '!E:E,0))</f>
        <v>総合政策部</v>
      </c>
      <c r="G226" s="797" t="s">
        <v>1364</v>
      </c>
      <c r="H226" s="841"/>
      <c r="I226" s="800"/>
      <c r="J226" s="800"/>
      <c r="K226" s="801">
        <f t="shared" si="36"/>
        <v>0</v>
      </c>
      <c r="L226" s="799">
        <v>148</v>
      </c>
      <c r="M226" s="799">
        <v>1627</v>
      </c>
      <c r="N226" s="115">
        <v>0</v>
      </c>
      <c r="O226" s="799">
        <v>352</v>
      </c>
      <c r="P226" s="802">
        <v>0.08</v>
      </c>
      <c r="Q226" s="799">
        <v>9119</v>
      </c>
      <c r="R226" s="800"/>
      <c r="S226" s="799">
        <f t="shared" si="37"/>
        <v>730</v>
      </c>
      <c r="T226" s="115"/>
      <c r="U226" s="803">
        <v>62</v>
      </c>
      <c r="V226" s="800"/>
      <c r="W226" s="801">
        <f t="shared" si="38"/>
        <v>2919</v>
      </c>
      <c r="X226" s="799"/>
      <c r="Y226" s="799"/>
      <c r="Z226" s="800"/>
      <c r="AA226" s="799"/>
      <c r="AB226" s="801">
        <f t="shared" si="39"/>
        <v>0</v>
      </c>
      <c r="AC226" s="799"/>
      <c r="AD226" s="799"/>
      <c r="AE226" s="800"/>
      <c r="AF226" s="799"/>
      <c r="AG226" s="799"/>
      <c r="AH226" s="800"/>
      <c r="AI226" s="800"/>
      <c r="AJ226" s="801">
        <f t="shared" si="35"/>
        <v>0</v>
      </c>
      <c r="AK226" s="800">
        <f t="shared" si="42"/>
        <v>24413.200000000001</v>
      </c>
      <c r="AL226" s="800">
        <f t="shared" si="42"/>
        <v>24413.197</v>
      </c>
      <c r="AM226" s="800">
        <f t="shared" si="42"/>
        <v>3.0000000000000001E-3</v>
      </c>
      <c r="AN226" s="800">
        <f t="shared" si="42"/>
        <v>0</v>
      </c>
      <c r="AO226" s="192">
        <f t="shared" si="41"/>
        <v>0.99999987711565874</v>
      </c>
      <c r="AP226" s="193">
        <f t="shared" si="43"/>
        <v>2919</v>
      </c>
      <c r="AQ226" s="193">
        <f t="shared" si="40"/>
        <v>-2919</v>
      </c>
      <c r="AR226" s="805"/>
      <c r="AS226" s="119"/>
      <c r="AT226" s="119"/>
      <c r="AU226" s="120"/>
      <c r="AV226" s="862"/>
      <c r="AW226" s="800">
        <v>24413200</v>
      </c>
      <c r="AX226" s="807">
        <v>24413197</v>
      </c>
      <c r="AY226" s="807">
        <v>3</v>
      </c>
      <c r="AZ226" s="807">
        <v>0</v>
      </c>
      <c r="BA226" s="196">
        <f t="shared" ref="BA226:BA237" si="44">AX226/AW226</f>
        <v>0.99999987711565874</v>
      </c>
      <c r="BB226" s="210">
        <v>1645</v>
      </c>
      <c r="BC226" s="115">
        <v>8</v>
      </c>
      <c r="BD226" s="236"/>
    </row>
    <row r="227" spans="1:56" s="808" customFormat="1" ht="14.25" customHeight="1">
      <c r="A227" s="792">
        <v>2024</v>
      </c>
      <c r="B227" s="793" t="str">
        <f>+INDEX('①基本情報 '!C:C,MATCH('③経費情報(2024)'!E227,'①基本情報 '!E:E,0))</f>
        <v>217</v>
      </c>
      <c r="C227" s="794" t="str">
        <f>+INDEX('①基本情報 '!B:B,MATCH('③経費情報(2024)'!E227,'①基本情報 '!E:E,0))</f>
        <v>9901</v>
      </c>
      <c r="D227" s="809" t="s">
        <v>2415</v>
      </c>
      <c r="E227" s="616" t="s">
        <v>1372</v>
      </c>
      <c r="F227" s="616" t="str">
        <f>INDEX('①基本情報 '!F:F,MATCH('③経費情報(2024)'!E227,'①基本情報 '!E:E,0))</f>
        <v>教育委員会</v>
      </c>
      <c r="G227" s="797" t="s">
        <v>1373</v>
      </c>
      <c r="H227" s="810">
        <v>939</v>
      </c>
      <c r="I227" s="799"/>
      <c r="J227" s="800">
        <v>1289</v>
      </c>
      <c r="K227" s="801">
        <f t="shared" si="36"/>
        <v>2228</v>
      </c>
      <c r="L227" s="800"/>
      <c r="M227" s="800">
        <v>858</v>
      </c>
      <c r="N227" s="800"/>
      <c r="O227" s="800">
        <v>881</v>
      </c>
      <c r="P227" s="802"/>
      <c r="Q227" s="799">
        <v>9119</v>
      </c>
      <c r="R227" s="800"/>
      <c r="S227" s="799">
        <f t="shared" si="37"/>
        <v>0</v>
      </c>
      <c r="T227" s="800"/>
      <c r="U227" s="803">
        <v>156</v>
      </c>
      <c r="V227" s="799">
        <v>8773</v>
      </c>
      <c r="W227" s="801">
        <f t="shared" si="38"/>
        <v>10668</v>
      </c>
      <c r="X227" s="799">
        <v>123518</v>
      </c>
      <c r="Y227" s="799">
        <v>105719</v>
      </c>
      <c r="Z227" s="803">
        <v>232</v>
      </c>
      <c r="AA227" s="799">
        <v>8773</v>
      </c>
      <c r="AB227" s="801">
        <f t="shared" si="39"/>
        <v>238242</v>
      </c>
      <c r="AC227" s="799">
        <v>37254</v>
      </c>
      <c r="AD227" s="799">
        <v>41589</v>
      </c>
      <c r="AE227" s="800"/>
      <c r="AF227" s="804">
        <v>5395</v>
      </c>
      <c r="AG227" s="799">
        <v>96271</v>
      </c>
      <c r="AH227" s="800">
        <v>41694</v>
      </c>
      <c r="AI227" s="800">
        <v>11869</v>
      </c>
      <c r="AJ227" s="801">
        <f t="shared" si="35"/>
        <v>234072</v>
      </c>
      <c r="AK227" s="800">
        <f t="shared" si="42"/>
        <v>1054247.7279999999</v>
      </c>
      <c r="AL227" s="800">
        <f t="shared" si="42"/>
        <v>277791.984</v>
      </c>
      <c r="AM227" s="800">
        <f t="shared" si="42"/>
        <v>776455.74399999995</v>
      </c>
      <c r="AN227" s="800">
        <f t="shared" si="42"/>
        <v>36192.311000000002</v>
      </c>
      <c r="AO227" s="192">
        <f t="shared" si="41"/>
        <v>0.26349782562680563</v>
      </c>
      <c r="AP227" s="193">
        <f t="shared" si="43"/>
        <v>46860.311000000002</v>
      </c>
      <c r="AQ227" s="193">
        <f t="shared" si="40"/>
        <v>-44632.311000000002</v>
      </c>
      <c r="AR227" s="805"/>
      <c r="AS227" s="119"/>
      <c r="AT227" s="119" t="s">
        <v>2803</v>
      </c>
      <c r="AU227" s="120" t="s">
        <v>2803</v>
      </c>
      <c r="AV227" s="806"/>
      <c r="AW227" s="800">
        <v>1054247728</v>
      </c>
      <c r="AX227" s="807">
        <v>277791984</v>
      </c>
      <c r="AY227" s="807">
        <v>776455744</v>
      </c>
      <c r="AZ227" s="807">
        <v>36192311</v>
      </c>
      <c r="BA227" s="196">
        <f t="shared" si="44"/>
        <v>0.26349782562680563</v>
      </c>
      <c r="BB227" s="210">
        <v>672788</v>
      </c>
      <c r="BC227" s="115">
        <v>96120</v>
      </c>
      <c r="BD227" s="236">
        <v>156.6</v>
      </c>
    </row>
    <row r="228" spans="1:56" s="808" customFormat="1" ht="14.25" customHeight="1">
      <c r="A228" s="792">
        <v>2024</v>
      </c>
      <c r="B228" s="793" t="str">
        <f>+INDEX('①基本情報 '!C:C,MATCH('③経費情報(2024)'!E228,'①基本情報 '!E:E,0))</f>
        <v>218</v>
      </c>
      <c r="C228" s="794" t="str">
        <f>+INDEX('①基本情報 '!B:B,MATCH('③経費情報(2024)'!E228,'①基本情報 '!E:E,0))</f>
        <v>1080</v>
      </c>
      <c r="D228" s="809" t="s">
        <v>2415</v>
      </c>
      <c r="E228" s="616" t="s">
        <v>2060</v>
      </c>
      <c r="F228" s="616" t="str">
        <f>INDEX('①基本情報 '!F:F,MATCH('③経費情報(2024)'!E228,'①基本情報 '!E:E,0))</f>
        <v>教育委員会</v>
      </c>
      <c r="G228" s="797" t="s">
        <v>1373</v>
      </c>
      <c r="H228" s="810"/>
      <c r="I228" s="799"/>
      <c r="J228" s="800">
        <v>126</v>
      </c>
      <c r="K228" s="801">
        <f t="shared" si="36"/>
        <v>126</v>
      </c>
      <c r="L228" s="800"/>
      <c r="M228" s="800">
        <v>71</v>
      </c>
      <c r="N228" s="800"/>
      <c r="O228" s="800">
        <v>31</v>
      </c>
      <c r="P228" s="802"/>
      <c r="Q228" s="799">
        <v>9119</v>
      </c>
      <c r="R228" s="800"/>
      <c r="S228" s="799">
        <f t="shared" si="37"/>
        <v>0</v>
      </c>
      <c r="T228" s="800"/>
      <c r="U228" s="803">
        <v>318</v>
      </c>
      <c r="V228" s="799">
        <v>44828</v>
      </c>
      <c r="W228" s="801">
        <f t="shared" si="38"/>
        <v>45248</v>
      </c>
      <c r="X228" s="799">
        <v>21619</v>
      </c>
      <c r="Y228" s="799">
        <v>13124</v>
      </c>
      <c r="Z228" s="803">
        <v>954</v>
      </c>
      <c r="AA228" s="799">
        <v>44828</v>
      </c>
      <c r="AB228" s="801">
        <f t="shared" si="39"/>
        <v>80525</v>
      </c>
      <c r="AC228" s="799">
        <v>10361</v>
      </c>
      <c r="AD228" s="799">
        <v>11000</v>
      </c>
      <c r="AE228" s="800">
        <v>0</v>
      </c>
      <c r="AF228" s="804">
        <v>7164</v>
      </c>
      <c r="AG228" s="799">
        <v>21714</v>
      </c>
      <c r="AH228" s="800">
        <v>19670</v>
      </c>
      <c r="AI228" s="800">
        <v>9139</v>
      </c>
      <c r="AJ228" s="801">
        <f t="shared" si="35"/>
        <v>79048</v>
      </c>
      <c r="AK228" s="800">
        <f t="shared" si="42"/>
        <v>630836.32299999997</v>
      </c>
      <c r="AL228" s="800">
        <f t="shared" si="42"/>
        <v>540603.59100000001</v>
      </c>
      <c r="AM228" s="800">
        <f t="shared" si="42"/>
        <v>90232.732000000004</v>
      </c>
      <c r="AN228" s="800">
        <f t="shared" si="42"/>
        <v>12849.715</v>
      </c>
      <c r="AO228" s="192">
        <f t="shared" si="41"/>
        <v>0.85696332200579384</v>
      </c>
      <c r="AP228" s="193">
        <f t="shared" si="43"/>
        <v>58097.714999999997</v>
      </c>
      <c r="AQ228" s="193">
        <f t="shared" si="40"/>
        <v>-57971.714999999997</v>
      </c>
      <c r="AR228" s="805"/>
      <c r="AS228" s="119"/>
      <c r="AT228" s="119" t="s">
        <v>2803</v>
      </c>
      <c r="AU228" s="120" t="s">
        <v>2803</v>
      </c>
      <c r="AV228" s="806"/>
      <c r="AW228" s="800">
        <v>630836323</v>
      </c>
      <c r="AX228" s="807">
        <v>540603591</v>
      </c>
      <c r="AY228" s="807">
        <v>90232732</v>
      </c>
      <c r="AZ228" s="807">
        <v>12849715</v>
      </c>
      <c r="BA228" s="196">
        <f t="shared" si="44"/>
        <v>0.85696332200579384</v>
      </c>
      <c r="BB228" s="210">
        <v>115505</v>
      </c>
      <c r="BC228" s="115">
        <v>745</v>
      </c>
      <c r="BD228" s="236">
        <v>0</v>
      </c>
    </row>
    <row r="229" spans="1:56" s="808" customFormat="1" ht="14.25" customHeight="1">
      <c r="A229" s="792">
        <v>2024</v>
      </c>
      <c r="B229" s="793" t="str">
        <f>+INDEX('①基本情報 '!C:C,MATCH('③経費情報(2024)'!E229,'①基本情報 '!E:E,0))</f>
        <v>219</v>
      </c>
      <c r="C229" s="794" t="str">
        <f>+INDEX('①基本情報 '!B:B,MATCH('③経費情報(2024)'!E229,'①基本情報 '!E:E,0))</f>
        <v>1082</v>
      </c>
      <c r="D229" s="809" t="s">
        <v>2415</v>
      </c>
      <c r="E229" s="616" t="s">
        <v>1391</v>
      </c>
      <c r="F229" s="616" t="str">
        <f>INDEX('①基本情報 '!F:F,MATCH('③経費情報(2024)'!E229,'①基本情報 '!E:E,0))</f>
        <v>教育委員会</v>
      </c>
      <c r="G229" s="797" t="s">
        <v>1373</v>
      </c>
      <c r="H229" s="810"/>
      <c r="I229" s="799"/>
      <c r="J229" s="800"/>
      <c r="K229" s="801">
        <f t="shared" si="36"/>
        <v>0</v>
      </c>
      <c r="L229" s="800"/>
      <c r="M229" s="800"/>
      <c r="N229" s="800"/>
      <c r="O229" s="800"/>
      <c r="P229" s="802"/>
      <c r="Q229" s="799">
        <v>9119</v>
      </c>
      <c r="R229" s="800"/>
      <c r="S229" s="799">
        <f t="shared" si="37"/>
        <v>0</v>
      </c>
      <c r="T229" s="800"/>
      <c r="U229" s="803"/>
      <c r="V229" s="799">
        <v>4085</v>
      </c>
      <c r="W229" s="801">
        <f t="shared" si="38"/>
        <v>4085</v>
      </c>
      <c r="X229" s="799">
        <v>5780</v>
      </c>
      <c r="Y229" s="799">
        <v>2034</v>
      </c>
      <c r="Z229" s="803">
        <v>2</v>
      </c>
      <c r="AA229" s="799">
        <v>4085</v>
      </c>
      <c r="AB229" s="801">
        <f t="shared" si="39"/>
        <v>11901</v>
      </c>
      <c r="AC229" s="799">
        <v>327</v>
      </c>
      <c r="AD229" s="799"/>
      <c r="AE229" s="800"/>
      <c r="AF229" s="804">
        <v>1006</v>
      </c>
      <c r="AG229" s="799">
        <v>7982</v>
      </c>
      <c r="AH229" s="800">
        <v>2645</v>
      </c>
      <c r="AI229" s="800"/>
      <c r="AJ229" s="801">
        <f t="shared" si="35"/>
        <v>11960</v>
      </c>
      <c r="AK229" s="800">
        <f t="shared" si="42"/>
        <v>2776.5</v>
      </c>
      <c r="AL229" s="800">
        <f t="shared" si="42"/>
        <v>2776.4969999999998</v>
      </c>
      <c r="AM229" s="800">
        <f t="shared" si="42"/>
        <v>3.0000000000000001E-3</v>
      </c>
      <c r="AN229" s="800">
        <f t="shared" si="42"/>
        <v>0</v>
      </c>
      <c r="AO229" s="192">
        <f t="shared" si="41"/>
        <v>0.99999891950297137</v>
      </c>
      <c r="AP229" s="193">
        <f t="shared" si="43"/>
        <v>4085</v>
      </c>
      <c r="AQ229" s="193">
        <f t="shared" si="40"/>
        <v>-4085</v>
      </c>
      <c r="AR229" s="805"/>
      <c r="AS229" s="119"/>
      <c r="AT229" s="119" t="s">
        <v>2803</v>
      </c>
      <c r="AU229" s="120" t="s">
        <v>2803</v>
      </c>
      <c r="AV229" s="806"/>
      <c r="AW229" s="800">
        <v>2776500</v>
      </c>
      <c r="AX229" s="807">
        <v>2776497</v>
      </c>
      <c r="AY229" s="807">
        <v>3</v>
      </c>
      <c r="AZ229" s="807">
        <v>0</v>
      </c>
      <c r="BA229" s="196">
        <f t="shared" si="44"/>
        <v>0.99999891950297137</v>
      </c>
      <c r="BB229" s="210">
        <v>10221</v>
      </c>
      <c r="BC229" s="115">
        <v>0</v>
      </c>
      <c r="BD229" s="236">
        <v>0</v>
      </c>
    </row>
    <row r="230" spans="1:56" s="808" customFormat="1" ht="14.25" customHeight="1">
      <c r="A230" s="792">
        <v>2024</v>
      </c>
      <c r="B230" s="793" t="str">
        <f>+INDEX('①基本情報 '!C:C,MATCH('③経費情報(2024)'!E230,'①基本情報 '!E:E,0))</f>
        <v>220</v>
      </c>
      <c r="C230" s="794" t="str">
        <f>+INDEX('①基本情報 '!B:B,MATCH('③経費情報(2024)'!E230,'①基本情報 '!E:E,0))</f>
        <v>1083</v>
      </c>
      <c r="D230" s="809" t="s">
        <v>2415</v>
      </c>
      <c r="E230" s="616" t="s">
        <v>1396</v>
      </c>
      <c r="F230" s="616" t="str">
        <f>INDEX('①基本情報 '!F:F,MATCH('③経費情報(2024)'!E230,'①基本情報 '!E:E,0))</f>
        <v>教育委員会</v>
      </c>
      <c r="G230" s="797" t="s">
        <v>1373</v>
      </c>
      <c r="H230" s="810">
        <v>4649</v>
      </c>
      <c r="I230" s="799"/>
      <c r="J230" s="800">
        <v>6</v>
      </c>
      <c r="K230" s="801">
        <f t="shared" si="36"/>
        <v>4655</v>
      </c>
      <c r="L230" s="800"/>
      <c r="M230" s="800"/>
      <c r="N230" s="800"/>
      <c r="O230" s="800">
        <v>440</v>
      </c>
      <c r="P230" s="802"/>
      <c r="Q230" s="799">
        <v>9119</v>
      </c>
      <c r="R230" s="800"/>
      <c r="S230" s="799">
        <f t="shared" si="37"/>
        <v>0</v>
      </c>
      <c r="T230" s="800"/>
      <c r="U230" s="803"/>
      <c r="V230" s="799">
        <v>14940</v>
      </c>
      <c r="W230" s="801">
        <f t="shared" si="38"/>
        <v>15380</v>
      </c>
      <c r="X230" s="799"/>
      <c r="Y230" s="799"/>
      <c r="Z230" s="803">
        <v>1282</v>
      </c>
      <c r="AA230" s="799">
        <v>14940</v>
      </c>
      <c r="AB230" s="801">
        <f t="shared" si="39"/>
        <v>16222</v>
      </c>
      <c r="AC230" s="799">
        <v>856</v>
      </c>
      <c r="AD230" s="799">
        <v>7365</v>
      </c>
      <c r="AE230" s="800">
        <v>0</v>
      </c>
      <c r="AF230" s="804">
        <v>763</v>
      </c>
      <c r="AG230" s="799">
        <v>4366</v>
      </c>
      <c r="AH230" s="800">
        <v>353</v>
      </c>
      <c r="AI230" s="800">
        <v>1075</v>
      </c>
      <c r="AJ230" s="801">
        <f t="shared" si="35"/>
        <v>14778</v>
      </c>
      <c r="AK230" s="800">
        <f t="shared" si="42"/>
        <v>25061.4</v>
      </c>
      <c r="AL230" s="800">
        <f t="shared" si="42"/>
        <v>25061.399000000001</v>
      </c>
      <c r="AM230" s="800">
        <f t="shared" si="42"/>
        <v>1E-3</v>
      </c>
      <c r="AN230" s="800">
        <f t="shared" si="42"/>
        <v>0</v>
      </c>
      <c r="AO230" s="192">
        <f t="shared" si="41"/>
        <v>0.9999999600979993</v>
      </c>
      <c r="AP230" s="193">
        <f t="shared" si="43"/>
        <v>15380</v>
      </c>
      <c r="AQ230" s="193">
        <f t="shared" si="40"/>
        <v>-10725</v>
      </c>
      <c r="AR230" s="805"/>
      <c r="AS230" s="119"/>
      <c r="AT230" s="119"/>
      <c r="AU230" s="120"/>
      <c r="AV230" s="806"/>
      <c r="AW230" s="800">
        <v>25061400</v>
      </c>
      <c r="AX230" s="807">
        <v>25061399</v>
      </c>
      <c r="AY230" s="807">
        <v>1</v>
      </c>
      <c r="AZ230" s="807">
        <v>0</v>
      </c>
      <c r="BA230" s="196">
        <f t="shared" si="44"/>
        <v>0.9999999600979993</v>
      </c>
      <c r="BB230" s="210">
        <v>16940</v>
      </c>
      <c r="BC230" s="115">
        <v>0</v>
      </c>
      <c r="BD230" s="236">
        <v>0</v>
      </c>
    </row>
    <row r="231" spans="1:56" s="808" customFormat="1" ht="14.25" customHeight="1">
      <c r="A231" s="792">
        <v>2024</v>
      </c>
      <c r="B231" s="793" t="str">
        <f>+INDEX('①基本情報 '!C:C,MATCH('③経費情報(2024)'!E231,'①基本情報 '!E:E,0))</f>
        <v>221</v>
      </c>
      <c r="C231" s="794" t="str">
        <f>+INDEX('①基本情報 '!B:B,MATCH('③経費情報(2024)'!E231,'①基本情報 '!E:E,0))</f>
        <v>0896</v>
      </c>
      <c r="D231" s="809" t="s">
        <v>2415</v>
      </c>
      <c r="E231" s="616" t="s">
        <v>1403</v>
      </c>
      <c r="F231" s="616" t="str">
        <f>INDEX('①基本情報 '!F:F,MATCH('③経費情報(2024)'!E231,'①基本情報 '!E:E,0))</f>
        <v>都市交通部</v>
      </c>
      <c r="G231" s="863" t="s">
        <v>2653</v>
      </c>
      <c r="H231" s="210">
        <v>66</v>
      </c>
      <c r="I231" s="115">
        <v>40500</v>
      </c>
      <c r="J231" s="115"/>
      <c r="K231" s="236">
        <f t="shared" si="36"/>
        <v>40566</v>
      </c>
      <c r="L231" s="799"/>
      <c r="M231" s="799"/>
      <c r="N231" s="799"/>
      <c r="O231" s="799"/>
      <c r="P231" s="814">
        <v>0.26753251681177143</v>
      </c>
      <c r="Q231" s="799">
        <v>9119</v>
      </c>
      <c r="R231" s="800"/>
      <c r="S231" s="799">
        <f t="shared" si="37"/>
        <v>2440</v>
      </c>
      <c r="T231" s="800">
        <v>117.48</v>
      </c>
      <c r="U231" s="803"/>
      <c r="V231" s="799"/>
      <c r="W231" s="801">
        <f t="shared" si="38"/>
        <v>2557.48</v>
      </c>
      <c r="X231" s="799">
        <v>64768</v>
      </c>
      <c r="Y231" s="799"/>
      <c r="Z231" s="803"/>
      <c r="AA231" s="799"/>
      <c r="AB231" s="801">
        <f t="shared" si="39"/>
        <v>64768</v>
      </c>
      <c r="AC231" s="799">
        <v>3216.6929053745762</v>
      </c>
      <c r="AD231" s="799">
        <v>2847.5688447103817</v>
      </c>
      <c r="AE231" s="800"/>
      <c r="AF231" s="804">
        <v>1242</v>
      </c>
      <c r="AG231" s="799">
        <v>13873.636363636364</v>
      </c>
      <c r="AH231" s="800">
        <v>1405.5543290069209</v>
      </c>
      <c r="AI231" s="800">
        <v>1513.8043406718416</v>
      </c>
      <c r="AJ231" s="801">
        <f t="shared" si="35"/>
        <v>24099.256783400084</v>
      </c>
      <c r="AK231" s="800">
        <f t="shared" si="42"/>
        <v>559213.06000000006</v>
      </c>
      <c r="AL231" s="800">
        <f t="shared" si="42"/>
        <v>458499.93699999998</v>
      </c>
      <c r="AM231" s="800">
        <f t="shared" si="42"/>
        <v>100713.12300000001</v>
      </c>
      <c r="AN231" s="800">
        <f t="shared" si="42"/>
        <v>11890.791999999999</v>
      </c>
      <c r="AO231" s="192">
        <f t="shared" si="41"/>
        <v>0.81990205486259571</v>
      </c>
      <c r="AP231" s="193">
        <f t="shared" si="43"/>
        <v>14448.271999999999</v>
      </c>
      <c r="AQ231" s="193">
        <f t="shared" si="40"/>
        <v>26117.728000000003</v>
      </c>
      <c r="AR231" s="805"/>
      <c r="AS231" s="119"/>
      <c r="AT231" s="119"/>
      <c r="AU231" s="120"/>
      <c r="AV231" s="806"/>
      <c r="AW231" s="800">
        <v>559213060</v>
      </c>
      <c r="AX231" s="807">
        <v>458499937</v>
      </c>
      <c r="AY231" s="807">
        <v>100713123</v>
      </c>
      <c r="AZ231" s="807">
        <v>11890792</v>
      </c>
      <c r="BA231" s="196">
        <f t="shared" si="44"/>
        <v>0.81990205486259571</v>
      </c>
      <c r="BB231" s="210">
        <v>80987</v>
      </c>
      <c r="BC231" s="115">
        <v>0</v>
      </c>
      <c r="BD231" s="236">
        <v>0</v>
      </c>
    </row>
    <row r="232" spans="1:56" s="808" customFormat="1" ht="14.25" customHeight="1">
      <c r="A232" s="792">
        <v>2024</v>
      </c>
      <c r="B232" s="793" t="str">
        <f>+INDEX('①基本情報 '!C:C,MATCH('③経費情報(2024)'!E232,'①基本情報 '!E:E,0))</f>
        <v>222</v>
      </c>
      <c r="C232" s="794" t="str">
        <f>+INDEX('①基本情報 '!B:B,MATCH('③経費情報(2024)'!E232,'①基本情報 '!E:E,0))</f>
        <v>0898</v>
      </c>
      <c r="D232" s="809" t="s">
        <v>2415</v>
      </c>
      <c r="E232" s="616" t="s">
        <v>1415</v>
      </c>
      <c r="F232" s="616" t="str">
        <f>INDEX('①基本情報 '!F:F,MATCH('③経費情報(2024)'!E232,'①基本情報 '!E:E,0))</f>
        <v>都市交通部</v>
      </c>
      <c r="G232" s="863" t="s">
        <v>2653</v>
      </c>
      <c r="H232" s="210"/>
      <c r="I232" s="115">
        <v>4500</v>
      </c>
      <c r="J232" s="115"/>
      <c r="K232" s="236">
        <f t="shared" si="36"/>
        <v>4500</v>
      </c>
      <c r="L232" s="799"/>
      <c r="M232" s="799"/>
      <c r="N232" s="799"/>
      <c r="O232" s="799"/>
      <c r="P232" s="814">
        <v>0.16047852941796487</v>
      </c>
      <c r="Q232" s="799">
        <v>9119</v>
      </c>
      <c r="R232" s="800"/>
      <c r="S232" s="799">
        <f t="shared" si="37"/>
        <v>1463</v>
      </c>
      <c r="T232" s="800">
        <v>3902.8919999999998</v>
      </c>
      <c r="U232" s="803"/>
      <c r="V232" s="799"/>
      <c r="W232" s="801">
        <f t="shared" si="38"/>
        <v>5365.8919999999998</v>
      </c>
      <c r="X232" s="799">
        <v>27719</v>
      </c>
      <c r="Y232" s="799"/>
      <c r="Z232" s="803"/>
      <c r="AA232" s="799"/>
      <c r="AB232" s="801">
        <f t="shared" si="39"/>
        <v>27719</v>
      </c>
      <c r="AC232" s="799">
        <v>1788.7428811982536</v>
      </c>
      <c r="AD232" s="799">
        <v>1583.47988121188</v>
      </c>
      <c r="AE232" s="800"/>
      <c r="AF232" s="804">
        <v>395</v>
      </c>
      <c r="AG232" s="799">
        <v>13873.636363636364</v>
      </c>
      <c r="AH232" s="800">
        <v>781.60252598180432</v>
      </c>
      <c r="AI232" s="800">
        <v>841.79833685070264</v>
      </c>
      <c r="AJ232" s="801">
        <f t="shared" si="35"/>
        <v>19264.259988879003</v>
      </c>
      <c r="AK232" s="800">
        <f t="shared" si="42"/>
        <v>554079.6</v>
      </c>
      <c r="AL232" s="800">
        <f t="shared" si="42"/>
        <v>549299.85</v>
      </c>
      <c r="AM232" s="800">
        <f t="shared" si="42"/>
        <v>4779.75</v>
      </c>
      <c r="AN232" s="800">
        <f t="shared" si="42"/>
        <v>390.97800000000001</v>
      </c>
      <c r="AO232" s="192">
        <f t="shared" si="41"/>
        <v>0.99137353188964183</v>
      </c>
      <c r="AP232" s="193">
        <f t="shared" si="43"/>
        <v>5756.87</v>
      </c>
      <c r="AQ232" s="193">
        <f t="shared" si="40"/>
        <v>-1256.8699999999999</v>
      </c>
      <c r="AR232" s="805"/>
      <c r="AS232" s="119"/>
      <c r="AT232" s="119"/>
      <c r="AU232" s="120"/>
      <c r="AV232" s="806"/>
      <c r="AW232" s="800">
        <v>554079600</v>
      </c>
      <c r="AX232" s="807">
        <v>549299850</v>
      </c>
      <c r="AY232" s="807">
        <v>4779750</v>
      </c>
      <c r="AZ232" s="807">
        <v>390978</v>
      </c>
      <c r="BA232" s="196">
        <f t="shared" si="44"/>
        <v>0.99137353188964183</v>
      </c>
      <c r="BB232" s="210">
        <v>63143</v>
      </c>
      <c r="BC232" s="115">
        <v>0</v>
      </c>
      <c r="BD232" s="236">
        <v>0</v>
      </c>
    </row>
    <row r="233" spans="1:56" s="808" customFormat="1" ht="14.25" customHeight="1">
      <c r="A233" s="792">
        <v>2024</v>
      </c>
      <c r="B233" s="793" t="str">
        <f>+INDEX('①基本情報 '!C:C,MATCH('③経費情報(2024)'!E233,'①基本情報 '!E:E,0))</f>
        <v>223</v>
      </c>
      <c r="C233" s="794" t="str">
        <f>+INDEX('①基本情報 '!B:B,MATCH('③経費情報(2024)'!E233,'①基本情報 '!E:E,0))</f>
        <v>0897</v>
      </c>
      <c r="D233" s="809" t="s">
        <v>2415</v>
      </c>
      <c r="E233" s="616" t="s">
        <v>1418</v>
      </c>
      <c r="F233" s="616" t="str">
        <f>INDEX('①基本情報 '!F:F,MATCH('③経費情報(2024)'!E233,'①基本情報 '!E:E,0))</f>
        <v>都市交通部</v>
      </c>
      <c r="G233" s="863" t="s">
        <v>2653</v>
      </c>
      <c r="H233" s="210">
        <v>343</v>
      </c>
      <c r="I233" s="115">
        <v>38170.712</v>
      </c>
      <c r="J233" s="115"/>
      <c r="K233" s="236">
        <f t="shared" si="36"/>
        <v>38513.712</v>
      </c>
      <c r="L233" s="799"/>
      <c r="M233" s="799"/>
      <c r="N233" s="799"/>
      <c r="O233" s="799"/>
      <c r="P233" s="814">
        <v>0.57198895377026371</v>
      </c>
      <c r="Q233" s="799">
        <v>9119</v>
      </c>
      <c r="R233" s="800"/>
      <c r="S233" s="799">
        <f t="shared" si="37"/>
        <v>5216</v>
      </c>
      <c r="T233" s="800">
        <v>15129.48</v>
      </c>
      <c r="U233" s="803"/>
      <c r="V233" s="799"/>
      <c r="W233" s="801">
        <f t="shared" si="38"/>
        <v>20345.48</v>
      </c>
      <c r="X233" s="799">
        <v>86214</v>
      </c>
      <c r="Y233" s="799"/>
      <c r="Z233" s="803">
        <v>342</v>
      </c>
      <c r="AA233" s="799"/>
      <c r="AB233" s="801">
        <f t="shared" si="39"/>
        <v>86556</v>
      </c>
      <c r="AC233" s="799">
        <v>6375.5642134271693</v>
      </c>
      <c r="AD233" s="799">
        <v>5643.9512740777373</v>
      </c>
      <c r="AE233" s="800"/>
      <c r="AF233" s="804">
        <v>1519</v>
      </c>
      <c r="AG233" s="799">
        <v>33296.727272727272</v>
      </c>
      <c r="AH233" s="800">
        <v>2785.8431450112744</v>
      </c>
      <c r="AI233" s="800">
        <v>3000.3973224774554</v>
      </c>
      <c r="AJ233" s="801">
        <f t="shared" si="35"/>
        <v>52621.483227720906</v>
      </c>
      <c r="AK233" s="800">
        <f t="shared" si="42"/>
        <v>5323522.0999999996</v>
      </c>
      <c r="AL233" s="800">
        <f t="shared" si="42"/>
        <v>3987803.949</v>
      </c>
      <c r="AM233" s="800">
        <f t="shared" si="42"/>
        <v>1335718.1510000001</v>
      </c>
      <c r="AN233" s="800">
        <f t="shared" si="42"/>
        <v>145238.86799999999</v>
      </c>
      <c r="AO233" s="192">
        <f t="shared" si="41"/>
        <v>0.74909127342591475</v>
      </c>
      <c r="AP233" s="193">
        <f t="shared" si="43"/>
        <v>165584.348</v>
      </c>
      <c r="AQ233" s="193">
        <f t="shared" si="40"/>
        <v>-127070.636</v>
      </c>
      <c r="AR233" s="805"/>
      <c r="AS233" s="119"/>
      <c r="AT233" s="119"/>
      <c r="AU233" s="120"/>
      <c r="AV233" s="806"/>
      <c r="AW233" s="800">
        <v>5323522100</v>
      </c>
      <c r="AX233" s="807">
        <v>3987803949</v>
      </c>
      <c r="AY233" s="807">
        <v>1335718151</v>
      </c>
      <c r="AZ233" s="807">
        <v>145238868</v>
      </c>
      <c r="BA233" s="196">
        <f t="shared" si="44"/>
        <v>0.74909127342591475</v>
      </c>
      <c r="BB233" s="210">
        <v>219336</v>
      </c>
      <c r="BC233" s="115">
        <v>0</v>
      </c>
      <c r="BD233" s="236">
        <v>0</v>
      </c>
    </row>
    <row r="234" spans="1:56" s="808" customFormat="1" ht="14.25" customHeight="1">
      <c r="A234" s="792">
        <v>2024</v>
      </c>
      <c r="B234" s="793" t="str">
        <f>+INDEX('①基本情報 '!C:C,MATCH('③経費情報(2024)'!E234,'①基本情報 '!E:E,0))</f>
        <v>224</v>
      </c>
      <c r="C234" s="794" t="str">
        <f>+INDEX('①基本情報 '!B:B,MATCH('③経費情報(2024)'!E234,'①基本情報 '!E:E,0))</f>
        <v>0881</v>
      </c>
      <c r="D234" s="809" t="s">
        <v>2415</v>
      </c>
      <c r="E234" s="616" t="s">
        <v>1421</v>
      </c>
      <c r="F234" s="616" t="str">
        <f>INDEX('①基本情報 '!F:F,MATCH('③経費情報(2024)'!E234,'①基本情報 '!E:E,0))</f>
        <v>都市交通部</v>
      </c>
      <c r="G234" s="863" t="s">
        <v>2653</v>
      </c>
      <c r="H234" s="210">
        <v>304</v>
      </c>
      <c r="I234" s="115">
        <v>3678.9498431626707</v>
      </c>
      <c r="J234" s="115"/>
      <c r="K234" s="236">
        <f t="shared" si="36"/>
        <v>3982.9498431626707</v>
      </c>
      <c r="L234" s="799"/>
      <c r="M234" s="799"/>
      <c r="N234" s="799"/>
      <c r="O234" s="799"/>
      <c r="P234" s="814">
        <v>6.4940221980664237E-2</v>
      </c>
      <c r="Q234" s="799">
        <v>9119</v>
      </c>
      <c r="R234" s="800"/>
      <c r="S234" s="799">
        <f t="shared" si="37"/>
        <v>592</v>
      </c>
      <c r="T234" s="800"/>
      <c r="U234" s="803"/>
      <c r="V234" s="799"/>
      <c r="W234" s="801">
        <f t="shared" si="38"/>
        <v>592</v>
      </c>
      <c r="X234" s="799">
        <v>16843</v>
      </c>
      <c r="Y234" s="799"/>
      <c r="Z234" s="803"/>
      <c r="AA234" s="799"/>
      <c r="AB234" s="801">
        <f t="shared" si="39"/>
        <v>16843</v>
      </c>
      <c r="AC234" s="799">
        <v>488.76061806499928</v>
      </c>
      <c r="AD234" s="799">
        <v>922.21951025383294</v>
      </c>
      <c r="AE234" s="800"/>
      <c r="AF234" s="804">
        <v>367</v>
      </c>
      <c r="AG234" s="799">
        <v>11634.177215189875</v>
      </c>
      <c r="AH234" s="800">
        <v>795.82533084094007</v>
      </c>
      <c r="AI234" s="800">
        <v>96.863467943790766</v>
      </c>
      <c r="AJ234" s="801">
        <f t="shared" si="35"/>
        <v>14304.846142293438</v>
      </c>
      <c r="AK234" s="800">
        <f t="shared" si="42"/>
        <v>151879.796</v>
      </c>
      <c r="AL234" s="800">
        <f t="shared" si="42"/>
        <v>95878.990999999995</v>
      </c>
      <c r="AM234" s="800">
        <f t="shared" si="42"/>
        <v>56000.805</v>
      </c>
      <c r="AN234" s="800">
        <f t="shared" si="42"/>
        <v>5105.5190000000002</v>
      </c>
      <c r="AO234" s="192">
        <f t="shared" si="41"/>
        <v>0.63128206334962422</v>
      </c>
      <c r="AP234" s="193">
        <f t="shared" si="43"/>
        <v>5697.5190000000002</v>
      </c>
      <c r="AQ234" s="193">
        <f t="shared" si="40"/>
        <v>-1714.5691568373295</v>
      </c>
      <c r="AR234" s="805"/>
      <c r="AS234" s="119"/>
      <c r="AT234" s="119"/>
      <c r="AU234" s="120"/>
      <c r="AV234" s="806"/>
      <c r="AW234" s="800">
        <v>151879796</v>
      </c>
      <c r="AX234" s="807">
        <v>95878991</v>
      </c>
      <c r="AY234" s="807">
        <v>56000805</v>
      </c>
      <c r="AZ234" s="807">
        <v>5105519</v>
      </c>
      <c r="BA234" s="196">
        <f t="shared" si="44"/>
        <v>0.63128206334962422</v>
      </c>
      <c r="BB234" s="210">
        <v>11050</v>
      </c>
      <c r="BC234" s="115">
        <v>0</v>
      </c>
      <c r="BD234" s="236">
        <v>0</v>
      </c>
    </row>
    <row r="235" spans="1:56" s="808" customFormat="1" ht="14.25" customHeight="1">
      <c r="A235" s="792">
        <v>2024</v>
      </c>
      <c r="B235" s="793" t="str">
        <f>+INDEX('①基本情報 '!C:C,MATCH('③経費情報(2024)'!E235,'①基本情報 '!E:E,0))</f>
        <v>225</v>
      </c>
      <c r="C235" s="794" t="str">
        <f>+INDEX('①基本情報 '!B:B,MATCH('③経費情報(2024)'!E235,'①基本情報 '!E:E,0))</f>
        <v>0882</v>
      </c>
      <c r="D235" s="809" t="s">
        <v>2415</v>
      </c>
      <c r="E235" s="616" t="s">
        <v>1428</v>
      </c>
      <c r="F235" s="616" t="str">
        <f>INDEX('①基本情報 '!F:F,MATCH('③経費情報(2024)'!E235,'①基本情報 '!E:E,0))</f>
        <v>都市交通部</v>
      </c>
      <c r="G235" s="863" t="s">
        <v>2653</v>
      </c>
      <c r="H235" s="210">
        <v>304</v>
      </c>
      <c r="I235" s="115">
        <v>4654.8737073454331</v>
      </c>
      <c r="J235" s="115"/>
      <c r="K235" s="236">
        <f t="shared" si="36"/>
        <v>4958.8737073454331</v>
      </c>
      <c r="L235" s="799"/>
      <c r="M235" s="799"/>
      <c r="N235" s="799"/>
      <c r="O235" s="799"/>
      <c r="P235" s="814">
        <v>8.2167070695126021E-2</v>
      </c>
      <c r="Q235" s="799">
        <v>9119</v>
      </c>
      <c r="R235" s="800"/>
      <c r="S235" s="799">
        <f t="shared" si="37"/>
        <v>749</v>
      </c>
      <c r="T235" s="800"/>
      <c r="U235" s="803"/>
      <c r="V235" s="799"/>
      <c r="W235" s="801">
        <f t="shared" si="38"/>
        <v>749</v>
      </c>
      <c r="X235" s="799">
        <v>15671</v>
      </c>
      <c r="Y235" s="799"/>
      <c r="Z235" s="803"/>
      <c r="AA235" s="799"/>
      <c r="AB235" s="801">
        <f t="shared" si="39"/>
        <v>15671</v>
      </c>
      <c r="AC235" s="799">
        <v>618.41532154752747</v>
      </c>
      <c r="AD235" s="799">
        <v>1166.8588955241528</v>
      </c>
      <c r="AE235" s="800"/>
      <c r="AF235" s="804">
        <v>52</v>
      </c>
      <c r="AG235" s="799">
        <v>8402.4613220815754</v>
      </c>
      <c r="AH235" s="800">
        <v>1006.9358284554286</v>
      </c>
      <c r="AI235" s="800">
        <v>122.55867281578271</v>
      </c>
      <c r="AJ235" s="801">
        <f t="shared" si="35"/>
        <v>11369.230040424467</v>
      </c>
      <c r="AK235" s="800">
        <f t="shared" si="42"/>
        <v>101090.982</v>
      </c>
      <c r="AL235" s="800">
        <f t="shared" si="42"/>
        <v>78574.701000000001</v>
      </c>
      <c r="AM235" s="800">
        <f t="shared" si="42"/>
        <v>22516.280999999999</v>
      </c>
      <c r="AN235" s="800">
        <f t="shared" si="42"/>
        <v>3748.672</v>
      </c>
      <c r="AO235" s="192">
        <f t="shared" si="41"/>
        <v>0.777267165136451</v>
      </c>
      <c r="AP235" s="193">
        <f t="shared" si="43"/>
        <v>4497.6720000000005</v>
      </c>
      <c r="AQ235" s="193">
        <f t="shared" si="40"/>
        <v>461.20170734543262</v>
      </c>
      <c r="AR235" s="805"/>
      <c r="AS235" s="119"/>
      <c r="AT235" s="119"/>
      <c r="AU235" s="120"/>
      <c r="AV235" s="806"/>
      <c r="AW235" s="800">
        <v>101090982</v>
      </c>
      <c r="AX235" s="807">
        <v>78574701</v>
      </c>
      <c r="AY235" s="807">
        <v>22516281</v>
      </c>
      <c r="AZ235" s="807">
        <v>3748672</v>
      </c>
      <c r="BA235" s="196">
        <f t="shared" si="44"/>
        <v>0.777267165136451</v>
      </c>
      <c r="BB235" s="210">
        <v>27282</v>
      </c>
      <c r="BC235" s="115">
        <v>0</v>
      </c>
      <c r="BD235" s="236">
        <v>0</v>
      </c>
    </row>
    <row r="236" spans="1:56" s="808" customFormat="1" ht="14.25" customHeight="1">
      <c r="A236" s="792">
        <v>2024</v>
      </c>
      <c r="B236" s="793" t="str">
        <f>+INDEX('①基本情報 '!C:C,MATCH('③経費情報(2024)'!E236,'①基本情報 '!E:E,0))</f>
        <v>226</v>
      </c>
      <c r="C236" s="794" t="str">
        <f>+INDEX('①基本情報 '!B:B,MATCH('③経費情報(2024)'!E236,'①基本情報 '!E:E,0))</f>
        <v>0884</v>
      </c>
      <c r="D236" s="809" t="s">
        <v>2415</v>
      </c>
      <c r="E236" s="616" t="s">
        <v>1431</v>
      </c>
      <c r="F236" s="616" t="str">
        <f>INDEX('①基本情報 '!F:F,MATCH('③経費情報(2024)'!E236,'①基本情報 '!E:E,0))</f>
        <v>都市交通部</v>
      </c>
      <c r="G236" s="863" t="s">
        <v>2653</v>
      </c>
      <c r="H236" s="210"/>
      <c r="I236" s="115">
        <v>5229.0377598706491</v>
      </c>
      <c r="J236" s="115"/>
      <c r="K236" s="236">
        <f t="shared" si="36"/>
        <v>5229.0377598706491</v>
      </c>
      <c r="L236" s="799"/>
      <c r="M236" s="799"/>
      <c r="N236" s="799"/>
      <c r="O236" s="799"/>
      <c r="P236" s="814">
        <v>9.230212080829947E-2</v>
      </c>
      <c r="Q236" s="799">
        <v>9119</v>
      </c>
      <c r="R236" s="800"/>
      <c r="S236" s="799">
        <f t="shared" si="37"/>
        <v>842</v>
      </c>
      <c r="T236" s="800"/>
      <c r="U236" s="803"/>
      <c r="V236" s="799"/>
      <c r="W236" s="801">
        <f t="shared" si="38"/>
        <v>842</v>
      </c>
      <c r="X236" s="799">
        <v>10170</v>
      </c>
      <c r="Y236" s="799"/>
      <c r="Z236" s="803"/>
      <c r="AA236" s="799"/>
      <c r="AB236" s="801">
        <f t="shared" si="39"/>
        <v>10170</v>
      </c>
      <c r="AC236" s="799">
        <v>694.69490924141189</v>
      </c>
      <c r="AD236" s="799">
        <v>1310.7872756050192</v>
      </c>
      <c r="AE236" s="800"/>
      <c r="AF236" s="804">
        <v>53</v>
      </c>
      <c r="AG236" s="799">
        <v>6689.651898734176</v>
      </c>
      <c r="AH236" s="800">
        <v>1131.1382004739185</v>
      </c>
      <c r="AI236" s="800">
        <v>137.67590019511616</v>
      </c>
      <c r="AJ236" s="801">
        <f t="shared" si="35"/>
        <v>10016.948184249643</v>
      </c>
      <c r="AK236" s="800">
        <f t="shared" si="42"/>
        <v>426731.81199999998</v>
      </c>
      <c r="AL236" s="800">
        <f t="shared" si="42"/>
        <v>390369.94099999999</v>
      </c>
      <c r="AM236" s="800">
        <f t="shared" si="42"/>
        <v>36361.870999999999</v>
      </c>
      <c r="AN236" s="800">
        <f t="shared" si="42"/>
        <v>3509.6439999999998</v>
      </c>
      <c r="AO236" s="192">
        <f t="shared" si="41"/>
        <v>0.91478987509841425</v>
      </c>
      <c r="AP236" s="193">
        <f t="shared" si="43"/>
        <v>4351.6440000000002</v>
      </c>
      <c r="AQ236" s="193">
        <f t="shared" si="40"/>
        <v>877.39375987064886</v>
      </c>
      <c r="AR236" s="805"/>
      <c r="AS236" s="119"/>
      <c r="AT236" s="119"/>
      <c r="AU236" s="120"/>
      <c r="AV236" s="806"/>
      <c r="AW236" s="800">
        <v>426731812</v>
      </c>
      <c r="AX236" s="807">
        <v>390369941</v>
      </c>
      <c r="AY236" s="807">
        <v>36361871</v>
      </c>
      <c r="AZ236" s="807">
        <v>3509644</v>
      </c>
      <c r="BA236" s="196">
        <f t="shared" si="44"/>
        <v>0.91478987509841425</v>
      </c>
      <c r="BB236" s="210">
        <v>29729</v>
      </c>
      <c r="BC236" s="115">
        <v>0</v>
      </c>
      <c r="BD236" s="236">
        <v>0</v>
      </c>
    </row>
    <row r="237" spans="1:56" s="808" customFormat="1" ht="14.25" customHeight="1">
      <c r="A237" s="792">
        <v>2024</v>
      </c>
      <c r="B237" s="793" t="str">
        <f>+INDEX('①基本情報 '!C:C,MATCH('③経費情報(2024)'!E237,'①基本情報 '!E:E,0))</f>
        <v>227</v>
      </c>
      <c r="C237" s="794" t="str">
        <f>+INDEX('①基本情報 '!B:B,MATCH('③経費情報(2024)'!E237,'①基本情報 '!E:E,0))</f>
        <v>0885</v>
      </c>
      <c r="D237" s="809" t="s">
        <v>2415</v>
      </c>
      <c r="E237" s="616" t="s">
        <v>2006</v>
      </c>
      <c r="F237" s="616" t="str">
        <f>INDEX('①基本情報 '!F:F,MATCH('③経費情報(2024)'!E237,'①基本情報 '!E:E,0))</f>
        <v>都市交通部</v>
      </c>
      <c r="G237" s="863" t="s">
        <v>2653</v>
      </c>
      <c r="H237" s="210"/>
      <c r="I237" s="115">
        <v>12043.207270548979</v>
      </c>
      <c r="J237" s="115"/>
      <c r="K237" s="236">
        <f t="shared" si="36"/>
        <v>12043.207270548979</v>
      </c>
      <c r="L237" s="799"/>
      <c r="M237" s="799"/>
      <c r="N237" s="799"/>
      <c r="O237" s="799"/>
      <c r="P237" s="814">
        <v>0.21258472848226292</v>
      </c>
      <c r="Q237" s="799">
        <v>9119</v>
      </c>
      <c r="R237" s="800"/>
      <c r="S237" s="799">
        <f t="shared" si="37"/>
        <v>1939</v>
      </c>
      <c r="T237" s="800"/>
      <c r="U237" s="803"/>
      <c r="V237" s="799"/>
      <c r="W237" s="801">
        <f t="shared" si="38"/>
        <v>1939</v>
      </c>
      <c r="X237" s="799">
        <v>41417</v>
      </c>
      <c r="Y237" s="799"/>
      <c r="Z237" s="803"/>
      <c r="AA237" s="799"/>
      <c r="AB237" s="801">
        <f t="shared" si="39"/>
        <v>41417</v>
      </c>
      <c r="AC237" s="799">
        <v>1599.9797985770315</v>
      </c>
      <c r="AD237" s="799">
        <v>3018.9269178465361</v>
      </c>
      <c r="AE237" s="800"/>
      <c r="AF237" s="804">
        <v>466</v>
      </c>
      <c r="AG237" s="799">
        <v>18420.780590717299</v>
      </c>
      <c r="AH237" s="800">
        <v>2605.1699042005316</v>
      </c>
      <c r="AI237" s="800">
        <v>317.08690553617532</v>
      </c>
      <c r="AJ237" s="801">
        <f t="shared" si="35"/>
        <v>26427.944116877574</v>
      </c>
      <c r="AK237" s="800">
        <f t="shared" si="42"/>
        <v>29734.399000000001</v>
      </c>
      <c r="AL237" s="800">
        <f t="shared" si="42"/>
        <v>19816.54</v>
      </c>
      <c r="AM237" s="800">
        <f t="shared" si="42"/>
        <v>9917.8590000000004</v>
      </c>
      <c r="AN237" s="800">
        <f t="shared" si="42"/>
        <v>186.98599999999999</v>
      </c>
      <c r="AO237" s="192">
        <f t="shared" si="41"/>
        <v>0.66645167437216402</v>
      </c>
      <c r="AP237" s="193">
        <f t="shared" si="43"/>
        <v>2125.9859999999999</v>
      </c>
      <c r="AQ237" s="193">
        <f t="shared" si="40"/>
        <v>9917.2212705489801</v>
      </c>
      <c r="AR237" s="805"/>
      <c r="AS237" s="119"/>
      <c r="AT237" s="119"/>
      <c r="AU237" s="120"/>
      <c r="AV237" s="806"/>
      <c r="AW237" s="800">
        <v>29734399</v>
      </c>
      <c r="AX237" s="807">
        <v>19816540</v>
      </c>
      <c r="AY237" s="807">
        <v>9917859</v>
      </c>
      <c r="AZ237" s="807">
        <v>186986</v>
      </c>
      <c r="BA237" s="196">
        <f t="shared" si="44"/>
        <v>0.66645167437216402</v>
      </c>
      <c r="BB237" s="210">
        <v>12765</v>
      </c>
      <c r="BC237" s="115">
        <v>0</v>
      </c>
      <c r="BD237" s="236">
        <v>0</v>
      </c>
    </row>
    <row r="238" spans="1:56" s="808" customFormat="1" ht="14.25" customHeight="1">
      <c r="A238" s="792">
        <v>2024</v>
      </c>
      <c r="B238" s="793" t="str">
        <f>+INDEX('①基本情報 '!C:C,MATCH('③経費情報(2024)'!E238,'①基本情報 '!E:E,0))</f>
        <v>228</v>
      </c>
      <c r="C238" s="794" t="str">
        <f>+INDEX('①基本情報 '!B:B,MATCH('③経費情報(2024)'!E238,'①基本情報 '!E:E,0))</f>
        <v>0886</v>
      </c>
      <c r="D238" s="809" t="s">
        <v>2415</v>
      </c>
      <c r="E238" s="616" t="s">
        <v>2009</v>
      </c>
      <c r="F238" s="616" t="str">
        <f>INDEX('①基本情報 '!F:F,MATCH('③経費情報(2024)'!E238,'①基本情報 '!E:E,0))</f>
        <v>都市交通部</v>
      </c>
      <c r="G238" s="863" t="s">
        <v>2653</v>
      </c>
      <c r="H238" s="210"/>
      <c r="I238" s="115">
        <v>1432.3504251925767</v>
      </c>
      <c r="J238" s="115"/>
      <c r="K238" s="236">
        <f t="shared" si="36"/>
        <v>1432.3504251925767</v>
      </c>
      <c r="L238" s="799"/>
      <c r="M238" s="799"/>
      <c r="N238" s="799"/>
      <c r="O238" s="799">
        <v>104.5</v>
      </c>
      <c r="P238" s="814">
        <v>2.5283615850044041E-2</v>
      </c>
      <c r="Q238" s="799">
        <v>9119</v>
      </c>
      <c r="R238" s="800"/>
      <c r="S238" s="799">
        <f t="shared" si="37"/>
        <v>231</v>
      </c>
      <c r="T238" s="800"/>
      <c r="U238" s="803"/>
      <c r="V238" s="799"/>
      <c r="W238" s="801">
        <f t="shared" si="38"/>
        <v>335.5</v>
      </c>
      <c r="X238" s="799">
        <v>7646</v>
      </c>
      <c r="Y238" s="799"/>
      <c r="Z238" s="803"/>
      <c r="AA238" s="799"/>
      <c r="AB238" s="801">
        <f t="shared" si="39"/>
        <v>7646</v>
      </c>
      <c r="AC238" s="799">
        <v>190.29247718717357</v>
      </c>
      <c r="AD238" s="799">
        <v>359.0539594030991</v>
      </c>
      <c r="AE238" s="800"/>
      <c r="AF238" s="804">
        <v>308</v>
      </c>
      <c r="AG238" s="799">
        <v>743.29465541490868</v>
      </c>
      <c r="AH238" s="800">
        <v>309.84405865917131</v>
      </c>
      <c r="AI238" s="800">
        <v>37.71250911527622</v>
      </c>
      <c r="AJ238" s="801">
        <f t="shared" si="35"/>
        <v>1948.1976597796288</v>
      </c>
      <c r="AK238" s="800">
        <f t="shared" si="42"/>
        <v>0</v>
      </c>
      <c r="AL238" s="800">
        <f t="shared" si="42"/>
        <v>0</v>
      </c>
      <c r="AM238" s="800">
        <f t="shared" si="42"/>
        <v>0</v>
      </c>
      <c r="AN238" s="800">
        <f t="shared" si="42"/>
        <v>0</v>
      </c>
      <c r="AO238" s="192" t="str">
        <f t="shared" si="41"/>
        <v>-</v>
      </c>
      <c r="AP238" s="193">
        <f t="shared" si="43"/>
        <v>335.5</v>
      </c>
      <c r="AQ238" s="193">
        <f t="shared" si="40"/>
        <v>1096.8504251925767</v>
      </c>
      <c r="AR238" s="864"/>
      <c r="AS238" s="119"/>
      <c r="AT238" s="119"/>
      <c r="AU238" s="120"/>
      <c r="AV238" s="806"/>
      <c r="AW238" s="800">
        <v>0</v>
      </c>
      <c r="AX238" s="807">
        <v>0</v>
      </c>
      <c r="AY238" s="807">
        <v>0</v>
      </c>
      <c r="AZ238" s="807">
        <v>0</v>
      </c>
      <c r="BA238" s="196" t="s">
        <v>1966</v>
      </c>
      <c r="BB238" s="210">
        <v>1807</v>
      </c>
      <c r="BC238" s="115">
        <v>0</v>
      </c>
      <c r="BD238" s="236">
        <v>0</v>
      </c>
    </row>
    <row r="239" spans="1:56" s="808" customFormat="1" ht="14.25" customHeight="1">
      <c r="A239" s="792">
        <v>2024</v>
      </c>
      <c r="B239" s="793" t="str">
        <f>+INDEX('①基本情報 '!C:C,MATCH('③経費情報(2024)'!E239,'①基本情報 '!E:E,0))</f>
        <v>229</v>
      </c>
      <c r="C239" s="794" t="str">
        <f>+INDEX('①基本情報 '!B:B,MATCH('③経費情報(2024)'!E239,'①基本情報 '!E:E,0))</f>
        <v>0887</v>
      </c>
      <c r="D239" s="809" t="s">
        <v>2415</v>
      </c>
      <c r="E239" s="616" t="s">
        <v>1438</v>
      </c>
      <c r="F239" s="616" t="str">
        <f>INDEX('①基本情報 '!F:F,MATCH('③経費情報(2024)'!E239,'①基本情報 '!E:E,0))</f>
        <v>都市交通部</v>
      </c>
      <c r="G239" s="863" t="s">
        <v>2653</v>
      </c>
      <c r="H239" s="210"/>
      <c r="I239" s="115">
        <v>5317.0349078951549</v>
      </c>
      <c r="J239" s="115"/>
      <c r="K239" s="236">
        <f t="shared" si="36"/>
        <v>5317.0349078951549</v>
      </c>
      <c r="L239" s="799"/>
      <c r="M239" s="799"/>
      <c r="N239" s="799"/>
      <c r="O239" s="799"/>
      <c r="P239" s="814">
        <v>9.385543209820392E-2</v>
      </c>
      <c r="Q239" s="799">
        <v>9119</v>
      </c>
      <c r="R239" s="800"/>
      <c r="S239" s="799">
        <f t="shared" si="37"/>
        <v>856</v>
      </c>
      <c r="T239" s="800"/>
      <c r="U239" s="803"/>
      <c r="V239" s="799"/>
      <c r="W239" s="801">
        <f t="shared" si="38"/>
        <v>856</v>
      </c>
      <c r="X239" s="799">
        <v>16055</v>
      </c>
      <c r="Y239" s="799"/>
      <c r="Z239" s="803"/>
      <c r="AA239" s="799"/>
      <c r="AB239" s="801">
        <f t="shared" si="39"/>
        <v>16055</v>
      </c>
      <c r="AC239" s="799">
        <v>706.38562052858742</v>
      </c>
      <c r="AD239" s="799">
        <v>1332.845930986178</v>
      </c>
      <c r="AE239" s="800"/>
      <c r="AF239" s="804">
        <v>171</v>
      </c>
      <c r="AG239" s="799">
        <v>9275.0246132208158</v>
      </c>
      <c r="AH239" s="800">
        <v>1150.1736215655685</v>
      </c>
      <c r="AI239" s="800">
        <v>139.99278661384733</v>
      </c>
      <c r="AJ239" s="801">
        <f t="shared" si="35"/>
        <v>12775.422572914998</v>
      </c>
      <c r="AK239" s="800">
        <f t="shared" si="42"/>
        <v>33589.159</v>
      </c>
      <c r="AL239" s="800">
        <f t="shared" si="42"/>
        <v>22308.701000000001</v>
      </c>
      <c r="AM239" s="800">
        <f t="shared" si="42"/>
        <v>11280.458000000001</v>
      </c>
      <c r="AN239" s="800">
        <f t="shared" si="42"/>
        <v>495.529</v>
      </c>
      <c r="AO239" s="192">
        <f t="shared" si="41"/>
        <v>0.66416372615938379</v>
      </c>
      <c r="AP239" s="193">
        <f t="shared" si="43"/>
        <v>1351.529</v>
      </c>
      <c r="AQ239" s="193">
        <f t="shared" si="40"/>
        <v>3965.5059078951549</v>
      </c>
      <c r="AR239" s="805"/>
      <c r="AS239" s="119"/>
      <c r="AT239" s="119"/>
      <c r="AU239" s="120"/>
      <c r="AV239" s="806"/>
      <c r="AW239" s="800">
        <v>33589159</v>
      </c>
      <c r="AX239" s="807">
        <v>22308701</v>
      </c>
      <c r="AY239" s="807">
        <v>11280458</v>
      </c>
      <c r="AZ239" s="807">
        <v>495529</v>
      </c>
      <c r="BA239" s="196">
        <f>AX239/AW239</f>
        <v>0.66416372615938379</v>
      </c>
      <c r="BB239" s="210">
        <v>4840</v>
      </c>
      <c r="BC239" s="115">
        <v>0</v>
      </c>
      <c r="BD239" s="236">
        <v>0</v>
      </c>
    </row>
    <row r="240" spans="1:56" s="808" customFormat="1" ht="14.25" customHeight="1">
      <c r="A240" s="792">
        <v>2024</v>
      </c>
      <c r="B240" s="793" t="str">
        <f>+INDEX('①基本情報 '!C:C,MATCH('③経費情報(2024)'!E240,'①基本情報 '!E:E,0))</f>
        <v>230</v>
      </c>
      <c r="C240" s="794" t="str">
        <f>+INDEX('①基本情報 '!B:B,MATCH('③経費情報(2024)'!E240,'①基本情報 '!E:E,0))</f>
        <v>0888</v>
      </c>
      <c r="D240" s="809" t="s">
        <v>2415</v>
      </c>
      <c r="E240" s="616" t="s">
        <v>2012</v>
      </c>
      <c r="F240" s="616" t="str">
        <f>INDEX('①基本情報 '!F:F,MATCH('③経費情報(2024)'!E240,'①基本情報 '!E:E,0))</f>
        <v>都市交通部</v>
      </c>
      <c r="G240" s="863" t="s">
        <v>2653</v>
      </c>
      <c r="H240" s="210"/>
      <c r="I240" s="115">
        <v>5626.1876143066993</v>
      </c>
      <c r="J240" s="115"/>
      <c r="K240" s="236">
        <f t="shared" si="36"/>
        <v>5626.1876143066993</v>
      </c>
      <c r="L240" s="799"/>
      <c r="M240" s="799"/>
      <c r="N240" s="799"/>
      <c r="O240" s="799"/>
      <c r="P240" s="814">
        <v>9.9312545197367499E-2</v>
      </c>
      <c r="Q240" s="799">
        <v>9119</v>
      </c>
      <c r="R240" s="800"/>
      <c r="S240" s="799">
        <f t="shared" si="37"/>
        <v>906</v>
      </c>
      <c r="T240" s="800"/>
      <c r="U240" s="803"/>
      <c r="V240" s="799"/>
      <c r="W240" s="801">
        <f t="shared" si="38"/>
        <v>906</v>
      </c>
      <c r="X240" s="799">
        <v>11530</v>
      </c>
      <c r="Y240" s="799"/>
      <c r="Z240" s="803"/>
      <c r="AA240" s="799"/>
      <c r="AB240" s="801">
        <f t="shared" si="39"/>
        <v>11530</v>
      </c>
      <c r="AC240" s="799">
        <v>747.45757701176592</v>
      </c>
      <c r="AD240" s="799">
        <v>1410.3426813238789</v>
      </c>
      <c r="AE240" s="800"/>
      <c r="AF240" s="804">
        <v>182</v>
      </c>
      <c r="AG240" s="799">
        <v>7109.774964838256</v>
      </c>
      <c r="AH240" s="800">
        <v>1217.0491065134236</v>
      </c>
      <c r="AI240" s="800">
        <v>148.13250162596816</v>
      </c>
      <c r="AJ240" s="801">
        <f t="shared" si="35"/>
        <v>10814.756831313292</v>
      </c>
      <c r="AK240" s="800">
        <f t="shared" si="42"/>
        <v>13209.68</v>
      </c>
      <c r="AL240" s="800">
        <f t="shared" si="42"/>
        <v>13097.601000000001</v>
      </c>
      <c r="AM240" s="800">
        <f t="shared" si="42"/>
        <v>112.07899999999999</v>
      </c>
      <c r="AN240" s="800">
        <f t="shared" si="42"/>
        <v>23.879000000000001</v>
      </c>
      <c r="AO240" s="192">
        <f t="shared" si="41"/>
        <v>0.99151538871494238</v>
      </c>
      <c r="AP240" s="193">
        <f t="shared" si="43"/>
        <v>929.87900000000002</v>
      </c>
      <c r="AQ240" s="193">
        <f t="shared" si="40"/>
        <v>4696.3086143066994</v>
      </c>
      <c r="AR240" s="805"/>
      <c r="AS240" s="119"/>
      <c r="AT240" s="119"/>
      <c r="AU240" s="120"/>
      <c r="AV240" s="806"/>
      <c r="AW240" s="800">
        <v>13209680</v>
      </c>
      <c r="AX240" s="807">
        <v>13097601</v>
      </c>
      <c r="AY240" s="807">
        <v>112079</v>
      </c>
      <c r="AZ240" s="807">
        <v>23879</v>
      </c>
      <c r="BA240" s="196">
        <f>AX240/AW240</f>
        <v>0.99151538871494238</v>
      </c>
      <c r="BB240" s="210">
        <v>3298</v>
      </c>
      <c r="BC240" s="115">
        <v>0</v>
      </c>
      <c r="BD240" s="236">
        <v>0</v>
      </c>
    </row>
    <row r="241" spans="1:56" s="808" customFormat="1" ht="14.25" customHeight="1">
      <c r="A241" s="792">
        <v>2024</v>
      </c>
      <c r="B241" s="793" t="str">
        <f>+INDEX('①基本情報 '!C:C,MATCH('③経費情報(2024)'!E241,'①基本情報 '!E:E,0))</f>
        <v>231</v>
      </c>
      <c r="C241" s="794" t="str">
        <f>+INDEX('①基本情報 '!B:B,MATCH('③経費情報(2024)'!E241,'①基本情報 '!E:E,0))</f>
        <v>0890</v>
      </c>
      <c r="D241" s="809" t="s">
        <v>2415</v>
      </c>
      <c r="E241" s="616" t="s">
        <v>2015</v>
      </c>
      <c r="F241" s="616" t="str">
        <f>INDEX('①基本情報 '!F:F,MATCH('③経費情報(2024)'!E241,'①基本情報 '!E:E,0))</f>
        <v>都市交通部</v>
      </c>
      <c r="G241" s="863" t="s">
        <v>2653</v>
      </c>
      <c r="H241" s="210"/>
      <c r="I241" s="115">
        <v>3078.7170944911131</v>
      </c>
      <c r="J241" s="115"/>
      <c r="K241" s="236">
        <f t="shared" si="36"/>
        <v>3078.7170944911131</v>
      </c>
      <c r="L241" s="799"/>
      <c r="M241" s="799"/>
      <c r="N241" s="799"/>
      <c r="O241" s="799">
        <v>242</v>
      </c>
      <c r="P241" s="814">
        <v>5.4345011499271526E-2</v>
      </c>
      <c r="Q241" s="799">
        <v>9119</v>
      </c>
      <c r="R241" s="800"/>
      <c r="S241" s="799">
        <f t="shared" si="37"/>
        <v>496</v>
      </c>
      <c r="T241" s="800"/>
      <c r="U241" s="803"/>
      <c r="V241" s="799"/>
      <c r="W241" s="801">
        <f t="shared" si="38"/>
        <v>738</v>
      </c>
      <c r="X241" s="799">
        <v>9963</v>
      </c>
      <c r="Y241" s="799"/>
      <c r="Z241" s="803"/>
      <c r="AA241" s="799"/>
      <c r="AB241" s="801">
        <f t="shared" si="39"/>
        <v>9963</v>
      </c>
      <c r="AC241" s="799">
        <v>409.01771812609621</v>
      </c>
      <c r="AD241" s="799">
        <v>771.75636856491803</v>
      </c>
      <c r="AE241" s="800"/>
      <c r="AF241" s="804">
        <v>1071</v>
      </c>
      <c r="AG241" s="799">
        <v>743.29465541490868</v>
      </c>
      <c r="AH241" s="800">
        <v>665.98381460475696</v>
      </c>
      <c r="AI241" s="800">
        <v>81.059875046808159</v>
      </c>
      <c r="AJ241" s="801">
        <f t="shared" si="35"/>
        <v>3742.1124317574877</v>
      </c>
      <c r="AK241" s="800">
        <f t="shared" si="42"/>
        <v>46781.415000000001</v>
      </c>
      <c r="AL241" s="800">
        <f t="shared" si="42"/>
        <v>33111.779000000002</v>
      </c>
      <c r="AM241" s="800">
        <f t="shared" si="42"/>
        <v>13669.636</v>
      </c>
      <c r="AN241" s="800">
        <f t="shared" si="42"/>
        <v>402.94499999999999</v>
      </c>
      <c r="AO241" s="192">
        <f t="shared" si="41"/>
        <v>0.70779772266401086</v>
      </c>
      <c r="AP241" s="193">
        <f t="shared" si="43"/>
        <v>1140.9449999999999</v>
      </c>
      <c r="AQ241" s="193">
        <f t="shared" si="40"/>
        <v>1937.7720944911132</v>
      </c>
      <c r="AR241" s="805"/>
      <c r="AS241" s="119"/>
      <c r="AT241" s="119"/>
      <c r="AU241" s="120"/>
      <c r="AV241" s="806"/>
      <c r="AW241" s="800">
        <v>46781415</v>
      </c>
      <c r="AX241" s="807">
        <v>33111779</v>
      </c>
      <c r="AY241" s="807">
        <v>13669636</v>
      </c>
      <c r="AZ241" s="807">
        <v>402945</v>
      </c>
      <c r="BA241" s="196">
        <f>AX241/AW241</f>
        <v>0.70779772266401086</v>
      </c>
      <c r="BB241" s="210">
        <v>3815</v>
      </c>
      <c r="BC241" s="115">
        <v>0</v>
      </c>
      <c r="BD241" s="236">
        <v>0</v>
      </c>
    </row>
    <row r="242" spans="1:56" s="808" customFormat="1" ht="14.25" customHeight="1">
      <c r="A242" s="792">
        <v>2024</v>
      </c>
      <c r="B242" s="793" t="str">
        <f>+INDEX('①基本情報 '!C:C,MATCH('③経費情報(2024)'!E242,'①基本情報 '!E:E,0))</f>
        <v>232</v>
      </c>
      <c r="C242" s="794" t="str">
        <f>+INDEX('①基本情報 '!B:B,MATCH('③経費情報(2024)'!E242,'①基本情報 '!E:E,0))</f>
        <v>0891</v>
      </c>
      <c r="D242" s="809" t="s">
        <v>2415</v>
      </c>
      <c r="E242" s="616" t="s">
        <v>1447</v>
      </c>
      <c r="F242" s="616" t="str">
        <f>INDEX('①基本情報 '!F:F,MATCH('③経費情報(2024)'!E242,'①基本情報 '!E:E,0))</f>
        <v>都市交通部</v>
      </c>
      <c r="G242" s="863" t="s">
        <v>2653</v>
      </c>
      <c r="H242" s="210">
        <v>17</v>
      </c>
      <c r="I242" s="115">
        <v>12418.983834603028</v>
      </c>
      <c r="J242" s="115">
        <v>271</v>
      </c>
      <c r="K242" s="236">
        <f t="shared" si="36"/>
        <v>12706.983834603028</v>
      </c>
      <c r="L242" s="799"/>
      <c r="M242" s="799"/>
      <c r="N242" s="799"/>
      <c r="O242" s="799">
        <v>2552</v>
      </c>
      <c r="P242" s="814">
        <v>0.21777395479429415</v>
      </c>
      <c r="Q242" s="799">
        <v>9119</v>
      </c>
      <c r="R242" s="800"/>
      <c r="S242" s="799">
        <f t="shared" si="37"/>
        <v>1986</v>
      </c>
      <c r="T242" s="800">
        <v>37.713000000000001</v>
      </c>
      <c r="U242" s="803"/>
      <c r="V242" s="799"/>
      <c r="W242" s="801">
        <f t="shared" si="38"/>
        <v>4575.7129999999997</v>
      </c>
      <c r="X242" s="799">
        <v>37065</v>
      </c>
      <c r="Y242" s="799"/>
      <c r="Z242" s="803"/>
      <c r="AA242" s="799"/>
      <c r="AB242" s="801">
        <f t="shared" si="39"/>
        <v>37065</v>
      </c>
      <c r="AC242" s="799">
        <v>1639.0355545044245</v>
      </c>
      <c r="AD242" s="799">
        <v>3092.6193938208658</v>
      </c>
      <c r="AE242" s="800"/>
      <c r="AF242" s="804">
        <v>426</v>
      </c>
      <c r="AG242" s="799">
        <v>22848.231364275667</v>
      </c>
      <c r="AH242" s="800">
        <v>2668.7625070686026</v>
      </c>
      <c r="AI242" s="800">
        <v>324.82704625633141</v>
      </c>
      <c r="AJ242" s="801">
        <f t="shared" si="35"/>
        <v>30999.475865925888</v>
      </c>
      <c r="AK242" s="800">
        <f t="shared" si="42"/>
        <v>1062910.477</v>
      </c>
      <c r="AL242" s="800">
        <f t="shared" si="42"/>
        <v>686232.821</v>
      </c>
      <c r="AM242" s="800">
        <f t="shared" si="42"/>
        <v>376677.65600000002</v>
      </c>
      <c r="AN242" s="800">
        <f t="shared" si="42"/>
        <v>30524.672999999999</v>
      </c>
      <c r="AO242" s="192">
        <f t="shared" si="41"/>
        <v>0.64561676251122324</v>
      </c>
      <c r="AP242" s="193">
        <f t="shared" si="43"/>
        <v>35100.385999999999</v>
      </c>
      <c r="AQ242" s="193">
        <f t="shared" si="40"/>
        <v>-22393.402165396968</v>
      </c>
      <c r="AR242" s="805"/>
      <c r="AS242" s="119"/>
      <c r="AT242" s="119"/>
      <c r="AU242" s="120"/>
      <c r="AV242" s="806"/>
      <c r="AW242" s="800">
        <v>1062910477</v>
      </c>
      <c r="AX242" s="807">
        <v>686232821</v>
      </c>
      <c r="AY242" s="807">
        <v>376677656</v>
      </c>
      <c r="AZ242" s="807">
        <v>30524673</v>
      </c>
      <c r="BA242" s="196">
        <f>AX242/AW242</f>
        <v>0.64561676251122324</v>
      </c>
      <c r="BB242" s="210">
        <v>143774</v>
      </c>
      <c r="BC242" s="115">
        <v>0</v>
      </c>
      <c r="BD242" s="236">
        <v>0</v>
      </c>
    </row>
    <row r="243" spans="1:56" s="808" customFormat="1" ht="14.25" customHeight="1">
      <c r="A243" s="792">
        <v>2024</v>
      </c>
      <c r="B243" s="793" t="str">
        <f>+INDEX('①基本情報 '!C:C,MATCH('③経費情報(2024)'!E243,'①基本情報 '!E:E,0))</f>
        <v>233</v>
      </c>
      <c r="C243" s="794" t="str">
        <f>+INDEX('①基本情報 '!B:B,MATCH('③経費情報(2024)'!E243,'①基本情報 '!E:E,0))</f>
        <v>0019</v>
      </c>
      <c r="D243" s="809" t="s">
        <v>2415</v>
      </c>
      <c r="E243" s="616" t="s">
        <v>2071</v>
      </c>
      <c r="F243" s="616" t="str">
        <f>INDEX('①基本情報 '!F:F,MATCH('③経費情報(2024)'!E243,'①基本情報 '!E:E,0))</f>
        <v>都市交通部</v>
      </c>
      <c r="G243" s="863" t="s">
        <v>2653</v>
      </c>
      <c r="H243" s="210"/>
      <c r="I243" s="115">
        <v>0</v>
      </c>
      <c r="J243" s="115"/>
      <c r="K243" s="236">
        <f t="shared" si="36"/>
        <v>0</v>
      </c>
      <c r="L243" s="799">
        <v>20</v>
      </c>
      <c r="M243" s="799"/>
      <c r="N243" s="800"/>
      <c r="O243" s="799">
        <v>110</v>
      </c>
      <c r="P243" s="802">
        <v>0</v>
      </c>
      <c r="Q243" s="799">
        <v>9119</v>
      </c>
      <c r="R243" s="800"/>
      <c r="S243" s="799">
        <f t="shared" si="37"/>
        <v>0</v>
      </c>
      <c r="T243" s="800"/>
      <c r="U243" s="803"/>
      <c r="V243" s="799"/>
      <c r="W243" s="801">
        <f t="shared" si="38"/>
        <v>130</v>
      </c>
      <c r="X243" s="799"/>
      <c r="Y243" s="799"/>
      <c r="Z243" s="803"/>
      <c r="AA243" s="799"/>
      <c r="AB243" s="801">
        <f t="shared" si="39"/>
        <v>0</v>
      </c>
      <c r="AC243" s="799"/>
      <c r="AD243" s="799"/>
      <c r="AE243" s="799"/>
      <c r="AF243" s="804"/>
      <c r="AG243" s="799"/>
      <c r="AH243" s="799"/>
      <c r="AI243" s="799"/>
      <c r="AJ243" s="801">
        <f t="shared" si="35"/>
        <v>0</v>
      </c>
      <c r="AK243" s="800">
        <f t="shared" si="42"/>
        <v>0</v>
      </c>
      <c r="AL243" s="800">
        <f t="shared" si="42"/>
        <v>0</v>
      </c>
      <c r="AM243" s="800">
        <f t="shared" si="42"/>
        <v>0</v>
      </c>
      <c r="AN243" s="800">
        <f t="shared" si="42"/>
        <v>0</v>
      </c>
      <c r="AO243" s="192" t="str">
        <f t="shared" si="41"/>
        <v>-</v>
      </c>
      <c r="AP243" s="193">
        <f t="shared" si="43"/>
        <v>130</v>
      </c>
      <c r="AQ243" s="193">
        <f t="shared" si="40"/>
        <v>-130</v>
      </c>
      <c r="AR243" s="805"/>
      <c r="AS243" s="119"/>
      <c r="AT243" s="119"/>
      <c r="AU243" s="120"/>
      <c r="AV243" s="806"/>
      <c r="AW243" s="800">
        <v>0</v>
      </c>
      <c r="AX243" s="807">
        <v>0</v>
      </c>
      <c r="AY243" s="807">
        <v>0</v>
      </c>
      <c r="AZ243" s="807">
        <v>0</v>
      </c>
      <c r="BA243" s="196" t="s">
        <v>1966</v>
      </c>
      <c r="BB243" s="210"/>
      <c r="BC243" s="115"/>
      <c r="BD243" s="236"/>
    </row>
    <row r="244" spans="1:56" s="808" customFormat="1" ht="14.25" customHeight="1">
      <c r="A244" s="792">
        <v>2024</v>
      </c>
      <c r="B244" s="793" t="str">
        <f>+INDEX('①基本情報 '!C:C,MATCH('③経費情報(2024)'!E244,'①基本情報 '!E:E,0))</f>
        <v>234</v>
      </c>
      <c r="C244" s="794" t="str">
        <f>+INDEX('①基本情報 '!B:B,MATCH('③経費情報(2024)'!E244,'①基本情報 '!E:E,0))</f>
        <v>0297</v>
      </c>
      <c r="D244" s="809" t="s">
        <v>2415</v>
      </c>
      <c r="E244" s="616" t="s">
        <v>1455</v>
      </c>
      <c r="F244" s="616" t="str">
        <f>INDEX('①基本情報 '!F:F,MATCH('③経費情報(2024)'!E244,'①基本情報 '!E:E,0))</f>
        <v>市民自治部</v>
      </c>
      <c r="G244" s="865" t="s">
        <v>2328</v>
      </c>
      <c r="H244" s="810">
        <v>350</v>
      </c>
      <c r="I244" s="799">
        <v>318</v>
      </c>
      <c r="J244" s="800"/>
      <c r="K244" s="801">
        <f t="shared" si="36"/>
        <v>668</v>
      </c>
      <c r="L244" s="799">
        <v>93</v>
      </c>
      <c r="M244" s="799">
        <v>383</v>
      </c>
      <c r="N244" s="800"/>
      <c r="O244" s="799">
        <v>440</v>
      </c>
      <c r="P244" s="802"/>
      <c r="Q244" s="799">
        <v>9119</v>
      </c>
      <c r="R244" s="800">
        <v>6116</v>
      </c>
      <c r="S244" s="799">
        <f t="shared" si="37"/>
        <v>6116</v>
      </c>
      <c r="T244" s="800">
        <v>25190</v>
      </c>
      <c r="U244" s="803"/>
      <c r="V244" s="799"/>
      <c r="W244" s="801">
        <f t="shared" si="38"/>
        <v>32222</v>
      </c>
      <c r="X244" s="799"/>
      <c r="Y244" s="799"/>
      <c r="Z244" s="803"/>
      <c r="AA244" s="799"/>
      <c r="AB244" s="801">
        <f t="shared" si="39"/>
        <v>0</v>
      </c>
      <c r="AC244" s="799"/>
      <c r="AD244" s="799"/>
      <c r="AE244" s="800"/>
      <c r="AF244" s="799"/>
      <c r="AG244" s="799"/>
      <c r="AH244" s="800"/>
      <c r="AI244" s="800"/>
      <c r="AJ244" s="801">
        <f t="shared" si="35"/>
        <v>0</v>
      </c>
      <c r="AK244" s="800">
        <f t="shared" si="42"/>
        <v>1866</v>
      </c>
      <c r="AL244" s="800">
        <f t="shared" si="42"/>
        <v>1369.4760000000001</v>
      </c>
      <c r="AM244" s="800">
        <f t="shared" si="42"/>
        <v>496.524</v>
      </c>
      <c r="AN244" s="800">
        <f t="shared" si="42"/>
        <v>74.171999999999997</v>
      </c>
      <c r="AO244" s="192">
        <f t="shared" si="41"/>
        <v>0.73390996784565921</v>
      </c>
      <c r="AP244" s="193">
        <f t="shared" si="43"/>
        <v>32296.171999999999</v>
      </c>
      <c r="AQ244" s="193">
        <f t="shared" si="40"/>
        <v>-31628.171999999999</v>
      </c>
      <c r="AR244" s="805"/>
      <c r="AS244" s="119"/>
      <c r="AT244" s="119"/>
      <c r="AU244" s="120"/>
      <c r="AV244" s="806"/>
      <c r="AW244" s="800">
        <v>1866000</v>
      </c>
      <c r="AX244" s="807">
        <v>1369476</v>
      </c>
      <c r="AY244" s="807">
        <v>496524</v>
      </c>
      <c r="AZ244" s="807">
        <v>74172</v>
      </c>
      <c r="BA244" s="196">
        <f t="shared" ref="BA244:BA250" si="45">AX244/AW244</f>
        <v>0.73390996784565921</v>
      </c>
      <c r="BB244" s="210">
        <v>2531</v>
      </c>
      <c r="BC244" s="115">
        <v>0</v>
      </c>
      <c r="BD244" s="236">
        <v>0</v>
      </c>
    </row>
    <row r="245" spans="1:56" s="808" customFormat="1" ht="14.25" customHeight="1">
      <c r="A245" s="792">
        <v>2024</v>
      </c>
      <c r="B245" s="793" t="str">
        <f>+INDEX('①基本情報 '!C:C,MATCH('③経費情報(2024)'!E245,'①基本情報 '!E:E,0))</f>
        <v>235</v>
      </c>
      <c r="C245" s="794" t="str">
        <f>+INDEX('①基本情報 '!B:B,MATCH('③経費情報(2024)'!E245,'①基本情報 '!E:E,0))</f>
        <v>0298</v>
      </c>
      <c r="D245" s="809" t="s">
        <v>2415</v>
      </c>
      <c r="E245" s="578" t="s">
        <v>2102</v>
      </c>
      <c r="F245" s="616" t="str">
        <f>INDEX('①基本情報 '!F:F,MATCH('③経費情報(2024)'!E245,'①基本情報 '!E:E,0))</f>
        <v>都市交通部</v>
      </c>
      <c r="G245" s="863" t="s">
        <v>2653</v>
      </c>
      <c r="H245" s="210"/>
      <c r="I245" s="115">
        <v>421</v>
      </c>
      <c r="J245" s="115"/>
      <c r="K245" s="236">
        <f t="shared" si="36"/>
        <v>421</v>
      </c>
      <c r="L245" s="799"/>
      <c r="M245" s="799"/>
      <c r="N245" s="800"/>
      <c r="O245" s="799">
        <v>3564</v>
      </c>
      <c r="P245" s="814">
        <v>7.4352985944660969E-3</v>
      </c>
      <c r="Q245" s="799">
        <v>9119</v>
      </c>
      <c r="R245" s="800"/>
      <c r="S245" s="799">
        <f t="shared" si="37"/>
        <v>68</v>
      </c>
      <c r="T245" s="800"/>
      <c r="U245" s="803"/>
      <c r="V245" s="799"/>
      <c r="W245" s="801">
        <f t="shared" si="38"/>
        <v>3632</v>
      </c>
      <c r="X245" s="799">
        <v>4581</v>
      </c>
      <c r="Y245" s="799"/>
      <c r="Z245" s="803"/>
      <c r="AA245" s="799"/>
      <c r="AB245" s="801">
        <f t="shared" si="39"/>
        <v>4581</v>
      </c>
      <c r="AC245" s="799">
        <v>55.960405210981676</v>
      </c>
      <c r="AD245" s="799">
        <v>105.58906667151803</v>
      </c>
      <c r="AE245" s="800"/>
      <c r="AF245" s="804">
        <v>0</v>
      </c>
      <c r="AG245" s="799">
        <v>6043.3087201125181</v>
      </c>
      <c r="AH245" s="800">
        <v>91.117627617657163</v>
      </c>
      <c r="AI245" s="800">
        <v>11.090334850903641</v>
      </c>
      <c r="AJ245" s="801">
        <f t="shared" si="35"/>
        <v>6307.0661544635786</v>
      </c>
      <c r="AK245" s="800">
        <f t="shared" si="42"/>
        <v>250217.64</v>
      </c>
      <c r="AL245" s="800">
        <f t="shared" si="42"/>
        <v>171156.41200000001</v>
      </c>
      <c r="AM245" s="800">
        <f t="shared" si="42"/>
        <v>79061.228000000003</v>
      </c>
      <c r="AN245" s="800">
        <f t="shared" si="42"/>
        <v>24450.916000000001</v>
      </c>
      <c r="AO245" s="192">
        <f t="shared" si="41"/>
        <v>0.68403015870503769</v>
      </c>
      <c r="AP245" s="193">
        <f t="shared" si="43"/>
        <v>28082.916000000001</v>
      </c>
      <c r="AQ245" s="193">
        <f t="shared" si="40"/>
        <v>-27661.916000000001</v>
      </c>
      <c r="AR245" s="805"/>
      <c r="AS245" s="119"/>
      <c r="AT245" s="119"/>
      <c r="AU245" s="120"/>
      <c r="AV245" s="806"/>
      <c r="AW245" s="800">
        <v>250217640</v>
      </c>
      <c r="AX245" s="807">
        <v>171156412</v>
      </c>
      <c r="AY245" s="807">
        <v>79061228</v>
      </c>
      <c r="AZ245" s="807">
        <v>24450916</v>
      </c>
      <c r="BA245" s="196">
        <f t="shared" si="45"/>
        <v>0.68403015870503769</v>
      </c>
      <c r="BB245" s="210">
        <v>8908</v>
      </c>
      <c r="BC245" s="115">
        <v>0</v>
      </c>
      <c r="BD245" s="236">
        <v>0</v>
      </c>
    </row>
    <row r="246" spans="1:56" s="808" customFormat="1" ht="14.25" customHeight="1">
      <c r="A246" s="792">
        <v>2024</v>
      </c>
      <c r="B246" s="793" t="str">
        <f>+INDEX('①基本情報 '!C:C,MATCH('③経費情報(2024)'!E246,'①基本情報 '!E:E,0))</f>
        <v>236</v>
      </c>
      <c r="C246" s="794" t="str">
        <f>+INDEX('①基本情報 '!B:B,MATCH('③経費情報(2024)'!E246,'①基本情報 '!E:E,0))</f>
        <v>0404</v>
      </c>
      <c r="D246" s="866" t="s">
        <v>2415</v>
      </c>
      <c r="E246" s="867" t="s">
        <v>1461</v>
      </c>
      <c r="F246" s="616" t="str">
        <f>INDEX('①基本情報 '!F:F,MATCH('③経費情報(2024)'!E246,'①基本情報 '!E:E,0))</f>
        <v>市民自治部</v>
      </c>
      <c r="G246" s="865" t="s">
        <v>2328</v>
      </c>
      <c r="H246" s="810">
        <v>14893</v>
      </c>
      <c r="I246" s="799">
        <v>39797</v>
      </c>
      <c r="J246" s="800"/>
      <c r="K246" s="801">
        <f t="shared" si="36"/>
        <v>54690</v>
      </c>
      <c r="L246" s="799">
        <v>27876</v>
      </c>
      <c r="M246" s="799">
        <v>10010</v>
      </c>
      <c r="N246" s="115"/>
      <c r="O246" s="799">
        <v>177</v>
      </c>
      <c r="P246" s="868">
        <v>37</v>
      </c>
      <c r="Q246" s="799">
        <v>9119</v>
      </c>
      <c r="R246" s="115">
        <v>10677</v>
      </c>
      <c r="S246" s="799">
        <f t="shared" si="37"/>
        <v>348080</v>
      </c>
      <c r="T246" s="800">
        <v>1468128</v>
      </c>
      <c r="U246" s="803">
        <v>29706</v>
      </c>
      <c r="V246" s="800"/>
      <c r="W246" s="801">
        <f t="shared" si="38"/>
        <v>1883977</v>
      </c>
      <c r="X246" s="799"/>
      <c r="Y246" s="799"/>
      <c r="Z246" s="803"/>
      <c r="AA246" s="799"/>
      <c r="AB246" s="801">
        <f t="shared" si="39"/>
        <v>0</v>
      </c>
      <c r="AC246" s="799"/>
      <c r="AD246" s="799"/>
      <c r="AE246" s="800"/>
      <c r="AF246" s="804"/>
      <c r="AG246" s="799"/>
      <c r="AH246" s="800"/>
      <c r="AI246" s="800"/>
      <c r="AJ246" s="801">
        <f t="shared" si="35"/>
        <v>0</v>
      </c>
      <c r="AK246" s="800">
        <f t="shared" si="42"/>
        <v>1059760.118</v>
      </c>
      <c r="AL246" s="800">
        <f t="shared" si="42"/>
        <v>756594.29599999997</v>
      </c>
      <c r="AM246" s="800">
        <f t="shared" si="42"/>
        <v>303165.82199999999</v>
      </c>
      <c r="AN246" s="800">
        <f t="shared" si="42"/>
        <v>30601.742999999999</v>
      </c>
      <c r="AO246" s="192">
        <f t="shared" si="41"/>
        <v>0.71392976877433312</v>
      </c>
      <c r="AP246" s="193">
        <f t="shared" si="43"/>
        <v>1914578.743</v>
      </c>
      <c r="AQ246" s="193">
        <f t="shared" si="40"/>
        <v>-1859888.743</v>
      </c>
      <c r="AR246" s="805"/>
      <c r="AS246" s="119"/>
      <c r="AT246" s="119"/>
      <c r="AU246" s="120"/>
      <c r="AV246" s="806"/>
      <c r="AW246" s="800">
        <v>1059760118</v>
      </c>
      <c r="AX246" s="807">
        <v>756594296</v>
      </c>
      <c r="AY246" s="807">
        <v>303165822</v>
      </c>
      <c r="AZ246" s="807">
        <v>30601743</v>
      </c>
      <c r="BA246" s="196">
        <f t="shared" si="45"/>
        <v>0.71392976877433312</v>
      </c>
      <c r="BB246" s="210">
        <v>87867</v>
      </c>
      <c r="BC246" s="115">
        <v>0</v>
      </c>
      <c r="BD246" s="236">
        <v>62.3</v>
      </c>
    </row>
    <row r="247" spans="1:56" s="808" customFormat="1" ht="14.25" customHeight="1">
      <c r="A247" s="792">
        <v>2024</v>
      </c>
      <c r="B247" s="793" t="str">
        <f>+INDEX('①基本情報 '!C:C,MATCH('③経費情報(2024)'!E247,'①基本情報 '!E:E,0))</f>
        <v>237</v>
      </c>
      <c r="C247" s="794" t="str">
        <f>+INDEX('①基本情報 '!B:B,MATCH('③経費情報(2024)'!E247,'①基本情報 '!E:E,0))</f>
        <v>0405</v>
      </c>
      <c r="D247" s="809" t="s">
        <v>2415</v>
      </c>
      <c r="E247" s="616" t="s">
        <v>1469</v>
      </c>
      <c r="F247" s="616" t="str">
        <f>INDEX('①基本情報 '!F:F,MATCH('③経費情報(2024)'!E247,'①基本情報 '!E:E,0))</f>
        <v>市民自治部</v>
      </c>
      <c r="G247" s="863" t="s">
        <v>2597</v>
      </c>
      <c r="H247" s="810">
        <v>31651</v>
      </c>
      <c r="I247" s="800">
        <v>0</v>
      </c>
      <c r="J247" s="800">
        <v>0</v>
      </c>
      <c r="K247" s="801">
        <f t="shared" si="36"/>
        <v>31651</v>
      </c>
      <c r="L247" s="115">
        <v>0</v>
      </c>
      <c r="M247" s="115">
        <v>0</v>
      </c>
      <c r="N247" s="115">
        <v>0</v>
      </c>
      <c r="O247" s="115">
        <v>34650</v>
      </c>
      <c r="P247" s="814">
        <v>1.5</v>
      </c>
      <c r="Q247" s="799">
        <v>9119</v>
      </c>
      <c r="R247" s="115"/>
      <c r="S247" s="799">
        <f t="shared" si="37"/>
        <v>13679</v>
      </c>
      <c r="T247" s="115">
        <v>118</v>
      </c>
      <c r="U247" s="144"/>
      <c r="V247" s="799">
        <v>50886</v>
      </c>
      <c r="W247" s="801">
        <f t="shared" si="38"/>
        <v>99333</v>
      </c>
      <c r="X247" s="799"/>
      <c r="Y247" s="799"/>
      <c r="Z247" s="803"/>
      <c r="AA247" s="799">
        <v>50886</v>
      </c>
      <c r="AB247" s="801">
        <f t="shared" si="39"/>
        <v>50886</v>
      </c>
      <c r="AC247" s="799">
        <v>13639</v>
      </c>
      <c r="AD247" s="799">
        <v>5461</v>
      </c>
      <c r="AE247" s="800"/>
      <c r="AF247" s="804">
        <v>180</v>
      </c>
      <c r="AG247" s="799">
        <v>26334</v>
      </c>
      <c r="AH247" s="800">
        <v>2277</v>
      </c>
      <c r="AI247" s="800">
        <v>1957</v>
      </c>
      <c r="AJ247" s="801">
        <f t="shared" si="35"/>
        <v>49848</v>
      </c>
      <c r="AK247" s="800">
        <f t="shared" si="42"/>
        <v>1076238.2579999999</v>
      </c>
      <c r="AL247" s="800">
        <f t="shared" si="42"/>
        <v>571326.06099999999</v>
      </c>
      <c r="AM247" s="800">
        <f t="shared" si="42"/>
        <v>504912.19699999999</v>
      </c>
      <c r="AN247" s="800">
        <f t="shared" si="42"/>
        <v>36638.47</v>
      </c>
      <c r="AO247" s="192">
        <f t="shared" si="41"/>
        <v>0.53085462884557666</v>
      </c>
      <c r="AP247" s="193">
        <f t="shared" si="43"/>
        <v>135971.47</v>
      </c>
      <c r="AQ247" s="193">
        <f t="shared" si="40"/>
        <v>-104320.47</v>
      </c>
      <c r="AR247" s="805"/>
      <c r="AS247" s="119"/>
      <c r="AT247" s="119"/>
      <c r="AU247" s="120"/>
      <c r="AV247" s="806"/>
      <c r="AW247" s="800">
        <v>1076238258</v>
      </c>
      <c r="AX247" s="807">
        <v>571326061</v>
      </c>
      <c r="AY247" s="807">
        <v>504912197</v>
      </c>
      <c r="AZ247" s="807">
        <v>36638470</v>
      </c>
      <c r="BA247" s="196">
        <f t="shared" si="45"/>
        <v>0.53085462884557666</v>
      </c>
      <c r="BB247" s="210">
        <v>120846</v>
      </c>
      <c r="BC247" s="115">
        <v>0</v>
      </c>
      <c r="BD247" s="236">
        <v>0</v>
      </c>
    </row>
    <row r="248" spans="1:56" s="808" customFormat="1" ht="14.25" customHeight="1">
      <c r="A248" s="792">
        <v>2024</v>
      </c>
      <c r="B248" s="793" t="str">
        <f>+INDEX('①基本情報 '!C:C,MATCH('③経費情報(2024)'!E248,'①基本情報 '!E:E,0))</f>
        <v>238</v>
      </c>
      <c r="C248" s="794" t="str">
        <f>+INDEX('①基本情報 '!B:B,MATCH('③経費情報(2024)'!E248,'①基本情報 '!E:E,0))</f>
        <v>9601</v>
      </c>
      <c r="D248" s="809" t="s">
        <v>2415</v>
      </c>
      <c r="E248" s="616" t="s">
        <v>1880</v>
      </c>
      <c r="F248" s="616" t="str">
        <f>INDEX('①基本情報 '!F:F,MATCH('③経費情報(2024)'!E248,'①基本情報 '!E:E,0))</f>
        <v>都市活力部</v>
      </c>
      <c r="G248" s="863" t="s">
        <v>1476</v>
      </c>
      <c r="H248" s="810">
        <v>4081</v>
      </c>
      <c r="I248" s="800"/>
      <c r="J248" s="800"/>
      <c r="K248" s="801">
        <f t="shared" si="36"/>
        <v>4081</v>
      </c>
      <c r="L248" s="799"/>
      <c r="M248" s="799"/>
      <c r="N248" s="115"/>
      <c r="O248" s="799"/>
      <c r="P248" s="814"/>
      <c r="Q248" s="799">
        <v>9119</v>
      </c>
      <c r="R248" s="115"/>
      <c r="S248" s="799">
        <f t="shared" si="37"/>
        <v>0</v>
      </c>
      <c r="T248" s="800"/>
      <c r="U248" s="803"/>
      <c r="V248" s="800"/>
      <c r="W248" s="801">
        <f t="shared" si="38"/>
        <v>0</v>
      </c>
      <c r="X248" s="799">
        <v>43061</v>
      </c>
      <c r="Y248" s="799"/>
      <c r="Z248" s="803"/>
      <c r="AA248" s="799"/>
      <c r="AB248" s="801">
        <f t="shared" si="39"/>
        <v>43061</v>
      </c>
      <c r="AC248" s="799">
        <v>2804</v>
      </c>
      <c r="AD248" s="799">
        <v>16064</v>
      </c>
      <c r="AE248" s="800"/>
      <c r="AF248" s="804">
        <v>2919</v>
      </c>
      <c r="AG248" s="799">
        <v>5589</v>
      </c>
      <c r="AH248" s="800">
        <v>1963</v>
      </c>
      <c r="AI248" s="800">
        <v>4041</v>
      </c>
      <c r="AJ248" s="801">
        <f t="shared" si="35"/>
        <v>33380</v>
      </c>
      <c r="AK248" s="800">
        <f t="shared" si="42"/>
        <v>994327.45200000005</v>
      </c>
      <c r="AL248" s="800">
        <f t="shared" si="42"/>
        <v>793584.18799999997</v>
      </c>
      <c r="AM248" s="800">
        <f t="shared" si="42"/>
        <v>200743.264</v>
      </c>
      <c r="AN248" s="800">
        <f t="shared" si="42"/>
        <v>26229.392</v>
      </c>
      <c r="AO248" s="192">
        <f t="shared" si="41"/>
        <v>0.79811151387179036</v>
      </c>
      <c r="AP248" s="193">
        <f t="shared" si="43"/>
        <v>26229.392</v>
      </c>
      <c r="AQ248" s="193">
        <f t="shared" si="40"/>
        <v>-22148.392</v>
      </c>
      <c r="AR248" s="805"/>
      <c r="AS248" s="119"/>
      <c r="AT248" s="119"/>
      <c r="AU248" s="120"/>
      <c r="AV248" s="806"/>
      <c r="AW248" s="800">
        <v>994327452</v>
      </c>
      <c r="AX248" s="807">
        <v>793584188</v>
      </c>
      <c r="AY248" s="807">
        <v>200743264</v>
      </c>
      <c r="AZ248" s="807">
        <v>26229392</v>
      </c>
      <c r="BA248" s="196">
        <f t="shared" si="45"/>
        <v>0.79811151387179036</v>
      </c>
      <c r="BB248" s="210">
        <v>66893</v>
      </c>
      <c r="BC248" s="115">
        <v>0</v>
      </c>
      <c r="BD248" s="236">
        <v>102.5</v>
      </c>
    </row>
    <row r="249" spans="1:56" s="808" customFormat="1" ht="14.25" customHeight="1">
      <c r="A249" s="792">
        <v>2024</v>
      </c>
      <c r="B249" s="793" t="str">
        <f>+INDEX('①基本情報 '!C:C,MATCH('③経費情報(2024)'!E249,'①基本情報 '!E:E,0))</f>
        <v>239</v>
      </c>
      <c r="C249" s="794" t="str">
        <f>+INDEX('①基本情報 '!B:B,MATCH('③経費情報(2024)'!E249,'①基本情報 '!E:E,0))</f>
        <v>0704</v>
      </c>
      <c r="D249" s="809" t="s">
        <v>2415</v>
      </c>
      <c r="E249" s="616" t="s">
        <v>1481</v>
      </c>
      <c r="F249" s="616" t="str">
        <f>INDEX('①基本情報 '!F:F,MATCH('③経費情報(2024)'!E249,'①基本情報 '!E:E,0))</f>
        <v>都市活力部</v>
      </c>
      <c r="G249" s="863" t="s">
        <v>2586</v>
      </c>
      <c r="H249" s="841"/>
      <c r="I249" s="800"/>
      <c r="J249" s="800"/>
      <c r="K249" s="801">
        <f t="shared" si="36"/>
        <v>0</v>
      </c>
      <c r="L249" s="799">
        <v>10</v>
      </c>
      <c r="M249" s="115"/>
      <c r="N249" s="115"/>
      <c r="O249" s="115"/>
      <c r="P249" s="802"/>
      <c r="Q249" s="799">
        <v>9119</v>
      </c>
      <c r="R249" s="115"/>
      <c r="S249" s="799">
        <f t="shared" si="37"/>
        <v>0</v>
      </c>
      <c r="T249" s="115"/>
      <c r="U249" s="803"/>
      <c r="V249" s="800"/>
      <c r="W249" s="801">
        <f t="shared" si="38"/>
        <v>10</v>
      </c>
      <c r="X249" s="799"/>
      <c r="Y249" s="799"/>
      <c r="Z249" s="803"/>
      <c r="AA249" s="799"/>
      <c r="AB249" s="801">
        <f t="shared" si="39"/>
        <v>0</v>
      </c>
      <c r="AC249" s="799"/>
      <c r="AD249" s="799"/>
      <c r="AE249" s="800"/>
      <c r="AF249" s="804"/>
      <c r="AG249" s="799"/>
      <c r="AH249" s="800"/>
      <c r="AI249" s="800"/>
      <c r="AJ249" s="801">
        <f t="shared" si="35"/>
        <v>0</v>
      </c>
      <c r="AK249" s="800">
        <f t="shared" si="42"/>
        <v>9176.4809999999998</v>
      </c>
      <c r="AL249" s="800">
        <f t="shared" si="42"/>
        <v>7446.3710000000001</v>
      </c>
      <c r="AM249" s="800">
        <f t="shared" si="42"/>
        <v>1730.11</v>
      </c>
      <c r="AN249" s="800">
        <f t="shared" si="42"/>
        <v>109.434</v>
      </c>
      <c r="AO249" s="192">
        <f t="shared" si="41"/>
        <v>0.81146258571232266</v>
      </c>
      <c r="AP249" s="193">
        <f t="shared" si="43"/>
        <v>119.434</v>
      </c>
      <c r="AQ249" s="193">
        <f t="shared" si="40"/>
        <v>-119.434</v>
      </c>
      <c r="AR249" s="805"/>
      <c r="AS249" s="119"/>
      <c r="AT249" s="119"/>
      <c r="AU249" s="120"/>
      <c r="AV249" s="806"/>
      <c r="AW249" s="800">
        <v>9176481</v>
      </c>
      <c r="AX249" s="807">
        <v>7446371</v>
      </c>
      <c r="AY249" s="807">
        <v>1730110</v>
      </c>
      <c r="AZ249" s="807">
        <v>109434</v>
      </c>
      <c r="BA249" s="196">
        <f t="shared" si="45"/>
        <v>0.81146258571232266</v>
      </c>
      <c r="BB249" s="210"/>
      <c r="BC249" s="115"/>
      <c r="BD249" s="236"/>
    </row>
    <row r="250" spans="1:56" s="808" customFormat="1" ht="14.25" customHeight="1">
      <c r="A250" s="792">
        <v>2024</v>
      </c>
      <c r="B250" s="793" t="str">
        <f>+INDEX('①基本情報 '!C:C,MATCH('③経費情報(2024)'!E250,'①基本情報 '!E:E,0))</f>
        <v>240</v>
      </c>
      <c r="C250" s="794" t="str">
        <f>+INDEX('①基本情報 '!B:B,MATCH('③経費情報(2024)'!E250,'①基本情報 '!E:E,0))</f>
        <v>9711</v>
      </c>
      <c r="D250" s="809" t="s">
        <v>2415</v>
      </c>
      <c r="E250" s="616" t="s">
        <v>1484</v>
      </c>
      <c r="F250" s="616" t="str">
        <f>INDEX('①基本情報 '!F:F,MATCH('③経費情報(2024)'!E250,'①基本情報 '!E:E,0))</f>
        <v>健康福祉部</v>
      </c>
      <c r="G250" s="869" t="s">
        <v>2568</v>
      </c>
      <c r="H250" s="439">
        <v>0</v>
      </c>
      <c r="I250" s="440">
        <v>0</v>
      </c>
      <c r="J250" s="443">
        <v>300996</v>
      </c>
      <c r="K250" s="811">
        <f t="shared" si="36"/>
        <v>300996</v>
      </c>
      <c r="L250" s="440">
        <v>0</v>
      </c>
      <c r="M250" s="440">
        <v>0</v>
      </c>
      <c r="N250" s="443">
        <v>0</v>
      </c>
      <c r="O250" s="440">
        <v>0</v>
      </c>
      <c r="P250" s="870">
        <v>0.6</v>
      </c>
      <c r="Q250" s="799">
        <v>9119</v>
      </c>
      <c r="R250" s="390">
        <v>0</v>
      </c>
      <c r="S250" s="440">
        <f t="shared" si="37"/>
        <v>5471</v>
      </c>
      <c r="T250" s="443">
        <v>0</v>
      </c>
      <c r="U250" s="444">
        <v>303962</v>
      </c>
      <c r="V250" s="440">
        <v>196034</v>
      </c>
      <c r="W250" s="811">
        <f t="shared" si="38"/>
        <v>505467</v>
      </c>
      <c r="X250" s="440">
        <v>0</v>
      </c>
      <c r="Y250" s="440">
        <v>251542</v>
      </c>
      <c r="Z250" s="444">
        <v>22905</v>
      </c>
      <c r="AA250" s="440">
        <v>174997</v>
      </c>
      <c r="AB250" s="811">
        <f t="shared" si="39"/>
        <v>449444</v>
      </c>
      <c r="AC250" s="440">
        <v>0</v>
      </c>
      <c r="AD250" s="440">
        <v>0</v>
      </c>
      <c r="AE250" s="443">
        <v>0</v>
      </c>
      <c r="AF250" s="445">
        <v>0</v>
      </c>
      <c r="AG250" s="440">
        <v>329069</v>
      </c>
      <c r="AH250" s="443">
        <v>0</v>
      </c>
      <c r="AI250" s="443">
        <v>120375</v>
      </c>
      <c r="AJ250" s="811">
        <f t="shared" si="35"/>
        <v>449444</v>
      </c>
      <c r="AK250" s="800">
        <f t="shared" si="42"/>
        <v>314010.13400000002</v>
      </c>
      <c r="AL250" s="800">
        <f t="shared" si="42"/>
        <v>103122.106</v>
      </c>
      <c r="AM250" s="800">
        <f t="shared" si="42"/>
        <v>210888.02799999999</v>
      </c>
      <c r="AN250" s="800">
        <f t="shared" si="42"/>
        <v>7070.4179999999997</v>
      </c>
      <c r="AO250" s="192">
        <f t="shared" si="41"/>
        <v>0.3284037514534483</v>
      </c>
      <c r="AP250" s="193">
        <f t="shared" si="43"/>
        <v>512537.41800000001</v>
      </c>
      <c r="AQ250" s="193">
        <f t="shared" si="40"/>
        <v>-211541.41800000001</v>
      </c>
      <c r="AR250" s="446"/>
      <c r="AS250" s="394"/>
      <c r="AT250" s="394"/>
      <c r="AU250" s="395"/>
      <c r="AV250" s="806"/>
      <c r="AW250" s="800">
        <v>314010134</v>
      </c>
      <c r="AX250" s="807">
        <v>103122106</v>
      </c>
      <c r="AY250" s="807">
        <v>210888028</v>
      </c>
      <c r="AZ250" s="807">
        <v>7070418</v>
      </c>
      <c r="BA250" s="196">
        <f t="shared" si="45"/>
        <v>0.3284037514534483</v>
      </c>
      <c r="BB250" s="210">
        <v>159073</v>
      </c>
      <c r="BC250" s="115">
        <v>519</v>
      </c>
      <c r="BD250" s="236">
        <v>0</v>
      </c>
    </row>
    <row r="251" spans="1:56" s="808" customFormat="1" ht="14.25" customHeight="1">
      <c r="A251" s="792">
        <v>2024</v>
      </c>
      <c r="B251" s="793" t="str">
        <f>+INDEX('①基本情報 '!C:C,MATCH('③経費情報(2024)'!E251,'①基本情報 '!E:E,0))</f>
        <v>241</v>
      </c>
      <c r="C251" s="794" t="str">
        <f>+INDEX('①基本情報 '!B:B,MATCH('③経費情報(2024)'!E251,'①基本情報 '!E:E,0))</f>
        <v>9701</v>
      </c>
      <c r="D251" s="809" t="s">
        <v>2415</v>
      </c>
      <c r="E251" s="616" t="s">
        <v>1493</v>
      </c>
      <c r="F251" s="616" t="str">
        <f>INDEX('①基本情報 '!F:F,MATCH('③経費情報(2024)'!E251,'①基本情報 '!E:E,0))</f>
        <v>伊丹病院</v>
      </c>
      <c r="G251" s="797" t="s">
        <v>1493</v>
      </c>
      <c r="H251" s="810"/>
      <c r="I251" s="799"/>
      <c r="J251" s="800"/>
      <c r="K251" s="801">
        <f t="shared" si="36"/>
        <v>0</v>
      </c>
      <c r="L251" s="799"/>
      <c r="M251" s="799"/>
      <c r="N251" s="800"/>
      <c r="O251" s="799"/>
      <c r="P251" s="802"/>
      <c r="Q251" s="799">
        <v>9119</v>
      </c>
      <c r="R251" s="115"/>
      <c r="S251" s="799">
        <f t="shared" si="37"/>
        <v>0</v>
      </c>
      <c r="T251" s="800"/>
      <c r="U251" s="803"/>
      <c r="V251" s="799"/>
      <c r="W251" s="801">
        <f t="shared" si="38"/>
        <v>0</v>
      </c>
      <c r="X251" s="799"/>
      <c r="Y251" s="799"/>
      <c r="Z251" s="803"/>
      <c r="AA251" s="799"/>
      <c r="AB251" s="801">
        <f t="shared" si="39"/>
        <v>0</v>
      </c>
      <c r="AC251" s="799"/>
      <c r="AD251" s="799"/>
      <c r="AE251" s="800"/>
      <c r="AF251" s="804"/>
      <c r="AG251" s="799"/>
      <c r="AH251" s="800"/>
      <c r="AI251" s="800"/>
      <c r="AJ251" s="801">
        <f t="shared" si="35"/>
        <v>0</v>
      </c>
      <c r="AK251" s="800"/>
      <c r="AL251" s="800"/>
      <c r="AM251" s="800"/>
      <c r="AN251" s="800"/>
      <c r="AO251" s="807"/>
      <c r="AP251" s="807"/>
      <c r="AQ251" s="807"/>
      <c r="AR251" s="805"/>
      <c r="AS251" s="119"/>
      <c r="AT251" s="119"/>
      <c r="AU251" s="120"/>
      <c r="AV251" s="806"/>
      <c r="AW251" s="800"/>
      <c r="AX251" s="807"/>
      <c r="AY251" s="807"/>
      <c r="AZ251" s="807"/>
      <c r="BA251" s="196" t="s">
        <v>1966</v>
      </c>
      <c r="BB251" s="210"/>
      <c r="BC251" s="115"/>
      <c r="BD251" s="236"/>
    </row>
    <row r="252" spans="1:56" s="808" customFormat="1" ht="14.25" customHeight="1">
      <c r="A252" s="792">
        <v>2024</v>
      </c>
      <c r="B252" s="793" t="str">
        <f>+INDEX('①基本情報 '!C:C,MATCH('③経費情報(2024)'!E252,'①基本情報 '!E:E,0))</f>
        <v>242</v>
      </c>
      <c r="C252" s="794" t="str">
        <f>+INDEX('①基本情報 '!B:B,MATCH('③経費情報(2024)'!E252,'①基本情報 '!E:E,0))</f>
        <v>9501</v>
      </c>
      <c r="D252" s="809" t="s">
        <v>2415</v>
      </c>
      <c r="E252" s="616" t="s">
        <v>1502</v>
      </c>
      <c r="F252" s="616" t="str">
        <f>INDEX('①基本情報 '!F:F,MATCH('③経費情報(2024)'!E252,'①基本情報 '!E:E,0))</f>
        <v>上下水道局</v>
      </c>
      <c r="G252" s="797" t="s">
        <v>1503</v>
      </c>
      <c r="H252" s="810"/>
      <c r="I252" s="799"/>
      <c r="J252" s="800"/>
      <c r="K252" s="801">
        <f t="shared" si="36"/>
        <v>0</v>
      </c>
      <c r="L252" s="799"/>
      <c r="M252" s="799"/>
      <c r="N252" s="800"/>
      <c r="O252" s="799"/>
      <c r="P252" s="802"/>
      <c r="Q252" s="799">
        <v>9119</v>
      </c>
      <c r="R252" s="115"/>
      <c r="S252" s="799">
        <f t="shared" si="37"/>
        <v>0</v>
      </c>
      <c r="T252" s="800"/>
      <c r="U252" s="803"/>
      <c r="V252" s="799"/>
      <c r="W252" s="801">
        <f t="shared" si="38"/>
        <v>0</v>
      </c>
      <c r="X252" s="799"/>
      <c r="Y252" s="799"/>
      <c r="Z252" s="803"/>
      <c r="AA252" s="799"/>
      <c r="AB252" s="801">
        <f t="shared" si="39"/>
        <v>0</v>
      </c>
      <c r="AC252" s="799"/>
      <c r="AD252" s="799"/>
      <c r="AE252" s="800"/>
      <c r="AF252" s="804"/>
      <c r="AG252" s="799"/>
      <c r="AH252" s="800"/>
      <c r="AI252" s="800"/>
      <c r="AJ252" s="801">
        <f t="shared" si="35"/>
        <v>0</v>
      </c>
      <c r="AK252" s="800"/>
      <c r="AL252" s="807"/>
      <c r="AM252" s="807"/>
      <c r="AN252" s="807"/>
      <c r="AO252" s="807"/>
      <c r="AP252" s="807"/>
      <c r="AQ252" s="807"/>
      <c r="AR252" s="805"/>
      <c r="AS252" s="119"/>
      <c r="AT252" s="119"/>
      <c r="AU252" s="120"/>
      <c r="AV252" s="806"/>
      <c r="AW252" s="800"/>
      <c r="AX252" s="807"/>
      <c r="AY252" s="807"/>
      <c r="AZ252" s="807"/>
      <c r="BA252" s="196" t="s">
        <v>1966</v>
      </c>
      <c r="BB252" s="210"/>
      <c r="BC252" s="115"/>
      <c r="BD252" s="236"/>
    </row>
    <row r="253" spans="1:56" s="808" customFormat="1" ht="14.25" customHeight="1">
      <c r="A253" s="792">
        <v>2024</v>
      </c>
      <c r="B253" s="793" t="str">
        <f>+INDEX('①基本情報 '!C:C,MATCH('③経費情報(2024)'!E253,'①基本情報 '!E:E,0))</f>
        <v>243</v>
      </c>
      <c r="C253" s="794" t="str">
        <f>+INDEX('①基本情報 '!B:B,MATCH('③経費情報(2024)'!E253,'①基本情報 '!E:E,0))</f>
        <v>9502</v>
      </c>
      <c r="D253" s="809" t="s">
        <v>2415</v>
      </c>
      <c r="E253" s="616" t="s">
        <v>1507</v>
      </c>
      <c r="F253" s="616" t="str">
        <f>INDEX('①基本情報 '!F:F,MATCH('③経費情報(2024)'!E253,'①基本情報 '!E:E,0))</f>
        <v>上下水道局</v>
      </c>
      <c r="G253" s="797" t="s">
        <v>1508</v>
      </c>
      <c r="H253" s="810"/>
      <c r="I253" s="799"/>
      <c r="J253" s="800"/>
      <c r="K253" s="801">
        <f t="shared" si="36"/>
        <v>0</v>
      </c>
      <c r="L253" s="799"/>
      <c r="M253" s="799"/>
      <c r="N253" s="800"/>
      <c r="O253" s="799"/>
      <c r="P253" s="802"/>
      <c r="Q253" s="799">
        <v>9119</v>
      </c>
      <c r="R253" s="115"/>
      <c r="S253" s="799">
        <f t="shared" si="37"/>
        <v>0</v>
      </c>
      <c r="T253" s="800"/>
      <c r="U253" s="803"/>
      <c r="V253" s="799"/>
      <c r="W253" s="801">
        <f t="shared" si="38"/>
        <v>0</v>
      </c>
      <c r="X253" s="799"/>
      <c r="Y253" s="799"/>
      <c r="Z253" s="803"/>
      <c r="AA253" s="799"/>
      <c r="AB253" s="801">
        <f t="shared" si="39"/>
        <v>0</v>
      </c>
      <c r="AC253" s="799"/>
      <c r="AD253" s="799"/>
      <c r="AE253" s="800"/>
      <c r="AF253" s="804"/>
      <c r="AG253" s="799"/>
      <c r="AH253" s="800"/>
      <c r="AI253" s="800"/>
      <c r="AJ253" s="801">
        <f t="shared" si="35"/>
        <v>0</v>
      </c>
      <c r="AK253" s="800"/>
      <c r="AL253" s="807"/>
      <c r="AM253" s="807"/>
      <c r="AN253" s="807"/>
      <c r="AO253" s="807"/>
      <c r="AP253" s="807"/>
      <c r="AQ253" s="807"/>
      <c r="AR253" s="805"/>
      <c r="AS253" s="119"/>
      <c r="AT253" s="119"/>
      <c r="AU253" s="120"/>
      <c r="AV253" s="806"/>
      <c r="AW253" s="800"/>
      <c r="AX253" s="807"/>
      <c r="AY253" s="807"/>
      <c r="AZ253" s="807"/>
      <c r="BA253" s="196" t="s">
        <v>1966</v>
      </c>
      <c r="BB253" s="210">
        <v>5618444</v>
      </c>
      <c r="BC253" s="115">
        <v>114</v>
      </c>
      <c r="BD253" s="236">
        <v>0</v>
      </c>
    </row>
    <row r="254" spans="1:56" s="808" customFormat="1" ht="14.25" customHeight="1">
      <c r="A254" s="792">
        <v>2024</v>
      </c>
      <c r="B254" s="793" t="str">
        <f>+INDEX('①基本情報 '!C:C,MATCH('③経費情報(2024)'!E254,'①基本情報 '!E:E,0))</f>
        <v>244</v>
      </c>
      <c r="C254" s="794" t="str">
        <f>+INDEX('①基本情報 '!B:B,MATCH('③経費情報(2024)'!E254,'①基本情報 '!E:E,0))</f>
        <v>9503</v>
      </c>
      <c r="D254" s="809" t="s">
        <v>2415</v>
      </c>
      <c r="E254" s="616" t="s">
        <v>1511</v>
      </c>
      <c r="F254" s="616" t="str">
        <f>INDEX('①基本情報 '!F:F,MATCH('③経費情報(2024)'!E254,'①基本情報 '!E:E,0))</f>
        <v>上下水道局</v>
      </c>
      <c r="G254" s="797" t="s">
        <v>1508</v>
      </c>
      <c r="H254" s="810"/>
      <c r="I254" s="799"/>
      <c r="J254" s="800"/>
      <c r="K254" s="801">
        <f t="shared" si="36"/>
        <v>0</v>
      </c>
      <c r="L254" s="799"/>
      <c r="M254" s="799"/>
      <c r="N254" s="800"/>
      <c r="O254" s="799"/>
      <c r="P254" s="802"/>
      <c r="Q254" s="799">
        <v>9119</v>
      </c>
      <c r="R254" s="115"/>
      <c r="S254" s="799">
        <f t="shared" si="37"/>
        <v>0</v>
      </c>
      <c r="T254" s="800"/>
      <c r="U254" s="803"/>
      <c r="V254" s="799"/>
      <c r="W254" s="801">
        <f t="shared" si="38"/>
        <v>0</v>
      </c>
      <c r="X254" s="799"/>
      <c r="Y254" s="799"/>
      <c r="Z254" s="803"/>
      <c r="AA254" s="799"/>
      <c r="AB254" s="801">
        <f t="shared" si="39"/>
        <v>0</v>
      </c>
      <c r="AC254" s="799"/>
      <c r="AD254" s="799"/>
      <c r="AE254" s="800"/>
      <c r="AF254" s="804"/>
      <c r="AG254" s="799"/>
      <c r="AH254" s="800"/>
      <c r="AI254" s="800"/>
      <c r="AJ254" s="801">
        <f t="shared" si="35"/>
        <v>0</v>
      </c>
      <c r="AK254" s="800"/>
      <c r="AL254" s="807"/>
      <c r="AM254" s="807"/>
      <c r="AN254" s="807"/>
      <c r="AO254" s="807"/>
      <c r="AP254" s="807"/>
      <c r="AQ254" s="807"/>
      <c r="AR254" s="805"/>
      <c r="AS254" s="119"/>
      <c r="AT254" s="119"/>
      <c r="AU254" s="120"/>
      <c r="AV254" s="806"/>
      <c r="AW254" s="800"/>
      <c r="AX254" s="807"/>
      <c r="AY254" s="807"/>
      <c r="AZ254" s="807"/>
      <c r="BA254" s="196" t="s">
        <v>1966</v>
      </c>
      <c r="BB254" s="210">
        <v>401601</v>
      </c>
      <c r="BC254" s="115">
        <v>0</v>
      </c>
      <c r="BD254" s="236">
        <v>0</v>
      </c>
    </row>
    <row r="255" spans="1:56" s="808" customFormat="1" ht="14.25" customHeight="1">
      <c r="A255" s="792">
        <v>2024</v>
      </c>
      <c r="B255" s="793" t="str">
        <f>+INDEX('①基本情報 '!C:C,MATCH('③経費情報(2024)'!E255,'①基本情報 '!E:E,0))</f>
        <v>245</v>
      </c>
      <c r="C255" s="794" t="str">
        <f>+INDEX('①基本情報 '!B:B,MATCH('③経費情報(2024)'!E255,'①基本情報 '!E:E,0))</f>
        <v>9504</v>
      </c>
      <c r="D255" s="809" t="s">
        <v>2415</v>
      </c>
      <c r="E255" s="616" t="s">
        <v>1514</v>
      </c>
      <c r="F255" s="616" t="str">
        <f>INDEX('①基本情報 '!F:F,MATCH('③経費情報(2024)'!E255,'①基本情報 '!E:E,0))</f>
        <v>上下水道局</v>
      </c>
      <c r="G255" s="797" t="s">
        <v>1508</v>
      </c>
      <c r="H255" s="810"/>
      <c r="I255" s="799"/>
      <c r="J255" s="800"/>
      <c r="K255" s="801">
        <f t="shared" si="36"/>
        <v>0</v>
      </c>
      <c r="L255" s="799"/>
      <c r="M255" s="799"/>
      <c r="N255" s="800"/>
      <c r="O255" s="799"/>
      <c r="P255" s="802"/>
      <c r="Q255" s="799">
        <v>9119</v>
      </c>
      <c r="R255" s="115"/>
      <c r="S255" s="799">
        <f t="shared" si="37"/>
        <v>0</v>
      </c>
      <c r="T255" s="800"/>
      <c r="U255" s="803"/>
      <c r="V255" s="799"/>
      <c r="W255" s="801">
        <f t="shared" si="38"/>
        <v>0</v>
      </c>
      <c r="X255" s="799"/>
      <c r="Y255" s="799"/>
      <c r="Z255" s="803"/>
      <c r="AA255" s="799"/>
      <c r="AB255" s="801">
        <f t="shared" si="39"/>
        <v>0</v>
      </c>
      <c r="AC255" s="799"/>
      <c r="AD255" s="799"/>
      <c r="AE255" s="800"/>
      <c r="AF255" s="804"/>
      <c r="AG255" s="799"/>
      <c r="AH255" s="800"/>
      <c r="AI255" s="800"/>
      <c r="AJ255" s="801">
        <f t="shared" si="35"/>
        <v>0</v>
      </c>
      <c r="AK255" s="800"/>
      <c r="AL255" s="807"/>
      <c r="AM255" s="807"/>
      <c r="AN255" s="807"/>
      <c r="AO255" s="807"/>
      <c r="AP255" s="807"/>
      <c r="AQ255" s="807"/>
      <c r="AR255" s="805"/>
      <c r="AS255" s="119"/>
      <c r="AT255" s="119"/>
      <c r="AU255" s="120"/>
      <c r="AV255" s="806"/>
      <c r="AW255" s="800"/>
      <c r="AX255" s="807"/>
      <c r="AY255" s="807"/>
      <c r="AZ255" s="807"/>
      <c r="BA255" s="196" t="s">
        <v>1966</v>
      </c>
      <c r="BB255" s="210">
        <v>652799</v>
      </c>
      <c r="BC255" s="115">
        <v>0</v>
      </c>
      <c r="BD255" s="236">
        <v>0</v>
      </c>
    </row>
    <row r="256" spans="1:56" s="808" customFormat="1" ht="14.25" customHeight="1">
      <c r="A256" s="792">
        <v>2024</v>
      </c>
      <c r="B256" s="793" t="str">
        <f>+INDEX('①基本情報 '!C:C,MATCH('③経費情報(2024)'!E256,'①基本情報 '!E:E,0))</f>
        <v>246</v>
      </c>
      <c r="C256" s="794" t="str">
        <f>+INDEX('①基本情報 '!B:B,MATCH('③経費情報(2024)'!E256,'①基本情報 '!E:E,0))</f>
        <v>9505</v>
      </c>
      <c r="D256" s="809" t="s">
        <v>2415</v>
      </c>
      <c r="E256" s="616" t="s">
        <v>1911</v>
      </c>
      <c r="F256" s="616" t="str">
        <f>INDEX('①基本情報 '!F:F,MATCH('③経費情報(2024)'!E256,'①基本情報 '!E:E,0))</f>
        <v>上下水道局</v>
      </c>
      <c r="G256" s="797" t="s">
        <v>1508</v>
      </c>
      <c r="H256" s="810"/>
      <c r="I256" s="799"/>
      <c r="J256" s="800"/>
      <c r="K256" s="801">
        <f t="shared" si="36"/>
        <v>0</v>
      </c>
      <c r="L256" s="799"/>
      <c r="M256" s="799"/>
      <c r="N256" s="800"/>
      <c r="O256" s="799"/>
      <c r="P256" s="802"/>
      <c r="Q256" s="799">
        <v>9119</v>
      </c>
      <c r="R256" s="115"/>
      <c r="S256" s="799">
        <f t="shared" si="37"/>
        <v>0</v>
      </c>
      <c r="T256" s="800"/>
      <c r="U256" s="803"/>
      <c r="V256" s="799"/>
      <c r="W256" s="801">
        <f t="shared" si="38"/>
        <v>0</v>
      </c>
      <c r="X256" s="799"/>
      <c r="Y256" s="799"/>
      <c r="Z256" s="803"/>
      <c r="AA256" s="799"/>
      <c r="AB256" s="801">
        <f t="shared" si="39"/>
        <v>0</v>
      </c>
      <c r="AC256" s="799"/>
      <c r="AD256" s="799"/>
      <c r="AE256" s="800"/>
      <c r="AF256" s="804"/>
      <c r="AG256" s="799"/>
      <c r="AH256" s="800"/>
      <c r="AI256" s="800"/>
      <c r="AJ256" s="801">
        <f t="shared" si="35"/>
        <v>0</v>
      </c>
      <c r="AK256" s="800"/>
      <c r="AL256" s="807"/>
      <c r="AM256" s="807"/>
      <c r="AN256" s="807"/>
      <c r="AO256" s="807"/>
      <c r="AP256" s="807"/>
      <c r="AQ256" s="807"/>
      <c r="AR256" s="805"/>
      <c r="AS256" s="119"/>
      <c r="AT256" s="119"/>
      <c r="AU256" s="120"/>
      <c r="AV256" s="806"/>
      <c r="AW256" s="800"/>
      <c r="AX256" s="807"/>
      <c r="AY256" s="807"/>
      <c r="AZ256" s="807"/>
      <c r="BA256" s="196" t="s">
        <v>1966</v>
      </c>
      <c r="BB256" s="210">
        <v>212097</v>
      </c>
      <c r="BC256" s="115">
        <v>0</v>
      </c>
      <c r="BD256" s="236">
        <v>0</v>
      </c>
    </row>
    <row r="257" spans="1:56" s="808" customFormat="1" ht="14.25" customHeight="1">
      <c r="A257" s="792">
        <v>2024</v>
      </c>
      <c r="B257" s="793" t="str">
        <f>+INDEX('①基本情報 '!C:C,MATCH('③経費情報(2024)'!E257,'①基本情報 '!E:E,0))</f>
        <v>247</v>
      </c>
      <c r="C257" s="794" t="str">
        <f>+INDEX('①基本情報 '!B:B,MATCH('③経費情報(2024)'!E257,'①基本情報 '!E:E,0))</f>
        <v>0857</v>
      </c>
      <c r="D257" s="809" t="s">
        <v>2415</v>
      </c>
      <c r="E257" s="616" t="s">
        <v>1517</v>
      </c>
      <c r="F257" s="616" t="str">
        <f>INDEX('①基本情報 '!F:F,MATCH('③経費情報(2024)'!E257,'①基本情報 '!E:E,0))</f>
        <v>上下水道局</v>
      </c>
      <c r="G257" s="797" t="s">
        <v>1518</v>
      </c>
      <c r="H257" s="810"/>
      <c r="I257" s="799"/>
      <c r="J257" s="800"/>
      <c r="K257" s="801">
        <f t="shared" si="36"/>
        <v>0</v>
      </c>
      <c r="L257" s="799"/>
      <c r="M257" s="799"/>
      <c r="N257" s="800"/>
      <c r="O257" s="799"/>
      <c r="P257" s="802"/>
      <c r="Q257" s="799">
        <v>9119</v>
      </c>
      <c r="R257" s="115"/>
      <c r="S257" s="799">
        <f t="shared" si="37"/>
        <v>0</v>
      </c>
      <c r="T257" s="800"/>
      <c r="U257" s="803"/>
      <c r="V257" s="799"/>
      <c r="W257" s="801">
        <f t="shared" si="38"/>
        <v>0</v>
      </c>
      <c r="X257" s="799"/>
      <c r="Y257" s="799"/>
      <c r="Z257" s="803"/>
      <c r="AA257" s="799"/>
      <c r="AB257" s="801">
        <f t="shared" si="39"/>
        <v>0</v>
      </c>
      <c r="AC257" s="799"/>
      <c r="AD257" s="799"/>
      <c r="AE257" s="800"/>
      <c r="AF257" s="804"/>
      <c r="AG257" s="799"/>
      <c r="AH257" s="800"/>
      <c r="AI257" s="800"/>
      <c r="AJ257" s="801">
        <f t="shared" si="35"/>
        <v>0</v>
      </c>
      <c r="AK257" s="800"/>
      <c r="AL257" s="807"/>
      <c r="AM257" s="807"/>
      <c r="AN257" s="807"/>
      <c r="AO257" s="807"/>
      <c r="AP257" s="807"/>
      <c r="AQ257" s="807"/>
      <c r="AR257" s="805"/>
      <c r="AS257" s="119"/>
      <c r="AT257" s="119"/>
      <c r="AU257" s="120"/>
      <c r="AV257" s="806"/>
      <c r="AW257" s="800"/>
      <c r="AX257" s="807"/>
      <c r="AY257" s="807"/>
      <c r="AZ257" s="807"/>
      <c r="BA257" s="196" t="s">
        <v>1966</v>
      </c>
      <c r="BB257" s="210">
        <v>43853</v>
      </c>
      <c r="BC257" s="115">
        <v>0</v>
      </c>
      <c r="BD257" s="236">
        <v>0</v>
      </c>
    </row>
    <row r="258" spans="1:56" s="808" customFormat="1" ht="14.25" customHeight="1">
      <c r="A258" s="792">
        <v>2024</v>
      </c>
      <c r="B258" s="793" t="str">
        <f>+INDEX('①基本情報 '!C:C,MATCH('③経費情報(2024)'!E258,'①基本情報 '!E:E,0))</f>
        <v>248</v>
      </c>
      <c r="C258" s="794" t="str">
        <f>+INDEX('①基本情報 '!B:B,MATCH('③経費情報(2024)'!E258,'①基本情報 '!E:E,0))</f>
        <v>0874</v>
      </c>
      <c r="D258" s="809" t="s">
        <v>2415</v>
      </c>
      <c r="E258" s="616" t="s">
        <v>1524</v>
      </c>
      <c r="F258" s="616" t="str">
        <f>INDEX('①基本情報 '!F:F,MATCH('③経費情報(2024)'!E258,'①基本情報 '!E:E,0))</f>
        <v>上下水道局</v>
      </c>
      <c r="G258" s="797" t="s">
        <v>1518</v>
      </c>
      <c r="H258" s="810"/>
      <c r="I258" s="799"/>
      <c r="J258" s="800"/>
      <c r="K258" s="801">
        <f t="shared" si="36"/>
        <v>0</v>
      </c>
      <c r="L258" s="799"/>
      <c r="M258" s="799"/>
      <c r="N258" s="800"/>
      <c r="O258" s="799"/>
      <c r="P258" s="802"/>
      <c r="Q258" s="799">
        <v>9119</v>
      </c>
      <c r="R258" s="115"/>
      <c r="S258" s="799">
        <f t="shared" si="37"/>
        <v>0</v>
      </c>
      <c r="T258" s="800"/>
      <c r="U258" s="803"/>
      <c r="V258" s="799"/>
      <c r="W258" s="801">
        <f t="shared" si="38"/>
        <v>0</v>
      </c>
      <c r="X258" s="799"/>
      <c r="Y258" s="799"/>
      <c r="Z258" s="803"/>
      <c r="AA258" s="799"/>
      <c r="AB258" s="801">
        <f t="shared" si="39"/>
        <v>0</v>
      </c>
      <c r="AC258" s="799"/>
      <c r="AD258" s="799"/>
      <c r="AE258" s="800"/>
      <c r="AF258" s="804"/>
      <c r="AG258" s="799"/>
      <c r="AH258" s="800"/>
      <c r="AI258" s="800"/>
      <c r="AJ258" s="801">
        <f t="shared" si="35"/>
        <v>0</v>
      </c>
      <c r="AK258" s="800"/>
      <c r="AL258" s="807"/>
      <c r="AM258" s="807"/>
      <c r="AN258" s="807"/>
      <c r="AO258" s="807"/>
      <c r="AP258" s="807"/>
      <c r="AQ258" s="807"/>
      <c r="AR258" s="805"/>
      <c r="AS258" s="119"/>
      <c r="AT258" s="119"/>
      <c r="AU258" s="120"/>
      <c r="AV258" s="806"/>
      <c r="AW258" s="800"/>
      <c r="AX258" s="807"/>
      <c r="AY258" s="807"/>
      <c r="AZ258" s="807"/>
      <c r="BA258" s="196" t="s">
        <v>1966</v>
      </c>
      <c r="BB258" s="210">
        <v>30487</v>
      </c>
      <c r="BC258" s="115">
        <v>0</v>
      </c>
      <c r="BD258" s="236">
        <v>0</v>
      </c>
    </row>
    <row r="259" spans="1:56" s="808" customFormat="1" ht="14.25" customHeight="1">
      <c r="A259" s="792">
        <v>2024</v>
      </c>
      <c r="B259" s="793" t="str">
        <f>+INDEX('①基本情報 '!C:C,MATCH('③経費情報(2024)'!E259,'①基本情報 '!E:E,0))</f>
        <v>249</v>
      </c>
      <c r="C259" s="794" t="str">
        <f>+INDEX('①基本情報 '!B:B,MATCH('③経費情報(2024)'!E259,'①基本情報 '!E:E,0))</f>
        <v>0875</v>
      </c>
      <c r="D259" s="809" t="s">
        <v>2415</v>
      </c>
      <c r="E259" s="616" t="s">
        <v>1527</v>
      </c>
      <c r="F259" s="616" t="str">
        <f>INDEX('①基本情報 '!F:F,MATCH('③経費情報(2024)'!E259,'①基本情報 '!E:E,0))</f>
        <v>上下水道局</v>
      </c>
      <c r="G259" s="797" t="s">
        <v>1518</v>
      </c>
      <c r="H259" s="810"/>
      <c r="I259" s="799"/>
      <c r="J259" s="800"/>
      <c r="K259" s="801">
        <f t="shared" si="36"/>
        <v>0</v>
      </c>
      <c r="L259" s="799"/>
      <c r="M259" s="799"/>
      <c r="N259" s="800"/>
      <c r="O259" s="799"/>
      <c r="P259" s="802"/>
      <c r="Q259" s="799">
        <v>9119</v>
      </c>
      <c r="R259" s="115"/>
      <c r="S259" s="799">
        <f t="shared" si="37"/>
        <v>0</v>
      </c>
      <c r="T259" s="800"/>
      <c r="U259" s="803"/>
      <c r="V259" s="799"/>
      <c r="W259" s="801">
        <f t="shared" si="38"/>
        <v>0</v>
      </c>
      <c r="X259" s="799"/>
      <c r="Y259" s="799"/>
      <c r="Z259" s="803"/>
      <c r="AA259" s="799"/>
      <c r="AB259" s="801">
        <f t="shared" si="39"/>
        <v>0</v>
      </c>
      <c r="AC259" s="799"/>
      <c r="AD259" s="799"/>
      <c r="AE259" s="800"/>
      <c r="AF259" s="804"/>
      <c r="AG259" s="799"/>
      <c r="AH259" s="800"/>
      <c r="AI259" s="800"/>
      <c r="AJ259" s="801">
        <f t="shared" si="35"/>
        <v>0</v>
      </c>
      <c r="AK259" s="800"/>
      <c r="AL259" s="807"/>
      <c r="AM259" s="807"/>
      <c r="AN259" s="807"/>
      <c r="AO259" s="807"/>
      <c r="AP259" s="807"/>
      <c r="AQ259" s="807"/>
      <c r="AR259" s="805"/>
      <c r="AS259" s="119"/>
      <c r="AT259" s="119"/>
      <c r="AU259" s="120"/>
      <c r="AV259" s="806"/>
      <c r="AW259" s="800"/>
      <c r="AX259" s="807"/>
      <c r="AY259" s="807"/>
      <c r="AZ259" s="807"/>
      <c r="BA259" s="196" t="s">
        <v>1966</v>
      </c>
      <c r="BB259" s="210">
        <v>14373</v>
      </c>
      <c r="BC259" s="115">
        <v>0</v>
      </c>
      <c r="BD259" s="236">
        <v>0</v>
      </c>
    </row>
    <row r="260" spans="1:56" s="808" customFormat="1" ht="14.25" customHeight="1">
      <c r="A260" s="792">
        <v>2024</v>
      </c>
      <c r="B260" s="793" t="str">
        <f>+INDEX('①基本情報 '!C:C,MATCH('③経費情報(2024)'!E260,'①基本情報 '!E:E,0))</f>
        <v>250</v>
      </c>
      <c r="C260" s="794" t="str">
        <f>+INDEX('①基本情報 '!B:B,MATCH('③経費情報(2024)'!E260,'①基本情報 '!E:E,0))</f>
        <v>0869</v>
      </c>
      <c r="D260" s="809" t="s">
        <v>2415</v>
      </c>
      <c r="E260" s="616" t="s">
        <v>1530</v>
      </c>
      <c r="F260" s="616" t="str">
        <f>INDEX('①基本情報 '!F:F,MATCH('③経費情報(2024)'!E260,'①基本情報 '!E:E,0))</f>
        <v>上下水道局</v>
      </c>
      <c r="G260" s="797" t="s">
        <v>1518</v>
      </c>
      <c r="H260" s="810"/>
      <c r="I260" s="799"/>
      <c r="J260" s="800"/>
      <c r="K260" s="801">
        <f>SUBTOTAL(9,H260:J260)</f>
        <v>0</v>
      </c>
      <c r="L260" s="799"/>
      <c r="M260" s="799"/>
      <c r="N260" s="800"/>
      <c r="O260" s="799"/>
      <c r="P260" s="802"/>
      <c r="Q260" s="799">
        <v>9119</v>
      </c>
      <c r="R260" s="115"/>
      <c r="S260" s="799">
        <f>ROUND(P260*Q260,0)+R260</f>
        <v>0</v>
      </c>
      <c r="T260" s="800"/>
      <c r="U260" s="803"/>
      <c r="V260" s="799"/>
      <c r="W260" s="801">
        <f>SUBTOTAL(9,L260:O260,S260:V260)</f>
        <v>0</v>
      </c>
      <c r="X260" s="799"/>
      <c r="Y260" s="799"/>
      <c r="Z260" s="803"/>
      <c r="AA260" s="799"/>
      <c r="AB260" s="801">
        <f t="shared" si="39"/>
        <v>0</v>
      </c>
      <c r="AC260" s="799"/>
      <c r="AD260" s="799"/>
      <c r="AE260" s="800"/>
      <c r="AF260" s="804"/>
      <c r="AG260" s="799"/>
      <c r="AH260" s="800"/>
      <c r="AI260" s="800"/>
      <c r="AJ260" s="801">
        <f t="shared" si="35"/>
        <v>0</v>
      </c>
      <c r="AK260" s="800"/>
      <c r="AL260" s="807"/>
      <c r="AM260" s="807"/>
      <c r="AN260" s="807"/>
      <c r="AO260" s="807"/>
      <c r="AP260" s="807"/>
      <c r="AQ260" s="807"/>
      <c r="AR260" s="805"/>
      <c r="AS260" s="119"/>
      <c r="AT260" s="119"/>
      <c r="AU260" s="120"/>
      <c r="AV260" s="806"/>
      <c r="AW260" s="800"/>
      <c r="AX260" s="807"/>
      <c r="AY260" s="807"/>
      <c r="AZ260" s="807"/>
      <c r="BA260" s="196" t="s">
        <v>1966</v>
      </c>
      <c r="BB260" s="210">
        <v>34264</v>
      </c>
      <c r="BC260" s="115">
        <v>0</v>
      </c>
      <c r="BD260" s="236">
        <v>0</v>
      </c>
    </row>
    <row r="261" spans="1:56" ht="14.25" customHeight="1">
      <c r="A261" s="792">
        <v>2024</v>
      </c>
      <c r="B261" s="793" t="str">
        <f>+INDEX('①基本情報 '!C:C,MATCH('③経費情報(2024)'!E261,'①基本情報 '!E:E,0))</f>
        <v>251</v>
      </c>
      <c r="C261" s="794" t="str">
        <f>+INDEX('①基本情報 '!B:B,MATCH('③経費情報(2024)'!E261,'①基本情報 '!E:E,0))</f>
        <v>0871</v>
      </c>
      <c r="D261" s="809" t="s">
        <v>2415</v>
      </c>
      <c r="E261" s="857" t="s">
        <v>1533</v>
      </c>
      <c r="F261" s="616" t="str">
        <f>INDEX('①基本情報 '!F:F,MATCH('③経費情報(2024)'!E261,'①基本情報 '!E:E,0))</f>
        <v>上下水道局</v>
      </c>
      <c r="G261" s="830" t="s">
        <v>1518</v>
      </c>
      <c r="H261" s="810"/>
      <c r="I261" s="799"/>
      <c r="J261" s="800"/>
      <c r="K261" s="801">
        <f>SUBTOTAL(9,H261:J261)</f>
        <v>0</v>
      </c>
      <c r="L261" s="799"/>
      <c r="M261" s="799"/>
      <c r="N261" s="800"/>
      <c r="O261" s="799"/>
      <c r="P261" s="802"/>
      <c r="Q261" s="799">
        <v>9119</v>
      </c>
      <c r="R261" s="115"/>
      <c r="S261" s="799">
        <f>ROUND(P261*Q261,0)+R261</f>
        <v>0</v>
      </c>
      <c r="T261" s="800"/>
      <c r="U261" s="803"/>
      <c r="V261" s="799"/>
      <c r="W261" s="801">
        <f>SUBTOTAL(9,L261:O261,S261:V261)</f>
        <v>0</v>
      </c>
      <c r="X261" s="799"/>
      <c r="Y261" s="799"/>
      <c r="Z261" s="803"/>
      <c r="AA261" s="799"/>
      <c r="AB261" s="801">
        <f t="shared" si="39"/>
        <v>0</v>
      </c>
      <c r="AC261" s="799"/>
      <c r="AD261" s="799"/>
      <c r="AE261" s="800"/>
      <c r="AF261" s="804"/>
      <c r="AG261" s="799"/>
      <c r="AH261" s="800"/>
      <c r="AI261" s="800"/>
      <c r="AJ261" s="801">
        <f t="shared" ref="AJ261:AJ264" si="46">SUBTOTAL(9,AC261:AI261)</f>
        <v>0</v>
      </c>
      <c r="AK261" s="800"/>
      <c r="AL261" s="807"/>
      <c r="AM261" s="807"/>
      <c r="AN261" s="807"/>
      <c r="AO261" s="807"/>
      <c r="AP261" s="807"/>
      <c r="AQ261" s="807"/>
      <c r="AR261" s="805"/>
      <c r="AS261" s="119"/>
      <c r="AT261" s="119"/>
      <c r="AU261" s="120"/>
      <c r="AV261" s="806"/>
      <c r="AW261" s="800"/>
      <c r="AX261" s="807"/>
      <c r="AY261" s="807"/>
      <c r="AZ261" s="807"/>
      <c r="BA261" s="196" t="s">
        <v>1966</v>
      </c>
      <c r="BB261" s="210">
        <v>82024</v>
      </c>
      <c r="BC261" s="115">
        <v>0</v>
      </c>
      <c r="BD261" s="236">
        <v>0</v>
      </c>
    </row>
    <row r="262" spans="1:56" ht="14.25" customHeight="1">
      <c r="A262" s="792">
        <v>2024</v>
      </c>
      <c r="B262" s="793" t="str">
        <f>+INDEX('①基本情報 '!C:C,MATCH('③経費情報(2024)'!E262,'①基本情報 '!E:E,0))</f>
        <v>252</v>
      </c>
      <c r="C262" s="794" t="str">
        <f>+INDEX('①基本情報 '!B:B,MATCH('③経費情報(2024)'!E262,'①基本情報 '!E:E,0))</f>
        <v>0876</v>
      </c>
      <c r="D262" s="809" t="s">
        <v>2415</v>
      </c>
      <c r="E262" s="616" t="s">
        <v>1536</v>
      </c>
      <c r="F262" s="616" t="str">
        <f>INDEX('①基本情報 '!F:F,MATCH('③経費情報(2024)'!E262,'①基本情報 '!E:E,0))</f>
        <v>上下水道局</v>
      </c>
      <c r="G262" s="797" t="s">
        <v>1518</v>
      </c>
      <c r="H262" s="810"/>
      <c r="I262" s="799"/>
      <c r="J262" s="800"/>
      <c r="K262" s="801">
        <f>SUBTOTAL(9,H262:J262)</f>
        <v>0</v>
      </c>
      <c r="L262" s="799"/>
      <c r="M262" s="799"/>
      <c r="N262" s="800"/>
      <c r="O262" s="799"/>
      <c r="P262" s="802"/>
      <c r="Q262" s="799">
        <v>9119</v>
      </c>
      <c r="R262" s="115"/>
      <c r="S262" s="799">
        <f>ROUND(P262*Q262,0)+R262</f>
        <v>0</v>
      </c>
      <c r="T262" s="800"/>
      <c r="U262" s="803"/>
      <c r="V262" s="799"/>
      <c r="W262" s="801">
        <f>SUBTOTAL(9,L262:O262,S262:V262)</f>
        <v>0</v>
      </c>
      <c r="X262" s="799"/>
      <c r="Y262" s="799"/>
      <c r="Z262" s="803"/>
      <c r="AA262" s="799"/>
      <c r="AB262" s="801">
        <f t="shared" ref="AB262:AB264" si="47">SUBTOTAL(9,X262:AA262)</f>
        <v>0</v>
      </c>
      <c r="AC262" s="799"/>
      <c r="AD262" s="799"/>
      <c r="AE262" s="800"/>
      <c r="AF262" s="804"/>
      <c r="AG262" s="799"/>
      <c r="AH262" s="800"/>
      <c r="AI262" s="800"/>
      <c r="AJ262" s="801">
        <f t="shared" si="46"/>
        <v>0</v>
      </c>
      <c r="AK262" s="800"/>
      <c r="AL262" s="807"/>
      <c r="AM262" s="807"/>
      <c r="AN262" s="807"/>
      <c r="AO262" s="807"/>
      <c r="AP262" s="807"/>
      <c r="AQ262" s="807"/>
      <c r="AR262" s="805"/>
      <c r="AS262" s="119"/>
      <c r="AT262" s="119"/>
      <c r="AU262" s="120"/>
      <c r="AV262" s="806"/>
      <c r="AW262" s="800"/>
      <c r="AX262" s="807"/>
      <c r="AY262" s="807"/>
      <c r="AZ262" s="807"/>
      <c r="BA262" s="196" t="s">
        <v>1966</v>
      </c>
      <c r="BB262" s="210">
        <v>19913</v>
      </c>
      <c r="BC262" s="115">
        <v>0</v>
      </c>
      <c r="BD262" s="236">
        <v>0</v>
      </c>
    </row>
    <row r="263" spans="1:56" ht="14.25" customHeight="1">
      <c r="A263" s="792">
        <v>2024</v>
      </c>
      <c r="B263" s="793" t="str">
        <f>+INDEX('①基本情報 '!C:C,MATCH('③経費情報(2024)'!E263,'①基本情報 '!E:E,0))</f>
        <v>253</v>
      </c>
      <c r="C263" s="794" t="str">
        <f>+INDEX('①基本情報 '!B:B,MATCH('③経費情報(2024)'!E263,'①基本情報 '!E:E,0))</f>
        <v>0873</v>
      </c>
      <c r="D263" s="809" t="s">
        <v>2415</v>
      </c>
      <c r="E263" s="616" t="s">
        <v>1539</v>
      </c>
      <c r="F263" s="616" t="str">
        <f>INDEX('①基本情報 '!F:F,MATCH('③経費情報(2024)'!E263,'①基本情報 '!E:E,0))</f>
        <v>上下水道局</v>
      </c>
      <c r="G263" s="797" t="s">
        <v>1518</v>
      </c>
      <c r="H263" s="810"/>
      <c r="I263" s="799"/>
      <c r="J263" s="800"/>
      <c r="K263" s="801">
        <f>SUBTOTAL(9,H263:J263)</f>
        <v>0</v>
      </c>
      <c r="L263" s="799"/>
      <c r="M263" s="799"/>
      <c r="N263" s="800"/>
      <c r="O263" s="799"/>
      <c r="P263" s="802"/>
      <c r="Q263" s="799">
        <v>9119</v>
      </c>
      <c r="R263" s="115"/>
      <c r="S263" s="799">
        <f>ROUND(P263*Q263,0)+R263</f>
        <v>0</v>
      </c>
      <c r="T263" s="800"/>
      <c r="U263" s="803"/>
      <c r="V263" s="799"/>
      <c r="W263" s="801">
        <f>SUBTOTAL(9,L263:O263,S263:V263)</f>
        <v>0</v>
      </c>
      <c r="X263" s="799"/>
      <c r="Y263" s="799"/>
      <c r="Z263" s="803"/>
      <c r="AA263" s="799"/>
      <c r="AB263" s="801">
        <f t="shared" si="47"/>
        <v>0</v>
      </c>
      <c r="AC263" s="799"/>
      <c r="AD263" s="799"/>
      <c r="AE263" s="800"/>
      <c r="AF263" s="804"/>
      <c r="AG263" s="799"/>
      <c r="AH263" s="800"/>
      <c r="AI263" s="800"/>
      <c r="AJ263" s="801">
        <f t="shared" si="46"/>
        <v>0</v>
      </c>
      <c r="AK263" s="800"/>
      <c r="AL263" s="807"/>
      <c r="AM263" s="807"/>
      <c r="AN263" s="807"/>
      <c r="AO263" s="807"/>
      <c r="AP263" s="807"/>
      <c r="AQ263" s="807"/>
      <c r="AR263" s="805"/>
      <c r="AS263" s="119"/>
      <c r="AT263" s="119"/>
      <c r="AU263" s="120"/>
      <c r="AV263" s="862"/>
      <c r="AW263" s="800"/>
      <c r="AX263" s="807"/>
      <c r="AY263" s="807"/>
      <c r="AZ263" s="807"/>
      <c r="BA263" s="196" t="s">
        <v>1966</v>
      </c>
      <c r="BB263" s="210">
        <v>17130</v>
      </c>
      <c r="BC263" s="115">
        <v>0</v>
      </c>
      <c r="BD263" s="236">
        <v>0</v>
      </c>
    </row>
    <row r="264" spans="1:56" ht="14.25" customHeight="1">
      <c r="A264" s="871">
        <v>2024</v>
      </c>
      <c r="B264" s="872" t="str">
        <f>+INDEX('①基本情報 '!C:C,MATCH('③経費情報(2024)'!E264,'①基本情報 '!E:E,0))</f>
        <v>254</v>
      </c>
      <c r="C264" s="873" t="str">
        <f>+INDEX('①基本情報 '!B:B,MATCH('③経費情報(2024)'!E264,'①基本情報 '!E:E,0))</f>
        <v>9801</v>
      </c>
      <c r="D264" s="874" t="s">
        <v>2415</v>
      </c>
      <c r="E264" s="875" t="s">
        <v>1542</v>
      </c>
      <c r="F264" s="875" t="str">
        <f>INDEX('①基本情報 '!F:F,MATCH('③経費情報(2024)'!E264,'①基本情報 '!E:E,0))</f>
        <v>交通局</v>
      </c>
      <c r="G264" s="876" t="s">
        <v>1542</v>
      </c>
      <c r="H264" s="877"/>
      <c r="I264" s="878"/>
      <c r="J264" s="879"/>
      <c r="K264" s="880">
        <f>SUBTOTAL(9,H264:J264)</f>
        <v>0</v>
      </c>
      <c r="L264" s="878"/>
      <c r="M264" s="878"/>
      <c r="N264" s="879"/>
      <c r="O264" s="878"/>
      <c r="P264" s="881"/>
      <c r="Q264" s="882">
        <v>9119</v>
      </c>
      <c r="R264" s="883"/>
      <c r="S264" s="878">
        <f>ROUND(P264*Q264,0)+R264</f>
        <v>0</v>
      </c>
      <c r="T264" s="879"/>
      <c r="U264" s="884"/>
      <c r="V264" s="878"/>
      <c r="W264" s="880">
        <f>SUBTOTAL(9,L264:O264,S264:V264)</f>
        <v>0</v>
      </c>
      <c r="X264" s="878"/>
      <c r="Y264" s="878"/>
      <c r="Z264" s="884"/>
      <c r="AA264" s="878"/>
      <c r="AB264" s="880">
        <f t="shared" si="47"/>
        <v>0</v>
      </c>
      <c r="AC264" s="878"/>
      <c r="AD264" s="878"/>
      <c r="AE264" s="879"/>
      <c r="AF264" s="885"/>
      <c r="AG264" s="878"/>
      <c r="AH264" s="879"/>
      <c r="AI264" s="879"/>
      <c r="AJ264" s="880">
        <f t="shared" si="46"/>
        <v>0</v>
      </c>
      <c r="AK264" s="886"/>
      <c r="AL264" s="887"/>
      <c r="AM264" s="887"/>
      <c r="AN264" s="887"/>
      <c r="AO264" s="887"/>
      <c r="AP264" s="887"/>
      <c r="AQ264" s="887"/>
      <c r="AR264" s="888"/>
      <c r="AS264" s="889"/>
      <c r="AT264" s="889"/>
      <c r="AU264" s="890"/>
      <c r="AV264" s="891"/>
      <c r="AW264" s="886"/>
      <c r="AX264" s="887"/>
      <c r="AY264" s="887"/>
      <c r="AZ264" s="887"/>
      <c r="BA264" s="892" t="s">
        <v>1966</v>
      </c>
      <c r="BB264" s="893"/>
      <c r="BC264" s="175"/>
      <c r="BD264" s="894"/>
    </row>
  </sheetData>
  <autoFilter ref="A3:BD263" xr:uid="{00000000-0009-0000-0000-000002000000}"/>
  <phoneticPr fontId="5"/>
  <conditionalFormatting sqref="E4">
    <cfRule type="duplicateValues" dxfId="224" priority="7"/>
  </conditionalFormatting>
  <conditionalFormatting sqref="E5:E9">
    <cfRule type="duplicateValues" dxfId="223" priority="39"/>
  </conditionalFormatting>
  <conditionalFormatting sqref="E10">
    <cfRule type="duplicateValues" dxfId="222" priority="34"/>
  </conditionalFormatting>
  <conditionalFormatting sqref="E11:E12">
    <cfRule type="duplicateValues" dxfId="221" priority="8"/>
  </conditionalFormatting>
  <conditionalFormatting sqref="E13">
    <cfRule type="duplicateValues" dxfId="220" priority="29"/>
  </conditionalFormatting>
  <conditionalFormatting sqref="E15">
    <cfRule type="duplicateValues" dxfId="219" priority="6"/>
  </conditionalFormatting>
  <conditionalFormatting sqref="E16">
    <cfRule type="duplicateValues" dxfId="218" priority="37"/>
  </conditionalFormatting>
  <conditionalFormatting sqref="E17">
    <cfRule type="duplicateValues" dxfId="217" priority="23"/>
  </conditionalFormatting>
  <conditionalFormatting sqref="E18">
    <cfRule type="duplicateValues" dxfId="216" priority="11"/>
  </conditionalFormatting>
  <conditionalFormatting sqref="E19">
    <cfRule type="duplicateValues" dxfId="215" priority="22"/>
  </conditionalFormatting>
  <conditionalFormatting sqref="E20">
    <cfRule type="duplicateValues" dxfId="214" priority="33"/>
  </conditionalFormatting>
  <conditionalFormatting sqref="E21:E32">
    <cfRule type="duplicateValues" dxfId="213" priority="38"/>
  </conditionalFormatting>
  <conditionalFormatting sqref="E33:E37">
    <cfRule type="duplicateValues" dxfId="212" priority="32"/>
  </conditionalFormatting>
  <conditionalFormatting sqref="E38:E41">
    <cfRule type="duplicateValues" dxfId="211" priority="19"/>
  </conditionalFormatting>
  <conditionalFormatting sqref="E77">
    <cfRule type="duplicateValues" dxfId="210" priority="3"/>
  </conditionalFormatting>
  <conditionalFormatting sqref="E78:E89 E42:E76">
    <cfRule type="duplicateValues" dxfId="209" priority="31"/>
  </conditionalFormatting>
  <conditionalFormatting sqref="E90">
    <cfRule type="duplicateValues" dxfId="208" priority="36"/>
  </conditionalFormatting>
  <conditionalFormatting sqref="E91:E103">
    <cfRule type="duplicateValues" dxfId="207" priority="54"/>
  </conditionalFormatting>
  <conditionalFormatting sqref="E104">
    <cfRule type="duplicateValues" dxfId="206" priority="20"/>
  </conditionalFormatting>
  <conditionalFormatting sqref="E105:E106">
    <cfRule type="duplicateValues" dxfId="205" priority="25"/>
  </conditionalFormatting>
  <conditionalFormatting sqref="E107:E108">
    <cfRule type="duplicateValues" dxfId="204" priority="15"/>
  </conditionalFormatting>
  <conditionalFormatting sqref="E109:E111">
    <cfRule type="duplicateValues" dxfId="203" priority="52"/>
  </conditionalFormatting>
  <conditionalFormatting sqref="E112">
    <cfRule type="duplicateValues" dxfId="202" priority="2"/>
  </conditionalFormatting>
  <conditionalFormatting sqref="E113">
    <cfRule type="duplicateValues" dxfId="201" priority="27"/>
  </conditionalFormatting>
  <conditionalFormatting sqref="E114">
    <cfRule type="duplicateValues" dxfId="200" priority="28"/>
  </conditionalFormatting>
  <conditionalFormatting sqref="E115:E116">
    <cfRule type="duplicateValues" dxfId="199" priority="14"/>
  </conditionalFormatting>
  <conditionalFormatting sqref="E117">
    <cfRule type="duplicateValues" dxfId="198" priority="5"/>
  </conditionalFormatting>
  <conditionalFormatting sqref="E118">
    <cfRule type="duplicateValues" dxfId="197" priority="48"/>
  </conditionalFormatting>
  <conditionalFormatting sqref="E124:E140">
    <cfRule type="duplicateValues" dxfId="196" priority="10"/>
  </conditionalFormatting>
  <conditionalFormatting sqref="E141:E157">
    <cfRule type="duplicateValues" dxfId="195" priority="26"/>
  </conditionalFormatting>
  <conditionalFormatting sqref="E158:E165">
    <cfRule type="duplicateValues" dxfId="194" priority="9"/>
  </conditionalFormatting>
  <conditionalFormatting sqref="E166">
    <cfRule type="duplicateValues" dxfId="193" priority="42"/>
  </conditionalFormatting>
  <conditionalFormatting sqref="E168">
    <cfRule type="duplicateValues" dxfId="192" priority="41"/>
  </conditionalFormatting>
  <conditionalFormatting sqref="E169">
    <cfRule type="duplicateValues" dxfId="191" priority="40"/>
  </conditionalFormatting>
  <conditionalFormatting sqref="E170:E183">
    <cfRule type="duplicateValues" dxfId="190" priority="53"/>
  </conditionalFormatting>
  <conditionalFormatting sqref="E184">
    <cfRule type="duplicateValues" dxfId="189" priority="46"/>
  </conditionalFormatting>
  <conditionalFormatting sqref="E185">
    <cfRule type="duplicateValues" dxfId="188" priority="1"/>
  </conditionalFormatting>
  <conditionalFormatting sqref="E190">
    <cfRule type="duplicateValues" dxfId="187" priority="35"/>
  </conditionalFormatting>
  <conditionalFormatting sqref="E191:E192">
    <cfRule type="duplicateValues" dxfId="186" priority="30"/>
  </conditionalFormatting>
  <conditionalFormatting sqref="E193">
    <cfRule type="duplicateValues" dxfId="185" priority="49"/>
  </conditionalFormatting>
  <conditionalFormatting sqref="E194:E219">
    <cfRule type="duplicateValues" dxfId="184" priority="13"/>
  </conditionalFormatting>
  <conditionalFormatting sqref="E220:E226">
    <cfRule type="duplicateValues" dxfId="183" priority="18"/>
  </conditionalFormatting>
  <conditionalFormatting sqref="E227">
    <cfRule type="duplicateValues" dxfId="182" priority="43"/>
  </conditionalFormatting>
  <conditionalFormatting sqref="E228:E231">
    <cfRule type="duplicateValues" dxfId="181" priority="4"/>
  </conditionalFormatting>
  <conditionalFormatting sqref="E232:E244">
    <cfRule type="duplicateValues" dxfId="180" priority="17"/>
  </conditionalFormatting>
  <conditionalFormatting sqref="E245">
    <cfRule type="duplicateValues" dxfId="179" priority="45"/>
  </conditionalFormatting>
  <conditionalFormatting sqref="E246">
    <cfRule type="duplicateValues" dxfId="178" priority="16"/>
  </conditionalFormatting>
  <conditionalFormatting sqref="E247">
    <cfRule type="duplicateValues" dxfId="177" priority="44"/>
  </conditionalFormatting>
  <conditionalFormatting sqref="E248">
    <cfRule type="duplicateValues" dxfId="176" priority="24"/>
  </conditionalFormatting>
  <conditionalFormatting sqref="E249">
    <cfRule type="duplicateValues" dxfId="175" priority="21"/>
  </conditionalFormatting>
  <conditionalFormatting sqref="E250">
    <cfRule type="duplicateValues" dxfId="174" priority="47"/>
  </conditionalFormatting>
  <conditionalFormatting sqref="E251">
    <cfRule type="duplicateValues" dxfId="173" priority="12"/>
  </conditionalFormatting>
  <conditionalFormatting sqref="E252:E260 E1:E3 E119:E123 E167 E186:E189 E14">
    <cfRule type="duplicateValues" dxfId="172" priority="51"/>
  </conditionalFormatting>
  <conditionalFormatting sqref="E261:E264">
    <cfRule type="duplicateValues" dxfId="171" priority="50"/>
  </conditionalFormatting>
  <dataValidations count="4">
    <dataValidation allowBlank="1" showInputMessage="1" showErrorMessage="1" promptTitle="お願い" prompt="・千円単位で入力してください。_x000a_・式は入れず、数値を直接入力して下さい。" sqref="AC4:AI1048576" xr:uid="{10729CAE-D4A7-480C-A697-EE39631D0BC6}"/>
    <dataValidation type="whole" operator="greaterThan" allowBlank="1" showInputMessage="1" showErrorMessage="1" promptTitle="お願い" prompt="・千円単位で入力してください。_x000a_・数式は入れず、数値のみ入力してください。" sqref="T4:V264 X4:AA264 R4:R264" xr:uid="{C5855E62-9173-4F36-9082-091736664477}">
      <formula1>0</formula1>
    </dataValidation>
    <dataValidation imeMode="halfAlpha" allowBlank="1" showInputMessage="1" showErrorMessage="1" error="半角数字に変換してください_x000a_" promptTitle="お願い" prompt="千円単位で入力してください。_x000a_数式は入れず、直接数値を入力してください。" sqref="L4:O1048576" xr:uid="{7835DEFF-57EA-4D2C-B5B3-650417E7439F}"/>
    <dataValidation allowBlank="1" showInputMessage="1" showErrorMessage="1" promptTitle="お願い" prompt="・千円単位で入力してください。_x000a_・式は入れず、数値のみ入力してください。" sqref="H4:J1048576" xr:uid="{CC7CA9E5-EBCC-46B2-A230-EF5A8BFEADA9}"/>
  </dataValidations>
  <pageMargins left="0.70866141732283472" right="0.70866141732283472" top="0.74803149606299213" bottom="0.74803149606299213" header="0.31496062992125984" footer="0.31496062992125984"/>
  <pageSetup paperSize="8" scale="65" fitToWidth="2" fitToHeight="0" orientation="landscape" r:id="rId1"/>
  <headerFooter>
    <oddHeader>&amp;L&amp;A&amp;R&amp;F</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G718"/>
  <sheetViews>
    <sheetView topLeftCell="A2" zoomScaleNormal="100" workbookViewId="0">
      <pane xSplit="7" ySplit="2" topLeftCell="H4" activePane="bottomRight" state="frozen"/>
      <selection activeCell="A2" sqref="A2"/>
      <selection pane="topRight" activeCell="H2" sqref="H2"/>
      <selection pane="bottomLeft" activeCell="A4" sqref="A4"/>
      <selection pane="bottomRight" activeCell="H35" sqref="H35"/>
    </sheetView>
    <sheetView workbookViewId="1"/>
  </sheetViews>
  <sheetFormatPr defaultColWidth="9" defaultRowHeight="12" outlineLevelCol="1"/>
  <cols>
    <col min="1" max="1" width="5.5" style="180" customWidth="1"/>
    <col min="2" max="2" width="3.875" style="181" customWidth="1"/>
    <col min="3" max="3" width="4.125" style="181" customWidth="1"/>
    <col min="4" max="4" width="4.125" style="182" customWidth="1"/>
    <col min="5" max="5" width="13.875" style="183" customWidth="1"/>
    <col min="6" max="6" width="7.375" style="183" customWidth="1"/>
    <col min="7" max="7" width="22.875" style="183" customWidth="1"/>
    <col min="8" max="8" width="18.75" style="184" bestFit="1" customWidth="1"/>
    <col min="9" max="10" width="6.75" style="184" customWidth="1"/>
    <col min="11" max="11" width="6.75" style="163" customWidth="1"/>
    <col min="12" max="15" width="6.875" style="184" customWidth="1"/>
    <col min="16" max="16" width="14.75" style="163" bestFit="1" customWidth="1"/>
    <col min="17" max="17" width="14.125" style="163" bestFit="1" customWidth="1"/>
    <col min="18" max="18" width="10" style="185" customWidth="1"/>
    <col min="19" max="19" width="10.75" style="163" bestFit="1" customWidth="1"/>
    <col min="20" max="21" width="6.875" style="184" customWidth="1"/>
    <col min="22" max="22" width="7.5" style="184" customWidth="1"/>
    <col min="23" max="23" width="6.875" style="163" customWidth="1"/>
    <col min="24" max="27" width="7.5" style="184" customWidth="1"/>
    <col min="28" max="28" width="7.5" style="163" customWidth="1"/>
    <col min="29" max="35" width="7.5" style="184" customWidth="1"/>
    <col min="36" max="36" width="8.5" style="163" bestFit="1" customWidth="1"/>
    <col min="37" max="37" width="8" style="163" customWidth="1"/>
    <col min="38" max="38" width="9.625" style="163" customWidth="1"/>
    <col min="39" max="39" width="8" style="163" customWidth="1"/>
    <col min="40" max="41" width="9.625" style="163" customWidth="1"/>
    <col min="42" max="43" width="10.125" style="163" customWidth="1"/>
    <col min="44" max="44" width="14.375" style="186" customWidth="1"/>
    <col min="45" max="46" width="14.375" style="187" customWidth="1"/>
    <col min="47" max="47" width="15.125" style="187" customWidth="1"/>
    <col min="48" max="48" width="4.625" style="246" hidden="1" customWidth="1" outlineLevel="1"/>
    <col min="49" max="53" width="9.75" style="163" hidden="1" customWidth="1" outlineLevel="1"/>
    <col min="54" max="54" width="9" style="163" collapsed="1"/>
    <col min="55" max="55" width="9" style="163"/>
    <col min="56" max="56" width="11.75" style="163" customWidth="1"/>
    <col min="57" max="58" width="9" style="163" hidden="1" customWidth="1" outlineLevel="1"/>
    <col min="59" max="59" width="9" style="163" collapsed="1"/>
    <col min="60" max="16384" width="9" style="163"/>
  </cols>
  <sheetData>
    <row r="1" spans="1:57" s="90" customFormat="1" ht="13.5">
      <c r="A1" s="76" t="s">
        <v>1803</v>
      </c>
      <c r="B1" s="77"/>
      <c r="C1" s="77"/>
      <c r="D1" s="78"/>
      <c r="E1" s="79"/>
      <c r="F1" s="79"/>
      <c r="G1" s="79"/>
      <c r="H1" s="80" t="s">
        <v>2431</v>
      </c>
      <c r="I1" s="81"/>
      <c r="J1" s="81"/>
      <c r="K1" s="82"/>
      <c r="L1" s="225" t="s">
        <v>2432</v>
      </c>
      <c r="M1" s="81"/>
      <c r="N1" s="81"/>
      <c r="O1" s="81"/>
      <c r="P1" s="84"/>
      <c r="Q1" s="84"/>
      <c r="R1" s="85"/>
      <c r="S1" s="84"/>
      <c r="T1" s="81"/>
      <c r="U1" s="81"/>
      <c r="V1" s="84"/>
      <c r="W1" s="82"/>
      <c r="X1" s="80" t="s">
        <v>2433</v>
      </c>
      <c r="Y1" s="81"/>
      <c r="Z1" s="81"/>
      <c r="AA1" s="81"/>
      <c r="AB1" s="82"/>
      <c r="AC1" s="80" t="s">
        <v>2434</v>
      </c>
      <c r="AD1" s="81"/>
      <c r="AE1" s="81"/>
      <c r="AF1" s="81"/>
      <c r="AG1" s="81"/>
      <c r="AH1" s="81"/>
      <c r="AI1" s="81"/>
      <c r="AJ1" s="82"/>
      <c r="AK1" s="481" t="s">
        <v>1987</v>
      </c>
      <c r="AL1" s="81"/>
      <c r="AM1" s="81"/>
      <c r="AN1" s="81"/>
      <c r="AO1" s="81"/>
      <c r="AP1" s="81" t="s">
        <v>1988</v>
      </c>
      <c r="AQ1" s="81" t="s">
        <v>1991</v>
      </c>
      <c r="AR1" s="87" t="s">
        <v>1804</v>
      </c>
      <c r="AS1" s="88"/>
      <c r="AT1" s="88"/>
      <c r="AU1" s="89"/>
      <c r="AV1" s="465" t="s">
        <v>1952</v>
      </c>
      <c r="AW1" s="466"/>
      <c r="AX1" s="466"/>
      <c r="AY1" s="466"/>
      <c r="AZ1" s="466"/>
      <c r="BA1" s="469"/>
      <c r="BB1" s="225" t="s">
        <v>2422</v>
      </c>
      <c r="BC1" s="84"/>
      <c r="BD1" s="226"/>
    </row>
    <row r="2" spans="1:57" s="90" customFormat="1" ht="13.5">
      <c r="A2" s="76"/>
      <c r="B2" s="77"/>
      <c r="C2" s="77"/>
      <c r="D2" s="78"/>
      <c r="E2" s="79"/>
      <c r="F2" s="79"/>
      <c r="G2" s="79"/>
      <c r="H2" s="80" t="s">
        <v>1820</v>
      </c>
      <c r="I2" s="81" t="s">
        <v>1821</v>
      </c>
      <c r="J2" s="81" t="s">
        <v>1822</v>
      </c>
      <c r="K2" s="82" t="s">
        <v>1823</v>
      </c>
      <c r="L2" s="81" t="s">
        <v>1824</v>
      </c>
      <c r="M2" s="81" t="s">
        <v>1825</v>
      </c>
      <c r="N2" s="81" t="s">
        <v>1826</v>
      </c>
      <c r="O2" s="81" t="s">
        <v>1827</v>
      </c>
      <c r="P2" s="83" t="s">
        <v>1819</v>
      </c>
      <c r="Q2" s="84"/>
      <c r="R2" s="85"/>
      <c r="S2" s="84" t="s">
        <v>1828</v>
      </c>
      <c r="T2" s="81" t="s">
        <v>1829</v>
      </c>
      <c r="U2" s="81" t="s">
        <v>1830</v>
      </c>
      <c r="V2" s="84" t="s">
        <v>1831</v>
      </c>
      <c r="W2" s="82" t="s">
        <v>1832</v>
      </c>
      <c r="X2" s="81" t="s">
        <v>1833</v>
      </c>
      <c r="Y2" s="81" t="s">
        <v>1834</v>
      </c>
      <c r="Z2" s="81" t="s">
        <v>1835</v>
      </c>
      <c r="AA2" s="81" t="s">
        <v>1836</v>
      </c>
      <c r="AB2" s="82" t="s">
        <v>1837</v>
      </c>
      <c r="AC2" s="81" t="s">
        <v>1838</v>
      </c>
      <c r="AD2" s="81" t="s">
        <v>1839</v>
      </c>
      <c r="AE2" s="81" t="s">
        <v>1840</v>
      </c>
      <c r="AF2" s="81" t="s">
        <v>1841</v>
      </c>
      <c r="AG2" s="84" t="s">
        <v>1842</v>
      </c>
      <c r="AH2" s="81" t="s">
        <v>1843</v>
      </c>
      <c r="AI2" s="81" t="s">
        <v>1844</v>
      </c>
      <c r="AJ2" s="82" t="s">
        <v>1845</v>
      </c>
      <c r="AK2" s="81"/>
      <c r="AL2" s="81"/>
      <c r="AM2" s="81"/>
      <c r="AN2" s="81"/>
      <c r="AO2" s="81"/>
      <c r="AP2" s="81" t="s">
        <v>1989</v>
      </c>
      <c r="AQ2" s="81" t="s">
        <v>1989</v>
      </c>
      <c r="AR2" s="87"/>
      <c r="AS2" s="88"/>
      <c r="AT2" s="88"/>
      <c r="AU2" s="89"/>
      <c r="AV2" s="470"/>
      <c r="AW2" s="466"/>
      <c r="AX2" s="466"/>
      <c r="AY2" s="466"/>
      <c r="AZ2" s="466"/>
      <c r="BA2" s="469"/>
      <c r="BB2" s="225"/>
      <c r="BC2" s="84"/>
      <c r="BD2" s="226"/>
    </row>
    <row r="3" spans="1:57" s="103" customFormat="1" ht="36">
      <c r="A3" s="482" t="s">
        <v>1805</v>
      </c>
      <c r="B3" s="483" t="s">
        <v>0</v>
      </c>
      <c r="C3" s="483" t="s">
        <v>1</v>
      </c>
      <c r="D3" s="484" t="s">
        <v>2417</v>
      </c>
      <c r="E3" s="485" t="s">
        <v>2414</v>
      </c>
      <c r="F3" s="485" t="s">
        <v>1806</v>
      </c>
      <c r="G3" s="485" t="s">
        <v>1807</v>
      </c>
      <c r="H3" s="482" t="s">
        <v>2391</v>
      </c>
      <c r="I3" s="486" t="s">
        <v>2392</v>
      </c>
      <c r="J3" s="486" t="s">
        <v>2393</v>
      </c>
      <c r="K3" s="487" t="s">
        <v>2394</v>
      </c>
      <c r="L3" s="486" t="s">
        <v>2396</v>
      </c>
      <c r="M3" s="486" t="s">
        <v>2398</v>
      </c>
      <c r="N3" s="486" t="s">
        <v>2399</v>
      </c>
      <c r="O3" s="486" t="s">
        <v>2397</v>
      </c>
      <c r="P3" s="486" t="s">
        <v>1818</v>
      </c>
      <c r="Q3" s="486" t="s">
        <v>1817</v>
      </c>
      <c r="R3" s="488" t="s">
        <v>2440</v>
      </c>
      <c r="S3" s="486" t="s">
        <v>2395</v>
      </c>
      <c r="T3" s="486" t="s">
        <v>2400</v>
      </c>
      <c r="U3" s="489" t="s">
        <v>2401</v>
      </c>
      <c r="V3" s="486" t="s">
        <v>2404</v>
      </c>
      <c r="W3" s="487" t="s">
        <v>2394</v>
      </c>
      <c r="X3" s="486" t="s">
        <v>2403</v>
      </c>
      <c r="Y3" s="486" t="s">
        <v>2392</v>
      </c>
      <c r="Z3" s="489" t="s">
        <v>2393</v>
      </c>
      <c r="AA3" s="486" t="s">
        <v>2402</v>
      </c>
      <c r="AB3" s="487" t="s">
        <v>2394</v>
      </c>
      <c r="AC3" s="486" t="s">
        <v>2396</v>
      </c>
      <c r="AD3" s="486" t="s">
        <v>2398</v>
      </c>
      <c r="AE3" s="486" t="s">
        <v>2399</v>
      </c>
      <c r="AF3" s="489" t="s">
        <v>2397</v>
      </c>
      <c r="AG3" s="486" t="s">
        <v>2395</v>
      </c>
      <c r="AH3" s="486" t="s">
        <v>2400</v>
      </c>
      <c r="AI3" s="486" t="s">
        <v>2401</v>
      </c>
      <c r="AJ3" s="487" t="s">
        <v>2394</v>
      </c>
      <c r="AK3" s="486" t="s">
        <v>1948</v>
      </c>
      <c r="AL3" s="490" t="s">
        <v>1949</v>
      </c>
      <c r="AM3" s="490" t="s">
        <v>1950</v>
      </c>
      <c r="AN3" s="490" t="s">
        <v>1954</v>
      </c>
      <c r="AO3" s="490" t="s">
        <v>1951</v>
      </c>
      <c r="AP3" s="490" t="s">
        <v>1990</v>
      </c>
      <c r="AQ3" s="490" t="s">
        <v>1992</v>
      </c>
      <c r="AR3" s="491" t="s">
        <v>1808</v>
      </c>
      <c r="AS3" s="492" t="s">
        <v>1809</v>
      </c>
      <c r="AT3" s="492" t="s">
        <v>1810</v>
      </c>
      <c r="AU3" s="493" t="s">
        <v>1811</v>
      </c>
      <c r="AV3" s="489" t="s">
        <v>1953</v>
      </c>
      <c r="AW3" s="486" t="s">
        <v>1948</v>
      </c>
      <c r="AX3" s="490" t="s">
        <v>1949</v>
      </c>
      <c r="AY3" s="490" t="s">
        <v>1950</v>
      </c>
      <c r="AZ3" s="490" t="s">
        <v>1954</v>
      </c>
      <c r="BA3" s="494" t="s">
        <v>1951</v>
      </c>
      <c r="BB3" s="495" t="s">
        <v>2423</v>
      </c>
      <c r="BC3" s="496" t="s">
        <v>2424</v>
      </c>
      <c r="BD3" s="497" t="s">
        <v>2425</v>
      </c>
      <c r="BE3" s="318" t="s">
        <v>2576</v>
      </c>
    </row>
    <row r="4" spans="1:57" s="121" customFormat="1" ht="14.25" customHeight="1">
      <c r="A4" s="104">
        <v>2023</v>
      </c>
      <c r="B4" s="105" t="s">
        <v>51</v>
      </c>
      <c r="C4" s="556" t="s">
        <v>2699</v>
      </c>
      <c r="D4" s="107" t="s">
        <v>2415</v>
      </c>
      <c r="E4" s="550" t="s">
        <v>53</v>
      </c>
      <c r="F4" s="108" t="s">
        <v>54</v>
      </c>
      <c r="G4" s="68" t="s">
        <v>2426</v>
      </c>
      <c r="H4" s="386"/>
      <c r="I4" s="387"/>
      <c r="J4" s="388"/>
      <c r="K4" s="462">
        <v>0</v>
      </c>
      <c r="L4" s="387"/>
      <c r="M4" s="387"/>
      <c r="N4" s="388"/>
      <c r="O4" s="387"/>
      <c r="P4" s="389"/>
      <c r="Q4" s="387">
        <v>8495</v>
      </c>
      <c r="R4" s="390"/>
      <c r="S4" s="387">
        <v>0</v>
      </c>
      <c r="T4" s="388"/>
      <c r="U4" s="391"/>
      <c r="V4" s="387"/>
      <c r="W4" s="462">
        <v>0</v>
      </c>
      <c r="X4" s="387"/>
      <c r="Y4" s="387"/>
      <c r="Z4" s="391"/>
      <c r="AA4" s="387"/>
      <c r="AB4" s="462">
        <v>0</v>
      </c>
      <c r="AC4" s="387"/>
      <c r="AD4" s="387"/>
      <c r="AE4" s="388"/>
      <c r="AF4" s="392"/>
      <c r="AG4" s="387"/>
      <c r="AH4" s="388"/>
      <c r="AI4" s="388"/>
      <c r="AJ4" s="462">
        <v>0</v>
      </c>
      <c r="AK4" s="388">
        <v>9709095.9839999992</v>
      </c>
      <c r="AL4" s="388">
        <v>341969.58199999999</v>
      </c>
      <c r="AM4" s="388">
        <v>9367126.4020000007</v>
      </c>
      <c r="AN4" s="388">
        <v>341969.58199999999</v>
      </c>
      <c r="AO4" s="467">
        <v>3.5221567750853951E-2</v>
      </c>
      <c r="AP4" s="468">
        <v>341969.58199999999</v>
      </c>
      <c r="AQ4" s="468">
        <v>-341969.58199999999</v>
      </c>
      <c r="AR4" s="393"/>
      <c r="AS4" s="394"/>
      <c r="AT4" s="394"/>
      <c r="AU4" s="395"/>
      <c r="AV4" s="471"/>
      <c r="AW4" s="388">
        <v>9709095984</v>
      </c>
      <c r="AX4" s="424">
        <v>341969582</v>
      </c>
      <c r="AY4" s="424">
        <v>9367126402</v>
      </c>
      <c r="AZ4" s="424">
        <v>341969582</v>
      </c>
      <c r="BA4" s="472">
        <v>3.5221567750853951E-2</v>
      </c>
      <c r="BB4" s="453">
        <v>1666643</v>
      </c>
      <c r="BC4" s="390">
        <v>4</v>
      </c>
      <c r="BD4" s="236">
        <v>1</v>
      </c>
    </row>
    <row r="5" spans="1:57" s="121" customFormat="1" ht="14.25" customHeight="1">
      <c r="A5" s="104">
        <v>2023</v>
      </c>
      <c r="B5" s="105" t="s">
        <v>75</v>
      </c>
      <c r="C5" s="556" t="s">
        <v>76</v>
      </c>
      <c r="D5" s="106" t="s">
        <v>2415</v>
      </c>
      <c r="E5" s="150" t="s">
        <v>77</v>
      </c>
      <c r="F5" s="71" t="s">
        <v>78</v>
      </c>
      <c r="G5" s="68" t="s">
        <v>2582</v>
      </c>
      <c r="H5" s="386"/>
      <c r="I5" s="388">
        <v>889</v>
      </c>
      <c r="J5" s="388"/>
      <c r="K5" s="462">
        <v>889</v>
      </c>
      <c r="L5" s="388"/>
      <c r="M5" s="387"/>
      <c r="N5" s="388"/>
      <c r="O5" s="388"/>
      <c r="P5" s="389">
        <v>2</v>
      </c>
      <c r="Q5" s="387">
        <v>8495</v>
      </c>
      <c r="R5" s="390">
        <v>3360</v>
      </c>
      <c r="S5" s="387">
        <v>20350</v>
      </c>
      <c r="T5" s="388">
        <v>746</v>
      </c>
      <c r="U5" s="391">
        <v>373</v>
      </c>
      <c r="V5" s="387"/>
      <c r="W5" s="462">
        <v>21469</v>
      </c>
      <c r="X5" s="387"/>
      <c r="Y5" s="387"/>
      <c r="Z5" s="391"/>
      <c r="AA5" s="387"/>
      <c r="AB5" s="462">
        <v>0</v>
      </c>
      <c r="AC5" s="387"/>
      <c r="AD5" s="387"/>
      <c r="AE5" s="388"/>
      <c r="AF5" s="392"/>
      <c r="AG5" s="387"/>
      <c r="AH5" s="388"/>
      <c r="AI5" s="388"/>
      <c r="AJ5" s="462">
        <v>0</v>
      </c>
      <c r="AK5" s="388">
        <v>31661.760758283028</v>
      </c>
      <c r="AL5" s="388">
        <v>10744.882327993537</v>
      </c>
      <c r="AM5" s="388">
        <v>20916.878430289493</v>
      </c>
      <c r="AN5" s="388">
        <v>1134.6292913438228</v>
      </c>
      <c r="AO5" s="467">
        <v>0.33936464904853941</v>
      </c>
      <c r="AP5" s="468">
        <v>22603.629291343823</v>
      </c>
      <c r="AQ5" s="468">
        <v>-21714.629291343823</v>
      </c>
      <c r="AR5" s="393" t="s">
        <v>2613</v>
      </c>
      <c r="AS5" s="394" t="s">
        <v>2616</v>
      </c>
      <c r="AT5" s="394"/>
      <c r="AU5" s="395"/>
      <c r="AV5" s="471" t="s">
        <v>2484</v>
      </c>
      <c r="AW5" s="388">
        <v>31661760.758283027</v>
      </c>
      <c r="AX5" s="424">
        <v>10744882.327993536</v>
      </c>
      <c r="AY5" s="424">
        <v>20916878.430289492</v>
      </c>
      <c r="AZ5" s="424">
        <v>1134629.2913438228</v>
      </c>
      <c r="BA5" s="472">
        <v>0.33936464904853941</v>
      </c>
      <c r="BB5" s="453">
        <v>0</v>
      </c>
      <c r="BC5" s="390">
        <v>0</v>
      </c>
      <c r="BD5" s="236">
        <v>0</v>
      </c>
    </row>
    <row r="6" spans="1:57" s="121" customFormat="1" ht="14.25" customHeight="1">
      <c r="A6" s="104">
        <v>2023</v>
      </c>
      <c r="B6" s="105" t="s">
        <v>88</v>
      </c>
      <c r="C6" s="556" t="s">
        <v>89</v>
      </c>
      <c r="D6" s="106" t="s">
        <v>2415</v>
      </c>
      <c r="E6" s="150" t="s">
        <v>90</v>
      </c>
      <c r="F6" s="71" t="s">
        <v>78</v>
      </c>
      <c r="G6" s="68" t="s">
        <v>2582</v>
      </c>
      <c r="H6" s="386"/>
      <c r="I6" s="388">
        <v>2609</v>
      </c>
      <c r="J6" s="388"/>
      <c r="K6" s="462">
        <v>2609</v>
      </c>
      <c r="L6" s="388"/>
      <c r="M6" s="388"/>
      <c r="N6" s="388"/>
      <c r="O6" s="388"/>
      <c r="P6" s="389">
        <v>2</v>
      </c>
      <c r="Q6" s="387">
        <v>8495</v>
      </c>
      <c r="R6" s="390">
        <v>5174</v>
      </c>
      <c r="S6" s="387">
        <v>22164</v>
      </c>
      <c r="T6" s="388">
        <v>2835</v>
      </c>
      <c r="U6" s="391">
        <v>75</v>
      </c>
      <c r="V6" s="387"/>
      <c r="W6" s="462">
        <v>25074</v>
      </c>
      <c r="X6" s="387"/>
      <c r="Y6" s="387"/>
      <c r="Z6" s="391"/>
      <c r="AA6" s="387"/>
      <c r="AB6" s="462">
        <v>0</v>
      </c>
      <c r="AC6" s="387"/>
      <c r="AD6" s="387"/>
      <c r="AE6" s="388"/>
      <c r="AF6" s="392"/>
      <c r="AG6" s="387"/>
      <c r="AH6" s="388"/>
      <c r="AI6" s="388"/>
      <c r="AJ6" s="462">
        <v>0</v>
      </c>
      <c r="AK6" s="388">
        <v>5321.0855722408678</v>
      </c>
      <c r="AL6" s="388">
        <v>3182.1581694062697</v>
      </c>
      <c r="AM6" s="388">
        <v>2138.9274028345976</v>
      </c>
      <c r="AN6" s="388">
        <v>77.254423785143274</v>
      </c>
      <c r="AO6" s="467">
        <v>0.59802800127985312</v>
      </c>
      <c r="AP6" s="468">
        <v>25151.254423785143</v>
      </c>
      <c r="AQ6" s="468">
        <v>-22542.254423785143</v>
      </c>
      <c r="AR6" s="393" t="s">
        <v>2613</v>
      </c>
      <c r="AS6" s="394" t="s">
        <v>2664</v>
      </c>
      <c r="AT6" s="394"/>
      <c r="AU6" s="395"/>
      <c r="AV6" s="471" t="s">
        <v>2484</v>
      </c>
      <c r="AW6" s="388">
        <v>5321085.5722408677</v>
      </c>
      <c r="AX6" s="424">
        <v>3182158.1694062697</v>
      </c>
      <c r="AY6" s="424">
        <v>2138927.4028345975</v>
      </c>
      <c r="AZ6" s="424">
        <v>77254.42378514327</v>
      </c>
      <c r="BA6" s="472">
        <v>0.59802800127985312</v>
      </c>
      <c r="BB6" s="453">
        <v>0</v>
      </c>
      <c r="BC6" s="390">
        <v>0</v>
      </c>
      <c r="BD6" s="236">
        <v>0</v>
      </c>
    </row>
    <row r="7" spans="1:57" s="121" customFormat="1" ht="14.25" customHeight="1">
      <c r="A7" s="104">
        <v>2023</v>
      </c>
      <c r="B7" s="105" t="s">
        <v>96</v>
      </c>
      <c r="C7" s="556" t="s">
        <v>97</v>
      </c>
      <c r="D7" s="106" t="s">
        <v>2415</v>
      </c>
      <c r="E7" s="150" t="s">
        <v>98</v>
      </c>
      <c r="F7" s="71" t="s">
        <v>78</v>
      </c>
      <c r="G7" s="68" t="s">
        <v>2582</v>
      </c>
      <c r="H7" s="386"/>
      <c r="I7" s="388">
        <v>1622</v>
      </c>
      <c r="J7" s="388"/>
      <c r="K7" s="462">
        <v>1622</v>
      </c>
      <c r="L7" s="387">
        <v>204</v>
      </c>
      <c r="M7" s="387">
        <v>63</v>
      </c>
      <c r="N7" s="388"/>
      <c r="O7" s="387"/>
      <c r="P7" s="389">
        <v>2</v>
      </c>
      <c r="Q7" s="387">
        <v>8495</v>
      </c>
      <c r="R7" s="390">
        <v>3651</v>
      </c>
      <c r="S7" s="387">
        <v>20641</v>
      </c>
      <c r="T7" s="388">
        <v>1507</v>
      </c>
      <c r="U7" s="391">
        <v>911</v>
      </c>
      <c r="V7" s="387"/>
      <c r="W7" s="462">
        <v>23326</v>
      </c>
      <c r="X7" s="387"/>
      <c r="Y7" s="387"/>
      <c r="Z7" s="391"/>
      <c r="AA7" s="387"/>
      <c r="AB7" s="462">
        <v>0</v>
      </c>
      <c r="AC7" s="387"/>
      <c r="AD7" s="387"/>
      <c r="AE7" s="388"/>
      <c r="AF7" s="392"/>
      <c r="AG7" s="387"/>
      <c r="AH7" s="388"/>
      <c r="AI7" s="388"/>
      <c r="AJ7" s="462">
        <v>0</v>
      </c>
      <c r="AK7" s="388">
        <v>5586</v>
      </c>
      <c r="AL7" s="388">
        <v>1452.36</v>
      </c>
      <c r="AM7" s="388">
        <v>4133.6400000000003</v>
      </c>
      <c r="AN7" s="388">
        <v>111.72</v>
      </c>
      <c r="AO7" s="467">
        <v>0.26</v>
      </c>
      <c r="AP7" s="468">
        <v>23437.72</v>
      </c>
      <c r="AQ7" s="468">
        <v>-21815.72</v>
      </c>
      <c r="AR7" s="393" t="s">
        <v>2613</v>
      </c>
      <c r="AS7" s="394" t="s">
        <v>2615</v>
      </c>
      <c r="AT7" s="394"/>
      <c r="AU7" s="395"/>
      <c r="AV7" s="471"/>
      <c r="AW7" s="388">
        <v>5586000</v>
      </c>
      <c r="AX7" s="424">
        <v>1452360</v>
      </c>
      <c r="AY7" s="424">
        <v>4133640</v>
      </c>
      <c r="AZ7" s="424">
        <v>111720</v>
      </c>
      <c r="BA7" s="472">
        <v>0.26</v>
      </c>
      <c r="BB7" s="453">
        <v>5878</v>
      </c>
      <c r="BC7" s="390">
        <v>0</v>
      </c>
      <c r="BD7" s="236">
        <v>0</v>
      </c>
    </row>
    <row r="8" spans="1:57" s="121" customFormat="1" ht="14.25" customHeight="1">
      <c r="A8" s="104">
        <v>2023</v>
      </c>
      <c r="B8" s="105" t="s">
        <v>102</v>
      </c>
      <c r="C8" s="556" t="s">
        <v>103</v>
      </c>
      <c r="D8" s="106" t="s">
        <v>2415</v>
      </c>
      <c r="E8" s="150" t="s">
        <v>104</v>
      </c>
      <c r="F8" s="71" t="s">
        <v>78</v>
      </c>
      <c r="G8" s="68" t="s">
        <v>2582</v>
      </c>
      <c r="H8" s="386"/>
      <c r="I8" s="388">
        <v>2114</v>
      </c>
      <c r="J8" s="388"/>
      <c r="K8" s="462">
        <v>2114</v>
      </c>
      <c r="L8" s="388"/>
      <c r="M8" s="387">
        <v>172</v>
      </c>
      <c r="N8" s="388"/>
      <c r="O8" s="388"/>
      <c r="P8" s="389">
        <v>1</v>
      </c>
      <c r="Q8" s="387">
        <v>8495</v>
      </c>
      <c r="R8" s="390">
        <v>7017</v>
      </c>
      <c r="S8" s="387">
        <v>15512</v>
      </c>
      <c r="T8" s="388">
        <v>1976</v>
      </c>
      <c r="U8" s="391"/>
      <c r="V8" s="387"/>
      <c r="W8" s="462">
        <v>17660</v>
      </c>
      <c r="X8" s="387"/>
      <c r="Y8" s="387"/>
      <c r="Z8" s="391"/>
      <c r="AA8" s="387"/>
      <c r="AB8" s="462">
        <v>0</v>
      </c>
      <c r="AC8" s="387"/>
      <c r="AD8" s="387"/>
      <c r="AE8" s="388"/>
      <c r="AF8" s="392"/>
      <c r="AG8" s="387"/>
      <c r="AH8" s="388"/>
      <c r="AI8" s="388"/>
      <c r="AJ8" s="462">
        <v>0</v>
      </c>
      <c r="AK8" s="388">
        <v>5794.1324177556662</v>
      </c>
      <c r="AL8" s="388">
        <v>5157.3948411169104</v>
      </c>
      <c r="AM8" s="388">
        <v>636.73757663875551</v>
      </c>
      <c r="AN8" s="388">
        <v>18.555677399012016</v>
      </c>
      <c r="AO8" s="467">
        <v>0.89010648519396574</v>
      </c>
      <c r="AP8" s="468">
        <v>17678.555677399014</v>
      </c>
      <c r="AQ8" s="468">
        <v>-15564.555677399014</v>
      </c>
      <c r="AR8" s="393" t="s">
        <v>2613</v>
      </c>
      <c r="AS8" s="394" t="s">
        <v>2665</v>
      </c>
      <c r="AT8" s="394"/>
      <c r="AU8" s="395"/>
      <c r="AV8" s="471" t="s">
        <v>2484</v>
      </c>
      <c r="AW8" s="388">
        <v>5794132.4177556662</v>
      </c>
      <c r="AX8" s="424">
        <v>5157394.8411169108</v>
      </c>
      <c r="AY8" s="424">
        <v>636737.5766387555</v>
      </c>
      <c r="AZ8" s="424">
        <v>18555.677399012016</v>
      </c>
      <c r="BA8" s="472">
        <v>0.89010648519396574</v>
      </c>
      <c r="BB8" s="453">
        <v>0</v>
      </c>
      <c r="BC8" s="390">
        <v>0</v>
      </c>
      <c r="BD8" s="236">
        <v>0</v>
      </c>
    </row>
    <row r="9" spans="1:57" s="121" customFormat="1" ht="14.25" customHeight="1">
      <c r="A9" s="104">
        <v>2023</v>
      </c>
      <c r="B9" s="105" t="s">
        <v>113</v>
      </c>
      <c r="C9" s="556" t="s">
        <v>114</v>
      </c>
      <c r="D9" s="106" t="s">
        <v>2415</v>
      </c>
      <c r="E9" s="150" t="s">
        <v>115</v>
      </c>
      <c r="F9" s="71" t="s">
        <v>78</v>
      </c>
      <c r="G9" s="68" t="s">
        <v>2582</v>
      </c>
      <c r="H9" s="386"/>
      <c r="I9" s="388">
        <v>1454</v>
      </c>
      <c r="J9" s="388"/>
      <c r="K9" s="462">
        <v>1454</v>
      </c>
      <c r="L9" s="388"/>
      <c r="M9" s="387">
        <v>272</v>
      </c>
      <c r="N9" s="388"/>
      <c r="O9" s="388"/>
      <c r="P9" s="389">
        <v>1</v>
      </c>
      <c r="Q9" s="387">
        <v>8495</v>
      </c>
      <c r="R9" s="390">
        <v>6570</v>
      </c>
      <c r="S9" s="387">
        <v>15065</v>
      </c>
      <c r="T9" s="388">
        <v>1394</v>
      </c>
      <c r="U9" s="391"/>
      <c r="V9" s="387"/>
      <c r="W9" s="462">
        <v>16731</v>
      </c>
      <c r="X9" s="387"/>
      <c r="Y9" s="387"/>
      <c r="Z9" s="391"/>
      <c r="AA9" s="387"/>
      <c r="AB9" s="462">
        <v>0</v>
      </c>
      <c r="AC9" s="387"/>
      <c r="AD9" s="387"/>
      <c r="AE9" s="388"/>
      <c r="AF9" s="392"/>
      <c r="AG9" s="387"/>
      <c r="AH9" s="388"/>
      <c r="AI9" s="388"/>
      <c r="AJ9" s="462">
        <v>0</v>
      </c>
      <c r="AK9" s="388">
        <v>6250.5530611588329</v>
      </c>
      <c r="AL9" s="388">
        <v>5498.3620274748264</v>
      </c>
      <c r="AM9" s="388">
        <v>752.19103368400749</v>
      </c>
      <c r="AN9" s="388">
        <v>87.087327478042667</v>
      </c>
      <c r="AO9" s="467">
        <v>0.87966008346394986</v>
      </c>
      <c r="AP9" s="468">
        <v>16818.087327478042</v>
      </c>
      <c r="AQ9" s="468">
        <v>-15364.087327478042</v>
      </c>
      <c r="AR9" s="393" t="s">
        <v>2613</v>
      </c>
      <c r="AS9" s="394" t="s">
        <v>2612</v>
      </c>
      <c r="AT9" s="394"/>
      <c r="AU9" s="395"/>
      <c r="AV9" s="471" t="s">
        <v>2484</v>
      </c>
      <c r="AW9" s="388">
        <v>6250553.0611588331</v>
      </c>
      <c r="AX9" s="424">
        <v>5498362.0274748262</v>
      </c>
      <c r="AY9" s="424">
        <v>752191.03368400747</v>
      </c>
      <c r="AZ9" s="424">
        <v>87087.327478042673</v>
      </c>
      <c r="BA9" s="472">
        <v>0.87966008346394986</v>
      </c>
      <c r="BB9" s="453">
        <v>0</v>
      </c>
      <c r="BC9" s="390">
        <v>0</v>
      </c>
      <c r="BD9" s="236">
        <v>0</v>
      </c>
    </row>
    <row r="10" spans="1:57" s="121" customFormat="1" ht="14.25" customHeight="1">
      <c r="A10" s="104">
        <v>2023</v>
      </c>
      <c r="B10" s="105" t="s">
        <v>122</v>
      </c>
      <c r="C10" s="556" t="s">
        <v>123</v>
      </c>
      <c r="D10" s="106" t="s">
        <v>2415</v>
      </c>
      <c r="E10" s="150" t="s">
        <v>124</v>
      </c>
      <c r="F10" s="71" t="s">
        <v>78</v>
      </c>
      <c r="G10" s="68" t="s">
        <v>2581</v>
      </c>
      <c r="H10" s="386"/>
      <c r="I10" s="387"/>
      <c r="J10" s="388"/>
      <c r="K10" s="462">
        <v>0</v>
      </c>
      <c r="L10" s="388"/>
      <c r="M10" s="387"/>
      <c r="N10" s="388"/>
      <c r="O10" s="388"/>
      <c r="P10" s="389">
        <v>6</v>
      </c>
      <c r="Q10" s="387">
        <v>8495</v>
      </c>
      <c r="R10" s="390"/>
      <c r="S10" s="387">
        <v>50970</v>
      </c>
      <c r="T10" s="388"/>
      <c r="U10" s="391"/>
      <c r="V10" s="387"/>
      <c r="W10" s="462">
        <v>50970</v>
      </c>
      <c r="X10" s="387"/>
      <c r="Y10" s="387"/>
      <c r="Z10" s="391"/>
      <c r="AA10" s="387"/>
      <c r="AB10" s="462">
        <v>0</v>
      </c>
      <c r="AC10" s="387"/>
      <c r="AD10" s="387"/>
      <c r="AE10" s="388"/>
      <c r="AF10" s="392"/>
      <c r="AG10" s="387"/>
      <c r="AH10" s="388"/>
      <c r="AI10" s="388"/>
      <c r="AJ10" s="462">
        <v>0</v>
      </c>
      <c r="AK10" s="388">
        <v>274445.95799976023</v>
      </c>
      <c r="AL10" s="388">
        <v>113907.54450062301</v>
      </c>
      <c r="AM10" s="388">
        <v>160538.41349913718</v>
      </c>
      <c r="AN10" s="388">
        <v>6124.363924018191</v>
      </c>
      <c r="AO10" s="467">
        <v>0.41504544403136207</v>
      </c>
      <c r="AP10" s="468">
        <v>57094.363924018195</v>
      </c>
      <c r="AQ10" s="468">
        <v>-57094.363924018195</v>
      </c>
      <c r="AR10" s="393"/>
      <c r="AS10" s="394"/>
      <c r="AT10" s="394"/>
      <c r="AU10" s="395"/>
      <c r="AV10" s="471" t="s">
        <v>2484</v>
      </c>
      <c r="AW10" s="388">
        <v>274445957.99976021</v>
      </c>
      <c r="AX10" s="424">
        <v>113907544.50062302</v>
      </c>
      <c r="AY10" s="424">
        <v>160538413.49913719</v>
      </c>
      <c r="AZ10" s="424">
        <v>6124363.9240181912</v>
      </c>
      <c r="BA10" s="472">
        <v>0.41504544403136207</v>
      </c>
      <c r="BB10" s="453">
        <v>29997</v>
      </c>
      <c r="BC10" s="390">
        <v>0</v>
      </c>
      <c r="BD10" s="236">
        <v>0</v>
      </c>
    </row>
    <row r="11" spans="1:57" s="121" customFormat="1" ht="14.25" customHeight="1">
      <c r="A11" s="104">
        <v>2023</v>
      </c>
      <c r="B11" s="105" t="s">
        <v>136</v>
      </c>
      <c r="C11" s="556" t="s">
        <v>2700</v>
      </c>
      <c r="D11" s="106" t="s">
        <v>2415</v>
      </c>
      <c r="E11" s="150" t="s">
        <v>138</v>
      </c>
      <c r="F11" s="71" t="s">
        <v>139</v>
      </c>
      <c r="G11" s="68" t="s">
        <v>140</v>
      </c>
      <c r="H11" s="386">
        <v>4064</v>
      </c>
      <c r="I11" s="387">
        <v>0</v>
      </c>
      <c r="J11" s="388">
        <v>2265</v>
      </c>
      <c r="K11" s="462">
        <v>6329</v>
      </c>
      <c r="L11" s="387">
        <v>6690</v>
      </c>
      <c r="M11" s="387">
        <v>5570</v>
      </c>
      <c r="N11" s="388">
        <v>0</v>
      </c>
      <c r="O11" s="387">
        <v>0</v>
      </c>
      <c r="P11" s="389">
        <v>34.200000000000003</v>
      </c>
      <c r="Q11" s="387">
        <v>8495</v>
      </c>
      <c r="R11" s="390">
        <v>53802</v>
      </c>
      <c r="S11" s="387">
        <v>344331</v>
      </c>
      <c r="T11" s="388">
        <v>1235584</v>
      </c>
      <c r="U11" s="391">
        <v>11900</v>
      </c>
      <c r="V11" s="387">
        <v>0</v>
      </c>
      <c r="W11" s="462">
        <v>1604075</v>
      </c>
      <c r="X11" s="387"/>
      <c r="Y11" s="387"/>
      <c r="Z11" s="391"/>
      <c r="AA11" s="387"/>
      <c r="AB11" s="462">
        <v>0</v>
      </c>
      <c r="AC11" s="387"/>
      <c r="AD11" s="387"/>
      <c r="AE11" s="388"/>
      <c r="AF11" s="392"/>
      <c r="AG11" s="387"/>
      <c r="AH11" s="388"/>
      <c r="AI11" s="388"/>
      <c r="AJ11" s="462">
        <v>0</v>
      </c>
      <c r="AK11" s="388">
        <v>809958.37486489106</v>
      </c>
      <c r="AL11" s="388">
        <v>27190.811450885019</v>
      </c>
      <c r="AM11" s="388">
        <v>782767.56341400603</v>
      </c>
      <c r="AN11" s="388">
        <v>27190.811450885019</v>
      </c>
      <c r="AO11" s="467">
        <v>3.3570628188665512E-2</v>
      </c>
      <c r="AP11" s="468">
        <v>1631265.8114508849</v>
      </c>
      <c r="AQ11" s="468">
        <v>-1624936.8114508849</v>
      </c>
      <c r="AR11" s="393"/>
      <c r="AS11" s="394"/>
      <c r="AT11" s="394"/>
      <c r="AU11" s="395"/>
      <c r="AV11" s="471" t="s">
        <v>2484</v>
      </c>
      <c r="AW11" s="388">
        <v>809958374.86489105</v>
      </c>
      <c r="AX11" s="424">
        <v>27190811.45088502</v>
      </c>
      <c r="AY11" s="424">
        <v>782767563.41400599</v>
      </c>
      <c r="AZ11" s="424">
        <v>27190811.45088502</v>
      </c>
      <c r="BA11" s="472">
        <v>3.3570628188665512E-2</v>
      </c>
      <c r="BB11" s="453">
        <v>148856</v>
      </c>
      <c r="BC11" s="390">
        <v>15</v>
      </c>
      <c r="BD11" s="236">
        <v>0</v>
      </c>
    </row>
    <row r="12" spans="1:57" s="121" customFormat="1" ht="14.25" customHeight="1">
      <c r="A12" s="104">
        <v>2023</v>
      </c>
      <c r="B12" s="105" t="s">
        <v>146</v>
      </c>
      <c r="C12" s="556" t="s">
        <v>2701</v>
      </c>
      <c r="D12" s="106" t="s">
        <v>2415</v>
      </c>
      <c r="E12" s="150" t="s">
        <v>2631</v>
      </c>
      <c r="F12" s="71" t="s">
        <v>139</v>
      </c>
      <c r="G12" s="68" t="s">
        <v>140</v>
      </c>
      <c r="H12" s="386">
        <v>38888</v>
      </c>
      <c r="I12" s="387">
        <v>0</v>
      </c>
      <c r="J12" s="388">
        <v>0</v>
      </c>
      <c r="K12" s="462">
        <v>38888</v>
      </c>
      <c r="L12" s="387"/>
      <c r="M12" s="387"/>
      <c r="N12" s="388"/>
      <c r="O12" s="387"/>
      <c r="P12" s="389">
        <v>1.3</v>
      </c>
      <c r="Q12" s="387">
        <v>8495</v>
      </c>
      <c r="R12" s="390">
        <v>0</v>
      </c>
      <c r="S12" s="387"/>
      <c r="T12" s="388"/>
      <c r="U12" s="391"/>
      <c r="V12" s="387">
        <v>0</v>
      </c>
      <c r="W12" s="462"/>
      <c r="X12" s="387"/>
      <c r="Y12" s="387"/>
      <c r="Z12" s="391"/>
      <c r="AA12" s="387"/>
      <c r="AB12" s="462"/>
      <c r="AC12" s="387"/>
      <c r="AD12" s="387"/>
      <c r="AE12" s="388"/>
      <c r="AF12" s="392"/>
      <c r="AG12" s="387"/>
      <c r="AH12" s="388"/>
      <c r="AI12" s="388"/>
      <c r="AJ12" s="462"/>
      <c r="AK12" s="388"/>
      <c r="AL12" s="388"/>
      <c r="AM12" s="388"/>
      <c r="AN12" s="388"/>
      <c r="AO12" s="467"/>
      <c r="AP12" s="468"/>
      <c r="AQ12" s="468"/>
      <c r="AR12" s="393"/>
      <c r="AS12" s="394"/>
      <c r="AT12" s="394"/>
      <c r="AU12" s="395"/>
      <c r="AV12" s="471" t="s">
        <v>2484</v>
      </c>
      <c r="AW12" s="388">
        <v>78064775.785156026</v>
      </c>
      <c r="AX12" s="424">
        <v>2620683.562515012</v>
      </c>
      <c r="AY12" s="424">
        <v>75444092.222641006</v>
      </c>
      <c r="AZ12" s="424">
        <v>2620683.562515012</v>
      </c>
      <c r="BA12" s="472"/>
      <c r="BB12" s="453" t="s">
        <v>825</v>
      </c>
      <c r="BC12" s="390" t="s">
        <v>825</v>
      </c>
      <c r="BD12" s="236" t="s">
        <v>825</v>
      </c>
    </row>
    <row r="13" spans="1:57" s="121" customFormat="1" ht="14.25" customHeight="1">
      <c r="A13" s="104">
        <v>2023</v>
      </c>
      <c r="B13" s="105" t="s">
        <v>153</v>
      </c>
      <c r="C13" s="556" t="s">
        <v>2287</v>
      </c>
      <c r="D13" s="106" t="s">
        <v>2415</v>
      </c>
      <c r="E13" s="150" t="s">
        <v>2151</v>
      </c>
      <c r="F13" s="71" t="s">
        <v>139</v>
      </c>
      <c r="G13" s="68" t="s">
        <v>2273</v>
      </c>
      <c r="H13" s="386"/>
      <c r="I13" s="387"/>
      <c r="J13" s="388"/>
      <c r="K13" s="462">
        <v>0</v>
      </c>
      <c r="L13" s="387"/>
      <c r="M13" s="387"/>
      <c r="N13" s="388"/>
      <c r="O13" s="387"/>
      <c r="P13" s="389"/>
      <c r="Q13" s="387">
        <v>8495</v>
      </c>
      <c r="R13" s="390"/>
      <c r="S13" s="387">
        <v>0</v>
      </c>
      <c r="T13" s="388"/>
      <c r="U13" s="391"/>
      <c r="V13" s="387"/>
      <c r="W13" s="462">
        <v>0</v>
      </c>
      <c r="X13" s="387"/>
      <c r="Y13" s="387">
        <v>12755</v>
      </c>
      <c r="Z13" s="391"/>
      <c r="AA13" s="387">
        <v>11032</v>
      </c>
      <c r="AB13" s="462">
        <v>23787</v>
      </c>
      <c r="AC13" s="387"/>
      <c r="AD13" s="387"/>
      <c r="AE13" s="388"/>
      <c r="AF13" s="392">
        <v>141</v>
      </c>
      <c r="AG13" s="387">
        <v>17575</v>
      </c>
      <c r="AH13" s="388">
        <v>5122</v>
      </c>
      <c r="AI13" s="388"/>
      <c r="AJ13" s="462">
        <v>22838</v>
      </c>
      <c r="AK13" s="388">
        <v>95015.439349952881</v>
      </c>
      <c r="AL13" s="388">
        <v>3189.7279865999662</v>
      </c>
      <c r="AM13" s="388">
        <v>91825.711363352908</v>
      </c>
      <c r="AN13" s="388">
        <v>3189.7279865999662</v>
      </c>
      <c r="AO13" s="467">
        <v>3.3570628188665512E-2</v>
      </c>
      <c r="AP13" s="468">
        <v>3189.7279865999662</v>
      </c>
      <c r="AQ13" s="468">
        <v>-3189.7279865999662</v>
      </c>
      <c r="AR13" s="393"/>
      <c r="AS13" s="394" t="s">
        <v>2667</v>
      </c>
      <c r="AT13" s="394" t="s">
        <v>2668</v>
      </c>
      <c r="AU13" s="395"/>
      <c r="AV13" s="471" t="s">
        <v>2484</v>
      </c>
      <c r="AW13" s="388">
        <v>95015439.349952877</v>
      </c>
      <c r="AX13" s="424">
        <v>3189727.9865999664</v>
      </c>
      <c r="AY13" s="424">
        <v>91825711.36335291</v>
      </c>
      <c r="AZ13" s="424">
        <v>3189727.9865999664</v>
      </c>
      <c r="BA13" s="472">
        <v>3.3570628188665512E-2</v>
      </c>
      <c r="BB13" s="453">
        <v>16272</v>
      </c>
      <c r="BC13" s="390">
        <v>0</v>
      </c>
      <c r="BD13" s="236">
        <v>0</v>
      </c>
    </row>
    <row r="14" spans="1:57" s="121" customFormat="1" ht="14.25" customHeight="1">
      <c r="A14" s="104">
        <v>2023</v>
      </c>
      <c r="B14" s="105" t="s">
        <v>167</v>
      </c>
      <c r="C14" s="556" t="s">
        <v>2289</v>
      </c>
      <c r="D14" s="106" t="s">
        <v>2415</v>
      </c>
      <c r="E14" s="150" t="s">
        <v>2163</v>
      </c>
      <c r="F14" s="71" t="s">
        <v>170</v>
      </c>
      <c r="G14" s="68" t="s">
        <v>2621</v>
      </c>
      <c r="H14" s="386">
        <v>903</v>
      </c>
      <c r="I14" s="387"/>
      <c r="J14" s="388"/>
      <c r="K14" s="462">
        <v>903</v>
      </c>
      <c r="L14" s="387"/>
      <c r="M14" s="387"/>
      <c r="N14" s="388"/>
      <c r="O14" s="387"/>
      <c r="P14" s="396">
        <v>0.25</v>
      </c>
      <c r="Q14" s="387">
        <v>8495</v>
      </c>
      <c r="R14" s="390"/>
      <c r="S14" s="387">
        <v>2124</v>
      </c>
      <c r="T14" s="388"/>
      <c r="U14" s="391"/>
      <c r="V14" s="387">
        <v>30051</v>
      </c>
      <c r="W14" s="462">
        <v>32175</v>
      </c>
      <c r="X14" s="387"/>
      <c r="Y14" s="387"/>
      <c r="Z14" s="391"/>
      <c r="AA14" s="387">
        <v>30051</v>
      </c>
      <c r="AB14" s="462">
        <v>30051</v>
      </c>
      <c r="AC14" s="387">
        <v>2166</v>
      </c>
      <c r="AD14" s="387">
        <v>3049</v>
      </c>
      <c r="AE14" s="388"/>
      <c r="AF14" s="392">
        <v>192</v>
      </c>
      <c r="AG14" s="387">
        <v>19678</v>
      </c>
      <c r="AH14" s="388">
        <v>1719</v>
      </c>
      <c r="AI14" s="388">
        <v>3234</v>
      </c>
      <c r="AJ14" s="462">
        <v>30038</v>
      </c>
      <c r="AK14" s="388">
        <v>429007.22899999999</v>
      </c>
      <c r="AL14" s="388">
        <v>39813.118000000002</v>
      </c>
      <c r="AM14" s="388">
        <v>389194.11099999998</v>
      </c>
      <c r="AN14" s="388">
        <v>14213.144</v>
      </c>
      <c r="AO14" s="467">
        <v>9.2802907057773609E-2</v>
      </c>
      <c r="AP14" s="468">
        <v>46388.144</v>
      </c>
      <c r="AQ14" s="468">
        <v>-45485.144</v>
      </c>
      <c r="AR14" s="393"/>
      <c r="AS14" s="394"/>
      <c r="AT14" s="394"/>
      <c r="AU14" s="395"/>
      <c r="AV14" s="471" t="s">
        <v>2484</v>
      </c>
      <c r="AW14" s="388">
        <v>429007229</v>
      </c>
      <c r="AX14" s="424">
        <v>39813118</v>
      </c>
      <c r="AY14" s="424">
        <v>389194111</v>
      </c>
      <c r="AZ14" s="424">
        <v>14213144</v>
      </c>
      <c r="BA14" s="472">
        <v>9.2802907057773609E-2</v>
      </c>
      <c r="BB14" s="453">
        <v>33635</v>
      </c>
      <c r="BC14" s="390">
        <v>5786</v>
      </c>
      <c r="BD14" s="236">
        <v>0</v>
      </c>
    </row>
    <row r="15" spans="1:57" s="121" customFormat="1" ht="14.25" customHeight="1">
      <c r="A15" s="104">
        <v>2023</v>
      </c>
      <c r="B15" s="105" t="s">
        <v>177</v>
      </c>
      <c r="C15" s="556" t="s">
        <v>2291</v>
      </c>
      <c r="D15" s="106" t="s">
        <v>2415</v>
      </c>
      <c r="E15" s="150" t="s">
        <v>2428</v>
      </c>
      <c r="F15" s="71" t="s">
        <v>78</v>
      </c>
      <c r="G15" s="69" t="s">
        <v>2523</v>
      </c>
      <c r="H15" s="386"/>
      <c r="I15" s="387"/>
      <c r="J15" s="388"/>
      <c r="K15" s="462">
        <v>0</v>
      </c>
      <c r="L15" s="387"/>
      <c r="M15" s="387"/>
      <c r="N15" s="387"/>
      <c r="O15" s="387"/>
      <c r="P15" s="396">
        <v>0.45</v>
      </c>
      <c r="Q15" s="387">
        <v>8495</v>
      </c>
      <c r="R15" s="387"/>
      <c r="S15" s="387">
        <v>3823</v>
      </c>
      <c r="T15" s="387"/>
      <c r="U15" s="392"/>
      <c r="V15" s="387">
        <v>38975</v>
      </c>
      <c r="W15" s="462">
        <v>42798</v>
      </c>
      <c r="X15" s="387"/>
      <c r="Y15" s="387"/>
      <c r="Z15" s="391">
        <v>177</v>
      </c>
      <c r="AA15" s="387">
        <v>38975</v>
      </c>
      <c r="AB15" s="462">
        <v>39152</v>
      </c>
      <c r="AC15" s="387">
        <v>1297</v>
      </c>
      <c r="AD15" s="387">
        <v>2120</v>
      </c>
      <c r="AE15" s="388">
        <v>0</v>
      </c>
      <c r="AF15" s="392">
        <v>75</v>
      </c>
      <c r="AG15" s="387">
        <v>23222</v>
      </c>
      <c r="AH15" s="388">
        <v>5833</v>
      </c>
      <c r="AI15" s="388">
        <v>6014</v>
      </c>
      <c r="AJ15" s="462">
        <v>38561</v>
      </c>
      <c r="AK15" s="388">
        <v>429588.29623173072</v>
      </c>
      <c r="AL15" s="388">
        <v>178298.66516017498</v>
      </c>
      <c r="AM15" s="388">
        <v>251289.63107155572</v>
      </c>
      <c r="AN15" s="388">
        <v>9586.4230714024579</v>
      </c>
      <c r="AO15" s="467">
        <v>0.41504544403136207</v>
      </c>
      <c r="AP15" s="468">
        <v>52384.42307140246</v>
      </c>
      <c r="AQ15" s="468">
        <v>-52384.42307140246</v>
      </c>
      <c r="AR15" s="393"/>
      <c r="AS15" s="394"/>
      <c r="AT15" s="394"/>
      <c r="AU15" s="395"/>
      <c r="AV15" s="471" t="s">
        <v>2484</v>
      </c>
      <c r="AW15" s="388">
        <v>429588296.2317307</v>
      </c>
      <c r="AX15" s="424">
        <v>178298665.16017497</v>
      </c>
      <c r="AY15" s="424">
        <v>251289631.07155573</v>
      </c>
      <c r="AZ15" s="424">
        <v>9586423.0714024585</v>
      </c>
      <c r="BA15" s="472">
        <v>0.41504544403136207</v>
      </c>
      <c r="BB15" s="453">
        <v>19044</v>
      </c>
      <c r="BC15" s="390">
        <v>1390</v>
      </c>
      <c r="BD15" s="236">
        <v>0</v>
      </c>
    </row>
    <row r="16" spans="1:57" s="121" customFormat="1" ht="14.25" customHeight="1">
      <c r="A16" s="104">
        <v>2023</v>
      </c>
      <c r="B16" s="105" t="s">
        <v>185</v>
      </c>
      <c r="C16" s="556" t="s">
        <v>154</v>
      </c>
      <c r="D16" s="106" t="s">
        <v>2415</v>
      </c>
      <c r="E16" s="150" t="s">
        <v>155</v>
      </c>
      <c r="F16" s="71" t="s">
        <v>78</v>
      </c>
      <c r="G16" s="68" t="s">
        <v>156</v>
      </c>
      <c r="H16" s="386">
        <v>59</v>
      </c>
      <c r="I16" s="387">
        <v>231</v>
      </c>
      <c r="J16" s="388">
        <v>32</v>
      </c>
      <c r="K16" s="462">
        <v>322</v>
      </c>
      <c r="L16" s="387">
        <v>1983</v>
      </c>
      <c r="M16" s="387">
        <v>21607</v>
      </c>
      <c r="N16" s="388"/>
      <c r="O16" s="387">
        <v>502</v>
      </c>
      <c r="P16" s="389">
        <v>6</v>
      </c>
      <c r="Q16" s="387">
        <v>8495</v>
      </c>
      <c r="R16" s="390">
        <v>18494</v>
      </c>
      <c r="S16" s="387">
        <v>69464</v>
      </c>
      <c r="T16" s="388">
        <v>7360</v>
      </c>
      <c r="U16" s="391">
        <v>3136</v>
      </c>
      <c r="V16" s="388"/>
      <c r="W16" s="462">
        <v>104052</v>
      </c>
      <c r="X16" s="387"/>
      <c r="Y16" s="387"/>
      <c r="Z16" s="391"/>
      <c r="AA16" s="387"/>
      <c r="AB16" s="462">
        <v>0</v>
      </c>
      <c r="AC16" s="387"/>
      <c r="AD16" s="387"/>
      <c r="AE16" s="388"/>
      <c r="AF16" s="392"/>
      <c r="AG16" s="387"/>
      <c r="AH16" s="388"/>
      <c r="AI16" s="388"/>
      <c r="AJ16" s="462">
        <v>0</v>
      </c>
      <c r="AK16" s="388">
        <v>508476.06</v>
      </c>
      <c r="AL16" s="388">
        <v>375229.35499999998</v>
      </c>
      <c r="AM16" s="388">
        <v>133246.70499999999</v>
      </c>
      <c r="AN16" s="388">
        <v>10984.317999999999</v>
      </c>
      <c r="AO16" s="467">
        <v>0.73794891149840958</v>
      </c>
      <c r="AP16" s="468">
        <v>115036.318</v>
      </c>
      <c r="AQ16" s="468">
        <v>-114714.318</v>
      </c>
      <c r="AR16" s="393"/>
      <c r="AS16" s="394"/>
      <c r="AT16" s="394"/>
      <c r="AU16" s="395"/>
      <c r="AV16" s="471"/>
      <c r="AW16" s="388">
        <v>508476060</v>
      </c>
      <c r="AX16" s="424">
        <v>375229355</v>
      </c>
      <c r="AY16" s="424">
        <v>133246705</v>
      </c>
      <c r="AZ16" s="424">
        <v>10984318</v>
      </c>
      <c r="BA16" s="472">
        <v>0.73794891149840958</v>
      </c>
      <c r="BB16" s="453">
        <v>77614</v>
      </c>
      <c r="BC16" s="390">
        <v>27</v>
      </c>
      <c r="BD16" s="236">
        <v>0</v>
      </c>
    </row>
    <row r="17" spans="1:56" s="121" customFormat="1" ht="14.25" customHeight="1">
      <c r="A17" s="104">
        <v>2023</v>
      </c>
      <c r="B17" s="105" t="s">
        <v>195</v>
      </c>
      <c r="C17" s="556" t="s">
        <v>168</v>
      </c>
      <c r="D17" s="106" t="s">
        <v>2415</v>
      </c>
      <c r="E17" s="150" t="s">
        <v>169</v>
      </c>
      <c r="F17" s="71" t="s">
        <v>170</v>
      </c>
      <c r="G17" s="68" t="s">
        <v>171</v>
      </c>
      <c r="H17" s="386">
        <v>27</v>
      </c>
      <c r="I17" s="387">
        <v>20</v>
      </c>
      <c r="J17" s="388">
        <v>782</v>
      </c>
      <c r="K17" s="462">
        <v>829</v>
      </c>
      <c r="L17" s="387">
        <v>3651</v>
      </c>
      <c r="M17" s="387">
        <v>5058</v>
      </c>
      <c r="N17" s="388">
        <v>0</v>
      </c>
      <c r="O17" s="387">
        <v>767</v>
      </c>
      <c r="P17" s="389">
        <v>8</v>
      </c>
      <c r="Q17" s="387">
        <v>8495</v>
      </c>
      <c r="R17" s="390">
        <v>54637</v>
      </c>
      <c r="S17" s="387">
        <v>122597</v>
      </c>
      <c r="T17" s="388">
        <v>60613</v>
      </c>
      <c r="U17" s="391"/>
      <c r="V17" s="387"/>
      <c r="W17" s="462">
        <v>192686</v>
      </c>
      <c r="X17" s="387"/>
      <c r="Y17" s="387"/>
      <c r="Z17" s="391"/>
      <c r="AA17" s="387"/>
      <c r="AB17" s="462">
        <v>0</v>
      </c>
      <c r="AC17" s="387"/>
      <c r="AD17" s="387"/>
      <c r="AE17" s="388"/>
      <c r="AF17" s="392"/>
      <c r="AG17" s="387"/>
      <c r="AH17" s="388"/>
      <c r="AI17" s="388"/>
      <c r="AJ17" s="462">
        <v>0</v>
      </c>
      <c r="AK17" s="388">
        <v>1510366.8106297867</v>
      </c>
      <c r="AL17" s="388">
        <v>832411.22058793856</v>
      </c>
      <c r="AM17" s="388">
        <v>677955.59004184813</v>
      </c>
      <c r="AN17" s="388">
        <v>36129.957305205229</v>
      </c>
      <c r="AO17" s="467">
        <v>0.55113182753323553</v>
      </c>
      <c r="AP17" s="468">
        <v>228815.95730520523</v>
      </c>
      <c r="AQ17" s="468">
        <v>-227986.95730520523</v>
      </c>
      <c r="AR17" s="393"/>
      <c r="AS17" s="394"/>
      <c r="AT17" s="394"/>
      <c r="AU17" s="395"/>
      <c r="AV17" s="471" t="s">
        <v>2484</v>
      </c>
      <c r="AW17" s="388">
        <v>1510366810.6297867</v>
      </c>
      <c r="AX17" s="424">
        <v>832411220.58793855</v>
      </c>
      <c r="AY17" s="424">
        <v>677955590.04184818</v>
      </c>
      <c r="AZ17" s="424">
        <v>36129957.305205226</v>
      </c>
      <c r="BA17" s="472">
        <v>0.55113182753323553</v>
      </c>
      <c r="BB17" s="453">
        <v>165203</v>
      </c>
      <c r="BC17" s="390">
        <v>0</v>
      </c>
      <c r="BD17" s="236">
        <v>0</v>
      </c>
    </row>
    <row r="18" spans="1:56" s="121" customFormat="1" ht="14.25" customHeight="1">
      <c r="A18" s="104">
        <v>2023</v>
      </c>
      <c r="B18" s="105" t="s">
        <v>203</v>
      </c>
      <c r="C18" s="556" t="s">
        <v>2183</v>
      </c>
      <c r="D18" s="106" t="s">
        <v>2415</v>
      </c>
      <c r="E18" s="150" t="s">
        <v>2634</v>
      </c>
      <c r="F18" s="71" t="s">
        <v>170</v>
      </c>
      <c r="G18" s="68" t="s">
        <v>2153</v>
      </c>
      <c r="H18" s="386"/>
      <c r="I18" s="387"/>
      <c r="J18" s="388"/>
      <c r="K18" s="462">
        <v>0</v>
      </c>
      <c r="L18" s="387"/>
      <c r="M18" s="387"/>
      <c r="N18" s="388"/>
      <c r="O18" s="387"/>
      <c r="P18" s="390"/>
      <c r="Q18" s="387">
        <v>8495</v>
      </c>
      <c r="R18" s="390"/>
      <c r="S18" s="387">
        <v>0</v>
      </c>
      <c r="T18" s="387">
        <v>1358</v>
      </c>
      <c r="U18" s="391"/>
      <c r="V18" s="387"/>
      <c r="W18" s="462">
        <v>1358</v>
      </c>
      <c r="X18" s="387"/>
      <c r="Y18" s="387"/>
      <c r="Z18" s="391"/>
      <c r="AA18" s="387"/>
      <c r="AB18" s="462">
        <v>0</v>
      </c>
      <c r="AC18" s="387"/>
      <c r="AD18" s="387"/>
      <c r="AE18" s="388"/>
      <c r="AF18" s="392"/>
      <c r="AG18" s="387"/>
      <c r="AH18" s="388"/>
      <c r="AI18" s="388"/>
      <c r="AJ18" s="462">
        <v>0</v>
      </c>
      <c r="AK18" s="388">
        <v>89416.943370213252</v>
      </c>
      <c r="AL18" s="388">
        <v>49280.523412061455</v>
      </c>
      <c r="AM18" s="388">
        <v>40136.419958151804</v>
      </c>
      <c r="AN18" s="388">
        <v>2138.9706947947716</v>
      </c>
      <c r="AO18" s="467">
        <v>0.55113182753323542</v>
      </c>
      <c r="AP18" s="468">
        <v>3496.9706947947716</v>
      </c>
      <c r="AQ18" s="468">
        <v>-3496.9706947947716</v>
      </c>
      <c r="AR18" s="393"/>
      <c r="AS18" s="394"/>
      <c r="AT18" s="394"/>
      <c r="AU18" s="395"/>
      <c r="AV18" s="471" t="s">
        <v>2484</v>
      </c>
      <c r="AW18" s="388">
        <v>89416943.370213255</v>
      </c>
      <c r="AX18" s="424">
        <v>49280523.412061453</v>
      </c>
      <c r="AY18" s="424">
        <v>40136419.958151802</v>
      </c>
      <c r="AZ18" s="424">
        <v>2138970.6947947717</v>
      </c>
      <c r="BA18" s="472">
        <v>0.55113182753323542</v>
      </c>
      <c r="BB18" s="390" t="s">
        <v>825</v>
      </c>
      <c r="BC18" s="390" t="s">
        <v>825</v>
      </c>
      <c r="BD18" s="115" t="s">
        <v>825</v>
      </c>
    </row>
    <row r="19" spans="1:56" s="121" customFormat="1" ht="14.25" customHeight="1">
      <c r="A19" s="104">
        <v>2023</v>
      </c>
      <c r="B19" s="105" t="s">
        <v>209</v>
      </c>
      <c r="C19" s="556" t="s">
        <v>2294</v>
      </c>
      <c r="D19" s="106" t="s">
        <v>2415</v>
      </c>
      <c r="E19" s="150" t="s">
        <v>2231</v>
      </c>
      <c r="F19" s="71" t="s">
        <v>170</v>
      </c>
      <c r="G19" s="68" t="s">
        <v>171</v>
      </c>
      <c r="H19" s="386">
        <v>0</v>
      </c>
      <c r="I19" s="387">
        <v>0</v>
      </c>
      <c r="J19" s="388">
        <v>0</v>
      </c>
      <c r="K19" s="462">
        <v>0</v>
      </c>
      <c r="L19" s="387">
        <v>526</v>
      </c>
      <c r="M19" s="387">
        <v>196</v>
      </c>
      <c r="N19" s="388">
        <v>0</v>
      </c>
      <c r="O19" s="387">
        <v>113</v>
      </c>
      <c r="P19" s="389">
        <v>0</v>
      </c>
      <c r="Q19" s="387">
        <v>8495</v>
      </c>
      <c r="R19" s="390">
        <v>8536</v>
      </c>
      <c r="S19" s="387">
        <v>8536</v>
      </c>
      <c r="T19" s="388">
        <v>2605</v>
      </c>
      <c r="U19" s="391"/>
      <c r="V19" s="387"/>
      <c r="W19" s="462">
        <v>11976</v>
      </c>
      <c r="X19" s="387"/>
      <c r="Y19" s="387"/>
      <c r="Z19" s="391"/>
      <c r="AA19" s="387"/>
      <c r="AB19" s="462">
        <v>0</v>
      </c>
      <c r="AC19" s="387"/>
      <c r="AD19" s="387"/>
      <c r="AE19" s="388"/>
      <c r="AF19" s="392"/>
      <c r="AG19" s="387"/>
      <c r="AH19" s="388"/>
      <c r="AI19" s="388"/>
      <c r="AJ19" s="462">
        <v>0</v>
      </c>
      <c r="AK19" s="388">
        <v>14838.505279537512</v>
      </c>
      <c r="AL19" s="388">
        <v>893.23619267666527</v>
      </c>
      <c r="AM19" s="388">
        <v>13945.269086860846</v>
      </c>
      <c r="AN19" s="388">
        <v>359.93219464551117</v>
      </c>
      <c r="AO19" s="467">
        <v>6.0197181309659897E-2</v>
      </c>
      <c r="AP19" s="468">
        <v>12335.932194645511</v>
      </c>
      <c r="AQ19" s="468">
        <v>-12335.932194645511</v>
      </c>
      <c r="AR19" s="393"/>
      <c r="AS19" s="394"/>
      <c r="AT19" s="394"/>
      <c r="AU19" s="395"/>
      <c r="AV19" s="471" t="s">
        <v>2484</v>
      </c>
      <c r="AW19" s="388">
        <v>14838505.279537512</v>
      </c>
      <c r="AX19" s="424">
        <v>893236.19267666526</v>
      </c>
      <c r="AY19" s="424">
        <v>13945269.086860847</v>
      </c>
      <c r="AZ19" s="424">
        <v>359932.19464551116</v>
      </c>
      <c r="BA19" s="472">
        <v>6.0197181309659897E-2</v>
      </c>
      <c r="BB19" s="453">
        <v>32332</v>
      </c>
      <c r="BC19" s="390">
        <v>0</v>
      </c>
      <c r="BD19" s="236">
        <v>0</v>
      </c>
    </row>
    <row r="20" spans="1:56" s="121" customFormat="1" ht="14.25" customHeight="1">
      <c r="A20" s="104">
        <v>2023</v>
      </c>
      <c r="B20" s="105" t="s">
        <v>213</v>
      </c>
      <c r="C20" s="556" t="s">
        <v>178</v>
      </c>
      <c r="D20" s="106" t="s">
        <v>2415</v>
      </c>
      <c r="E20" s="150" t="s">
        <v>179</v>
      </c>
      <c r="F20" s="71" t="s">
        <v>78</v>
      </c>
      <c r="G20" s="68" t="s">
        <v>180</v>
      </c>
      <c r="H20" s="386"/>
      <c r="I20" s="388"/>
      <c r="J20" s="388"/>
      <c r="K20" s="462">
        <v>0</v>
      </c>
      <c r="L20" s="388"/>
      <c r="M20" s="387">
        <v>0</v>
      </c>
      <c r="N20" s="388"/>
      <c r="O20" s="387"/>
      <c r="P20" s="396">
        <v>1.05</v>
      </c>
      <c r="Q20" s="387">
        <v>8495</v>
      </c>
      <c r="R20" s="388"/>
      <c r="S20" s="387">
        <v>8920</v>
      </c>
      <c r="T20" s="388"/>
      <c r="U20" s="391"/>
      <c r="V20" s="387">
        <v>7490</v>
      </c>
      <c r="W20" s="462">
        <v>16410</v>
      </c>
      <c r="X20" s="387"/>
      <c r="Y20" s="387">
        <v>4</v>
      </c>
      <c r="Z20" s="391"/>
      <c r="AA20" s="387">
        <v>7490</v>
      </c>
      <c r="AB20" s="462">
        <v>7494</v>
      </c>
      <c r="AC20" s="387"/>
      <c r="AD20" s="387"/>
      <c r="AE20" s="388"/>
      <c r="AF20" s="392">
        <v>55</v>
      </c>
      <c r="AG20" s="387">
        <v>6137.2960000000003</v>
      </c>
      <c r="AH20" s="388">
        <v>877.327</v>
      </c>
      <c r="AI20" s="388"/>
      <c r="AJ20" s="462">
        <v>7069.6230000000005</v>
      </c>
      <c r="AK20" s="388">
        <v>0</v>
      </c>
      <c r="AL20" s="388">
        <v>0</v>
      </c>
      <c r="AM20" s="388">
        <v>0</v>
      </c>
      <c r="AN20" s="388">
        <v>0</v>
      </c>
      <c r="AO20" s="467" t="s">
        <v>2698</v>
      </c>
      <c r="AP20" s="428"/>
      <c r="AQ20" s="468">
        <v>0</v>
      </c>
      <c r="AR20" s="393"/>
      <c r="AS20" s="394"/>
      <c r="AT20" s="394"/>
      <c r="AU20" s="395"/>
      <c r="AV20" s="471"/>
      <c r="AW20" s="388">
        <v>0</v>
      </c>
      <c r="AX20" s="424">
        <v>0</v>
      </c>
      <c r="AY20" s="424">
        <v>0</v>
      </c>
      <c r="AZ20" s="424">
        <v>0</v>
      </c>
      <c r="BA20" s="472" t="e">
        <v>#DIV/0!</v>
      </c>
      <c r="BB20" s="453" t="s">
        <v>825</v>
      </c>
      <c r="BC20" s="390" t="s">
        <v>825</v>
      </c>
      <c r="BD20" s="236" t="s">
        <v>825</v>
      </c>
    </row>
    <row r="21" spans="1:56" s="121" customFormat="1" ht="14.25" customHeight="1">
      <c r="A21" s="104">
        <v>2023</v>
      </c>
      <c r="B21" s="105" t="s">
        <v>218</v>
      </c>
      <c r="C21" s="556" t="s">
        <v>186</v>
      </c>
      <c r="D21" s="106" t="s">
        <v>2415</v>
      </c>
      <c r="E21" s="150" t="s">
        <v>2057</v>
      </c>
      <c r="F21" s="71" t="s">
        <v>187</v>
      </c>
      <c r="G21" s="68" t="s">
        <v>2058</v>
      </c>
      <c r="H21" s="397"/>
      <c r="I21" s="398"/>
      <c r="J21" s="398"/>
      <c r="K21" s="462">
        <v>0</v>
      </c>
      <c r="L21" s="387">
        <v>8220</v>
      </c>
      <c r="M21" s="387">
        <v>3071</v>
      </c>
      <c r="N21" s="388"/>
      <c r="O21" s="387">
        <v>955</v>
      </c>
      <c r="P21" s="389">
        <v>2.8</v>
      </c>
      <c r="Q21" s="387">
        <v>8495</v>
      </c>
      <c r="R21" s="398"/>
      <c r="S21" s="387">
        <v>23786</v>
      </c>
      <c r="T21" s="388">
        <v>1846</v>
      </c>
      <c r="U21" s="391"/>
      <c r="V21" s="398"/>
      <c r="W21" s="462">
        <v>37878</v>
      </c>
      <c r="X21" s="399"/>
      <c r="Y21" s="399"/>
      <c r="Z21" s="400"/>
      <c r="AA21" s="399"/>
      <c r="AB21" s="462">
        <v>0</v>
      </c>
      <c r="AC21" s="399"/>
      <c r="AD21" s="399"/>
      <c r="AE21" s="398"/>
      <c r="AF21" s="401"/>
      <c r="AG21" s="399"/>
      <c r="AH21" s="398"/>
      <c r="AI21" s="398"/>
      <c r="AJ21" s="462">
        <v>0</v>
      </c>
      <c r="AK21" s="388">
        <v>990831.76300000004</v>
      </c>
      <c r="AL21" s="388">
        <v>748384.31099999999</v>
      </c>
      <c r="AM21" s="388">
        <v>242447.45199999999</v>
      </c>
      <c r="AN21" s="388">
        <v>13438.659</v>
      </c>
      <c r="AO21" s="467">
        <v>0.75530916442774554</v>
      </c>
      <c r="AP21" s="468">
        <v>51316.659</v>
      </c>
      <c r="AQ21" s="468">
        <v>-51316.659</v>
      </c>
      <c r="AR21" s="402"/>
      <c r="AS21" s="403"/>
      <c r="AT21" s="403"/>
      <c r="AU21" s="404"/>
      <c r="AV21" s="473"/>
      <c r="AW21" s="388">
        <v>990831763</v>
      </c>
      <c r="AX21" s="424">
        <v>748384311</v>
      </c>
      <c r="AY21" s="424">
        <v>242447452</v>
      </c>
      <c r="AZ21" s="424">
        <v>13438659</v>
      </c>
      <c r="BA21" s="472">
        <v>0.75530916442774554</v>
      </c>
      <c r="BB21" s="453" t="s">
        <v>825</v>
      </c>
      <c r="BC21" s="390" t="s">
        <v>825</v>
      </c>
      <c r="BD21" s="236" t="s">
        <v>825</v>
      </c>
    </row>
    <row r="22" spans="1:56" s="121" customFormat="1" ht="14.25" customHeight="1">
      <c r="A22" s="104">
        <v>2023</v>
      </c>
      <c r="B22" s="105" t="s">
        <v>223</v>
      </c>
      <c r="C22" s="556" t="s">
        <v>196</v>
      </c>
      <c r="D22" s="106" t="s">
        <v>2415</v>
      </c>
      <c r="E22" s="150" t="s">
        <v>197</v>
      </c>
      <c r="F22" s="71" t="s">
        <v>187</v>
      </c>
      <c r="G22" s="290" t="s">
        <v>2058</v>
      </c>
      <c r="H22" s="405"/>
      <c r="I22" s="398"/>
      <c r="J22" s="398"/>
      <c r="K22" s="462">
        <v>0</v>
      </c>
      <c r="L22" s="387">
        <v>3047</v>
      </c>
      <c r="M22" s="387">
        <v>746</v>
      </c>
      <c r="N22" s="388"/>
      <c r="O22" s="387">
        <v>186</v>
      </c>
      <c r="P22" s="389"/>
      <c r="Q22" s="387">
        <v>8495</v>
      </c>
      <c r="R22" s="398"/>
      <c r="S22" s="387">
        <v>0</v>
      </c>
      <c r="T22" s="388">
        <v>1353</v>
      </c>
      <c r="U22" s="391"/>
      <c r="V22" s="398"/>
      <c r="W22" s="462">
        <v>5332</v>
      </c>
      <c r="X22" s="399"/>
      <c r="Y22" s="399"/>
      <c r="Z22" s="400"/>
      <c r="AA22" s="399"/>
      <c r="AB22" s="462">
        <v>0</v>
      </c>
      <c r="AC22" s="399"/>
      <c r="AD22" s="399"/>
      <c r="AE22" s="398"/>
      <c r="AF22" s="401"/>
      <c r="AG22" s="399"/>
      <c r="AH22" s="398"/>
      <c r="AI22" s="398"/>
      <c r="AJ22" s="462">
        <v>0</v>
      </c>
      <c r="AK22" s="388">
        <v>290921.22100000002</v>
      </c>
      <c r="AL22" s="388">
        <v>190415.28700000001</v>
      </c>
      <c r="AM22" s="388">
        <v>100505.93399999999</v>
      </c>
      <c r="AN22" s="388">
        <v>9678.2129999999997</v>
      </c>
      <c r="AO22" s="467">
        <v>0.654525257200127</v>
      </c>
      <c r="AP22" s="468">
        <v>15010.213</v>
      </c>
      <c r="AQ22" s="468">
        <v>-15010.213</v>
      </c>
      <c r="AR22" s="402"/>
      <c r="AS22" s="403"/>
      <c r="AT22" s="403"/>
      <c r="AU22" s="404"/>
      <c r="AV22" s="473"/>
      <c r="AW22" s="388">
        <v>290921221</v>
      </c>
      <c r="AX22" s="424">
        <v>190415287</v>
      </c>
      <c r="AY22" s="424">
        <v>100505934</v>
      </c>
      <c r="AZ22" s="424">
        <v>9678213</v>
      </c>
      <c r="BA22" s="472">
        <v>0.654525257200127</v>
      </c>
      <c r="BB22" s="453" t="s">
        <v>825</v>
      </c>
      <c r="BC22" s="390" t="s">
        <v>825</v>
      </c>
      <c r="BD22" s="236" t="s">
        <v>825</v>
      </c>
    </row>
    <row r="23" spans="1:56" s="121" customFormat="1" ht="14.25" customHeight="1">
      <c r="A23" s="104">
        <v>2023</v>
      </c>
      <c r="B23" s="105" t="s">
        <v>231</v>
      </c>
      <c r="C23" s="556" t="s">
        <v>210</v>
      </c>
      <c r="D23" s="106" t="s">
        <v>2415</v>
      </c>
      <c r="E23" s="150" t="s">
        <v>2381</v>
      </c>
      <c r="F23" s="71" t="s">
        <v>187</v>
      </c>
      <c r="G23" s="290" t="s">
        <v>2058</v>
      </c>
      <c r="H23" s="406"/>
      <c r="I23" s="398"/>
      <c r="J23" s="398"/>
      <c r="K23" s="462">
        <v>0</v>
      </c>
      <c r="L23" s="387">
        <v>1240</v>
      </c>
      <c r="M23" s="387">
        <v>21</v>
      </c>
      <c r="N23" s="388"/>
      <c r="O23" s="387">
        <v>10</v>
      </c>
      <c r="P23" s="389"/>
      <c r="Q23" s="387">
        <v>8495</v>
      </c>
      <c r="R23" s="398"/>
      <c r="S23" s="387">
        <v>0</v>
      </c>
      <c r="T23" s="388">
        <v>416</v>
      </c>
      <c r="U23" s="391"/>
      <c r="V23" s="398"/>
      <c r="W23" s="462">
        <v>1687</v>
      </c>
      <c r="X23" s="399"/>
      <c r="Y23" s="399"/>
      <c r="Z23" s="400"/>
      <c r="AA23" s="399"/>
      <c r="AB23" s="462">
        <v>0</v>
      </c>
      <c r="AC23" s="399"/>
      <c r="AD23" s="399"/>
      <c r="AE23" s="398"/>
      <c r="AF23" s="401"/>
      <c r="AG23" s="399"/>
      <c r="AH23" s="398"/>
      <c r="AI23" s="398"/>
      <c r="AJ23" s="462">
        <v>0</v>
      </c>
      <c r="AK23" s="388">
        <v>63509.696000000004</v>
      </c>
      <c r="AL23" s="388">
        <v>42699.798000000003</v>
      </c>
      <c r="AM23" s="388">
        <v>20809.898000000001</v>
      </c>
      <c r="AN23" s="388">
        <v>2415.9859999999999</v>
      </c>
      <c r="AO23" s="467">
        <v>0.67233510297388288</v>
      </c>
      <c r="AP23" s="468">
        <v>4102.9859999999999</v>
      </c>
      <c r="AQ23" s="468">
        <v>-4102.9859999999999</v>
      </c>
      <c r="AR23" s="402"/>
      <c r="AS23" s="403"/>
      <c r="AT23" s="403"/>
      <c r="AU23" s="404"/>
      <c r="AV23" s="473"/>
      <c r="AW23" s="388">
        <v>63509696</v>
      </c>
      <c r="AX23" s="424">
        <v>42699798</v>
      </c>
      <c r="AY23" s="424">
        <v>20809898</v>
      </c>
      <c r="AZ23" s="424">
        <v>2415986</v>
      </c>
      <c r="BA23" s="472">
        <v>0.67233510297388288</v>
      </c>
      <c r="BB23" s="453" t="s">
        <v>825</v>
      </c>
      <c r="BC23" s="390" t="s">
        <v>825</v>
      </c>
      <c r="BD23" s="236" t="s">
        <v>825</v>
      </c>
    </row>
    <row r="24" spans="1:56" s="121" customFormat="1" ht="14.25" customHeight="1">
      <c r="A24" s="104">
        <v>2023</v>
      </c>
      <c r="B24" s="105" t="s">
        <v>236</v>
      </c>
      <c r="C24" s="556" t="s">
        <v>214</v>
      </c>
      <c r="D24" s="106" t="s">
        <v>2415</v>
      </c>
      <c r="E24" s="150" t="s">
        <v>215</v>
      </c>
      <c r="F24" s="71" t="s">
        <v>187</v>
      </c>
      <c r="G24" s="290" t="s">
        <v>2058</v>
      </c>
      <c r="H24" s="406"/>
      <c r="I24" s="398"/>
      <c r="J24" s="398"/>
      <c r="K24" s="462">
        <v>0</v>
      </c>
      <c r="L24" s="387">
        <v>1595</v>
      </c>
      <c r="M24" s="387">
        <v>37</v>
      </c>
      <c r="N24" s="388"/>
      <c r="O24" s="387">
        <v>195</v>
      </c>
      <c r="P24" s="389"/>
      <c r="Q24" s="387">
        <v>8495</v>
      </c>
      <c r="R24" s="398"/>
      <c r="S24" s="387">
        <v>0</v>
      </c>
      <c r="T24" s="388">
        <v>628</v>
      </c>
      <c r="U24" s="391"/>
      <c r="V24" s="398"/>
      <c r="W24" s="462">
        <v>2455</v>
      </c>
      <c r="X24" s="399"/>
      <c r="Y24" s="399"/>
      <c r="Z24" s="400"/>
      <c r="AA24" s="399"/>
      <c r="AB24" s="462">
        <v>0</v>
      </c>
      <c r="AC24" s="399"/>
      <c r="AD24" s="399"/>
      <c r="AE24" s="398"/>
      <c r="AF24" s="401"/>
      <c r="AG24" s="399"/>
      <c r="AH24" s="398"/>
      <c r="AI24" s="398"/>
      <c r="AJ24" s="462">
        <v>0</v>
      </c>
      <c r="AK24" s="388">
        <v>91275</v>
      </c>
      <c r="AL24" s="388">
        <v>59968.13</v>
      </c>
      <c r="AM24" s="388">
        <v>31306.87</v>
      </c>
      <c r="AN24" s="388">
        <v>2093.9810000000002</v>
      </c>
      <c r="AO24" s="467">
        <v>0.65700498493563408</v>
      </c>
      <c r="AP24" s="468">
        <v>4548.9809999999998</v>
      </c>
      <c r="AQ24" s="468">
        <v>-4548.9809999999998</v>
      </c>
      <c r="AR24" s="402"/>
      <c r="AS24" s="403"/>
      <c r="AT24" s="403"/>
      <c r="AU24" s="404"/>
      <c r="AV24" s="473"/>
      <c r="AW24" s="388">
        <v>91275000</v>
      </c>
      <c r="AX24" s="424">
        <v>59968130</v>
      </c>
      <c r="AY24" s="424">
        <v>31306870</v>
      </c>
      <c r="AZ24" s="424">
        <v>2093981</v>
      </c>
      <c r="BA24" s="472">
        <v>0.65700498493563408</v>
      </c>
      <c r="BB24" s="453" t="s">
        <v>825</v>
      </c>
      <c r="BC24" s="390" t="s">
        <v>825</v>
      </c>
      <c r="BD24" s="236" t="s">
        <v>825</v>
      </c>
    </row>
    <row r="25" spans="1:56" s="121" customFormat="1" ht="14.25" customHeight="1">
      <c r="A25" s="104">
        <v>2023</v>
      </c>
      <c r="B25" s="105" t="s">
        <v>241</v>
      </c>
      <c r="C25" s="556" t="s">
        <v>204</v>
      </c>
      <c r="D25" s="106" t="s">
        <v>2415</v>
      </c>
      <c r="E25" s="150" t="s">
        <v>205</v>
      </c>
      <c r="F25" s="71" t="s">
        <v>187</v>
      </c>
      <c r="G25" s="290" t="s">
        <v>2058</v>
      </c>
      <c r="H25" s="406"/>
      <c r="I25" s="398"/>
      <c r="J25" s="398"/>
      <c r="K25" s="462">
        <v>0</v>
      </c>
      <c r="L25" s="387">
        <v>960</v>
      </c>
      <c r="M25" s="387">
        <v>21</v>
      </c>
      <c r="N25" s="388"/>
      <c r="O25" s="387">
        <v>0</v>
      </c>
      <c r="P25" s="389"/>
      <c r="Q25" s="387">
        <v>8495</v>
      </c>
      <c r="R25" s="398"/>
      <c r="S25" s="387">
        <v>0</v>
      </c>
      <c r="T25" s="388">
        <v>373</v>
      </c>
      <c r="U25" s="391"/>
      <c r="V25" s="398"/>
      <c r="W25" s="462">
        <v>1354</v>
      </c>
      <c r="X25" s="399"/>
      <c r="Y25" s="399"/>
      <c r="Z25" s="400"/>
      <c r="AA25" s="399"/>
      <c r="AB25" s="462">
        <v>0</v>
      </c>
      <c r="AC25" s="399"/>
      <c r="AD25" s="399"/>
      <c r="AE25" s="398"/>
      <c r="AF25" s="401"/>
      <c r="AG25" s="399"/>
      <c r="AH25" s="398"/>
      <c r="AI25" s="398"/>
      <c r="AJ25" s="462">
        <v>0</v>
      </c>
      <c r="AK25" s="388">
        <v>44173.84</v>
      </c>
      <c r="AL25" s="388">
        <v>28790.061000000002</v>
      </c>
      <c r="AM25" s="388">
        <v>15383.779</v>
      </c>
      <c r="AN25" s="388">
        <v>965.97900000000004</v>
      </c>
      <c r="AO25" s="467">
        <v>0.65174458457765949</v>
      </c>
      <c r="AP25" s="468">
        <v>2319.9790000000003</v>
      </c>
      <c r="AQ25" s="468">
        <v>-2319.9790000000003</v>
      </c>
      <c r="AR25" s="402"/>
      <c r="AS25" s="403"/>
      <c r="AT25" s="403"/>
      <c r="AU25" s="404"/>
      <c r="AV25" s="473"/>
      <c r="AW25" s="388">
        <v>44173840</v>
      </c>
      <c r="AX25" s="424">
        <v>28790061</v>
      </c>
      <c r="AY25" s="424">
        <v>15383779</v>
      </c>
      <c r="AZ25" s="424">
        <v>965979</v>
      </c>
      <c r="BA25" s="472">
        <v>0.65174458457765949</v>
      </c>
      <c r="BB25" s="453" t="s">
        <v>825</v>
      </c>
      <c r="BC25" s="390" t="s">
        <v>825</v>
      </c>
      <c r="BD25" s="236" t="s">
        <v>825</v>
      </c>
    </row>
    <row r="26" spans="1:56" s="121" customFormat="1" ht="14.25" customHeight="1">
      <c r="A26" s="104">
        <v>2023</v>
      </c>
      <c r="B26" s="105" t="s">
        <v>246</v>
      </c>
      <c r="C26" s="556" t="s">
        <v>219</v>
      </c>
      <c r="D26" s="106" t="s">
        <v>2415</v>
      </c>
      <c r="E26" s="150" t="s">
        <v>220</v>
      </c>
      <c r="F26" s="71" t="s">
        <v>187</v>
      </c>
      <c r="G26" s="290" t="s">
        <v>2058</v>
      </c>
      <c r="H26" s="406"/>
      <c r="I26" s="398"/>
      <c r="J26" s="398"/>
      <c r="K26" s="462">
        <v>0</v>
      </c>
      <c r="L26" s="387">
        <v>1570</v>
      </c>
      <c r="M26" s="387">
        <v>42</v>
      </c>
      <c r="N26" s="388"/>
      <c r="O26" s="387">
        <v>1100</v>
      </c>
      <c r="P26" s="389"/>
      <c r="Q26" s="387">
        <v>8495</v>
      </c>
      <c r="R26" s="398"/>
      <c r="S26" s="387">
        <v>0</v>
      </c>
      <c r="T26" s="388">
        <v>597</v>
      </c>
      <c r="U26" s="391"/>
      <c r="V26" s="398"/>
      <c r="W26" s="462">
        <v>3309</v>
      </c>
      <c r="X26" s="399"/>
      <c r="Y26" s="399"/>
      <c r="Z26" s="400"/>
      <c r="AA26" s="399"/>
      <c r="AB26" s="462">
        <v>0</v>
      </c>
      <c r="AC26" s="399"/>
      <c r="AD26" s="399"/>
      <c r="AE26" s="398"/>
      <c r="AF26" s="401"/>
      <c r="AG26" s="399"/>
      <c r="AH26" s="398"/>
      <c r="AI26" s="398"/>
      <c r="AJ26" s="462">
        <v>0</v>
      </c>
      <c r="AK26" s="388">
        <v>108122.963</v>
      </c>
      <c r="AL26" s="388">
        <v>58412.618999999999</v>
      </c>
      <c r="AM26" s="388">
        <v>49710.343999999997</v>
      </c>
      <c r="AN26" s="388">
        <v>2785.9720000000002</v>
      </c>
      <c r="AO26" s="467">
        <v>0.54024249224468623</v>
      </c>
      <c r="AP26" s="468">
        <v>6094.9719999999998</v>
      </c>
      <c r="AQ26" s="468">
        <v>-6094.9719999999998</v>
      </c>
      <c r="AR26" s="402"/>
      <c r="AS26" s="403"/>
      <c r="AT26" s="403"/>
      <c r="AU26" s="404"/>
      <c r="AV26" s="473"/>
      <c r="AW26" s="388">
        <v>108122963</v>
      </c>
      <c r="AX26" s="424">
        <v>58412619</v>
      </c>
      <c r="AY26" s="424">
        <v>49710344</v>
      </c>
      <c r="AZ26" s="424">
        <v>2785972</v>
      </c>
      <c r="BA26" s="472">
        <v>0.54024249224468623</v>
      </c>
      <c r="BB26" s="453" t="s">
        <v>825</v>
      </c>
      <c r="BC26" s="390" t="s">
        <v>825</v>
      </c>
      <c r="BD26" s="236" t="s">
        <v>825</v>
      </c>
    </row>
    <row r="27" spans="1:56" s="121" customFormat="1" ht="14.25" customHeight="1">
      <c r="A27" s="104">
        <v>2023</v>
      </c>
      <c r="B27" s="105" t="s">
        <v>253</v>
      </c>
      <c r="C27" s="556" t="s">
        <v>224</v>
      </c>
      <c r="D27" s="106" t="s">
        <v>2415</v>
      </c>
      <c r="E27" s="150" t="s">
        <v>225</v>
      </c>
      <c r="F27" s="71" t="s">
        <v>187</v>
      </c>
      <c r="G27" s="290" t="s">
        <v>2058</v>
      </c>
      <c r="H27" s="406"/>
      <c r="I27" s="398"/>
      <c r="J27" s="398"/>
      <c r="K27" s="462">
        <v>0</v>
      </c>
      <c r="L27" s="387">
        <v>44</v>
      </c>
      <c r="M27" s="388"/>
      <c r="N27" s="388"/>
      <c r="O27" s="388">
        <v>36</v>
      </c>
      <c r="P27" s="389"/>
      <c r="Q27" s="387">
        <v>8495</v>
      </c>
      <c r="R27" s="398"/>
      <c r="S27" s="387">
        <v>0</v>
      </c>
      <c r="T27" s="398"/>
      <c r="U27" s="400"/>
      <c r="V27" s="398"/>
      <c r="W27" s="462">
        <v>80</v>
      </c>
      <c r="X27" s="399"/>
      <c r="Y27" s="399"/>
      <c r="Z27" s="400"/>
      <c r="AA27" s="399"/>
      <c r="AB27" s="462">
        <v>0</v>
      </c>
      <c r="AC27" s="399"/>
      <c r="AD27" s="399"/>
      <c r="AE27" s="398"/>
      <c r="AF27" s="401"/>
      <c r="AG27" s="399"/>
      <c r="AH27" s="398"/>
      <c r="AI27" s="398"/>
      <c r="AJ27" s="462">
        <v>0</v>
      </c>
      <c r="AK27" s="388">
        <v>4767.6000000000004</v>
      </c>
      <c r="AL27" s="388">
        <v>1730.63</v>
      </c>
      <c r="AM27" s="388">
        <v>3036.97</v>
      </c>
      <c r="AN27" s="388">
        <v>157.33000000000001</v>
      </c>
      <c r="AO27" s="467">
        <v>0.36299815420756776</v>
      </c>
      <c r="AP27" s="468">
        <v>237.33</v>
      </c>
      <c r="AQ27" s="468">
        <v>-237.33</v>
      </c>
      <c r="AR27" s="402"/>
      <c r="AS27" s="403"/>
      <c r="AT27" s="403"/>
      <c r="AU27" s="404"/>
      <c r="AV27" s="473"/>
      <c r="AW27" s="388">
        <v>4767600</v>
      </c>
      <c r="AX27" s="424">
        <v>1730630</v>
      </c>
      <c r="AY27" s="424">
        <v>3036970</v>
      </c>
      <c r="AZ27" s="424">
        <v>157330</v>
      </c>
      <c r="BA27" s="472">
        <v>0.36299815420756776</v>
      </c>
      <c r="BB27" s="453" t="s">
        <v>825</v>
      </c>
      <c r="BC27" s="390" t="s">
        <v>825</v>
      </c>
      <c r="BD27" s="236" t="s">
        <v>825</v>
      </c>
    </row>
    <row r="28" spans="1:56" s="121" customFormat="1" ht="14.25" customHeight="1">
      <c r="A28" s="104">
        <v>2023</v>
      </c>
      <c r="B28" s="105" t="s">
        <v>259</v>
      </c>
      <c r="C28" s="556" t="s">
        <v>247</v>
      </c>
      <c r="D28" s="106" t="s">
        <v>2415</v>
      </c>
      <c r="E28" s="150" t="s">
        <v>248</v>
      </c>
      <c r="F28" s="71" t="s">
        <v>187</v>
      </c>
      <c r="G28" s="290" t="s">
        <v>2058</v>
      </c>
      <c r="H28" s="406"/>
      <c r="I28" s="398"/>
      <c r="J28" s="398"/>
      <c r="K28" s="462">
        <v>0</v>
      </c>
      <c r="L28" s="388"/>
      <c r="M28" s="388"/>
      <c r="N28" s="388"/>
      <c r="O28" s="388">
        <v>36</v>
      </c>
      <c r="P28" s="389"/>
      <c r="Q28" s="387">
        <v>8495</v>
      </c>
      <c r="R28" s="398"/>
      <c r="S28" s="387">
        <v>0</v>
      </c>
      <c r="T28" s="398"/>
      <c r="U28" s="400"/>
      <c r="V28" s="398"/>
      <c r="W28" s="462">
        <v>36</v>
      </c>
      <c r="X28" s="399"/>
      <c r="Y28" s="399"/>
      <c r="Z28" s="400"/>
      <c r="AA28" s="399"/>
      <c r="AB28" s="462">
        <v>0</v>
      </c>
      <c r="AC28" s="399"/>
      <c r="AD28" s="399"/>
      <c r="AE28" s="398"/>
      <c r="AF28" s="401"/>
      <c r="AG28" s="399"/>
      <c r="AH28" s="398"/>
      <c r="AI28" s="398"/>
      <c r="AJ28" s="462">
        <v>0</v>
      </c>
      <c r="AK28" s="388">
        <v>10833.9</v>
      </c>
      <c r="AL28" s="388">
        <v>10833.898999999999</v>
      </c>
      <c r="AM28" s="388">
        <v>1E-3</v>
      </c>
      <c r="AN28" s="388">
        <v>0</v>
      </c>
      <c r="AO28" s="467">
        <v>0.99999990769713587</v>
      </c>
      <c r="AP28" s="468">
        <v>36</v>
      </c>
      <c r="AQ28" s="468">
        <v>-36</v>
      </c>
      <c r="AR28" s="402"/>
      <c r="AS28" s="403"/>
      <c r="AT28" s="403"/>
      <c r="AU28" s="404"/>
      <c r="AV28" s="473"/>
      <c r="AW28" s="388">
        <v>10833900</v>
      </c>
      <c r="AX28" s="424">
        <v>10833899</v>
      </c>
      <c r="AY28" s="424">
        <v>1</v>
      </c>
      <c r="AZ28" s="424">
        <v>0</v>
      </c>
      <c r="BA28" s="472">
        <v>0.99999990769713587</v>
      </c>
      <c r="BB28" s="453" t="s">
        <v>825</v>
      </c>
      <c r="BC28" s="390" t="s">
        <v>825</v>
      </c>
      <c r="BD28" s="236" t="s">
        <v>825</v>
      </c>
    </row>
    <row r="29" spans="1:56" s="121" customFormat="1" ht="14.25" customHeight="1">
      <c r="A29" s="104">
        <v>2023</v>
      </c>
      <c r="B29" s="105" t="s">
        <v>272</v>
      </c>
      <c r="C29" s="556" t="s">
        <v>254</v>
      </c>
      <c r="D29" s="106" t="s">
        <v>2415</v>
      </c>
      <c r="E29" s="150" t="s">
        <v>255</v>
      </c>
      <c r="F29" s="71" t="s">
        <v>187</v>
      </c>
      <c r="G29" s="290" t="s">
        <v>2058</v>
      </c>
      <c r="H29" s="406"/>
      <c r="I29" s="398"/>
      <c r="J29" s="398"/>
      <c r="K29" s="462">
        <v>0</v>
      </c>
      <c r="L29" s="387">
        <v>34</v>
      </c>
      <c r="M29" s="388"/>
      <c r="N29" s="388"/>
      <c r="O29" s="387">
        <v>36</v>
      </c>
      <c r="P29" s="389"/>
      <c r="Q29" s="387">
        <v>8495</v>
      </c>
      <c r="R29" s="398"/>
      <c r="S29" s="387">
        <v>0</v>
      </c>
      <c r="T29" s="398"/>
      <c r="U29" s="400"/>
      <c r="V29" s="398"/>
      <c r="W29" s="462">
        <v>70</v>
      </c>
      <c r="X29" s="399"/>
      <c r="Y29" s="399"/>
      <c r="Z29" s="400"/>
      <c r="AA29" s="399"/>
      <c r="AB29" s="462">
        <v>0</v>
      </c>
      <c r="AC29" s="399"/>
      <c r="AD29" s="399"/>
      <c r="AE29" s="398"/>
      <c r="AF29" s="401"/>
      <c r="AG29" s="399"/>
      <c r="AH29" s="398"/>
      <c r="AI29" s="398"/>
      <c r="AJ29" s="462">
        <v>0</v>
      </c>
      <c r="AK29" s="388">
        <v>15750</v>
      </c>
      <c r="AL29" s="388">
        <v>8316</v>
      </c>
      <c r="AM29" s="388">
        <v>7434</v>
      </c>
      <c r="AN29" s="388">
        <v>519.75</v>
      </c>
      <c r="AO29" s="467">
        <v>0.52800000000000002</v>
      </c>
      <c r="AP29" s="468">
        <v>589.75</v>
      </c>
      <c r="AQ29" s="468">
        <v>-589.75</v>
      </c>
      <c r="AR29" s="402"/>
      <c r="AS29" s="403"/>
      <c r="AT29" s="403"/>
      <c r="AU29" s="404"/>
      <c r="AV29" s="473"/>
      <c r="AW29" s="388">
        <v>15750000</v>
      </c>
      <c r="AX29" s="424">
        <v>8316000</v>
      </c>
      <c r="AY29" s="424">
        <v>7434000</v>
      </c>
      <c r="AZ29" s="424">
        <v>519750</v>
      </c>
      <c r="BA29" s="472">
        <v>0.52800000000000002</v>
      </c>
      <c r="BB29" s="453" t="s">
        <v>825</v>
      </c>
      <c r="BC29" s="390" t="s">
        <v>825</v>
      </c>
      <c r="BD29" s="236" t="s">
        <v>825</v>
      </c>
    </row>
    <row r="30" spans="1:56" s="121" customFormat="1" ht="14.25" customHeight="1">
      <c r="A30" s="104">
        <v>2023</v>
      </c>
      <c r="B30" s="105" t="s">
        <v>277</v>
      </c>
      <c r="C30" s="556" t="s">
        <v>237</v>
      </c>
      <c r="D30" s="106" t="s">
        <v>2415</v>
      </c>
      <c r="E30" s="150" t="s">
        <v>238</v>
      </c>
      <c r="F30" s="71" t="s">
        <v>187</v>
      </c>
      <c r="G30" s="290" t="s">
        <v>2058</v>
      </c>
      <c r="H30" s="406"/>
      <c r="I30" s="398"/>
      <c r="J30" s="398"/>
      <c r="K30" s="462">
        <v>0</v>
      </c>
      <c r="L30" s="387">
        <v>44</v>
      </c>
      <c r="M30" s="388"/>
      <c r="N30" s="388"/>
      <c r="O30" s="388">
        <v>36</v>
      </c>
      <c r="P30" s="389"/>
      <c r="Q30" s="387">
        <v>8495</v>
      </c>
      <c r="R30" s="398"/>
      <c r="S30" s="387">
        <v>0</v>
      </c>
      <c r="T30" s="398"/>
      <c r="U30" s="400"/>
      <c r="V30" s="398"/>
      <c r="W30" s="462">
        <v>80</v>
      </c>
      <c r="X30" s="399"/>
      <c r="Y30" s="399"/>
      <c r="Z30" s="400"/>
      <c r="AA30" s="399"/>
      <c r="AB30" s="462">
        <v>0</v>
      </c>
      <c r="AC30" s="399"/>
      <c r="AD30" s="399"/>
      <c r="AE30" s="398"/>
      <c r="AF30" s="401"/>
      <c r="AG30" s="399"/>
      <c r="AH30" s="398"/>
      <c r="AI30" s="398"/>
      <c r="AJ30" s="462">
        <v>0</v>
      </c>
      <c r="AK30" s="388">
        <v>29116</v>
      </c>
      <c r="AL30" s="388">
        <v>17294.903999999999</v>
      </c>
      <c r="AM30" s="388">
        <v>11821.096</v>
      </c>
      <c r="AN30" s="388">
        <v>786.13199999999995</v>
      </c>
      <c r="AO30" s="467">
        <v>0.59399999999999997</v>
      </c>
      <c r="AP30" s="468">
        <v>866.13199999999995</v>
      </c>
      <c r="AQ30" s="468">
        <v>-866.13199999999995</v>
      </c>
      <c r="AR30" s="402"/>
      <c r="AS30" s="403"/>
      <c r="AT30" s="403"/>
      <c r="AU30" s="404"/>
      <c r="AV30" s="473"/>
      <c r="AW30" s="388">
        <v>29116000</v>
      </c>
      <c r="AX30" s="424">
        <v>17294904</v>
      </c>
      <c r="AY30" s="424">
        <v>11821096</v>
      </c>
      <c r="AZ30" s="424">
        <v>786132</v>
      </c>
      <c r="BA30" s="472">
        <v>0.59399999999999997</v>
      </c>
      <c r="BB30" s="453" t="s">
        <v>825</v>
      </c>
      <c r="BC30" s="390" t="s">
        <v>825</v>
      </c>
      <c r="BD30" s="236" t="s">
        <v>825</v>
      </c>
    </row>
    <row r="31" spans="1:56" s="121" customFormat="1" ht="14.25" customHeight="1">
      <c r="A31" s="104">
        <v>2023</v>
      </c>
      <c r="B31" s="105" t="s">
        <v>282</v>
      </c>
      <c r="C31" s="556" t="s">
        <v>232</v>
      </c>
      <c r="D31" s="106" t="s">
        <v>2415</v>
      </c>
      <c r="E31" s="150" t="s">
        <v>233</v>
      </c>
      <c r="F31" s="71" t="s">
        <v>187</v>
      </c>
      <c r="G31" s="290" t="s">
        <v>2058</v>
      </c>
      <c r="H31" s="406"/>
      <c r="I31" s="398"/>
      <c r="J31" s="398"/>
      <c r="K31" s="462">
        <v>0</v>
      </c>
      <c r="L31" s="387">
        <v>40</v>
      </c>
      <c r="M31" s="388"/>
      <c r="N31" s="388"/>
      <c r="O31" s="388">
        <v>36</v>
      </c>
      <c r="P31" s="389"/>
      <c r="Q31" s="387">
        <v>8495</v>
      </c>
      <c r="R31" s="398"/>
      <c r="S31" s="387">
        <v>0</v>
      </c>
      <c r="T31" s="398"/>
      <c r="U31" s="400"/>
      <c r="V31" s="398"/>
      <c r="W31" s="462">
        <v>76</v>
      </c>
      <c r="X31" s="399"/>
      <c r="Y31" s="399"/>
      <c r="Z31" s="400"/>
      <c r="AA31" s="399"/>
      <c r="AB31" s="462">
        <v>0</v>
      </c>
      <c r="AC31" s="399"/>
      <c r="AD31" s="399"/>
      <c r="AE31" s="398"/>
      <c r="AF31" s="401"/>
      <c r="AG31" s="399"/>
      <c r="AH31" s="398"/>
      <c r="AI31" s="398"/>
      <c r="AJ31" s="462">
        <v>0</v>
      </c>
      <c r="AK31" s="388">
        <v>21840</v>
      </c>
      <c r="AL31" s="388">
        <v>14152.32</v>
      </c>
      <c r="AM31" s="388">
        <v>7687.68</v>
      </c>
      <c r="AN31" s="388">
        <v>589.67999999999995</v>
      </c>
      <c r="AO31" s="467">
        <v>0.64800000000000002</v>
      </c>
      <c r="AP31" s="468">
        <v>665.68</v>
      </c>
      <c r="AQ31" s="468">
        <v>-665.68</v>
      </c>
      <c r="AR31" s="402"/>
      <c r="AS31" s="403"/>
      <c r="AT31" s="403"/>
      <c r="AU31" s="404"/>
      <c r="AV31" s="473"/>
      <c r="AW31" s="388">
        <v>21840000</v>
      </c>
      <c r="AX31" s="424">
        <v>14152320</v>
      </c>
      <c r="AY31" s="424">
        <v>7687680</v>
      </c>
      <c r="AZ31" s="424">
        <v>589680</v>
      </c>
      <c r="BA31" s="472">
        <v>0.64800000000000002</v>
      </c>
      <c r="BB31" s="453" t="s">
        <v>825</v>
      </c>
      <c r="BC31" s="390" t="s">
        <v>825</v>
      </c>
      <c r="BD31" s="236" t="s">
        <v>825</v>
      </c>
    </row>
    <row r="32" spans="1:56" s="121" customFormat="1" ht="14.25" customHeight="1">
      <c r="A32" s="104">
        <v>2023</v>
      </c>
      <c r="B32" s="105" t="s">
        <v>289</v>
      </c>
      <c r="C32" s="556" t="s">
        <v>242</v>
      </c>
      <c r="D32" s="106" t="s">
        <v>2415</v>
      </c>
      <c r="E32" s="150" t="s">
        <v>243</v>
      </c>
      <c r="F32" s="71" t="s">
        <v>187</v>
      </c>
      <c r="G32" s="290" t="s">
        <v>2058</v>
      </c>
      <c r="H32" s="406"/>
      <c r="I32" s="398"/>
      <c r="J32" s="398"/>
      <c r="K32" s="462">
        <v>0</v>
      </c>
      <c r="L32" s="387">
        <v>44</v>
      </c>
      <c r="M32" s="388"/>
      <c r="N32" s="388"/>
      <c r="O32" s="388">
        <v>36</v>
      </c>
      <c r="P32" s="389"/>
      <c r="Q32" s="387">
        <v>8495</v>
      </c>
      <c r="R32" s="398"/>
      <c r="S32" s="387">
        <v>0</v>
      </c>
      <c r="T32" s="398"/>
      <c r="U32" s="400"/>
      <c r="V32" s="398"/>
      <c r="W32" s="462">
        <v>80</v>
      </c>
      <c r="X32" s="407"/>
      <c r="Y32" s="407"/>
      <c r="Z32" s="408"/>
      <c r="AA32" s="407"/>
      <c r="AB32" s="462">
        <v>0</v>
      </c>
      <c r="AC32" s="407"/>
      <c r="AD32" s="407"/>
      <c r="AE32" s="409"/>
      <c r="AF32" s="410"/>
      <c r="AG32" s="407"/>
      <c r="AH32" s="409"/>
      <c r="AI32" s="409"/>
      <c r="AJ32" s="462">
        <v>0</v>
      </c>
      <c r="AK32" s="388">
        <v>14595</v>
      </c>
      <c r="AL32" s="388">
        <v>6742.89</v>
      </c>
      <c r="AM32" s="388">
        <v>7852.11</v>
      </c>
      <c r="AN32" s="388">
        <v>481.63499999999999</v>
      </c>
      <c r="AO32" s="467">
        <v>0.46200000000000002</v>
      </c>
      <c r="AP32" s="468">
        <v>561.63499999999999</v>
      </c>
      <c r="AQ32" s="468">
        <v>-561.63499999999999</v>
      </c>
      <c r="AR32" s="411"/>
      <c r="AS32" s="412"/>
      <c r="AT32" s="412"/>
      <c r="AU32" s="413"/>
      <c r="AV32" s="474"/>
      <c r="AW32" s="388">
        <v>14595000</v>
      </c>
      <c r="AX32" s="424">
        <v>6742890</v>
      </c>
      <c r="AY32" s="424">
        <v>7852110</v>
      </c>
      <c r="AZ32" s="424">
        <v>481635</v>
      </c>
      <c r="BA32" s="472">
        <v>0.46200000000000002</v>
      </c>
      <c r="BB32" s="453" t="s">
        <v>825</v>
      </c>
      <c r="BC32" s="390" t="s">
        <v>825</v>
      </c>
      <c r="BD32" s="236" t="s">
        <v>825</v>
      </c>
    </row>
    <row r="33" spans="1:56" s="121" customFormat="1" ht="14.25" customHeight="1">
      <c r="A33" s="104">
        <v>2023</v>
      </c>
      <c r="B33" s="105" t="s">
        <v>294</v>
      </c>
      <c r="C33" s="556" t="s">
        <v>260</v>
      </c>
      <c r="D33" s="106" t="s">
        <v>2415</v>
      </c>
      <c r="E33" s="150" t="s">
        <v>261</v>
      </c>
      <c r="F33" s="71" t="s">
        <v>78</v>
      </c>
      <c r="G33" s="327" t="s">
        <v>180</v>
      </c>
      <c r="H33" s="414"/>
      <c r="I33" s="388"/>
      <c r="J33" s="415">
        <v>0</v>
      </c>
      <c r="K33" s="462">
        <v>0</v>
      </c>
      <c r="L33" s="416">
        <v>242.089</v>
      </c>
      <c r="M33" s="416">
        <v>29.552</v>
      </c>
      <c r="N33" s="417"/>
      <c r="O33" s="416">
        <v>151.13999999999999</v>
      </c>
      <c r="P33" s="427">
        <v>2.4E-2</v>
      </c>
      <c r="Q33" s="387">
        <v>8495</v>
      </c>
      <c r="R33" s="417"/>
      <c r="S33" s="387">
        <v>204</v>
      </c>
      <c r="T33" s="417"/>
      <c r="U33" s="418">
        <v>21</v>
      </c>
      <c r="V33" s="416">
        <v>100</v>
      </c>
      <c r="W33" s="462">
        <v>747.78099999999995</v>
      </c>
      <c r="X33" s="416">
        <v>0</v>
      </c>
      <c r="Y33" s="416">
        <v>0</v>
      </c>
      <c r="Z33" s="418">
        <v>0</v>
      </c>
      <c r="AA33" s="416">
        <v>100</v>
      </c>
      <c r="AB33" s="462">
        <v>100</v>
      </c>
      <c r="AC33" s="416"/>
      <c r="AD33" s="416"/>
      <c r="AE33" s="417"/>
      <c r="AF33" s="419"/>
      <c r="AG33" s="416"/>
      <c r="AH33" s="417"/>
      <c r="AI33" s="417">
        <v>70</v>
      </c>
      <c r="AJ33" s="462">
        <v>70</v>
      </c>
      <c r="AK33" s="388">
        <v>45186.3</v>
      </c>
      <c r="AL33" s="388">
        <v>40211.141000000003</v>
      </c>
      <c r="AM33" s="388">
        <v>4975.1589999999997</v>
      </c>
      <c r="AN33" s="388">
        <v>412.49200000000002</v>
      </c>
      <c r="AO33" s="467">
        <v>0.88989673861325225</v>
      </c>
      <c r="AP33" s="468">
        <v>1160.2729999999999</v>
      </c>
      <c r="AQ33" s="468">
        <v>-1160.2729999999999</v>
      </c>
      <c r="AR33" s="420"/>
      <c r="AS33" s="421"/>
      <c r="AT33" s="421"/>
      <c r="AU33" s="422"/>
      <c r="AV33" s="475"/>
      <c r="AW33" s="388">
        <v>45186300</v>
      </c>
      <c r="AX33" s="424">
        <v>40211141</v>
      </c>
      <c r="AY33" s="424">
        <v>4975159</v>
      </c>
      <c r="AZ33" s="424">
        <v>412492</v>
      </c>
      <c r="BA33" s="472">
        <v>0.88989673861325225</v>
      </c>
      <c r="BB33" s="453">
        <v>4074</v>
      </c>
      <c r="BC33" s="390">
        <v>0</v>
      </c>
      <c r="BD33" s="236">
        <v>1.2000000000000002</v>
      </c>
    </row>
    <row r="34" spans="1:56" s="121" customFormat="1" ht="14.25" customHeight="1">
      <c r="A34" s="104">
        <v>2023</v>
      </c>
      <c r="B34" s="105" t="s">
        <v>297</v>
      </c>
      <c r="C34" s="556" t="s">
        <v>273</v>
      </c>
      <c r="D34" s="106" t="s">
        <v>2415</v>
      </c>
      <c r="E34" s="150" t="s">
        <v>274</v>
      </c>
      <c r="F34" s="71" t="s">
        <v>78</v>
      </c>
      <c r="G34" s="68" t="s">
        <v>180</v>
      </c>
      <c r="H34" s="414"/>
      <c r="I34" s="417"/>
      <c r="J34" s="423">
        <v>60.3</v>
      </c>
      <c r="K34" s="462">
        <v>60.3</v>
      </c>
      <c r="L34" s="387">
        <v>281.60300000000001</v>
      </c>
      <c r="M34" s="416">
        <v>29.552</v>
      </c>
      <c r="N34" s="417"/>
      <c r="O34" s="387">
        <v>0</v>
      </c>
      <c r="P34" s="427">
        <v>2.4E-2</v>
      </c>
      <c r="Q34" s="387">
        <v>8495</v>
      </c>
      <c r="R34" s="417"/>
      <c r="S34" s="387">
        <v>204</v>
      </c>
      <c r="T34" s="388"/>
      <c r="U34" s="391">
        <v>21</v>
      </c>
      <c r="V34" s="416">
        <v>100</v>
      </c>
      <c r="W34" s="462">
        <v>636.15499999999997</v>
      </c>
      <c r="X34" s="416">
        <v>0</v>
      </c>
      <c r="Y34" s="416">
        <v>0</v>
      </c>
      <c r="Z34" s="391">
        <v>138</v>
      </c>
      <c r="AA34" s="416">
        <v>100</v>
      </c>
      <c r="AB34" s="462">
        <v>238</v>
      </c>
      <c r="AC34" s="387"/>
      <c r="AD34" s="387">
        <v>40</v>
      </c>
      <c r="AE34" s="388"/>
      <c r="AF34" s="392"/>
      <c r="AG34" s="387">
        <v>70</v>
      </c>
      <c r="AH34" s="388"/>
      <c r="AI34" s="388">
        <v>12</v>
      </c>
      <c r="AJ34" s="462">
        <v>122</v>
      </c>
      <c r="AK34" s="388">
        <v>33622.199999999997</v>
      </c>
      <c r="AL34" s="388">
        <v>32333.432000000001</v>
      </c>
      <c r="AM34" s="388">
        <v>1288.768</v>
      </c>
      <c r="AN34" s="388">
        <v>88.734999999999999</v>
      </c>
      <c r="AO34" s="467">
        <v>0.961669135273718</v>
      </c>
      <c r="AP34" s="468">
        <v>724.89</v>
      </c>
      <c r="AQ34" s="468">
        <v>-664.59</v>
      </c>
      <c r="AR34" s="393"/>
      <c r="AS34" s="394"/>
      <c r="AT34" s="394"/>
      <c r="AU34" s="395"/>
      <c r="AV34" s="471"/>
      <c r="AW34" s="388">
        <v>33622200</v>
      </c>
      <c r="AX34" s="424">
        <v>32333432</v>
      </c>
      <c r="AY34" s="424">
        <v>1288768</v>
      </c>
      <c r="AZ34" s="424">
        <v>88735</v>
      </c>
      <c r="BA34" s="472">
        <v>0.961669135273718</v>
      </c>
      <c r="BB34" s="453">
        <v>3271</v>
      </c>
      <c r="BC34" s="390">
        <v>1</v>
      </c>
      <c r="BD34" s="236">
        <v>0</v>
      </c>
    </row>
    <row r="35" spans="1:56" s="121" customFormat="1" ht="14.25" customHeight="1">
      <c r="A35" s="104">
        <v>2023</v>
      </c>
      <c r="B35" s="105" t="s">
        <v>301</v>
      </c>
      <c r="C35" s="556" t="s">
        <v>278</v>
      </c>
      <c r="D35" s="106" t="s">
        <v>2415</v>
      </c>
      <c r="E35" s="150" t="s">
        <v>279</v>
      </c>
      <c r="F35" s="71" t="s">
        <v>78</v>
      </c>
      <c r="G35" s="68" t="s">
        <v>180</v>
      </c>
      <c r="H35" s="414"/>
      <c r="I35" s="417"/>
      <c r="J35" s="423">
        <v>83.6</v>
      </c>
      <c r="K35" s="462">
        <v>83.6</v>
      </c>
      <c r="L35" s="387">
        <v>518.42499999999995</v>
      </c>
      <c r="M35" s="416">
        <v>29.552</v>
      </c>
      <c r="N35" s="417"/>
      <c r="O35" s="387">
        <v>596.20000000000005</v>
      </c>
      <c r="P35" s="427">
        <v>2.4E-2</v>
      </c>
      <c r="Q35" s="387">
        <v>8495</v>
      </c>
      <c r="R35" s="417"/>
      <c r="S35" s="387">
        <v>204</v>
      </c>
      <c r="T35" s="388"/>
      <c r="U35" s="391">
        <v>21</v>
      </c>
      <c r="V35" s="416">
        <v>100</v>
      </c>
      <c r="W35" s="462">
        <v>1469.1770000000001</v>
      </c>
      <c r="X35" s="416">
        <v>0</v>
      </c>
      <c r="Y35" s="416">
        <v>0</v>
      </c>
      <c r="Z35" s="391">
        <v>148</v>
      </c>
      <c r="AA35" s="416">
        <v>100</v>
      </c>
      <c r="AB35" s="462">
        <v>248</v>
      </c>
      <c r="AC35" s="387"/>
      <c r="AD35" s="387">
        <v>115</v>
      </c>
      <c r="AE35" s="388"/>
      <c r="AF35" s="392"/>
      <c r="AG35" s="387">
        <v>64</v>
      </c>
      <c r="AH35" s="388"/>
      <c r="AI35" s="388">
        <v>65</v>
      </c>
      <c r="AJ35" s="462">
        <v>244</v>
      </c>
      <c r="AK35" s="388">
        <v>89133.1</v>
      </c>
      <c r="AL35" s="388">
        <v>82420.703999999998</v>
      </c>
      <c r="AM35" s="388">
        <v>6712.3959999999997</v>
      </c>
      <c r="AN35" s="388">
        <v>371.77800000000002</v>
      </c>
      <c r="AO35" s="467">
        <v>0.92469244309914045</v>
      </c>
      <c r="AP35" s="468">
        <v>1840.9550000000002</v>
      </c>
      <c r="AQ35" s="468">
        <v>-1757.3550000000002</v>
      </c>
      <c r="AR35" s="393"/>
      <c r="AS35" s="394"/>
      <c r="AT35" s="394"/>
      <c r="AU35" s="395"/>
      <c r="AV35" s="471"/>
      <c r="AW35" s="388">
        <v>89133100</v>
      </c>
      <c r="AX35" s="424">
        <v>82420704</v>
      </c>
      <c r="AY35" s="424">
        <v>6712396</v>
      </c>
      <c r="AZ35" s="424">
        <v>371778</v>
      </c>
      <c r="BA35" s="472">
        <v>0.92469244309914045</v>
      </c>
      <c r="BB35" s="453">
        <v>5321</v>
      </c>
      <c r="BC35" s="390">
        <v>0</v>
      </c>
      <c r="BD35" s="236">
        <v>1.4</v>
      </c>
    </row>
    <row r="36" spans="1:56" s="121" customFormat="1" ht="14.25" customHeight="1">
      <c r="A36" s="104">
        <v>2023</v>
      </c>
      <c r="B36" s="105" t="s">
        <v>310</v>
      </c>
      <c r="C36" s="556" t="s">
        <v>283</v>
      </c>
      <c r="D36" s="106" t="s">
        <v>2415</v>
      </c>
      <c r="E36" s="150" t="s">
        <v>284</v>
      </c>
      <c r="F36" s="71" t="s">
        <v>78</v>
      </c>
      <c r="G36" s="68" t="s">
        <v>180</v>
      </c>
      <c r="H36" s="414"/>
      <c r="I36" s="417"/>
      <c r="J36" s="423">
        <v>0</v>
      </c>
      <c r="K36" s="462">
        <v>0</v>
      </c>
      <c r="L36" s="387">
        <v>149.31100000000001</v>
      </c>
      <c r="M36" s="416">
        <v>29.552</v>
      </c>
      <c r="N36" s="417"/>
      <c r="O36" s="387">
        <v>0</v>
      </c>
      <c r="P36" s="427">
        <v>2.4E-2</v>
      </c>
      <c r="Q36" s="387">
        <v>8495</v>
      </c>
      <c r="R36" s="417"/>
      <c r="S36" s="387">
        <v>204</v>
      </c>
      <c r="T36" s="388"/>
      <c r="U36" s="391">
        <v>21</v>
      </c>
      <c r="V36" s="416">
        <v>100</v>
      </c>
      <c r="W36" s="462">
        <v>503.863</v>
      </c>
      <c r="X36" s="416">
        <v>0</v>
      </c>
      <c r="Y36" s="416">
        <v>0</v>
      </c>
      <c r="Z36" s="391">
        <v>100</v>
      </c>
      <c r="AA36" s="416">
        <v>100</v>
      </c>
      <c r="AB36" s="462">
        <v>200</v>
      </c>
      <c r="AC36" s="387"/>
      <c r="AD36" s="387"/>
      <c r="AE36" s="388"/>
      <c r="AF36" s="392"/>
      <c r="AG36" s="387"/>
      <c r="AH36" s="388"/>
      <c r="AI36" s="388">
        <v>93</v>
      </c>
      <c r="AJ36" s="462">
        <v>93</v>
      </c>
      <c r="AK36" s="388">
        <v>48817.7</v>
      </c>
      <c r="AL36" s="388">
        <v>39971.81</v>
      </c>
      <c r="AM36" s="388">
        <v>8845.89</v>
      </c>
      <c r="AN36" s="388">
        <v>1112.7090000000001</v>
      </c>
      <c r="AO36" s="467">
        <v>0.81879748533830965</v>
      </c>
      <c r="AP36" s="468">
        <v>1616.5720000000001</v>
      </c>
      <c r="AQ36" s="468">
        <v>-1616.5720000000001</v>
      </c>
      <c r="AR36" s="393"/>
      <c r="AS36" s="394"/>
      <c r="AT36" s="394"/>
      <c r="AU36" s="395"/>
      <c r="AV36" s="471"/>
      <c r="AW36" s="388">
        <v>48817700</v>
      </c>
      <c r="AX36" s="424">
        <v>39971810</v>
      </c>
      <c r="AY36" s="424">
        <v>8845890</v>
      </c>
      <c r="AZ36" s="424">
        <v>1112709</v>
      </c>
      <c r="BA36" s="472">
        <v>0.81879748533830965</v>
      </c>
      <c r="BB36" s="453">
        <v>1840</v>
      </c>
      <c r="BC36" s="390">
        <v>0</v>
      </c>
      <c r="BD36" s="236">
        <v>0.1</v>
      </c>
    </row>
    <row r="37" spans="1:56" s="121" customFormat="1" ht="14.25" customHeight="1">
      <c r="A37" s="104">
        <v>2023</v>
      </c>
      <c r="B37" s="105" t="s">
        <v>317</v>
      </c>
      <c r="C37" s="556" t="s">
        <v>290</v>
      </c>
      <c r="D37" s="106" t="s">
        <v>2415</v>
      </c>
      <c r="E37" s="150" t="s">
        <v>291</v>
      </c>
      <c r="F37" s="71" t="s">
        <v>78</v>
      </c>
      <c r="G37" s="68" t="s">
        <v>180</v>
      </c>
      <c r="H37" s="414"/>
      <c r="I37" s="417"/>
      <c r="J37" s="423">
        <v>292.2</v>
      </c>
      <c r="K37" s="462">
        <v>292.2</v>
      </c>
      <c r="L37" s="387">
        <v>1005</v>
      </c>
      <c r="M37" s="416">
        <v>29.552</v>
      </c>
      <c r="N37" s="417">
        <v>1692</v>
      </c>
      <c r="O37" s="387">
        <v>132.88</v>
      </c>
      <c r="P37" s="427">
        <v>2.4E-2</v>
      </c>
      <c r="Q37" s="387">
        <v>8495</v>
      </c>
      <c r="R37" s="417"/>
      <c r="S37" s="387">
        <v>204</v>
      </c>
      <c r="T37" s="388"/>
      <c r="U37" s="391">
        <v>21</v>
      </c>
      <c r="V37" s="416">
        <v>100</v>
      </c>
      <c r="W37" s="462">
        <v>3184.4319999999998</v>
      </c>
      <c r="X37" s="416">
        <v>0</v>
      </c>
      <c r="Y37" s="416">
        <v>0</v>
      </c>
      <c r="Z37" s="391">
        <v>617</v>
      </c>
      <c r="AA37" s="416">
        <v>100</v>
      </c>
      <c r="AB37" s="462">
        <v>717</v>
      </c>
      <c r="AC37" s="387"/>
      <c r="AD37" s="387">
        <v>84</v>
      </c>
      <c r="AE37" s="388"/>
      <c r="AF37" s="392"/>
      <c r="AG37" s="387">
        <v>279</v>
      </c>
      <c r="AH37" s="388"/>
      <c r="AI37" s="388">
        <v>178</v>
      </c>
      <c r="AJ37" s="462">
        <v>541</v>
      </c>
      <c r="AK37" s="388">
        <v>86574.281000000003</v>
      </c>
      <c r="AL37" s="388">
        <v>75998.212</v>
      </c>
      <c r="AM37" s="388">
        <v>10576.069</v>
      </c>
      <c r="AN37" s="388">
        <v>2058.7159999999999</v>
      </c>
      <c r="AO37" s="467">
        <v>0.87783821155846509</v>
      </c>
      <c r="AP37" s="468">
        <v>5243.1479999999992</v>
      </c>
      <c r="AQ37" s="468">
        <v>-4950.9479999999994</v>
      </c>
      <c r="AR37" s="393"/>
      <c r="AS37" s="394"/>
      <c r="AT37" s="394"/>
      <c r="AU37" s="395"/>
      <c r="AV37" s="471"/>
      <c r="AW37" s="388">
        <v>86574281</v>
      </c>
      <c r="AX37" s="424">
        <v>75998212</v>
      </c>
      <c r="AY37" s="424">
        <v>10576069</v>
      </c>
      <c r="AZ37" s="424">
        <v>2058716</v>
      </c>
      <c r="BA37" s="472">
        <v>0.87783821155846509</v>
      </c>
      <c r="BB37" s="453">
        <v>22870</v>
      </c>
      <c r="BC37" s="390">
        <v>81</v>
      </c>
      <c r="BD37" s="236">
        <v>0</v>
      </c>
    </row>
    <row r="38" spans="1:56" s="121" customFormat="1" ht="14.25" customHeight="1">
      <c r="A38" s="104">
        <v>2023</v>
      </c>
      <c r="B38" s="105" t="s">
        <v>322</v>
      </c>
      <c r="C38" s="556" t="s">
        <v>295</v>
      </c>
      <c r="D38" s="106" t="s">
        <v>2415</v>
      </c>
      <c r="E38" s="150" t="s">
        <v>296</v>
      </c>
      <c r="F38" s="71" t="s">
        <v>78</v>
      </c>
      <c r="G38" s="68" t="s">
        <v>180</v>
      </c>
      <c r="H38" s="414"/>
      <c r="I38" s="417"/>
      <c r="J38" s="423">
        <v>0</v>
      </c>
      <c r="K38" s="462">
        <v>0</v>
      </c>
      <c r="L38" s="387">
        <v>676.70399999999995</v>
      </c>
      <c r="M38" s="416">
        <v>29.552</v>
      </c>
      <c r="N38" s="417"/>
      <c r="O38" s="387">
        <v>0</v>
      </c>
      <c r="P38" s="427">
        <v>2.4E-2</v>
      </c>
      <c r="Q38" s="387">
        <v>8495</v>
      </c>
      <c r="R38" s="417"/>
      <c r="S38" s="387">
        <v>204</v>
      </c>
      <c r="T38" s="388"/>
      <c r="U38" s="391">
        <v>21</v>
      </c>
      <c r="V38" s="416">
        <v>100</v>
      </c>
      <c r="W38" s="462">
        <v>1031.2559999999999</v>
      </c>
      <c r="X38" s="416">
        <v>0</v>
      </c>
      <c r="Y38" s="416">
        <v>0</v>
      </c>
      <c r="Z38" s="391">
        <v>501</v>
      </c>
      <c r="AA38" s="416">
        <v>100</v>
      </c>
      <c r="AB38" s="462">
        <v>601</v>
      </c>
      <c r="AC38" s="387"/>
      <c r="AD38" s="387"/>
      <c r="AE38" s="388"/>
      <c r="AF38" s="392"/>
      <c r="AG38" s="387">
        <v>267</v>
      </c>
      <c r="AH38" s="388"/>
      <c r="AI38" s="388">
        <v>140</v>
      </c>
      <c r="AJ38" s="462">
        <v>407</v>
      </c>
      <c r="AK38" s="388">
        <v>82423.199999999997</v>
      </c>
      <c r="AL38" s="388">
        <v>64848.836000000003</v>
      </c>
      <c r="AM38" s="388">
        <v>17574.364000000001</v>
      </c>
      <c r="AN38" s="388">
        <v>2031.7090000000001</v>
      </c>
      <c r="AO38" s="467">
        <v>0.78677891661571009</v>
      </c>
      <c r="AP38" s="468">
        <v>3062.9650000000001</v>
      </c>
      <c r="AQ38" s="468">
        <v>-3062.9650000000001</v>
      </c>
      <c r="AR38" s="393"/>
      <c r="AS38" s="394"/>
      <c r="AT38" s="394"/>
      <c r="AU38" s="395"/>
      <c r="AV38" s="471"/>
      <c r="AW38" s="388">
        <v>82423200</v>
      </c>
      <c r="AX38" s="424">
        <v>64848836</v>
      </c>
      <c r="AY38" s="424">
        <v>17574364</v>
      </c>
      <c r="AZ38" s="424">
        <v>2031709</v>
      </c>
      <c r="BA38" s="472">
        <v>0.78677891661571009</v>
      </c>
      <c r="BB38" s="453">
        <v>18579</v>
      </c>
      <c r="BC38" s="390">
        <v>6</v>
      </c>
      <c r="BD38" s="236">
        <v>0</v>
      </c>
    </row>
    <row r="39" spans="1:56" s="121" customFormat="1" ht="14.25" customHeight="1">
      <c r="A39" s="104">
        <v>2023</v>
      </c>
      <c r="B39" s="105" t="s">
        <v>326</v>
      </c>
      <c r="C39" s="556" t="s">
        <v>298</v>
      </c>
      <c r="D39" s="106" t="s">
        <v>2415</v>
      </c>
      <c r="E39" s="150" t="s">
        <v>2165</v>
      </c>
      <c r="F39" s="71" t="s">
        <v>78</v>
      </c>
      <c r="G39" s="68" t="s">
        <v>180</v>
      </c>
      <c r="H39" s="414"/>
      <c r="I39" s="417"/>
      <c r="J39" s="423">
        <v>0</v>
      </c>
      <c r="K39" s="462">
        <v>0</v>
      </c>
      <c r="L39" s="387">
        <v>299.49900000000002</v>
      </c>
      <c r="M39" s="416">
        <v>29.552</v>
      </c>
      <c r="N39" s="417"/>
      <c r="O39" s="387">
        <v>5.28</v>
      </c>
      <c r="P39" s="427">
        <v>2.4E-2</v>
      </c>
      <c r="Q39" s="387">
        <v>8495</v>
      </c>
      <c r="R39" s="417"/>
      <c r="S39" s="387">
        <v>204</v>
      </c>
      <c r="T39" s="388"/>
      <c r="U39" s="391">
        <v>21</v>
      </c>
      <c r="V39" s="416">
        <v>100</v>
      </c>
      <c r="W39" s="462">
        <v>659.33100000000002</v>
      </c>
      <c r="X39" s="416">
        <v>0</v>
      </c>
      <c r="Y39" s="416">
        <v>0</v>
      </c>
      <c r="Z39" s="391">
        <v>95</v>
      </c>
      <c r="AA39" s="416">
        <v>100</v>
      </c>
      <c r="AB39" s="462">
        <v>195</v>
      </c>
      <c r="AC39" s="387"/>
      <c r="AD39" s="387">
        <v>36</v>
      </c>
      <c r="AE39" s="388"/>
      <c r="AF39" s="392"/>
      <c r="AG39" s="387">
        <v>113</v>
      </c>
      <c r="AH39" s="388"/>
      <c r="AI39" s="388">
        <v>18</v>
      </c>
      <c r="AJ39" s="462">
        <v>167</v>
      </c>
      <c r="AK39" s="388">
        <v>61779.5</v>
      </c>
      <c r="AL39" s="388">
        <v>46544.455999999998</v>
      </c>
      <c r="AM39" s="388">
        <v>15235.044</v>
      </c>
      <c r="AN39" s="388">
        <v>1627.056</v>
      </c>
      <c r="AO39" s="467">
        <v>0.75339645027881419</v>
      </c>
      <c r="AP39" s="468">
        <v>2286.3870000000002</v>
      </c>
      <c r="AQ39" s="468">
        <v>-2286.3870000000002</v>
      </c>
      <c r="AR39" s="393"/>
      <c r="AS39" s="394"/>
      <c r="AT39" s="394"/>
      <c r="AU39" s="395"/>
      <c r="AV39" s="471"/>
      <c r="AW39" s="388">
        <v>61779500</v>
      </c>
      <c r="AX39" s="424">
        <v>46544456</v>
      </c>
      <c r="AY39" s="424">
        <v>15235044</v>
      </c>
      <c r="AZ39" s="424">
        <v>1627056</v>
      </c>
      <c r="BA39" s="472">
        <v>0.75339645027881419</v>
      </c>
      <c r="BB39" s="453">
        <v>5763</v>
      </c>
      <c r="BC39" s="390">
        <v>0</v>
      </c>
      <c r="BD39" s="236">
        <v>0</v>
      </c>
    </row>
    <row r="40" spans="1:56" s="121" customFormat="1" ht="14.25" customHeight="1">
      <c r="A40" s="104">
        <v>2023</v>
      </c>
      <c r="B40" s="105" t="s">
        <v>329</v>
      </c>
      <c r="C40" s="556" t="s">
        <v>302</v>
      </c>
      <c r="D40" s="106" t="s">
        <v>2415</v>
      </c>
      <c r="E40" s="150" t="s">
        <v>303</v>
      </c>
      <c r="F40" s="71" t="s">
        <v>1404</v>
      </c>
      <c r="G40" s="290" t="s">
        <v>2467</v>
      </c>
      <c r="H40" s="424"/>
      <c r="I40" s="388"/>
      <c r="J40" s="424"/>
      <c r="K40" s="462">
        <v>0</v>
      </c>
      <c r="L40" s="387">
        <v>2260</v>
      </c>
      <c r="M40" s="387">
        <v>5459</v>
      </c>
      <c r="N40" s="388"/>
      <c r="O40" s="387">
        <v>146</v>
      </c>
      <c r="P40" s="425"/>
      <c r="Q40" s="387">
        <v>8495</v>
      </c>
      <c r="R40" s="388">
        <v>101</v>
      </c>
      <c r="S40" s="387">
        <v>101</v>
      </c>
      <c r="T40" s="388"/>
      <c r="U40" s="391"/>
      <c r="V40" s="388"/>
      <c r="W40" s="462">
        <v>7966</v>
      </c>
      <c r="X40" s="387"/>
      <c r="Y40" s="387"/>
      <c r="Z40" s="387"/>
      <c r="AA40" s="387"/>
      <c r="AB40" s="462">
        <v>0</v>
      </c>
      <c r="AC40" s="387"/>
      <c r="AD40" s="387"/>
      <c r="AE40" s="387"/>
      <c r="AF40" s="387"/>
      <c r="AG40" s="387"/>
      <c r="AH40" s="387"/>
      <c r="AI40" s="387"/>
      <c r="AJ40" s="462">
        <v>0</v>
      </c>
      <c r="AK40" s="388">
        <v>118440</v>
      </c>
      <c r="AL40" s="388">
        <v>117255.6</v>
      </c>
      <c r="AM40" s="388">
        <v>1184.4000000000001</v>
      </c>
      <c r="AN40" s="388">
        <v>2605.6799999999998</v>
      </c>
      <c r="AO40" s="467">
        <v>0.99</v>
      </c>
      <c r="AP40" s="468">
        <v>10571.68</v>
      </c>
      <c r="AQ40" s="468">
        <v>-10571.68</v>
      </c>
      <c r="AR40" s="393"/>
      <c r="AS40" s="394"/>
      <c r="AT40" s="394"/>
      <c r="AU40" s="395"/>
      <c r="AV40" s="476"/>
      <c r="AW40" s="388">
        <v>118440000</v>
      </c>
      <c r="AX40" s="424">
        <v>117255600</v>
      </c>
      <c r="AY40" s="424">
        <v>1184400</v>
      </c>
      <c r="AZ40" s="424">
        <v>2605680</v>
      </c>
      <c r="BA40" s="472">
        <v>0.99</v>
      </c>
      <c r="BB40" s="453">
        <v>133440</v>
      </c>
      <c r="BC40" s="390">
        <v>0</v>
      </c>
      <c r="BD40" s="236">
        <v>0</v>
      </c>
    </row>
    <row r="41" spans="1:56" s="121" customFormat="1" ht="14.25" customHeight="1">
      <c r="A41" s="104">
        <v>2023</v>
      </c>
      <c r="B41" s="105" t="s">
        <v>334</v>
      </c>
      <c r="C41" s="556" t="s">
        <v>311</v>
      </c>
      <c r="D41" s="106" t="s">
        <v>2415</v>
      </c>
      <c r="E41" s="150" t="s">
        <v>312</v>
      </c>
      <c r="F41" s="71" t="s">
        <v>78</v>
      </c>
      <c r="G41" s="68" t="s">
        <v>180</v>
      </c>
      <c r="H41" s="414"/>
      <c r="I41" s="417"/>
      <c r="J41" s="423">
        <v>117.8</v>
      </c>
      <c r="K41" s="462">
        <v>117.8</v>
      </c>
      <c r="L41" s="387">
        <v>730.94</v>
      </c>
      <c r="M41" s="416">
        <v>29.552</v>
      </c>
      <c r="N41" s="417">
        <v>1741</v>
      </c>
      <c r="O41" s="387">
        <v>0</v>
      </c>
      <c r="P41" s="427">
        <v>2.4E-2</v>
      </c>
      <c r="Q41" s="387">
        <v>8495</v>
      </c>
      <c r="R41" s="417"/>
      <c r="S41" s="387">
        <v>204</v>
      </c>
      <c r="T41" s="390"/>
      <c r="U41" s="426">
        <v>8</v>
      </c>
      <c r="V41" s="416">
        <v>100</v>
      </c>
      <c r="W41" s="462">
        <v>2813.4920000000002</v>
      </c>
      <c r="X41" s="416">
        <v>0</v>
      </c>
      <c r="Y41" s="416">
        <v>0</v>
      </c>
      <c r="Z41" s="391">
        <v>389</v>
      </c>
      <c r="AA41" s="416">
        <v>100</v>
      </c>
      <c r="AB41" s="462">
        <v>489</v>
      </c>
      <c r="AC41" s="387"/>
      <c r="AD41" s="387">
        <v>134</v>
      </c>
      <c r="AE41" s="388"/>
      <c r="AF41" s="392"/>
      <c r="AG41" s="387">
        <v>246</v>
      </c>
      <c r="AH41" s="388"/>
      <c r="AI41" s="388">
        <v>94</v>
      </c>
      <c r="AJ41" s="462">
        <v>474</v>
      </c>
      <c r="AK41" s="388">
        <v>111794.399</v>
      </c>
      <c r="AL41" s="388">
        <v>80956.187999999995</v>
      </c>
      <c r="AM41" s="388">
        <v>30838.210999999999</v>
      </c>
      <c r="AN41" s="388">
        <v>2213.8789999999999</v>
      </c>
      <c r="AO41" s="467">
        <v>0.72415245060711853</v>
      </c>
      <c r="AP41" s="468">
        <v>5027.3710000000001</v>
      </c>
      <c r="AQ41" s="468">
        <v>-4909.5709999999999</v>
      </c>
      <c r="AR41" s="393"/>
      <c r="AS41" s="394"/>
      <c r="AT41" s="394"/>
      <c r="AU41" s="395"/>
      <c r="AV41" s="471"/>
      <c r="AW41" s="388">
        <v>111794399</v>
      </c>
      <c r="AX41" s="424">
        <v>80956188</v>
      </c>
      <c r="AY41" s="424">
        <v>30838211</v>
      </c>
      <c r="AZ41" s="424">
        <v>2213879</v>
      </c>
      <c r="BA41" s="472">
        <v>0.72415245060711853</v>
      </c>
      <c r="BB41" s="453">
        <v>11805</v>
      </c>
      <c r="BC41" s="390">
        <v>28</v>
      </c>
      <c r="BD41" s="236">
        <v>0</v>
      </c>
    </row>
    <row r="42" spans="1:56" s="121" customFormat="1" ht="14.25" customHeight="1">
      <c r="A42" s="104">
        <v>2023</v>
      </c>
      <c r="B42" s="105" t="s">
        <v>340</v>
      </c>
      <c r="C42" s="556" t="s">
        <v>318</v>
      </c>
      <c r="D42" s="106" t="s">
        <v>2415</v>
      </c>
      <c r="E42" s="150" t="s">
        <v>319</v>
      </c>
      <c r="F42" s="71" t="s">
        <v>78</v>
      </c>
      <c r="G42" s="68" t="s">
        <v>180</v>
      </c>
      <c r="H42" s="414"/>
      <c r="I42" s="417"/>
      <c r="J42" s="423">
        <v>19.100000000000001</v>
      </c>
      <c r="K42" s="462">
        <v>19.100000000000001</v>
      </c>
      <c r="L42" s="387">
        <v>292.20999999999998</v>
      </c>
      <c r="M42" s="416">
        <v>29.552</v>
      </c>
      <c r="N42" s="417"/>
      <c r="O42" s="387">
        <v>422.95</v>
      </c>
      <c r="P42" s="427">
        <v>2.4E-2</v>
      </c>
      <c r="Q42" s="387">
        <v>8495</v>
      </c>
      <c r="R42" s="417"/>
      <c r="S42" s="387">
        <v>204</v>
      </c>
      <c r="T42" s="390"/>
      <c r="U42" s="426">
        <v>21</v>
      </c>
      <c r="V42" s="416">
        <v>100</v>
      </c>
      <c r="W42" s="462">
        <v>1069.712</v>
      </c>
      <c r="X42" s="416">
        <v>0</v>
      </c>
      <c r="Y42" s="416">
        <v>0</v>
      </c>
      <c r="Z42" s="391">
        <v>57</v>
      </c>
      <c r="AA42" s="416">
        <v>100</v>
      </c>
      <c r="AB42" s="462">
        <v>157</v>
      </c>
      <c r="AC42" s="387"/>
      <c r="AD42" s="387">
        <v>39</v>
      </c>
      <c r="AE42" s="388"/>
      <c r="AF42" s="392">
        <v>213</v>
      </c>
      <c r="AG42" s="387">
        <v>36</v>
      </c>
      <c r="AH42" s="388"/>
      <c r="AI42" s="388">
        <v>73</v>
      </c>
      <c r="AJ42" s="462">
        <v>361</v>
      </c>
      <c r="AK42" s="388">
        <v>39086.974999999999</v>
      </c>
      <c r="AL42" s="388">
        <v>29136.594000000001</v>
      </c>
      <c r="AM42" s="388">
        <v>9950.3809999999994</v>
      </c>
      <c r="AN42" s="388">
        <v>1294.7660000000001</v>
      </c>
      <c r="AO42" s="467">
        <v>0.74542974993588018</v>
      </c>
      <c r="AP42" s="468">
        <v>2364.4780000000001</v>
      </c>
      <c r="AQ42" s="468">
        <v>-2345.3780000000002</v>
      </c>
      <c r="AR42" s="393"/>
      <c r="AS42" s="394"/>
      <c r="AT42" s="394"/>
      <c r="AU42" s="395"/>
      <c r="AV42" s="471"/>
      <c r="AW42" s="388">
        <v>39086975</v>
      </c>
      <c r="AX42" s="424">
        <v>29136594</v>
      </c>
      <c r="AY42" s="424">
        <v>9950381</v>
      </c>
      <c r="AZ42" s="424">
        <v>1294766</v>
      </c>
      <c r="BA42" s="472">
        <v>0.74542974993588018</v>
      </c>
      <c r="BB42" s="453">
        <v>2423</v>
      </c>
      <c r="BC42" s="390">
        <v>3</v>
      </c>
      <c r="BD42" s="236">
        <v>0</v>
      </c>
    </row>
    <row r="43" spans="1:56" s="121" customFormat="1" ht="14.25" customHeight="1">
      <c r="A43" s="104">
        <v>2023</v>
      </c>
      <c r="B43" s="105" t="s">
        <v>346</v>
      </c>
      <c r="C43" s="556" t="s">
        <v>323</v>
      </c>
      <c r="D43" s="106" t="s">
        <v>2415</v>
      </c>
      <c r="E43" s="150" t="s">
        <v>2166</v>
      </c>
      <c r="F43" s="71" t="s">
        <v>78</v>
      </c>
      <c r="G43" s="68" t="s">
        <v>180</v>
      </c>
      <c r="H43" s="414"/>
      <c r="I43" s="417"/>
      <c r="J43" s="423">
        <v>0</v>
      </c>
      <c r="K43" s="462">
        <v>0</v>
      </c>
      <c r="L43" s="387">
        <v>229.749</v>
      </c>
      <c r="M43" s="416">
        <v>29.552</v>
      </c>
      <c r="N43" s="417"/>
      <c r="O43" s="387">
        <v>14.85</v>
      </c>
      <c r="P43" s="427">
        <v>2.4E-2</v>
      </c>
      <c r="Q43" s="387">
        <v>8495</v>
      </c>
      <c r="R43" s="417"/>
      <c r="S43" s="387">
        <v>204</v>
      </c>
      <c r="T43" s="390"/>
      <c r="U43" s="426">
        <v>20</v>
      </c>
      <c r="V43" s="416">
        <v>100</v>
      </c>
      <c r="W43" s="462">
        <v>598.15100000000007</v>
      </c>
      <c r="X43" s="416">
        <v>0</v>
      </c>
      <c r="Y43" s="416">
        <v>0</v>
      </c>
      <c r="Z43" s="391">
        <v>8</v>
      </c>
      <c r="AA43" s="416">
        <v>100</v>
      </c>
      <c r="AB43" s="462">
        <v>108</v>
      </c>
      <c r="AC43" s="387"/>
      <c r="AD43" s="387">
        <v>48</v>
      </c>
      <c r="AE43" s="388"/>
      <c r="AF43" s="392"/>
      <c r="AG43" s="387">
        <v>10</v>
      </c>
      <c r="AH43" s="388"/>
      <c r="AI43" s="388">
        <v>19</v>
      </c>
      <c r="AJ43" s="462">
        <v>77</v>
      </c>
      <c r="AK43" s="388">
        <v>47207.273000000001</v>
      </c>
      <c r="AL43" s="388">
        <v>32483.986000000001</v>
      </c>
      <c r="AM43" s="388">
        <v>14723.287</v>
      </c>
      <c r="AN43" s="388">
        <v>933.64700000000005</v>
      </c>
      <c r="AO43" s="467">
        <v>0.68811401158461327</v>
      </c>
      <c r="AP43" s="468">
        <v>1531.7980000000002</v>
      </c>
      <c r="AQ43" s="468">
        <v>-1531.7980000000002</v>
      </c>
      <c r="AR43" s="393"/>
      <c r="AS43" s="394"/>
      <c r="AT43" s="394"/>
      <c r="AU43" s="395"/>
      <c r="AV43" s="471"/>
      <c r="AW43" s="388">
        <v>47207273</v>
      </c>
      <c r="AX43" s="424">
        <v>32483986</v>
      </c>
      <c r="AY43" s="424">
        <v>14723287</v>
      </c>
      <c r="AZ43" s="424">
        <v>933647</v>
      </c>
      <c r="BA43" s="472">
        <v>0.68811401158461327</v>
      </c>
      <c r="BB43" s="453">
        <v>5684</v>
      </c>
      <c r="BC43" s="390">
        <v>3</v>
      </c>
      <c r="BD43" s="236">
        <v>0</v>
      </c>
    </row>
    <row r="44" spans="1:56" s="121" customFormat="1" ht="14.25" customHeight="1">
      <c r="A44" s="104">
        <v>2023</v>
      </c>
      <c r="B44" s="105" t="s">
        <v>352</v>
      </c>
      <c r="C44" s="556" t="s">
        <v>327</v>
      </c>
      <c r="D44" s="106" t="s">
        <v>2415</v>
      </c>
      <c r="E44" s="150" t="s">
        <v>108</v>
      </c>
      <c r="F44" s="71" t="s">
        <v>78</v>
      </c>
      <c r="G44" s="68" t="s">
        <v>180</v>
      </c>
      <c r="H44" s="414"/>
      <c r="I44" s="417"/>
      <c r="J44" s="423">
        <v>35</v>
      </c>
      <c r="K44" s="462">
        <v>35</v>
      </c>
      <c r="L44" s="388">
        <v>942.12199999999996</v>
      </c>
      <c r="M44" s="416">
        <v>1140.5519999999999</v>
      </c>
      <c r="N44" s="388">
        <v>1701</v>
      </c>
      <c r="O44" s="387">
        <v>90.42</v>
      </c>
      <c r="P44" s="427">
        <v>2.4E-2</v>
      </c>
      <c r="Q44" s="387">
        <v>8495</v>
      </c>
      <c r="R44" s="417">
        <v>1820</v>
      </c>
      <c r="S44" s="387">
        <v>2024</v>
      </c>
      <c r="T44" s="390"/>
      <c r="U44" s="426">
        <v>56</v>
      </c>
      <c r="V44" s="416">
        <v>0</v>
      </c>
      <c r="W44" s="462">
        <v>5954.0940000000001</v>
      </c>
      <c r="X44" s="416"/>
      <c r="Y44" s="416"/>
      <c r="Z44" s="391"/>
      <c r="AA44" s="416"/>
      <c r="AB44" s="462">
        <v>0</v>
      </c>
      <c r="AC44" s="387"/>
      <c r="AD44" s="387"/>
      <c r="AE44" s="388"/>
      <c r="AF44" s="392"/>
      <c r="AG44" s="387"/>
      <c r="AH44" s="388"/>
      <c r="AI44" s="388"/>
      <c r="AJ44" s="462">
        <v>0</v>
      </c>
      <c r="AK44" s="388">
        <v>147193.06232197038</v>
      </c>
      <c r="AL44" s="388">
        <v>133142.09730956802</v>
      </c>
      <c r="AM44" s="388">
        <v>14050.965012402341</v>
      </c>
      <c r="AN44" s="388">
        <v>395.47037739550854</v>
      </c>
      <c r="AO44" s="467">
        <v>0.90454057554922496</v>
      </c>
      <c r="AP44" s="468">
        <v>6349.5643773955089</v>
      </c>
      <c r="AQ44" s="468">
        <v>-6314.5643773955089</v>
      </c>
      <c r="AR44" s="393"/>
      <c r="AS44" s="394"/>
      <c r="AT44" s="394"/>
      <c r="AU44" s="395"/>
      <c r="AV44" s="471" t="s">
        <v>2484</v>
      </c>
      <c r="AW44" s="388">
        <v>147193062.32197037</v>
      </c>
      <c r="AX44" s="424">
        <v>133142097.30956802</v>
      </c>
      <c r="AY44" s="424">
        <v>14050965.012402341</v>
      </c>
      <c r="AZ44" s="424">
        <v>395470.37739550852</v>
      </c>
      <c r="BA44" s="472">
        <v>0.90454057554922496</v>
      </c>
      <c r="BB44" s="453">
        <v>20818</v>
      </c>
      <c r="BC44" s="390">
        <v>0</v>
      </c>
      <c r="BD44" s="236">
        <v>15.500000000000002</v>
      </c>
    </row>
    <row r="45" spans="1:56" s="121" customFormat="1" ht="14.25" customHeight="1">
      <c r="A45" s="104">
        <v>2023</v>
      </c>
      <c r="B45" s="105" t="s">
        <v>359</v>
      </c>
      <c r="C45" s="556" t="s">
        <v>330</v>
      </c>
      <c r="D45" s="106" t="s">
        <v>2415</v>
      </c>
      <c r="E45" s="150" t="s">
        <v>331</v>
      </c>
      <c r="F45" s="71" t="s">
        <v>78</v>
      </c>
      <c r="G45" s="68" t="s">
        <v>180</v>
      </c>
      <c r="H45" s="414"/>
      <c r="I45" s="417"/>
      <c r="J45" s="423">
        <v>0</v>
      </c>
      <c r="K45" s="462">
        <v>0</v>
      </c>
      <c r="L45" s="387">
        <v>250.83099999999999</v>
      </c>
      <c r="M45" s="416">
        <v>29.552</v>
      </c>
      <c r="N45" s="390"/>
      <c r="O45" s="387">
        <v>39.6</v>
      </c>
      <c r="P45" s="427">
        <v>2.4E-2</v>
      </c>
      <c r="Q45" s="387">
        <v>8495</v>
      </c>
      <c r="R45" s="417"/>
      <c r="S45" s="387">
        <v>204</v>
      </c>
      <c r="T45" s="390"/>
      <c r="U45" s="426">
        <v>21</v>
      </c>
      <c r="V45" s="416">
        <v>100</v>
      </c>
      <c r="W45" s="462">
        <v>644.98299999999995</v>
      </c>
      <c r="X45" s="416">
        <v>0</v>
      </c>
      <c r="Y45" s="416">
        <v>0</v>
      </c>
      <c r="Z45" s="391">
        <v>0</v>
      </c>
      <c r="AA45" s="416">
        <v>100</v>
      </c>
      <c r="AB45" s="462">
        <v>100</v>
      </c>
      <c r="AC45" s="387"/>
      <c r="AD45" s="387">
        <v>100</v>
      </c>
      <c r="AE45" s="388"/>
      <c r="AF45" s="392"/>
      <c r="AG45" s="387"/>
      <c r="AH45" s="388"/>
      <c r="AI45" s="388"/>
      <c r="AJ45" s="462">
        <v>100</v>
      </c>
      <c r="AK45" s="388">
        <v>36705.199999999997</v>
      </c>
      <c r="AL45" s="388">
        <v>34804.29</v>
      </c>
      <c r="AM45" s="388">
        <v>1900.91</v>
      </c>
      <c r="AN45" s="388">
        <v>125.816</v>
      </c>
      <c r="AO45" s="467">
        <v>0.94821142508418421</v>
      </c>
      <c r="AP45" s="468">
        <v>770.79899999999998</v>
      </c>
      <c r="AQ45" s="468">
        <v>-770.79899999999998</v>
      </c>
      <c r="AR45" s="393"/>
      <c r="AS45" s="394"/>
      <c r="AT45" s="394"/>
      <c r="AU45" s="395"/>
      <c r="AV45" s="471"/>
      <c r="AW45" s="388">
        <v>36705200</v>
      </c>
      <c r="AX45" s="424">
        <v>34804290</v>
      </c>
      <c r="AY45" s="424">
        <v>1900910</v>
      </c>
      <c r="AZ45" s="424">
        <v>125816</v>
      </c>
      <c r="BA45" s="472">
        <v>0.94821142508418421</v>
      </c>
      <c r="BB45" s="453">
        <v>2507</v>
      </c>
      <c r="BC45" s="390">
        <v>6</v>
      </c>
      <c r="BD45" s="236">
        <v>0</v>
      </c>
    </row>
    <row r="46" spans="1:56" s="121" customFormat="1" ht="14.25" customHeight="1">
      <c r="A46" s="104">
        <v>2023</v>
      </c>
      <c r="B46" s="105" t="s">
        <v>365</v>
      </c>
      <c r="C46" s="556" t="s">
        <v>335</v>
      </c>
      <c r="D46" s="106" t="s">
        <v>2415</v>
      </c>
      <c r="E46" s="150" t="s">
        <v>336</v>
      </c>
      <c r="F46" s="71" t="s">
        <v>78</v>
      </c>
      <c r="G46" s="68" t="s">
        <v>180</v>
      </c>
      <c r="H46" s="414"/>
      <c r="I46" s="417"/>
      <c r="J46" s="423">
        <v>26.5</v>
      </c>
      <c r="K46" s="462">
        <v>26.5</v>
      </c>
      <c r="L46" s="387">
        <v>707.86199999999997</v>
      </c>
      <c r="M46" s="416">
        <v>29.552</v>
      </c>
      <c r="N46" s="390"/>
      <c r="O46" s="387">
        <v>82.5</v>
      </c>
      <c r="P46" s="427">
        <v>2.4E-2</v>
      </c>
      <c r="Q46" s="387">
        <v>8495</v>
      </c>
      <c r="R46" s="417"/>
      <c r="S46" s="387">
        <v>204</v>
      </c>
      <c r="T46" s="390"/>
      <c r="U46" s="426">
        <v>20</v>
      </c>
      <c r="V46" s="416">
        <v>100</v>
      </c>
      <c r="W46" s="462">
        <v>1143.914</v>
      </c>
      <c r="X46" s="416">
        <v>0</v>
      </c>
      <c r="Y46" s="416">
        <v>0</v>
      </c>
      <c r="Z46" s="391">
        <v>180</v>
      </c>
      <c r="AA46" s="416">
        <v>100</v>
      </c>
      <c r="AB46" s="462">
        <v>280</v>
      </c>
      <c r="AC46" s="387"/>
      <c r="AD46" s="387">
        <v>141</v>
      </c>
      <c r="AE46" s="388"/>
      <c r="AF46" s="392"/>
      <c r="AG46" s="387">
        <v>120</v>
      </c>
      <c r="AH46" s="388"/>
      <c r="AI46" s="388">
        <v>10</v>
      </c>
      <c r="AJ46" s="462">
        <v>271</v>
      </c>
      <c r="AK46" s="388">
        <v>81048.448999999993</v>
      </c>
      <c r="AL46" s="388">
        <v>68626.641000000003</v>
      </c>
      <c r="AM46" s="388">
        <v>12421.808000000001</v>
      </c>
      <c r="AN46" s="388">
        <v>1944.1669999999999</v>
      </c>
      <c r="AO46" s="467">
        <v>0.84673601835366397</v>
      </c>
      <c r="AP46" s="468">
        <v>3088.0810000000001</v>
      </c>
      <c r="AQ46" s="468">
        <v>-3061.5810000000001</v>
      </c>
      <c r="AR46" s="393"/>
      <c r="AS46" s="394"/>
      <c r="AT46" s="394"/>
      <c r="AU46" s="395"/>
      <c r="AV46" s="471"/>
      <c r="AW46" s="388">
        <v>81048449</v>
      </c>
      <c r="AX46" s="424">
        <v>68626641</v>
      </c>
      <c r="AY46" s="424">
        <v>12421808</v>
      </c>
      <c r="AZ46" s="424">
        <v>1944167</v>
      </c>
      <c r="BA46" s="472">
        <v>0.84673601835366397</v>
      </c>
      <c r="BB46" s="453">
        <v>9020</v>
      </c>
      <c r="BC46" s="390">
        <v>37</v>
      </c>
      <c r="BD46" s="236">
        <v>0</v>
      </c>
    </row>
    <row r="47" spans="1:56" s="121" customFormat="1" ht="14.25" customHeight="1">
      <c r="A47" s="104">
        <v>2023</v>
      </c>
      <c r="B47" s="105" t="s">
        <v>372</v>
      </c>
      <c r="C47" s="556" t="s">
        <v>341</v>
      </c>
      <c r="D47" s="106" t="s">
        <v>2415</v>
      </c>
      <c r="E47" s="150" t="s">
        <v>342</v>
      </c>
      <c r="F47" s="71" t="s">
        <v>78</v>
      </c>
      <c r="G47" s="68" t="s">
        <v>180</v>
      </c>
      <c r="H47" s="414"/>
      <c r="I47" s="417"/>
      <c r="J47" s="423">
        <v>36</v>
      </c>
      <c r="K47" s="462">
        <v>36</v>
      </c>
      <c r="L47" s="387">
        <v>637.99699999999996</v>
      </c>
      <c r="M47" s="416">
        <v>29.552</v>
      </c>
      <c r="N47" s="390"/>
      <c r="O47" s="387">
        <v>375.54</v>
      </c>
      <c r="P47" s="427">
        <v>2.4E-2</v>
      </c>
      <c r="Q47" s="387">
        <v>8495</v>
      </c>
      <c r="R47" s="417"/>
      <c r="S47" s="387">
        <v>204</v>
      </c>
      <c r="T47" s="390"/>
      <c r="U47" s="426">
        <v>21</v>
      </c>
      <c r="V47" s="416">
        <v>100</v>
      </c>
      <c r="W47" s="462">
        <v>1368.0889999999999</v>
      </c>
      <c r="X47" s="416">
        <v>0</v>
      </c>
      <c r="Y47" s="416">
        <v>0</v>
      </c>
      <c r="Z47" s="391">
        <v>64</v>
      </c>
      <c r="AA47" s="416">
        <v>100</v>
      </c>
      <c r="AB47" s="462">
        <v>164</v>
      </c>
      <c r="AC47" s="387"/>
      <c r="AD47" s="387">
        <v>13</v>
      </c>
      <c r="AE47" s="388"/>
      <c r="AF47" s="392">
        <v>1</v>
      </c>
      <c r="AG47" s="387">
        <v>108</v>
      </c>
      <c r="AH47" s="388"/>
      <c r="AI47" s="388">
        <v>103</v>
      </c>
      <c r="AJ47" s="462">
        <v>225</v>
      </c>
      <c r="AK47" s="388">
        <v>88379.782999999996</v>
      </c>
      <c r="AL47" s="388">
        <v>76865.832999999999</v>
      </c>
      <c r="AM47" s="388">
        <v>11513.95</v>
      </c>
      <c r="AN47" s="388">
        <v>2807.7150000000001</v>
      </c>
      <c r="AO47" s="467">
        <v>0.86972190234954527</v>
      </c>
      <c r="AP47" s="468">
        <v>4175.8040000000001</v>
      </c>
      <c r="AQ47" s="468">
        <v>-4139.8040000000001</v>
      </c>
      <c r="AR47" s="393"/>
      <c r="AS47" s="394"/>
      <c r="AT47" s="394"/>
      <c r="AU47" s="395"/>
      <c r="AV47" s="471"/>
      <c r="AW47" s="388">
        <v>88379783</v>
      </c>
      <c r="AX47" s="424">
        <v>76865833</v>
      </c>
      <c r="AY47" s="424">
        <v>11513950</v>
      </c>
      <c r="AZ47" s="424">
        <v>2807715</v>
      </c>
      <c r="BA47" s="472">
        <v>0.86972190234954527</v>
      </c>
      <c r="BB47" s="453">
        <v>8565</v>
      </c>
      <c r="BC47" s="390">
        <v>2</v>
      </c>
      <c r="BD47" s="236">
        <v>0</v>
      </c>
    </row>
    <row r="48" spans="1:56" s="121" customFormat="1" ht="14.25" customHeight="1">
      <c r="A48" s="104">
        <v>2023</v>
      </c>
      <c r="B48" s="105" t="s">
        <v>379</v>
      </c>
      <c r="C48" s="556" t="s">
        <v>347</v>
      </c>
      <c r="D48" s="106" t="s">
        <v>2415</v>
      </c>
      <c r="E48" s="150" t="s">
        <v>348</v>
      </c>
      <c r="F48" s="71" t="s">
        <v>78</v>
      </c>
      <c r="G48" s="68" t="s">
        <v>180</v>
      </c>
      <c r="H48" s="414"/>
      <c r="I48" s="417"/>
      <c r="J48" s="423">
        <v>113.7</v>
      </c>
      <c r="K48" s="462">
        <v>113.7</v>
      </c>
      <c r="L48" s="387">
        <v>163.82499999999999</v>
      </c>
      <c r="M48" s="416">
        <v>29.552</v>
      </c>
      <c r="N48" s="390"/>
      <c r="O48" s="387">
        <v>0</v>
      </c>
      <c r="P48" s="427">
        <v>2.4E-2</v>
      </c>
      <c r="Q48" s="387">
        <v>8495</v>
      </c>
      <c r="R48" s="417"/>
      <c r="S48" s="387">
        <v>204</v>
      </c>
      <c r="T48" s="390"/>
      <c r="U48" s="426">
        <v>21</v>
      </c>
      <c r="V48" s="416">
        <v>100</v>
      </c>
      <c r="W48" s="462">
        <v>518.37699999999995</v>
      </c>
      <c r="X48" s="416">
        <v>0</v>
      </c>
      <c r="Y48" s="416">
        <v>0</v>
      </c>
      <c r="Z48" s="391">
        <v>193</v>
      </c>
      <c r="AA48" s="416">
        <v>100</v>
      </c>
      <c r="AB48" s="462">
        <v>293</v>
      </c>
      <c r="AC48" s="387"/>
      <c r="AD48" s="387">
        <v>160</v>
      </c>
      <c r="AE48" s="388"/>
      <c r="AF48" s="392"/>
      <c r="AG48" s="387">
        <v>170</v>
      </c>
      <c r="AH48" s="388"/>
      <c r="AI48" s="388">
        <v>24</v>
      </c>
      <c r="AJ48" s="462">
        <v>354</v>
      </c>
      <c r="AK48" s="388">
        <v>30221.545999999998</v>
      </c>
      <c r="AL48" s="388">
        <v>22045.24</v>
      </c>
      <c r="AM48" s="388">
        <v>8176.3059999999996</v>
      </c>
      <c r="AN48" s="388">
        <v>755.66300000000001</v>
      </c>
      <c r="AO48" s="467">
        <v>0.72945440977771292</v>
      </c>
      <c r="AP48" s="468">
        <v>1274.04</v>
      </c>
      <c r="AQ48" s="468">
        <v>-1160.3399999999999</v>
      </c>
      <c r="AR48" s="393"/>
      <c r="AS48" s="394"/>
      <c r="AT48" s="394"/>
      <c r="AU48" s="395"/>
      <c r="AV48" s="471"/>
      <c r="AW48" s="388">
        <v>30221546</v>
      </c>
      <c r="AX48" s="424">
        <v>22045240</v>
      </c>
      <c r="AY48" s="424">
        <v>8176306</v>
      </c>
      <c r="AZ48" s="424">
        <v>755663</v>
      </c>
      <c r="BA48" s="472">
        <v>0.72945440977771292</v>
      </c>
      <c r="BB48" s="453">
        <v>3630</v>
      </c>
      <c r="BC48" s="390">
        <v>6</v>
      </c>
      <c r="BD48" s="236">
        <v>0</v>
      </c>
    </row>
    <row r="49" spans="1:56" s="121" customFormat="1" ht="14.25" customHeight="1">
      <c r="A49" s="104">
        <v>2023</v>
      </c>
      <c r="B49" s="105" t="s">
        <v>385</v>
      </c>
      <c r="C49" s="556" t="s">
        <v>353</v>
      </c>
      <c r="D49" s="106" t="s">
        <v>2415</v>
      </c>
      <c r="E49" s="150" t="s">
        <v>354</v>
      </c>
      <c r="F49" s="71" t="s">
        <v>78</v>
      </c>
      <c r="G49" s="68" t="s">
        <v>180</v>
      </c>
      <c r="H49" s="414"/>
      <c r="I49" s="417"/>
      <c r="J49" s="423">
        <v>0</v>
      </c>
      <c r="K49" s="462">
        <v>0</v>
      </c>
      <c r="L49" s="387">
        <v>303.47800000000001</v>
      </c>
      <c r="M49" s="416">
        <v>29.552</v>
      </c>
      <c r="N49" s="390"/>
      <c r="O49" s="387">
        <v>82.5</v>
      </c>
      <c r="P49" s="427">
        <v>2.4E-2</v>
      </c>
      <c r="Q49" s="387">
        <v>8495</v>
      </c>
      <c r="R49" s="417"/>
      <c r="S49" s="387">
        <v>204</v>
      </c>
      <c r="T49" s="390"/>
      <c r="U49" s="426">
        <v>21</v>
      </c>
      <c r="V49" s="416">
        <v>100</v>
      </c>
      <c r="W49" s="462">
        <v>740.53</v>
      </c>
      <c r="X49" s="416">
        <v>0</v>
      </c>
      <c r="Y49" s="416">
        <v>0</v>
      </c>
      <c r="Z49" s="391">
        <v>22</v>
      </c>
      <c r="AA49" s="416">
        <v>100</v>
      </c>
      <c r="AB49" s="462">
        <v>122</v>
      </c>
      <c r="AC49" s="387"/>
      <c r="AD49" s="387"/>
      <c r="AE49" s="388"/>
      <c r="AF49" s="392"/>
      <c r="AG49" s="387"/>
      <c r="AH49" s="388"/>
      <c r="AI49" s="388">
        <v>6</v>
      </c>
      <c r="AJ49" s="462">
        <v>6</v>
      </c>
      <c r="AK49" s="388">
        <v>49620.92</v>
      </c>
      <c r="AL49" s="388">
        <v>39283.733999999997</v>
      </c>
      <c r="AM49" s="388">
        <v>10337.186</v>
      </c>
      <c r="AN49" s="388">
        <v>1266.9570000000001</v>
      </c>
      <c r="AO49" s="467">
        <v>0.79167685726101011</v>
      </c>
      <c r="AP49" s="468">
        <v>2007.4870000000001</v>
      </c>
      <c r="AQ49" s="468">
        <v>-2007.4870000000001</v>
      </c>
      <c r="AR49" s="393"/>
      <c r="AS49" s="394"/>
      <c r="AT49" s="394"/>
      <c r="AU49" s="395"/>
      <c r="AV49" s="471"/>
      <c r="AW49" s="388">
        <v>49620920</v>
      </c>
      <c r="AX49" s="424">
        <v>39283734</v>
      </c>
      <c r="AY49" s="424">
        <v>10337186</v>
      </c>
      <c r="AZ49" s="424">
        <v>1266957</v>
      </c>
      <c r="BA49" s="472">
        <v>0.79167685726101011</v>
      </c>
      <c r="BB49" s="453">
        <v>7312</v>
      </c>
      <c r="BC49" s="390">
        <v>2</v>
      </c>
      <c r="BD49" s="236">
        <v>0</v>
      </c>
    </row>
    <row r="50" spans="1:56" s="121" customFormat="1" ht="14.25" customHeight="1">
      <c r="A50" s="104">
        <v>2023</v>
      </c>
      <c r="B50" s="105" t="s">
        <v>392</v>
      </c>
      <c r="C50" s="556" t="s">
        <v>360</v>
      </c>
      <c r="D50" s="106" t="s">
        <v>2415</v>
      </c>
      <c r="E50" s="150" t="s">
        <v>361</v>
      </c>
      <c r="F50" s="71" t="s">
        <v>78</v>
      </c>
      <c r="G50" s="68" t="s">
        <v>180</v>
      </c>
      <c r="H50" s="414"/>
      <c r="I50" s="417"/>
      <c r="J50" s="423">
        <v>73.25</v>
      </c>
      <c r="K50" s="462">
        <v>73.25</v>
      </c>
      <c r="L50" s="387"/>
      <c r="M50" s="416">
        <v>376.2</v>
      </c>
      <c r="N50" s="390"/>
      <c r="O50" s="387"/>
      <c r="P50" s="427">
        <v>2.4E-2</v>
      </c>
      <c r="Q50" s="387">
        <v>8495</v>
      </c>
      <c r="R50" s="417"/>
      <c r="S50" s="387">
        <v>204</v>
      </c>
      <c r="T50" s="390"/>
      <c r="U50" s="426"/>
      <c r="V50" s="416">
        <v>18112</v>
      </c>
      <c r="W50" s="462">
        <v>18692.2</v>
      </c>
      <c r="X50" s="416">
        <v>0</v>
      </c>
      <c r="Y50" s="416">
        <v>0</v>
      </c>
      <c r="Z50" s="391">
        <v>1896</v>
      </c>
      <c r="AA50" s="416">
        <v>18112</v>
      </c>
      <c r="AB50" s="462">
        <v>20008</v>
      </c>
      <c r="AC50" s="387">
        <v>2921</v>
      </c>
      <c r="AD50" s="387">
        <v>1459</v>
      </c>
      <c r="AE50" s="388"/>
      <c r="AF50" s="392">
        <v>25</v>
      </c>
      <c r="AG50" s="387">
        <v>13135</v>
      </c>
      <c r="AH50" s="388">
        <v>622</v>
      </c>
      <c r="AI50" s="388">
        <v>1180</v>
      </c>
      <c r="AJ50" s="462">
        <v>19342</v>
      </c>
      <c r="AK50" s="388">
        <v>315310.56125265016</v>
      </c>
      <c r="AL50" s="388">
        <v>95422.188487712134</v>
      </c>
      <c r="AM50" s="388">
        <v>219888.37276493799</v>
      </c>
      <c r="AN50" s="388">
        <v>11927.773560964017</v>
      </c>
      <c r="AO50" s="467">
        <v>0.30262921771038559</v>
      </c>
      <c r="AP50" s="468">
        <v>30619.973560964019</v>
      </c>
      <c r="AQ50" s="468">
        <v>-30546.723560964019</v>
      </c>
      <c r="AR50" s="393"/>
      <c r="AS50" s="394"/>
      <c r="AT50" s="394"/>
      <c r="AU50" s="395"/>
      <c r="AV50" s="471" t="s">
        <v>2484</v>
      </c>
      <c r="AW50" s="388">
        <v>315310561.25265014</v>
      </c>
      <c r="AX50" s="424">
        <v>95422188.48771213</v>
      </c>
      <c r="AY50" s="424">
        <v>219888372.764938</v>
      </c>
      <c r="AZ50" s="424">
        <v>11927773.560964016</v>
      </c>
      <c r="BA50" s="472">
        <v>0.30262921771038559</v>
      </c>
      <c r="BB50" s="453">
        <v>50613</v>
      </c>
      <c r="BC50" s="390">
        <v>12181</v>
      </c>
      <c r="BD50" s="236">
        <v>0</v>
      </c>
    </row>
    <row r="51" spans="1:56" s="121" customFormat="1" ht="14.25" customHeight="1">
      <c r="A51" s="104">
        <v>2023</v>
      </c>
      <c r="B51" s="105" t="s">
        <v>399</v>
      </c>
      <c r="C51" s="556" t="s">
        <v>366</v>
      </c>
      <c r="D51" s="106" t="s">
        <v>2415</v>
      </c>
      <c r="E51" s="150" t="s">
        <v>367</v>
      </c>
      <c r="F51" s="71" t="s">
        <v>78</v>
      </c>
      <c r="G51" s="68" t="s">
        <v>180</v>
      </c>
      <c r="H51" s="414"/>
      <c r="I51" s="417"/>
      <c r="J51" s="423">
        <v>0</v>
      </c>
      <c r="K51" s="462">
        <v>0</v>
      </c>
      <c r="L51" s="387">
        <v>340.48500000000001</v>
      </c>
      <c r="M51" s="416">
        <v>29.552</v>
      </c>
      <c r="N51" s="390"/>
      <c r="O51" s="387">
        <v>71.5</v>
      </c>
      <c r="P51" s="427">
        <v>2.4E-2</v>
      </c>
      <c r="Q51" s="387">
        <v>8495</v>
      </c>
      <c r="R51" s="417"/>
      <c r="S51" s="387">
        <v>204</v>
      </c>
      <c r="T51" s="390"/>
      <c r="U51" s="426">
        <v>21</v>
      </c>
      <c r="V51" s="416">
        <v>100</v>
      </c>
      <c r="W51" s="462">
        <v>766.53700000000003</v>
      </c>
      <c r="X51" s="416">
        <v>0</v>
      </c>
      <c r="Y51" s="416">
        <v>0</v>
      </c>
      <c r="Z51" s="391">
        <v>0</v>
      </c>
      <c r="AA51" s="416">
        <v>100</v>
      </c>
      <c r="AB51" s="462">
        <v>100</v>
      </c>
      <c r="AC51" s="387"/>
      <c r="AD51" s="387">
        <v>100</v>
      </c>
      <c r="AE51" s="388"/>
      <c r="AF51" s="392"/>
      <c r="AG51" s="387"/>
      <c r="AH51" s="388"/>
      <c r="AI51" s="388"/>
      <c r="AJ51" s="462">
        <v>100</v>
      </c>
      <c r="AK51" s="388">
        <v>60679.3</v>
      </c>
      <c r="AL51" s="388">
        <v>52335.987000000001</v>
      </c>
      <c r="AM51" s="388">
        <v>8343.3130000000001</v>
      </c>
      <c r="AN51" s="388">
        <v>827.096</v>
      </c>
      <c r="AO51" s="467">
        <v>0.86250149556768119</v>
      </c>
      <c r="AP51" s="468">
        <v>1593.633</v>
      </c>
      <c r="AQ51" s="468">
        <v>-1593.633</v>
      </c>
      <c r="AR51" s="393"/>
      <c r="AS51" s="394"/>
      <c r="AT51" s="394"/>
      <c r="AU51" s="395"/>
      <c r="AV51" s="471"/>
      <c r="AW51" s="388">
        <v>60679300</v>
      </c>
      <c r="AX51" s="424">
        <v>52335987</v>
      </c>
      <c r="AY51" s="424">
        <v>8343313</v>
      </c>
      <c r="AZ51" s="424">
        <v>827096</v>
      </c>
      <c r="BA51" s="472">
        <v>0.86250149556768119</v>
      </c>
      <c r="BB51" s="453">
        <v>3841</v>
      </c>
      <c r="BC51" s="390">
        <v>0</v>
      </c>
      <c r="BD51" s="236">
        <v>0.2</v>
      </c>
    </row>
    <row r="52" spans="1:56" s="121" customFormat="1" ht="14.25" customHeight="1">
      <c r="A52" s="104">
        <v>2023</v>
      </c>
      <c r="B52" s="105" t="s">
        <v>405</v>
      </c>
      <c r="C52" s="556" t="s">
        <v>373</v>
      </c>
      <c r="D52" s="106" t="s">
        <v>2415</v>
      </c>
      <c r="E52" s="150" t="s">
        <v>374</v>
      </c>
      <c r="F52" s="71" t="s">
        <v>78</v>
      </c>
      <c r="G52" s="68" t="s">
        <v>180</v>
      </c>
      <c r="H52" s="414"/>
      <c r="I52" s="417"/>
      <c r="J52" s="423">
        <v>0</v>
      </c>
      <c r="K52" s="462">
        <v>0</v>
      </c>
      <c r="L52" s="387">
        <v>322.52800000000002</v>
      </c>
      <c r="M52" s="416">
        <v>29.552</v>
      </c>
      <c r="N52" s="390"/>
      <c r="O52" s="387">
        <v>968</v>
      </c>
      <c r="P52" s="427">
        <v>2.4E-2</v>
      </c>
      <c r="Q52" s="387">
        <v>8495</v>
      </c>
      <c r="R52" s="417"/>
      <c r="S52" s="387">
        <v>204</v>
      </c>
      <c r="T52" s="390"/>
      <c r="U52" s="426">
        <v>21</v>
      </c>
      <c r="V52" s="416">
        <v>100</v>
      </c>
      <c r="W52" s="462">
        <v>1645.08</v>
      </c>
      <c r="X52" s="416">
        <v>0</v>
      </c>
      <c r="Y52" s="416">
        <v>0</v>
      </c>
      <c r="Z52" s="391">
        <v>0</v>
      </c>
      <c r="AA52" s="416">
        <v>100</v>
      </c>
      <c r="AB52" s="462">
        <v>100</v>
      </c>
      <c r="AC52" s="387"/>
      <c r="AD52" s="387"/>
      <c r="AE52" s="388"/>
      <c r="AF52" s="392"/>
      <c r="AG52" s="387"/>
      <c r="AH52" s="388"/>
      <c r="AI52" s="388">
        <v>48</v>
      </c>
      <c r="AJ52" s="462">
        <v>48</v>
      </c>
      <c r="AK52" s="388">
        <v>90775.05</v>
      </c>
      <c r="AL52" s="388">
        <v>81407.985000000001</v>
      </c>
      <c r="AM52" s="388">
        <v>9367.0650000000005</v>
      </c>
      <c r="AN52" s="388">
        <v>363.17599999999999</v>
      </c>
      <c r="AO52" s="467">
        <v>0.89681013670606624</v>
      </c>
      <c r="AP52" s="468">
        <v>2008.2559999999999</v>
      </c>
      <c r="AQ52" s="468">
        <v>-2008.2559999999999</v>
      </c>
      <c r="AR52" s="393"/>
      <c r="AS52" s="394"/>
      <c r="AT52" s="394"/>
      <c r="AU52" s="395"/>
      <c r="AV52" s="471"/>
      <c r="AW52" s="388">
        <v>90775050</v>
      </c>
      <c r="AX52" s="424">
        <v>81407985</v>
      </c>
      <c r="AY52" s="424">
        <v>9367065</v>
      </c>
      <c r="AZ52" s="424">
        <v>363176</v>
      </c>
      <c r="BA52" s="472">
        <v>0.89681013670606624</v>
      </c>
      <c r="BB52" s="453">
        <v>3657</v>
      </c>
      <c r="BC52" s="390">
        <v>0</v>
      </c>
      <c r="BD52" s="236">
        <v>0.6</v>
      </c>
    </row>
    <row r="53" spans="1:56" s="121" customFormat="1" ht="14.25" customHeight="1">
      <c r="A53" s="104">
        <v>2023</v>
      </c>
      <c r="B53" s="105" t="s">
        <v>410</v>
      </c>
      <c r="C53" s="556" t="s">
        <v>380</v>
      </c>
      <c r="D53" s="106" t="s">
        <v>2415</v>
      </c>
      <c r="E53" s="150" t="s">
        <v>381</v>
      </c>
      <c r="F53" s="71" t="s">
        <v>78</v>
      </c>
      <c r="G53" s="68" t="s">
        <v>180</v>
      </c>
      <c r="H53" s="414"/>
      <c r="I53" s="417"/>
      <c r="J53" s="423">
        <v>0</v>
      </c>
      <c r="K53" s="462">
        <v>0</v>
      </c>
      <c r="L53" s="387">
        <v>228.917</v>
      </c>
      <c r="M53" s="416">
        <v>29.552</v>
      </c>
      <c r="N53" s="390"/>
      <c r="O53" s="387">
        <v>0</v>
      </c>
      <c r="P53" s="427">
        <v>2.4E-2</v>
      </c>
      <c r="Q53" s="387">
        <v>8495</v>
      </c>
      <c r="R53" s="417"/>
      <c r="S53" s="387">
        <v>204</v>
      </c>
      <c r="T53" s="390"/>
      <c r="U53" s="426">
        <v>21</v>
      </c>
      <c r="V53" s="416">
        <v>100</v>
      </c>
      <c r="W53" s="462">
        <v>583.46900000000005</v>
      </c>
      <c r="X53" s="416">
        <v>0</v>
      </c>
      <c r="Y53" s="416">
        <v>0</v>
      </c>
      <c r="Z53" s="391">
        <v>681</v>
      </c>
      <c r="AA53" s="416">
        <v>100</v>
      </c>
      <c r="AB53" s="462">
        <v>781</v>
      </c>
      <c r="AC53" s="387"/>
      <c r="AD53" s="387"/>
      <c r="AE53" s="388"/>
      <c r="AF53" s="392"/>
      <c r="AG53" s="387">
        <v>660</v>
      </c>
      <c r="AH53" s="388"/>
      <c r="AI53" s="388">
        <v>121</v>
      </c>
      <c r="AJ53" s="462">
        <v>781</v>
      </c>
      <c r="AK53" s="388">
        <v>50943.9</v>
      </c>
      <c r="AL53" s="388">
        <v>46445.55</v>
      </c>
      <c r="AM53" s="388">
        <v>4498.3500000000004</v>
      </c>
      <c r="AN53" s="388">
        <v>212.37799999999999</v>
      </c>
      <c r="AO53" s="467">
        <v>0.91169992874514905</v>
      </c>
      <c r="AP53" s="468">
        <v>795.84699999999998</v>
      </c>
      <c r="AQ53" s="468">
        <v>-795.84699999999998</v>
      </c>
      <c r="AR53" s="393"/>
      <c r="AS53" s="394"/>
      <c r="AT53" s="394"/>
      <c r="AU53" s="395"/>
      <c r="AV53" s="471"/>
      <c r="AW53" s="388">
        <v>50943900</v>
      </c>
      <c r="AX53" s="424">
        <v>46445550</v>
      </c>
      <c r="AY53" s="424">
        <v>4498350</v>
      </c>
      <c r="AZ53" s="424">
        <v>212378</v>
      </c>
      <c r="BA53" s="472">
        <v>0.91169992874514905</v>
      </c>
      <c r="BB53" s="453">
        <v>4982</v>
      </c>
      <c r="BC53" s="390">
        <v>0</v>
      </c>
      <c r="BD53" s="236">
        <v>3.4</v>
      </c>
    </row>
    <row r="54" spans="1:56" s="121" customFormat="1" ht="14.25" customHeight="1">
      <c r="A54" s="104">
        <v>2023</v>
      </c>
      <c r="B54" s="105" t="s">
        <v>416</v>
      </c>
      <c r="C54" s="556" t="s">
        <v>386</v>
      </c>
      <c r="D54" s="106" t="s">
        <v>2415</v>
      </c>
      <c r="E54" s="150" t="s">
        <v>387</v>
      </c>
      <c r="F54" s="71" t="s">
        <v>78</v>
      </c>
      <c r="G54" s="68" t="s">
        <v>180</v>
      </c>
      <c r="H54" s="414"/>
      <c r="I54" s="417"/>
      <c r="J54" s="423">
        <v>5.5</v>
      </c>
      <c r="K54" s="462">
        <v>5.5</v>
      </c>
      <c r="L54" s="387">
        <v>513.33500000000004</v>
      </c>
      <c r="M54" s="416">
        <v>29.552</v>
      </c>
      <c r="N54" s="390"/>
      <c r="O54" s="387">
        <v>510.18</v>
      </c>
      <c r="P54" s="427">
        <v>2.4E-2</v>
      </c>
      <c r="Q54" s="387">
        <v>8495</v>
      </c>
      <c r="R54" s="417"/>
      <c r="S54" s="387">
        <v>204</v>
      </c>
      <c r="T54" s="390"/>
      <c r="U54" s="426">
        <v>21</v>
      </c>
      <c r="V54" s="416">
        <v>100</v>
      </c>
      <c r="W54" s="462">
        <v>1378.067</v>
      </c>
      <c r="X54" s="416">
        <v>0</v>
      </c>
      <c r="Y54" s="416">
        <v>0</v>
      </c>
      <c r="Z54" s="391">
        <v>8</v>
      </c>
      <c r="AA54" s="416">
        <v>100</v>
      </c>
      <c r="AB54" s="462">
        <v>108</v>
      </c>
      <c r="AC54" s="387"/>
      <c r="AD54" s="387">
        <v>48</v>
      </c>
      <c r="AE54" s="388"/>
      <c r="AF54" s="392"/>
      <c r="AG54" s="387"/>
      <c r="AH54" s="388"/>
      <c r="AI54" s="388">
        <v>110</v>
      </c>
      <c r="AJ54" s="462">
        <v>158</v>
      </c>
      <c r="AK54" s="388">
        <v>90704.207999999999</v>
      </c>
      <c r="AL54" s="388">
        <v>85746.941999999995</v>
      </c>
      <c r="AM54" s="388">
        <v>4957.2659999999996</v>
      </c>
      <c r="AN54" s="388">
        <v>330.24099999999999</v>
      </c>
      <c r="AO54" s="467">
        <v>0.94534690165642588</v>
      </c>
      <c r="AP54" s="468">
        <v>1708.308</v>
      </c>
      <c r="AQ54" s="468">
        <v>-1702.808</v>
      </c>
      <c r="AR54" s="393"/>
      <c r="AS54" s="394"/>
      <c r="AT54" s="394"/>
      <c r="AU54" s="395"/>
      <c r="AV54" s="471"/>
      <c r="AW54" s="388">
        <v>90704208</v>
      </c>
      <c r="AX54" s="424">
        <v>85746942</v>
      </c>
      <c r="AY54" s="424">
        <v>4957266</v>
      </c>
      <c r="AZ54" s="424">
        <v>330241</v>
      </c>
      <c r="BA54" s="472">
        <v>0.94534690165642588</v>
      </c>
      <c r="BB54" s="453">
        <v>5723</v>
      </c>
      <c r="BC54" s="390">
        <v>0</v>
      </c>
      <c r="BD54" s="236">
        <v>0</v>
      </c>
    </row>
    <row r="55" spans="1:56" s="121" customFormat="1" ht="14.25" customHeight="1">
      <c r="A55" s="104">
        <v>2023</v>
      </c>
      <c r="B55" s="105" t="s">
        <v>423</v>
      </c>
      <c r="C55" s="556" t="s">
        <v>393</v>
      </c>
      <c r="D55" s="106" t="s">
        <v>2415</v>
      </c>
      <c r="E55" s="150" t="s">
        <v>394</v>
      </c>
      <c r="F55" s="71" t="s">
        <v>78</v>
      </c>
      <c r="G55" s="68" t="s">
        <v>180</v>
      </c>
      <c r="H55" s="414"/>
      <c r="I55" s="417"/>
      <c r="J55" s="423">
        <v>44</v>
      </c>
      <c r="K55" s="462">
        <v>44</v>
      </c>
      <c r="L55" s="387">
        <v>467.48099999999999</v>
      </c>
      <c r="M55" s="416">
        <v>29.552</v>
      </c>
      <c r="N55" s="390"/>
      <c r="O55" s="387">
        <v>101.64</v>
      </c>
      <c r="P55" s="427">
        <v>2.4E-2</v>
      </c>
      <c r="Q55" s="387">
        <v>8495</v>
      </c>
      <c r="R55" s="417"/>
      <c r="S55" s="387">
        <v>204</v>
      </c>
      <c r="T55" s="426"/>
      <c r="U55" s="426">
        <v>21</v>
      </c>
      <c r="V55" s="416">
        <v>100</v>
      </c>
      <c r="W55" s="462">
        <v>923.673</v>
      </c>
      <c r="X55" s="416">
        <v>0</v>
      </c>
      <c r="Y55" s="416">
        <v>0</v>
      </c>
      <c r="Z55" s="391">
        <v>161</v>
      </c>
      <c r="AA55" s="416">
        <v>100</v>
      </c>
      <c r="AB55" s="462">
        <v>261</v>
      </c>
      <c r="AC55" s="387"/>
      <c r="AD55" s="387">
        <v>50</v>
      </c>
      <c r="AE55" s="388"/>
      <c r="AF55" s="392"/>
      <c r="AG55" s="387">
        <v>65</v>
      </c>
      <c r="AH55" s="388"/>
      <c r="AI55" s="388">
        <v>73</v>
      </c>
      <c r="AJ55" s="462">
        <v>188</v>
      </c>
      <c r="AK55" s="388">
        <v>89325.722999999998</v>
      </c>
      <c r="AL55" s="388">
        <v>70032.581000000006</v>
      </c>
      <c r="AM55" s="388">
        <v>19293.142</v>
      </c>
      <c r="AN55" s="388">
        <v>2531.7469999999998</v>
      </c>
      <c r="AO55" s="467">
        <v>0.78401359259079273</v>
      </c>
      <c r="AP55" s="468">
        <v>3455.42</v>
      </c>
      <c r="AQ55" s="468">
        <v>-3411.42</v>
      </c>
      <c r="AR55" s="393"/>
      <c r="AS55" s="394"/>
      <c r="AT55" s="394"/>
      <c r="AU55" s="395"/>
      <c r="AV55" s="471"/>
      <c r="AW55" s="388">
        <v>89325723</v>
      </c>
      <c r="AX55" s="424">
        <v>70032581</v>
      </c>
      <c r="AY55" s="424">
        <v>19293142</v>
      </c>
      <c r="AZ55" s="424">
        <v>2531747</v>
      </c>
      <c r="BA55" s="472">
        <v>0.78401359259079273</v>
      </c>
      <c r="BB55" s="453">
        <v>7457</v>
      </c>
      <c r="BC55" s="390">
        <v>0</v>
      </c>
      <c r="BD55" s="236">
        <v>2.1</v>
      </c>
    </row>
    <row r="56" spans="1:56" s="121" customFormat="1" ht="14.25" customHeight="1">
      <c r="A56" s="104">
        <v>2023</v>
      </c>
      <c r="B56" s="105" t="s">
        <v>429</v>
      </c>
      <c r="C56" s="556" t="s">
        <v>400</v>
      </c>
      <c r="D56" s="106" t="s">
        <v>2415</v>
      </c>
      <c r="E56" s="150" t="s">
        <v>401</v>
      </c>
      <c r="F56" s="71" t="s">
        <v>78</v>
      </c>
      <c r="G56" s="68" t="s">
        <v>180</v>
      </c>
      <c r="H56" s="414"/>
      <c r="I56" s="417"/>
      <c r="J56" s="423">
        <v>0</v>
      </c>
      <c r="K56" s="462">
        <v>0</v>
      </c>
      <c r="L56" s="387">
        <v>115.919</v>
      </c>
      <c r="M56" s="416">
        <v>29.552</v>
      </c>
      <c r="N56" s="390"/>
      <c r="O56" s="387">
        <v>0</v>
      </c>
      <c r="P56" s="427">
        <v>2.4E-2</v>
      </c>
      <c r="Q56" s="387">
        <v>8495</v>
      </c>
      <c r="R56" s="417"/>
      <c r="S56" s="387">
        <v>204</v>
      </c>
      <c r="T56" s="390"/>
      <c r="U56" s="426">
        <v>21</v>
      </c>
      <c r="V56" s="416">
        <v>100</v>
      </c>
      <c r="W56" s="462">
        <v>470.471</v>
      </c>
      <c r="X56" s="416">
        <v>0</v>
      </c>
      <c r="Y56" s="416">
        <v>0</v>
      </c>
      <c r="Z56" s="391">
        <v>0</v>
      </c>
      <c r="AA56" s="416">
        <v>100</v>
      </c>
      <c r="AB56" s="462">
        <v>100</v>
      </c>
      <c r="AC56" s="387"/>
      <c r="AD56" s="387"/>
      <c r="AE56" s="388"/>
      <c r="AF56" s="392"/>
      <c r="AG56" s="387"/>
      <c r="AH56" s="388"/>
      <c r="AI56" s="388">
        <v>66</v>
      </c>
      <c r="AJ56" s="462">
        <v>66</v>
      </c>
      <c r="AK56" s="388">
        <v>45154.667999999998</v>
      </c>
      <c r="AL56" s="388">
        <v>24604.517</v>
      </c>
      <c r="AM56" s="388">
        <v>20550.151000000002</v>
      </c>
      <c r="AN56" s="388">
        <v>1043.0709999999999</v>
      </c>
      <c r="AO56" s="467">
        <v>0.54489420672963429</v>
      </c>
      <c r="AP56" s="468">
        <v>1513.5419999999999</v>
      </c>
      <c r="AQ56" s="468">
        <v>-1513.5419999999999</v>
      </c>
      <c r="AR56" s="393"/>
      <c r="AS56" s="394"/>
      <c r="AT56" s="394"/>
      <c r="AU56" s="395"/>
      <c r="AV56" s="471"/>
      <c r="AW56" s="388">
        <v>45154668</v>
      </c>
      <c r="AX56" s="424">
        <v>24604517</v>
      </c>
      <c r="AY56" s="424">
        <v>20550151</v>
      </c>
      <c r="AZ56" s="424">
        <v>1043071</v>
      </c>
      <c r="BA56" s="472">
        <v>0.54489420672963429</v>
      </c>
      <c r="BB56" s="453">
        <v>1303</v>
      </c>
      <c r="BC56" s="390">
        <v>0</v>
      </c>
      <c r="BD56" s="236">
        <v>0.1</v>
      </c>
    </row>
    <row r="57" spans="1:56" s="121" customFormat="1" ht="14.25" customHeight="1">
      <c r="A57" s="104">
        <v>2023</v>
      </c>
      <c r="B57" s="105" t="s">
        <v>438</v>
      </c>
      <c r="C57" s="556" t="s">
        <v>406</v>
      </c>
      <c r="D57" s="106" t="s">
        <v>2415</v>
      </c>
      <c r="E57" s="150" t="s">
        <v>407</v>
      </c>
      <c r="F57" s="71" t="s">
        <v>78</v>
      </c>
      <c r="G57" s="68" t="s">
        <v>180</v>
      </c>
      <c r="H57" s="414"/>
      <c r="I57" s="417"/>
      <c r="J57" s="423">
        <v>0</v>
      </c>
      <c r="K57" s="462">
        <v>0</v>
      </c>
      <c r="L57" s="387">
        <v>146.94300000000001</v>
      </c>
      <c r="M57" s="416">
        <v>29.552</v>
      </c>
      <c r="N57" s="390"/>
      <c r="O57" s="387">
        <v>0</v>
      </c>
      <c r="P57" s="427">
        <v>2.4E-2</v>
      </c>
      <c r="Q57" s="387">
        <v>8495</v>
      </c>
      <c r="R57" s="417"/>
      <c r="S57" s="387">
        <v>204</v>
      </c>
      <c r="T57" s="390"/>
      <c r="U57" s="426">
        <v>26</v>
      </c>
      <c r="V57" s="416">
        <v>100</v>
      </c>
      <c r="W57" s="462">
        <v>506.495</v>
      </c>
      <c r="X57" s="416">
        <v>0</v>
      </c>
      <c r="Y57" s="416">
        <v>0</v>
      </c>
      <c r="Z57" s="391">
        <v>0</v>
      </c>
      <c r="AA57" s="416">
        <v>100</v>
      </c>
      <c r="AB57" s="462">
        <v>100</v>
      </c>
      <c r="AC57" s="387"/>
      <c r="AD57" s="387">
        <v>29</v>
      </c>
      <c r="AE57" s="388"/>
      <c r="AF57" s="392"/>
      <c r="AG57" s="387"/>
      <c r="AH57" s="388"/>
      <c r="AI57" s="388">
        <v>201</v>
      </c>
      <c r="AJ57" s="462">
        <v>230</v>
      </c>
      <c r="AK57" s="388">
        <v>40936.938999999998</v>
      </c>
      <c r="AL57" s="388">
        <v>22686.543000000001</v>
      </c>
      <c r="AM57" s="388">
        <v>18250.396000000001</v>
      </c>
      <c r="AN57" s="388">
        <v>852.43399999999997</v>
      </c>
      <c r="AO57" s="467">
        <v>0.55418269060126846</v>
      </c>
      <c r="AP57" s="468">
        <v>1358.9290000000001</v>
      </c>
      <c r="AQ57" s="468">
        <v>-1358.9290000000001</v>
      </c>
      <c r="AR57" s="393"/>
      <c r="AS57" s="394"/>
      <c r="AT57" s="394"/>
      <c r="AU57" s="395"/>
      <c r="AV57" s="471"/>
      <c r="AW57" s="388">
        <v>40936939</v>
      </c>
      <c r="AX57" s="424">
        <v>22686543</v>
      </c>
      <c r="AY57" s="424">
        <v>18250396</v>
      </c>
      <c r="AZ57" s="424">
        <v>852434</v>
      </c>
      <c r="BA57" s="472">
        <v>0.55418269060126846</v>
      </c>
      <c r="BB57" s="453">
        <v>1939</v>
      </c>
      <c r="BC57" s="390">
        <v>0</v>
      </c>
      <c r="BD57" s="236">
        <v>0</v>
      </c>
    </row>
    <row r="58" spans="1:56" s="121" customFormat="1" ht="14.25" customHeight="1">
      <c r="A58" s="104">
        <v>2023</v>
      </c>
      <c r="B58" s="105" t="s">
        <v>446</v>
      </c>
      <c r="C58" s="556" t="s">
        <v>411</v>
      </c>
      <c r="D58" s="106" t="s">
        <v>2415</v>
      </c>
      <c r="E58" s="150" t="s">
        <v>412</v>
      </c>
      <c r="F58" s="71" t="s">
        <v>78</v>
      </c>
      <c r="G58" s="68" t="s">
        <v>180</v>
      </c>
      <c r="H58" s="414"/>
      <c r="I58" s="417"/>
      <c r="J58" s="423">
        <v>0</v>
      </c>
      <c r="K58" s="462">
        <v>0</v>
      </c>
      <c r="L58" s="387">
        <v>371.54899999999998</v>
      </c>
      <c r="M58" s="416">
        <v>29.552</v>
      </c>
      <c r="N58" s="390"/>
      <c r="O58" s="387">
        <v>0</v>
      </c>
      <c r="P58" s="427">
        <v>2.4E-2</v>
      </c>
      <c r="Q58" s="387">
        <v>8495</v>
      </c>
      <c r="R58" s="417"/>
      <c r="S58" s="387">
        <v>204</v>
      </c>
      <c r="T58" s="390"/>
      <c r="U58" s="426">
        <v>21</v>
      </c>
      <c r="V58" s="416">
        <v>100</v>
      </c>
      <c r="W58" s="462">
        <v>726.101</v>
      </c>
      <c r="X58" s="416">
        <v>0</v>
      </c>
      <c r="Y58" s="416">
        <v>0</v>
      </c>
      <c r="Z58" s="391">
        <v>0</v>
      </c>
      <c r="AA58" s="416">
        <v>100</v>
      </c>
      <c r="AB58" s="462">
        <v>100</v>
      </c>
      <c r="AC58" s="387"/>
      <c r="AD58" s="387">
        <v>24</v>
      </c>
      <c r="AE58" s="388"/>
      <c r="AF58" s="392"/>
      <c r="AG58" s="387"/>
      <c r="AH58" s="388"/>
      <c r="AI58" s="388">
        <v>5</v>
      </c>
      <c r="AJ58" s="462">
        <v>29</v>
      </c>
      <c r="AK58" s="388">
        <v>48869.25</v>
      </c>
      <c r="AL58" s="388">
        <v>40367.271000000001</v>
      </c>
      <c r="AM58" s="388">
        <v>8501.9789999999994</v>
      </c>
      <c r="AN58" s="388">
        <v>412.346</v>
      </c>
      <c r="AO58" s="467">
        <v>0.82602599794349207</v>
      </c>
      <c r="AP58" s="468">
        <v>1138.4470000000001</v>
      </c>
      <c r="AQ58" s="468">
        <v>-1138.4470000000001</v>
      </c>
      <c r="AR58" s="393"/>
      <c r="AS58" s="394"/>
      <c r="AT58" s="394"/>
      <c r="AU58" s="395"/>
      <c r="AV58" s="471"/>
      <c r="AW58" s="388">
        <v>48869250</v>
      </c>
      <c r="AX58" s="424">
        <v>40367271</v>
      </c>
      <c r="AY58" s="424">
        <v>8501979</v>
      </c>
      <c r="AZ58" s="424">
        <v>412346</v>
      </c>
      <c r="BA58" s="472">
        <v>0.82602599794349207</v>
      </c>
      <c r="BB58" s="453">
        <v>2455</v>
      </c>
      <c r="BC58" s="390">
        <v>0</v>
      </c>
      <c r="BD58" s="236">
        <v>0</v>
      </c>
    </row>
    <row r="59" spans="1:56" s="121" customFormat="1" ht="14.25" customHeight="1">
      <c r="A59" s="104">
        <v>2023</v>
      </c>
      <c r="B59" s="105" t="s">
        <v>452</v>
      </c>
      <c r="C59" s="556" t="s">
        <v>417</v>
      </c>
      <c r="D59" s="106" t="s">
        <v>2415</v>
      </c>
      <c r="E59" s="150" t="s">
        <v>418</v>
      </c>
      <c r="F59" s="71" t="s">
        <v>78</v>
      </c>
      <c r="G59" s="68" t="s">
        <v>180</v>
      </c>
      <c r="H59" s="414"/>
      <c r="I59" s="417"/>
      <c r="J59" s="423">
        <v>0</v>
      </c>
      <c r="K59" s="462">
        <v>0</v>
      </c>
      <c r="L59" s="387">
        <v>248.12899999999999</v>
      </c>
      <c r="M59" s="416">
        <v>29.552</v>
      </c>
      <c r="N59" s="390"/>
      <c r="O59" s="387">
        <v>134.19999999999999</v>
      </c>
      <c r="P59" s="427">
        <v>2.4E-2</v>
      </c>
      <c r="Q59" s="387">
        <v>8495</v>
      </c>
      <c r="R59" s="417"/>
      <c r="S59" s="387">
        <v>204</v>
      </c>
      <c r="T59" s="390"/>
      <c r="U59" s="426">
        <v>21</v>
      </c>
      <c r="V59" s="416">
        <v>100</v>
      </c>
      <c r="W59" s="462">
        <v>736.88099999999997</v>
      </c>
      <c r="X59" s="416">
        <v>0</v>
      </c>
      <c r="Y59" s="416">
        <v>0</v>
      </c>
      <c r="Z59" s="391">
        <v>8</v>
      </c>
      <c r="AA59" s="416">
        <v>100</v>
      </c>
      <c r="AB59" s="462">
        <v>108</v>
      </c>
      <c r="AC59" s="387"/>
      <c r="AD59" s="387">
        <v>60</v>
      </c>
      <c r="AE59" s="388"/>
      <c r="AF59" s="392">
        <v>4</v>
      </c>
      <c r="AG59" s="387"/>
      <c r="AH59" s="388"/>
      <c r="AI59" s="388">
        <v>49</v>
      </c>
      <c r="AJ59" s="462">
        <v>113</v>
      </c>
      <c r="AK59" s="388">
        <v>41307</v>
      </c>
      <c r="AL59" s="388">
        <v>15448.817999999999</v>
      </c>
      <c r="AM59" s="388">
        <v>25858.182000000001</v>
      </c>
      <c r="AN59" s="388">
        <v>908.75400000000002</v>
      </c>
      <c r="AO59" s="467">
        <v>0.374</v>
      </c>
      <c r="AP59" s="468">
        <v>1645.635</v>
      </c>
      <c r="AQ59" s="468">
        <v>-1645.635</v>
      </c>
      <c r="AR59" s="393"/>
      <c r="AS59" s="394"/>
      <c r="AT59" s="394"/>
      <c r="AU59" s="395"/>
      <c r="AV59" s="471"/>
      <c r="AW59" s="388">
        <v>41307000</v>
      </c>
      <c r="AX59" s="424">
        <v>15448818</v>
      </c>
      <c r="AY59" s="424">
        <v>25858182</v>
      </c>
      <c r="AZ59" s="424">
        <v>908754</v>
      </c>
      <c r="BA59" s="472">
        <v>0.374</v>
      </c>
      <c r="BB59" s="453">
        <v>5105</v>
      </c>
      <c r="BC59" s="390">
        <v>10</v>
      </c>
      <c r="BD59" s="236">
        <v>0</v>
      </c>
    </row>
    <row r="60" spans="1:56" s="121" customFormat="1" ht="14.25" customHeight="1">
      <c r="A60" s="104">
        <v>2023</v>
      </c>
      <c r="B60" s="105" t="s">
        <v>453</v>
      </c>
      <c r="C60" s="556" t="s">
        <v>424</v>
      </c>
      <c r="D60" s="106" t="s">
        <v>2415</v>
      </c>
      <c r="E60" s="150" t="s">
        <v>425</v>
      </c>
      <c r="F60" s="71" t="s">
        <v>78</v>
      </c>
      <c r="G60" s="68" t="s">
        <v>180</v>
      </c>
      <c r="H60" s="414"/>
      <c r="I60" s="417"/>
      <c r="J60" s="423">
        <v>0</v>
      </c>
      <c r="K60" s="462">
        <v>0</v>
      </c>
      <c r="L60" s="387">
        <v>223.04900000000001</v>
      </c>
      <c r="M60" s="416">
        <v>29.552</v>
      </c>
      <c r="N60" s="390"/>
      <c r="O60" s="387">
        <v>0</v>
      </c>
      <c r="P60" s="427">
        <v>2.4E-2</v>
      </c>
      <c r="Q60" s="387">
        <v>8495</v>
      </c>
      <c r="R60" s="417"/>
      <c r="S60" s="387">
        <v>204</v>
      </c>
      <c r="T60" s="390"/>
      <c r="U60" s="426">
        <v>21</v>
      </c>
      <c r="V60" s="416">
        <v>100</v>
      </c>
      <c r="W60" s="462">
        <v>577.601</v>
      </c>
      <c r="X60" s="416">
        <v>0</v>
      </c>
      <c r="Y60" s="416">
        <v>0</v>
      </c>
      <c r="Z60" s="391">
        <v>46</v>
      </c>
      <c r="AA60" s="416">
        <v>100</v>
      </c>
      <c r="AB60" s="462">
        <v>146</v>
      </c>
      <c r="AC60" s="387"/>
      <c r="AD60" s="387"/>
      <c r="AE60" s="388"/>
      <c r="AF60" s="392"/>
      <c r="AG60" s="387">
        <v>120</v>
      </c>
      <c r="AH60" s="388"/>
      <c r="AI60" s="388">
        <v>25</v>
      </c>
      <c r="AJ60" s="462">
        <v>145</v>
      </c>
      <c r="AK60" s="388">
        <v>52504</v>
      </c>
      <c r="AL60" s="388">
        <v>36250.269</v>
      </c>
      <c r="AM60" s="388">
        <v>16253.731</v>
      </c>
      <c r="AN60" s="388">
        <v>1155.088</v>
      </c>
      <c r="AO60" s="467">
        <v>0.69042871019350904</v>
      </c>
      <c r="AP60" s="468">
        <v>1732.6889999999999</v>
      </c>
      <c r="AQ60" s="468">
        <v>-1732.6889999999999</v>
      </c>
      <c r="AR60" s="393"/>
      <c r="AS60" s="394"/>
      <c r="AT60" s="394"/>
      <c r="AU60" s="395"/>
      <c r="AV60" s="471"/>
      <c r="AW60" s="388">
        <v>52504000</v>
      </c>
      <c r="AX60" s="424">
        <v>36250269</v>
      </c>
      <c r="AY60" s="424">
        <v>16253731</v>
      </c>
      <c r="AZ60" s="424">
        <v>1155088</v>
      </c>
      <c r="BA60" s="472">
        <v>0.69042871019350904</v>
      </c>
      <c r="BB60" s="453">
        <v>3185</v>
      </c>
      <c r="BC60" s="390">
        <v>0</v>
      </c>
      <c r="BD60" s="236">
        <v>0.1</v>
      </c>
    </row>
    <row r="61" spans="1:56" s="121" customFormat="1" ht="14.25" customHeight="1">
      <c r="A61" s="104">
        <v>2023</v>
      </c>
      <c r="B61" s="105" t="s">
        <v>460</v>
      </c>
      <c r="C61" s="556" t="s">
        <v>430</v>
      </c>
      <c r="D61" s="106" t="s">
        <v>2415</v>
      </c>
      <c r="E61" s="150" t="s">
        <v>431</v>
      </c>
      <c r="F61" s="71" t="s">
        <v>78</v>
      </c>
      <c r="G61" s="68" t="s">
        <v>180</v>
      </c>
      <c r="H61" s="414"/>
      <c r="I61" s="417"/>
      <c r="J61" s="423">
        <v>94.7</v>
      </c>
      <c r="K61" s="462">
        <v>94.7</v>
      </c>
      <c r="L61" s="387">
        <v>109.935</v>
      </c>
      <c r="M61" s="416">
        <v>29.552</v>
      </c>
      <c r="N61" s="390"/>
      <c r="O61" s="387">
        <v>0</v>
      </c>
      <c r="P61" s="427">
        <v>2.4E-2</v>
      </c>
      <c r="Q61" s="387">
        <v>8495</v>
      </c>
      <c r="R61" s="417"/>
      <c r="S61" s="387">
        <v>204</v>
      </c>
      <c r="T61" s="390"/>
      <c r="U61" s="426">
        <v>21</v>
      </c>
      <c r="V61" s="416">
        <v>100</v>
      </c>
      <c r="W61" s="462">
        <v>464.48699999999997</v>
      </c>
      <c r="X61" s="416">
        <v>0</v>
      </c>
      <c r="Y61" s="416">
        <v>0</v>
      </c>
      <c r="Z61" s="391">
        <v>208</v>
      </c>
      <c r="AA61" s="416">
        <v>100</v>
      </c>
      <c r="AB61" s="462">
        <v>308</v>
      </c>
      <c r="AC61" s="387"/>
      <c r="AD61" s="387"/>
      <c r="AE61" s="388"/>
      <c r="AF61" s="392"/>
      <c r="AG61" s="387">
        <v>120</v>
      </c>
      <c r="AH61" s="388"/>
      <c r="AI61" s="388">
        <v>3</v>
      </c>
      <c r="AJ61" s="462">
        <v>123</v>
      </c>
      <c r="AK61" s="388">
        <v>96280</v>
      </c>
      <c r="AL61" s="388">
        <v>81497.494999999995</v>
      </c>
      <c r="AM61" s="388">
        <v>14782.504999999999</v>
      </c>
      <c r="AN61" s="388">
        <v>1644.874</v>
      </c>
      <c r="AO61" s="467">
        <v>0.84646338803489818</v>
      </c>
      <c r="AP61" s="468">
        <v>2109.3609999999999</v>
      </c>
      <c r="AQ61" s="468">
        <v>-2014.6609999999998</v>
      </c>
      <c r="AR61" s="393"/>
      <c r="AS61" s="394"/>
      <c r="AT61" s="394"/>
      <c r="AU61" s="395"/>
      <c r="AV61" s="471"/>
      <c r="AW61" s="388">
        <v>96280000</v>
      </c>
      <c r="AX61" s="424">
        <v>81497495</v>
      </c>
      <c r="AY61" s="424">
        <v>14782505</v>
      </c>
      <c r="AZ61" s="424">
        <v>1644874</v>
      </c>
      <c r="BA61" s="472">
        <v>0.84646338803489818</v>
      </c>
      <c r="BB61" s="453">
        <v>0</v>
      </c>
      <c r="BC61" s="390">
        <v>0</v>
      </c>
      <c r="BD61" s="236">
        <v>0</v>
      </c>
    </row>
    <row r="62" spans="1:56" s="121" customFormat="1" ht="14.25" customHeight="1">
      <c r="A62" s="104">
        <v>2023</v>
      </c>
      <c r="B62" s="105" t="s">
        <v>466</v>
      </c>
      <c r="C62" s="556" t="s">
        <v>439</v>
      </c>
      <c r="D62" s="106" t="s">
        <v>2415</v>
      </c>
      <c r="E62" s="150" t="s">
        <v>440</v>
      </c>
      <c r="F62" s="71" t="s">
        <v>78</v>
      </c>
      <c r="G62" s="68" t="s">
        <v>180</v>
      </c>
      <c r="H62" s="414"/>
      <c r="I62" s="417"/>
      <c r="J62" s="423">
        <v>0</v>
      </c>
      <c r="K62" s="462">
        <v>0</v>
      </c>
      <c r="L62" s="387">
        <v>0</v>
      </c>
      <c r="M62" s="416">
        <v>946.072</v>
      </c>
      <c r="N62" s="390"/>
      <c r="O62" s="387">
        <v>336.6</v>
      </c>
      <c r="P62" s="427">
        <v>2.4E-2</v>
      </c>
      <c r="Q62" s="387">
        <v>8495</v>
      </c>
      <c r="R62" s="417"/>
      <c r="S62" s="387">
        <v>204</v>
      </c>
      <c r="T62" s="390"/>
      <c r="U62" s="426">
        <v>8</v>
      </c>
      <c r="V62" s="416">
        <v>100</v>
      </c>
      <c r="W62" s="462">
        <v>1594.672</v>
      </c>
      <c r="X62" s="416">
        <v>0</v>
      </c>
      <c r="Y62" s="416">
        <v>0</v>
      </c>
      <c r="Z62" s="391">
        <v>120</v>
      </c>
      <c r="AA62" s="416">
        <v>100</v>
      </c>
      <c r="AB62" s="462">
        <v>220</v>
      </c>
      <c r="AC62" s="387"/>
      <c r="AD62" s="387"/>
      <c r="AE62" s="388"/>
      <c r="AF62" s="392"/>
      <c r="AG62" s="387">
        <v>120</v>
      </c>
      <c r="AH62" s="388"/>
      <c r="AI62" s="388">
        <v>3</v>
      </c>
      <c r="AJ62" s="462">
        <v>123</v>
      </c>
      <c r="AK62" s="388">
        <v>158400.9</v>
      </c>
      <c r="AL62" s="388">
        <v>80150.837</v>
      </c>
      <c r="AM62" s="388">
        <v>78250.062999999995</v>
      </c>
      <c r="AN62" s="388">
        <v>3484.819</v>
      </c>
      <c r="AO62" s="467">
        <v>0.50599988383904382</v>
      </c>
      <c r="AP62" s="468">
        <v>5079.491</v>
      </c>
      <c r="AQ62" s="468">
        <v>-5079.491</v>
      </c>
      <c r="AR62" s="393"/>
      <c r="AS62" s="394"/>
      <c r="AT62" s="394"/>
      <c r="AU62" s="395"/>
      <c r="AV62" s="471"/>
      <c r="AW62" s="388">
        <v>158400900</v>
      </c>
      <c r="AX62" s="424">
        <v>80150837</v>
      </c>
      <c r="AY62" s="424">
        <v>78250063</v>
      </c>
      <c r="AZ62" s="424">
        <v>3484819</v>
      </c>
      <c r="BA62" s="472">
        <v>0.50599988383904382</v>
      </c>
      <c r="BB62" s="453">
        <v>0</v>
      </c>
      <c r="BC62" s="390">
        <v>0</v>
      </c>
      <c r="BD62" s="236">
        <v>0</v>
      </c>
    </row>
    <row r="63" spans="1:56" s="121" customFormat="1" ht="14.25" customHeight="1">
      <c r="A63" s="104">
        <v>2023</v>
      </c>
      <c r="B63" s="105" t="s">
        <v>56</v>
      </c>
      <c r="C63" s="556" t="s">
        <v>447</v>
      </c>
      <c r="D63" s="106" t="s">
        <v>2415</v>
      </c>
      <c r="E63" s="150" t="s">
        <v>252</v>
      </c>
      <c r="F63" s="71" t="s">
        <v>78</v>
      </c>
      <c r="G63" s="68" t="s">
        <v>180</v>
      </c>
      <c r="H63" s="414"/>
      <c r="I63" s="417"/>
      <c r="J63" s="423">
        <v>0</v>
      </c>
      <c r="K63" s="462">
        <v>0</v>
      </c>
      <c r="L63" s="387">
        <v>777.16700000000003</v>
      </c>
      <c r="M63" s="416">
        <v>29.552</v>
      </c>
      <c r="N63" s="390"/>
      <c r="O63" s="387">
        <v>253.99</v>
      </c>
      <c r="P63" s="427">
        <v>2.4E-2</v>
      </c>
      <c r="Q63" s="387">
        <v>8495</v>
      </c>
      <c r="R63" s="417"/>
      <c r="S63" s="387">
        <v>204</v>
      </c>
      <c r="T63" s="390"/>
      <c r="U63" s="426">
        <v>21</v>
      </c>
      <c r="V63" s="416">
        <v>100</v>
      </c>
      <c r="W63" s="462">
        <v>1385.7090000000001</v>
      </c>
      <c r="X63" s="416">
        <v>0</v>
      </c>
      <c r="Y63" s="416">
        <v>0</v>
      </c>
      <c r="Z63" s="416">
        <v>86</v>
      </c>
      <c r="AA63" s="416">
        <v>100</v>
      </c>
      <c r="AB63" s="462">
        <v>186</v>
      </c>
      <c r="AC63" s="387"/>
      <c r="AD63" s="387"/>
      <c r="AE63" s="388"/>
      <c r="AF63" s="392"/>
      <c r="AG63" s="387"/>
      <c r="AH63" s="388"/>
      <c r="AI63" s="388">
        <v>85</v>
      </c>
      <c r="AJ63" s="462">
        <v>85</v>
      </c>
      <c r="AK63" s="388">
        <v>100815.75</v>
      </c>
      <c r="AL63" s="388">
        <v>88112.956000000006</v>
      </c>
      <c r="AM63" s="388">
        <v>12702.794</v>
      </c>
      <c r="AN63" s="388">
        <v>4637.5240000000003</v>
      </c>
      <c r="AO63" s="467">
        <v>0.87399990576869191</v>
      </c>
      <c r="AP63" s="468">
        <v>6023.2330000000002</v>
      </c>
      <c r="AQ63" s="468">
        <v>-6023.2330000000002</v>
      </c>
      <c r="AR63" s="393"/>
      <c r="AS63" s="394"/>
      <c r="AT63" s="394"/>
      <c r="AU63" s="395"/>
      <c r="AV63" s="471"/>
      <c r="AW63" s="388">
        <v>100815750</v>
      </c>
      <c r="AX63" s="424">
        <v>88112956</v>
      </c>
      <c r="AY63" s="424">
        <v>12702794</v>
      </c>
      <c r="AZ63" s="424">
        <v>4637524</v>
      </c>
      <c r="BA63" s="472">
        <v>0.87399990576869191</v>
      </c>
      <c r="BB63" s="453">
        <v>12824</v>
      </c>
      <c r="BC63" s="390">
        <v>0</v>
      </c>
      <c r="BD63" s="236">
        <v>0</v>
      </c>
    </row>
    <row r="64" spans="1:56" s="121" customFormat="1" ht="14.25" customHeight="1">
      <c r="A64" s="104">
        <v>2023</v>
      </c>
      <c r="B64" s="105" t="s">
        <v>475</v>
      </c>
      <c r="C64" s="556" t="s">
        <v>454</v>
      </c>
      <c r="D64" s="106" t="s">
        <v>2415</v>
      </c>
      <c r="E64" s="150" t="s">
        <v>455</v>
      </c>
      <c r="F64" s="71" t="s">
        <v>78</v>
      </c>
      <c r="G64" s="68" t="s">
        <v>180</v>
      </c>
      <c r="H64" s="414"/>
      <c r="I64" s="417"/>
      <c r="J64" s="423">
        <v>9.8000000000000007</v>
      </c>
      <c r="K64" s="462">
        <v>9.8000000000000007</v>
      </c>
      <c r="L64" s="387">
        <v>322.91800000000001</v>
      </c>
      <c r="M64" s="416">
        <v>29.552</v>
      </c>
      <c r="N64" s="390"/>
      <c r="O64" s="387">
        <v>0</v>
      </c>
      <c r="P64" s="427">
        <v>2.4E-2</v>
      </c>
      <c r="Q64" s="387">
        <v>8495</v>
      </c>
      <c r="R64" s="417"/>
      <c r="S64" s="387">
        <v>204</v>
      </c>
      <c r="T64" s="390"/>
      <c r="U64" s="426">
        <v>21</v>
      </c>
      <c r="V64" s="416">
        <v>100</v>
      </c>
      <c r="W64" s="462">
        <v>677.47</v>
      </c>
      <c r="X64" s="416">
        <v>0</v>
      </c>
      <c r="Y64" s="416">
        <v>0</v>
      </c>
      <c r="Z64" s="391">
        <v>0</v>
      </c>
      <c r="AA64" s="416">
        <v>100</v>
      </c>
      <c r="AB64" s="462">
        <v>100</v>
      </c>
      <c r="AC64" s="387"/>
      <c r="AD64" s="387">
        <v>60</v>
      </c>
      <c r="AE64" s="388"/>
      <c r="AF64" s="392"/>
      <c r="AG64" s="387"/>
      <c r="AH64" s="388"/>
      <c r="AI64" s="388">
        <v>72</v>
      </c>
      <c r="AJ64" s="462">
        <v>132</v>
      </c>
      <c r="AK64" s="388">
        <v>42144.9</v>
      </c>
      <c r="AL64" s="388">
        <v>38014.667000000001</v>
      </c>
      <c r="AM64" s="388">
        <v>4130.2330000000002</v>
      </c>
      <c r="AN64" s="388">
        <v>927.18700000000001</v>
      </c>
      <c r="AO64" s="467">
        <v>0.90199922173264147</v>
      </c>
      <c r="AP64" s="468">
        <v>1604.6570000000002</v>
      </c>
      <c r="AQ64" s="468">
        <v>-1594.8570000000002</v>
      </c>
      <c r="AR64" s="393"/>
      <c r="AS64" s="394"/>
      <c r="AT64" s="394"/>
      <c r="AU64" s="395"/>
      <c r="AV64" s="471"/>
      <c r="AW64" s="388">
        <v>42144900</v>
      </c>
      <c r="AX64" s="424">
        <v>38014667</v>
      </c>
      <c r="AY64" s="424">
        <v>4130233</v>
      </c>
      <c r="AZ64" s="424">
        <v>927187</v>
      </c>
      <c r="BA64" s="472">
        <v>0.90199922173264147</v>
      </c>
      <c r="BB64" s="453">
        <v>1384</v>
      </c>
      <c r="BC64" s="390">
        <v>1</v>
      </c>
      <c r="BD64" s="236">
        <v>0</v>
      </c>
    </row>
    <row r="65" spans="1:56" s="121" customFormat="1" ht="14.25" customHeight="1">
      <c r="A65" s="104">
        <v>2023</v>
      </c>
      <c r="B65" s="105" t="s">
        <v>481</v>
      </c>
      <c r="C65" s="556" t="s">
        <v>461</v>
      </c>
      <c r="D65" s="106" t="s">
        <v>2415</v>
      </c>
      <c r="E65" s="150" t="s">
        <v>462</v>
      </c>
      <c r="F65" s="71" t="s">
        <v>78</v>
      </c>
      <c r="G65" s="68" t="s">
        <v>180</v>
      </c>
      <c r="H65" s="414"/>
      <c r="I65" s="417"/>
      <c r="J65" s="423">
        <v>0</v>
      </c>
      <c r="K65" s="462">
        <v>0</v>
      </c>
      <c r="L65" s="387">
        <v>174.40700000000001</v>
      </c>
      <c r="M65" s="416">
        <v>29.552</v>
      </c>
      <c r="N65" s="390"/>
      <c r="O65" s="387">
        <v>0</v>
      </c>
      <c r="P65" s="427">
        <v>2.4E-2</v>
      </c>
      <c r="Q65" s="387">
        <v>8495</v>
      </c>
      <c r="R65" s="417"/>
      <c r="S65" s="387">
        <v>204</v>
      </c>
      <c r="T65" s="390"/>
      <c r="U65" s="426">
        <v>21</v>
      </c>
      <c r="V65" s="416">
        <v>100</v>
      </c>
      <c r="W65" s="462">
        <v>528.95900000000006</v>
      </c>
      <c r="X65" s="416">
        <v>0</v>
      </c>
      <c r="Y65" s="416">
        <v>0</v>
      </c>
      <c r="Z65" s="416">
        <v>38</v>
      </c>
      <c r="AA65" s="416">
        <v>100</v>
      </c>
      <c r="AB65" s="462">
        <v>138</v>
      </c>
      <c r="AC65" s="387"/>
      <c r="AD65" s="387">
        <v>70</v>
      </c>
      <c r="AE65" s="388"/>
      <c r="AF65" s="392"/>
      <c r="AG65" s="387">
        <v>100</v>
      </c>
      <c r="AH65" s="388"/>
      <c r="AI65" s="388">
        <v>10</v>
      </c>
      <c r="AJ65" s="462">
        <v>180</v>
      </c>
      <c r="AK65" s="388">
        <v>55003.383000000002</v>
      </c>
      <c r="AL65" s="388">
        <v>36781.947999999997</v>
      </c>
      <c r="AM65" s="388">
        <v>18221.435000000001</v>
      </c>
      <c r="AN65" s="388">
        <v>1459.171</v>
      </c>
      <c r="AO65" s="467">
        <v>0.66872155845395909</v>
      </c>
      <c r="AP65" s="468">
        <v>1988.13</v>
      </c>
      <c r="AQ65" s="468">
        <v>-1988.13</v>
      </c>
      <c r="AR65" s="393"/>
      <c r="AS65" s="394"/>
      <c r="AT65" s="394"/>
      <c r="AU65" s="395"/>
      <c r="AV65" s="471"/>
      <c r="AW65" s="388">
        <v>55003383</v>
      </c>
      <c r="AX65" s="424">
        <v>36781948</v>
      </c>
      <c r="AY65" s="424">
        <v>18221435</v>
      </c>
      <c r="AZ65" s="424">
        <v>1459171</v>
      </c>
      <c r="BA65" s="472">
        <v>0.66872155845395909</v>
      </c>
      <c r="BB65" s="453">
        <v>1660</v>
      </c>
      <c r="BC65" s="390">
        <v>0</v>
      </c>
      <c r="BD65" s="236">
        <v>0</v>
      </c>
    </row>
    <row r="66" spans="1:56" s="121" customFormat="1" ht="14.25" customHeight="1">
      <c r="A66" s="104">
        <v>2023</v>
      </c>
      <c r="B66" s="105" t="s">
        <v>486</v>
      </c>
      <c r="C66" s="556" t="s">
        <v>467</v>
      </c>
      <c r="D66" s="106" t="s">
        <v>2415</v>
      </c>
      <c r="E66" s="150" t="s">
        <v>468</v>
      </c>
      <c r="F66" s="71" t="s">
        <v>78</v>
      </c>
      <c r="G66" s="68" t="s">
        <v>180</v>
      </c>
      <c r="H66" s="414"/>
      <c r="I66" s="417"/>
      <c r="J66" s="423">
        <v>0</v>
      </c>
      <c r="K66" s="462">
        <v>0</v>
      </c>
      <c r="L66" s="387">
        <v>201.642</v>
      </c>
      <c r="M66" s="416">
        <v>29.552</v>
      </c>
      <c r="N66" s="390"/>
      <c r="O66" s="387">
        <v>5.28</v>
      </c>
      <c r="P66" s="427">
        <v>2.4E-2</v>
      </c>
      <c r="Q66" s="387">
        <v>8495</v>
      </c>
      <c r="R66" s="417"/>
      <c r="S66" s="387">
        <v>204</v>
      </c>
      <c r="T66" s="390"/>
      <c r="U66" s="426">
        <v>21</v>
      </c>
      <c r="V66" s="416">
        <v>0</v>
      </c>
      <c r="W66" s="462">
        <v>461.47399999999999</v>
      </c>
      <c r="X66" s="416">
        <v>0</v>
      </c>
      <c r="Y66" s="416">
        <v>0</v>
      </c>
      <c r="Z66" s="391"/>
      <c r="AA66" s="416"/>
      <c r="AB66" s="462">
        <v>0</v>
      </c>
      <c r="AC66" s="387"/>
      <c r="AD66" s="387"/>
      <c r="AE66" s="388"/>
      <c r="AF66" s="392"/>
      <c r="AG66" s="387"/>
      <c r="AH66" s="388"/>
      <c r="AI66" s="388"/>
      <c r="AJ66" s="462">
        <v>0</v>
      </c>
      <c r="AK66" s="388">
        <v>48356.453000000001</v>
      </c>
      <c r="AL66" s="388">
        <v>29777.683000000001</v>
      </c>
      <c r="AM66" s="388">
        <v>18578.77</v>
      </c>
      <c r="AN66" s="388">
        <v>1150.845</v>
      </c>
      <c r="AO66" s="467">
        <v>0.61579543478923071</v>
      </c>
      <c r="AP66" s="468">
        <v>1612.319</v>
      </c>
      <c r="AQ66" s="468">
        <v>-1612.319</v>
      </c>
      <c r="AR66" s="393"/>
      <c r="AS66" s="394"/>
      <c r="AT66" s="394"/>
      <c r="AU66" s="395"/>
      <c r="AV66" s="471"/>
      <c r="AW66" s="388">
        <v>48356453</v>
      </c>
      <c r="AX66" s="424">
        <v>29777683</v>
      </c>
      <c r="AY66" s="424">
        <v>18578770</v>
      </c>
      <c r="AZ66" s="424">
        <v>1150845</v>
      </c>
      <c r="BA66" s="472">
        <v>0.61579543478923071</v>
      </c>
      <c r="BB66" s="453">
        <v>3013</v>
      </c>
      <c r="BC66" s="390">
        <v>0</v>
      </c>
      <c r="BD66" s="236">
        <v>0</v>
      </c>
    </row>
    <row r="67" spans="1:56" s="121" customFormat="1" ht="14.25" customHeight="1">
      <c r="A67" s="104">
        <v>2023</v>
      </c>
      <c r="B67" s="105" t="s">
        <v>492</v>
      </c>
      <c r="C67" s="556" t="s">
        <v>471</v>
      </c>
      <c r="D67" s="106" t="s">
        <v>2415</v>
      </c>
      <c r="E67" s="150" t="s">
        <v>472</v>
      </c>
      <c r="F67" s="71" t="s">
        <v>78</v>
      </c>
      <c r="G67" s="68" t="s">
        <v>180</v>
      </c>
      <c r="H67" s="414"/>
      <c r="I67" s="417"/>
      <c r="J67" s="423">
        <v>0</v>
      </c>
      <c r="K67" s="462">
        <v>0</v>
      </c>
      <c r="L67" s="387">
        <v>822.83799999999997</v>
      </c>
      <c r="M67" s="416">
        <v>29.552</v>
      </c>
      <c r="N67" s="390"/>
      <c r="O67" s="387">
        <v>100.54</v>
      </c>
      <c r="P67" s="427">
        <v>2.4E-2</v>
      </c>
      <c r="Q67" s="387">
        <v>8495</v>
      </c>
      <c r="R67" s="417"/>
      <c r="S67" s="387">
        <v>204</v>
      </c>
      <c r="T67" s="390"/>
      <c r="U67" s="426">
        <v>21</v>
      </c>
      <c r="V67" s="416">
        <v>200</v>
      </c>
      <c r="W67" s="462">
        <v>1377.9299999999998</v>
      </c>
      <c r="X67" s="416">
        <v>0</v>
      </c>
      <c r="Y67" s="416">
        <v>0</v>
      </c>
      <c r="Z67" s="416">
        <v>432</v>
      </c>
      <c r="AA67" s="416">
        <v>200</v>
      </c>
      <c r="AB67" s="462">
        <v>632</v>
      </c>
      <c r="AC67" s="387"/>
      <c r="AD67" s="387">
        <v>36</v>
      </c>
      <c r="AE67" s="388"/>
      <c r="AF67" s="392"/>
      <c r="AG67" s="387">
        <v>370</v>
      </c>
      <c r="AH67" s="388"/>
      <c r="AI67" s="388">
        <v>212</v>
      </c>
      <c r="AJ67" s="462">
        <v>618</v>
      </c>
      <c r="AK67" s="388">
        <v>220896.77600000001</v>
      </c>
      <c r="AL67" s="388">
        <v>197503.50399999999</v>
      </c>
      <c r="AM67" s="388">
        <v>23393.272000000001</v>
      </c>
      <c r="AN67" s="388">
        <v>718.09400000000005</v>
      </c>
      <c r="AO67" s="467">
        <v>0.89409862641001148</v>
      </c>
      <c r="AP67" s="468">
        <v>2096.0239999999999</v>
      </c>
      <c r="AQ67" s="468">
        <v>-2096.0239999999999</v>
      </c>
      <c r="AR67" s="393"/>
      <c r="AS67" s="394"/>
      <c r="AT67" s="394"/>
      <c r="AU67" s="395"/>
      <c r="AV67" s="471"/>
      <c r="AW67" s="388">
        <v>220896776</v>
      </c>
      <c r="AX67" s="424">
        <v>197503504</v>
      </c>
      <c r="AY67" s="424">
        <v>23393272</v>
      </c>
      <c r="AZ67" s="424">
        <v>718094</v>
      </c>
      <c r="BA67" s="472">
        <v>0.89409862641001148</v>
      </c>
      <c r="BB67" s="453">
        <v>14687</v>
      </c>
      <c r="BC67" s="390">
        <v>3</v>
      </c>
      <c r="BD67" s="236">
        <v>0</v>
      </c>
    </row>
    <row r="68" spans="1:56" s="121" customFormat="1" ht="14.25" customHeight="1">
      <c r="A68" s="104">
        <v>2023</v>
      </c>
      <c r="B68" s="105" t="s">
        <v>499</v>
      </c>
      <c r="C68" s="556" t="s">
        <v>476</v>
      </c>
      <c r="D68" s="106" t="s">
        <v>2415</v>
      </c>
      <c r="E68" s="150" t="s">
        <v>477</v>
      </c>
      <c r="F68" s="71" t="s">
        <v>78</v>
      </c>
      <c r="G68" s="68" t="s">
        <v>180</v>
      </c>
      <c r="H68" s="414"/>
      <c r="I68" s="417"/>
      <c r="J68" s="423">
        <v>0</v>
      </c>
      <c r="K68" s="462">
        <v>0</v>
      </c>
      <c r="L68" s="387">
        <v>489.13799999999998</v>
      </c>
      <c r="M68" s="416">
        <v>88.456999999999994</v>
      </c>
      <c r="N68" s="390"/>
      <c r="O68" s="387">
        <v>108.46</v>
      </c>
      <c r="P68" s="427">
        <v>2.4E-2</v>
      </c>
      <c r="Q68" s="387">
        <v>8495</v>
      </c>
      <c r="R68" s="417"/>
      <c r="S68" s="387">
        <v>204</v>
      </c>
      <c r="T68" s="390"/>
      <c r="U68" s="426">
        <v>21</v>
      </c>
      <c r="V68" s="416">
        <v>100</v>
      </c>
      <c r="W68" s="462">
        <v>1011.0550000000001</v>
      </c>
      <c r="X68" s="416">
        <v>0</v>
      </c>
      <c r="Y68" s="416">
        <v>0</v>
      </c>
      <c r="Z68" s="416">
        <v>42</v>
      </c>
      <c r="AA68" s="416">
        <v>100</v>
      </c>
      <c r="AB68" s="462">
        <v>142</v>
      </c>
      <c r="AC68" s="387"/>
      <c r="AD68" s="387"/>
      <c r="AE68" s="388"/>
      <c r="AF68" s="392"/>
      <c r="AG68" s="387"/>
      <c r="AH68" s="388"/>
      <c r="AI68" s="388"/>
      <c r="AJ68" s="462">
        <v>0</v>
      </c>
      <c r="AK68" s="388">
        <v>92057.5</v>
      </c>
      <c r="AL68" s="388">
        <v>83547.375</v>
      </c>
      <c r="AM68" s="388">
        <v>8510.125</v>
      </c>
      <c r="AN68" s="388">
        <v>440.78300000000002</v>
      </c>
      <c r="AO68" s="467">
        <v>0.90755641854275859</v>
      </c>
      <c r="AP68" s="468">
        <v>1451.8380000000002</v>
      </c>
      <c r="AQ68" s="468">
        <v>-1451.8380000000002</v>
      </c>
      <c r="AR68" s="393"/>
      <c r="AS68" s="394"/>
      <c r="AT68" s="394"/>
      <c r="AU68" s="395"/>
      <c r="AV68" s="471"/>
      <c r="AW68" s="388">
        <v>92057500</v>
      </c>
      <c r="AX68" s="424">
        <v>83547375</v>
      </c>
      <c r="AY68" s="424">
        <v>8510125</v>
      </c>
      <c r="AZ68" s="424">
        <v>440783</v>
      </c>
      <c r="BA68" s="472">
        <v>0.90755641854275859</v>
      </c>
      <c r="BB68" s="453">
        <v>10248</v>
      </c>
      <c r="BC68" s="390">
        <v>0</v>
      </c>
      <c r="BD68" s="236">
        <v>33.299999999999997</v>
      </c>
    </row>
    <row r="69" spans="1:56" s="121" customFormat="1" ht="14.25" customHeight="1">
      <c r="A69" s="104">
        <v>2023</v>
      </c>
      <c r="B69" s="105" t="s">
        <v>505</v>
      </c>
      <c r="C69" s="556" t="s">
        <v>482</v>
      </c>
      <c r="D69" s="106" t="s">
        <v>2415</v>
      </c>
      <c r="E69" s="150" t="s">
        <v>483</v>
      </c>
      <c r="F69" s="71" t="s">
        <v>78</v>
      </c>
      <c r="G69" s="68" t="s">
        <v>180</v>
      </c>
      <c r="H69" s="414"/>
      <c r="I69" s="417"/>
      <c r="J69" s="423">
        <v>0</v>
      </c>
      <c r="K69" s="462">
        <v>0</v>
      </c>
      <c r="L69" s="387">
        <v>124.587</v>
      </c>
      <c r="M69" s="416">
        <v>29.552</v>
      </c>
      <c r="N69" s="390"/>
      <c r="O69" s="387">
        <v>5.28</v>
      </c>
      <c r="P69" s="427">
        <v>2.4E-2</v>
      </c>
      <c r="Q69" s="387">
        <v>8495</v>
      </c>
      <c r="R69" s="417"/>
      <c r="S69" s="387">
        <v>204</v>
      </c>
      <c r="T69" s="390"/>
      <c r="U69" s="426">
        <v>21</v>
      </c>
      <c r="V69" s="416">
        <v>100</v>
      </c>
      <c r="W69" s="462">
        <v>484.41899999999998</v>
      </c>
      <c r="X69" s="416">
        <v>0</v>
      </c>
      <c r="Y69" s="416">
        <v>0</v>
      </c>
      <c r="Z69" s="416">
        <v>0</v>
      </c>
      <c r="AA69" s="416">
        <v>100</v>
      </c>
      <c r="AB69" s="462">
        <v>100</v>
      </c>
      <c r="AC69" s="387"/>
      <c r="AD69" s="387"/>
      <c r="AE69" s="388"/>
      <c r="AF69" s="392"/>
      <c r="AG69" s="387">
        <v>10</v>
      </c>
      <c r="AH69" s="388"/>
      <c r="AI69" s="388">
        <v>122</v>
      </c>
      <c r="AJ69" s="462">
        <v>132</v>
      </c>
      <c r="AK69" s="388">
        <v>37489.5</v>
      </c>
      <c r="AL69" s="388">
        <v>30977.694</v>
      </c>
      <c r="AM69" s="388">
        <v>6511.8059999999996</v>
      </c>
      <c r="AN69" s="388">
        <v>824.76900000000001</v>
      </c>
      <c r="AO69" s="467">
        <v>0.8263032048973713</v>
      </c>
      <c r="AP69" s="468">
        <v>1309.1880000000001</v>
      </c>
      <c r="AQ69" s="468">
        <v>-1309.1880000000001</v>
      </c>
      <c r="AR69" s="393"/>
      <c r="AS69" s="394"/>
      <c r="AT69" s="394"/>
      <c r="AU69" s="395"/>
      <c r="AV69" s="471"/>
      <c r="AW69" s="388">
        <v>37489500</v>
      </c>
      <c r="AX69" s="424">
        <v>30977694</v>
      </c>
      <c r="AY69" s="424">
        <v>6511806</v>
      </c>
      <c r="AZ69" s="424">
        <v>824769</v>
      </c>
      <c r="BA69" s="472">
        <v>0.8263032048973713</v>
      </c>
      <c r="BB69" s="453">
        <v>2040</v>
      </c>
      <c r="BC69" s="390">
        <v>0</v>
      </c>
      <c r="BD69" s="236">
        <v>0</v>
      </c>
    </row>
    <row r="70" spans="1:56" s="121" customFormat="1" ht="14.25" customHeight="1">
      <c r="A70" s="104">
        <v>2023</v>
      </c>
      <c r="B70" s="105" t="s">
        <v>513</v>
      </c>
      <c r="C70" s="556" t="s">
        <v>487</v>
      </c>
      <c r="D70" s="106" t="s">
        <v>2415</v>
      </c>
      <c r="E70" s="150" t="s">
        <v>488</v>
      </c>
      <c r="F70" s="71" t="s">
        <v>78</v>
      </c>
      <c r="G70" s="68" t="s">
        <v>180</v>
      </c>
      <c r="H70" s="414"/>
      <c r="I70" s="417"/>
      <c r="J70" s="423">
        <v>2.2000000000000002</v>
      </c>
      <c r="K70" s="462">
        <v>2.2000000000000002</v>
      </c>
      <c r="L70" s="387">
        <v>467.75099999999998</v>
      </c>
      <c r="M70" s="416">
        <v>29.552</v>
      </c>
      <c r="N70" s="390"/>
      <c r="O70" s="387">
        <v>55</v>
      </c>
      <c r="P70" s="427">
        <v>2.4E-2</v>
      </c>
      <c r="Q70" s="387">
        <v>8495</v>
      </c>
      <c r="R70" s="417"/>
      <c r="S70" s="387">
        <v>204</v>
      </c>
      <c r="T70" s="390"/>
      <c r="U70" s="426">
        <v>21</v>
      </c>
      <c r="V70" s="416">
        <v>100</v>
      </c>
      <c r="W70" s="462">
        <v>877.303</v>
      </c>
      <c r="X70" s="416">
        <v>0</v>
      </c>
      <c r="Y70" s="416">
        <v>0</v>
      </c>
      <c r="Z70" s="391">
        <v>270</v>
      </c>
      <c r="AA70" s="416">
        <v>100</v>
      </c>
      <c r="AB70" s="462">
        <v>370</v>
      </c>
      <c r="AC70" s="387"/>
      <c r="AD70" s="387">
        <v>150</v>
      </c>
      <c r="AE70" s="388"/>
      <c r="AF70" s="392"/>
      <c r="AG70" s="387"/>
      <c r="AH70" s="388"/>
      <c r="AI70" s="388">
        <v>198</v>
      </c>
      <c r="AJ70" s="462">
        <v>348</v>
      </c>
      <c r="AK70" s="388">
        <v>83334.100000000006</v>
      </c>
      <c r="AL70" s="388">
        <v>80765.903999999995</v>
      </c>
      <c r="AM70" s="388">
        <v>2568.1959999999999</v>
      </c>
      <c r="AN70" s="388">
        <v>654.255</v>
      </c>
      <c r="AO70" s="467">
        <v>0.96918193152623</v>
      </c>
      <c r="AP70" s="468">
        <v>1531.558</v>
      </c>
      <c r="AQ70" s="468">
        <v>-1529.3579999999999</v>
      </c>
      <c r="AR70" s="393"/>
      <c r="AS70" s="394"/>
      <c r="AT70" s="394"/>
      <c r="AU70" s="395"/>
      <c r="AV70" s="471"/>
      <c r="AW70" s="388">
        <v>83334100</v>
      </c>
      <c r="AX70" s="424">
        <v>80765904</v>
      </c>
      <c r="AY70" s="424">
        <v>2568196</v>
      </c>
      <c r="AZ70" s="424">
        <v>654255</v>
      </c>
      <c r="BA70" s="472">
        <v>0.96918193152623</v>
      </c>
      <c r="BB70" s="453">
        <v>6688</v>
      </c>
      <c r="BC70" s="390">
        <v>7</v>
      </c>
      <c r="BD70" s="236">
        <v>0</v>
      </c>
    </row>
    <row r="71" spans="1:56" s="121" customFormat="1" ht="14.25" customHeight="1">
      <c r="A71" s="104">
        <v>2023</v>
      </c>
      <c r="B71" s="105" t="s">
        <v>518</v>
      </c>
      <c r="C71" s="556" t="s">
        <v>493</v>
      </c>
      <c r="D71" s="106" t="s">
        <v>2415</v>
      </c>
      <c r="E71" s="150" t="s">
        <v>494</v>
      </c>
      <c r="F71" s="71" t="s">
        <v>78</v>
      </c>
      <c r="G71" s="68" t="s">
        <v>180</v>
      </c>
      <c r="H71" s="414"/>
      <c r="I71" s="417"/>
      <c r="J71" s="423">
        <v>0</v>
      </c>
      <c r="K71" s="462">
        <v>0</v>
      </c>
      <c r="L71" s="387">
        <v>471.09100000000001</v>
      </c>
      <c r="M71" s="416">
        <v>29.552</v>
      </c>
      <c r="N71" s="390"/>
      <c r="O71" s="387">
        <v>0</v>
      </c>
      <c r="P71" s="427">
        <v>2.4E-2</v>
      </c>
      <c r="Q71" s="387">
        <v>8495</v>
      </c>
      <c r="R71" s="417"/>
      <c r="S71" s="387">
        <v>204</v>
      </c>
      <c r="T71" s="390"/>
      <c r="U71" s="426">
        <v>15</v>
      </c>
      <c r="V71" s="416">
        <v>100</v>
      </c>
      <c r="W71" s="462">
        <v>819.64300000000003</v>
      </c>
      <c r="X71" s="416">
        <v>0</v>
      </c>
      <c r="Y71" s="416">
        <v>0</v>
      </c>
      <c r="Z71" s="391">
        <v>1</v>
      </c>
      <c r="AA71" s="416">
        <v>100</v>
      </c>
      <c r="AB71" s="462">
        <v>101</v>
      </c>
      <c r="AC71" s="387"/>
      <c r="AD71" s="387"/>
      <c r="AE71" s="388"/>
      <c r="AF71" s="392"/>
      <c r="AG71" s="387">
        <v>105</v>
      </c>
      <c r="AH71" s="388"/>
      <c r="AI71" s="388">
        <v>8</v>
      </c>
      <c r="AJ71" s="462">
        <v>113</v>
      </c>
      <c r="AK71" s="388">
        <v>100172.7</v>
      </c>
      <c r="AL71" s="388">
        <v>82951.123999999996</v>
      </c>
      <c r="AM71" s="388">
        <v>17221.576000000001</v>
      </c>
      <c r="AN71" s="388">
        <v>1862.3810000000001</v>
      </c>
      <c r="AO71" s="467">
        <v>0.8280811438645459</v>
      </c>
      <c r="AP71" s="468">
        <v>2682.0240000000003</v>
      </c>
      <c r="AQ71" s="468">
        <v>-2682.0240000000003</v>
      </c>
      <c r="AR71" s="393"/>
      <c r="AS71" s="394"/>
      <c r="AT71" s="394"/>
      <c r="AU71" s="395"/>
      <c r="AV71" s="471"/>
      <c r="AW71" s="388">
        <v>100172700</v>
      </c>
      <c r="AX71" s="424">
        <v>82951124</v>
      </c>
      <c r="AY71" s="424">
        <v>17221576</v>
      </c>
      <c r="AZ71" s="424">
        <v>1862381</v>
      </c>
      <c r="BA71" s="472">
        <v>0.8280811438645459</v>
      </c>
      <c r="BB71" s="453">
        <v>6676</v>
      </c>
      <c r="BC71" s="390">
        <v>37</v>
      </c>
      <c r="BD71" s="236">
        <v>0</v>
      </c>
    </row>
    <row r="72" spans="1:56" s="121" customFormat="1" ht="14.25" customHeight="1">
      <c r="A72" s="104">
        <v>2023</v>
      </c>
      <c r="B72" s="105" t="s">
        <v>523</v>
      </c>
      <c r="C72" s="556" t="s">
        <v>500</v>
      </c>
      <c r="D72" s="106" t="s">
        <v>2415</v>
      </c>
      <c r="E72" s="150" t="s">
        <v>501</v>
      </c>
      <c r="F72" s="71" t="s">
        <v>78</v>
      </c>
      <c r="G72" s="68" t="s">
        <v>180</v>
      </c>
      <c r="H72" s="414"/>
      <c r="I72" s="417"/>
      <c r="J72" s="423">
        <v>120.35</v>
      </c>
      <c r="K72" s="462">
        <v>120.35</v>
      </c>
      <c r="L72" s="387">
        <v>254.28399999999999</v>
      </c>
      <c r="M72" s="416">
        <v>29.552</v>
      </c>
      <c r="N72" s="390"/>
      <c r="O72" s="387">
        <v>1258</v>
      </c>
      <c r="P72" s="427">
        <v>2.4E-2</v>
      </c>
      <c r="Q72" s="387">
        <v>8495</v>
      </c>
      <c r="R72" s="417"/>
      <c r="S72" s="387">
        <v>204</v>
      </c>
      <c r="T72" s="390"/>
      <c r="U72" s="426">
        <v>21</v>
      </c>
      <c r="V72" s="416">
        <v>100</v>
      </c>
      <c r="W72" s="462">
        <v>1866.836</v>
      </c>
      <c r="X72" s="416">
        <v>0</v>
      </c>
      <c r="Y72" s="416">
        <v>0</v>
      </c>
      <c r="Z72" s="391">
        <v>301</v>
      </c>
      <c r="AA72" s="416">
        <v>100</v>
      </c>
      <c r="AB72" s="462">
        <v>401</v>
      </c>
      <c r="AC72" s="387"/>
      <c r="AD72" s="387">
        <v>60</v>
      </c>
      <c r="AE72" s="388"/>
      <c r="AF72" s="392">
        <v>4</v>
      </c>
      <c r="AG72" s="387">
        <v>93</v>
      </c>
      <c r="AH72" s="388"/>
      <c r="AI72" s="388">
        <v>468</v>
      </c>
      <c r="AJ72" s="462">
        <v>625</v>
      </c>
      <c r="AK72" s="388">
        <v>38725.5</v>
      </c>
      <c r="AL72" s="388">
        <v>34011.461000000003</v>
      </c>
      <c r="AM72" s="388">
        <v>4714.0389999999998</v>
      </c>
      <c r="AN72" s="388">
        <v>185.03100000000001</v>
      </c>
      <c r="AO72" s="467">
        <v>0.87827041613407186</v>
      </c>
      <c r="AP72" s="468">
        <v>2051.8670000000002</v>
      </c>
      <c r="AQ72" s="468">
        <v>-1931.5170000000003</v>
      </c>
      <c r="AR72" s="393"/>
      <c r="AS72" s="394"/>
      <c r="AT72" s="394"/>
      <c r="AU72" s="395"/>
      <c r="AV72" s="471"/>
      <c r="AW72" s="388">
        <v>38725500</v>
      </c>
      <c r="AX72" s="424">
        <v>34011461</v>
      </c>
      <c r="AY72" s="424">
        <v>4714039</v>
      </c>
      <c r="AZ72" s="424">
        <v>185031</v>
      </c>
      <c r="BA72" s="472">
        <v>0.87827041613407186</v>
      </c>
      <c r="BB72" s="453">
        <v>5152</v>
      </c>
      <c r="BC72" s="390">
        <v>0</v>
      </c>
      <c r="BD72" s="236">
        <v>9.9</v>
      </c>
    </row>
    <row r="73" spans="1:56" s="121" customFormat="1" ht="14.25" customHeight="1">
      <c r="A73" s="104">
        <v>2023</v>
      </c>
      <c r="B73" s="105" t="s">
        <v>526</v>
      </c>
      <c r="C73" s="556" t="s">
        <v>506</v>
      </c>
      <c r="D73" s="106" t="s">
        <v>2415</v>
      </c>
      <c r="E73" s="150" t="s">
        <v>507</v>
      </c>
      <c r="F73" s="71" t="s">
        <v>78</v>
      </c>
      <c r="G73" s="68" t="s">
        <v>180</v>
      </c>
      <c r="H73" s="414"/>
      <c r="I73" s="417"/>
      <c r="J73" s="423">
        <v>62.3</v>
      </c>
      <c r="K73" s="462">
        <v>62.3</v>
      </c>
      <c r="L73" s="387">
        <v>343.745</v>
      </c>
      <c r="M73" s="416">
        <v>29.552</v>
      </c>
      <c r="N73" s="390"/>
      <c r="O73" s="387">
        <v>308.78100000000001</v>
      </c>
      <c r="P73" s="427">
        <v>2.4E-2</v>
      </c>
      <c r="Q73" s="387">
        <v>8495</v>
      </c>
      <c r="R73" s="417"/>
      <c r="S73" s="387">
        <v>204</v>
      </c>
      <c r="T73" s="390"/>
      <c r="U73" s="426">
        <v>21</v>
      </c>
      <c r="V73" s="416">
        <v>100</v>
      </c>
      <c r="W73" s="462">
        <v>1007.078</v>
      </c>
      <c r="X73" s="416">
        <v>0</v>
      </c>
      <c r="Y73" s="416">
        <v>0</v>
      </c>
      <c r="Z73" s="416">
        <v>174</v>
      </c>
      <c r="AA73" s="416">
        <v>100</v>
      </c>
      <c r="AB73" s="462">
        <v>274</v>
      </c>
      <c r="AC73" s="387"/>
      <c r="AD73" s="387">
        <v>49</v>
      </c>
      <c r="AE73" s="388"/>
      <c r="AF73" s="392">
        <v>6</v>
      </c>
      <c r="AG73" s="387">
        <v>112</v>
      </c>
      <c r="AH73" s="388"/>
      <c r="AI73" s="388">
        <v>76</v>
      </c>
      <c r="AJ73" s="462">
        <v>243</v>
      </c>
      <c r="AK73" s="388">
        <v>83945.3</v>
      </c>
      <c r="AL73" s="388">
        <v>75183.724000000002</v>
      </c>
      <c r="AM73" s="388">
        <v>8761.5759999999991</v>
      </c>
      <c r="AN73" s="388">
        <v>1846.796</v>
      </c>
      <c r="AO73" s="467">
        <v>0.89562755746897083</v>
      </c>
      <c r="AP73" s="468">
        <v>2853.8739999999998</v>
      </c>
      <c r="AQ73" s="468">
        <v>-2791.5739999999996</v>
      </c>
      <c r="AR73" s="393"/>
      <c r="AS73" s="394"/>
      <c r="AT73" s="394"/>
      <c r="AU73" s="395"/>
      <c r="AV73" s="471"/>
      <c r="AW73" s="388">
        <v>83945300</v>
      </c>
      <c r="AX73" s="424">
        <v>75183724</v>
      </c>
      <c r="AY73" s="424">
        <v>8761576</v>
      </c>
      <c r="AZ73" s="424">
        <v>1846796</v>
      </c>
      <c r="BA73" s="472">
        <v>0.89562755746897083</v>
      </c>
      <c r="BB73" s="453">
        <v>4978</v>
      </c>
      <c r="BC73" s="390">
        <v>23</v>
      </c>
      <c r="BD73" s="236">
        <v>0</v>
      </c>
    </row>
    <row r="74" spans="1:56" s="121" customFormat="1" ht="14.25" customHeight="1">
      <c r="A74" s="104">
        <v>2023</v>
      </c>
      <c r="B74" s="105" t="s">
        <v>528</v>
      </c>
      <c r="C74" s="556" t="s">
        <v>514</v>
      </c>
      <c r="D74" s="106" t="s">
        <v>2415</v>
      </c>
      <c r="E74" s="150" t="s">
        <v>515</v>
      </c>
      <c r="F74" s="71" t="s">
        <v>78</v>
      </c>
      <c r="G74" s="68" t="s">
        <v>180</v>
      </c>
      <c r="H74" s="414"/>
      <c r="I74" s="417"/>
      <c r="J74" s="423">
        <v>73.400000000000006</v>
      </c>
      <c r="K74" s="462">
        <v>73.400000000000006</v>
      </c>
      <c r="L74" s="387">
        <v>322.01600000000002</v>
      </c>
      <c r="M74" s="416">
        <v>29.552</v>
      </c>
      <c r="N74" s="390"/>
      <c r="O74" s="387">
        <v>264</v>
      </c>
      <c r="P74" s="427">
        <v>2.4E-2</v>
      </c>
      <c r="Q74" s="387">
        <v>8495</v>
      </c>
      <c r="R74" s="417"/>
      <c r="S74" s="387">
        <v>204</v>
      </c>
      <c r="T74" s="390"/>
      <c r="U74" s="426">
        <v>8</v>
      </c>
      <c r="V74" s="416">
        <v>100</v>
      </c>
      <c r="W74" s="462">
        <v>927.56799999999998</v>
      </c>
      <c r="X74" s="416">
        <v>0</v>
      </c>
      <c r="Y74" s="416">
        <v>0</v>
      </c>
      <c r="Z74" s="416">
        <v>152</v>
      </c>
      <c r="AA74" s="416">
        <v>100</v>
      </c>
      <c r="AB74" s="462">
        <v>252</v>
      </c>
      <c r="AC74" s="387"/>
      <c r="AD74" s="387">
        <v>61</v>
      </c>
      <c r="AE74" s="388"/>
      <c r="AF74" s="392"/>
      <c r="AG74" s="387">
        <v>45</v>
      </c>
      <c r="AH74" s="388"/>
      <c r="AI74" s="388">
        <v>32</v>
      </c>
      <c r="AJ74" s="462">
        <v>138</v>
      </c>
      <c r="AK74" s="388">
        <v>89546.790999999997</v>
      </c>
      <c r="AL74" s="388">
        <v>74638.366999999998</v>
      </c>
      <c r="AM74" s="388">
        <v>14908.424000000001</v>
      </c>
      <c r="AN74" s="388">
        <v>1896.3340000000001</v>
      </c>
      <c r="AO74" s="467">
        <v>0.83351247059205058</v>
      </c>
      <c r="AP74" s="468">
        <v>2823.902</v>
      </c>
      <c r="AQ74" s="468">
        <v>-2750.502</v>
      </c>
      <c r="AR74" s="393"/>
      <c r="AS74" s="394"/>
      <c r="AT74" s="394"/>
      <c r="AU74" s="395"/>
      <c r="AV74" s="471"/>
      <c r="AW74" s="388">
        <v>89546791</v>
      </c>
      <c r="AX74" s="424">
        <v>74638367</v>
      </c>
      <c r="AY74" s="424">
        <v>14908424</v>
      </c>
      <c r="AZ74" s="424">
        <v>1896334</v>
      </c>
      <c r="BA74" s="472">
        <v>0.83351247059205058</v>
      </c>
      <c r="BB74" s="453">
        <v>4854</v>
      </c>
      <c r="BC74" s="390">
        <v>4</v>
      </c>
      <c r="BD74" s="236">
        <v>0</v>
      </c>
    </row>
    <row r="75" spans="1:56" s="121" customFormat="1" ht="14.25" customHeight="1">
      <c r="A75" s="104">
        <v>2023</v>
      </c>
      <c r="B75" s="105" t="s">
        <v>2545</v>
      </c>
      <c r="C75" s="556" t="s">
        <v>519</v>
      </c>
      <c r="D75" s="106" t="s">
        <v>2415</v>
      </c>
      <c r="E75" s="150" t="s">
        <v>520</v>
      </c>
      <c r="F75" s="71" t="s">
        <v>78</v>
      </c>
      <c r="G75" s="68" t="s">
        <v>180</v>
      </c>
      <c r="H75" s="414"/>
      <c r="I75" s="417"/>
      <c r="J75" s="423">
        <v>119.85</v>
      </c>
      <c r="K75" s="462">
        <v>119.85</v>
      </c>
      <c r="L75" s="387">
        <v>10.210000000000001</v>
      </c>
      <c r="M75" s="416">
        <v>29.552</v>
      </c>
      <c r="N75" s="390"/>
      <c r="O75" s="387">
        <v>195.702</v>
      </c>
      <c r="P75" s="427">
        <v>2.4E-2</v>
      </c>
      <c r="Q75" s="387">
        <v>8495</v>
      </c>
      <c r="R75" s="417"/>
      <c r="S75" s="387">
        <v>204</v>
      </c>
      <c r="T75" s="390"/>
      <c r="U75" s="426">
        <v>21</v>
      </c>
      <c r="V75" s="416">
        <v>100</v>
      </c>
      <c r="W75" s="462">
        <v>560.46399999999994</v>
      </c>
      <c r="X75" s="416">
        <v>0</v>
      </c>
      <c r="Y75" s="416">
        <v>0</v>
      </c>
      <c r="Z75" s="416">
        <v>213</v>
      </c>
      <c r="AA75" s="416">
        <v>100</v>
      </c>
      <c r="AB75" s="462">
        <v>313</v>
      </c>
      <c r="AC75" s="387"/>
      <c r="AD75" s="387">
        <v>150</v>
      </c>
      <c r="AE75" s="388"/>
      <c r="AF75" s="392"/>
      <c r="AG75" s="387">
        <v>120</v>
      </c>
      <c r="AH75" s="388"/>
      <c r="AI75" s="388">
        <v>77</v>
      </c>
      <c r="AJ75" s="462">
        <v>347</v>
      </c>
      <c r="AK75" s="388">
        <v>58401.885000000002</v>
      </c>
      <c r="AL75" s="388">
        <v>38608.989000000001</v>
      </c>
      <c r="AM75" s="388">
        <v>19792.896000000001</v>
      </c>
      <c r="AN75" s="388">
        <v>1711.223</v>
      </c>
      <c r="AO75" s="467">
        <v>0.66109148702991349</v>
      </c>
      <c r="AP75" s="468">
        <v>2271.6869999999999</v>
      </c>
      <c r="AQ75" s="468">
        <v>-2151.837</v>
      </c>
      <c r="AR75" s="393"/>
      <c r="AS75" s="394"/>
      <c r="AT75" s="394"/>
      <c r="AU75" s="395"/>
      <c r="AV75" s="471"/>
      <c r="AW75" s="388">
        <v>58401885</v>
      </c>
      <c r="AX75" s="424">
        <v>38608989</v>
      </c>
      <c r="AY75" s="424">
        <v>19792896</v>
      </c>
      <c r="AZ75" s="424">
        <v>1711223</v>
      </c>
      <c r="BA75" s="472">
        <v>0.66109148702991349</v>
      </c>
      <c r="BB75" s="453">
        <v>5908</v>
      </c>
      <c r="BC75" s="390">
        <v>8</v>
      </c>
      <c r="BD75" s="236">
        <v>0</v>
      </c>
    </row>
    <row r="76" spans="1:56" s="121" customFormat="1" ht="14.25" customHeight="1">
      <c r="A76" s="104">
        <v>2023</v>
      </c>
      <c r="B76" s="105" t="s">
        <v>539</v>
      </c>
      <c r="C76" s="556" t="s">
        <v>2702</v>
      </c>
      <c r="D76" s="106" t="s">
        <v>2415</v>
      </c>
      <c r="E76" s="150" t="s">
        <v>2635</v>
      </c>
      <c r="F76" s="71" t="s">
        <v>78</v>
      </c>
      <c r="G76" s="68" t="s">
        <v>180</v>
      </c>
      <c r="H76" s="414"/>
      <c r="I76" s="417"/>
      <c r="J76" s="423">
        <v>189.3</v>
      </c>
      <c r="K76" s="462">
        <v>189.3</v>
      </c>
      <c r="L76" s="387">
        <v>732.95100000000002</v>
      </c>
      <c r="M76" s="416">
        <v>29.552</v>
      </c>
      <c r="N76" s="390"/>
      <c r="O76" s="387">
        <v>63.8</v>
      </c>
      <c r="P76" s="427">
        <v>2.4E-2</v>
      </c>
      <c r="Q76" s="387">
        <v>8495</v>
      </c>
      <c r="R76" s="417"/>
      <c r="S76" s="387">
        <v>204</v>
      </c>
      <c r="T76" s="390"/>
      <c r="U76" s="426">
        <v>21</v>
      </c>
      <c r="V76" s="416">
        <v>200</v>
      </c>
      <c r="W76" s="462">
        <v>1251.3029999999999</v>
      </c>
      <c r="X76" s="416">
        <v>0</v>
      </c>
      <c r="Y76" s="416">
        <v>0</v>
      </c>
      <c r="Z76" s="416">
        <v>319</v>
      </c>
      <c r="AA76" s="416">
        <v>200</v>
      </c>
      <c r="AB76" s="462">
        <v>519</v>
      </c>
      <c r="AC76" s="387"/>
      <c r="AD76" s="387">
        <v>230</v>
      </c>
      <c r="AE76" s="388"/>
      <c r="AF76" s="392"/>
      <c r="AG76" s="387">
        <v>225</v>
      </c>
      <c r="AH76" s="388"/>
      <c r="AI76" s="388">
        <v>45</v>
      </c>
      <c r="AJ76" s="462">
        <v>500</v>
      </c>
      <c r="AK76" s="388">
        <v>260265.54500000001</v>
      </c>
      <c r="AL76" s="388">
        <v>18671.736000000001</v>
      </c>
      <c r="AM76" s="388">
        <v>241593.80900000001</v>
      </c>
      <c r="AN76" s="388">
        <v>9335.8680000000004</v>
      </c>
      <c r="AO76" s="467">
        <v>7.1741098115772492E-2</v>
      </c>
      <c r="AP76" s="468">
        <v>10587.171</v>
      </c>
      <c r="AQ76" s="468">
        <v>-10397.871000000001</v>
      </c>
      <c r="AR76" s="393"/>
      <c r="AS76" s="394"/>
      <c r="AT76" s="394"/>
      <c r="AU76" s="395"/>
      <c r="AV76" s="471"/>
      <c r="AW76" s="388">
        <v>260265545</v>
      </c>
      <c r="AX76" s="424">
        <v>18671736</v>
      </c>
      <c r="AY76" s="424">
        <v>241593809</v>
      </c>
      <c r="AZ76" s="424">
        <v>9335868</v>
      </c>
      <c r="BA76" s="472">
        <v>7.1741098115772492E-2</v>
      </c>
      <c r="BB76" s="453">
        <v>10791</v>
      </c>
      <c r="BC76" s="390">
        <v>0</v>
      </c>
      <c r="BD76" s="236">
        <v>12.6</v>
      </c>
    </row>
    <row r="77" spans="1:56" s="121" customFormat="1" ht="14.25" customHeight="1">
      <c r="A77" s="104">
        <v>2023</v>
      </c>
      <c r="B77" s="105" t="s">
        <v>544</v>
      </c>
      <c r="C77" s="556" t="s">
        <v>529</v>
      </c>
      <c r="D77" s="106" t="s">
        <v>2415</v>
      </c>
      <c r="E77" s="150" t="s">
        <v>530</v>
      </c>
      <c r="F77" s="71" t="s">
        <v>78</v>
      </c>
      <c r="G77" s="68" t="s">
        <v>180</v>
      </c>
      <c r="H77" s="414"/>
      <c r="I77" s="417"/>
      <c r="J77" s="423">
        <v>73.599999999999994</v>
      </c>
      <c r="K77" s="462">
        <v>73.599999999999994</v>
      </c>
      <c r="L77" s="387">
        <v>415.04500000000002</v>
      </c>
      <c r="M77" s="416">
        <v>29.552</v>
      </c>
      <c r="N77" s="390"/>
      <c r="O77" s="387">
        <v>1576</v>
      </c>
      <c r="P77" s="427">
        <v>2.4E-2</v>
      </c>
      <c r="Q77" s="387">
        <v>8495</v>
      </c>
      <c r="R77" s="417"/>
      <c r="S77" s="387">
        <v>204</v>
      </c>
      <c r="T77" s="390"/>
      <c r="U77" s="426">
        <v>20</v>
      </c>
      <c r="V77" s="416">
        <v>100</v>
      </c>
      <c r="W77" s="462">
        <v>2344.5969999999998</v>
      </c>
      <c r="X77" s="416">
        <v>0</v>
      </c>
      <c r="Y77" s="416">
        <v>0</v>
      </c>
      <c r="Z77" s="416">
        <v>205</v>
      </c>
      <c r="AA77" s="416">
        <v>100</v>
      </c>
      <c r="AB77" s="462">
        <v>305</v>
      </c>
      <c r="AC77" s="387"/>
      <c r="AD77" s="387"/>
      <c r="AE77" s="388"/>
      <c r="AF77" s="392">
        <v>114</v>
      </c>
      <c r="AG77" s="387">
        <v>30</v>
      </c>
      <c r="AH77" s="388"/>
      <c r="AI77" s="388">
        <v>440</v>
      </c>
      <c r="AJ77" s="462">
        <v>584</v>
      </c>
      <c r="AK77" s="388">
        <v>91010.2</v>
      </c>
      <c r="AL77" s="388">
        <v>84856.584000000003</v>
      </c>
      <c r="AM77" s="388">
        <v>6153.616</v>
      </c>
      <c r="AN77" s="388">
        <v>491.96899999999999</v>
      </c>
      <c r="AO77" s="467">
        <v>0.93238542493039245</v>
      </c>
      <c r="AP77" s="468">
        <v>2836.5659999999998</v>
      </c>
      <c r="AQ77" s="468">
        <v>-2762.9659999999999</v>
      </c>
      <c r="AR77" s="393"/>
      <c r="AS77" s="394"/>
      <c r="AT77" s="394"/>
      <c r="AU77" s="395"/>
      <c r="AV77" s="471"/>
      <c r="AW77" s="388">
        <v>91010200</v>
      </c>
      <c r="AX77" s="424">
        <v>84856584</v>
      </c>
      <c r="AY77" s="424">
        <v>6153616</v>
      </c>
      <c r="AZ77" s="424">
        <v>491969</v>
      </c>
      <c r="BA77" s="472">
        <v>0.93238542493039245</v>
      </c>
      <c r="BB77" s="453">
        <v>8951</v>
      </c>
      <c r="BC77" s="390">
        <v>2</v>
      </c>
      <c r="BD77" s="236">
        <v>0</v>
      </c>
    </row>
    <row r="78" spans="1:56" s="121" customFormat="1" ht="14.25" customHeight="1">
      <c r="A78" s="104">
        <v>2023</v>
      </c>
      <c r="B78" s="105" t="s">
        <v>551</v>
      </c>
      <c r="C78" s="556" t="s">
        <v>534</v>
      </c>
      <c r="D78" s="106" t="s">
        <v>2415</v>
      </c>
      <c r="E78" s="150" t="s">
        <v>535</v>
      </c>
      <c r="F78" s="71" t="s">
        <v>78</v>
      </c>
      <c r="G78" s="68" t="s">
        <v>180</v>
      </c>
      <c r="H78" s="414"/>
      <c r="I78" s="417"/>
      <c r="J78" s="423">
        <v>26.8</v>
      </c>
      <c r="K78" s="462">
        <v>26.8</v>
      </c>
      <c r="L78" s="387">
        <v>448.09100000000001</v>
      </c>
      <c r="M78" s="416">
        <v>29.552</v>
      </c>
      <c r="N78" s="390"/>
      <c r="O78" s="387">
        <v>38.94</v>
      </c>
      <c r="P78" s="427">
        <v>2.4E-2</v>
      </c>
      <c r="Q78" s="387">
        <v>8495</v>
      </c>
      <c r="R78" s="417"/>
      <c r="S78" s="387">
        <v>204</v>
      </c>
      <c r="T78" s="390"/>
      <c r="U78" s="426">
        <v>21</v>
      </c>
      <c r="V78" s="416">
        <v>100</v>
      </c>
      <c r="W78" s="462">
        <v>841.58300000000008</v>
      </c>
      <c r="X78" s="416">
        <v>0</v>
      </c>
      <c r="Y78" s="416">
        <v>0</v>
      </c>
      <c r="Z78" s="391">
        <v>42</v>
      </c>
      <c r="AA78" s="416">
        <v>100</v>
      </c>
      <c r="AB78" s="462">
        <v>142</v>
      </c>
      <c r="AC78" s="387"/>
      <c r="AD78" s="387">
        <v>54</v>
      </c>
      <c r="AE78" s="388"/>
      <c r="AF78" s="392"/>
      <c r="AG78" s="387">
        <v>48</v>
      </c>
      <c r="AH78" s="388"/>
      <c r="AI78" s="388">
        <v>17</v>
      </c>
      <c r="AJ78" s="462">
        <v>119</v>
      </c>
      <c r="AK78" s="388">
        <v>81662.3</v>
      </c>
      <c r="AL78" s="388">
        <v>76362.294999999998</v>
      </c>
      <c r="AM78" s="388">
        <v>5300.0050000000001</v>
      </c>
      <c r="AN78" s="388">
        <v>210.25</v>
      </c>
      <c r="AO78" s="467">
        <v>0.93509850934886718</v>
      </c>
      <c r="AP78" s="468">
        <v>1051.8330000000001</v>
      </c>
      <c r="AQ78" s="468">
        <v>-1025.0330000000001</v>
      </c>
      <c r="AR78" s="393"/>
      <c r="AS78" s="394"/>
      <c r="AT78" s="394"/>
      <c r="AU78" s="395"/>
      <c r="AV78" s="471"/>
      <c r="AW78" s="388">
        <v>81662300</v>
      </c>
      <c r="AX78" s="424">
        <v>76362295</v>
      </c>
      <c r="AY78" s="424">
        <v>5300005</v>
      </c>
      <c r="AZ78" s="424">
        <v>210250</v>
      </c>
      <c r="BA78" s="472">
        <v>0.93509850934886718</v>
      </c>
      <c r="BB78" s="453">
        <v>7595</v>
      </c>
      <c r="BC78" s="390">
        <v>27</v>
      </c>
      <c r="BD78" s="236">
        <v>0</v>
      </c>
    </row>
    <row r="79" spans="1:56" s="121" customFormat="1" ht="14.25" customHeight="1">
      <c r="A79" s="104">
        <v>2023</v>
      </c>
      <c r="B79" s="105" t="s">
        <v>556</v>
      </c>
      <c r="C79" s="556" t="s">
        <v>540</v>
      </c>
      <c r="D79" s="106" t="s">
        <v>2415</v>
      </c>
      <c r="E79" s="150" t="s">
        <v>541</v>
      </c>
      <c r="F79" s="71" t="s">
        <v>78</v>
      </c>
      <c r="G79" s="68" t="s">
        <v>180</v>
      </c>
      <c r="H79" s="414"/>
      <c r="I79" s="417"/>
      <c r="J79" s="423">
        <v>0</v>
      </c>
      <c r="K79" s="462">
        <v>0</v>
      </c>
      <c r="L79" s="387">
        <v>55.835000000000001</v>
      </c>
      <c r="M79" s="416">
        <v>29.552</v>
      </c>
      <c r="N79" s="390"/>
      <c r="O79" s="387">
        <v>90.2</v>
      </c>
      <c r="P79" s="427">
        <v>2.4E-2</v>
      </c>
      <c r="Q79" s="387">
        <v>8495</v>
      </c>
      <c r="R79" s="417"/>
      <c r="S79" s="387">
        <v>204</v>
      </c>
      <c r="T79" s="390"/>
      <c r="U79" s="426">
        <v>21</v>
      </c>
      <c r="V79" s="416">
        <v>100</v>
      </c>
      <c r="W79" s="462">
        <v>500.58699999999999</v>
      </c>
      <c r="X79" s="416">
        <v>0</v>
      </c>
      <c r="Y79" s="416">
        <v>0</v>
      </c>
      <c r="Z79" s="391">
        <v>52</v>
      </c>
      <c r="AA79" s="416">
        <v>100</v>
      </c>
      <c r="AB79" s="462">
        <v>152</v>
      </c>
      <c r="AC79" s="387"/>
      <c r="AD79" s="387">
        <v>14</v>
      </c>
      <c r="AE79" s="388"/>
      <c r="AF79" s="392"/>
      <c r="AG79" s="387">
        <v>77</v>
      </c>
      <c r="AH79" s="388"/>
      <c r="AI79" s="388">
        <v>59</v>
      </c>
      <c r="AJ79" s="462">
        <v>150</v>
      </c>
      <c r="AK79" s="388">
        <v>47066.334000000003</v>
      </c>
      <c r="AL79" s="388">
        <v>34342.802000000003</v>
      </c>
      <c r="AM79" s="388">
        <v>12723.531999999999</v>
      </c>
      <c r="AN79" s="388">
        <v>1128.1289999999999</v>
      </c>
      <c r="AO79" s="467">
        <v>0.72966808929711835</v>
      </c>
      <c r="AP79" s="468">
        <v>1628.7159999999999</v>
      </c>
      <c r="AQ79" s="468">
        <v>-1628.7159999999999</v>
      </c>
      <c r="AR79" s="393"/>
      <c r="AS79" s="394"/>
      <c r="AT79" s="394"/>
      <c r="AU79" s="395"/>
      <c r="AV79" s="471"/>
      <c r="AW79" s="388">
        <v>47066334</v>
      </c>
      <c r="AX79" s="424">
        <v>34342802</v>
      </c>
      <c r="AY79" s="424">
        <v>12723532</v>
      </c>
      <c r="AZ79" s="424">
        <v>1128129</v>
      </c>
      <c r="BA79" s="472">
        <v>0.72966808929711835</v>
      </c>
      <c r="BB79" s="453">
        <v>1231</v>
      </c>
      <c r="BC79" s="390">
        <v>2</v>
      </c>
      <c r="BD79" s="236">
        <v>0</v>
      </c>
    </row>
    <row r="80" spans="1:56" s="121" customFormat="1" ht="14.25" customHeight="1">
      <c r="A80" s="104">
        <v>2023</v>
      </c>
      <c r="B80" s="105" t="s">
        <v>562</v>
      </c>
      <c r="C80" s="556" t="s">
        <v>545</v>
      </c>
      <c r="D80" s="106" t="s">
        <v>2415</v>
      </c>
      <c r="E80" s="150" t="s">
        <v>546</v>
      </c>
      <c r="F80" s="71" t="s">
        <v>78</v>
      </c>
      <c r="G80" s="68" t="s">
        <v>180</v>
      </c>
      <c r="H80" s="414"/>
      <c r="I80" s="417"/>
      <c r="J80" s="423">
        <v>459.6</v>
      </c>
      <c r="K80" s="462">
        <v>459.6</v>
      </c>
      <c r="L80" s="387">
        <v>610.07799999999997</v>
      </c>
      <c r="M80" s="416">
        <v>29.552</v>
      </c>
      <c r="N80" s="390"/>
      <c r="O80" s="387">
        <v>244.75</v>
      </c>
      <c r="P80" s="427">
        <v>2.4E-2</v>
      </c>
      <c r="Q80" s="387">
        <v>8495</v>
      </c>
      <c r="R80" s="417"/>
      <c r="S80" s="387">
        <v>204</v>
      </c>
      <c r="T80" s="390"/>
      <c r="U80" s="426">
        <v>21</v>
      </c>
      <c r="V80" s="416">
        <v>100</v>
      </c>
      <c r="W80" s="462">
        <v>1209.3800000000001</v>
      </c>
      <c r="X80" s="416">
        <v>0</v>
      </c>
      <c r="Y80" s="416">
        <v>0</v>
      </c>
      <c r="Z80" s="391">
        <v>902</v>
      </c>
      <c r="AA80" s="416">
        <v>100</v>
      </c>
      <c r="AB80" s="462">
        <v>1002</v>
      </c>
      <c r="AC80" s="387"/>
      <c r="AD80" s="387">
        <v>60</v>
      </c>
      <c r="AE80" s="388"/>
      <c r="AF80" s="392"/>
      <c r="AG80" s="387">
        <v>780</v>
      </c>
      <c r="AH80" s="388"/>
      <c r="AI80" s="388">
        <v>246</v>
      </c>
      <c r="AJ80" s="462">
        <v>1086</v>
      </c>
      <c r="AK80" s="388">
        <v>85390.55</v>
      </c>
      <c r="AL80" s="388">
        <v>80361.498999999996</v>
      </c>
      <c r="AM80" s="388">
        <v>5029.0510000000004</v>
      </c>
      <c r="AN80" s="388">
        <v>190.69</v>
      </c>
      <c r="AO80" s="467">
        <v>0.94110529795158837</v>
      </c>
      <c r="AP80" s="468">
        <v>1400.0700000000002</v>
      </c>
      <c r="AQ80" s="468">
        <v>-940.47000000000014</v>
      </c>
      <c r="AR80" s="393"/>
      <c r="AS80" s="394"/>
      <c r="AT80" s="394"/>
      <c r="AU80" s="395"/>
      <c r="AV80" s="471"/>
      <c r="AW80" s="388">
        <v>85390550</v>
      </c>
      <c r="AX80" s="424">
        <v>80361499</v>
      </c>
      <c r="AY80" s="424">
        <v>5029051</v>
      </c>
      <c r="AZ80" s="424">
        <v>190690</v>
      </c>
      <c r="BA80" s="472">
        <v>0.94110529795158837</v>
      </c>
      <c r="BB80" s="453">
        <v>13255</v>
      </c>
      <c r="BC80" s="390">
        <v>27</v>
      </c>
      <c r="BD80" s="236">
        <v>0</v>
      </c>
    </row>
    <row r="81" spans="1:56" s="121" customFormat="1" ht="14.25" customHeight="1">
      <c r="A81" s="104">
        <v>2023</v>
      </c>
      <c r="B81" s="105" t="s">
        <v>568</v>
      </c>
      <c r="C81" s="556" t="s">
        <v>552</v>
      </c>
      <c r="D81" s="106" t="s">
        <v>2415</v>
      </c>
      <c r="E81" s="150" t="s">
        <v>553</v>
      </c>
      <c r="F81" s="71" t="s">
        <v>78</v>
      </c>
      <c r="G81" s="68" t="s">
        <v>180</v>
      </c>
      <c r="H81" s="414"/>
      <c r="I81" s="417"/>
      <c r="J81" s="423">
        <v>35.200000000000003</v>
      </c>
      <c r="K81" s="462">
        <v>35.200000000000003</v>
      </c>
      <c r="L81" s="387">
        <v>210.101</v>
      </c>
      <c r="M81" s="416">
        <v>29.552</v>
      </c>
      <c r="N81" s="390"/>
      <c r="O81" s="387">
        <v>0</v>
      </c>
      <c r="P81" s="427">
        <v>2.4E-2</v>
      </c>
      <c r="Q81" s="387">
        <v>8495</v>
      </c>
      <c r="R81" s="417"/>
      <c r="S81" s="387">
        <v>204</v>
      </c>
      <c r="T81" s="390"/>
      <c r="U81" s="426">
        <v>21</v>
      </c>
      <c r="V81" s="416">
        <v>100</v>
      </c>
      <c r="W81" s="462">
        <v>564.65300000000002</v>
      </c>
      <c r="X81" s="416">
        <v>0</v>
      </c>
      <c r="Y81" s="416">
        <v>0</v>
      </c>
      <c r="Z81" s="416">
        <v>68</v>
      </c>
      <c r="AA81" s="416">
        <v>100</v>
      </c>
      <c r="AB81" s="462">
        <v>168</v>
      </c>
      <c r="AC81" s="387"/>
      <c r="AD81" s="387"/>
      <c r="AE81" s="388"/>
      <c r="AF81" s="392"/>
      <c r="AG81" s="387">
        <v>30</v>
      </c>
      <c r="AH81" s="388"/>
      <c r="AI81" s="388">
        <v>93</v>
      </c>
      <c r="AJ81" s="462">
        <v>123</v>
      </c>
      <c r="AK81" s="388">
        <v>29554.5</v>
      </c>
      <c r="AL81" s="388">
        <v>27684.987000000001</v>
      </c>
      <c r="AM81" s="388">
        <v>1869.5129999999999</v>
      </c>
      <c r="AN81" s="388">
        <v>650.19899999999996</v>
      </c>
      <c r="AO81" s="467">
        <v>0.93674354159265083</v>
      </c>
      <c r="AP81" s="468">
        <v>1214.8519999999999</v>
      </c>
      <c r="AQ81" s="468">
        <v>-1179.6519999999998</v>
      </c>
      <c r="AR81" s="393"/>
      <c r="AS81" s="394"/>
      <c r="AT81" s="394"/>
      <c r="AU81" s="395"/>
      <c r="AV81" s="471"/>
      <c r="AW81" s="388">
        <v>29554500</v>
      </c>
      <c r="AX81" s="424">
        <v>27684987</v>
      </c>
      <c r="AY81" s="424">
        <v>1869513</v>
      </c>
      <c r="AZ81" s="424">
        <v>650199</v>
      </c>
      <c r="BA81" s="472">
        <v>0.93674354159265083</v>
      </c>
      <c r="BB81" s="453">
        <v>4290</v>
      </c>
      <c r="BC81" s="390">
        <v>3</v>
      </c>
      <c r="BD81" s="236">
        <v>0</v>
      </c>
    </row>
    <row r="82" spans="1:56" s="121" customFormat="1" ht="14.25" customHeight="1">
      <c r="A82" s="104">
        <v>2023</v>
      </c>
      <c r="B82" s="105" t="s">
        <v>574</v>
      </c>
      <c r="C82" s="556" t="s">
        <v>557</v>
      </c>
      <c r="D82" s="106" t="s">
        <v>2415</v>
      </c>
      <c r="E82" s="150" t="s">
        <v>558</v>
      </c>
      <c r="F82" s="71" t="s">
        <v>78</v>
      </c>
      <c r="G82" s="68" t="s">
        <v>180</v>
      </c>
      <c r="H82" s="414"/>
      <c r="I82" s="417"/>
      <c r="J82" s="423">
        <v>37.200000000000003</v>
      </c>
      <c r="K82" s="462">
        <v>37.200000000000003</v>
      </c>
      <c r="L82" s="387">
        <v>280.54000000000002</v>
      </c>
      <c r="M82" s="416">
        <v>29.552</v>
      </c>
      <c r="N82" s="390">
        <v>624</v>
      </c>
      <c r="O82" s="387">
        <v>0</v>
      </c>
      <c r="P82" s="427">
        <v>2.4E-2</v>
      </c>
      <c r="Q82" s="387">
        <v>8495</v>
      </c>
      <c r="R82" s="417"/>
      <c r="S82" s="387">
        <v>204</v>
      </c>
      <c r="T82" s="390"/>
      <c r="U82" s="426">
        <v>21</v>
      </c>
      <c r="V82" s="416">
        <v>100</v>
      </c>
      <c r="W82" s="462">
        <v>1259.0920000000001</v>
      </c>
      <c r="X82" s="416">
        <v>0</v>
      </c>
      <c r="Y82" s="416">
        <v>0</v>
      </c>
      <c r="Z82" s="416">
        <v>123</v>
      </c>
      <c r="AA82" s="416">
        <v>100</v>
      </c>
      <c r="AB82" s="462">
        <v>223</v>
      </c>
      <c r="AC82" s="387"/>
      <c r="AD82" s="387">
        <v>30</v>
      </c>
      <c r="AE82" s="388"/>
      <c r="AF82" s="392"/>
      <c r="AG82" s="387">
        <v>100</v>
      </c>
      <c r="AH82" s="388"/>
      <c r="AI82" s="388">
        <v>24</v>
      </c>
      <c r="AJ82" s="462">
        <v>154</v>
      </c>
      <c r="AK82" s="388">
        <v>38229.800000000003</v>
      </c>
      <c r="AL82" s="388">
        <v>35324.31</v>
      </c>
      <c r="AM82" s="388">
        <v>2905.49</v>
      </c>
      <c r="AN82" s="388">
        <v>841.05499999999995</v>
      </c>
      <c r="AO82" s="467">
        <v>0.92399934082835899</v>
      </c>
      <c r="AP82" s="468">
        <v>2100.1469999999999</v>
      </c>
      <c r="AQ82" s="468">
        <v>-2062.9470000000001</v>
      </c>
      <c r="AR82" s="393"/>
      <c r="AS82" s="394"/>
      <c r="AT82" s="394"/>
      <c r="AU82" s="395"/>
      <c r="AV82" s="471"/>
      <c r="AW82" s="388">
        <v>38229800</v>
      </c>
      <c r="AX82" s="424">
        <v>35324310</v>
      </c>
      <c r="AY82" s="424">
        <v>2905490</v>
      </c>
      <c r="AZ82" s="424">
        <v>841055</v>
      </c>
      <c r="BA82" s="472">
        <v>0.92399934082835899</v>
      </c>
      <c r="BB82" s="453">
        <v>4335</v>
      </c>
      <c r="BC82" s="390">
        <v>5</v>
      </c>
      <c r="BD82" s="236">
        <v>0</v>
      </c>
    </row>
    <row r="83" spans="1:56" s="121" customFormat="1" ht="14.25" customHeight="1">
      <c r="A83" s="104">
        <v>2023</v>
      </c>
      <c r="B83" s="105" t="s">
        <v>580</v>
      </c>
      <c r="C83" s="556" t="s">
        <v>563</v>
      </c>
      <c r="D83" s="106" t="s">
        <v>2415</v>
      </c>
      <c r="E83" s="150" t="s">
        <v>564</v>
      </c>
      <c r="F83" s="71" t="s">
        <v>78</v>
      </c>
      <c r="G83" s="68" t="s">
        <v>180</v>
      </c>
      <c r="H83" s="414"/>
      <c r="I83" s="417"/>
      <c r="J83" s="423">
        <v>15.7</v>
      </c>
      <c r="K83" s="462">
        <v>15.7</v>
      </c>
      <c r="L83" s="387">
        <v>358.339</v>
      </c>
      <c r="M83" s="416">
        <v>29.552</v>
      </c>
      <c r="N83" s="390"/>
      <c r="O83" s="387">
        <v>93.5</v>
      </c>
      <c r="P83" s="427">
        <v>2.4E-2</v>
      </c>
      <c r="Q83" s="387">
        <v>8495</v>
      </c>
      <c r="R83" s="417"/>
      <c r="S83" s="387">
        <v>204</v>
      </c>
      <c r="T83" s="390"/>
      <c r="U83" s="426">
        <v>21</v>
      </c>
      <c r="V83" s="416">
        <v>100</v>
      </c>
      <c r="W83" s="462">
        <v>806.39100000000008</v>
      </c>
      <c r="X83" s="416">
        <v>0</v>
      </c>
      <c r="Y83" s="416">
        <v>0</v>
      </c>
      <c r="Z83" s="416">
        <v>15</v>
      </c>
      <c r="AA83" s="416">
        <v>100</v>
      </c>
      <c r="AB83" s="462">
        <v>115</v>
      </c>
      <c r="AC83" s="387"/>
      <c r="AD83" s="387">
        <v>15</v>
      </c>
      <c r="AE83" s="388"/>
      <c r="AF83" s="392"/>
      <c r="AG83" s="387">
        <v>39</v>
      </c>
      <c r="AH83" s="388"/>
      <c r="AI83" s="388">
        <v>48</v>
      </c>
      <c r="AJ83" s="462">
        <v>102</v>
      </c>
      <c r="AK83" s="388">
        <v>50444.896000000001</v>
      </c>
      <c r="AL83" s="388">
        <v>39046.561000000002</v>
      </c>
      <c r="AM83" s="388">
        <v>11398.334999999999</v>
      </c>
      <c r="AN83" s="388">
        <v>355.55399999999997</v>
      </c>
      <c r="AO83" s="467">
        <v>0.77404383983664071</v>
      </c>
      <c r="AP83" s="468">
        <v>1161.9450000000002</v>
      </c>
      <c r="AQ83" s="468">
        <v>-1146.2450000000001</v>
      </c>
      <c r="AR83" s="393"/>
      <c r="AS83" s="394"/>
      <c r="AT83" s="394"/>
      <c r="AU83" s="395"/>
      <c r="AV83" s="471"/>
      <c r="AW83" s="388">
        <v>50444896</v>
      </c>
      <c r="AX83" s="424">
        <v>39046561</v>
      </c>
      <c r="AY83" s="424">
        <v>11398335</v>
      </c>
      <c r="AZ83" s="424">
        <v>355554</v>
      </c>
      <c r="BA83" s="472">
        <v>0.77404383983664071</v>
      </c>
      <c r="BB83" s="453">
        <v>3989</v>
      </c>
      <c r="BC83" s="390">
        <v>36</v>
      </c>
      <c r="BD83" s="236">
        <v>0</v>
      </c>
    </row>
    <row r="84" spans="1:56" s="121" customFormat="1" ht="14.25" customHeight="1">
      <c r="A84" s="104">
        <v>2023</v>
      </c>
      <c r="B84" s="105" t="s">
        <v>586</v>
      </c>
      <c r="C84" s="556" t="s">
        <v>569</v>
      </c>
      <c r="D84" s="106" t="s">
        <v>2415</v>
      </c>
      <c r="E84" s="150" t="s">
        <v>570</v>
      </c>
      <c r="F84" s="71" t="s">
        <v>78</v>
      </c>
      <c r="G84" s="68" t="s">
        <v>180</v>
      </c>
      <c r="H84" s="414"/>
      <c r="I84" s="417"/>
      <c r="J84" s="423">
        <v>25.1</v>
      </c>
      <c r="K84" s="462">
        <v>25.1</v>
      </c>
      <c r="L84" s="387">
        <v>310.82100000000003</v>
      </c>
      <c r="M84" s="416">
        <v>29.552</v>
      </c>
      <c r="N84" s="390"/>
      <c r="O84" s="387">
        <v>0</v>
      </c>
      <c r="P84" s="427">
        <v>2.4E-2</v>
      </c>
      <c r="Q84" s="387">
        <v>8495</v>
      </c>
      <c r="R84" s="417"/>
      <c r="S84" s="387">
        <v>204</v>
      </c>
      <c r="T84" s="390"/>
      <c r="U84" s="426">
        <v>20</v>
      </c>
      <c r="V84" s="416">
        <v>100</v>
      </c>
      <c r="W84" s="462">
        <v>664.37300000000005</v>
      </c>
      <c r="X84" s="416">
        <v>0</v>
      </c>
      <c r="Y84" s="416">
        <v>0</v>
      </c>
      <c r="Z84" s="416">
        <v>32</v>
      </c>
      <c r="AA84" s="416">
        <v>100</v>
      </c>
      <c r="AB84" s="462">
        <v>132</v>
      </c>
      <c r="AC84" s="387"/>
      <c r="AD84" s="387">
        <v>32</v>
      </c>
      <c r="AE84" s="388"/>
      <c r="AF84" s="392"/>
      <c r="AG84" s="387">
        <v>36</v>
      </c>
      <c r="AH84" s="388"/>
      <c r="AI84" s="388">
        <v>29</v>
      </c>
      <c r="AJ84" s="462">
        <v>97</v>
      </c>
      <c r="AK84" s="388">
        <v>40157.5</v>
      </c>
      <c r="AL84" s="388">
        <v>34695.540999999997</v>
      </c>
      <c r="AM84" s="388">
        <v>5461.9589999999998</v>
      </c>
      <c r="AN84" s="388">
        <v>907.05899999999997</v>
      </c>
      <c r="AO84" s="467">
        <v>0.86398657784971677</v>
      </c>
      <c r="AP84" s="468">
        <v>1571.432</v>
      </c>
      <c r="AQ84" s="468">
        <v>-1546.3320000000001</v>
      </c>
      <c r="AR84" s="393"/>
      <c r="AS84" s="394"/>
      <c r="AT84" s="394"/>
      <c r="AU84" s="395"/>
      <c r="AV84" s="471"/>
      <c r="AW84" s="388">
        <v>40157500</v>
      </c>
      <c r="AX84" s="424">
        <v>34695541</v>
      </c>
      <c r="AY84" s="424">
        <v>5461959</v>
      </c>
      <c r="AZ84" s="424">
        <v>907059</v>
      </c>
      <c r="BA84" s="472">
        <v>0.86398657784971677</v>
      </c>
      <c r="BB84" s="453">
        <v>1836</v>
      </c>
      <c r="BC84" s="390">
        <v>1</v>
      </c>
      <c r="BD84" s="236">
        <v>0</v>
      </c>
    </row>
    <row r="85" spans="1:56" s="121" customFormat="1" ht="14.25" customHeight="1">
      <c r="A85" s="104">
        <v>2023</v>
      </c>
      <c r="B85" s="105" t="s">
        <v>591</v>
      </c>
      <c r="C85" s="556" t="s">
        <v>575</v>
      </c>
      <c r="D85" s="106" t="s">
        <v>2415</v>
      </c>
      <c r="E85" s="150" t="s">
        <v>119</v>
      </c>
      <c r="F85" s="71" t="s">
        <v>78</v>
      </c>
      <c r="G85" s="68" t="s">
        <v>180</v>
      </c>
      <c r="H85" s="414"/>
      <c r="I85" s="417"/>
      <c r="J85" s="423">
        <v>73.8</v>
      </c>
      <c r="K85" s="462">
        <v>73.8</v>
      </c>
      <c r="L85" s="388">
        <v>481.77499999999998</v>
      </c>
      <c r="M85" s="416">
        <v>29.552</v>
      </c>
      <c r="N85" s="390"/>
      <c r="O85" s="387">
        <v>331.1</v>
      </c>
      <c r="P85" s="427">
        <v>2.4E-2</v>
      </c>
      <c r="Q85" s="387">
        <v>8495</v>
      </c>
      <c r="R85" s="417"/>
      <c r="S85" s="387">
        <v>204</v>
      </c>
      <c r="T85" s="390"/>
      <c r="U85" s="426">
        <v>21</v>
      </c>
      <c r="V85" s="416">
        <v>100</v>
      </c>
      <c r="W85" s="462">
        <v>1167.4270000000001</v>
      </c>
      <c r="X85" s="416">
        <v>0</v>
      </c>
      <c r="Y85" s="416">
        <v>0</v>
      </c>
      <c r="Z85" s="416">
        <v>124</v>
      </c>
      <c r="AA85" s="416">
        <v>100</v>
      </c>
      <c r="AB85" s="462">
        <v>224</v>
      </c>
      <c r="AC85" s="387"/>
      <c r="AD85" s="387">
        <v>72</v>
      </c>
      <c r="AE85" s="388"/>
      <c r="AF85" s="392"/>
      <c r="AG85" s="387">
        <v>60</v>
      </c>
      <c r="AH85" s="388"/>
      <c r="AI85" s="388">
        <v>156</v>
      </c>
      <c r="AJ85" s="462">
        <v>288</v>
      </c>
      <c r="AK85" s="388">
        <v>60744.598939901203</v>
      </c>
      <c r="AL85" s="388">
        <v>53434.598972525171</v>
      </c>
      <c r="AM85" s="388">
        <v>7309.9999663159933</v>
      </c>
      <c r="AN85" s="388">
        <v>846.33867252195728</v>
      </c>
      <c r="AO85" s="467">
        <v>0.87966008344859903</v>
      </c>
      <c r="AP85" s="468">
        <v>2013.7656725219574</v>
      </c>
      <c r="AQ85" s="468">
        <v>-1939.9656725219575</v>
      </c>
      <c r="AR85" s="393"/>
      <c r="AS85" s="394"/>
      <c r="AT85" s="394"/>
      <c r="AU85" s="395"/>
      <c r="AV85" s="471" t="s">
        <v>2484</v>
      </c>
      <c r="AW85" s="388">
        <v>60744598.939901203</v>
      </c>
      <c r="AX85" s="424">
        <v>53434598.972525172</v>
      </c>
      <c r="AY85" s="424">
        <v>7309999.9663159931</v>
      </c>
      <c r="AZ85" s="424">
        <v>846338.67252195731</v>
      </c>
      <c r="BA85" s="472">
        <v>0.87966008344859903</v>
      </c>
      <c r="BB85" s="453">
        <v>11495</v>
      </c>
      <c r="BC85" s="390">
        <v>53</v>
      </c>
      <c r="BD85" s="236">
        <v>0</v>
      </c>
    </row>
    <row r="86" spans="1:56" s="121" customFormat="1" ht="14.25" customHeight="1">
      <c r="A86" s="104">
        <v>2023</v>
      </c>
      <c r="B86" s="105" t="s">
        <v>597</v>
      </c>
      <c r="C86" s="556" t="s">
        <v>581</v>
      </c>
      <c r="D86" s="106" t="s">
        <v>2415</v>
      </c>
      <c r="E86" s="150" t="s">
        <v>582</v>
      </c>
      <c r="F86" s="71" t="s">
        <v>78</v>
      </c>
      <c r="G86" s="68" t="s">
        <v>180</v>
      </c>
      <c r="H86" s="414"/>
      <c r="I86" s="417"/>
      <c r="J86" s="423">
        <v>70.2</v>
      </c>
      <c r="K86" s="462">
        <v>70.2</v>
      </c>
      <c r="L86" s="387">
        <v>354.95800000000003</v>
      </c>
      <c r="M86" s="416">
        <v>29.552</v>
      </c>
      <c r="N86" s="390"/>
      <c r="O86" s="387">
        <v>0</v>
      </c>
      <c r="P86" s="427">
        <v>2.4E-2</v>
      </c>
      <c r="Q86" s="387">
        <v>8495</v>
      </c>
      <c r="R86" s="417"/>
      <c r="S86" s="387">
        <v>204</v>
      </c>
      <c r="T86" s="390"/>
      <c r="U86" s="426">
        <v>21</v>
      </c>
      <c r="V86" s="416">
        <v>100</v>
      </c>
      <c r="W86" s="462">
        <v>709.51</v>
      </c>
      <c r="X86" s="416">
        <v>0</v>
      </c>
      <c r="Y86" s="416">
        <v>0</v>
      </c>
      <c r="Z86" s="391">
        <v>98</v>
      </c>
      <c r="AA86" s="416">
        <v>100</v>
      </c>
      <c r="AB86" s="462">
        <v>198</v>
      </c>
      <c r="AC86" s="387"/>
      <c r="AD86" s="387">
        <v>39</v>
      </c>
      <c r="AE86" s="388"/>
      <c r="AF86" s="392"/>
      <c r="AG86" s="387">
        <v>113</v>
      </c>
      <c r="AH86" s="388"/>
      <c r="AI86" s="388">
        <v>2</v>
      </c>
      <c r="AJ86" s="462">
        <v>154</v>
      </c>
      <c r="AK86" s="388">
        <v>36122.945</v>
      </c>
      <c r="AL86" s="388">
        <v>29434.15</v>
      </c>
      <c r="AM86" s="388">
        <v>6688.7950000000001</v>
      </c>
      <c r="AN86" s="388">
        <v>994.197</v>
      </c>
      <c r="AO86" s="467">
        <v>0.8148325115795515</v>
      </c>
      <c r="AP86" s="468">
        <v>1703.7069999999999</v>
      </c>
      <c r="AQ86" s="468">
        <v>-1633.5069999999998</v>
      </c>
      <c r="AR86" s="393"/>
      <c r="AS86" s="394"/>
      <c r="AT86" s="394"/>
      <c r="AU86" s="395"/>
      <c r="AV86" s="471"/>
      <c r="AW86" s="388">
        <v>36122945</v>
      </c>
      <c r="AX86" s="424">
        <v>29434150</v>
      </c>
      <c r="AY86" s="424">
        <v>6688795</v>
      </c>
      <c r="AZ86" s="424">
        <v>994197</v>
      </c>
      <c r="BA86" s="472">
        <v>0.8148325115795515</v>
      </c>
      <c r="BB86" s="453">
        <v>4272</v>
      </c>
      <c r="BC86" s="390">
        <v>1</v>
      </c>
      <c r="BD86" s="236">
        <v>0</v>
      </c>
    </row>
    <row r="87" spans="1:56" s="121" customFormat="1" ht="14.25" customHeight="1">
      <c r="A87" s="104">
        <v>2023</v>
      </c>
      <c r="B87" s="105" t="s">
        <v>600</v>
      </c>
      <c r="C87" s="556" t="s">
        <v>587</v>
      </c>
      <c r="D87" s="106" t="s">
        <v>2415</v>
      </c>
      <c r="E87" s="150" t="s">
        <v>588</v>
      </c>
      <c r="F87" s="71" t="s">
        <v>78</v>
      </c>
      <c r="G87" s="68" t="s">
        <v>180</v>
      </c>
      <c r="H87" s="414"/>
      <c r="I87" s="417"/>
      <c r="J87" s="423">
        <v>0</v>
      </c>
      <c r="K87" s="462">
        <v>0</v>
      </c>
      <c r="L87" s="387">
        <v>71.046000000000006</v>
      </c>
      <c r="M87" s="416">
        <v>29.552</v>
      </c>
      <c r="N87" s="390"/>
      <c r="O87" s="387">
        <v>215.71</v>
      </c>
      <c r="P87" s="427">
        <v>2.4E-2</v>
      </c>
      <c r="Q87" s="387">
        <v>8495</v>
      </c>
      <c r="R87" s="417"/>
      <c r="S87" s="387">
        <v>204</v>
      </c>
      <c r="T87" s="390"/>
      <c r="U87" s="426">
        <v>21</v>
      </c>
      <c r="V87" s="416">
        <v>100</v>
      </c>
      <c r="W87" s="462">
        <v>641.30799999999999</v>
      </c>
      <c r="X87" s="416">
        <v>0</v>
      </c>
      <c r="Y87" s="416">
        <v>0</v>
      </c>
      <c r="Z87" s="416">
        <v>8</v>
      </c>
      <c r="AA87" s="416">
        <v>100</v>
      </c>
      <c r="AB87" s="462">
        <v>108</v>
      </c>
      <c r="AC87" s="387"/>
      <c r="AD87" s="387">
        <v>20</v>
      </c>
      <c r="AE87" s="388"/>
      <c r="AF87" s="392"/>
      <c r="AG87" s="387">
        <v>35</v>
      </c>
      <c r="AH87" s="388"/>
      <c r="AI87" s="388">
        <v>116</v>
      </c>
      <c r="AJ87" s="462">
        <v>171</v>
      </c>
      <c r="AK87" s="388">
        <v>47078.5</v>
      </c>
      <c r="AL87" s="388">
        <v>32902.127</v>
      </c>
      <c r="AM87" s="388">
        <v>14176.373</v>
      </c>
      <c r="AN87" s="388">
        <v>1258.796</v>
      </c>
      <c r="AO87" s="467">
        <v>0.6988779803944476</v>
      </c>
      <c r="AP87" s="468">
        <v>1900.104</v>
      </c>
      <c r="AQ87" s="468">
        <v>-1900.104</v>
      </c>
      <c r="AR87" s="393"/>
      <c r="AS87" s="394"/>
      <c r="AT87" s="394"/>
      <c r="AU87" s="395"/>
      <c r="AV87" s="471"/>
      <c r="AW87" s="388">
        <v>47078500</v>
      </c>
      <c r="AX87" s="424">
        <v>32902127</v>
      </c>
      <c r="AY87" s="424">
        <v>14176373</v>
      </c>
      <c r="AZ87" s="424">
        <v>1258796</v>
      </c>
      <c r="BA87" s="472">
        <v>0.6988779803944476</v>
      </c>
      <c r="BB87" s="453">
        <v>1811</v>
      </c>
      <c r="BC87" s="390">
        <v>8</v>
      </c>
      <c r="BD87" s="236">
        <v>0</v>
      </c>
    </row>
    <row r="88" spans="1:56" s="121" customFormat="1" ht="14.25" customHeight="1">
      <c r="A88" s="104">
        <v>2023</v>
      </c>
      <c r="B88" s="105" t="s">
        <v>605</v>
      </c>
      <c r="C88" s="556" t="s">
        <v>592</v>
      </c>
      <c r="D88" s="106" t="s">
        <v>2415</v>
      </c>
      <c r="E88" s="150" t="s">
        <v>593</v>
      </c>
      <c r="F88" s="71" t="s">
        <v>78</v>
      </c>
      <c r="G88" s="68" t="s">
        <v>180</v>
      </c>
      <c r="H88" s="386"/>
      <c r="I88" s="417"/>
      <c r="J88" s="423">
        <v>0</v>
      </c>
      <c r="K88" s="462">
        <v>0</v>
      </c>
      <c r="L88" s="387">
        <v>125.441</v>
      </c>
      <c r="M88" s="416">
        <v>29.552</v>
      </c>
      <c r="N88" s="390">
        <v>717</v>
      </c>
      <c r="O88" s="387">
        <v>11.55</v>
      </c>
      <c r="P88" s="427">
        <v>2.4E-2</v>
      </c>
      <c r="Q88" s="387">
        <v>8495</v>
      </c>
      <c r="R88" s="417"/>
      <c r="S88" s="387">
        <v>204</v>
      </c>
      <c r="T88" s="390"/>
      <c r="U88" s="426">
        <v>21</v>
      </c>
      <c r="V88" s="416">
        <v>100</v>
      </c>
      <c r="W88" s="462">
        <v>1208.5429999999999</v>
      </c>
      <c r="X88" s="416">
        <v>0</v>
      </c>
      <c r="Y88" s="416">
        <v>0</v>
      </c>
      <c r="Z88" s="416">
        <v>2</v>
      </c>
      <c r="AA88" s="416">
        <v>100</v>
      </c>
      <c r="AB88" s="462">
        <v>102</v>
      </c>
      <c r="AC88" s="387"/>
      <c r="AD88" s="387"/>
      <c r="AE88" s="388"/>
      <c r="AF88" s="392"/>
      <c r="AG88" s="387">
        <v>57</v>
      </c>
      <c r="AH88" s="388"/>
      <c r="AI88" s="388">
        <v>65</v>
      </c>
      <c r="AJ88" s="462">
        <v>122</v>
      </c>
      <c r="AK88" s="388">
        <v>53288.574000000001</v>
      </c>
      <c r="AL88" s="388">
        <v>37334.438999999998</v>
      </c>
      <c r="AM88" s="388">
        <v>15954.135</v>
      </c>
      <c r="AN88" s="388">
        <v>1224.684</v>
      </c>
      <c r="AO88" s="467">
        <v>0.70060870835087463</v>
      </c>
      <c r="AP88" s="468">
        <v>2433.2269999999999</v>
      </c>
      <c r="AQ88" s="468">
        <v>-2433.2269999999999</v>
      </c>
      <c r="AR88" s="393"/>
      <c r="AS88" s="394"/>
      <c r="AT88" s="394"/>
      <c r="AU88" s="395"/>
      <c r="AV88" s="471"/>
      <c r="AW88" s="388">
        <v>53288574</v>
      </c>
      <c r="AX88" s="424">
        <v>37334439</v>
      </c>
      <c r="AY88" s="424">
        <v>15954135</v>
      </c>
      <c r="AZ88" s="424">
        <v>1224684</v>
      </c>
      <c r="BA88" s="472">
        <v>0.70060870835087463</v>
      </c>
      <c r="BB88" s="453">
        <v>3607</v>
      </c>
      <c r="BC88" s="390">
        <v>5</v>
      </c>
      <c r="BD88" s="236">
        <v>0</v>
      </c>
    </row>
    <row r="89" spans="1:56" s="121" customFormat="1" ht="14.25" customHeight="1">
      <c r="A89" s="104">
        <v>2023</v>
      </c>
      <c r="B89" s="105" t="s">
        <v>611</v>
      </c>
      <c r="C89" s="556" t="s">
        <v>598</v>
      </c>
      <c r="D89" s="106" t="s">
        <v>2415</v>
      </c>
      <c r="E89" s="150" t="s">
        <v>163</v>
      </c>
      <c r="F89" s="71" t="s">
        <v>78</v>
      </c>
      <c r="G89" s="68" t="s">
        <v>156</v>
      </c>
      <c r="H89" s="386"/>
      <c r="I89" s="388"/>
      <c r="J89" s="424"/>
      <c r="K89" s="462">
        <v>0</v>
      </c>
      <c r="L89" s="387"/>
      <c r="M89" s="387"/>
      <c r="N89" s="390"/>
      <c r="O89" s="387"/>
      <c r="P89" s="389"/>
      <c r="Q89" s="387">
        <v>8495</v>
      </c>
      <c r="R89" s="388"/>
      <c r="S89" s="387">
        <v>0</v>
      </c>
      <c r="T89" s="390"/>
      <c r="U89" s="426"/>
      <c r="V89" s="387"/>
      <c r="W89" s="462">
        <v>0</v>
      </c>
      <c r="X89" s="387"/>
      <c r="Y89" s="387"/>
      <c r="Z89" s="391"/>
      <c r="AA89" s="387"/>
      <c r="AB89" s="462">
        <v>0</v>
      </c>
      <c r="AC89" s="387"/>
      <c r="AD89" s="387"/>
      <c r="AE89" s="388"/>
      <c r="AF89" s="392"/>
      <c r="AG89" s="387"/>
      <c r="AH89" s="388"/>
      <c r="AI89" s="388"/>
      <c r="AJ89" s="462">
        <v>0</v>
      </c>
      <c r="AK89" s="388">
        <v>0</v>
      </c>
      <c r="AL89" s="388">
        <v>0</v>
      </c>
      <c r="AM89" s="388">
        <v>0</v>
      </c>
      <c r="AN89" s="388">
        <v>0</v>
      </c>
      <c r="AO89" s="467" t="s">
        <v>2698</v>
      </c>
      <c r="AP89" s="468">
        <v>0</v>
      </c>
      <c r="AQ89" s="468">
        <v>0</v>
      </c>
      <c r="AR89" s="393"/>
      <c r="AS89" s="394"/>
      <c r="AT89" s="394"/>
      <c r="AU89" s="395"/>
      <c r="AV89" s="471"/>
      <c r="AW89" s="388">
        <v>0</v>
      </c>
      <c r="AX89" s="424">
        <v>0</v>
      </c>
      <c r="AY89" s="424">
        <v>0</v>
      </c>
      <c r="AZ89" s="424">
        <v>0</v>
      </c>
      <c r="BA89" s="472" t="e">
        <v>#DIV/0!</v>
      </c>
      <c r="BB89" s="453">
        <v>0</v>
      </c>
      <c r="BC89" s="390">
        <v>0</v>
      </c>
      <c r="BD89" s="236">
        <v>0</v>
      </c>
    </row>
    <row r="90" spans="1:56" s="121" customFormat="1" ht="14.25" customHeight="1">
      <c r="A90" s="104">
        <v>2023</v>
      </c>
      <c r="B90" s="105" t="s">
        <v>618</v>
      </c>
      <c r="C90" s="556" t="s">
        <v>601</v>
      </c>
      <c r="D90" s="106" t="s">
        <v>2415</v>
      </c>
      <c r="E90" s="150" t="s">
        <v>602</v>
      </c>
      <c r="F90" s="71" t="s">
        <v>78</v>
      </c>
      <c r="G90" s="68" t="s">
        <v>180</v>
      </c>
      <c r="H90" s="386"/>
      <c r="I90" s="417"/>
      <c r="J90" s="423">
        <v>49.9</v>
      </c>
      <c r="K90" s="462">
        <v>49.9</v>
      </c>
      <c r="L90" s="387">
        <v>232.44900000000001</v>
      </c>
      <c r="M90" s="416">
        <v>29.552</v>
      </c>
      <c r="N90" s="390"/>
      <c r="O90" s="387">
        <v>215.6</v>
      </c>
      <c r="P90" s="427">
        <v>2.4E-2</v>
      </c>
      <c r="Q90" s="387">
        <v>8495</v>
      </c>
      <c r="R90" s="417"/>
      <c r="S90" s="387">
        <v>204</v>
      </c>
      <c r="T90" s="390"/>
      <c r="U90" s="426">
        <v>21</v>
      </c>
      <c r="V90" s="416">
        <v>100</v>
      </c>
      <c r="W90" s="462">
        <v>802.601</v>
      </c>
      <c r="X90" s="416">
        <v>0</v>
      </c>
      <c r="Y90" s="416">
        <v>0</v>
      </c>
      <c r="Z90" s="391">
        <v>98</v>
      </c>
      <c r="AA90" s="416">
        <v>100</v>
      </c>
      <c r="AB90" s="462">
        <v>198</v>
      </c>
      <c r="AC90" s="387"/>
      <c r="AD90" s="387"/>
      <c r="AE90" s="388"/>
      <c r="AF90" s="392"/>
      <c r="AG90" s="387">
        <v>161</v>
      </c>
      <c r="AH90" s="388"/>
      <c r="AI90" s="388">
        <v>48</v>
      </c>
      <c r="AJ90" s="462">
        <v>209</v>
      </c>
      <c r="AK90" s="388">
        <v>58534</v>
      </c>
      <c r="AL90" s="388">
        <v>46421.919999999998</v>
      </c>
      <c r="AM90" s="388">
        <v>12112.08</v>
      </c>
      <c r="AN90" s="388">
        <v>796.05799999999999</v>
      </c>
      <c r="AO90" s="467">
        <v>0.79307616086377153</v>
      </c>
      <c r="AP90" s="468">
        <v>1598.6590000000001</v>
      </c>
      <c r="AQ90" s="468">
        <v>-1548.759</v>
      </c>
      <c r="AR90" s="393"/>
      <c r="AS90" s="394"/>
      <c r="AT90" s="394"/>
      <c r="AU90" s="395"/>
      <c r="AV90" s="471"/>
      <c r="AW90" s="388">
        <v>58534000</v>
      </c>
      <c r="AX90" s="424">
        <v>46421920</v>
      </c>
      <c r="AY90" s="424">
        <v>12112080</v>
      </c>
      <c r="AZ90" s="424">
        <v>796058</v>
      </c>
      <c r="BA90" s="472">
        <v>0.79307616086377153</v>
      </c>
      <c r="BB90" s="453">
        <v>4138</v>
      </c>
      <c r="BC90" s="390">
        <v>1</v>
      </c>
      <c r="BD90" s="236">
        <v>0</v>
      </c>
    </row>
    <row r="91" spans="1:56" s="121" customFormat="1" ht="14.25" customHeight="1">
      <c r="A91" s="104">
        <v>2023</v>
      </c>
      <c r="B91" s="105" t="s">
        <v>621</v>
      </c>
      <c r="C91" s="556" t="s">
        <v>606</v>
      </c>
      <c r="D91" s="106" t="s">
        <v>2415</v>
      </c>
      <c r="E91" s="150" t="s">
        <v>607</v>
      </c>
      <c r="F91" s="71" t="s">
        <v>78</v>
      </c>
      <c r="G91" s="68" t="s">
        <v>180</v>
      </c>
      <c r="H91" s="386"/>
      <c r="I91" s="417"/>
      <c r="J91" s="423">
        <v>218.05</v>
      </c>
      <c r="K91" s="462">
        <v>218.05</v>
      </c>
      <c r="L91" s="387">
        <v>615.81600000000003</v>
      </c>
      <c r="M91" s="416">
        <v>29.552</v>
      </c>
      <c r="N91" s="390"/>
      <c r="O91" s="387">
        <v>152.46</v>
      </c>
      <c r="P91" s="427">
        <v>2.4E-2</v>
      </c>
      <c r="Q91" s="387">
        <v>8495</v>
      </c>
      <c r="R91" s="417"/>
      <c r="S91" s="387">
        <v>204</v>
      </c>
      <c r="T91" s="390"/>
      <c r="U91" s="426">
        <v>21</v>
      </c>
      <c r="V91" s="416">
        <v>100</v>
      </c>
      <c r="W91" s="462">
        <v>1122.828</v>
      </c>
      <c r="X91" s="416">
        <v>0</v>
      </c>
      <c r="Y91" s="416">
        <v>0</v>
      </c>
      <c r="Z91" s="391">
        <v>366</v>
      </c>
      <c r="AA91" s="416">
        <v>100</v>
      </c>
      <c r="AB91" s="462">
        <v>466</v>
      </c>
      <c r="AC91" s="387"/>
      <c r="AD91" s="387">
        <v>223</v>
      </c>
      <c r="AE91" s="388"/>
      <c r="AF91" s="392"/>
      <c r="AG91" s="387">
        <v>66</v>
      </c>
      <c r="AH91" s="388"/>
      <c r="AI91" s="388">
        <v>188</v>
      </c>
      <c r="AJ91" s="462">
        <v>477</v>
      </c>
      <c r="AK91" s="388">
        <v>105886.02800000001</v>
      </c>
      <c r="AL91" s="388">
        <v>95142.778999999995</v>
      </c>
      <c r="AM91" s="388">
        <v>10743.249</v>
      </c>
      <c r="AN91" s="388">
        <v>2240.2779999999998</v>
      </c>
      <c r="AO91" s="467">
        <v>0.8985395032477751</v>
      </c>
      <c r="AP91" s="468">
        <v>3363.1059999999998</v>
      </c>
      <c r="AQ91" s="468">
        <v>-3145.0559999999996</v>
      </c>
      <c r="AR91" s="393"/>
      <c r="AS91" s="394"/>
      <c r="AT91" s="394"/>
      <c r="AU91" s="395"/>
      <c r="AV91" s="471"/>
      <c r="AW91" s="388">
        <v>105886028</v>
      </c>
      <c r="AX91" s="424">
        <v>95142779</v>
      </c>
      <c r="AY91" s="424">
        <v>10743249</v>
      </c>
      <c r="AZ91" s="424">
        <v>2240278</v>
      </c>
      <c r="BA91" s="472">
        <v>0.8985395032477751</v>
      </c>
      <c r="BB91" s="453">
        <v>13100</v>
      </c>
      <c r="BC91" s="390">
        <v>16</v>
      </c>
      <c r="BD91" s="236">
        <v>0</v>
      </c>
    </row>
    <row r="92" spans="1:56" s="121" customFormat="1" ht="14.25" customHeight="1">
      <c r="A92" s="104">
        <v>2023</v>
      </c>
      <c r="B92" s="105" t="s">
        <v>624</v>
      </c>
      <c r="C92" s="556" t="s">
        <v>612</v>
      </c>
      <c r="D92" s="106" t="s">
        <v>2415</v>
      </c>
      <c r="E92" s="150" t="s">
        <v>613</v>
      </c>
      <c r="F92" s="71" t="s">
        <v>78</v>
      </c>
      <c r="G92" s="68" t="s">
        <v>180</v>
      </c>
      <c r="H92" s="386"/>
      <c r="I92" s="417"/>
      <c r="J92" s="423">
        <v>157</v>
      </c>
      <c r="K92" s="462">
        <v>157</v>
      </c>
      <c r="L92" s="387">
        <v>638.16999999999996</v>
      </c>
      <c r="M92" s="416">
        <v>29.552</v>
      </c>
      <c r="N92" s="390"/>
      <c r="O92" s="387">
        <v>238.48</v>
      </c>
      <c r="P92" s="427">
        <v>2.4E-2</v>
      </c>
      <c r="Q92" s="387">
        <v>8495</v>
      </c>
      <c r="R92" s="417"/>
      <c r="S92" s="387">
        <v>204</v>
      </c>
      <c r="T92" s="390"/>
      <c r="U92" s="426">
        <v>26</v>
      </c>
      <c r="V92" s="416">
        <v>100</v>
      </c>
      <c r="W92" s="462">
        <v>1236.202</v>
      </c>
      <c r="X92" s="416">
        <v>0</v>
      </c>
      <c r="Y92" s="416">
        <v>0</v>
      </c>
      <c r="Z92" s="391">
        <v>197</v>
      </c>
      <c r="AA92" s="416">
        <v>100</v>
      </c>
      <c r="AB92" s="462">
        <v>297</v>
      </c>
      <c r="AC92" s="387"/>
      <c r="AD92" s="387"/>
      <c r="AE92" s="388"/>
      <c r="AF92" s="392"/>
      <c r="AG92" s="387">
        <v>245</v>
      </c>
      <c r="AH92" s="388"/>
      <c r="AI92" s="388">
        <v>105</v>
      </c>
      <c r="AJ92" s="462">
        <v>350</v>
      </c>
      <c r="AK92" s="388">
        <v>101542.62300000001</v>
      </c>
      <c r="AL92" s="388">
        <v>75883.327999999994</v>
      </c>
      <c r="AM92" s="388">
        <v>25659.294999999998</v>
      </c>
      <c r="AN92" s="388">
        <v>2156.5149999999999</v>
      </c>
      <c r="AO92" s="467">
        <v>0.74730517843723621</v>
      </c>
      <c r="AP92" s="468">
        <v>3392.7169999999996</v>
      </c>
      <c r="AQ92" s="468">
        <v>-3235.7169999999996</v>
      </c>
      <c r="AR92" s="393"/>
      <c r="AS92" s="394"/>
      <c r="AT92" s="394"/>
      <c r="AU92" s="395"/>
      <c r="AV92" s="471"/>
      <c r="AW92" s="388">
        <v>101542623</v>
      </c>
      <c r="AX92" s="424">
        <v>75883328</v>
      </c>
      <c r="AY92" s="424">
        <v>25659295</v>
      </c>
      <c r="AZ92" s="424">
        <v>2156515</v>
      </c>
      <c r="BA92" s="472">
        <v>0.74730517843723621</v>
      </c>
      <c r="BB92" s="453">
        <v>12592</v>
      </c>
      <c r="BC92" s="390">
        <v>33</v>
      </c>
      <c r="BD92" s="236">
        <v>0</v>
      </c>
    </row>
    <row r="93" spans="1:56" s="121" customFormat="1" ht="14.25" customHeight="1">
      <c r="A93" s="104">
        <v>2023</v>
      </c>
      <c r="B93" s="105" t="s">
        <v>627</v>
      </c>
      <c r="C93" s="556" t="s">
        <v>2703</v>
      </c>
      <c r="D93" s="106" t="s">
        <v>2415</v>
      </c>
      <c r="E93" s="150" t="s">
        <v>2617</v>
      </c>
      <c r="F93" s="71" t="s">
        <v>78</v>
      </c>
      <c r="G93" s="68" t="s">
        <v>180</v>
      </c>
      <c r="H93" s="386"/>
      <c r="I93" s="417"/>
      <c r="J93" s="423">
        <v>237.2</v>
      </c>
      <c r="K93" s="462">
        <v>237.2</v>
      </c>
      <c r="L93" s="387">
        <v>659.75800000000004</v>
      </c>
      <c r="M93" s="416">
        <v>29.552</v>
      </c>
      <c r="N93" s="390"/>
      <c r="O93" s="387">
        <v>97.9</v>
      </c>
      <c r="P93" s="427">
        <v>2.4E-2</v>
      </c>
      <c r="Q93" s="387">
        <v>8495</v>
      </c>
      <c r="R93" s="417"/>
      <c r="S93" s="387">
        <v>204</v>
      </c>
      <c r="T93" s="390"/>
      <c r="U93" s="426">
        <v>5999</v>
      </c>
      <c r="V93" s="416">
        <v>151</v>
      </c>
      <c r="W93" s="462">
        <v>7141.21</v>
      </c>
      <c r="X93" s="416">
        <v>0</v>
      </c>
      <c r="Y93" s="416">
        <v>0</v>
      </c>
      <c r="Z93" s="416">
        <v>529</v>
      </c>
      <c r="AA93" s="416">
        <v>151</v>
      </c>
      <c r="AB93" s="462">
        <v>680</v>
      </c>
      <c r="AC93" s="387"/>
      <c r="AD93" s="387">
        <v>167</v>
      </c>
      <c r="AE93" s="388"/>
      <c r="AF93" s="392">
        <v>2</v>
      </c>
      <c r="AG93" s="387">
        <v>182</v>
      </c>
      <c r="AH93" s="388"/>
      <c r="AI93" s="388">
        <v>139</v>
      </c>
      <c r="AJ93" s="462">
        <v>490</v>
      </c>
      <c r="AK93" s="388">
        <v>148232.30600000001</v>
      </c>
      <c r="AL93" s="388">
        <v>0</v>
      </c>
      <c r="AM93" s="388">
        <v>148232.30600000001</v>
      </c>
      <c r="AN93" s="388">
        <v>0</v>
      </c>
      <c r="AO93" s="467">
        <v>0</v>
      </c>
      <c r="AP93" s="468">
        <v>7141.21</v>
      </c>
      <c r="AQ93" s="468">
        <v>-6904.01</v>
      </c>
      <c r="AR93" s="393"/>
      <c r="AS93" s="394"/>
      <c r="AT93" s="394"/>
      <c r="AU93" s="395"/>
      <c r="AV93" s="471"/>
      <c r="AW93" s="388">
        <v>148232306</v>
      </c>
      <c r="AX93" s="424">
        <v>0</v>
      </c>
      <c r="AY93" s="424">
        <v>148232306</v>
      </c>
      <c r="AZ93" s="424">
        <v>0</v>
      </c>
      <c r="BA93" s="472">
        <v>0</v>
      </c>
      <c r="BB93" s="453">
        <v>13044</v>
      </c>
      <c r="BC93" s="390">
        <v>32</v>
      </c>
      <c r="BD93" s="236">
        <v>0</v>
      </c>
    </row>
    <row r="94" spans="1:56" s="121" customFormat="1" ht="14.25" customHeight="1">
      <c r="A94" s="104">
        <v>2023</v>
      </c>
      <c r="B94" s="105" t="s">
        <v>634</v>
      </c>
      <c r="C94" s="556" t="s">
        <v>628</v>
      </c>
      <c r="D94" s="106" t="s">
        <v>2415</v>
      </c>
      <c r="E94" s="150" t="s">
        <v>629</v>
      </c>
      <c r="F94" s="71" t="s">
        <v>78</v>
      </c>
      <c r="G94" s="68" t="s">
        <v>180</v>
      </c>
      <c r="H94" s="386"/>
      <c r="I94" s="417"/>
      <c r="J94" s="423">
        <v>0</v>
      </c>
      <c r="K94" s="462">
        <v>0</v>
      </c>
      <c r="L94" s="387">
        <v>312.66500000000002</v>
      </c>
      <c r="M94" s="416">
        <v>29.552</v>
      </c>
      <c r="N94" s="390"/>
      <c r="O94" s="387">
        <v>94.38</v>
      </c>
      <c r="P94" s="427">
        <v>2.4E-2</v>
      </c>
      <c r="Q94" s="387">
        <v>8495</v>
      </c>
      <c r="R94" s="417"/>
      <c r="S94" s="387">
        <v>204</v>
      </c>
      <c r="T94" s="390"/>
      <c r="U94" s="426">
        <v>21</v>
      </c>
      <c r="V94" s="416">
        <v>100</v>
      </c>
      <c r="W94" s="462">
        <v>761.59699999999998</v>
      </c>
      <c r="X94" s="416">
        <v>0</v>
      </c>
      <c r="Y94" s="416">
        <v>0</v>
      </c>
      <c r="Z94" s="391">
        <v>0</v>
      </c>
      <c r="AA94" s="416">
        <v>100</v>
      </c>
      <c r="AB94" s="462">
        <v>100</v>
      </c>
      <c r="AC94" s="387"/>
      <c r="AD94" s="387">
        <v>50</v>
      </c>
      <c r="AE94" s="388"/>
      <c r="AF94" s="392"/>
      <c r="AG94" s="387">
        <v>30</v>
      </c>
      <c r="AH94" s="388"/>
      <c r="AI94" s="388">
        <v>20</v>
      </c>
      <c r="AJ94" s="462">
        <v>100</v>
      </c>
      <c r="AK94" s="388">
        <v>35807</v>
      </c>
      <c r="AL94" s="388">
        <v>33110.131000000001</v>
      </c>
      <c r="AM94" s="388">
        <v>2696.8690000000001</v>
      </c>
      <c r="AN94" s="388">
        <v>164.24100000000001</v>
      </c>
      <c r="AO94" s="467">
        <v>0.92468319043762393</v>
      </c>
      <c r="AP94" s="468">
        <v>925.83799999999997</v>
      </c>
      <c r="AQ94" s="468">
        <v>-925.83799999999997</v>
      </c>
      <c r="AR94" s="393"/>
      <c r="AS94" s="394"/>
      <c r="AT94" s="394"/>
      <c r="AU94" s="395"/>
      <c r="AV94" s="471"/>
      <c r="AW94" s="388">
        <v>35807000</v>
      </c>
      <c r="AX94" s="424">
        <v>33110131</v>
      </c>
      <c r="AY94" s="424">
        <v>2696869</v>
      </c>
      <c r="AZ94" s="424">
        <v>164241</v>
      </c>
      <c r="BA94" s="472">
        <v>0.92468319043762393</v>
      </c>
      <c r="BB94" s="453">
        <v>3957</v>
      </c>
      <c r="BC94" s="390">
        <v>0</v>
      </c>
      <c r="BD94" s="236">
        <v>0</v>
      </c>
    </row>
    <row r="95" spans="1:56" s="121" customFormat="1" ht="14.25" customHeight="1">
      <c r="A95" s="104">
        <v>2023</v>
      </c>
      <c r="B95" s="105" t="s">
        <v>639</v>
      </c>
      <c r="C95" s="556" t="s">
        <v>635</v>
      </c>
      <c r="D95" s="106" t="s">
        <v>2415</v>
      </c>
      <c r="E95" s="150" t="s">
        <v>636</v>
      </c>
      <c r="F95" s="71" t="s">
        <v>78</v>
      </c>
      <c r="G95" s="68" t="s">
        <v>180</v>
      </c>
      <c r="H95" s="386"/>
      <c r="I95" s="417"/>
      <c r="J95" s="423">
        <v>0</v>
      </c>
      <c r="K95" s="462">
        <v>0</v>
      </c>
      <c r="L95" s="387">
        <v>952.55700000000002</v>
      </c>
      <c r="M95" s="416">
        <v>29.552</v>
      </c>
      <c r="N95" s="390"/>
      <c r="O95" s="387">
        <v>99.99</v>
      </c>
      <c r="P95" s="427">
        <v>2.4E-2</v>
      </c>
      <c r="Q95" s="387">
        <v>8495</v>
      </c>
      <c r="R95" s="417"/>
      <c r="S95" s="387">
        <v>204</v>
      </c>
      <c r="T95" s="390"/>
      <c r="U95" s="426">
        <v>21</v>
      </c>
      <c r="V95" s="416">
        <v>100</v>
      </c>
      <c r="W95" s="462">
        <v>1407.0989999999999</v>
      </c>
      <c r="X95" s="416">
        <v>0</v>
      </c>
      <c r="Y95" s="416">
        <v>0</v>
      </c>
      <c r="Z95" s="391">
        <v>375</v>
      </c>
      <c r="AA95" s="416">
        <v>100</v>
      </c>
      <c r="AB95" s="462">
        <v>475</v>
      </c>
      <c r="AC95" s="387"/>
      <c r="AD95" s="387"/>
      <c r="AE95" s="388"/>
      <c r="AF95" s="392">
        <v>95</v>
      </c>
      <c r="AG95" s="387">
        <v>380</v>
      </c>
      <c r="AH95" s="388"/>
      <c r="AI95" s="388">
        <v>26</v>
      </c>
      <c r="AJ95" s="462">
        <v>501</v>
      </c>
      <c r="AK95" s="388">
        <v>118378.95</v>
      </c>
      <c r="AL95" s="388">
        <v>98197.611999999994</v>
      </c>
      <c r="AM95" s="388">
        <v>20181.338</v>
      </c>
      <c r="AN95" s="388">
        <v>665.58600000000001</v>
      </c>
      <c r="AO95" s="467">
        <v>0.82951920083764896</v>
      </c>
      <c r="AP95" s="468">
        <v>2072.6849999999999</v>
      </c>
      <c r="AQ95" s="468">
        <v>-2072.6849999999999</v>
      </c>
      <c r="AR95" s="393"/>
      <c r="AS95" s="394"/>
      <c r="AT95" s="394"/>
      <c r="AU95" s="395"/>
      <c r="AV95" s="471"/>
      <c r="AW95" s="388">
        <v>118378950</v>
      </c>
      <c r="AX95" s="424">
        <v>98197612</v>
      </c>
      <c r="AY95" s="424">
        <v>20181338</v>
      </c>
      <c r="AZ95" s="424">
        <v>665586</v>
      </c>
      <c r="BA95" s="472">
        <v>0.82951920083764896</v>
      </c>
      <c r="BB95" s="453">
        <v>23198</v>
      </c>
      <c r="BC95" s="390">
        <v>0</v>
      </c>
      <c r="BD95" s="236">
        <v>56.900000000000006</v>
      </c>
    </row>
    <row r="96" spans="1:56" s="121" customFormat="1" ht="14.25" customHeight="1">
      <c r="A96" s="104">
        <v>2023</v>
      </c>
      <c r="B96" s="105" t="s">
        <v>645</v>
      </c>
      <c r="C96" s="556" t="s">
        <v>640</v>
      </c>
      <c r="D96" s="106" t="s">
        <v>2415</v>
      </c>
      <c r="E96" s="150" t="s">
        <v>641</v>
      </c>
      <c r="F96" s="71" t="s">
        <v>78</v>
      </c>
      <c r="G96" s="68" t="s">
        <v>180</v>
      </c>
      <c r="H96" s="386"/>
      <c r="I96" s="417"/>
      <c r="J96" s="423">
        <v>0</v>
      </c>
      <c r="K96" s="462">
        <v>0</v>
      </c>
      <c r="L96" s="387">
        <v>311.70999999999998</v>
      </c>
      <c r="M96" s="416">
        <v>29.552</v>
      </c>
      <c r="N96" s="390"/>
      <c r="O96" s="387">
        <v>6.6</v>
      </c>
      <c r="P96" s="427">
        <v>2.4E-2</v>
      </c>
      <c r="Q96" s="387">
        <v>8495</v>
      </c>
      <c r="R96" s="417"/>
      <c r="S96" s="387">
        <v>204</v>
      </c>
      <c r="T96" s="390"/>
      <c r="U96" s="426">
        <v>21</v>
      </c>
      <c r="V96" s="416">
        <v>100</v>
      </c>
      <c r="W96" s="462">
        <v>672.86200000000008</v>
      </c>
      <c r="X96" s="416">
        <v>0</v>
      </c>
      <c r="Y96" s="416">
        <v>0</v>
      </c>
      <c r="Z96" s="416">
        <v>44</v>
      </c>
      <c r="AA96" s="416">
        <v>100</v>
      </c>
      <c r="AB96" s="462">
        <v>144</v>
      </c>
      <c r="AC96" s="387"/>
      <c r="AD96" s="387"/>
      <c r="AE96" s="388"/>
      <c r="AF96" s="392"/>
      <c r="AG96" s="387">
        <v>78</v>
      </c>
      <c r="AH96" s="388"/>
      <c r="AI96" s="388">
        <v>65</v>
      </c>
      <c r="AJ96" s="462">
        <v>143</v>
      </c>
      <c r="AK96" s="388">
        <v>35518</v>
      </c>
      <c r="AL96" s="388">
        <v>30014.347000000002</v>
      </c>
      <c r="AM96" s="388">
        <v>5503.6530000000002</v>
      </c>
      <c r="AN96" s="388">
        <v>825.56100000000004</v>
      </c>
      <c r="AO96" s="467">
        <v>0.84504608930683034</v>
      </c>
      <c r="AP96" s="468">
        <v>1498.4230000000002</v>
      </c>
      <c r="AQ96" s="468">
        <v>-1498.4230000000002</v>
      </c>
      <c r="AR96" s="393"/>
      <c r="AS96" s="394"/>
      <c r="AT96" s="394"/>
      <c r="AU96" s="395"/>
      <c r="AV96" s="471"/>
      <c r="AW96" s="388">
        <v>35518000</v>
      </c>
      <c r="AX96" s="424">
        <v>30014347</v>
      </c>
      <c r="AY96" s="424">
        <v>5503653</v>
      </c>
      <c r="AZ96" s="424">
        <v>825561</v>
      </c>
      <c r="BA96" s="472">
        <v>0.84504608930683034</v>
      </c>
      <c r="BB96" s="453">
        <v>1855</v>
      </c>
      <c r="BC96" s="390">
        <v>5</v>
      </c>
      <c r="BD96" s="236">
        <v>0</v>
      </c>
    </row>
    <row r="97" spans="1:56" s="121" customFormat="1" ht="14.25" customHeight="1">
      <c r="A97" s="104">
        <v>2023</v>
      </c>
      <c r="B97" s="105" t="s">
        <v>652</v>
      </c>
      <c r="C97" s="556" t="s">
        <v>646</v>
      </c>
      <c r="D97" s="106" t="s">
        <v>2415</v>
      </c>
      <c r="E97" s="150" t="s">
        <v>647</v>
      </c>
      <c r="F97" s="71" t="s">
        <v>78</v>
      </c>
      <c r="G97" s="68" t="s">
        <v>180</v>
      </c>
      <c r="H97" s="386"/>
      <c r="I97" s="417"/>
      <c r="J97" s="423">
        <v>31.7</v>
      </c>
      <c r="K97" s="462">
        <v>31.7</v>
      </c>
      <c r="L97" s="387">
        <v>672.81899999999996</v>
      </c>
      <c r="M97" s="416">
        <v>97.201999999999998</v>
      </c>
      <c r="N97" s="390"/>
      <c r="O97" s="387">
        <v>388.54</v>
      </c>
      <c r="P97" s="427">
        <v>2.4E-2</v>
      </c>
      <c r="Q97" s="387">
        <v>8495</v>
      </c>
      <c r="R97" s="417"/>
      <c r="S97" s="387">
        <v>204</v>
      </c>
      <c r="T97" s="390"/>
      <c r="U97" s="426">
        <v>16</v>
      </c>
      <c r="V97" s="416">
        <v>100</v>
      </c>
      <c r="W97" s="462">
        <v>1478.5609999999999</v>
      </c>
      <c r="X97" s="416">
        <v>0</v>
      </c>
      <c r="Y97" s="416">
        <v>0</v>
      </c>
      <c r="Z97" s="416">
        <v>27</v>
      </c>
      <c r="AA97" s="416">
        <v>100</v>
      </c>
      <c r="AB97" s="462">
        <v>127</v>
      </c>
      <c r="AC97" s="387"/>
      <c r="AD97" s="387"/>
      <c r="AE97" s="388"/>
      <c r="AF97" s="392"/>
      <c r="AG97" s="387">
        <v>120</v>
      </c>
      <c r="AH97" s="388"/>
      <c r="AI97" s="388">
        <v>56</v>
      </c>
      <c r="AJ97" s="462">
        <v>176</v>
      </c>
      <c r="AK97" s="388">
        <v>140905.223</v>
      </c>
      <c r="AL97" s="388">
        <v>102520.69</v>
      </c>
      <c r="AM97" s="388">
        <v>38384.533000000003</v>
      </c>
      <c r="AN97" s="388">
        <v>4432.8810000000003</v>
      </c>
      <c r="AO97" s="467">
        <v>0.72758615910213631</v>
      </c>
      <c r="AP97" s="468">
        <v>5911.442</v>
      </c>
      <c r="AQ97" s="468">
        <v>-5879.7420000000002</v>
      </c>
      <c r="AR97" s="393"/>
      <c r="AS97" s="394"/>
      <c r="AT97" s="394"/>
      <c r="AU97" s="395"/>
      <c r="AV97" s="471"/>
      <c r="AW97" s="388">
        <v>140905223</v>
      </c>
      <c r="AX97" s="424">
        <v>102520690</v>
      </c>
      <c r="AY97" s="424">
        <v>38384533</v>
      </c>
      <c r="AZ97" s="424">
        <v>4432881</v>
      </c>
      <c r="BA97" s="472">
        <v>0.72758615910213631</v>
      </c>
      <c r="BB97" s="453">
        <v>12829</v>
      </c>
      <c r="BC97" s="390">
        <v>103</v>
      </c>
      <c r="BD97" s="236">
        <v>0</v>
      </c>
    </row>
    <row r="98" spans="1:56" s="121" customFormat="1" ht="14.25" customHeight="1">
      <c r="A98" s="104">
        <v>2023</v>
      </c>
      <c r="B98" s="105" t="s">
        <v>658</v>
      </c>
      <c r="C98" s="556" t="s">
        <v>653</v>
      </c>
      <c r="D98" s="106" t="s">
        <v>2415</v>
      </c>
      <c r="E98" s="150" t="s">
        <v>654</v>
      </c>
      <c r="F98" s="71" t="s">
        <v>78</v>
      </c>
      <c r="G98" s="68" t="s">
        <v>180</v>
      </c>
      <c r="H98" s="386"/>
      <c r="I98" s="417"/>
      <c r="J98" s="423">
        <v>0</v>
      </c>
      <c r="K98" s="462">
        <v>0</v>
      </c>
      <c r="L98" s="387">
        <v>305.42399999999998</v>
      </c>
      <c r="M98" s="416">
        <v>29.552</v>
      </c>
      <c r="N98" s="390"/>
      <c r="O98" s="387">
        <v>94.16</v>
      </c>
      <c r="P98" s="427">
        <v>2.4E-2</v>
      </c>
      <c r="Q98" s="387">
        <v>8495</v>
      </c>
      <c r="R98" s="417"/>
      <c r="S98" s="387">
        <v>204</v>
      </c>
      <c r="T98" s="390"/>
      <c r="U98" s="426">
        <v>21</v>
      </c>
      <c r="V98" s="416">
        <v>100</v>
      </c>
      <c r="W98" s="462">
        <v>754.13599999999997</v>
      </c>
      <c r="X98" s="416">
        <v>0</v>
      </c>
      <c r="Y98" s="416">
        <v>0</v>
      </c>
      <c r="Z98" s="416">
        <v>6</v>
      </c>
      <c r="AA98" s="416">
        <v>100</v>
      </c>
      <c r="AB98" s="462">
        <v>106</v>
      </c>
      <c r="AC98" s="387"/>
      <c r="AD98" s="387"/>
      <c r="AE98" s="388"/>
      <c r="AF98" s="392"/>
      <c r="AG98" s="387">
        <v>73</v>
      </c>
      <c r="AH98" s="388"/>
      <c r="AI98" s="388">
        <v>10</v>
      </c>
      <c r="AJ98" s="462">
        <v>83</v>
      </c>
      <c r="AK98" s="388">
        <v>74721.2</v>
      </c>
      <c r="AL98" s="388">
        <v>47820.936000000002</v>
      </c>
      <c r="AM98" s="388">
        <v>26900.263999999999</v>
      </c>
      <c r="AN98" s="388">
        <v>1844.6780000000001</v>
      </c>
      <c r="AO98" s="467">
        <v>0.63999154189172547</v>
      </c>
      <c r="AP98" s="468">
        <v>2598.8140000000003</v>
      </c>
      <c r="AQ98" s="468">
        <v>-2598.8140000000003</v>
      </c>
      <c r="AR98" s="393"/>
      <c r="AS98" s="394"/>
      <c r="AT98" s="394"/>
      <c r="AU98" s="395"/>
      <c r="AV98" s="471"/>
      <c r="AW98" s="388">
        <v>74721200</v>
      </c>
      <c r="AX98" s="424">
        <v>47820936</v>
      </c>
      <c r="AY98" s="424">
        <v>26900264</v>
      </c>
      <c r="AZ98" s="424">
        <v>1844678</v>
      </c>
      <c r="BA98" s="472">
        <v>0.63999154189172547</v>
      </c>
      <c r="BB98" s="453">
        <v>5168</v>
      </c>
      <c r="BC98" s="390">
        <v>37</v>
      </c>
      <c r="BD98" s="236">
        <v>0</v>
      </c>
    </row>
    <row r="99" spans="1:56" s="121" customFormat="1" ht="14.25" customHeight="1">
      <c r="A99" s="104">
        <v>2023</v>
      </c>
      <c r="B99" s="105" t="s">
        <v>666</v>
      </c>
      <c r="C99" s="556" t="s">
        <v>659</v>
      </c>
      <c r="D99" s="106" t="s">
        <v>2415</v>
      </c>
      <c r="E99" s="150" t="s">
        <v>660</v>
      </c>
      <c r="F99" s="71" t="s">
        <v>78</v>
      </c>
      <c r="G99" s="68" t="s">
        <v>180</v>
      </c>
      <c r="H99" s="386"/>
      <c r="I99" s="417"/>
      <c r="J99" s="423">
        <v>0</v>
      </c>
      <c r="K99" s="462">
        <v>0</v>
      </c>
      <c r="L99" s="387">
        <v>769.62400000000002</v>
      </c>
      <c r="M99" s="416">
        <v>29.552</v>
      </c>
      <c r="N99" s="390"/>
      <c r="O99" s="387">
        <v>1145</v>
      </c>
      <c r="P99" s="427">
        <v>2.4E-2</v>
      </c>
      <c r="Q99" s="387">
        <v>8495</v>
      </c>
      <c r="R99" s="417"/>
      <c r="S99" s="387">
        <v>204</v>
      </c>
      <c r="T99" s="390"/>
      <c r="U99" s="426">
        <v>21</v>
      </c>
      <c r="V99" s="416">
        <v>100</v>
      </c>
      <c r="W99" s="462">
        <v>2269.1759999999999</v>
      </c>
      <c r="X99" s="416">
        <v>0</v>
      </c>
      <c r="Y99" s="416">
        <v>0</v>
      </c>
      <c r="Z99" s="416">
        <v>0</v>
      </c>
      <c r="AA99" s="416">
        <v>100</v>
      </c>
      <c r="AB99" s="462">
        <v>100</v>
      </c>
      <c r="AC99" s="387"/>
      <c r="AD99" s="387"/>
      <c r="AE99" s="388"/>
      <c r="AF99" s="392"/>
      <c r="AG99" s="387">
        <v>90</v>
      </c>
      <c r="AH99" s="388"/>
      <c r="AI99" s="388">
        <v>2</v>
      </c>
      <c r="AJ99" s="462">
        <v>92</v>
      </c>
      <c r="AK99" s="388">
        <v>109729.73699999999</v>
      </c>
      <c r="AL99" s="388">
        <v>101110.924</v>
      </c>
      <c r="AM99" s="388">
        <v>8618.8130000000001</v>
      </c>
      <c r="AN99" s="388">
        <v>90.552000000000007</v>
      </c>
      <c r="AO99" s="467">
        <v>0.92145417244552408</v>
      </c>
      <c r="AP99" s="468">
        <v>2359.7280000000001</v>
      </c>
      <c r="AQ99" s="468">
        <v>-2359.7280000000001</v>
      </c>
      <c r="AR99" s="393"/>
      <c r="AS99" s="394"/>
      <c r="AT99" s="394"/>
      <c r="AU99" s="395"/>
      <c r="AV99" s="471"/>
      <c r="AW99" s="388">
        <v>109729737</v>
      </c>
      <c r="AX99" s="424">
        <v>101110924</v>
      </c>
      <c r="AY99" s="424">
        <v>8618813</v>
      </c>
      <c r="AZ99" s="424">
        <v>90552</v>
      </c>
      <c r="BA99" s="472">
        <v>0.92145417244552408</v>
      </c>
      <c r="BB99" s="453">
        <v>11595</v>
      </c>
      <c r="BC99" s="390">
        <v>238</v>
      </c>
      <c r="BD99" s="236">
        <v>0</v>
      </c>
    </row>
    <row r="100" spans="1:56" s="121" customFormat="1" ht="14.25" customHeight="1">
      <c r="A100" s="104">
        <v>2023</v>
      </c>
      <c r="B100" s="105" t="s">
        <v>667</v>
      </c>
      <c r="C100" s="556" t="s">
        <v>668</v>
      </c>
      <c r="D100" s="106" t="s">
        <v>2415</v>
      </c>
      <c r="E100" s="150" t="s">
        <v>669</v>
      </c>
      <c r="F100" s="71" t="s">
        <v>78</v>
      </c>
      <c r="G100" s="68" t="s">
        <v>180</v>
      </c>
      <c r="H100" s="386"/>
      <c r="I100" s="417"/>
      <c r="J100" s="423">
        <v>0.8</v>
      </c>
      <c r="K100" s="462">
        <v>0.8</v>
      </c>
      <c r="L100" s="387">
        <v>163.06100000000001</v>
      </c>
      <c r="M100" s="416">
        <v>29.552</v>
      </c>
      <c r="N100" s="390"/>
      <c r="O100" s="387">
        <v>195.8</v>
      </c>
      <c r="P100" s="427">
        <v>2.4E-2</v>
      </c>
      <c r="Q100" s="387">
        <v>8495</v>
      </c>
      <c r="R100" s="417"/>
      <c r="S100" s="387">
        <v>204</v>
      </c>
      <c r="T100" s="390"/>
      <c r="U100" s="426">
        <v>20</v>
      </c>
      <c r="V100" s="416">
        <v>100</v>
      </c>
      <c r="W100" s="462">
        <v>712.41300000000001</v>
      </c>
      <c r="X100" s="416">
        <v>0</v>
      </c>
      <c r="Y100" s="416">
        <v>0</v>
      </c>
      <c r="Z100" s="416">
        <v>0</v>
      </c>
      <c r="AA100" s="416">
        <v>100</v>
      </c>
      <c r="AB100" s="462">
        <v>100</v>
      </c>
      <c r="AC100" s="387"/>
      <c r="AD100" s="387"/>
      <c r="AE100" s="388"/>
      <c r="AF100" s="392"/>
      <c r="AG100" s="387">
        <v>72</v>
      </c>
      <c r="AH100" s="388"/>
      <c r="AI100" s="388">
        <v>9</v>
      </c>
      <c r="AJ100" s="462">
        <v>81</v>
      </c>
      <c r="AK100" s="388">
        <v>34737.129999999997</v>
      </c>
      <c r="AL100" s="388">
        <v>23623.550999999999</v>
      </c>
      <c r="AM100" s="388">
        <v>11113.579</v>
      </c>
      <c r="AN100" s="388">
        <v>914.51099999999997</v>
      </c>
      <c r="AO100" s="467">
        <v>0.68006628642032318</v>
      </c>
      <c r="AP100" s="468">
        <v>1626.924</v>
      </c>
      <c r="AQ100" s="468">
        <v>-1626.124</v>
      </c>
      <c r="AR100" s="393"/>
      <c r="AS100" s="394"/>
      <c r="AT100" s="394"/>
      <c r="AU100" s="395"/>
      <c r="AV100" s="471"/>
      <c r="AW100" s="388">
        <v>34737130</v>
      </c>
      <c r="AX100" s="424">
        <v>23623551</v>
      </c>
      <c r="AY100" s="424">
        <v>11113579</v>
      </c>
      <c r="AZ100" s="424">
        <v>914511</v>
      </c>
      <c r="BA100" s="472">
        <v>0.68006628642032318</v>
      </c>
      <c r="BB100" s="453">
        <v>2304</v>
      </c>
      <c r="BC100" s="390">
        <v>4</v>
      </c>
      <c r="BD100" s="236">
        <v>0</v>
      </c>
    </row>
    <row r="101" spans="1:56" s="121" customFormat="1" ht="14.25" customHeight="1">
      <c r="A101" s="104">
        <v>2023</v>
      </c>
      <c r="B101" s="105" t="s">
        <v>672</v>
      </c>
      <c r="C101" s="556" t="s">
        <v>673</v>
      </c>
      <c r="D101" s="106" t="s">
        <v>2415</v>
      </c>
      <c r="E101" s="150" t="s">
        <v>674</v>
      </c>
      <c r="F101" s="71" t="s">
        <v>78</v>
      </c>
      <c r="G101" s="68" t="s">
        <v>180</v>
      </c>
      <c r="H101" s="386"/>
      <c r="I101" s="417"/>
      <c r="J101" s="423">
        <v>0</v>
      </c>
      <c r="K101" s="462">
        <v>0</v>
      </c>
      <c r="L101" s="387">
        <v>197.572</v>
      </c>
      <c r="M101" s="416">
        <v>160.78200000000001</v>
      </c>
      <c r="N101" s="390"/>
      <c r="O101" s="387">
        <v>0</v>
      </c>
      <c r="P101" s="427">
        <v>2.4E-2</v>
      </c>
      <c r="Q101" s="387">
        <v>8495</v>
      </c>
      <c r="R101" s="417"/>
      <c r="S101" s="387">
        <v>204</v>
      </c>
      <c r="T101" s="390"/>
      <c r="U101" s="426">
        <v>20</v>
      </c>
      <c r="V101" s="416">
        <v>100</v>
      </c>
      <c r="W101" s="462">
        <v>682.35400000000004</v>
      </c>
      <c r="X101" s="416">
        <v>0</v>
      </c>
      <c r="Y101" s="416">
        <v>0</v>
      </c>
      <c r="Z101" s="416">
        <v>3</v>
      </c>
      <c r="AA101" s="416">
        <v>100</v>
      </c>
      <c r="AB101" s="462">
        <v>103</v>
      </c>
      <c r="AC101" s="387"/>
      <c r="AD101" s="387"/>
      <c r="AE101" s="388"/>
      <c r="AF101" s="392"/>
      <c r="AG101" s="387"/>
      <c r="AH101" s="388"/>
      <c r="AI101" s="388">
        <v>91</v>
      </c>
      <c r="AJ101" s="462">
        <v>91</v>
      </c>
      <c r="AK101" s="388">
        <v>42077.5</v>
      </c>
      <c r="AL101" s="388">
        <v>35494.868000000002</v>
      </c>
      <c r="AM101" s="388">
        <v>6582.6319999999996</v>
      </c>
      <c r="AN101" s="388">
        <v>756.61300000000006</v>
      </c>
      <c r="AO101" s="467">
        <v>0.84355933693779339</v>
      </c>
      <c r="AP101" s="468">
        <v>1438.9670000000001</v>
      </c>
      <c r="AQ101" s="468">
        <v>-1438.9670000000001</v>
      </c>
      <c r="AR101" s="393"/>
      <c r="AS101" s="394"/>
      <c r="AT101" s="394"/>
      <c r="AU101" s="395"/>
      <c r="AV101" s="471"/>
      <c r="AW101" s="388">
        <v>42077500</v>
      </c>
      <c r="AX101" s="424">
        <v>35494868</v>
      </c>
      <c r="AY101" s="424">
        <v>6582632</v>
      </c>
      <c r="AZ101" s="424">
        <v>756613</v>
      </c>
      <c r="BA101" s="472">
        <v>0.84355933693779339</v>
      </c>
      <c r="BB101" s="453">
        <v>2362</v>
      </c>
      <c r="BC101" s="390">
        <v>0</v>
      </c>
      <c r="BD101" s="236">
        <v>0</v>
      </c>
    </row>
    <row r="102" spans="1:56" s="121" customFormat="1" ht="14.25" customHeight="1">
      <c r="A102" s="104">
        <v>2023</v>
      </c>
      <c r="B102" s="105" t="s">
        <v>676</v>
      </c>
      <c r="C102" s="556" t="s">
        <v>677</v>
      </c>
      <c r="D102" s="106" t="s">
        <v>2415</v>
      </c>
      <c r="E102" s="150" t="s">
        <v>678</v>
      </c>
      <c r="F102" s="71" t="s">
        <v>78</v>
      </c>
      <c r="G102" s="68" t="s">
        <v>180</v>
      </c>
      <c r="H102" s="386"/>
      <c r="I102" s="417"/>
      <c r="J102" s="423">
        <v>0</v>
      </c>
      <c r="K102" s="462">
        <v>0</v>
      </c>
      <c r="L102" s="387">
        <v>157.83199999999999</v>
      </c>
      <c r="M102" s="416">
        <v>29.552</v>
      </c>
      <c r="N102" s="390"/>
      <c r="O102" s="387">
        <v>322.3</v>
      </c>
      <c r="P102" s="427">
        <v>1</v>
      </c>
      <c r="Q102" s="387">
        <v>8495</v>
      </c>
      <c r="R102" s="417"/>
      <c r="S102" s="387">
        <v>8495</v>
      </c>
      <c r="T102" s="390"/>
      <c r="U102" s="426">
        <v>21</v>
      </c>
      <c r="V102" s="416">
        <v>100</v>
      </c>
      <c r="W102" s="462">
        <v>9125.6839999999993</v>
      </c>
      <c r="X102" s="416">
        <v>0</v>
      </c>
      <c r="Y102" s="416">
        <v>0</v>
      </c>
      <c r="Z102" s="391">
        <v>8</v>
      </c>
      <c r="AA102" s="416">
        <v>100</v>
      </c>
      <c r="AB102" s="462">
        <v>108</v>
      </c>
      <c r="AC102" s="387"/>
      <c r="AD102" s="387"/>
      <c r="AE102" s="388"/>
      <c r="AF102" s="392">
        <v>2</v>
      </c>
      <c r="AG102" s="387">
        <v>96</v>
      </c>
      <c r="AH102" s="388"/>
      <c r="AI102" s="388">
        <v>5</v>
      </c>
      <c r="AJ102" s="462">
        <v>103</v>
      </c>
      <c r="AK102" s="388">
        <v>46257.5</v>
      </c>
      <c r="AL102" s="388">
        <v>34142.184999999998</v>
      </c>
      <c r="AM102" s="388">
        <v>12115.315000000001</v>
      </c>
      <c r="AN102" s="388">
        <v>1017.665</v>
      </c>
      <c r="AO102" s="467">
        <v>0.73808971518132194</v>
      </c>
      <c r="AP102" s="468">
        <v>10143.348999999998</v>
      </c>
      <c r="AQ102" s="468">
        <v>-10143.348999999998</v>
      </c>
      <c r="AR102" s="393"/>
      <c r="AS102" s="394"/>
      <c r="AT102" s="394"/>
      <c r="AU102" s="395"/>
      <c r="AV102" s="471"/>
      <c r="AW102" s="388">
        <v>46257500</v>
      </c>
      <c r="AX102" s="424">
        <v>34142185</v>
      </c>
      <c r="AY102" s="424">
        <v>12115315</v>
      </c>
      <c r="AZ102" s="424">
        <v>1017665</v>
      </c>
      <c r="BA102" s="472">
        <v>0.73808971518132194</v>
      </c>
      <c r="BB102" s="453">
        <v>1538</v>
      </c>
      <c r="BC102" s="390">
        <v>0</v>
      </c>
      <c r="BD102" s="236">
        <v>0</v>
      </c>
    </row>
    <row r="103" spans="1:56" s="121" customFormat="1" ht="14.25" customHeight="1">
      <c r="A103" s="104">
        <v>2023</v>
      </c>
      <c r="B103" s="105" t="s">
        <v>111</v>
      </c>
      <c r="C103" s="556" t="s">
        <v>1044</v>
      </c>
      <c r="D103" s="106" t="s">
        <v>2415</v>
      </c>
      <c r="E103" s="551" t="s">
        <v>2154</v>
      </c>
      <c r="F103" s="71" t="s">
        <v>170</v>
      </c>
      <c r="G103" s="328" t="s">
        <v>683</v>
      </c>
      <c r="H103" s="386">
        <v>0</v>
      </c>
      <c r="I103" s="387">
        <v>608</v>
      </c>
      <c r="J103" s="424">
        <v>348</v>
      </c>
      <c r="K103" s="462">
        <v>956</v>
      </c>
      <c r="L103" s="387"/>
      <c r="M103" s="387"/>
      <c r="N103" s="388"/>
      <c r="O103" s="387"/>
      <c r="P103" s="389">
        <v>4</v>
      </c>
      <c r="Q103" s="387">
        <v>8495</v>
      </c>
      <c r="R103" s="390">
        <v>16423</v>
      </c>
      <c r="S103" s="387">
        <v>50403</v>
      </c>
      <c r="T103" s="388">
        <v>5739</v>
      </c>
      <c r="U103" s="391"/>
      <c r="V103" s="387">
        <v>24870</v>
      </c>
      <c r="W103" s="462">
        <v>81012</v>
      </c>
      <c r="X103" s="387"/>
      <c r="Y103" s="387"/>
      <c r="Z103" s="391"/>
      <c r="AA103" s="387"/>
      <c r="AB103" s="462">
        <v>0</v>
      </c>
      <c r="AC103" s="387"/>
      <c r="AD103" s="387"/>
      <c r="AE103" s="388"/>
      <c r="AF103" s="392"/>
      <c r="AG103" s="387"/>
      <c r="AH103" s="388"/>
      <c r="AI103" s="388"/>
      <c r="AJ103" s="462">
        <v>0</v>
      </c>
      <c r="AK103" s="388">
        <v>369090.12657740584</v>
      </c>
      <c r="AL103" s="388">
        <v>136746.96648788027</v>
      </c>
      <c r="AM103" s="388">
        <v>232343.16008952563</v>
      </c>
      <c r="AN103" s="388">
        <v>10034.825481537255</v>
      </c>
      <c r="AO103" s="467">
        <v>0.37049749272878907</v>
      </c>
      <c r="AP103" s="468">
        <v>91046.825481537249</v>
      </c>
      <c r="AQ103" s="468">
        <v>-90090.825481537249</v>
      </c>
      <c r="AR103" s="393"/>
      <c r="AS103" s="394"/>
      <c r="AT103" s="394"/>
      <c r="AU103" s="395"/>
      <c r="AV103" s="471" t="s">
        <v>2484</v>
      </c>
      <c r="AW103" s="388">
        <v>369090126.57740587</v>
      </c>
      <c r="AX103" s="424">
        <v>136746966.48788026</v>
      </c>
      <c r="AY103" s="424">
        <v>232343160.08952564</v>
      </c>
      <c r="AZ103" s="424">
        <v>10034825.481537255</v>
      </c>
      <c r="BA103" s="472">
        <v>0.37049749272878907</v>
      </c>
      <c r="BB103" s="453">
        <v>0</v>
      </c>
      <c r="BC103" s="390">
        <v>0</v>
      </c>
      <c r="BD103" s="236">
        <v>0</v>
      </c>
    </row>
    <row r="104" spans="1:56" s="121" customFormat="1" ht="14.25" customHeight="1">
      <c r="A104" s="104">
        <v>2023</v>
      </c>
      <c r="B104" s="105" t="s">
        <v>689</v>
      </c>
      <c r="C104" s="556" t="s">
        <v>690</v>
      </c>
      <c r="D104" s="106" t="s">
        <v>2415</v>
      </c>
      <c r="E104" s="150" t="s">
        <v>691</v>
      </c>
      <c r="F104" s="71" t="s">
        <v>170</v>
      </c>
      <c r="G104" s="68" t="s">
        <v>692</v>
      </c>
      <c r="H104" s="386"/>
      <c r="I104" s="388"/>
      <c r="J104" s="424">
        <v>294</v>
      </c>
      <c r="K104" s="462">
        <v>294</v>
      </c>
      <c r="L104" s="390"/>
      <c r="M104" s="390"/>
      <c r="N104" s="390"/>
      <c r="O104" s="390"/>
      <c r="P104" s="396">
        <v>0.5</v>
      </c>
      <c r="Q104" s="387">
        <v>8495</v>
      </c>
      <c r="R104" s="388"/>
      <c r="S104" s="387">
        <v>4248</v>
      </c>
      <c r="T104" s="388">
        <v>1483</v>
      </c>
      <c r="U104" s="426"/>
      <c r="V104" s="387">
        <v>113323</v>
      </c>
      <c r="W104" s="462">
        <v>119054</v>
      </c>
      <c r="X104" s="387">
        <v>43762</v>
      </c>
      <c r="Y104" s="387">
        <v>16363</v>
      </c>
      <c r="Z104" s="391">
        <v>0</v>
      </c>
      <c r="AA104" s="387">
        <v>113323</v>
      </c>
      <c r="AB104" s="462">
        <v>173448</v>
      </c>
      <c r="AC104" s="387">
        <v>17428</v>
      </c>
      <c r="AD104" s="387">
        <v>18108</v>
      </c>
      <c r="AE104" s="388">
        <v>0</v>
      </c>
      <c r="AF104" s="392">
        <v>2877</v>
      </c>
      <c r="AG104" s="387">
        <v>39677</v>
      </c>
      <c r="AH104" s="388">
        <v>77403</v>
      </c>
      <c r="AI104" s="388">
        <v>3472</v>
      </c>
      <c r="AJ104" s="462">
        <v>158965</v>
      </c>
      <c r="AK104" s="388">
        <v>2515941.7801053394</v>
      </c>
      <c r="AL104" s="388">
        <v>1251635.5416412549</v>
      </c>
      <c r="AM104" s="388">
        <v>1264306.2384640847</v>
      </c>
      <c r="AN104" s="388">
        <v>65632.298762384424</v>
      </c>
      <c r="AO104" s="467">
        <v>0.49748191772102546</v>
      </c>
      <c r="AP104" s="468">
        <v>184686.29876238442</v>
      </c>
      <c r="AQ104" s="468">
        <v>-184392.29876238442</v>
      </c>
      <c r="AR104" s="393"/>
      <c r="AS104" s="394"/>
      <c r="AT104" s="394"/>
      <c r="AU104" s="395"/>
      <c r="AV104" s="471" t="s">
        <v>2484</v>
      </c>
      <c r="AW104" s="388">
        <v>2515941780.1053395</v>
      </c>
      <c r="AX104" s="424">
        <v>1251635541.6412549</v>
      </c>
      <c r="AY104" s="424">
        <v>1264306238.4640846</v>
      </c>
      <c r="AZ104" s="424">
        <v>65632298.762384422</v>
      </c>
      <c r="BA104" s="472">
        <v>0.49748191772102546</v>
      </c>
      <c r="BB104" s="453">
        <v>554403</v>
      </c>
      <c r="BC104" s="390">
        <v>9181</v>
      </c>
      <c r="BD104" s="236">
        <v>0</v>
      </c>
    </row>
    <row r="105" spans="1:56" s="121" customFormat="1" ht="14.25" customHeight="1">
      <c r="A105" s="104">
        <v>2023</v>
      </c>
      <c r="B105" s="105" t="s">
        <v>699</v>
      </c>
      <c r="C105" s="556" t="s">
        <v>700</v>
      </c>
      <c r="D105" s="106" t="s">
        <v>2415</v>
      </c>
      <c r="E105" s="150" t="s">
        <v>701</v>
      </c>
      <c r="F105" s="71" t="s">
        <v>170</v>
      </c>
      <c r="G105" s="68" t="s">
        <v>692</v>
      </c>
      <c r="H105" s="386"/>
      <c r="I105" s="388"/>
      <c r="J105" s="424">
        <v>110</v>
      </c>
      <c r="K105" s="462">
        <v>110</v>
      </c>
      <c r="L105" s="390"/>
      <c r="M105" s="390"/>
      <c r="N105" s="390"/>
      <c r="O105" s="390"/>
      <c r="P105" s="396">
        <v>0.5</v>
      </c>
      <c r="Q105" s="387">
        <v>8495</v>
      </c>
      <c r="R105" s="388"/>
      <c r="S105" s="387">
        <v>4248</v>
      </c>
      <c r="T105" s="388">
        <v>1312</v>
      </c>
      <c r="U105" s="426"/>
      <c r="V105" s="387">
        <v>71245</v>
      </c>
      <c r="W105" s="462">
        <v>76805</v>
      </c>
      <c r="X105" s="387">
        <v>6317</v>
      </c>
      <c r="Y105" s="387">
        <v>11231</v>
      </c>
      <c r="Z105" s="391">
        <v>57</v>
      </c>
      <c r="AA105" s="387">
        <v>71286</v>
      </c>
      <c r="AB105" s="462">
        <v>88891</v>
      </c>
      <c r="AC105" s="387">
        <v>11423</v>
      </c>
      <c r="AD105" s="387">
        <v>15773</v>
      </c>
      <c r="AE105" s="388"/>
      <c r="AF105" s="392">
        <v>1206</v>
      </c>
      <c r="AG105" s="387">
        <v>33618</v>
      </c>
      <c r="AH105" s="388">
        <v>8127</v>
      </c>
      <c r="AI105" s="388">
        <v>9413</v>
      </c>
      <c r="AJ105" s="462">
        <v>79560</v>
      </c>
      <c r="AK105" s="388">
        <v>1238718.9418932125</v>
      </c>
      <c r="AL105" s="388">
        <v>740788.61296789255</v>
      </c>
      <c r="AM105" s="388">
        <v>497930.32892532006</v>
      </c>
      <c r="AN105" s="388">
        <v>17984.397504699751</v>
      </c>
      <c r="AO105" s="467">
        <v>0.59802800127985323</v>
      </c>
      <c r="AP105" s="468">
        <v>94789.397504699751</v>
      </c>
      <c r="AQ105" s="468">
        <v>-94679.397504699751</v>
      </c>
      <c r="AR105" s="393"/>
      <c r="AS105" s="394"/>
      <c r="AT105" s="394"/>
      <c r="AU105" s="395"/>
      <c r="AV105" s="471" t="s">
        <v>2484</v>
      </c>
      <c r="AW105" s="388">
        <v>1238718941.8932126</v>
      </c>
      <c r="AX105" s="424">
        <v>740788612.96789253</v>
      </c>
      <c r="AY105" s="424">
        <v>497930328.92532009</v>
      </c>
      <c r="AZ105" s="424">
        <v>17984397.504699752</v>
      </c>
      <c r="BA105" s="472">
        <v>0.59802800127985323</v>
      </c>
      <c r="BB105" s="453">
        <v>316088</v>
      </c>
      <c r="BC105" s="390">
        <v>17280</v>
      </c>
      <c r="BD105" s="236">
        <v>0</v>
      </c>
    </row>
    <row r="106" spans="1:56" s="121" customFormat="1" ht="14.25" customHeight="1">
      <c r="A106" s="104">
        <v>2023</v>
      </c>
      <c r="B106" s="105" t="s">
        <v>705</v>
      </c>
      <c r="C106" s="556" t="s">
        <v>706</v>
      </c>
      <c r="D106" s="106" t="s">
        <v>2415</v>
      </c>
      <c r="E106" s="150" t="s">
        <v>707</v>
      </c>
      <c r="F106" s="71" t="s">
        <v>708</v>
      </c>
      <c r="G106" s="68" t="s">
        <v>709</v>
      </c>
      <c r="H106" s="386"/>
      <c r="I106" s="387"/>
      <c r="J106" s="424">
        <v>17</v>
      </c>
      <c r="K106" s="462">
        <v>17</v>
      </c>
      <c r="L106" s="387"/>
      <c r="M106" s="387"/>
      <c r="N106" s="388"/>
      <c r="O106" s="387">
        <v>154</v>
      </c>
      <c r="P106" s="396">
        <v>0.55000000000000004</v>
      </c>
      <c r="Q106" s="387">
        <v>8495</v>
      </c>
      <c r="R106" s="390"/>
      <c r="S106" s="387">
        <v>4672</v>
      </c>
      <c r="T106" s="388"/>
      <c r="U106" s="391">
        <v>557</v>
      </c>
      <c r="V106" s="387">
        <v>65812</v>
      </c>
      <c r="W106" s="462">
        <v>71195</v>
      </c>
      <c r="X106" s="387"/>
      <c r="Y106" s="387">
        <v>263</v>
      </c>
      <c r="Z106" s="391">
        <v>9</v>
      </c>
      <c r="AA106" s="387">
        <v>65812</v>
      </c>
      <c r="AB106" s="462">
        <v>66084</v>
      </c>
      <c r="AC106" s="387">
        <v>13907</v>
      </c>
      <c r="AD106" s="387">
        <v>17692</v>
      </c>
      <c r="AE106" s="388"/>
      <c r="AF106" s="392">
        <v>1865</v>
      </c>
      <c r="AG106" s="387">
        <v>42176</v>
      </c>
      <c r="AH106" s="388">
        <v>3925</v>
      </c>
      <c r="AI106" s="388">
        <v>20711</v>
      </c>
      <c r="AJ106" s="462">
        <v>100276</v>
      </c>
      <c r="AK106" s="388">
        <v>3005766.5554225948</v>
      </c>
      <c r="AL106" s="388">
        <v>1113628.9725121197</v>
      </c>
      <c r="AM106" s="388">
        <v>1892137.5829104746</v>
      </c>
      <c r="AN106" s="388">
        <v>81720.806518462748</v>
      </c>
      <c r="AO106" s="467">
        <v>0.37049749272878896</v>
      </c>
      <c r="AP106" s="468">
        <v>152915.80651846275</v>
      </c>
      <c r="AQ106" s="468">
        <v>-152898.80651846275</v>
      </c>
      <c r="AR106" s="393" t="s">
        <v>2674</v>
      </c>
      <c r="AS106" s="394"/>
      <c r="AT106" s="394"/>
      <c r="AU106" s="395"/>
      <c r="AV106" s="471" t="s">
        <v>2484</v>
      </c>
      <c r="AW106" s="388">
        <v>3005766555.4225945</v>
      </c>
      <c r="AX106" s="424">
        <v>1113628972.5121198</v>
      </c>
      <c r="AY106" s="424">
        <v>1892137582.9104745</v>
      </c>
      <c r="AZ106" s="424">
        <v>81720806.518462747</v>
      </c>
      <c r="BA106" s="472">
        <v>0.37049749272878896</v>
      </c>
      <c r="BB106" s="453">
        <v>440708</v>
      </c>
      <c r="BC106" s="390">
        <v>11597</v>
      </c>
      <c r="BD106" s="236">
        <v>0</v>
      </c>
    </row>
    <row r="107" spans="1:56" s="121" customFormat="1" ht="14.25" customHeight="1">
      <c r="A107" s="104">
        <v>2023</v>
      </c>
      <c r="B107" s="105" t="s">
        <v>715</v>
      </c>
      <c r="C107" s="556" t="s">
        <v>716</v>
      </c>
      <c r="D107" s="106" t="s">
        <v>2415</v>
      </c>
      <c r="E107" s="150" t="s">
        <v>2370</v>
      </c>
      <c r="F107" s="71" t="s">
        <v>708</v>
      </c>
      <c r="G107" s="68" t="s">
        <v>709</v>
      </c>
      <c r="H107" s="386">
        <v>4394</v>
      </c>
      <c r="I107" s="387"/>
      <c r="J107" s="424">
        <v>2931</v>
      </c>
      <c r="K107" s="462">
        <v>7325</v>
      </c>
      <c r="L107" s="387"/>
      <c r="M107" s="387"/>
      <c r="N107" s="388"/>
      <c r="O107" s="387"/>
      <c r="P107" s="396">
        <v>0.45</v>
      </c>
      <c r="Q107" s="387">
        <v>8495</v>
      </c>
      <c r="R107" s="390"/>
      <c r="S107" s="387">
        <v>3823</v>
      </c>
      <c r="T107" s="388">
        <v>129</v>
      </c>
      <c r="U107" s="391"/>
      <c r="V107" s="387">
        <v>53636</v>
      </c>
      <c r="W107" s="462">
        <v>57588</v>
      </c>
      <c r="X107" s="387"/>
      <c r="Y107" s="387">
        <v>460</v>
      </c>
      <c r="Z107" s="391">
        <v>540</v>
      </c>
      <c r="AA107" s="387">
        <v>53636</v>
      </c>
      <c r="AB107" s="462">
        <v>54636</v>
      </c>
      <c r="AC107" s="387">
        <v>2767</v>
      </c>
      <c r="AD107" s="387">
        <v>5739</v>
      </c>
      <c r="AE107" s="388">
        <v>0</v>
      </c>
      <c r="AF107" s="392">
        <v>1910</v>
      </c>
      <c r="AG107" s="387">
        <v>29841</v>
      </c>
      <c r="AH107" s="388">
        <v>11589</v>
      </c>
      <c r="AI107" s="388">
        <v>491</v>
      </c>
      <c r="AJ107" s="462">
        <v>52337</v>
      </c>
      <c r="AK107" s="388">
        <v>911677.80636670394</v>
      </c>
      <c r="AL107" s="388">
        <v>378387.7199570068</v>
      </c>
      <c r="AM107" s="388">
        <v>533290.08640969719</v>
      </c>
      <c r="AN107" s="388">
        <v>20344.430314565474</v>
      </c>
      <c r="AO107" s="467">
        <v>0.41504544403136212</v>
      </c>
      <c r="AP107" s="468">
        <v>77932.43031456547</v>
      </c>
      <c r="AQ107" s="468">
        <v>-70607.43031456547</v>
      </c>
      <c r="AR107" s="393"/>
      <c r="AS107" s="394"/>
      <c r="AT107" s="394"/>
      <c r="AU107" s="395"/>
      <c r="AV107" s="471" t="s">
        <v>2484</v>
      </c>
      <c r="AW107" s="388">
        <v>911677806.36670399</v>
      </c>
      <c r="AX107" s="424">
        <v>378387719.95700681</v>
      </c>
      <c r="AY107" s="424">
        <v>533290086.40969723</v>
      </c>
      <c r="AZ107" s="424">
        <v>20344430.314565472</v>
      </c>
      <c r="BA107" s="472">
        <v>0.41504544403136212</v>
      </c>
      <c r="BB107" s="453">
        <v>59191</v>
      </c>
      <c r="BC107" s="390">
        <v>2950</v>
      </c>
      <c r="BD107" s="236">
        <v>0</v>
      </c>
    </row>
    <row r="108" spans="1:56" s="121" customFormat="1" ht="14.25" customHeight="1">
      <c r="A108" s="104">
        <v>2023</v>
      </c>
      <c r="B108" s="105" t="s">
        <v>719</v>
      </c>
      <c r="C108" s="556" t="s">
        <v>720</v>
      </c>
      <c r="D108" s="106" t="s">
        <v>2415</v>
      </c>
      <c r="E108" s="150" t="s">
        <v>1994</v>
      </c>
      <c r="F108" s="71" t="s">
        <v>708</v>
      </c>
      <c r="G108" s="68" t="s">
        <v>2583</v>
      </c>
      <c r="H108" s="386">
        <v>720</v>
      </c>
      <c r="I108" s="388"/>
      <c r="J108" s="424">
        <v>247</v>
      </c>
      <c r="K108" s="462">
        <v>967</v>
      </c>
      <c r="L108" s="390"/>
      <c r="M108" s="390"/>
      <c r="N108" s="390"/>
      <c r="O108" s="387">
        <v>4488</v>
      </c>
      <c r="P108" s="428">
        <v>0.5</v>
      </c>
      <c r="Q108" s="387">
        <v>8495</v>
      </c>
      <c r="R108" s="388"/>
      <c r="S108" s="387">
        <v>4248</v>
      </c>
      <c r="T108" s="388"/>
      <c r="U108" s="426">
        <v>1280</v>
      </c>
      <c r="V108" s="387">
        <v>184219</v>
      </c>
      <c r="W108" s="462">
        <v>194235</v>
      </c>
      <c r="X108" s="387">
        <v>41289</v>
      </c>
      <c r="Y108" s="387">
        <v>22189</v>
      </c>
      <c r="Z108" s="391"/>
      <c r="AA108" s="387">
        <v>184219</v>
      </c>
      <c r="AB108" s="462">
        <v>247697</v>
      </c>
      <c r="AC108" s="387">
        <v>51614</v>
      </c>
      <c r="AD108" s="387">
        <v>107723</v>
      </c>
      <c r="AE108" s="388"/>
      <c r="AF108" s="392">
        <v>3031</v>
      </c>
      <c r="AG108" s="387">
        <v>49442</v>
      </c>
      <c r="AH108" s="388">
        <v>28418</v>
      </c>
      <c r="AI108" s="388">
        <v>3646</v>
      </c>
      <c r="AJ108" s="462">
        <v>243874</v>
      </c>
      <c r="AK108" s="388">
        <v>7948096.9989999998</v>
      </c>
      <c r="AL108" s="388">
        <v>3896803.1639999999</v>
      </c>
      <c r="AM108" s="388">
        <v>4051293.835</v>
      </c>
      <c r="AN108" s="388">
        <v>183390.44200000001</v>
      </c>
      <c r="AO108" s="467">
        <v>0.49028127921567655</v>
      </c>
      <c r="AP108" s="468">
        <v>377625.44200000004</v>
      </c>
      <c r="AQ108" s="468">
        <v>-376658.44200000004</v>
      </c>
      <c r="AR108" s="393"/>
      <c r="AS108" s="394"/>
      <c r="AT108" s="394"/>
      <c r="AU108" s="395"/>
      <c r="AV108" s="471"/>
      <c r="AW108" s="388">
        <v>7948096999</v>
      </c>
      <c r="AX108" s="424">
        <v>3896803164</v>
      </c>
      <c r="AY108" s="424">
        <v>4051293835</v>
      </c>
      <c r="AZ108" s="424">
        <v>183390442</v>
      </c>
      <c r="BA108" s="472">
        <v>0.49028127921567655</v>
      </c>
      <c r="BB108" s="453">
        <v>1557538</v>
      </c>
      <c r="BC108" s="390">
        <v>45985</v>
      </c>
      <c r="BD108" s="236">
        <v>0</v>
      </c>
    </row>
    <row r="109" spans="1:56" s="121" customFormat="1" ht="14.25" customHeight="1">
      <c r="A109" s="104">
        <v>2023</v>
      </c>
      <c r="B109" s="105" t="s">
        <v>728</v>
      </c>
      <c r="C109" s="556" t="s">
        <v>729</v>
      </c>
      <c r="D109" s="106" t="s">
        <v>2415</v>
      </c>
      <c r="E109" s="150" t="s">
        <v>1996</v>
      </c>
      <c r="F109" s="71" t="s">
        <v>708</v>
      </c>
      <c r="G109" s="68" t="s">
        <v>2583</v>
      </c>
      <c r="H109" s="386">
        <v>854</v>
      </c>
      <c r="I109" s="388"/>
      <c r="J109" s="424">
        <v>191</v>
      </c>
      <c r="K109" s="462">
        <v>1045</v>
      </c>
      <c r="L109" s="390"/>
      <c r="M109" s="390">
        <v>391</v>
      </c>
      <c r="N109" s="390"/>
      <c r="O109" s="387">
        <v>3702</v>
      </c>
      <c r="P109" s="428">
        <v>0.5</v>
      </c>
      <c r="Q109" s="387">
        <v>8495</v>
      </c>
      <c r="R109" s="388"/>
      <c r="S109" s="387">
        <v>4248</v>
      </c>
      <c r="T109" s="388"/>
      <c r="U109" s="426">
        <v>575</v>
      </c>
      <c r="V109" s="387">
        <v>86876</v>
      </c>
      <c r="W109" s="462">
        <v>95792</v>
      </c>
      <c r="X109" s="387">
        <v>23584</v>
      </c>
      <c r="Y109" s="387">
        <v>5854</v>
      </c>
      <c r="Z109" s="391"/>
      <c r="AA109" s="387">
        <v>86876</v>
      </c>
      <c r="AB109" s="462">
        <v>116314</v>
      </c>
      <c r="AC109" s="387">
        <v>13025</v>
      </c>
      <c r="AD109" s="387">
        <v>26878</v>
      </c>
      <c r="AE109" s="388"/>
      <c r="AF109" s="392">
        <v>3139</v>
      </c>
      <c r="AG109" s="387">
        <v>48946</v>
      </c>
      <c r="AH109" s="388">
        <v>17572</v>
      </c>
      <c r="AI109" s="388">
        <v>1647</v>
      </c>
      <c r="AJ109" s="462">
        <v>111207</v>
      </c>
      <c r="AK109" s="388">
        <v>2782423.5290000001</v>
      </c>
      <c r="AL109" s="388">
        <v>1738561.838</v>
      </c>
      <c r="AM109" s="388">
        <v>1043861.691</v>
      </c>
      <c r="AN109" s="388">
        <v>62401.129000000001</v>
      </c>
      <c r="AO109" s="467">
        <v>0.62483723986651207</v>
      </c>
      <c r="AP109" s="468">
        <v>158193.12900000002</v>
      </c>
      <c r="AQ109" s="468">
        <v>-157148.12900000002</v>
      </c>
      <c r="AR109" s="393"/>
      <c r="AS109" s="394"/>
      <c r="AT109" s="394"/>
      <c r="AU109" s="395"/>
      <c r="AV109" s="471"/>
      <c r="AW109" s="388">
        <v>2782423529</v>
      </c>
      <c r="AX109" s="424">
        <v>1738561838</v>
      </c>
      <c r="AY109" s="424">
        <v>1043861691</v>
      </c>
      <c r="AZ109" s="424">
        <v>62401129</v>
      </c>
      <c r="BA109" s="472">
        <v>0.62483723986651207</v>
      </c>
      <c r="BB109" s="453">
        <v>358048</v>
      </c>
      <c r="BC109" s="390">
        <v>33092</v>
      </c>
      <c r="BD109" s="236">
        <v>0</v>
      </c>
    </row>
    <row r="110" spans="1:56" s="121" customFormat="1" ht="14.25" customHeight="1">
      <c r="A110" s="104">
        <v>2023</v>
      </c>
      <c r="B110" s="105" t="s">
        <v>735</v>
      </c>
      <c r="C110" s="556" t="s">
        <v>736</v>
      </c>
      <c r="D110" s="106" t="s">
        <v>2415</v>
      </c>
      <c r="E110" s="150" t="s">
        <v>1998</v>
      </c>
      <c r="F110" s="71" t="s">
        <v>708</v>
      </c>
      <c r="G110" s="290" t="s">
        <v>2583</v>
      </c>
      <c r="H110" s="423">
        <v>1860</v>
      </c>
      <c r="I110" s="388"/>
      <c r="J110" s="424"/>
      <c r="K110" s="462">
        <v>1860</v>
      </c>
      <c r="L110" s="390"/>
      <c r="M110" s="390"/>
      <c r="N110" s="390"/>
      <c r="O110" s="387"/>
      <c r="P110" s="428">
        <v>0.5</v>
      </c>
      <c r="Q110" s="387">
        <v>8495</v>
      </c>
      <c r="R110" s="388"/>
      <c r="S110" s="387">
        <v>4248</v>
      </c>
      <c r="T110" s="388"/>
      <c r="U110" s="426">
        <v>598</v>
      </c>
      <c r="V110" s="387">
        <v>59840</v>
      </c>
      <c r="W110" s="462">
        <v>64686</v>
      </c>
      <c r="X110" s="387">
        <v>11283</v>
      </c>
      <c r="Y110" s="387">
        <v>3332</v>
      </c>
      <c r="Z110" s="391"/>
      <c r="AA110" s="387">
        <v>59840</v>
      </c>
      <c r="AB110" s="462">
        <v>74455</v>
      </c>
      <c r="AC110" s="387">
        <v>12905</v>
      </c>
      <c r="AD110" s="387">
        <v>20662</v>
      </c>
      <c r="AE110" s="388"/>
      <c r="AF110" s="392">
        <v>3011</v>
      </c>
      <c r="AG110" s="387">
        <v>19127</v>
      </c>
      <c r="AH110" s="388">
        <v>10793</v>
      </c>
      <c r="AI110" s="429">
        <v>7521</v>
      </c>
      <c r="AJ110" s="462">
        <v>74019</v>
      </c>
      <c r="AK110" s="388">
        <v>1744070.8019999999</v>
      </c>
      <c r="AL110" s="388">
        <v>1170181.7150000001</v>
      </c>
      <c r="AM110" s="388">
        <v>573889.08700000006</v>
      </c>
      <c r="AN110" s="388">
        <v>41044.231</v>
      </c>
      <c r="AO110" s="467">
        <v>0.67094851519680454</v>
      </c>
      <c r="AP110" s="468">
        <v>105730.231</v>
      </c>
      <c r="AQ110" s="468">
        <v>-103870.231</v>
      </c>
      <c r="AR110" s="393"/>
      <c r="AS110" s="394"/>
      <c r="AT110" s="394"/>
      <c r="AU110" s="395"/>
      <c r="AV110" s="471"/>
      <c r="AW110" s="388">
        <v>1744070802</v>
      </c>
      <c r="AX110" s="424">
        <v>1170181715</v>
      </c>
      <c r="AY110" s="424">
        <v>573889087</v>
      </c>
      <c r="AZ110" s="424">
        <v>41044231</v>
      </c>
      <c r="BA110" s="472">
        <v>0.67094851519680454</v>
      </c>
      <c r="BB110" s="453">
        <v>214873</v>
      </c>
      <c r="BC110" s="390">
        <v>16273</v>
      </c>
      <c r="BD110" s="236">
        <v>0</v>
      </c>
    </row>
    <row r="111" spans="1:56" s="121" customFormat="1" ht="14.25" customHeight="1">
      <c r="A111" s="104">
        <v>2023</v>
      </c>
      <c r="B111" s="105" t="s">
        <v>742</v>
      </c>
      <c r="C111" s="556" t="s">
        <v>2704</v>
      </c>
      <c r="D111" s="106" t="s">
        <v>2415</v>
      </c>
      <c r="E111" s="150" t="s">
        <v>2517</v>
      </c>
      <c r="F111" s="71" t="s">
        <v>708</v>
      </c>
      <c r="G111" s="290" t="s">
        <v>2583</v>
      </c>
      <c r="H111" s="424"/>
      <c r="I111" s="387"/>
      <c r="J111" s="424"/>
      <c r="K111" s="462">
        <v>0</v>
      </c>
      <c r="L111" s="387"/>
      <c r="M111" s="388"/>
      <c r="N111" s="388"/>
      <c r="O111" s="387">
        <v>965</v>
      </c>
      <c r="P111" s="430">
        <v>0.7</v>
      </c>
      <c r="Q111" s="387">
        <v>8495</v>
      </c>
      <c r="R111" s="390"/>
      <c r="S111" s="387">
        <v>5947</v>
      </c>
      <c r="T111" s="390"/>
      <c r="U111" s="391">
        <v>971</v>
      </c>
      <c r="V111" s="390">
        <v>244653</v>
      </c>
      <c r="W111" s="462">
        <v>252536</v>
      </c>
      <c r="X111" s="387">
        <v>17036</v>
      </c>
      <c r="Y111" s="388">
        <v>23818</v>
      </c>
      <c r="Z111" s="391"/>
      <c r="AA111" s="387">
        <v>244653</v>
      </c>
      <c r="AB111" s="462">
        <v>285507</v>
      </c>
      <c r="AC111" s="387">
        <v>25566</v>
      </c>
      <c r="AD111" s="388">
        <v>25081</v>
      </c>
      <c r="AE111" s="388"/>
      <c r="AF111" s="392">
        <v>2942</v>
      </c>
      <c r="AG111" s="387">
        <v>151714</v>
      </c>
      <c r="AH111" s="391">
        <v>71393</v>
      </c>
      <c r="AI111" s="431">
        <v>6101</v>
      </c>
      <c r="AJ111" s="464">
        <v>282797</v>
      </c>
      <c r="AK111" s="388">
        <v>3171928.7030000002</v>
      </c>
      <c r="AL111" s="388">
        <v>1076008.9469999999</v>
      </c>
      <c r="AM111" s="388">
        <v>2095919.7560000001</v>
      </c>
      <c r="AN111" s="388">
        <v>109634.024</v>
      </c>
      <c r="AO111" s="467">
        <v>0.33922860434483099</v>
      </c>
      <c r="AP111" s="468">
        <v>362170.02399999998</v>
      </c>
      <c r="AQ111" s="468">
        <v>-362170.02399999998</v>
      </c>
      <c r="AR111" s="393"/>
      <c r="AS111" s="394"/>
      <c r="AT111" s="394"/>
      <c r="AU111" s="395"/>
      <c r="AV111" s="471"/>
      <c r="AW111" s="388">
        <v>3171928703</v>
      </c>
      <c r="AX111" s="424">
        <v>1076008947</v>
      </c>
      <c r="AY111" s="424">
        <v>2095919756</v>
      </c>
      <c r="AZ111" s="424">
        <v>109634024</v>
      </c>
      <c r="BA111" s="472">
        <v>0.33922860434483099</v>
      </c>
      <c r="BB111" s="453">
        <v>1154768.22</v>
      </c>
      <c r="BC111" s="390">
        <v>76</v>
      </c>
      <c r="BD111" s="236">
        <v>0</v>
      </c>
    </row>
    <row r="112" spans="1:56" s="121" customFormat="1" ht="14.25" customHeight="1">
      <c r="A112" s="104">
        <v>2023</v>
      </c>
      <c r="B112" s="105" t="s">
        <v>748</v>
      </c>
      <c r="C112" s="556" t="s">
        <v>749</v>
      </c>
      <c r="D112" s="106" t="s">
        <v>2415</v>
      </c>
      <c r="E112" s="150" t="s">
        <v>2636</v>
      </c>
      <c r="F112" s="71" t="s">
        <v>708</v>
      </c>
      <c r="G112" s="290" t="s">
        <v>2584</v>
      </c>
      <c r="H112" s="424"/>
      <c r="I112" s="388"/>
      <c r="J112" s="424"/>
      <c r="K112" s="462">
        <v>0</v>
      </c>
      <c r="L112" s="387">
        <v>4</v>
      </c>
      <c r="M112" s="387"/>
      <c r="N112" s="390"/>
      <c r="O112" s="387"/>
      <c r="P112" s="389">
        <v>0</v>
      </c>
      <c r="Q112" s="387">
        <v>8495</v>
      </c>
      <c r="R112" s="388"/>
      <c r="S112" s="387">
        <v>0</v>
      </c>
      <c r="T112" s="390"/>
      <c r="U112" s="426"/>
      <c r="V112" s="388"/>
      <c r="W112" s="462">
        <v>4</v>
      </c>
      <c r="X112" s="387"/>
      <c r="Y112" s="387"/>
      <c r="Z112" s="391"/>
      <c r="AA112" s="387"/>
      <c r="AB112" s="462">
        <v>0</v>
      </c>
      <c r="AC112" s="387"/>
      <c r="AD112" s="387"/>
      <c r="AE112" s="388"/>
      <c r="AF112" s="392"/>
      <c r="AG112" s="387"/>
      <c r="AH112" s="388"/>
      <c r="AI112" s="417"/>
      <c r="AJ112" s="462">
        <v>0</v>
      </c>
      <c r="AK112" s="388">
        <v>6462.4</v>
      </c>
      <c r="AL112" s="388">
        <v>6462.3990000000003</v>
      </c>
      <c r="AM112" s="388">
        <v>1E-3</v>
      </c>
      <c r="AN112" s="388">
        <v>0</v>
      </c>
      <c r="AO112" s="467">
        <v>0.99999984525872743</v>
      </c>
      <c r="AP112" s="468">
        <v>4</v>
      </c>
      <c r="AQ112" s="468">
        <v>-4</v>
      </c>
      <c r="AR112" s="393"/>
      <c r="AS112" s="394"/>
      <c r="AT112" s="394"/>
      <c r="AU112" s="395"/>
      <c r="AV112" s="471"/>
      <c r="AW112" s="388">
        <v>6462400</v>
      </c>
      <c r="AX112" s="424">
        <v>6462399</v>
      </c>
      <c r="AY112" s="424">
        <v>1</v>
      </c>
      <c r="AZ112" s="424">
        <v>0</v>
      </c>
      <c r="BA112" s="472">
        <v>0.99999984525872743</v>
      </c>
      <c r="BB112" s="453" t="s">
        <v>825</v>
      </c>
      <c r="BC112" s="390" t="s">
        <v>825</v>
      </c>
      <c r="BD112" s="236" t="s">
        <v>825</v>
      </c>
    </row>
    <row r="113" spans="1:56" s="121" customFormat="1" ht="14.25" customHeight="1">
      <c r="A113" s="104">
        <v>2023</v>
      </c>
      <c r="B113" s="105" t="s">
        <v>752</v>
      </c>
      <c r="C113" s="556" t="s">
        <v>2298</v>
      </c>
      <c r="D113" s="106" t="s">
        <v>2415</v>
      </c>
      <c r="E113" s="150" t="s">
        <v>2365</v>
      </c>
      <c r="F113" s="71" t="s">
        <v>708</v>
      </c>
      <c r="G113" s="290" t="s">
        <v>2584</v>
      </c>
      <c r="H113" s="424"/>
      <c r="I113" s="388"/>
      <c r="J113" s="424"/>
      <c r="K113" s="462">
        <v>0</v>
      </c>
      <c r="L113" s="387">
        <v>464</v>
      </c>
      <c r="M113" s="387">
        <v>1154</v>
      </c>
      <c r="N113" s="390"/>
      <c r="O113" s="387">
        <v>176</v>
      </c>
      <c r="P113" s="389">
        <v>0</v>
      </c>
      <c r="Q113" s="387">
        <v>8495</v>
      </c>
      <c r="R113" s="388">
        <v>5341</v>
      </c>
      <c r="S113" s="387">
        <v>5341</v>
      </c>
      <c r="T113" s="390">
        <v>951</v>
      </c>
      <c r="U113" s="426"/>
      <c r="V113" s="388"/>
      <c r="W113" s="462">
        <v>8086</v>
      </c>
      <c r="X113" s="387"/>
      <c r="Y113" s="387"/>
      <c r="Z113" s="391"/>
      <c r="AA113" s="387"/>
      <c r="AB113" s="462">
        <v>0</v>
      </c>
      <c r="AC113" s="387"/>
      <c r="AD113" s="387"/>
      <c r="AE113" s="388"/>
      <c r="AF113" s="392"/>
      <c r="AG113" s="387"/>
      <c r="AH113" s="388"/>
      <c r="AI113" s="388"/>
      <c r="AJ113" s="462">
        <v>0</v>
      </c>
      <c r="AK113" s="388">
        <v>79546.611000000004</v>
      </c>
      <c r="AL113" s="388">
        <v>60979.084999999999</v>
      </c>
      <c r="AM113" s="388">
        <v>18567.526000000002</v>
      </c>
      <c r="AN113" s="388">
        <v>1638.1579999999999</v>
      </c>
      <c r="AO113" s="467">
        <v>0.76658306662492515</v>
      </c>
      <c r="AP113" s="468">
        <v>9724.1579999999994</v>
      </c>
      <c r="AQ113" s="468">
        <v>-9724.1579999999994</v>
      </c>
      <c r="AR113" s="393"/>
      <c r="AS113" s="394"/>
      <c r="AT113" s="394"/>
      <c r="AU113" s="395"/>
      <c r="AV113" s="471"/>
      <c r="AW113" s="388">
        <v>79546611</v>
      </c>
      <c r="AX113" s="424">
        <v>60979085</v>
      </c>
      <c r="AY113" s="424">
        <v>18567526</v>
      </c>
      <c r="AZ113" s="424">
        <v>1638158</v>
      </c>
      <c r="BA113" s="472">
        <v>0.76658306662492515</v>
      </c>
      <c r="BB113" s="453" t="s">
        <v>825</v>
      </c>
      <c r="BC113" s="390" t="s">
        <v>825</v>
      </c>
      <c r="BD113" s="236" t="s">
        <v>825</v>
      </c>
    </row>
    <row r="114" spans="1:56" s="121" customFormat="1" ht="14.25" customHeight="1">
      <c r="A114" s="104">
        <v>2023</v>
      </c>
      <c r="B114" s="105" t="s">
        <v>760</v>
      </c>
      <c r="C114" s="556" t="s">
        <v>753</v>
      </c>
      <c r="D114" s="106" t="s">
        <v>2415</v>
      </c>
      <c r="E114" s="150" t="s">
        <v>754</v>
      </c>
      <c r="F114" s="71" t="s">
        <v>1404</v>
      </c>
      <c r="G114" s="290" t="s">
        <v>2475</v>
      </c>
      <c r="H114" s="423">
        <v>858</v>
      </c>
      <c r="I114" s="387">
        <v>0</v>
      </c>
      <c r="J114" s="424">
        <v>32</v>
      </c>
      <c r="K114" s="462">
        <v>890</v>
      </c>
      <c r="L114" s="390">
        <v>0</v>
      </c>
      <c r="M114" s="390">
        <v>0</v>
      </c>
      <c r="N114" s="390">
        <v>0</v>
      </c>
      <c r="O114" s="390">
        <v>0</v>
      </c>
      <c r="P114" s="396">
        <v>1.1499999999999999</v>
      </c>
      <c r="Q114" s="387">
        <v>8495</v>
      </c>
      <c r="R114" s="388"/>
      <c r="S114" s="387">
        <v>9769</v>
      </c>
      <c r="T114" s="390">
        <v>7079</v>
      </c>
      <c r="U114" s="426"/>
      <c r="V114" s="387">
        <v>118003</v>
      </c>
      <c r="W114" s="462">
        <v>134851</v>
      </c>
      <c r="X114" s="387">
        <v>28928</v>
      </c>
      <c r="Y114" s="387">
        <v>2209</v>
      </c>
      <c r="Z114" s="391"/>
      <c r="AA114" s="387">
        <v>118003</v>
      </c>
      <c r="AB114" s="462">
        <v>149140</v>
      </c>
      <c r="AC114" s="387">
        <v>11207</v>
      </c>
      <c r="AD114" s="387">
        <v>12942</v>
      </c>
      <c r="AE114" s="388">
        <v>0</v>
      </c>
      <c r="AF114" s="392">
        <v>4565</v>
      </c>
      <c r="AG114" s="387">
        <v>82238</v>
      </c>
      <c r="AH114" s="388">
        <v>25511</v>
      </c>
      <c r="AI114" s="388">
        <v>7117</v>
      </c>
      <c r="AJ114" s="462">
        <v>143580</v>
      </c>
      <c r="AK114" s="388">
        <v>1201370.912</v>
      </c>
      <c r="AL114" s="388">
        <v>712641.55700000003</v>
      </c>
      <c r="AM114" s="388">
        <v>488729.35499999998</v>
      </c>
      <c r="AN114" s="388">
        <v>30858.163</v>
      </c>
      <c r="AO114" s="467">
        <v>0.5931902877635179</v>
      </c>
      <c r="AP114" s="468">
        <v>165709.163</v>
      </c>
      <c r="AQ114" s="468">
        <v>-164819.163</v>
      </c>
      <c r="AR114" s="393"/>
      <c r="AS114" s="432" t="s">
        <v>2640</v>
      </c>
      <c r="AT114" s="394"/>
      <c r="AU114" s="395"/>
      <c r="AV114" s="471"/>
      <c r="AW114" s="388">
        <v>1201370912</v>
      </c>
      <c r="AX114" s="424">
        <v>712641557</v>
      </c>
      <c r="AY114" s="424">
        <v>488729355</v>
      </c>
      <c r="AZ114" s="424">
        <v>30858163</v>
      </c>
      <c r="BA114" s="472">
        <v>0.5931902877635179</v>
      </c>
      <c r="BB114" s="453">
        <v>248111</v>
      </c>
      <c r="BC114" s="390">
        <v>31143</v>
      </c>
      <c r="BD114" s="236">
        <v>0</v>
      </c>
    </row>
    <row r="115" spans="1:56" s="121" customFormat="1" ht="14.25" customHeight="1">
      <c r="A115" s="104">
        <v>2023</v>
      </c>
      <c r="B115" s="105" t="s">
        <v>768</v>
      </c>
      <c r="C115" s="556" t="s">
        <v>761</v>
      </c>
      <c r="D115" s="106" t="s">
        <v>2415</v>
      </c>
      <c r="E115" s="150" t="s">
        <v>762</v>
      </c>
      <c r="F115" s="71" t="s">
        <v>1404</v>
      </c>
      <c r="G115" s="290" t="s">
        <v>2477</v>
      </c>
      <c r="H115" s="423">
        <v>41</v>
      </c>
      <c r="I115" s="387"/>
      <c r="J115" s="424">
        <v>28</v>
      </c>
      <c r="K115" s="462">
        <v>69</v>
      </c>
      <c r="L115" s="390"/>
      <c r="M115" s="390"/>
      <c r="N115" s="390"/>
      <c r="O115" s="390">
        <v>499</v>
      </c>
      <c r="P115" s="396">
        <v>0.9</v>
      </c>
      <c r="Q115" s="387">
        <v>8495</v>
      </c>
      <c r="R115" s="388"/>
      <c r="S115" s="387">
        <v>7646</v>
      </c>
      <c r="T115" s="390">
        <v>27</v>
      </c>
      <c r="U115" s="426"/>
      <c r="V115" s="387">
        <v>19490</v>
      </c>
      <c r="W115" s="462">
        <v>27662</v>
      </c>
      <c r="X115" s="387"/>
      <c r="Y115" s="387">
        <v>301</v>
      </c>
      <c r="Z115" s="391"/>
      <c r="AA115" s="387">
        <v>19490</v>
      </c>
      <c r="AB115" s="462">
        <v>19791</v>
      </c>
      <c r="AC115" s="387">
        <v>1391</v>
      </c>
      <c r="AD115" s="387">
        <v>492</v>
      </c>
      <c r="AE115" s="388">
        <v>0</v>
      </c>
      <c r="AF115" s="392">
        <v>554</v>
      </c>
      <c r="AG115" s="387">
        <v>12325</v>
      </c>
      <c r="AH115" s="388">
        <v>1621</v>
      </c>
      <c r="AI115" s="388">
        <v>3407</v>
      </c>
      <c r="AJ115" s="462">
        <v>19790</v>
      </c>
      <c r="AK115" s="388">
        <v>97860</v>
      </c>
      <c r="AL115" s="388">
        <v>60771.06</v>
      </c>
      <c r="AM115" s="388">
        <v>37088.94</v>
      </c>
      <c r="AN115" s="388">
        <v>2642.22</v>
      </c>
      <c r="AO115" s="467">
        <v>0.621</v>
      </c>
      <c r="AP115" s="468">
        <v>30304.22</v>
      </c>
      <c r="AQ115" s="468">
        <v>-30235.22</v>
      </c>
      <c r="AR115" s="433"/>
      <c r="AS115" s="394"/>
      <c r="AT115" s="394"/>
      <c r="AU115" s="395"/>
      <c r="AV115" s="471"/>
      <c r="AW115" s="388">
        <v>97860000</v>
      </c>
      <c r="AX115" s="424">
        <v>60771060</v>
      </c>
      <c r="AY115" s="424">
        <v>37088940</v>
      </c>
      <c r="AZ115" s="424">
        <v>2642220</v>
      </c>
      <c r="BA115" s="472">
        <v>0.621</v>
      </c>
      <c r="BB115" s="453">
        <v>23362</v>
      </c>
      <c r="BC115" s="390">
        <v>1</v>
      </c>
      <c r="BD115" s="236">
        <v>0</v>
      </c>
    </row>
    <row r="116" spans="1:56" s="121" customFormat="1" ht="14.25" customHeight="1">
      <c r="A116" s="104">
        <v>2023</v>
      </c>
      <c r="B116" s="105" t="s">
        <v>777</v>
      </c>
      <c r="C116" s="556" t="s">
        <v>769</v>
      </c>
      <c r="D116" s="106" t="s">
        <v>2415</v>
      </c>
      <c r="E116" s="150" t="s">
        <v>770</v>
      </c>
      <c r="F116" s="71" t="s">
        <v>170</v>
      </c>
      <c r="G116" s="290" t="s">
        <v>2585</v>
      </c>
      <c r="H116" s="423">
        <v>10305</v>
      </c>
      <c r="I116" s="387">
        <v>1402</v>
      </c>
      <c r="J116" s="424"/>
      <c r="K116" s="462">
        <v>11707</v>
      </c>
      <c r="L116" s="387">
        <v>5320</v>
      </c>
      <c r="M116" s="387">
        <v>5568</v>
      </c>
      <c r="N116" s="388"/>
      <c r="O116" s="387">
        <v>5591</v>
      </c>
      <c r="P116" s="389">
        <v>4</v>
      </c>
      <c r="Q116" s="387">
        <v>8495</v>
      </c>
      <c r="R116" s="390">
        <v>12740</v>
      </c>
      <c r="S116" s="387">
        <v>46720</v>
      </c>
      <c r="T116" s="388">
        <v>10431</v>
      </c>
      <c r="U116" s="391">
        <v>3653</v>
      </c>
      <c r="V116" s="388"/>
      <c r="W116" s="462">
        <v>77283</v>
      </c>
      <c r="X116" s="387"/>
      <c r="Y116" s="387"/>
      <c r="Z116" s="391"/>
      <c r="AA116" s="387"/>
      <c r="AB116" s="462">
        <v>0</v>
      </c>
      <c r="AC116" s="387"/>
      <c r="AD116" s="387"/>
      <c r="AE116" s="388"/>
      <c r="AF116" s="392"/>
      <c r="AG116" s="387"/>
      <c r="AH116" s="388"/>
      <c r="AI116" s="388"/>
      <c r="AJ116" s="462">
        <v>0</v>
      </c>
      <c r="AK116" s="388">
        <v>1099177.345</v>
      </c>
      <c r="AL116" s="388">
        <v>760720.36899999995</v>
      </c>
      <c r="AM116" s="388">
        <v>338456.97600000002</v>
      </c>
      <c r="AN116" s="388">
        <v>21987.15</v>
      </c>
      <c r="AO116" s="467">
        <v>0.69208155759432977</v>
      </c>
      <c r="AP116" s="468">
        <v>99270.15</v>
      </c>
      <c r="AQ116" s="468">
        <v>-87563.15</v>
      </c>
      <c r="AR116" s="434"/>
      <c r="AS116" s="435"/>
      <c r="AT116" s="435"/>
      <c r="AU116" s="436"/>
      <c r="AV116" s="471"/>
      <c r="AW116" s="388">
        <v>1099177345</v>
      </c>
      <c r="AX116" s="424">
        <v>760720369</v>
      </c>
      <c r="AY116" s="424">
        <v>338456976</v>
      </c>
      <c r="AZ116" s="424">
        <v>21987150</v>
      </c>
      <c r="BA116" s="472">
        <v>0.69208155759432977</v>
      </c>
      <c r="BB116" s="453">
        <v>263533</v>
      </c>
      <c r="BC116" s="390">
        <v>0</v>
      </c>
      <c r="BD116" s="236">
        <v>0</v>
      </c>
    </row>
    <row r="117" spans="1:56" s="121" customFormat="1" ht="14.25" customHeight="1">
      <c r="A117" s="104">
        <v>2023</v>
      </c>
      <c r="B117" s="105" t="s">
        <v>785</v>
      </c>
      <c r="C117" s="556" t="s">
        <v>778</v>
      </c>
      <c r="D117" s="106" t="s">
        <v>2415</v>
      </c>
      <c r="E117" s="150" t="s">
        <v>779</v>
      </c>
      <c r="F117" s="71" t="s">
        <v>708</v>
      </c>
      <c r="G117" s="290" t="s">
        <v>2586</v>
      </c>
      <c r="H117" s="423">
        <v>249</v>
      </c>
      <c r="I117" s="387"/>
      <c r="J117" s="424">
        <v>4366</v>
      </c>
      <c r="K117" s="462">
        <v>4615</v>
      </c>
      <c r="L117" s="390"/>
      <c r="M117" s="390"/>
      <c r="N117" s="388">
        <v>276</v>
      </c>
      <c r="O117" s="390"/>
      <c r="P117" s="396">
        <v>0.5</v>
      </c>
      <c r="Q117" s="387">
        <v>8495</v>
      </c>
      <c r="R117" s="388"/>
      <c r="S117" s="387">
        <v>4248</v>
      </c>
      <c r="T117" s="388"/>
      <c r="U117" s="426"/>
      <c r="V117" s="387">
        <v>17167</v>
      </c>
      <c r="W117" s="462">
        <v>21691</v>
      </c>
      <c r="X117" s="387"/>
      <c r="Y117" s="387"/>
      <c r="Z117" s="391"/>
      <c r="AA117" s="387">
        <v>17167</v>
      </c>
      <c r="AB117" s="462">
        <v>17167</v>
      </c>
      <c r="AC117" s="387">
        <v>2351</v>
      </c>
      <c r="AD117" s="387">
        <v>2131</v>
      </c>
      <c r="AE117" s="388"/>
      <c r="AF117" s="392">
        <v>960</v>
      </c>
      <c r="AG117" s="387">
        <v>10478</v>
      </c>
      <c r="AH117" s="388">
        <v>951</v>
      </c>
      <c r="AI117" s="388">
        <v>50</v>
      </c>
      <c r="AJ117" s="462">
        <v>16921</v>
      </c>
      <c r="AK117" s="388">
        <v>144289.69899999999</v>
      </c>
      <c r="AL117" s="388">
        <v>94019.498999999996</v>
      </c>
      <c r="AM117" s="388">
        <v>50270.2</v>
      </c>
      <c r="AN117" s="388">
        <v>3080.6439999999998</v>
      </c>
      <c r="AO117" s="467">
        <v>0.65160229490810706</v>
      </c>
      <c r="AP117" s="468">
        <v>24771.644</v>
      </c>
      <c r="AQ117" s="468">
        <v>-20156.644</v>
      </c>
      <c r="AR117" s="393"/>
      <c r="AS117" s="394"/>
      <c r="AT117" s="394"/>
      <c r="AU117" s="395"/>
      <c r="AV117" s="471"/>
      <c r="AW117" s="388">
        <v>144289699</v>
      </c>
      <c r="AX117" s="424">
        <v>94019499</v>
      </c>
      <c r="AY117" s="424">
        <v>50270200</v>
      </c>
      <c r="AZ117" s="424">
        <v>3080644</v>
      </c>
      <c r="BA117" s="472">
        <v>0.65160229490810706</v>
      </c>
      <c r="BB117" s="453">
        <v>82827</v>
      </c>
      <c r="BC117" s="390">
        <v>0</v>
      </c>
      <c r="BD117" s="236">
        <v>0</v>
      </c>
    </row>
    <row r="118" spans="1:56" s="121" customFormat="1" ht="14.25" customHeight="1">
      <c r="A118" s="104">
        <v>2023</v>
      </c>
      <c r="B118" s="105" t="s">
        <v>790</v>
      </c>
      <c r="C118" s="556" t="s">
        <v>800</v>
      </c>
      <c r="D118" s="106" t="s">
        <v>2415</v>
      </c>
      <c r="E118" s="150" t="s">
        <v>801</v>
      </c>
      <c r="F118" s="71" t="s">
        <v>170</v>
      </c>
      <c r="G118" s="68" t="s">
        <v>802</v>
      </c>
      <c r="H118" s="386">
        <v>1963</v>
      </c>
      <c r="I118" s="387">
        <v>12</v>
      </c>
      <c r="J118" s="424">
        <v>106</v>
      </c>
      <c r="K118" s="462">
        <v>2081</v>
      </c>
      <c r="L118" s="387">
        <v>11058</v>
      </c>
      <c r="M118" s="387">
        <v>27365</v>
      </c>
      <c r="N118" s="388"/>
      <c r="O118" s="387">
        <v>8095</v>
      </c>
      <c r="P118" s="389">
        <v>5.7</v>
      </c>
      <c r="Q118" s="387">
        <v>8495</v>
      </c>
      <c r="R118" s="390">
        <v>60979</v>
      </c>
      <c r="S118" s="387">
        <v>109401</v>
      </c>
      <c r="T118" s="388">
        <v>56666</v>
      </c>
      <c r="U118" s="391"/>
      <c r="V118" s="388"/>
      <c r="W118" s="462">
        <v>212585</v>
      </c>
      <c r="X118" s="387"/>
      <c r="Y118" s="387"/>
      <c r="Z118" s="391"/>
      <c r="AA118" s="387"/>
      <c r="AB118" s="462">
        <v>0</v>
      </c>
      <c r="AC118" s="387"/>
      <c r="AD118" s="387"/>
      <c r="AE118" s="388"/>
      <c r="AF118" s="392"/>
      <c r="AG118" s="387"/>
      <c r="AH118" s="388"/>
      <c r="AI118" s="388"/>
      <c r="AJ118" s="462">
        <v>0</v>
      </c>
      <c r="AK118" s="388">
        <v>1937026.6</v>
      </c>
      <c r="AL118" s="388">
        <v>837530.44799999997</v>
      </c>
      <c r="AM118" s="388">
        <v>1099496.152</v>
      </c>
      <c r="AN118" s="388">
        <v>70492.244000000006</v>
      </c>
      <c r="AO118" s="467">
        <v>0.43237942524898731</v>
      </c>
      <c r="AP118" s="468">
        <v>283077.24400000001</v>
      </c>
      <c r="AQ118" s="468">
        <v>-280996.24400000001</v>
      </c>
      <c r="AR118" s="393"/>
      <c r="AS118" s="394"/>
      <c r="AT118" s="394"/>
      <c r="AU118" s="395"/>
      <c r="AV118" s="471"/>
      <c r="AW118" s="388">
        <v>1937026600</v>
      </c>
      <c r="AX118" s="424">
        <v>837530448</v>
      </c>
      <c r="AY118" s="424">
        <v>1099496152</v>
      </c>
      <c r="AZ118" s="424">
        <v>70492244</v>
      </c>
      <c r="BA118" s="472">
        <v>0.43237942524898731</v>
      </c>
      <c r="BB118" s="453">
        <v>522728</v>
      </c>
      <c r="BC118" s="390">
        <v>13763</v>
      </c>
      <c r="BD118" s="236">
        <v>0</v>
      </c>
    </row>
    <row r="119" spans="1:56" s="121" customFormat="1" ht="14.25" customHeight="1">
      <c r="A119" s="104">
        <v>2023</v>
      </c>
      <c r="B119" s="105" t="s">
        <v>793</v>
      </c>
      <c r="C119" s="556" t="s">
        <v>812</v>
      </c>
      <c r="D119" s="106" t="s">
        <v>2415</v>
      </c>
      <c r="E119" s="150" t="s">
        <v>813</v>
      </c>
      <c r="F119" s="71" t="s">
        <v>170</v>
      </c>
      <c r="G119" s="68" t="s">
        <v>802</v>
      </c>
      <c r="H119" s="386"/>
      <c r="I119" s="387"/>
      <c r="J119" s="424"/>
      <c r="K119" s="462">
        <v>0</v>
      </c>
      <c r="L119" s="387"/>
      <c r="M119" s="387"/>
      <c r="N119" s="388"/>
      <c r="O119" s="387"/>
      <c r="P119" s="396">
        <v>0.35</v>
      </c>
      <c r="Q119" s="387">
        <v>8495</v>
      </c>
      <c r="R119" s="388"/>
      <c r="S119" s="387">
        <v>2973</v>
      </c>
      <c r="T119" s="388">
        <v>7000</v>
      </c>
      <c r="U119" s="391"/>
      <c r="V119" s="387">
        <v>35189</v>
      </c>
      <c r="W119" s="462">
        <v>45162</v>
      </c>
      <c r="X119" s="387"/>
      <c r="Y119" s="387"/>
      <c r="Z119" s="391">
        <v>12</v>
      </c>
      <c r="AA119" s="387">
        <v>35189</v>
      </c>
      <c r="AB119" s="462">
        <v>35201</v>
      </c>
      <c r="AC119" s="387"/>
      <c r="AD119" s="387"/>
      <c r="AE119" s="388"/>
      <c r="AF119" s="392"/>
      <c r="AG119" s="387">
        <v>32975</v>
      </c>
      <c r="AH119" s="388">
        <v>1756</v>
      </c>
      <c r="AI119" s="388"/>
      <c r="AJ119" s="462">
        <v>34731</v>
      </c>
      <c r="AK119" s="388">
        <v>351701.93860259512</v>
      </c>
      <c r="AL119" s="388">
        <v>174965.35488222141</v>
      </c>
      <c r="AM119" s="388">
        <v>176736.58372037378</v>
      </c>
      <c r="AN119" s="388">
        <v>9174.6982748976225</v>
      </c>
      <c r="AO119" s="467">
        <v>0.49748191772102551</v>
      </c>
      <c r="AP119" s="468">
        <v>54336.698274897622</v>
      </c>
      <c r="AQ119" s="468">
        <v>-54336.698274897622</v>
      </c>
      <c r="AR119" s="393"/>
      <c r="AS119" s="394"/>
      <c r="AT119" s="394"/>
      <c r="AU119" s="395"/>
      <c r="AV119" s="471" t="s">
        <v>2484</v>
      </c>
      <c r="AW119" s="388">
        <v>351701938.60259515</v>
      </c>
      <c r="AX119" s="424">
        <v>174965354.8822214</v>
      </c>
      <c r="AY119" s="424">
        <v>176736583.72037378</v>
      </c>
      <c r="AZ119" s="424">
        <v>9174698.2748976219</v>
      </c>
      <c r="BA119" s="472">
        <v>0.49748191772102551</v>
      </c>
      <c r="BB119" s="453" t="s">
        <v>825</v>
      </c>
      <c r="BC119" s="390" t="s">
        <v>825</v>
      </c>
      <c r="BD119" s="236" t="s">
        <v>825</v>
      </c>
    </row>
    <row r="120" spans="1:56" s="121" customFormat="1" ht="14.25" customHeight="1">
      <c r="A120" s="104">
        <v>2023</v>
      </c>
      <c r="B120" s="105" t="s">
        <v>795</v>
      </c>
      <c r="C120" s="556" t="s">
        <v>818</v>
      </c>
      <c r="D120" s="106" t="s">
        <v>2415</v>
      </c>
      <c r="E120" s="150" t="s">
        <v>819</v>
      </c>
      <c r="F120" s="71" t="s">
        <v>170</v>
      </c>
      <c r="G120" s="68" t="s">
        <v>802</v>
      </c>
      <c r="H120" s="386"/>
      <c r="I120" s="387"/>
      <c r="J120" s="424"/>
      <c r="K120" s="462">
        <v>0</v>
      </c>
      <c r="L120" s="387"/>
      <c r="M120" s="390"/>
      <c r="N120" s="390"/>
      <c r="O120" s="390"/>
      <c r="P120" s="396">
        <v>0.4</v>
      </c>
      <c r="Q120" s="387">
        <v>8495</v>
      </c>
      <c r="R120" s="388"/>
      <c r="S120" s="387">
        <v>3398</v>
      </c>
      <c r="T120" s="390">
        <v>7499</v>
      </c>
      <c r="U120" s="391"/>
      <c r="V120" s="387">
        <v>31582</v>
      </c>
      <c r="W120" s="462">
        <v>42479</v>
      </c>
      <c r="X120" s="387"/>
      <c r="Y120" s="387">
        <v>50</v>
      </c>
      <c r="Z120" s="391">
        <v>5</v>
      </c>
      <c r="AA120" s="387">
        <v>31582</v>
      </c>
      <c r="AB120" s="462">
        <v>31637</v>
      </c>
      <c r="AC120" s="387"/>
      <c r="AD120" s="387"/>
      <c r="AE120" s="388"/>
      <c r="AF120" s="392">
        <v>83</v>
      </c>
      <c r="AG120" s="387">
        <v>27874</v>
      </c>
      <c r="AH120" s="388">
        <v>4367</v>
      </c>
      <c r="AI120" s="388"/>
      <c r="AJ120" s="462">
        <v>32324</v>
      </c>
      <c r="AK120" s="388">
        <v>256030.17202249117</v>
      </c>
      <c r="AL120" s="388">
        <v>153113.21204194735</v>
      </c>
      <c r="AM120" s="388">
        <v>102916.95998054379</v>
      </c>
      <c r="AN120" s="388">
        <v>3717.1857401419206</v>
      </c>
      <c r="AO120" s="467">
        <v>0.59802800127985312</v>
      </c>
      <c r="AP120" s="468">
        <v>46196.185740141918</v>
      </c>
      <c r="AQ120" s="468">
        <v>-46196.185740141918</v>
      </c>
      <c r="AR120" s="393"/>
      <c r="AS120" s="394"/>
      <c r="AT120" s="394"/>
      <c r="AU120" s="395"/>
      <c r="AV120" s="471" t="s">
        <v>2484</v>
      </c>
      <c r="AW120" s="388">
        <v>256030172.02249116</v>
      </c>
      <c r="AX120" s="424">
        <v>153113212.04194736</v>
      </c>
      <c r="AY120" s="424">
        <v>102916959.98054379</v>
      </c>
      <c r="AZ120" s="424">
        <v>3717185.7401419207</v>
      </c>
      <c r="BA120" s="472">
        <v>0.59802800127985312</v>
      </c>
      <c r="BB120" s="453" t="s">
        <v>825</v>
      </c>
      <c r="BC120" s="390" t="s">
        <v>825</v>
      </c>
      <c r="BD120" s="236" t="s">
        <v>825</v>
      </c>
    </row>
    <row r="121" spans="1:56" s="121" customFormat="1" ht="14.25" customHeight="1">
      <c r="A121" s="104">
        <v>2023</v>
      </c>
      <c r="B121" s="105" t="s">
        <v>799</v>
      </c>
      <c r="C121" s="556" t="s">
        <v>822</v>
      </c>
      <c r="D121" s="106" t="s">
        <v>2415</v>
      </c>
      <c r="E121" s="150" t="s">
        <v>823</v>
      </c>
      <c r="F121" s="71" t="s">
        <v>170</v>
      </c>
      <c r="G121" s="68" t="s">
        <v>802</v>
      </c>
      <c r="H121" s="386"/>
      <c r="I121" s="387"/>
      <c r="J121" s="424"/>
      <c r="K121" s="462">
        <v>0</v>
      </c>
      <c r="L121" s="387"/>
      <c r="M121" s="387">
        <v>100</v>
      </c>
      <c r="N121" s="388"/>
      <c r="O121" s="387"/>
      <c r="P121" s="389"/>
      <c r="Q121" s="387">
        <v>8495</v>
      </c>
      <c r="R121" s="390">
        <v>10461</v>
      </c>
      <c r="S121" s="387">
        <v>10461</v>
      </c>
      <c r="T121" s="388"/>
      <c r="U121" s="391"/>
      <c r="V121" s="388"/>
      <c r="W121" s="462">
        <v>10561</v>
      </c>
      <c r="X121" s="387"/>
      <c r="Y121" s="387"/>
      <c r="Z121" s="391"/>
      <c r="AA121" s="387"/>
      <c r="AB121" s="462">
        <v>0</v>
      </c>
      <c r="AC121" s="387"/>
      <c r="AD121" s="387"/>
      <c r="AE121" s="388"/>
      <c r="AF121" s="392"/>
      <c r="AG121" s="387"/>
      <c r="AH121" s="388"/>
      <c r="AI121" s="388"/>
      <c r="AJ121" s="462">
        <v>0</v>
      </c>
      <c r="AK121" s="388">
        <v>18354</v>
      </c>
      <c r="AL121" s="388">
        <v>4772.04</v>
      </c>
      <c r="AM121" s="388">
        <v>13581.96</v>
      </c>
      <c r="AN121" s="388">
        <v>367.08</v>
      </c>
      <c r="AO121" s="467">
        <v>0.26</v>
      </c>
      <c r="AP121" s="468">
        <v>10928.08</v>
      </c>
      <c r="AQ121" s="468">
        <v>-10928.08</v>
      </c>
      <c r="AR121" s="393"/>
      <c r="AS121" s="394"/>
      <c r="AT121" s="394"/>
      <c r="AU121" s="395"/>
      <c r="AV121" s="471"/>
      <c r="AW121" s="388">
        <v>18354000</v>
      </c>
      <c r="AX121" s="424">
        <v>4772040</v>
      </c>
      <c r="AY121" s="424">
        <v>13581960</v>
      </c>
      <c r="AZ121" s="424">
        <v>367080</v>
      </c>
      <c r="BA121" s="472">
        <v>0.26</v>
      </c>
      <c r="BB121" s="453" t="s">
        <v>825</v>
      </c>
      <c r="BC121" s="390" t="s">
        <v>825</v>
      </c>
      <c r="BD121" s="236" t="s">
        <v>825</v>
      </c>
    </row>
    <row r="122" spans="1:56" s="121" customFormat="1" ht="14.25" customHeight="1">
      <c r="A122" s="104">
        <v>2023</v>
      </c>
      <c r="B122" s="105" t="s">
        <v>811</v>
      </c>
      <c r="C122" s="556" t="s">
        <v>830</v>
      </c>
      <c r="D122" s="106" t="s">
        <v>2415</v>
      </c>
      <c r="E122" s="150" t="s">
        <v>831</v>
      </c>
      <c r="F122" s="71" t="s">
        <v>170</v>
      </c>
      <c r="G122" s="68" t="s">
        <v>802</v>
      </c>
      <c r="H122" s="386"/>
      <c r="I122" s="387"/>
      <c r="J122" s="424"/>
      <c r="K122" s="462">
        <v>0</v>
      </c>
      <c r="L122" s="387"/>
      <c r="M122" s="387"/>
      <c r="N122" s="388"/>
      <c r="O122" s="387"/>
      <c r="P122" s="396">
        <v>0.35</v>
      </c>
      <c r="Q122" s="387">
        <v>8495</v>
      </c>
      <c r="R122" s="388"/>
      <c r="S122" s="387">
        <v>2973</v>
      </c>
      <c r="T122" s="388">
        <v>693</v>
      </c>
      <c r="U122" s="391"/>
      <c r="V122" s="387">
        <v>9890</v>
      </c>
      <c r="W122" s="462">
        <v>13556</v>
      </c>
      <c r="X122" s="387"/>
      <c r="Y122" s="387"/>
      <c r="Z122" s="391"/>
      <c r="AA122" s="387">
        <v>9890</v>
      </c>
      <c r="AB122" s="462">
        <v>9890</v>
      </c>
      <c r="AC122" s="387">
        <v>237</v>
      </c>
      <c r="AD122" s="387"/>
      <c r="AE122" s="388"/>
      <c r="AF122" s="392"/>
      <c r="AG122" s="387">
        <v>8493</v>
      </c>
      <c r="AH122" s="388">
        <v>260</v>
      </c>
      <c r="AI122" s="388"/>
      <c r="AJ122" s="462">
        <v>8990</v>
      </c>
      <c r="AK122" s="388">
        <v>29833.422066264207</v>
      </c>
      <c r="AL122" s="388">
        <v>9028.4651815372927</v>
      </c>
      <c r="AM122" s="388">
        <v>20804.956884726915</v>
      </c>
      <c r="AN122" s="388">
        <v>1128.5581476921616</v>
      </c>
      <c r="AO122" s="467">
        <v>0.30262921771038559</v>
      </c>
      <c r="AP122" s="468">
        <v>14684.558147692162</v>
      </c>
      <c r="AQ122" s="468">
        <v>-14684.558147692162</v>
      </c>
      <c r="AR122" s="393"/>
      <c r="AS122" s="394"/>
      <c r="AT122" s="394"/>
      <c r="AU122" s="395"/>
      <c r="AV122" s="471" t="s">
        <v>2484</v>
      </c>
      <c r="AW122" s="388">
        <v>29833422.066264208</v>
      </c>
      <c r="AX122" s="424">
        <v>9028465.1815372929</v>
      </c>
      <c r="AY122" s="424">
        <v>20804956.884726916</v>
      </c>
      <c r="AZ122" s="424">
        <v>1128558.1476921616</v>
      </c>
      <c r="BA122" s="472">
        <v>0.30262921771038559</v>
      </c>
      <c r="BB122" s="453" t="s">
        <v>825</v>
      </c>
      <c r="BC122" s="390" t="s">
        <v>825</v>
      </c>
      <c r="BD122" s="236" t="s">
        <v>825</v>
      </c>
    </row>
    <row r="123" spans="1:56" s="121" customFormat="1" ht="14.25" customHeight="1">
      <c r="A123" s="104">
        <v>2023</v>
      </c>
      <c r="B123" s="105" t="s">
        <v>817</v>
      </c>
      <c r="C123" s="556" t="s">
        <v>834</v>
      </c>
      <c r="D123" s="106" t="s">
        <v>2415</v>
      </c>
      <c r="E123" s="150" t="s">
        <v>835</v>
      </c>
      <c r="F123" s="71" t="s">
        <v>170</v>
      </c>
      <c r="G123" s="68" t="s">
        <v>2187</v>
      </c>
      <c r="H123" s="386"/>
      <c r="I123" s="387"/>
      <c r="J123" s="424">
        <v>497</v>
      </c>
      <c r="K123" s="462">
        <v>497</v>
      </c>
      <c r="L123" s="387">
        <v>10388</v>
      </c>
      <c r="M123" s="387">
        <v>4696</v>
      </c>
      <c r="N123" s="388"/>
      <c r="O123" s="387">
        <v>7188</v>
      </c>
      <c r="P123" s="390">
        <v>1</v>
      </c>
      <c r="Q123" s="387">
        <v>8495</v>
      </c>
      <c r="R123" s="390">
        <v>10432</v>
      </c>
      <c r="S123" s="387">
        <v>18927</v>
      </c>
      <c r="T123" s="388">
        <v>25036</v>
      </c>
      <c r="U123" s="391">
        <v>68</v>
      </c>
      <c r="V123" s="387"/>
      <c r="W123" s="462">
        <v>66303</v>
      </c>
      <c r="X123" s="387"/>
      <c r="Y123" s="387"/>
      <c r="Z123" s="391"/>
      <c r="AA123" s="387"/>
      <c r="AB123" s="462">
        <v>0</v>
      </c>
      <c r="AC123" s="387"/>
      <c r="AD123" s="387"/>
      <c r="AE123" s="388"/>
      <c r="AF123" s="392"/>
      <c r="AG123" s="387"/>
      <c r="AH123" s="388"/>
      <c r="AI123" s="388"/>
      <c r="AJ123" s="462">
        <v>0</v>
      </c>
      <c r="AK123" s="388">
        <v>2416580.3790000002</v>
      </c>
      <c r="AL123" s="388">
        <v>1827878.5789999999</v>
      </c>
      <c r="AM123" s="388">
        <v>588701.80000000005</v>
      </c>
      <c r="AN123" s="388">
        <v>70933.429999999993</v>
      </c>
      <c r="AO123" s="467">
        <v>0.75639055703845059</v>
      </c>
      <c r="AP123" s="468">
        <v>137236.43</v>
      </c>
      <c r="AQ123" s="468">
        <v>-136739.43</v>
      </c>
      <c r="AR123" s="393"/>
      <c r="AS123" s="394"/>
      <c r="AT123" s="394"/>
      <c r="AU123" s="395"/>
      <c r="AV123" s="471"/>
      <c r="AW123" s="388">
        <v>2416580379</v>
      </c>
      <c r="AX123" s="424">
        <v>1827878579</v>
      </c>
      <c r="AY123" s="424">
        <v>588701800</v>
      </c>
      <c r="AZ123" s="424">
        <v>70933430</v>
      </c>
      <c r="BA123" s="472">
        <v>0.75639055703845059</v>
      </c>
      <c r="BB123" s="453">
        <v>233595</v>
      </c>
      <c r="BC123" s="390">
        <v>31363</v>
      </c>
      <c r="BD123" s="236">
        <v>0</v>
      </c>
    </row>
    <row r="124" spans="1:56" s="121" customFormat="1" ht="14.25" customHeight="1">
      <c r="A124" s="104">
        <v>2023</v>
      </c>
      <c r="B124" s="105" t="s">
        <v>821</v>
      </c>
      <c r="C124" s="556" t="s">
        <v>850</v>
      </c>
      <c r="D124" s="106" t="s">
        <v>2415</v>
      </c>
      <c r="E124" s="150" t="s">
        <v>851</v>
      </c>
      <c r="F124" s="71" t="s">
        <v>170</v>
      </c>
      <c r="G124" s="68" t="s">
        <v>2187</v>
      </c>
      <c r="H124" s="386"/>
      <c r="I124" s="387"/>
      <c r="J124" s="424">
        <v>352</v>
      </c>
      <c r="K124" s="462">
        <v>352</v>
      </c>
      <c r="L124" s="387">
        <v>9564</v>
      </c>
      <c r="M124" s="387">
        <v>3870</v>
      </c>
      <c r="N124" s="388"/>
      <c r="O124" s="387">
        <v>3251</v>
      </c>
      <c r="P124" s="390">
        <v>1</v>
      </c>
      <c r="Q124" s="387">
        <v>8495</v>
      </c>
      <c r="R124" s="390">
        <v>7571</v>
      </c>
      <c r="S124" s="387">
        <v>16066</v>
      </c>
      <c r="T124" s="388">
        <v>21052</v>
      </c>
      <c r="U124" s="391"/>
      <c r="V124" s="387"/>
      <c r="W124" s="462">
        <v>53803</v>
      </c>
      <c r="X124" s="387"/>
      <c r="Y124" s="387"/>
      <c r="Z124" s="391"/>
      <c r="AA124" s="387"/>
      <c r="AB124" s="462">
        <v>0</v>
      </c>
      <c r="AC124" s="387"/>
      <c r="AD124" s="387"/>
      <c r="AE124" s="388"/>
      <c r="AF124" s="392"/>
      <c r="AG124" s="387"/>
      <c r="AH124" s="388"/>
      <c r="AI124" s="388"/>
      <c r="AJ124" s="462">
        <v>0</v>
      </c>
      <c r="AK124" s="388">
        <v>2640523.3480000002</v>
      </c>
      <c r="AL124" s="388">
        <v>1800164.736</v>
      </c>
      <c r="AM124" s="388">
        <v>840358.61199999996</v>
      </c>
      <c r="AN124" s="388">
        <v>54700.366999999998</v>
      </c>
      <c r="AO124" s="467">
        <v>0.68174543404946253</v>
      </c>
      <c r="AP124" s="468">
        <v>108503.367</v>
      </c>
      <c r="AQ124" s="468">
        <v>-108151.367</v>
      </c>
      <c r="AR124" s="393"/>
      <c r="AS124" s="394"/>
      <c r="AT124" s="394"/>
      <c r="AU124" s="395"/>
      <c r="AV124" s="471"/>
      <c r="AW124" s="388">
        <v>2640523348</v>
      </c>
      <c r="AX124" s="424">
        <v>1800164736</v>
      </c>
      <c r="AY124" s="424">
        <v>840358612</v>
      </c>
      <c r="AZ124" s="424">
        <v>54700367</v>
      </c>
      <c r="BA124" s="472">
        <v>0.68174543404946253</v>
      </c>
      <c r="BB124" s="453">
        <v>147722</v>
      </c>
      <c r="BC124" s="390">
        <v>42498</v>
      </c>
      <c r="BD124" s="236">
        <v>0</v>
      </c>
    </row>
    <row r="125" spans="1:56" s="121" customFormat="1" ht="14.25" customHeight="1">
      <c r="A125" s="104">
        <v>2023</v>
      </c>
      <c r="B125" s="105" t="s">
        <v>829</v>
      </c>
      <c r="C125" s="556" t="s">
        <v>856</v>
      </c>
      <c r="D125" s="106" t="s">
        <v>2415</v>
      </c>
      <c r="E125" s="150" t="s">
        <v>857</v>
      </c>
      <c r="F125" s="71" t="s">
        <v>170</v>
      </c>
      <c r="G125" s="68" t="s">
        <v>2187</v>
      </c>
      <c r="H125" s="386"/>
      <c r="I125" s="387"/>
      <c r="J125" s="424">
        <v>503</v>
      </c>
      <c r="K125" s="462">
        <v>503</v>
      </c>
      <c r="L125" s="387">
        <v>11643</v>
      </c>
      <c r="M125" s="387">
        <v>4292</v>
      </c>
      <c r="N125" s="388"/>
      <c r="O125" s="387">
        <v>6370</v>
      </c>
      <c r="P125" s="390">
        <v>0</v>
      </c>
      <c r="Q125" s="387">
        <v>8495</v>
      </c>
      <c r="R125" s="390">
        <v>10660</v>
      </c>
      <c r="S125" s="387">
        <v>10660</v>
      </c>
      <c r="T125" s="388">
        <v>24166</v>
      </c>
      <c r="U125" s="391">
        <v>75</v>
      </c>
      <c r="V125" s="387"/>
      <c r="W125" s="462">
        <v>57206</v>
      </c>
      <c r="X125" s="387"/>
      <c r="Y125" s="387"/>
      <c r="Z125" s="391"/>
      <c r="AA125" s="387"/>
      <c r="AB125" s="462">
        <v>0</v>
      </c>
      <c r="AC125" s="387"/>
      <c r="AD125" s="387"/>
      <c r="AE125" s="388"/>
      <c r="AF125" s="392"/>
      <c r="AG125" s="387"/>
      <c r="AH125" s="388"/>
      <c r="AI125" s="388"/>
      <c r="AJ125" s="462">
        <v>0</v>
      </c>
      <c r="AK125" s="388">
        <v>3000925.6349999998</v>
      </c>
      <c r="AL125" s="388">
        <v>1874524.4739999999</v>
      </c>
      <c r="AM125" s="388">
        <v>1126401.1610000001</v>
      </c>
      <c r="AN125" s="388">
        <v>51311.127</v>
      </c>
      <c r="AO125" s="467">
        <v>0.62464875908196238</v>
      </c>
      <c r="AP125" s="468">
        <v>108517.12700000001</v>
      </c>
      <c r="AQ125" s="468">
        <v>-108014.12700000001</v>
      </c>
      <c r="AR125" s="393"/>
      <c r="AS125" s="394"/>
      <c r="AT125" s="394"/>
      <c r="AU125" s="395"/>
      <c r="AV125" s="471"/>
      <c r="AW125" s="388">
        <v>3000925635</v>
      </c>
      <c r="AX125" s="424">
        <v>1874524474</v>
      </c>
      <c r="AY125" s="424">
        <v>1126401161</v>
      </c>
      <c r="AZ125" s="424">
        <v>51311127</v>
      </c>
      <c r="BA125" s="472">
        <v>0.62464875908196238</v>
      </c>
      <c r="BB125" s="453">
        <v>156401</v>
      </c>
      <c r="BC125" s="390">
        <v>45401</v>
      </c>
      <c r="BD125" s="236">
        <v>0</v>
      </c>
    </row>
    <row r="126" spans="1:56" s="121" customFormat="1" ht="14.25" customHeight="1">
      <c r="A126" s="104">
        <v>2023</v>
      </c>
      <c r="B126" s="105" t="s">
        <v>833</v>
      </c>
      <c r="C126" s="556" t="s">
        <v>864</v>
      </c>
      <c r="D126" s="106" t="s">
        <v>2415</v>
      </c>
      <c r="E126" s="150" t="s">
        <v>865</v>
      </c>
      <c r="F126" s="71" t="s">
        <v>170</v>
      </c>
      <c r="G126" s="68" t="s">
        <v>2187</v>
      </c>
      <c r="H126" s="386"/>
      <c r="I126" s="387"/>
      <c r="J126" s="424">
        <v>96</v>
      </c>
      <c r="K126" s="462">
        <v>96</v>
      </c>
      <c r="L126" s="387">
        <v>12849</v>
      </c>
      <c r="M126" s="387">
        <v>3791</v>
      </c>
      <c r="N126" s="388"/>
      <c r="O126" s="387">
        <v>2341</v>
      </c>
      <c r="P126" s="390">
        <v>1</v>
      </c>
      <c r="Q126" s="387">
        <v>8495</v>
      </c>
      <c r="R126" s="390">
        <v>4194</v>
      </c>
      <c r="S126" s="387">
        <v>12689</v>
      </c>
      <c r="T126" s="388">
        <v>9066</v>
      </c>
      <c r="U126" s="391">
        <v>78</v>
      </c>
      <c r="V126" s="387"/>
      <c r="W126" s="462">
        <v>40814</v>
      </c>
      <c r="X126" s="387"/>
      <c r="Y126" s="387"/>
      <c r="Z126" s="391"/>
      <c r="AA126" s="387"/>
      <c r="AB126" s="462">
        <v>0</v>
      </c>
      <c r="AC126" s="387"/>
      <c r="AD126" s="387"/>
      <c r="AE126" s="388"/>
      <c r="AF126" s="392"/>
      <c r="AG126" s="387"/>
      <c r="AH126" s="388"/>
      <c r="AI126" s="388"/>
      <c r="AJ126" s="462">
        <v>0</v>
      </c>
      <c r="AK126" s="388">
        <v>1911306.7779999999</v>
      </c>
      <c r="AL126" s="388">
        <v>1395679.4509999999</v>
      </c>
      <c r="AM126" s="388">
        <v>515627.32699999999</v>
      </c>
      <c r="AN126" s="388">
        <v>48010.718000000001</v>
      </c>
      <c r="AO126" s="467">
        <v>0.73022262415688455</v>
      </c>
      <c r="AP126" s="468">
        <v>88824.717999999993</v>
      </c>
      <c r="AQ126" s="468">
        <v>-88728.717999999993</v>
      </c>
      <c r="AR126" s="393"/>
      <c r="AS126" s="394"/>
      <c r="AT126" s="394"/>
      <c r="AU126" s="395"/>
      <c r="AV126" s="471"/>
      <c r="AW126" s="388">
        <v>1911306778</v>
      </c>
      <c r="AX126" s="424">
        <v>1395679451</v>
      </c>
      <c r="AY126" s="424">
        <v>515627327</v>
      </c>
      <c r="AZ126" s="424">
        <v>48010718</v>
      </c>
      <c r="BA126" s="472">
        <v>0.73022262415688455</v>
      </c>
      <c r="BB126" s="453">
        <v>212311</v>
      </c>
      <c r="BC126" s="390">
        <v>0</v>
      </c>
      <c r="BD126" s="236">
        <v>14793.7</v>
      </c>
    </row>
    <row r="127" spans="1:56" s="121" customFormat="1" ht="14.25" customHeight="1">
      <c r="A127" s="104">
        <v>2023</v>
      </c>
      <c r="B127" s="105" t="s">
        <v>849</v>
      </c>
      <c r="C127" s="556" t="s">
        <v>870</v>
      </c>
      <c r="D127" s="106" t="s">
        <v>2415</v>
      </c>
      <c r="E127" s="150" t="s">
        <v>871</v>
      </c>
      <c r="F127" s="71" t="s">
        <v>170</v>
      </c>
      <c r="G127" s="68" t="s">
        <v>2187</v>
      </c>
      <c r="H127" s="386"/>
      <c r="I127" s="387"/>
      <c r="J127" s="424">
        <v>265</v>
      </c>
      <c r="K127" s="462">
        <v>265</v>
      </c>
      <c r="L127" s="387">
        <v>9360</v>
      </c>
      <c r="M127" s="387">
        <v>2966</v>
      </c>
      <c r="N127" s="388"/>
      <c r="O127" s="387">
        <v>3183</v>
      </c>
      <c r="P127" s="390">
        <v>0</v>
      </c>
      <c r="Q127" s="387">
        <v>8495</v>
      </c>
      <c r="R127" s="390">
        <v>10565</v>
      </c>
      <c r="S127" s="387">
        <v>10565</v>
      </c>
      <c r="T127" s="388">
        <v>16085</v>
      </c>
      <c r="U127" s="391">
        <v>76</v>
      </c>
      <c r="V127" s="387"/>
      <c r="W127" s="462">
        <v>42235</v>
      </c>
      <c r="X127" s="387"/>
      <c r="Y127" s="387"/>
      <c r="Z127" s="391"/>
      <c r="AA127" s="387"/>
      <c r="AB127" s="462">
        <v>0</v>
      </c>
      <c r="AC127" s="387"/>
      <c r="AD127" s="387"/>
      <c r="AE127" s="388"/>
      <c r="AF127" s="392"/>
      <c r="AG127" s="387"/>
      <c r="AH127" s="388"/>
      <c r="AI127" s="388"/>
      <c r="AJ127" s="462">
        <v>0</v>
      </c>
      <c r="AK127" s="388">
        <v>2307173.5699999998</v>
      </c>
      <c r="AL127" s="388">
        <v>1442345.2169999999</v>
      </c>
      <c r="AM127" s="388">
        <v>864828.353</v>
      </c>
      <c r="AN127" s="388">
        <v>43069.449000000001</v>
      </c>
      <c r="AO127" s="467">
        <v>0.62515678740199854</v>
      </c>
      <c r="AP127" s="468">
        <v>85304.448999999993</v>
      </c>
      <c r="AQ127" s="468">
        <v>-85039.448999999993</v>
      </c>
      <c r="AR127" s="393"/>
      <c r="AS127" s="394"/>
      <c r="AT127" s="394"/>
      <c r="AU127" s="395"/>
      <c r="AV127" s="471"/>
      <c r="AW127" s="388">
        <v>2307173570</v>
      </c>
      <c r="AX127" s="424">
        <v>1442345217</v>
      </c>
      <c r="AY127" s="424">
        <v>864828353</v>
      </c>
      <c r="AZ127" s="424">
        <v>43069449</v>
      </c>
      <c r="BA127" s="472">
        <v>0.62515678740199854</v>
      </c>
      <c r="BB127" s="453">
        <v>305933</v>
      </c>
      <c r="BC127" s="390">
        <v>36</v>
      </c>
      <c r="BD127" s="236">
        <v>0</v>
      </c>
    </row>
    <row r="128" spans="1:56" s="121" customFormat="1" ht="14.25" customHeight="1">
      <c r="A128" s="104">
        <v>2023</v>
      </c>
      <c r="B128" s="105" t="s">
        <v>855</v>
      </c>
      <c r="C128" s="556" t="s">
        <v>877</v>
      </c>
      <c r="D128" s="106" t="s">
        <v>2415</v>
      </c>
      <c r="E128" s="150" t="s">
        <v>878</v>
      </c>
      <c r="F128" s="71" t="s">
        <v>170</v>
      </c>
      <c r="G128" s="68" t="s">
        <v>2187</v>
      </c>
      <c r="H128" s="386"/>
      <c r="I128" s="387"/>
      <c r="J128" s="424">
        <v>286</v>
      </c>
      <c r="K128" s="462">
        <v>286</v>
      </c>
      <c r="L128" s="387">
        <v>9839</v>
      </c>
      <c r="M128" s="387">
        <v>3101</v>
      </c>
      <c r="N128" s="388"/>
      <c r="O128" s="387">
        <v>5009</v>
      </c>
      <c r="P128" s="390">
        <v>1</v>
      </c>
      <c r="Q128" s="387">
        <v>8495</v>
      </c>
      <c r="R128" s="390">
        <v>10209</v>
      </c>
      <c r="S128" s="387">
        <v>18704</v>
      </c>
      <c r="T128" s="388">
        <v>17469</v>
      </c>
      <c r="U128" s="391">
        <v>79</v>
      </c>
      <c r="V128" s="387"/>
      <c r="W128" s="462">
        <v>54201</v>
      </c>
      <c r="X128" s="387"/>
      <c r="Y128" s="387"/>
      <c r="Z128" s="391"/>
      <c r="AA128" s="387"/>
      <c r="AB128" s="462">
        <v>0</v>
      </c>
      <c r="AC128" s="387"/>
      <c r="AD128" s="387"/>
      <c r="AE128" s="388"/>
      <c r="AF128" s="392"/>
      <c r="AG128" s="387"/>
      <c r="AH128" s="388"/>
      <c r="AI128" s="388"/>
      <c r="AJ128" s="462">
        <v>0</v>
      </c>
      <c r="AK128" s="388">
        <v>2913723.4070000001</v>
      </c>
      <c r="AL128" s="388">
        <v>1791788.2339999999</v>
      </c>
      <c r="AM128" s="388">
        <v>1121935.173</v>
      </c>
      <c r="AN128" s="388">
        <v>52217.466</v>
      </c>
      <c r="AO128" s="467">
        <v>0.61494794931302144</v>
      </c>
      <c r="AP128" s="468">
        <v>106418.466</v>
      </c>
      <c r="AQ128" s="468">
        <v>-106132.466</v>
      </c>
      <c r="AR128" s="393"/>
      <c r="AS128" s="394"/>
      <c r="AT128" s="394"/>
      <c r="AU128" s="395"/>
      <c r="AV128" s="471"/>
      <c r="AW128" s="388">
        <v>2913723407</v>
      </c>
      <c r="AX128" s="424">
        <v>1791788234</v>
      </c>
      <c r="AY128" s="424">
        <v>1121935173</v>
      </c>
      <c r="AZ128" s="424">
        <v>52217466</v>
      </c>
      <c r="BA128" s="472">
        <v>0.61494794931302144</v>
      </c>
      <c r="BB128" s="453">
        <v>268200</v>
      </c>
      <c r="BC128" s="390">
        <v>16794</v>
      </c>
      <c r="BD128" s="236">
        <v>0</v>
      </c>
    </row>
    <row r="129" spans="1:56" s="121" customFormat="1" ht="14.25" customHeight="1">
      <c r="A129" s="104">
        <v>2023</v>
      </c>
      <c r="B129" s="105" t="s">
        <v>863</v>
      </c>
      <c r="C129" s="556" t="s">
        <v>883</v>
      </c>
      <c r="D129" s="106" t="s">
        <v>2415</v>
      </c>
      <c r="E129" s="150" t="s">
        <v>884</v>
      </c>
      <c r="F129" s="71" t="s">
        <v>170</v>
      </c>
      <c r="G129" s="68" t="s">
        <v>2187</v>
      </c>
      <c r="H129" s="386"/>
      <c r="I129" s="387"/>
      <c r="J129" s="424">
        <v>299</v>
      </c>
      <c r="K129" s="462">
        <v>299</v>
      </c>
      <c r="L129" s="387">
        <v>8176</v>
      </c>
      <c r="M129" s="387">
        <v>3945</v>
      </c>
      <c r="N129" s="388"/>
      <c r="O129" s="387">
        <v>4727</v>
      </c>
      <c r="P129" s="390">
        <v>1</v>
      </c>
      <c r="Q129" s="387">
        <v>8495</v>
      </c>
      <c r="R129" s="390">
        <v>8704</v>
      </c>
      <c r="S129" s="387">
        <v>17199</v>
      </c>
      <c r="T129" s="388">
        <v>17467</v>
      </c>
      <c r="U129" s="391">
        <v>94</v>
      </c>
      <c r="V129" s="387"/>
      <c r="W129" s="462">
        <v>51608</v>
      </c>
      <c r="X129" s="387"/>
      <c r="Y129" s="387"/>
      <c r="Z129" s="391"/>
      <c r="AA129" s="387"/>
      <c r="AB129" s="462">
        <v>0</v>
      </c>
      <c r="AC129" s="387"/>
      <c r="AD129" s="387"/>
      <c r="AE129" s="388"/>
      <c r="AF129" s="392"/>
      <c r="AG129" s="387"/>
      <c r="AH129" s="388"/>
      <c r="AI129" s="388"/>
      <c r="AJ129" s="462">
        <v>0</v>
      </c>
      <c r="AK129" s="388">
        <v>2165749.7080000001</v>
      </c>
      <c r="AL129" s="388">
        <v>1304775.0109999999</v>
      </c>
      <c r="AM129" s="388">
        <v>860974.69700000004</v>
      </c>
      <c r="AN129" s="388">
        <v>33672.006000000001</v>
      </c>
      <c r="AO129" s="467">
        <v>0.60245881884703922</v>
      </c>
      <c r="AP129" s="468">
        <v>85280.005999999994</v>
      </c>
      <c r="AQ129" s="468">
        <v>-84981.005999999994</v>
      </c>
      <c r="AR129" s="393"/>
      <c r="AS129" s="394"/>
      <c r="AT129" s="394"/>
      <c r="AU129" s="395"/>
      <c r="AV129" s="471"/>
      <c r="AW129" s="388">
        <v>2165749708</v>
      </c>
      <c r="AX129" s="424">
        <v>1304775011</v>
      </c>
      <c r="AY129" s="424">
        <v>860974697</v>
      </c>
      <c r="AZ129" s="424">
        <v>33672006</v>
      </c>
      <c r="BA129" s="472">
        <v>0.60245881884703922</v>
      </c>
      <c r="BB129" s="453">
        <v>200947</v>
      </c>
      <c r="BC129" s="390">
        <v>14453</v>
      </c>
      <c r="BD129" s="236">
        <v>0</v>
      </c>
    </row>
    <row r="130" spans="1:56" s="121" customFormat="1" ht="14.25" customHeight="1">
      <c r="A130" s="104">
        <v>2023</v>
      </c>
      <c r="B130" s="105" t="s">
        <v>869</v>
      </c>
      <c r="C130" s="556" t="s">
        <v>889</v>
      </c>
      <c r="D130" s="106" t="s">
        <v>2415</v>
      </c>
      <c r="E130" s="150" t="s">
        <v>890</v>
      </c>
      <c r="F130" s="71" t="s">
        <v>170</v>
      </c>
      <c r="G130" s="68" t="s">
        <v>2187</v>
      </c>
      <c r="H130" s="386"/>
      <c r="I130" s="387"/>
      <c r="J130" s="424">
        <v>440</v>
      </c>
      <c r="K130" s="462">
        <v>440</v>
      </c>
      <c r="L130" s="387">
        <v>8654</v>
      </c>
      <c r="M130" s="387">
        <v>4413</v>
      </c>
      <c r="N130" s="388"/>
      <c r="O130" s="387">
        <v>2207</v>
      </c>
      <c r="P130" s="390">
        <v>1</v>
      </c>
      <c r="Q130" s="387">
        <v>8495</v>
      </c>
      <c r="R130" s="390">
        <v>8599</v>
      </c>
      <c r="S130" s="387">
        <v>17094</v>
      </c>
      <c r="T130" s="388">
        <v>19746</v>
      </c>
      <c r="U130" s="391">
        <v>78</v>
      </c>
      <c r="V130" s="387"/>
      <c r="W130" s="462">
        <v>52192</v>
      </c>
      <c r="X130" s="387"/>
      <c r="Y130" s="387"/>
      <c r="Z130" s="391"/>
      <c r="AA130" s="387"/>
      <c r="AB130" s="462">
        <v>0</v>
      </c>
      <c r="AC130" s="387"/>
      <c r="AD130" s="387"/>
      <c r="AE130" s="388"/>
      <c r="AF130" s="392"/>
      <c r="AG130" s="387"/>
      <c r="AH130" s="388"/>
      <c r="AI130" s="388"/>
      <c r="AJ130" s="462">
        <v>0</v>
      </c>
      <c r="AK130" s="388">
        <v>2788710.9929999998</v>
      </c>
      <c r="AL130" s="388">
        <v>1600820.24</v>
      </c>
      <c r="AM130" s="388">
        <v>1187890.753</v>
      </c>
      <c r="AN130" s="388">
        <v>94902.356</v>
      </c>
      <c r="AO130" s="467">
        <v>0.57403590548402161</v>
      </c>
      <c r="AP130" s="468">
        <v>147094.356</v>
      </c>
      <c r="AQ130" s="468">
        <v>-146654.356</v>
      </c>
      <c r="AR130" s="393"/>
      <c r="AS130" s="394"/>
      <c r="AT130" s="394"/>
      <c r="AU130" s="395"/>
      <c r="AV130" s="471"/>
      <c r="AW130" s="388">
        <v>2788710993</v>
      </c>
      <c r="AX130" s="424">
        <v>1600820240</v>
      </c>
      <c r="AY130" s="424">
        <v>1187890753</v>
      </c>
      <c r="AZ130" s="424">
        <v>94902356</v>
      </c>
      <c r="BA130" s="472">
        <v>0.57403590548402161</v>
      </c>
      <c r="BB130" s="453">
        <v>146183</v>
      </c>
      <c r="BC130" s="390">
        <v>15708</v>
      </c>
      <c r="BD130" s="236">
        <v>0</v>
      </c>
    </row>
    <row r="131" spans="1:56" s="121" customFormat="1" ht="14.25" customHeight="1">
      <c r="A131" s="104">
        <v>2023</v>
      </c>
      <c r="B131" s="105" t="s">
        <v>876</v>
      </c>
      <c r="C131" s="556" t="s">
        <v>896</v>
      </c>
      <c r="D131" s="106" t="s">
        <v>2415</v>
      </c>
      <c r="E131" s="150" t="s">
        <v>897</v>
      </c>
      <c r="F131" s="71" t="s">
        <v>170</v>
      </c>
      <c r="G131" s="68" t="s">
        <v>2187</v>
      </c>
      <c r="H131" s="386"/>
      <c r="I131" s="387"/>
      <c r="J131" s="424">
        <v>228</v>
      </c>
      <c r="K131" s="462">
        <v>228</v>
      </c>
      <c r="L131" s="387">
        <v>11020</v>
      </c>
      <c r="M131" s="387">
        <v>4410</v>
      </c>
      <c r="N131" s="388"/>
      <c r="O131" s="387">
        <v>6528</v>
      </c>
      <c r="P131" s="390">
        <v>0</v>
      </c>
      <c r="Q131" s="387">
        <v>8495</v>
      </c>
      <c r="R131" s="390">
        <v>9573</v>
      </c>
      <c r="S131" s="387">
        <v>9573</v>
      </c>
      <c r="T131" s="388">
        <v>14866</v>
      </c>
      <c r="U131" s="391">
        <v>39</v>
      </c>
      <c r="V131" s="387"/>
      <c r="W131" s="462">
        <v>46436</v>
      </c>
      <c r="X131" s="387"/>
      <c r="Y131" s="387"/>
      <c r="Z131" s="391"/>
      <c r="AA131" s="387"/>
      <c r="AB131" s="462">
        <v>0</v>
      </c>
      <c r="AC131" s="387"/>
      <c r="AD131" s="387"/>
      <c r="AE131" s="388"/>
      <c r="AF131" s="392"/>
      <c r="AG131" s="387"/>
      <c r="AH131" s="388"/>
      <c r="AI131" s="388"/>
      <c r="AJ131" s="462">
        <v>0</v>
      </c>
      <c r="AK131" s="388">
        <v>2145361.9950000001</v>
      </c>
      <c r="AL131" s="388">
        <v>1529328.156</v>
      </c>
      <c r="AM131" s="388">
        <v>616033.83900000004</v>
      </c>
      <c r="AN131" s="388">
        <v>23265.089</v>
      </c>
      <c r="AO131" s="467">
        <v>0.71285319660004509</v>
      </c>
      <c r="AP131" s="468">
        <v>69701.089000000007</v>
      </c>
      <c r="AQ131" s="468">
        <v>-69473.089000000007</v>
      </c>
      <c r="AR131" s="393"/>
      <c r="AS131" s="394"/>
      <c r="AT131" s="394"/>
      <c r="AU131" s="395"/>
      <c r="AV131" s="471"/>
      <c r="AW131" s="388">
        <v>2145361995</v>
      </c>
      <c r="AX131" s="424">
        <v>1529328156</v>
      </c>
      <c r="AY131" s="424">
        <v>616033839</v>
      </c>
      <c r="AZ131" s="424">
        <v>23265089</v>
      </c>
      <c r="BA131" s="472">
        <v>0.71285319660004509</v>
      </c>
      <c r="BB131" s="453">
        <v>269640</v>
      </c>
      <c r="BC131" s="390">
        <v>22225</v>
      </c>
      <c r="BD131" s="236">
        <v>0</v>
      </c>
    </row>
    <row r="132" spans="1:56" s="121" customFormat="1" ht="14.25" customHeight="1">
      <c r="A132" s="104">
        <v>2023</v>
      </c>
      <c r="B132" s="105" t="s">
        <v>882</v>
      </c>
      <c r="C132" s="556" t="s">
        <v>901</v>
      </c>
      <c r="D132" s="106" t="s">
        <v>2415</v>
      </c>
      <c r="E132" s="150" t="s">
        <v>902</v>
      </c>
      <c r="F132" s="71" t="s">
        <v>170</v>
      </c>
      <c r="G132" s="68" t="s">
        <v>2187</v>
      </c>
      <c r="H132" s="386"/>
      <c r="I132" s="387"/>
      <c r="J132" s="424">
        <v>339</v>
      </c>
      <c r="K132" s="462">
        <v>339</v>
      </c>
      <c r="L132" s="387">
        <v>8911</v>
      </c>
      <c r="M132" s="387">
        <v>3910</v>
      </c>
      <c r="N132" s="388"/>
      <c r="O132" s="387">
        <v>1249</v>
      </c>
      <c r="P132" s="390">
        <v>1</v>
      </c>
      <c r="Q132" s="387">
        <v>8495</v>
      </c>
      <c r="R132" s="390">
        <v>7342</v>
      </c>
      <c r="S132" s="387">
        <v>15837</v>
      </c>
      <c r="T132" s="388">
        <v>17552</v>
      </c>
      <c r="U132" s="391">
        <v>14</v>
      </c>
      <c r="V132" s="387"/>
      <c r="W132" s="462">
        <v>47473</v>
      </c>
      <c r="X132" s="387"/>
      <c r="Y132" s="387"/>
      <c r="Z132" s="391"/>
      <c r="AA132" s="387"/>
      <c r="AB132" s="462">
        <v>0</v>
      </c>
      <c r="AC132" s="387"/>
      <c r="AD132" s="387"/>
      <c r="AE132" s="388"/>
      <c r="AF132" s="392"/>
      <c r="AG132" s="387"/>
      <c r="AH132" s="388"/>
      <c r="AI132" s="388"/>
      <c r="AJ132" s="462">
        <v>0</v>
      </c>
      <c r="AK132" s="388">
        <v>2543425.35</v>
      </c>
      <c r="AL132" s="388">
        <v>1186882.753</v>
      </c>
      <c r="AM132" s="388">
        <v>1356542.5970000001</v>
      </c>
      <c r="AN132" s="388">
        <v>47359.510999999999</v>
      </c>
      <c r="AO132" s="467">
        <v>0.46664737103449883</v>
      </c>
      <c r="AP132" s="468">
        <v>94832.510999999999</v>
      </c>
      <c r="AQ132" s="468">
        <v>-94493.510999999999</v>
      </c>
      <c r="AR132" s="393"/>
      <c r="AS132" s="394"/>
      <c r="AT132" s="394"/>
      <c r="AU132" s="395"/>
      <c r="AV132" s="471"/>
      <c r="AW132" s="388">
        <v>2543425350</v>
      </c>
      <c r="AX132" s="424">
        <v>1186882753</v>
      </c>
      <c r="AY132" s="424">
        <v>1356542597</v>
      </c>
      <c r="AZ132" s="424">
        <v>47359511</v>
      </c>
      <c r="BA132" s="472">
        <v>0.46664737103449883</v>
      </c>
      <c r="BB132" s="453">
        <v>192793</v>
      </c>
      <c r="BC132" s="390">
        <v>36654</v>
      </c>
      <c r="BD132" s="236">
        <v>0</v>
      </c>
    </row>
    <row r="133" spans="1:56" s="121" customFormat="1" ht="14.25" customHeight="1">
      <c r="A133" s="104">
        <v>2023</v>
      </c>
      <c r="B133" s="105" t="s">
        <v>888</v>
      </c>
      <c r="C133" s="556" t="s">
        <v>906</v>
      </c>
      <c r="D133" s="106" t="s">
        <v>2415</v>
      </c>
      <c r="E133" s="150" t="s">
        <v>907</v>
      </c>
      <c r="F133" s="71" t="s">
        <v>170</v>
      </c>
      <c r="G133" s="68" t="s">
        <v>2187</v>
      </c>
      <c r="H133" s="386"/>
      <c r="I133" s="387"/>
      <c r="J133" s="424">
        <v>146</v>
      </c>
      <c r="K133" s="462">
        <v>146</v>
      </c>
      <c r="L133" s="387">
        <v>7078</v>
      </c>
      <c r="M133" s="387">
        <v>3185</v>
      </c>
      <c r="N133" s="388"/>
      <c r="O133" s="387">
        <v>4741</v>
      </c>
      <c r="P133" s="390">
        <v>0</v>
      </c>
      <c r="Q133" s="387">
        <v>8495</v>
      </c>
      <c r="R133" s="390">
        <v>7156</v>
      </c>
      <c r="S133" s="387">
        <v>7156</v>
      </c>
      <c r="T133" s="388">
        <v>11410</v>
      </c>
      <c r="U133" s="391">
        <v>39</v>
      </c>
      <c r="V133" s="387"/>
      <c r="W133" s="462">
        <v>33609</v>
      </c>
      <c r="X133" s="387"/>
      <c r="Y133" s="387"/>
      <c r="Z133" s="391"/>
      <c r="AA133" s="387"/>
      <c r="AB133" s="462">
        <v>0</v>
      </c>
      <c r="AC133" s="387"/>
      <c r="AD133" s="387"/>
      <c r="AE133" s="388"/>
      <c r="AF133" s="392"/>
      <c r="AG133" s="387"/>
      <c r="AH133" s="388"/>
      <c r="AI133" s="388"/>
      <c r="AJ133" s="462">
        <v>0</v>
      </c>
      <c r="AK133" s="388">
        <v>2504044.287</v>
      </c>
      <c r="AL133" s="388">
        <v>1383800.054</v>
      </c>
      <c r="AM133" s="388">
        <v>1120244.233</v>
      </c>
      <c r="AN133" s="388">
        <v>70393.618000000002</v>
      </c>
      <c r="AO133" s="467">
        <v>0.55262603029193147</v>
      </c>
      <c r="AP133" s="468">
        <v>104002.618</v>
      </c>
      <c r="AQ133" s="468">
        <v>-103856.618</v>
      </c>
      <c r="AR133" s="393"/>
      <c r="AS133" s="394"/>
      <c r="AT133" s="394"/>
      <c r="AU133" s="395"/>
      <c r="AV133" s="471"/>
      <c r="AW133" s="388">
        <v>2504044287</v>
      </c>
      <c r="AX133" s="424">
        <v>1383800054</v>
      </c>
      <c r="AY133" s="424">
        <v>1120244233</v>
      </c>
      <c r="AZ133" s="424">
        <v>70393618</v>
      </c>
      <c r="BA133" s="472">
        <v>0.55262603029193147</v>
      </c>
      <c r="BB133" s="453">
        <v>170978</v>
      </c>
      <c r="BC133" s="390">
        <v>8526</v>
      </c>
      <c r="BD133" s="236">
        <v>0</v>
      </c>
    </row>
    <row r="134" spans="1:56" s="121" customFormat="1" ht="14.25" customHeight="1">
      <c r="A134" s="104">
        <v>2023</v>
      </c>
      <c r="B134" s="105" t="s">
        <v>895</v>
      </c>
      <c r="C134" s="556" t="s">
        <v>911</v>
      </c>
      <c r="D134" s="106" t="s">
        <v>2415</v>
      </c>
      <c r="E134" s="150" t="s">
        <v>912</v>
      </c>
      <c r="F134" s="71" t="s">
        <v>170</v>
      </c>
      <c r="G134" s="68" t="s">
        <v>2187</v>
      </c>
      <c r="H134" s="386"/>
      <c r="I134" s="387"/>
      <c r="J134" s="424">
        <v>230</v>
      </c>
      <c r="K134" s="462">
        <v>230</v>
      </c>
      <c r="L134" s="387">
        <v>8833</v>
      </c>
      <c r="M134" s="387">
        <v>3444</v>
      </c>
      <c r="N134" s="388"/>
      <c r="O134" s="387">
        <v>2064</v>
      </c>
      <c r="P134" s="390">
        <v>0</v>
      </c>
      <c r="Q134" s="387">
        <v>8495</v>
      </c>
      <c r="R134" s="390">
        <v>11345</v>
      </c>
      <c r="S134" s="387">
        <v>11345</v>
      </c>
      <c r="T134" s="388">
        <v>15098</v>
      </c>
      <c r="U134" s="391">
        <v>79</v>
      </c>
      <c r="V134" s="387"/>
      <c r="W134" s="462">
        <v>40863</v>
      </c>
      <c r="X134" s="387"/>
      <c r="Y134" s="387"/>
      <c r="Z134" s="391"/>
      <c r="AA134" s="387"/>
      <c r="AB134" s="462">
        <v>0</v>
      </c>
      <c r="AC134" s="387"/>
      <c r="AD134" s="387"/>
      <c r="AE134" s="388"/>
      <c r="AF134" s="392"/>
      <c r="AG134" s="387"/>
      <c r="AH134" s="388"/>
      <c r="AI134" s="388"/>
      <c r="AJ134" s="462">
        <v>0</v>
      </c>
      <c r="AK134" s="388">
        <v>1996333.4839999999</v>
      </c>
      <c r="AL134" s="388">
        <v>1342463.7039999999</v>
      </c>
      <c r="AM134" s="388">
        <v>653869.78</v>
      </c>
      <c r="AN134" s="388">
        <v>29207.022000000001</v>
      </c>
      <c r="AO134" s="467">
        <v>0.67246465320520565</v>
      </c>
      <c r="AP134" s="468">
        <v>70070.021999999997</v>
      </c>
      <c r="AQ134" s="468">
        <v>-69840.021999999997</v>
      </c>
      <c r="AR134" s="393"/>
      <c r="AS134" s="394"/>
      <c r="AT134" s="394"/>
      <c r="AU134" s="395"/>
      <c r="AV134" s="471"/>
      <c r="AW134" s="388">
        <v>1996333484</v>
      </c>
      <c r="AX134" s="424">
        <v>1342463704</v>
      </c>
      <c r="AY134" s="424">
        <v>653869780</v>
      </c>
      <c r="AZ134" s="424">
        <v>29207022</v>
      </c>
      <c r="BA134" s="472">
        <v>0.67246465320520565</v>
      </c>
      <c r="BB134" s="453">
        <v>238668</v>
      </c>
      <c r="BC134" s="390">
        <v>13456</v>
      </c>
      <c r="BD134" s="236">
        <v>0</v>
      </c>
    </row>
    <row r="135" spans="1:56" s="121" customFormat="1" ht="14.25" customHeight="1">
      <c r="A135" s="104">
        <v>2023</v>
      </c>
      <c r="B135" s="105" t="s">
        <v>900</v>
      </c>
      <c r="C135" s="556" t="s">
        <v>916</v>
      </c>
      <c r="D135" s="106" t="s">
        <v>2415</v>
      </c>
      <c r="E135" s="150" t="s">
        <v>917</v>
      </c>
      <c r="F135" s="71" t="s">
        <v>170</v>
      </c>
      <c r="G135" s="68" t="s">
        <v>2187</v>
      </c>
      <c r="H135" s="386"/>
      <c r="I135" s="387"/>
      <c r="J135" s="424">
        <v>152</v>
      </c>
      <c r="K135" s="462">
        <v>152</v>
      </c>
      <c r="L135" s="387">
        <v>8737</v>
      </c>
      <c r="M135" s="387">
        <v>3356</v>
      </c>
      <c r="N135" s="388"/>
      <c r="O135" s="387">
        <v>2332</v>
      </c>
      <c r="P135" s="390">
        <v>0</v>
      </c>
      <c r="Q135" s="387">
        <v>8495</v>
      </c>
      <c r="R135" s="390">
        <v>9500</v>
      </c>
      <c r="S135" s="387">
        <v>9500</v>
      </c>
      <c r="T135" s="388">
        <v>12091</v>
      </c>
      <c r="U135" s="391">
        <v>79</v>
      </c>
      <c r="V135" s="387"/>
      <c r="W135" s="462">
        <v>36095</v>
      </c>
      <c r="X135" s="387"/>
      <c r="Y135" s="387"/>
      <c r="Z135" s="391"/>
      <c r="AA135" s="387"/>
      <c r="AB135" s="462">
        <v>0</v>
      </c>
      <c r="AC135" s="387"/>
      <c r="AD135" s="387"/>
      <c r="AE135" s="388"/>
      <c r="AF135" s="392"/>
      <c r="AG135" s="387"/>
      <c r="AH135" s="388"/>
      <c r="AI135" s="388"/>
      <c r="AJ135" s="462">
        <v>0</v>
      </c>
      <c r="AK135" s="388">
        <v>2250161.4040000001</v>
      </c>
      <c r="AL135" s="388">
        <v>1545547.277</v>
      </c>
      <c r="AM135" s="388">
        <v>704614.12699999998</v>
      </c>
      <c r="AN135" s="388">
        <v>31000.057000000001</v>
      </c>
      <c r="AO135" s="467">
        <v>0.68686062886535937</v>
      </c>
      <c r="AP135" s="468">
        <v>67095.057000000001</v>
      </c>
      <c r="AQ135" s="468">
        <v>-66943.057000000001</v>
      </c>
      <c r="AR135" s="393"/>
      <c r="AS135" s="394"/>
      <c r="AT135" s="394"/>
      <c r="AU135" s="395"/>
      <c r="AV135" s="471"/>
      <c r="AW135" s="388">
        <v>2250161404</v>
      </c>
      <c r="AX135" s="424">
        <v>1545547277</v>
      </c>
      <c r="AY135" s="424">
        <v>704614127</v>
      </c>
      <c r="AZ135" s="424">
        <v>31000057</v>
      </c>
      <c r="BA135" s="472">
        <v>0.68686062886535937</v>
      </c>
      <c r="BB135" s="453">
        <v>266130</v>
      </c>
      <c r="BC135" s="390">
        <v>12921</v>
      </c>
      <c r="BD135" s="236">
        <v>0</v>
      </c>
    </row>
    <row r="136" spans="1:56" s="121" customFormat="1" ht="14.25" customHeight="1">
      <c r="A136" s="104">
        <v>2023</v>
      </c>
      <c r="B136" s="105" t="s">
        <v>905</v>
      </c>
      <c r="C136" s="556" t="s">
        <v>921</v>
      </c>
      <c r="D136" s="106" t="s">
        <v>2415</v>
      </c>
      <c r="E136" s="150" t="s">
        <v>922</v>
      </c>
      <c r="F136" s="71" t="s">
        <v>170</v>
      </c>
      <c r="G136" s="68" t="s">
        <v>2187</v>
      </c>
      <c r="H136" s="386"/>
      <c r="I136" s="387"/>
      <c r="J136" s="424">
        <v>218</v>
      </c>
      <c r="K136" s="462">
        <v>218</v>
      </c>
      <c r="L136" s="387">
        <v>5253</v>
      </c>
      <c r="M136" s="387">
        <v>2948</v>
      </c>
      <c r="N136" s="388"/>
      <c r="O136" s="387">
        <v>3531</v>
      </c>
      <c r="P136" s="390">
        <v>1</v>
      </c>
      <c r="Q136" s="387">
        <v>8495</v>
      </c>
      <c r="R136" s="390">
        <v>5717</v>
      </c>
      <c r="S136" s="387">
        <v>14212</v>
      </c>
      <c r="T136" s="388">
        <v>11669</v>
      </c>
      <c r="U136" s="391">
        <v>78</v>
      </c>
      <c r="V136" s="387"/>
      <c r="W136" s="462">
        <v>37691</v>
      </c>
      <c r="X136" s="387"/>
      <c r="Y136" s="387"/>
      <c r="Z136" s="391"/>
      <c r="AA136" s="387"/>
      <c r="AB136" s="462">
        <v>0</v>
      </c>
      <c r="AC136" s="387"/>
      <c r="AD136" s="387"/>
      <c r="AE136" s="388"/>
      <c r="AF136" s="392"/>
      <c r="AG136" s="387"/>
      <c r="AH136" s="388"/>
      <c r="AI136" s="388"/>
      <c r="AJ136" s="462">
        <v>0</v>
      </c>
      <c r="AK136" s="388">
        <v>1976700.2620000001</v>
      </c>
      <c r="AL136" s="388">
        <v>1243636.0120000001</v>
      </c>
      <c r="AM136" s="388">
        <v>733064.25</v>
      </c>
      <c r="AN136" s="388">
        <v>24970.196</v>
      </c>
      <c r="AO136" s="467">
        <v>0.62914749186186936</v>
      </c>
      <c r="AP136" s="468">
        <v>62661.195999999996</v>
      </c>
      <c r="AQ136" s="468">
        <v>-62443.195999999996</v>
      </c>
      <c r="AR136" s="393"/>
      <c r="AS136" s="394"/>
      <c r="AT136" s="394"/>
      <c r="AU136" s="395"/>
      <c r="AV136" s="471"/>
      <c r="AW136" s="388">
        <v>1976700262</v>
      </c>
      <c r="AX136" s="424">
        <v>1243636012</v>
      </c>
      <c r="AY136" s="424">
        <v>733064250</v>
      </c>
      <c r="AZ136" s="424">
        <v>24970196</v>
      </c>
      <c r="BA136" s="472">
        <v>0.62914749186186936</v>
      </c>
      <c r="BB136" s="453">
        <v>111050</v>
      </c>
      <c r="BC136" s="390">
        <v>11929</v>
      </c>
      <c r="BD136" s="236">
        <v>0</v>
      </c>
    </row>
    <row r="137" spans="1:56" s="121" customFormat="1" ht="14.25" customHeight="1">
      <c r="A137" s="104">
        <v>2023</v>
      </c>
      <c r="B137" s="105" t="s">
        <v>910</v>
      </c>
      <c r="C137" s="556" t="s">
        <v>926</v>
      </c>
      <c r="D137" s="106" t="s">
        <v>2415</v>
      </c>
      <c r="E137" s="150" t="s">
        <v>927</v>
      </c>
      <c r="F137" s="71" t="s">
        <v>170</v>
      </c>
      <c r="G137" s="68" t="s">
        <v>2187</v>
      </c>
      <c r="H137" s="386"/>
      <c r="I137" s="387"/>
      <c r="J137" s="424">
        <v>226</v>
      </c>
      <c r="K137" s="462">
        <v>226</v>
      </c>
      <c r="L137" s="387">
        <v>9639</v>
      </c>
      <c r="M137" s="387">
        <v>4406</v>
      </c>
      <c r="N137" s="388"/>
      <c r="O137" s="387">
        <v>4760</v>
      </c>
      <c r="P137" s="390">
        <v>0</v>
      </c>
      <c r="Q137" s="387">
        <v>8495</v>
      </c>
      <c r="R137" s="390">
        <v>10310</v>
      </c>
      <c r="S137" s="387">
        <v>10310</v>
      </c>
      <c r="T137" s="388">
        <v>15281</v>
      </c>
      <c r="U137" s="391">
        <v>23</v>
      </c>
      <c r="V137" s="387"/>
      <c r="W137" s="462">
        <v>44419</v>
      </c>
      <c r="X137" s="387"/>
      <c r="Y137" s="387"/>
      <c r="Z137" s="391"/>
      <c r="AA137" s="387"/>
      <c r="AB137" s="462">
        <v>0</v>
      </c>
      <c r="AC137" s="387"/>
      <c r="AD137" s="387"/>
      <c r="AE137" s="388"/>
      <c r="AF137" s="392"/>
      <c r="AG137" s="387"/>
      <c r="AH137" s="388"/>
      <c r="AI137" s="388"/>
      <c r="AJ137" s="462">
        <v>0</v>
      </c>
      <c r="AK137" s="388">
        <v>2059296.588</v>
      </c>
      <c r="AL137" s="388">
        <v>1559094.4669999999</v>
      </c>
      <c r="AM137" s="388">
        <v>500202.12099999998</v>
      </c>
      <c r="AN137" s="388">
        <v>35713.656000000003</v>
      </c>
      <c r="AO137" s="467">
        <v>0.75710049542412006</v>
      </c>
      <c r="AP137" s="468">
        <v>80132.656000000003</v>
      </c>
      <c r="AQ137" s="468">
        <v>-79906.656000000003</v>
      </c>
      <c r="AR137" s="393"/>
      <c r="AS137" s="394"/>
      <c r="AT137" s="394"/>
      <c r="AU137" s="395"/>
      <c r="AV137" s="471"/>
      <c r="AW137" s="388">
        <v>2059296588</v>
      </c>
      <c r="AX137" s="424">
        <v>1559094467</v>
      </c>
      <c r="AY137" s="424">
        <v>500202121</v>
      </c>
      <c r="AZ137" s="424">
        <v>35713656</v>
      </c>
      <c r="BA137" s="472">
        <v>0.75710049542412006</v>
      </c>
      <c r="BB137" s="453">
        <v>199721</v>
      </c>
      <c r="BC137" s="390">
        <v>36292</v>
      </c>
      <c r="BD137" s="236">
        <v>0</v>
      </c>
    </row>
    <row r="138" spans="1:56" s="121" customFormat="1" ht="14.25" customHeight="1">
      <c r="A138" s="104">
        <v>2023</v>
      </c>
      <c r="B138" s="105" t="s">
        <v>915</v>
      </c>
      <c r="C138" s="556" t="s">
        <v>931</v>
      </c>
      <c r="D138" s="106" t="s">
        <v>2415</v>
      </c>
      <c r="E138" s="150" t="s">
        <v>932</v>
      </c>
      <c r="F138" s="71" t="s">
        <v>170</v>
      </c>
      <c r="G138" s="68" t="s">
        <v>2187</v>
      </c>
      <c r="H138" s="386"/>
      <c r="I138" s="387"/>
      <c r="J138" s="424">
        <v>217</v>
      </c>
      <c r="K138" s="462">
        <v>217</v>
      </c>
      <c r="L138" s="387">
        <v>10856</v>
      </c>
      <c r="M138" s="387">
        <v>3811</v>
      </c>
      <c r="N138" s="388"/>
      <c r="O138" s="387">
        <v>4149</v>
      </c>
      <c r="P138" s="390">
        <v>1</v>
      </c>
      <c r="Q138" s="387">
        <v>8495</v>
      </c>
      <c r="R138" s="390">
        <v>7550</v>
      </c>
      <c r="S138" s="387">
        <v>16045</v>
      </c>
      <c r="T138" s="388">
        <v>15633</v>
      </c>
      <c r="U138" s="391">
        <v>79</v>
      </c>
      <c r="V138" s="387"/>
      <c r="W138" s="462">
        <v>50573</v>
      </c>
      <c r="X138" s="387"/>
      <c r="Y138" s="387"/>
      <c r="Z138" s="391"/>
      <c r="AA138" s="387"/>
      <c r="AB138" s="462">
        <v>0</v>
      </c>
      <c r="AC138" s="392"/>
      <c r="AD138" s="387"/>
      <c r="AE138" s="388"/>
      <c r="AF138" s="387"/>
      <c r="AG138" s="387"/>
      <c r="AH138" s="388"/>
      <c r="AI138" s="388"/>
      <c r="AJ138" s="462">
        <v>0</v>
      </c>
      <c r="AK138" s="388">
        <v>1763084.767</v>
      </c>
      <c r="AL138" s="388">
        <v>1320863.96</v>
      </c>
      <c r="AM138" s="388">
        <v>442220.80699999997</v>
      </c>
      <c r="AN138" s="388">
        <v>36220.707000000002</v>
      </c>
      <c r="AO138" s="467">
        <v>0.74917779605545198</v>
      </c>
      <c r="AP138" s="468">
        <v>86793.706999999995</v>
      </c>
      <c r="AQ138" s="468">
        <v>-86576.706999999995</v>
      </c>
      <c r="AR138" s="393"/>
      <c r="AS138" s="394"/>
      <c r="AT138" s="394"/>
      <c r="AU138" s="395"/>
      <c r="AV138" s="471"/>
      <c r="AW138" s="388">
        <v>1763084767</v>
      </c>
      <c r="AX138" s="424">
        <v>1320863960</v>
      </c>
      <c r="AY138" s="424">
        <v>442220807</v>
      </c>
      <c r="AZ138" s="424">
        <v>36220707</v>
      </c>
      <c r="BA138" s="472">
        <v>0.74917779605545198</v>
      </c>
      <c r="BB138" s="453">
        <v>250660</v>
      </c>
      <c r="BC138" s="390">
        <v>36200</v>
      </c>
      <c r="BD138" s="236">
        <v>0</v>
      </c>
    </row>
    <row r="139" spans="1:56" s="121" customFormat="1" ht="14.25" customHeight="1">
      <c r="A139" s="104">
        <v>2023</v>
      </c>
      <c r="B139" s="105" t="s">
        <v>920</v>
      </c>
      <c r="C139" s="556" t="s">
        <v>936</v>
      </c>
      <c r="D139" s="106" t="s">
        <v>2415</v>
      </c>
      <c r="E139" s="150" t="s">
        <v>937</v>
      </c>
      <c r="F139" s="71" t="s">
        <v>170</v>
      </c>
      <c r="G139" s="68" t="s">
        <v>2187</v>
      </c>
      <c r="H139" s="386"/>
      <c r="I139" s="387"/>
      <c r="J139" s="424">
        <v>226</v>
      </c>
      <c r="K139" s="462">
        <v>226</v>
      </c>
      <c r="L139" s="387">
        <v>10742</v>
      </c>
      <c r="M139" s="387">
        <v>4401</v>
      </c>
      <c r="N139" s="388"/>
      <c r="O139" s="387">
        <v>4750</v>
      </c>
      <c r="P139" s="390">
        <v>1</v>
      </c>
      <c r="Q139" s="387">
        <v>8495</v>
      </c>
      <c r="R139" s="390">
        <v>5664</v>
      </c>
      <c r="S139" s="387">
        <v>14159</v>
      </c>
      <c r="T139" s="388">
        <v>15313</v>
      </c>
      <c r="U139" s="391">
        <v>79</v>
      </c>
      <c r="V139" s="387"/>
      <c r="W139" s="462">
        <v>49444</v>
      </c>
      <c r="X139" s="387"/>
      <c r="Y139" s="387"/>
      <c r="Z139" s="391"/>
      <c r="AA139" s="387"/>
      <c r="AB139" s="462">
        <v>0</v>
      </c>
      <c r="AC139" s="392"/>
      <c r="AD139" s="387"/>
      <c r="AE139" s="388"/>
      <c r="AF139" s="387"/>
      <c r="AG139" s="387"/>
      <c r="AH139" s="388"/>
      <c r="AI139" s="388"/>
      <c r="AJ139" s="462">
        <v>0</v>
      </c>
      <c r="AK139" s="388">
        <v>1652424.452</v>
      </c>
      <c r="AL139" s="388">
        <v>1213704.5319999999</v>
      </c>
      <c r="AM139" s="388">
        <v>438719.92</v>
      </c>
      <c r="AN139" s="388">
        <v>42643.946000000004</v>
      </c>
      <c r="AO139" s="467">
        <v>0.73449925685316597</v>
      </c>
      <c r="AP139" s="468">
        <v>92087.945999999996</v>
      </c>
      <c r="AQ139" s="468">
        <v>-91861.945999999996</v>
      </c>
      <c r="AR139" s="393"/>
      <c r="AS139" s="394"/>
      <c r="AT139" s="394"/>
      <c r="AU139" s="395"/>
      <c r="AV139" s="471"/>
      <c r="AW139" s="388">
        <v>1652424452</v>
      </c>
      <c r="AX139" s="424">
        <v>1213704532</v>
      </c>
      <c r="AY139" s="424">
        <v>438719920</v>
      </c>
      <c r="AZ139" s="424">
        <v>42643946</v>
      </c>
      <c r="BA139" s="472">
        <v>0.73449925685316597</v>
      </c>
      <c r="BB139" s="453">
        <v>241758</v>
      </c>
      <c r="BC139" s="390">
        <v>37535</v>
      </c>
      <c r="BD139" s="236">
        <v>0</v>
      </c>
    </row>
    <row r="140" spans="1:56" s="121" customFormat="1" ht="14.25" customHeight="1">
      <c r="A140" s="104">
        <v>2023</v>
      </c>
      <c r="B140" s="105" t="s">
        <v>925</v>
      </c>
      <c r="C140" s="556" t="s">
        <v>941</v>
      </c>
      <c r="D140" s="106" t="s">
        <v>2415</v>
      </c>
      <c r="E140" s="150" t="s">
        <v>942</v>
      </c>
      <c r="F140" s="71" t="s">
        <v>170</v>
      </c>
      <c r="G140" s="68" t="s">
        <v>2620</v>
      </c>
      <c r="H140" s="386">
        <v>14629</v>
      </c>
      <c r="I140" s="388">
        <v>0</v>
      </c>
      <c r="J140" s="424">
        <v>836</v>
      </c>
      <c r="K140" s="462">
        <v>15465</v>
      </c>
      <c r="L140" s="387">
        <v>300</v>
      </c>
      <c r="M140" s="387">
        <v>138</v>
      </c>
      <c r="N140" s="388">
        <v>0</v>
      </c>
      <c r="O140" s="387">
        <v>453</v>
      </c>
      <c r="P140" s="389">
        <v>10</v>
      </c>
      <c r="Q140" s="387">
        <v>8495</v>
      </c>
      <c r="R140" s="387">
        <v>39590</v>
      </c>
      <c r="S140" s="387">
        <v>124540</v>
      </c>
      <c r="T140" s="388">
        <v>4194</v>
      </c>
      <c r="U140" s="426"/>
      <c r="V140" s="426"/>
      <c r="W140" s="462">
        <v>129625</v>
      </c>
      <c r="X140" s="437"/>
      <c r="Y140" s="387"/>
      <c r="Z140" s="438"/>
      <c r="AA140" s="387"/>
      <c r="AB140" s="462">
        <v>0</v>
      </c>
      <c r="AC140" s="437"/>
      <c r="AD140" s="387"/>
      <c r="AE140" s="387"/>
      <c r="AF140" s="387"/>
      <c r="AG140" s="387"/>
      <c r="AH140" s="387"/>
      <c r="AI140" s="387"/>
      <c r="AJ140" s="462">
        <v>0</v>
      </c>
      <c r="AK140" s="388">
        <v>89620.52</v>
      </c>
      <c r="AL140" s="388">
        <v>37256.173000000003</v>
      </c>
      <c r="AM140" s="388">
        <v>52364.347000000002</v>
      </c>
      <c r="AN140" s="388">
        <v>3405.509</v>
      </c>
      <c r="AO140" s="467">
        <v>0.41571029715069718</v>
      </c>
      <c r="AP140" s="468">
        <v>133030.50899999999</v>
      </c>
      <c r="AQ140" s="468">
        <v>-117565.50899999999</v>
      </c>
      <c r="AR140" s="393"/>
      <c r="AS140" s="394"/>
      <c r="AT140" s="394"/>
      <c r="AU140" s="395"/>
      <c r="AV140" s="471"/>
      <c r="AW140" s="388">
        <v>89620520</v>
      </c>
      <c r="AX140" s="424">
        <v>37256173</v>
      </c>
      <c r="AY140" s="424">
        <v>52364347</v>
      </c>
      <c r="AZ140" s="424">
        <v>3405509</v>
      </c>
      <c r="BA140" s="472">
        <v>0.41571029715069718</v>
      </c>
      <c r="BB140" s="453" t="s">
        <v>825</v>
      </c>
      <c r="BC140" s="390" t="s">
        <v>825</v>
      </c>
      <c r="BD140" s="236" t="s">
        <v>825</v>
      </c>
    </row>
    <row r="141" spans="1:56" s="121" customFormat="1" ht="14.25" customHeight="1">
      <c r="A141" s="104">
        <v>2023</v>
      </c>
      <c r="B141" s="105" t="s">
        <v>930</v>
      </c>
      <c r="C141" s="556" t="s">
        <v>949</v>
      </c>
      <c r="D141" s="106" t="s">
        <v>2415</v>
      </c>
      <c r="E141" s="150" t="s">
        <v>950</v>
      </c>
      <c r="F141" s="71" t="s">
        <v>170</v>
      </c>
      <c r="G141" s="68" t="s">
        <v>2620</v>
      </c>
      <c r="H141" s="386">
        <v>10971</v>
      </c>
      <c r="I141" s="388">
        <v>0</v>
      </c>
      <c r="J141" s="424">
        <v>612</v>
      </c>
      <c r="K141" s="462">
        <v>11583</v>
      </c>
      <c r="L141" s="387">
        <v>297</v>
      </c>
      <c r="M141" s="390">
        <v>271</v>
      </c>
      <c r="N141" s="388">
        <v>0</v>
      </c>
      <c r="O141" s="387">
        <v>87</v>
      </c>
      <c r="P141" s="389">
        <v>10</v>
      </c>
      <c r="Q141" s="387">
        <v>8495</v>
      </c>
      <c r="R141" s="387">
        <v>29679</v>
      </c>
      <c r="S141" s="387">
        <v>114629</v>
      </c>
      <c r="T141" s="388">
        <v>3144</v>
      </c>
      <c r="U141" s="426"/>
      <c r="V141" s="426"/>
      <c r="W141" s="462">
        <v>118428</v>
      </c>
      <c r="X141" s="437"/>
      <c r="Y141" s="387"/>
      <c r="Z141" s="438"/>
      <c r="AA141" s="387"/>
      <c r="AB141" s="462">
        <v>0</v>
      </c>
      <c r="AC141" s="437"/>
      <c r="AD141" s="387"/>
      <c r="AE141" s="387"/>
      <c r="AF141" s="387"/>
      <c r="AG141" s="387"/>
      <c r="AH141" s="387"/>
      <c r="AI141" s="387"/>
      <c r="AJ141" s="462">
        <v>0</v>
      </c>
      <c r="AK141" s="388">
        <v>47091.603720462481</v>
      </c>
      <c r="AL141" s="388">
        <v>2834.7818073233343</v>
      </c>
      <c r="AM141" s="388">
        <v>44256.821913139152</v>
      </c>
      <c r="AN141" s="388">
        <v>1142.2838053544888</v>
      </c>
      <c r="AO141" s="467">
        <v>6.0197181309659897E-2</v>
      </c>
      <c r="AP141" s="468">
        <v>119570.28380535448</v>
      </c>
      <c r="AQ141" s="468">
        <v>-107987.28380535448</v>
      </c>
      <c r="AR141" s="393"/>
      <c r="AS141" s="394"/>
      <c r="AT141" s="394"/>
      <c r="AU141" s="395"/>
      <c r="AV141" s="471" t="s">
        <v>2484</v>
      </c>
      <c r="AW141" s="388">
        <v>47091603.720462479</v>
      </c>
      <c r="AX141" s="424">
        <v>2834781.8073233343</v>
      </c>
      <c r="AY141" s="424">
        <v>44256821.91313915</v>
      </c>
      <c r="AZ141" s="424">
        <v>1142283.8053544888</v>
      </c>
      <c r="BA141" s="472">
        <v>6.0197181309659897E-2</v>
      </c>
      <c r="BB141" s="453" t="s">
        <v>825</v>
      </c>
      <c r="BC141" s="390" t="s">
        <v>825</v>
      </c>
      <c r="BD141" s="236" t="s">
        <v>825</v>
      </c>
    </row>
    <row r="142" spans="1:56" s="121" customFormat="1" ht="14.25" customHeight="1">
      <c r="A142" s="104">
        <v>2023</v>
      </c>
      <c r="B142" s="105" t="s">
        <v>935</v>
      </c>
      <c r="C142" s="556" t="s">
        <v>952</v>
      </c>
      <c r="D142" s="106" t="s">
        <v>2415</v>
      </c>
      <c r="E142" s="150" t="s">
        <v>862</v>
      </c>
      <c r="F142" s="71" t="s">
        <v>170</v>
      </c>
      <c r="G142" s="68" t="s">
        <v>2620</v>
      </c>
      <c r="H142" s="386">
        <v>14628</v>
      </c>
      <c r="I142" s="388">
        <v>0</v>
      </c>
      <c r="J142" s="424">
        <v>816</v>
      </c>
      <c r="K142" s="462">
        <v>15444</v>
      </c>
      <c r="L142" s="387">
        <v>297</v>
      </c>
      <c r="M142" s="390">
        <v>0</v>
      </c>
      <c r="N142" s="388">
        <v>0</v>
      </c>
      <c r="O142" s="387">
        <v>0</v>
      </c>
      <c r="P142" s="389">
        <v>11</v>
      </c>
      <c r="Q142" s="387">
        <v>8495</v>
      </c>
      <c r="R142" s="387">
        <v>39572</v>
      </c>
      <c r="S142" s="387">
        <v>133017</v>
      </c>
      <c r="T142" s="388">
        <v>4192</v>
      </c>
      <c r="U142" s="426"/>
      <c r="V142" s="426"/>
      <c r="W142" s="462">
        <v>137506</v>
      </c>
      <c r="X142" s="437"/>
      <c r="Y142" s="387"/>
      <c r="Z142" s="438"/>
      <c r="AA142" s="387"/>
      <c r="AB142" s="462">
        <v>0</v>
      </c>
      <c r="AC142" s="437"/>
      <c r="AD142" s="387"/>
      <c r="AE142" s="387"/>
      <c r="AF142" s="387"/>
      <c r="AG142" s="387"/>
      <c r="AH142" s="387"/>
      <c r="AI142" s="387"/>
      <c r="AJ142" s="462">
        <v>0</v>
      </c>
      <c r="AK142" s="388">
        <v>9180</v>
      </c>
      <c r="AL142" s="388">
        <v>9179.9989999999998</v>
      </c>
      <c r="AM142" s="388">
        <v>1E-3</v>
      </c>
      <c r="AN142" s="388">
        <v>0</v>
      </c>
      <c r="AO142" s="467">
        <v>0.99999989106753817</v>
      </c>
      <c r="AP142" s="468">
        <v>137506</v>
      </c>
      <c r="AQ142" s="468">
        <v>-122062</v>
      </c>
      <c r="AR142" s="393"/>
      <c r="AS142" s="394"/>
      <c r="AT142" s="394"/>
      <c r="AU142" s="395"/>
      <c r="AV142" s="471"/>
      <c r="AW142" s="388">
        <v>9180000</v>
      </c>
      <c r="AX142" s="424">
        <v>9179999</v>
      </c>
      <c r="AY142" s="424">
        <v>1</v>
      </c>
      <c r="AZ142" s="424">
        <v>0</v>
      </c>
      <c r="BA142" s="472">
        <v>0.99999989106753817</v>
      </c>
      <c r="BB142" s="453" t="s">
        <v>825</v>
      </c>
      <c r="BC142" s="390" t="s">
        <v>825</v>
      </c>
      <c r="BD142" s="236" t="s">
        <v>825</v>
      </c>
    </row>
    <row r="143" spans="1:56" s="121" customFormat="1" ht="14.25" customHeight="1">
      <c r="A143" s="104">
        <v>2023</v>
      </c>
      <c r="B143" s="105" t="s">
        <v>940</v>
      </c>
      <c r="C143" s="556" t="s">
        <v>954</v>
      </c>
      <c r="D143" s="106" t="s">
        <v>2415</v>
      </c>
      <c r="E143" s="150" t="s">
        <v>868</v>
      </c>
      <c r="F143" s="71" t="s">
        <v>170</v>
      </c>
      <c r="G143" s="68" t="s">
        <v>2620</v>
      </c>
      <c r="H143" s="386">
        <v>3657</v>
      </c>
      <c r="I143" s="388">
        <v>0</v>
      </c>
      <c r="J143" s="424">
        <v>204</v>
      </c>
      <c r="K143" s="462">
        <v>3861</v>
      </c>
      <c r="L143" s="387">
        <v>297</v>
      </c>
      <c r="M143" s="390">
        <v>0</v>
      </c>
      <c r="N143" s="388">
        <v>0</v>
      </c>
      <c r="O143" s="387">
        <v>0</v>
      </c>
      <c r="P143" s="389">
        <v>2</v>
      </c>
      <c r="Q143" s="387">
        <v>8495</v>
      </c>
      <c r="R143" s="387">
        <v>9893</v>
      </c>
      <c r="S143" s="387">
        <v>26883</v>
      </c>
      <c r="T143" s="388">
        <v>1048</v>
      </c>
      <c r="U143" s="426"/>
      <c r="V143" s="426"/>
      <c r="W143" s="462">
        <v>28228</v>
      </c>
      <c r="X143" s="437"/>
      <c r="Y143" s="387"/>
      <c r="Z143" s="438"/>
      <c r="AA143" s="387"/>
      <c r="AB143" s="462">
        <v>0</v>
      </c>
      <c r="AC143" s="437"/>
      <c r="AD143" s="387"/>
      <c r="AE143" s="387"/>
      <c r="AF143" s="387"/>
      <c r="AG143" s="387"/>
      <c r="AH143" s="387"/>
      <c r="AI143" s="387"/>
      <c r="AJ143" s="462">
        <v>0</v>
      </c>
      <c r="AK143" s="388">
        <v>0</v>
      </c>
      <c r="AL143" s="388">
        <v>0</v>
      </c>
      <c r="AM143" s="388">
        <v>0</v>
      </c>
      <c r="AN143" s="388">
        <v>0</v>
      </c>
      <c r="AO143" s="467" t="s">
        <v>825</v>
      </c>
      <c r="AP143" s="468">
        <v>28228</v>
      </c>
      <c r="AQ143" s="468">
        <v>-24367</v>
      </c>
      <c r="AR143" s="393"/>
      <c r="AS143" s="394"/>
      <c r="AT143" s="394"/>
      <c r="AU143" s="395"/>
      <c r="AV143" s="471"/>
      <c r="AW143" s="388">
        <v>0</v>
      </c>
      <c r="AX143" s="424">
        <v>0</v>
      </c>
      <c r="AY143" s="424">
        <v>0</v>
      </c>
      <c r="AZ143" s="424">
        <v>0</v>
      </c>
      <c r="BA143" s="472" t="s">
        <v>1966</v>
      </c>
      <c r="BB143" s="453" t="s">
        <v>825</v>
      </c>
      <c r="BC143" s="390" t="s">
        <v>825</v>
      </c>
      <c r="BD143" s="236" t="s">
        <v>825</v>
      </c>
    </row>
    <row r="144" spans="1:56" s="121" customFormat="1" ht="14.25" customHeight="1">
      <c r="A144" s="104">
        <v>2023</v>
      </c>
      <c r="B144" s="105" t="s">
        <v>948</v>
      </c>
      <c r="C144" s="556" t="s">
        <v>956</v>
      </c>
      <c r="D144" s="106" t="s">
        <v>2415</v>
      </c>
      <c r="E144" s="150" t="s">
        <v>875</v>
      </c>
      <c r="F144" s="71" t="s">
        <v>170</v>
      </c>
      <c r="G144" s="68" t="s">
        <v>2620</v>
      </c>
      <c r="H144" s="386">
        <v>7314</v>
      </c>
      <c r="I144" s="388">
        <v>0</v>
      </c>
      <c r="J144" s="424">
        <v>408</v>
      </c>
      <c r="K144" s="462">
        <v>7722</v>
      </c>
      <c r="L144" s="387">
        <v>297</v>
      </c>
      <c r="M144" s="390">
        <v>0</v>
      </c>
      <c r="N144" s="388">
        <v>0</v>
      </c>
      <c r="O144" s="387">
        <v>0</v>
      </c>
      <c r="P144" s="389">
        <v>5</v>
      </c>
      <c r="Q144" s="387">
        <v>8495</v>
      </c>
      <c r="R144" s="387">
        <v>19786</v>
      </c>
      <c r="S144" s="387">
        <v>62261</v>
      </c>
      <c r="T144" s="388">
        <v>2096</v>
      </c>
      <c r="U144" s="426"/>
      <c r="V144" s="426"/>
      <c r="W144" s="462">
        <v>64654</v>
      </c>
      <c r="X144" s="437"/>
      <c r="Y144" s="387"/>
      <c r="Z144" s="438"/>
      <c r="AA144" s="387"/>
      <c r="AB144" s="462">
        <v>0</v>
      </c>
      <c r="AC144" s="437"/>
      <c r="AD144" s="387"/>
      <c r="AE144" s="387"/>
      <c r="AF144" s="387"/>
      <c r="AG144" s="387"/>
      <c r="AH144" s="387"/>
      <c r="AI144" s="387"/>
      <c r="AJ144" s="462">
        <v>0</v>
      </c>
      <c r="AK144" s="388">
        <v>0</v>
      </c>
      <c r="AL144" s="388">
        <v>0</v>
      </c>
      <c r="AM144" s="388">
        <v>0</v>
      </c>
      <c r="AN144" s="388">
        <v>0</v>
      </c>
      <c r="AO144" s="467" t="s">
        <v>825</v>
      </c>
      <c r="AP144" s="468">
        <v>64654</v>
      </c>
      <c r="AQ144" s="468">
        <v>-56932</v>
      </c>
      <c r="AR144" s="393"/>
      <c r="AS144" s="394"/>
      <c r="AT144" s="394"/>
      <c r="AU144" s="395"/>
      <c r="AV144" s="471"/>
      <c r="AW144" s="388">
        <v>0</v>
      </c>
      <c r="AX144" s="424">
        <v>0</v>
      </c>
      <c r="AY144" s="424">
        <v>0</v>
      </c>
      <c r="AZ144" s="424">
        <v>0</v>
      </c>
      <c r="BA144" s="472" t="s">
        <v>1966</v>
      </c>
      <c r="BB144" s="453" t="s">
        <v>825</v>
      </c>
      <c r="BC144" s="390" t="s">
        <v>825</v>
      </c>
      <c r="BD144" s="236" t="s">
        <v>825</v>
      </c>
    </row>
    <row r="145" spans="1:56" s="121" customFormat="1" ht="14.25" customHeight="1">
      <c r="A145" s="104">
        <v>2023</v>
      </c>
      <c r="B145" s="105" t="s">
        <v>951</v>
      </c>
      <c r="C145" s="556" t="s">
        <v>958</v>
      </c>
      <c r="D145" s="106" t="s">
        <v>2415</v>
      </c>
      <c r="E145" s="150" t="s">
        <v>881</v>
      </c>
      <c r="F145" s="71" t="s">
        <v>170</v>
      </c>
      <c r="G145" s="68" t="s">
        <v>2620</v>
      </c>
      <c r="H145" s="386">
        <v>7314</v>
      </c>
      <c r="I145" s="388">
        <v>0</v>
      </c>
      <c r="J145" s="424">
        <v>408</v>
      </c>
      <c r="K145" s="462">
        <v>7722</v>
      </c>
      <c r="L145" s="387">
        <v>297</v>
      </c>
      <c r="M145" s="390">
        <v>0</v>
      </c>
      <c r="N145" s="388">
        <v>0</v>
      </c>
      <c r="O145" s="387">
        <v>0</v>
      </c>
      <c r="P145" s="389">
        <v>5</v>
      </c>
      <c r="Q145" s="387">
        <v>8495</v>
      </c>
      <c r="R145" s="387">
        <v>19786</v>
      </c>
      <c r="S145" s="387">
        <v>62261</v>
      </c>
      <c r="T145" s="388">
        <v>2096</v>
      </c>
      <c r="U145" s="426"/>
      <c r="V145" s="426"/>
      <c r="W145" s="462">
        <v>64654</v>
      </c>
      <c r="X145" s="437"/>
      <c r="Y145" s="387"/>
      <c r="Z145" s="438"/>
      <c r="AA145" s="387"/>
      <c r="AB145" s="462">
        <v>0</v>
      </c>
      <c r="AC145" s="437"/>
      <c r="AD145" s="387"/>
      <c r="AE145" s="387"/>
      <c r="AF145" s="387"/>
      <c r="AG145" s="387"/>
      <c r="AH145" s="387"/>
      <c r="AI145" s="387"/>
      <c r="AJ145" s="462">
        <v>0</v>
      </c>
      <c r="AK145" s="388">
        <v>0</v>
      </c>
      <c r="AL145" s="388">
        <v>0</v>
      </c>
      <c r="AM145" s="388">
        <v>0</v>
      </c>
      <c r="AN145" s="388">
        <v>0</v>
      </c>
      <c r="AO145" s="467" t="s">
        <v>825</v>
      </c>
      <c r="AP145" s="468">
        <v>64654</v>
      </c>
      <c r="AQ145" s="468">
        <v>-56932</v>
      </c>
      <c r="AR145" s="393"/>
      <c r="AS145" s="394"/>
      <c r="AT145" s="394"/>
      <c r="AU145" s="395"/>
      <c r="AV145" s="471"/>
      <c r="AW145" s="388">
        <v>0</v>
      </c>
      <c r="AX145" s="424">
        <v>0</v>
      </c>
      <c r="AY145" s="424">
        <v>0</v>
      </c>
      <c r="AZ145" s="424">
        <v>0</v>
      </c>
      <c r="BA145" s="472" t="s">
        <v>1966</v>
      </c>
      <c r="BB145" s="453" t="s">
        <v>825</v>
      </c>
      <c r="BC145" s="390" t="s">
        <v>825</v>
      </c>
      <c r="BD145" s="236" t="s">
        <v>825</v>
      </c>
    </row>
    <row r="146" spans="1:56" s="121" customFormat="1" ht="14.25" customHeight="1">
      <c r="A146" s="104">
        <v>2023</v>
      </c>
      <c r="B146" s="105" t="s">
        <v>953</v>
      </c>
      <c r="C146" s="556" t="s">
        <v>960</v>
      </c>
      <c r="D146" s="106" t="s">
        <v>2415</v>
      </c>
      <c r="E146" s="150" t="s">
        <v>887</v>
      </c>
      <c r="F146" s="71" t="s">
        <v>170</v>
      </c>
      <c r="G146" s="68" t="s">
        <v>2620</v>
      </c>
      <c r="H146" s="386">
        <v>7314</v>
      </c>
      <c r="I146" s="388">
        <v>0</v>
      </c>
      <c r="J146" s="424">
        <v>408</v>
      </c>
      <c r="K146" s="462">
        <v>7722</v>
      </c>
      <c r="L146" s="387">
        <v>297</v>
      </c>
      <c r="M146" s="390">
        <v>0</v>
      </c>
      <c r="N146" s="388">
        <v>0</v>
      </c>
      <c r="O146" s="387">
        <v>19</v>
      </c>
      <c r="P146" s="389">
        <v>4</v>
      </c>
      <c r="Q146" s="387">
        <v>8495</v>
      </c>
      <c r="R146" s="387">
        <v>19786</v>
      </c>
      <c r="S146" s="387">
        <v>53766</v>
      </c>
      <c r="T146" s="388">
        <v>2096</v>
      </c>
      <c r="U146" s="426"/>
      <c r="V146" s="426"/>
      <c r="W146" s="462">
        <v>56178</v>
      </c>
      <c r="X146" s="437"/>
      <c r="Y146" s="387"/>
      <c r="Z146" s="438"/>
      <c r="AA146" s="387"/>
      <c r="AB146" s="462">
        <v>0</v>
      </c>
      <c r="AC146" s="437"/>
      <c r="AD146" s="387"/>
      <c r="AE146" s="387"/>
      <c r="AF146" s="387"/>
      <c r="AG146" s="387"/>
      <c r="AH146" s="387"/>
      <c r="AI146" s="387"/>
      <c r="AJ146" s="462">
        <v>0</v>
      </c>
      <c r="AK146" s="388">
        <v>0</v>
      </c>
      <c r="AL146" s="388">
        <v>0</v>
      </c>
      <c r="AM146" s="388">
        <v>0</v>
      </c>
      <c r="AN146" s="388">
        <v>0</v>
      </c>
      <c r="AO146" s="467" t="s">
        <v>825</v>
      </c>
      <c r="AP146" s="468">
        <v>56178</v>
      </c>
      <c r="AQ146" s="468">
        <v>-48456</v>
      </c>
      <c r="AR146" s="393"/>
      <c r="AS146" s="394"/>
      <c r="AT146" s="394"/>
      <c r="AU146" s="395"/>
      <c r="AV146" s="471"/>
      <c r="AW146" s="388">
        <v>0</v>
      </c>
      <c r="AX146" s="424">
        <v>0</v>
      </c>
      <c r="AY146" s="424">
        <v>0</v>
      </c>
      <c r="AZ146" s="424">
        <v>0</v>
      </c>
      <c r="BA146" s="472" t="s">
        <v>1966</v>
      </c>
      <c r="BB146" s="453" t="s">
        <v>825</v>
      </c>
      <c r="BC146" s="390" t="s">
        <v>825</v>
      </c>
      <c r="BD146" s="236" t="s">
        <v>825</v>
      </c>
    </row>
    <row r="147" spans="1:56" s="121" customFormat="1" ht="14.25" customHeight="1">
      <c r="A147" s="104">
        <v>2023</v>
      </c>
      <c r="B147" s="105" t="s">
        <v>955</v>
      </c>
      <c r="C147" s="556" t="s">
        <v>962</v>
      </c>
      <c r="D147" s="106" t="s">
        <v>2415</v>
      </c>
      <c r="E147" s="150" t="s">
        <v>894</v>
      </c>
      <c r="F147" s="71" t="s">
        <v>170</v>
      </c>
      <c r="G147" s="68" t="s">
        <v>2620</v>
      </c>
      <c r="H147" s="386">
        <v>10971</v>
      </c>
      <c r="I147" s="388">
        <v>0</v>
      </c>
      <c r="J147" s="424">
        <v>612</v>
      </c>
      <c r="K147" s="462">
        <v>11583</v>
      </c>
      <c r="L147" s="387">
        <v>297</v>
      </c>
      <c r="M147" s="387">
        <v>129</v>
      </c>
      <c r="N147" s="388">
        <v>0</v>
      </c>
      <c r="O147" s="387">
        <v>0</v>
      </c>
      <c r="P147" s="389">
        <v>7</v>
      </c>
      <c r="Q147" s="387">
        <v>8495</v>
      </c>
      <c r="R147" s="387">
        <v>29679</v>
      </c>
      <c r="S147" s="387">
        <v>89144</v>
      </c>
      <c r="T147" s="388">
        <v>3144</v>
      </c>
      <c r="U147" s="426"/>
      <c r="V147" s="426"/>
      <c r="W147" s="462">
        <v>92714</v>
      </c>
      <c r="X147" s="437"/>
      <c r="Y147" s="387"/>
      <c r="Z147" s="438"/>
      <c r="AA147" s="387"/>
      <c r="AB147" s="462">
        <v>0</v>
      </c>
      <c r="AC147" s="437"/>
      <c r="AD147" s="387"/>
      <c r="AE147" s="387"/>
      <c r="AF147" s="387"/>
      <c r="AG147" s="387"/>
      <c r="AH147" s="387"/>
      <c r="AI147" s="387"/>
      <c r="AJ147" s="462">
        <v>0</v>
      </c>
      <c r="AK147" s="388">
        <v>21835.02</v>
      </c>
      <c r="AL147" s="388">
        <v>13604.325999999999</v>
      </c>
      <c r="AM147" s="388">
        <v>8230.6939999999995</v>
      </c>
      <c r="AN147" s="388">
        <v>815.36199999999997</v>
      </c>
      <c r="AO147" s="467">
        <v>0.62305076890243283</v>
      </c>
      <c r="AP147" s="468">
        <v>93529.361999999994</v>
      </c>
      <c r="AQ147" s="468">
        <v>-81946.361999999994</v>
      </c>
      <c r="AR147" s="393"/>
      <c r="AS147" s="394"/>
      <c r="AT147" s="394"/>
      <c r="AU147" s="395"/>
      <c r="AV147" s="471"/>
      <c r="AW147" s="388">
        <v>21835020</v>
      </c>
      <c r="AX147" s="424">
        <v>13604326</v>
      </c>
      <c r="AY147" s="424">
        <v>8230694</v>
      </c>
      <c r="AZ147" s="424">
        <v>815362</v>
      </c>
      <c r="BA147" s="472">
        <v>0.62305076890243283</v>
      </c>
      <c r="BB147" s="453" t="s">
        <v>825</v>
      </c>
      <c r="BC147" s="390" t="s">
        <v>825</v>
      </c>
      <c r="BD147" s="236" t="s">
        <v>825</v>
      </c>
    </row>
    <row r="148" spans="1:56" s="121" customFormat="1" ht="14.25" customHeight="1">
      <c r="A148" s="104">
        <v>2023</v>
      </c>
      <c r="B148" s="105" t="s">
        <v>957</v>
      </c>
      <c r="C148" s="556" t="s">
        <v>964</v>
      </c>
      <c r="D148" s="106" t="s">
        <v>2415</v>
      </c>
      <c r="E148" s="150" t="s">
        <v>899</v>
      </c>
      <c r="F148" s="71" t="s">
        <v>170</v>
      </c>
      <c r="G148" s="68" t="s">
        <v>2620</v>
      </c>
      <c r="H148" s="386">
        <v>7314</v>
      </c>
      <c r="I148" s="388">
        <v>0</v>
      </c>
      <c r="J148" s="424">
        <v>408</v>
      </c>
      <c r="K148" s="462">
        <v>7722</v>
      </c>
      <c r="L148" s="387">
        <v>297</v>
      </c>
      <c r="M148" s="387">
        <v>134</v>
      </c>
      <c r="N148" s="388">
        <v>0</v>
      </c>
      <c r="O148" s="387">
        <v>0</v>
      </c>
      <c r="P148" s="389">
        <v>4</v>
      </c>
      <c r="Q148" s="387">
        <v>8495</v>
      </c>
      <c r="R148" s="387">
        <v>19786</v>
      </c>
      <c r="S148" s="387">
        <v>53766</v>
      </c>
      <c r="T148" s="388">
        <v>2096</v>
      </c>
      <c r="U148" s="426"/>
      <c r="V148" s="426"/>
      <c r="W148" s="462">
        <v>56293</v>
      </c>
      <c r="X148" s="437"/>
      <c r="Y148" s="387"/>
      <c r="Z148" s="438"/>
      <c r="AA148" s="387"/>
      <c r="AB148" s="462">
        <v>0</v>
      </c>
      <c r="AC148" s="437"/>
      <c r="AD148" s="387"/>
      <c r="AE148" s="387"/>
      <c r="AF148" s="387"/>
      <c r="AG148" s="387"/>
      <c r="AH148" s="387"/>
      <c r="AI148" s="387"/>
      <c r="AJ148" s="462">
        <v>0</v>
      </c>
      <c r="AK148" s="388">
        <v>31920</v>
      </c>
      <c r="AL148" s="388">
        <v>16981.439999999999</v>
      </c>
      <c r="AM148" s="388">
        <v>14938.56</v>
      </c>
      <c r="AN148" s="388">
        <v>1212.96</v>
      </c>
      <c r="AO148" s="467">
        <v>0.53200000000000003</v>
      </c>
      <c r="AP148" s="468">
        <v>57505.96</v>
      </c>
      <c r="AQ148" s="468">
        <v>-49783.96</v>
      </c>
      <c r="AR148" s="393"/>
      <c r="AS148" s="394"/>
      <c r="AT148" s="394"/>
      <c r="AU148" s="395"/>
      <c r="AV148" s="471"/>
      <c r="AW148" s="388">
        <v>31920000</v>
      </c>
      <c r="AX148" s="424">
        <v>16981440</v>
      </c>
      <c r="AY148" s="424">
        <v>14938560</v>
      </c>
      <c r="AZ148" s="424">
        <v>1212960</v>
      </c>
      <c r="BA148" s="472">
        <v>0.53200000000000003</v>
      </c>
      <c r="BB148" s="453" t="s">
        <v>825</v>
      </c>
      <c r="BC148" s="390" t="s">
        <v>825</v>
      </c>
      <c r="BD148" s="236" t="s">
        <v>825</v>
      </c>
    </row>
    <row r="149" spans="1:56" s="121" customFormat="1" ht="14.25" customHeight="1">
      <c r="A149" s="104">
        <v>2023</v>
      </c>
      <c r="B149" s="105" t="s">
        <v>959</v>
      </c>
      <c r="C149" s="556" t="s">
        <v>967</v>
      </c>
      <c r="D149" s="106" t="s">
        <v>2415</v>
      </c>
      <c r="E149" s="150" t="s">
        <v>904</v>
      </c>
      <c r="F149" s="71" t="s">
        <v>170</v>
      </c>
      <c r="G149" s="68" t="s">
        <v>2620</v>
      </c>
      <c r="H149" s="386">
        <v>10971</v>
      </c>
      <c r="I149" s="388">
        <v>0</v>
      </c>
      <c r="J149" s="424">
        <v>612</v>
      </c>
      <c r="K149" s="462">
        <v>11583</v>
      </c>
      <c r="L149" s="387">
        <v>297</v>
      </c>
      <c r="M149" s="390">
        <v>0</v>
      </c>
      <c r="N149" s="388">
        <v>0</v>
      </c>
      <c r="O149" s="388">
        <v>0</v>
      </c>
      <c r="P149" s="389">
        <v>7</v>
      </c>
      <c r="Q149" s="387">
        <v>8495</v>
      </c>
      <c r="R149" s="387">
        <v>29679</v>
      </c>
      <c r="S149" s="387">
        <v>89144</v>
      </c>
      <c r="T149" s="388">
        <v>3144</v>
      </c>
      <c r="U149" s="426"/>
      <c r="V149" s="426"/>
      <c r="W149" s="462">
        <v>92585</v>
      </c>
      <c r="X149" s="437"/>
      <c r="Y149" s="387"/>
      <c r="Z149" s="438"/>
      <c r="AA149" s="387"/>
      <c r="AB149" s="462">
        <v>0</v>
      </c>
      <c r="AC149" s="437"/>
      <c r="AD149" s="387"/>
      <c r="AE149" s="387"/>
      <c r="AF149" s="387"/>
      <c r="AG149" s="387"/>
      <c r="AH149" s="387"/>
      <c r="AI149" s="387"/>
      <c r="AJ149" s="462">
        <v>0</v>
      </c>
      <c r="AK149" s="388">
        <v>22912.998</v>
      </c>
      <c r="AL149" s="388">
        <v>13515.906000000001</v>
      </c>
      <c r="AM149" s="388">
        <v>9397.0920000000006</v>
      </c>
      <c r="AN149" s="388">
        <v>907.75599999999997</v>
      </c>
      <c r="AO149" s="467">
        <v>0.58987942127869952</v>
      </c>
      <c r="AP149" s="468">
        <v>93492.755999999994</v>
      </c>
      <c r="AQ149" s="468">
        <v>-81909.755999999994</v>
      </c>
      <c r="AR149" s="393"/>
      <c r="AS149" s="394"/>
      <c r="AT149" s="394"/>
      <c r="AU149" s="395"/>
      <c r="AV149" s="471"/>
      <c r="AW149" s="388">
        <v>22912998</v>
      </c>
      <c r="AX149" s="424">
        <v>13515906</v>
      </c>
      <c r="AY149" s="424">
        <v>9397092</v>
      </c>
      <c r="AZ149" s="424">
        <v>907756</v>
      </c>
      <c r="BA149" s="472">
        <v>0.58987942127869952</v>
      </c>
      <c r="BB149" s="453" t="s">
        <v>825</v>
      </c>
      <c r="BC149" s="390" t="s">
        <v>825</v>
      </c>
      <c r="BD149" s="236" t="s">
        <v>825</v>
      </c>
    </row>
    <row r="150" spans="1:56" s="121" customFormat="1" ht="14.25" customHeight="1">
      <c r="A150" s="104">
        <v>2023</v>
      </c>
      <c r="B150" s="105" t="s">
        <v>961</v>
      </c>
      <c r="C150" s="556" t="s">
        <v>969</v>
      </c>
      <c r="D150" s="106" t="s">
        <v>2415</v>
      </c>
      <c r="E150" s="150" t="s">
        <v>909</v>
      </c>
      <c r="F150" s="71" t="s">
        <v>170</v>
      </c>
      <c r="G150" s="68" t="s">
        <v>2620</v>
      </c>
      <c r="H150" s="386">
        <v>3657</v>
      </c>
      <c r="I150" s="388">
        <v>0</v>
      </c>
      <c r="J150" s="424">
        <v>204</v>
      </c>
      <c r="K150" s="462">
        <v>3861</v>
      </c>
      <c r="L150" s="387">
        <v>297</v>
      </c>
      <c r="M150" s="390">
        <v>0</v>
      </c>
      <c r="N150" s="388">
        <v>0</v>
      </c>
      <c r="O150" s="388">
        <v>0</v>
      </c>
      <c r="P150" s="389">
        <v>2</v>
      </c>
      <c r="Q150" s="387">
        <v>8495</v>
      </c>
      <c r="R150" s="387">
        <v>9893</v>
      </c>
      <c r="S150" s="387">
        <v>26883</v>
      </c>
      <c r="T150" s="388">
        <v>1048</v>
      </c>
      <c r="U150" s="426"/>
      <c r="V150" s="426"/>
      <c r="W150" s="462">
        <v>28228</v>
      </c>
      <c r="X150" s="437"/>
      <c r="Y150" s="387"/>
      <c r="Z150" s="438"/>
      <c r="AA150" s="387"/>
      <c r="AB150" s="462">
        <v>0</v>
      </c>
      <c r="AC150" s="437"/>
      <c r="AD150" s="387"/>
      <c r="AE150" s="387"/>
      <c r="AF150" s="387"/>
      <c r="AG150" s="387"/>
      <c r="AH150" s="387"/>
      <c r="AI150" s="387"/>
      <c r="AJ150" s="462">
        <v>0</v>
      </c>
      <c r="AK150" s="388">
        <v>0</v>
      </c>
      <c r="AL150" s="388">
        <v>0</v>
      </c>
      <c r="AM150" s="388">
        <v>0</v>
      </c>
      <c r="AN150" s="388">
        <v>0</v>
      </c>
      <c r="AO150" s="467" t="s">
        <v>825</v>
      </c>
      <c r="AP150" s="468">
        <v>28228</v>
      </c>
      <c r="AQ150" s="468">
        <v>-24367</v>
      </c>
      <c r="AR150" s="393"/>
      <c r="AS150" s="394"/>
      <c r="AT150" s="394"/>
      <c r="AU150" s="395"/>
      <c r="AV150" s="471"/>
      <c r="AW150" s="388">
        <v>0</v>
      </c>
      <c r="AX150" s="424">
        <v>0</v>
      </c>
      <c r="AY150" s="424">
        <v>0</v>
      </c>
      <c r="AZ150" s="424">
        <v>0</v>
      </c>
      <c r="BA150" s="472" t="s">
        <v>1966</v>
      </c>
      <c r="BB150" s="453" t="s">
        <v>825</v>
      </c>
      <c r="BC150" s="390" t="s">
        <v>825</v>
      </c>
      <c r="BD150" s="236" t="s">
        <v>825</v>
      </c>
    </row>
    <row r="151" spans="1:56" s="121" customFormat="1" ht="14.25" customHeight="1">
      <c r="A151" s="104">
        <v>2023</v>
      </c>
      <c r="B151" s="105" t="s">
        <v>963</v>
      </c>
      <c r="C151" s="556" t="s">
        <v>972</v>
      </c>
      <c r="D151" s="106" t="s">
        <v>2415</v>
      </c>
      <c r="E151" s="150" t="s">
        <v>914</v>
      </c>
      <c r="F151" s="71" t="s">
        <v>170</v>
      </c>
      <c r="G151" s="68" t="s">
        <v>2620</v>
      </c>
      <c r="H151" s="386">
        <v>7314</v>
      </c>
      <c r="I151" s="388">
        <v>0</v>
      </c>
      <c r="J151" s="424">
        <v>408</v>
      </c>
      <c r="K151" s="462">
        <v>7722</v>
      </c>
      <c r="L151" s="387">
        <v>297</v>
      </c>
      <c r="M151" s="390">
        <v>0</v>
      </c>
      <c r="N151" s="388">
        <v>0</v>
      </c>
      <c r="O151" s="388">
        <v>9</v>
      </c>
      <c r="P151" s="389">
        <v>6</v>
      </c>
      <c r="Q151" s="387">
        <v>8495</v>
      </c>
      <c r="R151" s="387">
        <v>19786</v>
      </c>
      <c r="S151" s="387">
        <v>70756</v>
      </c>
      <c r="T151" s="388">
        <v>2096</v>
      </c>
      <c r="U151" s="426"/>
      <c r="V151" s="426"/>
      <c r="W151" s="462">
        <v>73158</v>
      </c>
      <c r="X151" s="437"/>
      <c r="Y151" s="387"/>
      <c r="Z151" s="438"/>
      <c r="AA151" s="387"/>
      <c r="AB151" s="462">
        <v>0</v>
      </c>
      <c r="AC151" s="437"/>
      <c r="AD151" s="387"/>
      <c r="AE151" s="387"/>
      <c r="AF151" s="387"/>
      <c r="AG151" s="387"/>
      <c r="AH151" s="387"/>
      <c r="AI151" s="387"/>
      <c r="AJ151" s="462">
        <v>0</v>
      </c>
      <c r="AK151" s="388">
        <v>0</v>
      </c>
      <c r="AL151" s="388">
        <v>0</v>
      </c>
      <c r="AM151" s="388">
        <v>0</v>
      </c>
      <c r="AN151" s="388">
        <v>0</v>
      </c>
      <c r="AO151" s="467" t="s">
        <v>825</v>
      </c>
      <c r="AP151" s="468">
        <v>73158</v>
      </c>
      <c r="AQ151" s="468">
        <v>-65436</v>
      </c>
      <c r="AR151" s="393"/>
      <c r="AS151" s="394"/>
      <c r="AT151" s="394"/>
      <c r="AU151" s="395"/>
      <c r="AV151" s="471"/>
      <c r="AW151" s="388">
        <v>0</v>
      </c>
      <c r="AX151" s="424">
        <v>0</v>
      </c>
      <c r="AY151" s="424">
        <v>0</v>
      </c>
      <c r="AZ151" s="424">
        <v>0</v>
      </c>
      <c r="BA151" s="472" t="s">
        <v>1966</v>
      </c>
      <c r="BB151" s="453" t="s">
        <v>825</v>
      </c>
      <c r="BC151" s="390" t="s">
        <v>825</v>
      </c>
      <c r="BD151" s="236" t="s">
        <v>825</v>
      </c>
    </row>
    <row r="152" spans="1:56" s="121" customFormat="1" ht="14.25" customHeight="1">
      <c r="A152" s="104">
        <v>2023</v>
      </c>
      <c r="B152" s="105" t="s">
        <v>966</v>
      </c>
      <c r="C152" s="556" t="s">
        <v>975</v>
      </c>
      <c r="D152" s="106" t="s">
        <v>2415</v>
      </c>
      <c r="E152" s="150" t="s">
        <v>919</v>
      </c>
      <c r="F152" s="71" t="s">
        <v>170</v>
      </c>
      <c r="G152" s="68" t="s">
        <v>2620</v>
      </c>
      <c r="H152" s="386">
        <v>7314</v>
      </c>
      <c r="I152" s="388">
        <v>0</v>
      </c>
      <c r="J152" s="424">
        <v>408</v>
      </c>
      <c r="K152" s="462">
        <v>7722</v>
      </c>
      <c r="L152" s="387">
        <v>297</v>
      </c>
      <c r="M152" s="390">
        <v>0</v>
      </c>
      <c r="N152" s="388">
        <v>0</v>
      </c>
      <c r="O152" s="388">
        <v>0</v>
      </c>
      <c r="P152" s="389">
        <v>4</v>
      </c>
      <c r="Q152" s="387">
        <v>8495</v>
      </c>
      <c r="R152" s="387">
        <v>19786</v>
      </c>
      <c r="S152" s="387">
        <v>53766</v>
      </c>
      <c r="T152" s="388">
        <v>2096</v>
      </c>
      <c r="U152" s="426"/>
      <c r="V152" s="426"/>
      <c r="W152" s="462">
        <v>56159</v>
      </c>
      <c r="X152" s="437"/>
      <c r="Y152" s="387"/>
      <c r="Z152" s="438"/>
      <c r="AA152" s="387"/>
      <c r="AB152" s="462">
        <v>0</v>
      </c>
      <c r="AC152" s="437"/>
      <c r="AD152" s="387"/>
      <c r="AE152" s="387"/>
      <c r="AF152" s="387"/>
      <c r="AG152" s="387"/>
      <c r="AH152" s="387"/>
      <c r="AI152" s="387"/>
      <c r="AJ152" s="462">
        <v>0</v>
      </c>
      <c r="AK152" s="388">
        <v>0</v>
      </c>
      <c r="AL152" s="388">
        <v>0</v>
      </c>
      <c r="AM152" s="388">
        <v>0</v>
      </c>
      <c r="AN152" s="388">
        <v>0</v>
      </c>
      <c r="AO152" s="467" t="s">
        <v>825</v>
      </c>
      <c r="AP152" s="468">
        <v>56159</v>
      </c>
      <c r="AQ152" s="468">
        <v>-48437</v>
      </c>
      <c r="AR152" s="393"/>
      <c r="AS152" s="394"/>
      <c r="AT152" s="394"/>
      <c r="AU152" s="395"/>
      <c r="AV152" s="471"/>
      <c r="AW152" s="388">
        <v>0</v>
      </c>
      <c r="AX152" s="424">
        <v>0</v>
      </c>
      <c r="AY152" s="424">
        <v>0</v>
      </c>
      <c r="AZ152" s="424">
        <v>0</v>
      </c>
      <c r="BA152" s="472" t="s">
        <v>1966</v>
      </c>
      <c r="BB152" s="453" t="s">
        <v>825</v>
      </c>
      <c r="BC152" s="390" t="s">
        <v>825</v>
      </c>
      <c r="BD152" s="236" t="s">
        <v>825</v>
      </c>
    </row>
    <row r="153" spans="1:56" s="121" customFormat="1" ht="14.25" customHeight="1">
      <c r="A153" s="104">
        <v>2023</v>
      </c>
      <c r="B153" s="105" t="s">
        <v>325</v>
      </c>
      <c r="C153" s="556" t="s">
        <v>978</v>
      </c>
      <c r="D153" s="106" t="s">
        <v>2415</v>
      </c>
      <c r="E153" s="150" t="s">
        <v>924</v>
      </c>
      <c r="F153" s="71" t="s">
        <v>170</v>
      </c>
      <c r="G153" s="68" t="s">
        <v>2620</v>
      </c>
      <c r="H153" s="386">
        <v>3657</v>
      </c>
      <c r="I153" s="388">
        <v>0</v>
      </c>
      <c r="J153" s="424">
        <v>204</v>
      </c>
      <c r="K153" s="462">
        <v>3861</v>
      </c>
      <c r="L153" s="387">
        <v>297</v>
      </c>
      <c r="M153" s="390">
        <v>0</v>
      </c>
      <c r="N153" s="388">
        <v>0</v>
      </c>
      <c r="O153" s="388">
        <v>0</v>
      </c>
      <c r="P153" s="389">
        <v>3</v>
      </c>
      <c r="Q153" s="387">
        <v>8495</v>
      </c>
      <c r="R153" s="387">
        <v>9893</v>
      </c>
      <c r="S153" s="387">
        <v>35378</v>
      </c>
      <c r="T153" s="388">
        <v>1048</v>
      </c>
      <c r="U153" s="426"/>
      <c r="V153" s="426"/>
      <c r="W153" s="462">
        <v>36723</v>
      </c>
      <c r="X153" s="437"/>
      <c r="Y153" s="387"/>
      <c r="Z153" s="438"/>
      <c r="AA153" s="387"/>
      <c r="AB153" s="462">
        <v>0</v>
      </c>
      <c r="AC153" s="437"/>
      <c r="AD153" s="387"/>
      <c r="AE153" s="387"/>
      <c r="AF153" s="387"/>
      <c r="AG153" s="387"/>
      <c r="AH153" s="387"/>
      <c r="AI153" s="387"/>
      <c r="AJ153" s="462">
        <v>0</v>
      </c>
      <c r="AK153" s="388">
        <v>503.25400000000002</v>
      </c>
      <c r="AL153" s="388">
        <v>202.30799999999999</v>
      </c>
      <c r="AM153" s="388">
        <v>300.94600000000003</v>
      </c>
      <c r="AN153" s="388">
        <v>33.718000000000004</v>
      </c>
      <c r="AO153" s="467">
        <v>0.40199978539663866</v>
      </c>
      <c r="AP153" s="468">
        <v>36756.718000000001</v>
      </c>
      <c r="AQ153" s="468">
        <v>-32895.718000000001</v>
      </c>
      <c r="AR153" s="393"/>
      <c r="AS153" s="394"/>
      <c r="AT153" s="394"/>
      <c r="AU153" s="395"/>
      <c r="AV153" s="471"/>
      <c r="AW153" s="388">
        <v>503254</v>
      </c>
      <c r="AX153" s="424">
        <v>202308</v>
      </c>
      <c r="AY153" s="424">
        <v>300946</v>
      </c>
      <c r="AZ153" s="424">
        <v>33718</v>
      </c>
      <c r="BA153" s="472">
        <v>0.40199978539663866</v>
      </c>
      <c r="BB153" s="453" t="s">
        <v>825</v>
      </c>
      <c r="BC153" s="390" t="s">
        <v>825</v>
      </c>
      <c r="BD153" s="236" t="s">
        <v>825</v>
      </c>
    </row>
    <row r="154" spans="1:56" s="121" customFormat="1" ht="14.25" customHeight="1">
      <c r="A154" s="104">
        <v>2023</v>
      </c>
      <c r="B154" s="105" t="s">
        <v>971</v>
      </c>
      <c r="C154" s="556" t="s">
        <v>981</v>
      </c>
      <c r="D154" s="106" t="s">
        <v>2415</v>
      </c>
      <c r="E154" s="150" t="s">
        <v>929</v>
      </c>
      <c r="F154" s="71" t="s">
        <v>170</v>
      </c>
      <c r="G154" s="68" t="s">
        <v>2620</v>
      </c>
      <c r="H154" s="386">
        <v>7314</v>
      </c>
      <c r="I154" s="388">
        <v>0</v>
      </c>
      <c r="J154" s="424">
        <v>408</v>
      </c>
      <c r="K154" s="462">
        <v>7722</v>
      </c>
      <c r="L154" s="387">
        <v>297</v>
      </c>
      <c r="M154" s="387">
        <v>134</v>
      </c>
      <c r="N154" s="388">
        <v>0</v>
      </c>
      <c r="O154" s="388">
        <v>0</v>
      </c>
      <c r="P154" s="389">
        <v>4</v>
      </c>
      <c r="Q154" s="387">
        <v>8495</v>
      </c>
      <c r="R154" s="387">
        <v>19786</v>
      </c>
      <c r="S154" s="387">
        <v>53766</v>
      </c>
      <c r="T154" s="388">
        <v>2096</v>
      </c>
      <c r="U154" s="426"/>
      <c r="V154" s="426"/>
      <c r="W154" s="462">
        <v>56293</v>
      </c>
      <c r="X154" s="437"/>
      <c r="Y154" s="387"/>
      <c r="Z154" s="438"/>
      <c r="AA154" s="387"/>
      <c r="AB154" s="462">
        <v>0</v>
      </c>
      <c r="AC154" s="437"/>
      <c r="AD154" s="387"/>
      <c r="AE154" s="387"/>
      <c r="AF154" s="387"/>
      <c r="AG154" s="387"/>
      <c r="AH154" s="387"/>
      <c r="AI154" s="387"/>
      <c r="AJ154" s="462">
        <v>0</v>
      </c>
      <c r="AK154" s="388">
        <v>32529</v>
      </c>
      <c r="AL154" s="388">
        <v>19204.445</v>
      </c>
      <c r="AM154" s="388">
        <v>13324.555</v>
      </c>
      <c r="AN154" s="388">
        <v>1477.2650000000001</v>
      </c>
      <c r="AO154" s="467">
        <v>0.59037920009837375</v>
      </c>
      <c r="AP154" s="468">
        <v>57770.264999999999</v>
      </c>
      <c r="AQ154" s="468">
        <v>-50048.264999999999</v>
      </c>
      <c r="AR154" s="393"/>
      <c r="AS154" s="394"/>
      <c r="AT154" s="394"/>
      <c r="AU154" s="395"/>
      <c r="AV154" s="471"/>
      <c r="AW154" s="388">
        <v>32529000</v>
      </c>
      <c r="AX154" s="424">
        <v>19204445</v>
      </c>
      <c r="AY154" s="424">
        <v>13324555</v>
      </c>
      <c r="AZ154" s="424">
        <v>1477265</v>
      </c>
      <c r="BA154" s="472">
        <v>0.59037920009837375</v>
      </c>
      <c r="BB154" s="453" t="s">
        <v>825</v>
      </c>
      <c r="BC154" s="390" t="s">
        <v>825</v>
      </c>
      <c r="BD154" s="236" t="s">
        <v>825</v>
      </c>
    </row>
    <row r="155" spans="1:56" s="121" customFormat="1" ht="14.25" customHeight="1">
      <c r="A155" s="104">
        <v>2023</v>
      </c>
      <c r="B155" s="105" t="s">
        <v>974</v>
      </c>
      <c r="C155" s="556" t="s">
        <v>983</v>
      </c>
      <c r="D155" s="106" t="s">
        <v>2415</v>
      </c>
      <c r="E155" s="150" t="s">
        <v>934</v>
      </c>
      <c r="F155" s="71" t="s">
        <v>170</v>
      </c>
      <c r="G155" s="68" t="s">
        <v>2620</v>
      </c>
      <c r="H155" s="386">
        <v>7314</v>
      </c>
      <c r="I155" s="388">
        <v>0</v>
      </c>
      <c r="J155" s="424">
        <v>408</v>
      </c>
      <c r="K155" s="462">
        <v>7722</v>
      </c>
      <c r="L155" s="387">
        <v>297</v>
      </c>
      <c r="M155" s="390">
        <v>0</v>
      </c>
      <c r="N155" s="388">
        <v>0</v>
      </c>
      <c r="O155" s="387">
        <v>52</v>
      </c>
      <c r="P155" s="389">
        <v>5</v>
      </c>
      <c r="Q155" s="387">
        <v>8495</v>
      </c>
      <c r="R155" s="387">
        <v>19786</v>
      </c>
      <c r="S155" s="387">
        <v>62261</v>
      </c>
      <c r="T155" s="388">
        <v>2096</v>
      </c>
      <c r="U155" s="426"/>
      <c r="V155" s="426"/>
      <c r="W155" s="462">
        <v>64706</v>
      </c>
      <c r="X155" s="437"/>
      <c r="Y155" s="387"/>
      <c r="Z155" s="438"/>
      <c r="AA155" s="387"/>
      <c r="AB155" s="462">
        <v>0</v>
      </c>
      <c r="AC155" s="437"/>
      <c r="AD155" s="387"/>
      <c r="AE155" s="387"/>
      <c r="AF155" s="387"/>
      <c r="AG155" s="387"/>
      <c r="AH155" s="387"/>
      <c r="AI155" s="387"/>
      <c r="AJ155" s="462">
        <v>0</v>
      </c>
      <c r="AK155" s="388">
        <v>897.05</v>
      </c>
      <c r="AL155" s="388">
        <v>120.20399999999999</v>
      </c>
      <c r="AM155" s="388">
        <v>776.846</v>
      </c>
      <c r="AN155" s="388">
        <v>60.101999999999997</v>
      </c>
      <c r="AO155" s="467">
        <v>0.13399921966445572</v>
      </c>
      <c r="AP155" s="468">
        <v>64766.101999999999</v>
      </c>
      <c r="AQ155" s="468">
        <v>-57044.101999999999</v>
      </c>
      <c r="AR155" s="393"/>
      <c r="AS155" s="394"/>
      <c r="AT155" s="394"/>
      <c r="AU155" s="395"/>
      <c r="AV155" s="471"/>
      <c r="AW155" s="388">
        <v>897050</v>
      </c>
      <c r="AX155" s="424">
        <v>120204</v>
      </c>
      <c r="AY155" s="424">
        <v>776846</v>
      </c>
      <c r="AZ155" s="424">
        <v>60102</v>
      </c>
      <c r="BA155" s="472">
        <v>0.13399921966445572</v>
      </c>
      <c r="BB155" s="453" t="s">
        <v>825</v>
      </c>
      <c r="BC155" s="390" t="s">
        <v>825</v>
      </c>
      <c r="BD155" s="236" t="s">
        <v>825</v>
      </c>
    </row>
    <row r="156" spans="1:56" s="121" customFormat="1" ht="14.25" customHeight="1">
      <c r="A156" s="104">
        <v>2023</v>
      </c>
      <c r="B156" s="105" t="s">
        <v>977</v>
      </c>
      <c r="C156" s="556" t="s">
        <v>986</v>
      </c>
      <c r="D156" s="106" t="s">
        <v>2415</v>
      </c>
      <c r="E156" s="150" t="s">
        <v>939</v>
      </c>
      <c r="F156" s="71" t="s">
        <v>170</v>
      </c>
      <c r="G156" s="68" t="s">
        <v>2620</v>
      </c>
      <c r="H156" s="386">
        <v>7314</v>
      </c>
      <c r="I156" s="388">
        <v>0</v>
      </c>
      <c r="J156" s="424">
        <v>408</v>
      </c>
      <c r="K156" s="462">
        <v>7722</v>
      </c>
      <c r="L156" s="387">
        <v>297</v>
      </c>
      <c r="M156" s="390">
        <v>0</v>
      </c>
      <c r="N156" s="388">
        <v>0</v>
      </c>
      <c r="O156" s="387">
        <v>69</v>
      </c>
      <c r="P156" s="389">
        <v>5</v>
      </c>
      <c r="Q156" s="387">
        <v>8495</v>
      </c>
      <c r="R156" s="387">
        <v>19786</v>
      </c>
      <c r="S156" s="387">
        <v>62261</v>
      </c>
      <c r="T156" s="388">
        <v>2096</v>
      </c>
      <c r="U156" s="426"/>
      <c r="V156" s="426"/>
      <c r="W156" s="462">
        <v>64723</v>
      </c>
      <c r="X156" s="437"/>
      <c r="Y156" s="387"/>
      <c r="Z156" s="438"/>
      <c r="AA156" s="387"/>
      <c r="AB156" s="462">
        <v>0</v>
      </c>
      <c r="AC156" s="437"/>
      <c r="AD156" s="387"/>
      <c r="AE156" s="387"/>
      <c r="AF156" s="387"/>
      <c r="AG156" s="387"/>
      <c r="AH156" s="387"/>
      <c r="AI156" s="387"/>
      <c r="AJ156" s="462">
        <v>0</v>
      </c>
      <c r="AK156" s="388">
        <v>0</v>
      </c>
      <c r="AL156" s="388">
        <v>0</v>
      </c>
      <c r="AM156" s="388">
        <v>0</v>
      </c>
      <c r="AN156" s="388">
        <v>0</v>
      </c>
      <c r="AO156" s="467" t="s">
        <v>825</v>
      </c>
      <c r="AP156" s="468">
        <v>64723</v>
      </c>
      <c r="AQ156" s="468">
        <v>-57001</v>
      </c>
      <c r="AR156" s="393"/>
      <c r="AS156" s="394"/>
      <c r="AT156" s="394"/>
      <c r="AU156" s="395"/>
      <c r="AV156" s="471"/>
      <c r="AW156" s="388">
        <v>0</v>
      </c>
      <c r="AX156" s="424">
        <v>0</v>
      </c>
      <c r="AY156" s="424">
        <v>0</v>
      </c>
      <c r="AZ156" s="424">
        <v>0</v>
      </c>
      <c r="BA156" s="472" t="s">
        <v>1966</v>
      </c>
      <c r="BB156" s="453" t="s">
        <v>825</v>
      </c>
      <c r="BC156" s="390" t="s">
        <v>825</v>
      </c>
      <c r="BD156" s="236" t="s">
        <v>825</v>
      </c>
    </row>
    <row r="157" spans="1:56" s="121" customFormat="1" ht="14.25" customHeight="1">
      <c r="A157" s="104">
        <v>2023</v>
      </c>
      <c r="B157" s="105" t="s">
        <v>980</v>
      </c>
      <c r="C157" s="556" t="s">
        <v>989</v>
      </c>
      <c r="D157" s="106" t="s">
        <v>2415</v>
      </c>
      <c r="E157" s="150" t="s">
        <v>990</v>
      </c>
      <c r="F157" s="71" t="s">
        <v>170</v>
      </c>
      <c r="G157" s="68" t="s">
        <v>2187</v>
      </c>
      <c r="H157" s="386"/>
      <c r="I157" s="387"/>
      <c r="J157" s="424">
        <v>598</v>
      </c>
      <c r="K157" s="462">
        <v>598</v>
      </c>
      <c r="L157" s="387">
        <v>10975</v>
      </c>
      <c r="M157" s="387">
        <v>3325</v>
      </c>
      <c r="N157" s="388"/>
      <c r="O157" s="387">
        <v>1999</v>
      </c>
      <c r="P157" s="390">
        <v>1</v>
      </c>
      <c r="Q157" s="387">
        <v>8495</v>
      </c>
      <c r="R157" s="390">
        <v>3846</v>
      </c>
      <c r="S157" s="387">
        <v>12341</v>
      </c>
      <c r="T157" s="388">
        <v>20508</v>
      </c>
      <c r="U157" s="391">
        <v>74</v>
      </c>
      <c r="V157" s="387"/>
      <c r="W157" s="462">
        <v>49222</v>
      </c>
      <c r="X157" s="387"/>
      <c r="Y157" s="387"/>
      <c r="Z157" s="391"/>
      <c r="AA157" s="387"/>
      <c r="AB157" s="462">
        <v>0</v>
      </c>
      <c r="AC157" s="387"/>
      <c r="AD157" s="387"/>
      <c r="AE157" s="388"/>
      <c r="AF157" s="392"/>
      <c r="AG157" s="387"/>
      <c r="AH157" s="388"/>
      <c r="AI157" s="388"/>
      <c r="AJ157" s="462">
        <v>0</v>
      </c>
      <c r="AK157" s="388">
        <v>2623035.0529999998</v>
      </c>
      <c r="AL157" s="388">
        <v>1605642.4310000001</v>
      </c>
      <c r="AM157" s="388">
        <v>1017392.622</v>
      </c>
      <c r="AN157" s="388">
        <v>74285.414999999994</v>
      </c>
      <c r="AO157" s="467">
        <v>0.61213151885393424</v>
      </c>
      <c r="AP157" s="468">
        <v>123507.41499999999</v>
      </c>
      <c r="AQ157" s="468">
        <v>-122909.41499999999</v>
      </c>
      <c r="AR157" s="393"/>
      <c r="AS157" s="394"/>
      <c r="AT157" s="394"/>
      <c r="AU157" s="395"/>
      <c r="AV157" s="471"/>
      <c r="AW157" s="388">
        <v>2623035053</v>
      </c>
      <c r="AX157" s="424">
        <v>1605642431</v>
      </c>
      <c r="AY157" s="424">
        <v>1017392622</v>
      </c>
      <c r="AZ157" s="424">
        <v>74285415</v>
      </c>
      <c r="BA157" s="472">
        <v>0.61213151885393424</v>
      </c>
      <c r="BB157" s="453">
        <v>284684</v>
      </c>
      <c r="BC157" s="390">
        <v>15848</v>
      </c>
      <c r="BD157" s="236">
        <v>0</v>
      </c>
    </row>
    <row r="158" spans="1:56" s="121" customFormat="1" ht="14.25" customHeight="1">
      <c r="A158" s="104">
        <v>2023</v>
      </c>
      <c r="B158" s="105" t="s">
        <v>982</v>
      </c>
      <c r="C158" s="556" t="s">
        <v>998</v>
      </c>
      <c r="D158" s="106" t="s">
        <v>2415</v>
      </c>
      <c r="E158" s="150" t="s">
        <v>999</v>
      </c>
      <c r="F158" s="71" t="s">
        <v>170</v>
      </c>
      <c r="G158" s="68" t="s">
        <v>2187</v>
      </c>
      <c r="H158" s="386"/>
      <c r="I158" s="387"/>
      <c r="J158" s="424">
        <v>467</v>
      </c>
      <c r="K158" s="462">
        <v>467</v>
      </c>
      <c r="L158" s="387">
        <v>8329</v>
      </c>
      <c r="M158" s="387">
        <v>4372</v>
      </c>
      <c r="N158" s="388"/>
      <c r="O158" s="387">
        <v>6324</v>
      </c>
      <c r="P158" s="390">
        <v>1</v>
      </c>
      <c r="Q158" s="387">
        <v>8495</v>
      </c>
      <c r="R158" s="390">
        <v>3716</v>
      </c>
      <c r="S158" s="387">
        <v>12211</v>
      </c>
      <c r="T158" s="388">
        <v>16977</v>
      </c>
      <c r="U158" s="391">
        <v>74</v>
      </c>
      <c r="V158" s="387"/>
      <c r="W158" s="462">
        <v>48287</v>
      </c>
      <c r="X158" s="387"/>
      <c r="Y158" s="387"/>
      <c r="Z158" s="391"/>
      <c r="AA158" s="387"/>
      <c r="AB158" s="462">
        <v>0</v>
      </c>
      <c r="AC158" s="387"/>
      <c r="AD158" s="387"/>
      <c r="AE158" s="388"/>
      <c r="AF158" s="392"/>
      <c r="AG158" s="387"/>
      <c r="AH158" s="388"/>
      <c r="AI158" s="388"/>
      <c r="AJ158" s="462">
        <v>0</v>
      </c>
      <c r="AK158" s="388">
        <v>2619657.7480000001</v>
      </c>
      <c r="AL158" s="388">
        <v>1584208.827</v>
      </c>
      <c r="AM158" s="388">
        <v>1035448.921</v>
      </c>
      <c r="AN158" s="388">
        <v>75842.372000000003</v>
      </c>
      <c r="AO158" s="467">
        <v>0.60473885499335844</v>
      </c>
      <c r="AP158" s="468">
        <v>124129.372</v>
      </c>
      <c r="AQ158" s="468">
        <v>-123662.372</v>
      </c>
      <c r="AR158" s="393"/>
      <c r="AS158" s="394"/>
      <c r="AT158" s="394"/>
      <c r="AU158" s="395"/>
      <c r="AV158" s="471"/>
      <c r="AW158" s="388">
        <v>2619657748</v>
      </c>
      <c r="AX158" s="424">
        <v>1584208827</v>
      </c>
      <c r="AY158" s="424">
        <v>1035448921</v>
      </c>
      <c r="AZ158" s="424">
        <v>75842372</v>
      </c>
      <c r="BA158" s="472">
        <v>0.60473885499335844</v>
      </c>
      <c r="BB158" s="453">
        <v>150130</v>
      </c>
      <c r="BC158" s="390">
        <v>38747</v>
      </c>
      <c r="BD158" s="236">
        <v>0</v>
      </c>
    </row>
    <row r="159" spans="1:56" s="121" customFormat="1" ht="14.25" customHeight="1">
      <c r="A159" s="104">
        <v>2023</v>
      </c>
      <c r="B159" s="105" t="s">
        <v>985</v>
      </c>
      <c r="C159" s="556" t="s">
        <v>1003</v>
      </c>
      <c r="D159" s="106" t="s">
        <v>2415</v>
      </c>
      <c r="E159" s="150" t="s">
        <v>1004</v>
      </c>
      <c r="F159" s="71" t="s">
        <v>170</v>
      </c>
      <c r="G159" s="68" t="s">
        <v>2187</v>
      </c>
      <c r="H159" s="386"/>
      <c r="I159" s="387"/>
      <c r="J159" s="424">
        <v>564</v>
      </c>
      <c r="K159" s="462">
        <v>564</v>
      </c>
      <c r="L159" s="387">
        <v>11500</v>
      </c>
      <c r="M159" s="387">
        <v>4407</v>
      </c>
      <c r="N159" s="388"/>
      <c r="O159" s="387">
        <v>5352</v>
      </c>
      <c r="P159" s="390">
        <v>1</v>
      </c>
      <c r="Q159" s="387">
        <v>8495</v>
      </c>
      <c r="R159" s="390">
        <v>3819</v>
      </c>
      <c r="S159" s="387">
        <v>12314</v>
      </c>
      <c r="T159" s="388">
        <v>20593</v>
      </c>
      <c r="U159" s="391">
        <v>69</v>
      </c>
      <c r="V159" s="387"/>
      <c r="W159" s="462">
        <v>54235</v>
      </c>
      <c r="X159" s="387"/>
      <c r="Y159" s="387"/>
      <c r="Z159" s="391"/>
      <c r="AA159" s="387"/>
      <c r="AB159" s="462">
        <v>0</v>
      </c>
      <c r="AC159" s="387"/>
      <c r="AD159" s="387"/>
      <c r="AE159" s="388"/>
      <c r="AF159" s="392"/>
      <c r="AG159" s="387"/>
      <c r="AH159" s="388"/>
      <c r="AI159" s="388"/>
      <c r="AJ159" s="462">
        <v>0</v>
      </c>
      <c r="AK159" s="388">
        <v>2879344.861</v>
      </c>
      <c r="AL159" s="388">
        <v>1852854.6470000001</v>
      </c>
      <c r="AM159" s="388">
        <v>1026490.214</v>
      </c>
      <c r="AN159" s="388">
        <v>35918.300999999999</v>
      </c>
      <c r="AO159" s="467">
        <v>0.64349869030849649</v>
      </c>
      <c r="AP159" s="468">
        <v>90153.301000000007</v>
      </c>
      <c r="AQ159" s="468">
        <v>-89589.301000000007</v>
      </c>
      <c r="AR159" s="393"/>
      <c r="AS159" s="394"/>
      <c r="AT159" s="394"/>
      <c r="AU159" s="395"/>
      <c r="AV159" s="471"/>
      <c r="AW159" s="388">
        <v>2879344861</v>
      </c>
      <c r="AX159" s="424">
        <v>1852854647</v>
      </c>
      <c r="AY159" s="424">
        <v>1026490214</v>
      </c>
      <c r="AZ159" s="424">
        <v>35918301</v>
      </c>
      <c r="BA159" s="472">
        <v>0.64349869030849649</v>
      </c>
      <c r="BB159" s="453">
        <v>242388</v>
      </c>
      <c r="BC159" s="390">
        <v>42517</v>
      </c>
      <c r="BD159" s="236">
        <v>0</v>
      </c>
    </row>
    <row r="160" spans="1:56" s="121" customFormat="1" ht="14.25" customHeight="1">
      <c r="A160" s="104">
        <v>2023</v>
      </c>
      <c r="B160" s="105" t="s">
        <v>988</v>
      </c>
      <c r="C160" s="556" t="s">
        <v>1008</v>
      </c>
      <c r="D160" s="106" t="s">
        <v>2415</v>
      </c>
      <c r="E160" s="150" t="s">
        <v>1009</v>
      </c>
      <c r="F160" s="71" t="s">
        <v>170</v>
      </c>
      <c r="G160" s="68" t="s">
        <v>2187</v>
      </c>
      <c r="H160" s="386"/>
      <c r="I160" s="387"/>
      <c r="J160" s="424">
        <v>604</v>
      </c>
      <c r="K160" s="462">
        <v>604</v>
      </c>
      <c r="L160" s="387">
        <v>10676</v>
      </c>
      <c r="M160" s="387">
        <v>4430</v>
      </c>
      <c r="N160" s="388"/>
      <c r="O160" s="387">
        <v>4191</v>
      </c>
      <c r="P160" s="390">
        <v>0</v>
      </c>
      <c r="Q160" s="387">
        <v>8495</v>
      </c>
      <c r="R160" s="390">
        <v>9933</v>
      </c>
      <c r="S160" s="387">
        <v>9933</v>
      </c>
      <c r="T160" s="388">
        <v>20074</v>
      </c>
      <c r="U160" s="391">
        <v>50</v>
      </c>
      <c r="V160" s="387"/>
      <c r="W160" s="462">
        <v>49354</v>
      </c>
      <c r="X160" s="387"/>
      <c r="Y160" s="387"/>
      <c r="Z160" s="391"/>
      <c r="AA160" s="387"/>
      <c r="AB160" s="462">
        <v>0</v>
      </c>
      <c r="AC160" s="387"/>
      <c r="AD160" s="387"/>
      <c r="AE160" s="388"/>
      <c r="AF160" s="392"/>
      <c r="AG160" s="387"/>
      <c r="AH160" s="388"/>
      <c r="AI160" s="388"/>
      <c r="AJ160" s="462">
        <v>0</v>
      </c>
      <c r="AK160" s="388">
        <v>1930533.1129999999</v>
      </c>
      <c r="AL160" s="388">
        <v>1639203.7890000001</v>
      </c>
      <c r="AM160" s="388">
        <v>291329.32400000002</v>
      </c>
      <c r="AN160" s="388">
        <v>29602.436000000002</v>
      </c>
      <c r="AO160" s="467">
        <v>0.84909384768475604</v>
      </c>
      <c r="AP160" s="468">
        <v>78956.436000000002</v>
      </c>
      <c r="AQ160" s="468">
        <v>-78352.436000000002</v>
      </c>
      <c r="AR160" s="393"/>
      <c r="AS160" s="394"/>
      <c r="AT160" s="394"/>
      <c r="AU160" s="395"/>
      <c r="AV160" s="471"/>
      <c r="AW160" s="388">
        <v>1930533113</v>
      </c>
      <c r="AX160" s="424">
        <v>1639203789</v>
      </c>
      <c r="AY160" s="424">
        <v>291329324</v>
      </c>
      <c r="AZ160" s="424">
        <v>29602436</v>
      </c>
      <c r="BA160" s="472">
        <v>0.84909384768475604</v>
      </c>
      <c r="BB160" s="453">
        <v>262150</v>
      </c>
      <c r="BC160" s="390">
        <v>25480</v>
      </c>
      <c r="BD160" s="236">
        <v>0</v>
      </c>
    </row>
    <row r="161" spans="1:56" s="121" customFormat="1" ht="14.25" customHeight="1">
      <c r="A161" s="104">
        <v>2023</v>
      </c>
      <c r="B161" s="105" t="s">
        <v>997</v>
      </c>
      <c r="C161" s="556" t="s">
        <v>1013</v>
      </c>
      <c r="D161" s="106" t="s">
        <v>2415</v>
      </c>
      <c r="E161" s="150" t="s">
        <v>1014</v>
      </c>
      <c r="F161" s="71" t="s">
        <v>170</v>
      </c>
      <c r="G161" s="68" t="s">
        <v>2187</v>
      </c>
      <c r="H161" s="386"/>
      <c r="I161" s="387"/>
      <c r="J161" s="424">
        <v>629</v>
      </c>
      <c r="K161" s="462">
        <v>629</v>
      </c>
      <c r="L161" s="387">
        <v>12440</v>
      </c>
      <c r="M161" s="387">
        <v>4868</v>
      </c>
      <c r="N161" s="388"/>
      <c r="O161" s="387">
        <v>3214</v>
      </c>
      <c r="P161" s="390">
        <v>1</v>
      </c>
      <c r="Q161" s="387">
        <v>8495</v>
      </c>
      <c r="R161" s="390">
        <v>7831</v>
      </c>
      <c r="S161" s="387">
        <v>16326</v>
      </c>
      <c r="T161" s="388">
        <v>21941</v>
      </c>
      <c r="U161" s="391">
        <v>74</v>
      </c>
      <c r="V161" s="387"/>
      <c r="W161" s="462">
        <v>58863</v>
      </c>
      <c r="X161" s="387"/>
      <c r="Y161" s="387"/>
      <c r="Z161" s="391"/>
      <c r="AA161" s="387"/>
      <c r="AB161" s="462">
        <v>0</v>
      </c>
      <c r="AC161" s="387"/>
      <c r="AD161" s="387"/>
      <c r="AE161" s="388"/>
      <c r="AF161" s="392"/>
      <c r="AG161" s="387"/>
      <c r="AH161" s="388"/>
      <c r="AI161" s="388"/>
      <c r="AJ161" s="462">
        <v>0</v>
      </c>
      <c r="AK161" s="388">
        <v>2642052.6809999999</v>
      </c>
      <c r="AL161" s="388">
        <v>1905839.493</v>
      </c>
      <c r="AM161" s="388">
        <v>736213.18799999997</v>
      </c>
      <c r="AN161" s="388">
        <v>43251.995000000003</v>
      </c>
      <c r="AO161" s="467">
        <v>0.72134802863910041</v>
      </c>
      <c r="AP161" s="468">
        <v>102114.995</v>
      </c>
      <c r="AQ161" s="468">
        <v>-101485.995</v>
      </c>
      <c r="AR161" s="393"/>
      <c r="AS161" s="394"/>
      <c r="AT161" s="394"/>
      <c r="AU161" s="395"/>
      <c r="AV161" s="471"/>
      <c r="AW161" s="388">
        <v>2642052681</v>
      </c>
      <c r="AX161" s="424">
        <v>1905839493</v>
      </c>
      <c r="AY161" s="424">
        <v>736213188</v>
      </c>
      <c r="AZ161" s="424">
        <v>43251995</v>
      </c>
      <c r="BA161" s="472">
        <v>0.72134802863910041</v>
      </c>
      <c r="BB161" s="453">
        <v>236817</v>
      </c>
      <c r="BC161" s="390">
        <v>35011</v>
      </c>
      <c r="BD161" s="236">
        <v>0</v>
      </c>
    </row>
    <row r="162" spans="1:56" s="121" customFormat="1" ht="14.25" customHeight="1">
      <c r="A162" s="104">
        <v>2023</v>
      </c>
      <c r="B162" s="105" t="s">
        <v>1002</v>
      </c>
      <c r="C162" s="556" t="s">
        <v>1017</v>
      </c>
      <c r="D162" s="106" t="s">
        <v>2415</v>
      </c>
      <c r="E162" s="150" t="s">
        <v>1018</v>
      </c>
      <c r="F162" s="71" t="s">
        <v>170</v>
      </c>
      <c r="G162" s="68" t="s">
        <v>2187</v>
      </c>
      <c r="H162" s="386"/>
      <c r="I162" s="387"/>
      <c r="J162" s="424">
        <v>420</v>
      </c>
      <c r="K162" s="462">
        <v>420</v>
      </c>
      <c r="L162" s="387">
        <v>12695</v>
      </c>
      <c r="M162" s="387">
        <v>4758</v>
      </c>
      <c r="N162" s="388"/>
      <c r="O162" s="387">
        <v>5710</v>
      </c>
      <c r="P162" s="390">
        <v>1</v>
      </c>
      <c r="Q162" s="387">
        <v>8495</v>
      </c>
      <c r="R162" s="390">
        <v>7642</v>
      </c>
      <c r="S162" s="387">
        <v>16137</v>
      </c>
      <c r="T162" s="388">
        <v>17338</v>
      </c>
      <c r="U162" s="391">
        <v>68</v>
      </c>
      <c r="V162" s="387"/>
      <c r="W162" s="462">
        <v>56706</v>
      </c>
      <c r="X162" s="387"/>
      <c r="Y162" s="387"/>
      <c r="Z162" s="391"/>
      <c r="AA162" s="387"/>
      <c r="AB162" s="462">
        <v>0</v>
      </c>
      <c r="AC162" s="387"/>
      <c r="AD162" s="387"/>
      <c r="AE162" s="388"/>
      <c r="AF162" s="392"/>
      <c r="AG162" s="387"/>
      <c r="AH162" s="388"/>
      <c r="AI162" s="388"/>
      <c r="AJ162" s="462">
        <v>0</v>
      </c>
      <c r="AK162" s="388">
        <v>2471301.7919999999</v>
      </c>
      <c r="AL162" s="388">
        <v>1824105.963</v>
      </c>
      <c r="AM162" s="388">
        <v>647195.82900000003</v>
      </c>
      <c r="AN162" s="388">
        <v>35065.343000000001</v>
      </c>
      <c r="AO162" s="467">
        <v>0.73811542115371076</v>
      </c>
      <c r="AP162" s="468">
        <v>91771.342999999993</v>
      </c>
      <c r="AQ162" s="468">
        <v>-91351.342999999993</v>
      </c>
      <c r="AR162" s="393"/>
      <c r="AS162" s="394"/>
      <c r="AT162" s="394"/>
      <c r="AU162" s="395"/>
      <c r="AV162" s="471"/>
      <c r="AW162" s="388">
        <v>2471301792</v>
      </c>
      <c r="AX162" s="424">
        <v>1824105963</v>
      </c>
      <c r="AY162" s="424">
        <v>647195829</v>
      </c>
      <c r="AZ162" s="424">
        <v>35065343</v>
      </c>
      <c r="BA162" s="472">
        <v>0.73811542115371076</v>
      </c>
      <c r="BB162" s="453">
        <v>258586</v>
      </c>
      <c r="BC162" s="390">
        <v>49041</v>
      </c>
      <c r="BD162" s="236">
        <v>0</v>
      </c>
    </row>
    <row r="163" spans="1:56" s="121" customFormat="1" ht="14.25" customHeight="1">
      <c r="A163" s="104">
        <v>2023</v>
      </c>
      <c r="B163" s="105" t="s">
        <v>1007</v>
      </c>
      <c r="C163" s="556" t="s">
        <v>1022</v>
      </c>
      <c r="D163" s="106" t="s">
        <v>2415</v>
      </c>
      <c r="E163" s="150" t="s">
        <v>1023</v>
      </c>
      <c r="F163" s="71" t="s">
        <v>170</v>
      </c>
      <c r="G163" s="68" t="s">
        <v>2187</v>
      </c>
      <c r="H163" s="386"/>
      <c r="I163" s="387"/>
      <c r="J163" s="424">
        <v>422</v>
      </c>
      <c r="K163" s="462">
        <v>422</v>
      </c>
      <c r="L163" s="387">
        <v>13584</v>
      </c>
      <c r="M163" s="387">
        <v>4752</v>
      </c>
      <c r="N163" s="388"/>
      <c r="O163" s="387">
        <v>4468</v>
      </c>
      <c r="P163" s="390">
        <v>1</v>
      </c>
      <c r="Q163" s="387">
        <v>8495</v>
      </c>
      <c r="R163" s="390">
        <v>3717</v>
      </c>
      <c r="S163" s="387">
        <v>12212</v>
      </c>
      <c r="T163" s="388">
        <v>17758</v>
      </c>
      <c r="U163" s="391">
        <v>72</v>
      </c>
      <c r="V163" s="387"/>
      <c r="W163" s="462">
        <v>52846</v>
      </c>
      <c r="X163" s="387"/>
      <c r="Y163" s="387"/>
      <c r="Z163" s="391"/>
      <c r="AA163" s="387"/>
      <c r="AB163" s="462">
        <v>0</v>
      </c>
      <c r="AC163" s="387"/>
      <c r="AD163" s="387"/>
      <c r="AE163" s="388"/>
      <c r="AF163" s="392"/>
      <c r="AG163" s="387"/>
      <c r="AH163" s="388"/>
      <c r="AI163" s="388"/>
      <c r="AJ163" s="462">
        <v>0</v>
      </c>
      <c r="AK163" s="388">
        <v>2209196.9389999998</v>
      </c>
      <c r="AL163" s="388">
        <v>1469817.149</v>
      </c>
      <c r="AM163" s="388">
        <v>739379.79</v>
      </c>
      <c r="AN163" s="388">
        <v>54543.067000000003</v>
      </c>
      <c r="AO163" s="467">
        <v>0.66531739341686635</v>
      </c>
      <c r="AP163" s="468">
        <v>107389.06700000001</v>
      </c>
      <c r="AQ163" s="468">
        <v>-106967.06700000001</v>
      </c>
      <c r="AR163" s="393"/>
      <c r="AS163" s="394"/>
      <c r="AT163" s="394"/>
      <c r="AU163" s="395"/>
      <c r="AV163" s="471"/>
      <c r="AW163" s="388">
        <v>2209196939</v>
      </c>
      <c r="AX163" s="424">
        <v>1469817149</v>
      </c>
      <c r="AY163" s="424">
        <v>739379790</v>
      </c>
      <c r="AZ163" s="424">
        <v>54543067</v>
      </c>
      <c r="BA163" s="472">
        <v>0.66531739341686635</v>
      </c>
      <c r="BB163" s="453">
        <v>346562</v>
      </c>
      <c r="BC163" s="390">
        <v>42247</v>
      </c>
      <c r="BD163" s="236">
        <v>0</v>
      </c>
    </row>
    <row r="164" spans="1:56" s="121" customFormat="1" ht="14.25" customHeight="1">
      <c r="A164" s="104">
        <v>2023</v>
      </c>
      <c r="B164" s="105" t="s">
        <v>1012</v>
      </c>
      <c r="C164" s="556" t="s">
        <v>1026</v>
      </c>
      <c r="D164" s="106" t="s">
        <v>2415</v>
      </c>
      <c r="E164" s="150" t="s">
        <v>1027</v>
      </c>
      <c r="F164" s="71" t="s">
        <v>170</v>
      </c>
      <c r="G164" s="68" t="s">
        <v>2187</v>
      </c>
      <c r="H164" s="386"/>
      <c r="I164" s="387"/>
      <c r="J164" s="424">
        <v>285</v>
      </c>
      <c r="K164" s="462">
        <v>285</v>
      </c>
      <c r="L164" s="387">
        <v>7493</v>
      </c>
      <c r="M164" s="387">
        <v>3549</v>
      </c>
      <c r="N164" s="388"/>
      <c r="O164" s="387">
        <v>1038</v>
      </c>
      <c r="P164" s="390">
        <v>1</v>
      </c>
      <c r="Q164" s="387">
        <v>8495</v>
      </c>
      <c r="R164" s="390">
        <v>3716</v>
      </c>
      <c r="S164" s="387">
        <v>12211</v>
      </c>
      <c r="T164" s="388">
        <v>12701</v>
      </c>
      <c r="U164" s="391"/>
      <c r="V164" s="387"/>
      <c r="W164" s="462">
        <v>36992</v>
      </c>
      <c r="X164" s="387"/>
      <c r="Y164" s="387"/>
      <c r="Z164" s="391"/>
      <c r="AA164" s="387"/>
      <c r="AB164" s="462">
        <v>0</v>
      </c>
      <c r="AC164" s="387"/>
      <c r="AD164" s="387"/>
      <c r="AE164" s="388"/>
      <c r="AF164" s="392"/>
      <c r="AG164" s="387"/>
      <c r="AH164" s="388"/>
      <c r="AI164" s="388"/>
      <c r="AJ164" s="462">
        <v>0</v>
      </c>
      <c r="AK164" s="388">
        <v>2429241.6150000002</v>
      </c>
      <c r="AL164" s="388">
        <v>1472349.909</v>
      </c>
      <c r="AM164" s="388">
        <v>956891.70600000001</v>
      </c>
      <c r="AN164" s="388">
        <v>87426.807000000001</v>
      </c>
      <c r="AO164" s="467">
        <v>0.6060944699401587</v>
      </c>
      <c r="AP164" s="468">
        <v>124418.807</v>
      </c>
      <c r="AQ164" s="468">
        <v>-124133.807</v>
      </c>
      <c r="AR164" s="393"/>
      <c r="AS164" s="394"/>
      <c r="AT164" s="394"/>
      <c r="AU164" s="395"/>
      <c r="AV164" s="471"/>
      <c r="AW164" s="388">
        <v>2429241615</v>
      </c>
      <c r="AX164" s="424">
        <v>1472349909</v>
      </c>
      <c r="AY164" s="424">
        <v>956891706</v>
      </c>
      <c r="AZ164" s="424">
        <v>87426807</v>
      </c>
      <c r="BA164" s="472">
        <v>0.6060944699401587</v>
      </c>
      <c r="BB164" s="453">
        <v>174295</v>
      </c>
      <c r="BC164" s="390">
        <v>25877</v>
      </c>
      <c r="BD164" s="236">
        <v>0</v>
      </c>
    </row>
    <row r="165" spans="1:56" s="121" customFormat="1" ht="14.25" customHeight="1">
      <c r="A165" s="104">
        <v>2023</v>
      </c>
      <c r="B165" s="105" t="s">
        <v>1016</v>
      </c>
      <c r="C165" s="556" t="s">
        <v>1030</v>
      </c>
      <c r="D165" s="106" t="s">
        <v>2415</v>
      </c>
      <c r="E165" s="150" t="s">
        <v>1031</v>
      </c>
      <c r="F165" s="71" t="s">
        <v>170</v>
      </c>
      <c r="G165" s="68" t="s">
        <v>2187</v>
      </c>
      <c r="H165" s="386">
        <v>82269</v>
      </c>
      <c r="I165" s="387">
        <v>0</v>
      </c>
      <c r="J165" s="424">
        <v>1146</v>
      </c>
      <c r="K165" s="462">
        <v>83415</v>
      </c>
      <c r="L165" s="387">
        <v>14696</v>
      </c>
      <c r="M165" s="387">
        <v>5122</v>
      </c>
      <c r="N165" s="388">
        <v>0</v>
      </c>
      <c r="O165" s="387">
        <v>4014</v>
      </c>
      <c r="P165" s="390">
        <v>60</v>
      </c>
      <c r="Q165" s="387">
        <v>8495</v>
      </c>
      <c r="R165" s="390">
        <v>19886</v>
      </c>
      <c r="S165" s="387">
        <v>529586</v>
      </c>
      <c r="T165" s="388">
        <v>41471</v>
      </c>
      <c r="U165" s="391"/>
      <c r="V165" s="387"/>
      <c r="W165" s="462">
        <v>594889</v>
      </c>
      <c r="X165" s="387"/>
      <c r="Y165" s="387"/>
      <c r="Z165" s="391"/>
      <c r="AA165" s="387"/>
      <c r="AB165" s="462">
        <v>0</v>
      </c>
      <c r="AC165" s="387"/>
      <c r="AD165" s="387"/>
      <c r="AE165" s="388"/>
      <c r="AF165" s="392"/>
      <c r="AG165" s="387"/>
      <c r="AH165" s="388"/>
      <c r="AI165" s="388"/>
      <c r="AJ165" s="462">
        <v>0</v>
      </c>
      <c r="AK165" s="388">
        <v>3027922.9670000002</v>
      </c>
      <c r="AL165" s="388">
        <v>2146354.25</v>
      </c>
      <c r="AM165" s="388">
        <v>881568.71699999995</v>
      </c>
      <c r="AN165" s="388">
        <v>48937.152000000002</v>
      </c>
      <c r="AO165" s="467">
        <v>0.70885365096542097</v>
      </c>
      <c r="AP165" s="468">
        <v>643826.152</v>
      </c>
      <c r="AQ165" s="468">
        <v>-560411.152</v>
      </c>
      <c r="AR165" s="393"/>
      <c r="AS165" s="394"/>
      <c r="AT165" s="394"/>
      <c r="AU165" s="395"/>
      <c r="AV165" s="471"/>
      <c r="AW165" s="388">
        <v>3027922967</v>
      </c>
      <c r="AX165" s="424">
        <v>2146354250</v>
      </c>
      <c r="AY165" s="424">
        <v>881568717</v>
      </c>
      <c r="AZ165" s="424">
        <v>48937152</v>
      </c>
      <c r="BA165" s="472">
        <v>0.70885365096542097</v>
      </c>
      <c r="BB165" s="453">
        <v>374488</v>
      </c>
      <c r="BC165" s="390">
        <v>2808</v>
      </c>
      <c r="BD165" s="236">
        <v>0</v>
      </c>
    </row>
    <row r="166" spans="1:56" s="121" customFormat="1" ht="14.25" customHeight="1">
      <c r="A166" s="104">
        <v>2023</v>
      </c>
      <c r="B166" s="105" t="s">
        <v>1021</v>
      </c>
      <c r="C166" s="556" t="s">
        <v>1038</v>
      </c>
      <c r="D166" s="106" t="s">
        <v>2415</v>
      </c>
      <c r="E166" s="150" t="s">
        <v>1039</v>
      </c>
      <c r="F166" s="71" t="s">
        <v>170</v>
      </c>
      <c r="G166" s="68" t="s">
        <v>2187</v>
      </c>
      <c r="H166" s="386"/>
      <c r="I166" s="387"/>
      <c r="J166" s="424"/>
      <c r="K166" s="462">
        <v>0</v>
      </c>
      <c r="L166" s="387"/>
      <c r="M166" s="387"/>
      <c r="N166" s="388"/>
      <c r="O166" s="392"/>
      <c r="P166" s="390"/>
      <c r="Q166" s="387">
        <v>8495</v>
      </c>
      <c r="R166" s="390"/>
      <c r="S166" s="387">
        <v>0</v>
      </c>
      <c r="T166" s="388"/>
      <c r="U166" s="391"/>
      <c r="V166" s="387"/>
      <c r="W166" s="462">
        <v>0</v>
      </c>
      <c r="X166" s="387"/>
      <c r="Y166" s="387"/>
      <c r="Z166" s="391"/>
      <c r="AA166" s="387"/>
      <c r="AB166" s="462">
        <v>0</v>
      </c>
      <c r="AC166" s="387"/>
      <c r="AD166" s="387"/>
      <c r="AE166" s="388"/>
      <c r="AF166" s="392"/>
      <c r="AG166" s="387"/>
      <c r="AH166" s="388"/>
      <c r="AI166" s="388"/>
      <c r="AJ166" s="462">
        <v>0</v>
      </c>
      <c r="AK166" s="388">
        <v>1034894.096</v>
      </c>
      <c r="AL166" s="388">
        <v>730976.81</v>
      </c>
      <c r="AM166" s="388">
        <v>303917.28600000002</v>
      </c>
      <c r="AN166" s="388">
        <v>16796.429</v>
      </c>
      <c r="AO166" s="467">
        <v>0.706330061042304</v>
      </c>
      <c r="AP166" s="468">
        <v>16796.429</v>
      </c>
      <c r="AQ166" s="468">
        <v>-16796.429</v>
      </c>
      <c r="AR166" s="393"/>
      <c r="AS166" s="394"/>
      <c r="AT166" s="394"/>
      <c r="AU166" s="395"/>
      <c r="AV166" s="471"/>
      <c r="AW166" s="388">
        <v>1034894096</v>
      </c>
      <c r="AX166" s="424">
        <v>730976810</v>
      </c>
      <c r="AY166" s="424">
        <v>303917286</v>
      </c>
      <c r="AZ166" s="424">
        <v>16796429</v>
      </c>
      <c r="BA166" s="472">
        <v>0.706330061042304</v>
      </c>
      <c r="BB166" s="453">
        <v>163181</v>
      </c>
      <c r="BC166" s="390">
        <v>4537</v>
      </c>
      <c r="BD166" s="236">
        <v>0</v>
      </c>
    </row>
    <row r="167" spans="1:56" s="121" customFormat="1" ht="14.25" customHeight="1">
      <c r="A167" s="104">
        <v>2023</v>
      </c>
      <c r="B167" s="105" t="s">
        <v>1025</v>
      </c>
      <c r="C167" s="556" t="s">
        <v>2604</v>
      </c>
      <c r="D167" s="106" t="s">
        <v>2415</v>
      </c>
      <c r="E167" s="150" t="s">
        <v>1045</v>
      </c>
      <c r="F167" s="71" t="s">
        <v>170</v>
      </c>
      <c r="G167" s="68" t="s">
        <v>1046</v>
      </c>
      <c r="H167" s="386">
        <v>0</v>
      </c>
      <c r="I167" s="387">
        <v>684</v>
      </c>
      <c r="J167" s="424">
        <v>0</v>
      </c>
      <c r="K167" s="462">
        <v>684</v>
      </c>
      <c r="L167" s="387">
        <v>41324</v>
      </c>
      <c r="M167" s="387">
        <v>19062</v>
      </c>
      <c r="N167" s="388">
        <v>0</v>
      </c>
      <c r="O167" s="387">
        <v>8573</v>
      </c>
      <c r="P167" s="389">
        <v>9</v>
      </c>
      <c r="Q167" s="387">
        <v>8495</v>
      </c>
      <c r="R167" s="390">
        <v>103328</v>
      </c>
      <c r="S167" s="387">
        <v>179783</v>
      </c>
      <c r="T167" s="388">
        <v>680334</v>
      </c>
      <c r="U167" s="391">
        <v>23682</v>
      </c>
      <c r="V167" s="387"/>
      <c r="W167" s="462">
        <v>952758</v>
      </c>
      <c r="X167" s="387"/>
      <c r="Y167" s="387"/>
      <c r="Z167" s="391"/>
      <c r="AA167" s="387"/>
      <c r="AB167" s="462">
        <v>0</v>
      </c>
      <c r="AC167" s="387"/>
      <c r="AD167" s="387"/>
      <c r="AE167" s="388"/>
      <c r="AF167" s="392"/>
      <c r="AG167" s="387"/>
      <c r="AH167" s="388"/>
      <c r="AI167" s="388"/>
      <c r="AJ167" s="462">
        <v>0</v>
      </c>
      <c r="AK167" s="388">
        <v>1768279.8770000001</v>
      </c>
      <c r="AL167" s="388">
        <v>1349021.1170000001</v>
      </c>
      <c r="AM167" s="388">
        <v>419258.76</v>
      </c>
      <c r="AN167" s="388">
        <v>52513.885999999999</v>
      </c>
      <c r="AO167" s="467">
        <v>0.76290022555066372</v>
      </c>
      <c r="AP167" s="468">
        <v>1005271.8859999999</v>
      </c>
      <c r="AQ167" s="468">
        <v>-1004587.8859999999</v>
      </c>
      <c r="AR167" s="393"/>
      <c r="AS167" s="394"/>
      <c r="AT167" s="394"/>
      <c r="AU167" s="395"/>
      <c r="AV167" s="471"/>
      <c r="AW167" s="388">
        <v>1768279877</v>
      </c>
      <c r="AX167" s="424">
        <v>1349021117</v>
      </c>
      <c r="AY167" s="424">
        <v>419258760</v>
      </c>
      <c r="AZ167" s="424">
        <v>52513886</v>
      </c>
      <c r="BA167" s="472">
        <v>0.76290022555066372</v>
      </c>
      <c r="BB167" s="453">
        <v>482146</v>
      </c>
      <c r="BC167" s="390">
        <v>230054</v>
      </c>
      <c r="BD167" s="236">
        <v>0</v>
      </c>
    </row>
    <row r="168" spans="1:56" s="121" customFormat="1" ht="14.25" customHeight="1">
      <c r="A168" s="104">
        <v>2023</v>
      </c>
      <c r="B168" s="105" t="s">
        <v>1029</v>
      </c>
      <c r="C168" s="556" t="s">
        <v>2705</v>
      </c>
      <c r="D168" s="106" t="s">
        <v>2415</v>
      </c>
      <c r="E168" s="150" t="s">
        <v>2133</v>
      </c>
      <c r="F168" s="71" t="s">
        <v>170</v>
      </c>
      <c r="G168" s="68" t="s">
        <v>2452</v>
      </c>
      <c r="H168" s="386"/>
      <c r="I168" s="387">
        <v>610</v>
      </c>
      <c r="J168" s="424"/>
      <c r="K168" s="462">
        <v>610</v>
      </c>
      <c r="L168" s="387">
        <v>42186</v>
      </c>
      <c r="M168" s="387">
        <v>12524</v>
      </c>
      <c r="N168" s="388"/>
      <c r="O168" s="387">
        <v>3658</v>
      </c>
      <c r="P168" s="389">
        <v>2</v>
      </c>
      <c r="Q168" s="387">
        <v>8495</v>
      </c>
      <c r="R168" s="390">
        <v>1932</v>
      </c>
      <c r="S168" s="387">
        <v>18922</v>
      </c>
      <c r="T168" s="388">
        <v>459236</v>
      </c>
      <c r="U168" s="391">
        <v>87</v>
      </c>
      <c r="V168" s="387"/>
      <c r="W168" s="462">
        <v>536613</v>
      </c>
      <c r="X168" s="387"/>
      <c r="Y168" s="387"/>
      <c r="Z168" s="391"/>
      <c r="AA168" s="387"/>
      <c r="AB168" s="462">
        <v>0</v>
      </c>
      <c r="AC168" s="387"/>
      <c r="AD168" s="387"/>
      <c r="AE168" s="388"/>
      <c r="AF168" s="392"/>
      <c r="AG168" s="387"/>
      <c r="AH168" s="388"/>
      <c r="AI168" s="388"/>
      <c r="AJ168" s="462">
        <v>0</v>
      </c>
      <c r="AK168" s="388">
        <v>1826821.0870000001</v>
      </c>
      <c r="AL168" s="388">
        <v>569936.27899999998</v>
      </c>
      <c r="AM168" s="388">
        <v>1256884.808</v>
      </c>
      <c r="AN168" s="388">
        <v>94823.922999999995</v>
      </c>
      <c r="AO168" s="467">
        <v>0.31198253789370672</v>
      </c>
      <c r="AP168" s="468">
        <v>631436.92299999995</v>
      </c>
      <c r="AQ168" s="468">
        <v>-630826.92299999995</v>
      </c>
      <c r="AR168" s="393"/>
      <c r="AS168" s="394"/>
      <c r="AT168" s="394"/>
      <c r="AU168" s="395"/>
      <c r="AV168" s="471"/>
      <c r="AW168" s="388">
        <v>1826821087</v>
      </c>
      <c r="AX168" s="424">
        <v>569936279</v>
      </c>
      <c r="AY168" s="424">
        <v>1256884808</v>
      </c>
      <c r="AZ168" s="424">
        <v>94823923</v>
      </c>
      <c r="BA168" s="472">
        <v>0.31198253789370672</v>
      </c>
      <c r="BB168" s="453">
        <v>487875</v>
      </c>
      <c r="BC168" s="390">
        <v>0</v>
      </c>
      <c r="BD168" s="236">
        <v>67624</v>
      </c>
    </row>
    <row r="169" spans="1:56" s="121" customFormat="1" ht="14.25" customHeight="1">
      <c r="A169" s="104">
        <v>2023</v>
      </c>
      <c r="B169" s="105" t="s">
        <v>1037</v>
      </c>
      <c r="C169" s="556" t="s">
        <v>1055</v>
      </c>
      <c r="D169" s="106" t="s">
        <v>2415</v>
      </c>
      <c r="E169" s="150" t="s">
        <v>1056</v>
      </c>
      <c r="F169" s="71" t="s">
        <v>170</v>
      </c>
      <c r="G169" s="70" t="s">
        <v>2188</v>
      </c>
      <c r="H169" s="386">
        <v>23587</v>
      </c>
      <c r="I169" s="387">
        <v>59</v>
      </c>
      <c r="J169" s="424">
        <v>6556</v>
      </c>
      <c r="K169" s="462">
        <v>30202</v>
      </c>
      <c r="L169" s="387">
        <v>7081</v>
      </c>
      <c r="M169" s="387">
        <v>999</v>
      </c>
      <c r="N169" s="388"/>
      <c r="O169" s="392">
        <v>126</v>
      </c>
      <c r="P169" s="390">
        <v>24</v>
      </c>
      <c r="Q169" s="387">
        <v>8495</v>
      </c>
      <c r="R169" s="390">
        <v>74580</v>
      </c>
      <c r="S169" s="387">
        <v>278460</v>
      </c>
      <c r="T169" s="388">
        <v>17139</v>
      </c>
      <c r="U169" s="426"/>
      <c r="V169" s="387"/>
      <c r="W169" s="462">
        <v>303805</v>
      </c>
      <c r="X169" s="387"/>
      <c r="Y169" s="387"/>
      <c r="Z169" s="391"/>
      <c r="AA169" s="387"/>
      <c r="AB169" s="462">
        <v>0</v>
      </c>
      <c r="AC169" s="387"/>
      <c r="AD169" s="387"/>
      <c r="AE169" s="388"/>
      <c r="AF169" s="392"/>
      <c r="AG169" s="387"/>
      <c r="AH169" s="388"/>
      <c r="AI169" s="388"/>
      <c r="AJ169" s="462">
        <v>0</v>
      </c>
      <c r="AK169" s="388">
        <v>441504.21</v>
      </c>
      <c r="AL169" s="388">
        <v>166537.758</v>
      </c>
      <c r="AM169" s="388">
        <v>274966.45199999999</v>
      </c>
      <c r="AN169" s="388">
        <v>725.21900000000005</v>
      </c>
      <c r="AO169" s="467">
        <v>0.37720536798505272</v>
      </c>
      <c r="AP169" s="468">
        <v>304530.21899999998</v>
      </c>
      <c r="AQ169" s="468">
        <v>-274328.21899999998</v>
      </c>
      <c r="AR169" s="393"/>
      <c r="AS169" s="394"/>
      <c r="AT169" s="394"/>
      <c r="AU169" s="395"/>
      <c r="AV169" s="471"/>
      <c r="AW169" s="388">
        <v>441504210</v>
      </c>
      <c r="AX169" s="424">
        <v>166537758</v>
      </c>
      <c r="AY169" s="424">
        <v>274966452</v>
      </c>
      <c r="AZ169" s="424">
        <v>725219</v>
      </c>
      <c r="BA169" s="472">
        <v>0.37720536798505272</v>
      </c>
      <c r="BB169" s="453">
        <v>22977</v>
      </c>
      <c r="BC169" s="390">
        <v>7944</v>
      </c>
      <c r="BD169" s="236">
        <v>0</v>
      </c>
    </row>
    <row r="170" spans="1:56" s="121" customFormat="1" ht="14.25" customHeight="1">
      <c r="A170" s="104">
        <v>2023</v>
      </c>
      <c r="B170" s="105" t="s">
        <v>1043</v>
      </c>
      <c r="C170" s="556" t="s">
        <v>1071</v>
      </c>
      <c r="D170" s="106" t="s">
        <v>2415</v>
      </c>
      <c r="E170" s="150" t="s">
        <v>1072</v>
      </c>
      <c r="F170" s="71" t="s">
        <v>170</v>
      </c>
      <c r="G170" s="70" t="s">
        <v>2188</v>
      </c>
      <c r="H170" s="386">
        <v>15993</v>
      </c>
      <c r="I170" s="387">
        <v>59</v>
      </c>
      <c r="J170" s="424">
        <v>7539</v>
      </c>
      <c r="K170" s="462">
        <v>23591</v>
      </c>
      <c r="L170" s="387">
        <v>5402</v>
      </c>
      <c r="M170" s="387">
        <v>2545</v>
      </c>
      <c r="N170" s="388"/>
      <c r="O170" s="392">
        <v>577</v>
      </c>
      <c r="P170" s="390">
        <v>22</v>
      </c>
      <c r="Q170" s="387">
        <v>8495</v>
      </c>
      <c r="R170" s="390">
        <v>52325</v>
      </c>
      <c r="S170" s="387">
        <v>239215</v>
      </c>
      <c r="T170" s="388">
        <v>16967</v>
      </c>
      <c r="U170" s="426"/>
      <c r="V170" s="387"/>
      <c r="W170" s="462">
        <v>264706</v>
      </c>
      <c r="X170" s="387"/>
      <c r="Y170" s="387"/>
      <c r="Z170" s="391"/>
      <c r="AA170" s="387"/>
      <c r="AB170" s="462">
        <v>0</v>
      </c>
      <c r="AC170" s="387"/>
      <c r="AD170" s="387"/>
      <c r="AE170" s="388"/>
      <c r="AF170" s="392"/>
      <c r="AG170" s="387"/>
      <c r="AH170" s="388"/>
      <c r="AI170" s="388"/>
      <c r="AJ170" s="462">
        <v>0</v>
      </c>
      <c r="AK170" s="388">
        <v>443194.5</v>
      </c>
      <c r="AL170" s="388">
        <v>168105.38800000001</v>
      </c>
      <c r="AM170" s="388">
        <v>275089.11200000002</v>
      </c>
      <c r="AN170" s="388">
        <v>15282.308000000001</v>
      </c>
      <c r="AO170" s="467">
        <v>0.37930386771496488</v>
      </c>
      <c r="AP170" s="468">
        <v>279988.30800000002</v>
      </c>
      <c r="AQ170" s="468">
        <v>-256397.30800000002</v>
      </c>
      <c r="AR170" s="393"/>
      <c r="AS170" s="394"/>
      <c r="AT170" s="394"/>
      <c r="AU170" s="395"/>
      <c r="AV170" s="471"/>
      <c r="AW170" s="388">
        <v>443194500</v>
      </c>
      <c r="AX170" s="424">
        <v>168105388</v>
      </c>
      <c r="AY170" s="424">
        <v>275089112</v>
      </c>
      <c r="AZ170" s="424">
        <v>15282308</v>
      </c>
      <c r="BA170" s="472">
        <v>0.37930386771496488</v>
      </c>
      <c r="BB170" s="453">
        <v>59475</v>
      </c>
      <c r="BC170" s="390">
        <v>21683</v>
      </c>
      <c r="BD170" s="236">
        <v>0</v>
      </c>
    </row>
    <row r="171" spans="1:56" s="121" customFormat="1" ht="14.25" customHeight="1">
      <c r="A171" s="104">
        <v>2023</v>
      </c>
      <c r="B171" s="105" t="s">
        <v>1054</v>
      </c>
      <c r="C171" s="556" t="s">
        <v>1077</v>
      </c>
      <c r="D171" s="106" t="s">
        <v>2415</v>
      </c>
      <c r="E171" s="150" t="s">
        <v>1078</v>
      </c>
      <c r="F171" s="71" t="s">
        <v>170</v>
      </c>
      <c r="G171" s="70" t="s">
        <v>2188</v>
      </c>
      <c r="H171" s="386">
        <v>21856</v>
      </c>
      <c r="I171" s="387">
        <v>59</v>
      </c>
      <c r="J171" s="424">
        <v>7203</v>
      </c>
      <c r="K171" s="462">
        <v>29118</v>
      </c>
      <c r="L171" s="387">
        <v>5453</v>
      </c>
      <c r="M171" s="387">
        <v>1395</v>
      </c>
      <c r="N171" s="388"/>
      <c r="O171" s="392">
        <v>2704</v>
      </c>
      <c r="P171" s="390">
        <v>21</v>
      </c>
      <c r="Q171" s="387">
        <v>8495</v>
      </c>
      <c r="R171" s="390">
        <v>52186</v>
      </c>
      <c r="S171" s="387">
        <v>230581</v>
      </c>
      <c r="T171" s="388">
        <v>17305</v>
      </c>
      <c r="U171" s="426"/>
      <c r="V171" s="387"/>
      <c r="W171" s="462">
        <v>257438</v>
      </c>
      <c r="X171" s="387"/>
      <c r="Y171" s="387"/>
      <c r="Z171" s="391"/>
      <c r="AA171" s="387"/>
      <c r="AB171" s="462">
        <v>0</v>
      </c>
      <c r="AC171" s="387"/>
      <c r="AD171" s="387"/>
      <c r="AE171" s="388"/>
      <c r="AF171" s="392"/>
      <c r="AG171" s="387"/>
      <c r="AH171" s="388"/>
      <c r="AI171" s="388"/>
      <c r="AJ171" s="462">
        <v>0</v>
      </c>
      <c r="AK171" s="388">
        <v>154146.09700000001</v>
      </c>
      <c r="AL171" s="388">
        <v>117172.057</v>
      </c>
      <c r="AM171" s="388">
        <v>36974.04</v>
      </c>
      <c r="AN171" s="388">
        <v>1873.7329999999999</v>
      </c>
      <c r="AO171" s="467">
        <v>0.76013638541882766</v>
      </c>
      <c r="AP171" s="468">
        <v>259311.73300000001</v>
      </c>
      <c r="AQ171" s="468">
        <v>-230193.73300000001</v>
      </c>
      <c r="AR171" s="393"/>
      <c r="AS171" s="394"/>
      <c r="AT171" s="394"/>
      <c r="AU171" s="395"/>
      <c r="AV171" s="471"/>
      <c r="AW171" s="388">
        <v>154146097</v>
      </c>
      <c r="AX171" s="424">
        <v>117172057</v>
      </c>
      <c r="AY171" s="424">
        <v>36974040</v>
      </c>
      <c r="AZ171" s="424">
        <v>1873733</v>
      </c>
      <c r="BA171" s="472">
        <v>0.76013638541882766</v>
      </c>
      <c r="BB171" s="453">
        <v>118091</v>
      </c>
      <c r="BC171" s="390">
        <v>0</v>
      </c>
      <c r="BD171" s="236">
        <v>2257.9</v>
      </c>
    </row>
    <row r="172" spans="1:56" s="121" customFormat="1" ht="14.25" customHeight="1">
      <c r="A172" s="104">
        <v>2023</v>
      </c>
      <c r="B172" s="105" t="s">
        <v>1067</v>
      </c>
      <c r="C172" s="556" t="s">
        <v>1083</v>
      </c>
      <c r="D172" s="106" t="s">
        <v>2415</v>
      </c>
      <c r="E172" s="150" t="s">
        <v>1084</v>
      </c>
      <c r="F172" s="71" t="s">
        <v>170</v>
      </c>
      <c r="G172" s="70" t="s">
        <v>2188</v>
      </c>
      <c r="H172" s="386">
        <v>18277</v>
      </c>
      <c r="I172" s="387">
        <v>59</v>
      </c>
      <c r="J172" s="424">
        <v>5835</v>
      </c>
      <c r="K172" s="462">
        <v>24171</v>
      </c>
      <c r="L172" s="387">
        <v>3829</v>
      </c>
      <c r="M172" s="387">
        <v>1615</v>
      </c>
      <c r="N172" s="388"/>
      <c r="O172" s="392">
        <v>489</v>
      </c>
      <c r="P172" s="390">
        <v>17</v>
      </c>
      <c r="Q172" s="387">
        <v>8495</v>
      </c>
      <c r="R172" s="390">
        <v>54666</v>
      </c>
      <c r="S172" s="387">
        <v>199081</v>
      </c>
      <c r="T172" s="388">
        <v>15862</v>
      </c>
      <c r="U172" s="426"/>
      <c r="V172" s="387"/>
      <c r="W172" s="462">
        <v>220876</v>
      </c>
      <c r="X172" s="387"/>
      <c r="Y172" s="387"/>
      <c r="Z172" s="391"/>
      <c r="AA172" s="387"/>
      <c r="AB172" s="462">
        <v>0</v>
      </c>
      <c r="AC172" s="387"/>
      <c r="AD172" s="387"/>
      <c r="AE172" s="388"/>
      <c r="AF172" s="392"/>
      <c r="AG172" s="387"/>
      <c r="AH172" s="388"/>
      <c r="AI172" s="388"/>
      <c r="AJ172" s="462">
        <v>0</v>
      </c>
      <c r="AK172" s="388">
        <v>457995.58799999999</v>
      </c>
      <c r="AL172" s="388">
        <v>178221.674</v>
      </c>
      <c r="AM172" s="388">
        <v>279773.91399999999</v>
      </c>
      <c r="AN172" s="388">
        <v>13415.895</v>
      </c>
      <c r="AO172" s="467">
        <v>0.38913404117770672</v>
      </c>
      <c r="AP172" s="468">
        <v>234291.89499999999</v>
      </c>
      <c r="AQ172" s="468">
        <v>-210120.89499999999</v>
      </c>
      <c r="AR172" s="393"/>
      <c r="AS172" s="394"/>
      <c r="AT172" s="394"/>
      <c r="AU172" s="395"/>
      <c r="AV172" s="471"/>
      <c r="AW172" s="388">
        <v>457995588</v>
      </c>
      <c r="AX172" s="424">
        <v>178221674</v>
      </c>
      <c r="AY172" s="424">
        <v>279773914</v>
      </c>
      <c r="AZ172" s="424">
        <v>13415895</v>
      </c>
      <c r="BA172" s="472">
        <v>0.38913404117770672</v>
      </c>
      <c r="BB172" s="453">
        <v>75593</v>
      </c>
      <c r="BC172" s="390">
        <v>3495</v>
      </c>
      <c r="BD172" s="236">
        <v>0</v>
      </c>
    </row>
    <row r="173" spans="1:56" s="121" customFormat="1" ht="14.25" customHeight="1">
      <c r="A173" s="104">
        <v>2023</v>
      </c>
      <c r="B173" s="105" t="s">
        <v>181</v>
      </c>
      <c r="C173" s="556" t="s">
        <v>1088</v>
      </c>
      <c r="D173" s="106" t="s">
        <v>2415</v>
      </c>
      <c r="E173" s="150" t="s">
        <v>1089</v>
      </c>
      <c r="F173" s="71" t="s">
        <v>170</v>
      </c>
      <c r="G173" s="70" t="s">
        <v>2188</v>
      </c>
      <c r="H173" s="386">
        <v>9185</v>
      </c>
      <c r="I173" s="387">
        <v>59</v>
      </c>
      <c r="J173" s="424">
        <v>5897</v>
      </c>
      <c r="K173" s="462">
        <v>15141</v>
      </c>
      <c r="L173" s="387">
        <v>3876</v>
      </c>
      <c r="M173" s="387">
        <v>2109</v>
      </c>
      <c r="N173" s="388"/>
      <c r="O173" s="392">
        <v>323</v>
      </c>
      <c r="P173" s="390">
        <v>13</v>
      </c>
      <c r="Q173" s="387">
        <v>8495</v>
      </c>
      <c r="R173" s="390">
        <v>59249</v>
      </c>
      <c r="S173" s="387">
        <v>169684</v>
      </c>
      <c r="T173" s="388">
        <v>12493</v>
      </c>
      <c r="U173" s="426"/>
      <c r="V173" s="387"/>
      <c r="W173" s="462">
        <v>188485</v>
      </c>
      <c r="X173" s="387"/>
      <c r="Y173" s="387"/>
      <c r="Z173" s="391"/>
      <c r="AA173" s="387"/>
      <c r="AB173" s="462">
        <v>0</v>
      </c>
      <c r="AC173" s="387"/>
      <c r="AD173" s="387"/>
      <c r="AE173" s="388"/>
      <c r="AF173" s="392"/>
      <c r="AG173" s="387"/>
      <c r="AH173" s="388"/>
      <c r="AI173" s="388"/>
      <c r="AJ173" s="462">
        <v>0</v>
      </c>
      <c r="AK173" s="388">
        <v>374673.6</v>
      </c>
      <c r="AL173" s="388">
        <v>110028.872</v>
      </c>
      <c r="AM173" s="388">
        <v>264644.728</v>
      </c>
      <c r="AN173" s="388">
        <v>13753.609</v>
      </c>
      <c r="AO173" s="467">
        <v>0.29366593216068598</v>
      </c>
      <c r="AP173" s="468">
        <v>202238.609</v>
      </c>
      <c r="AQ173" s="468">
        <v>-187097.609</v>
      </c>
      <c r="AR173" s="393"/>
      <c r="AS173" s="394"/>
      <c r="AT173" s="394"/>
      <c r="AU173" s="395"/>
      <c r="AV173" s="471"/>
      <c r="AW173" s="388">
        <v>374673600</v>
      </c>
      <c r="AX173" s="424">
        <v>110028872</v>
      </c>
      <c r="AY173" s="424">
        <v>264644728</v>
      </c>
      <c r="AZ173" s="424">
        <v>13753609</v>
      </c>
      <c r="BA173" s="472">
        <v>0.29366593216068598</v>
      </c>
      <c r="BB173" s="453">
        <v>47178</v>
      </c>
      <c r="BC173" s="390">
        <v>12855</v>
      </c>
      <c r="BD173" s="236">
        <v>0</v>
      </c>
    </row>
    <row r="174" spans="1:56" s="121" customFormat="1" ht="14.25" customHeight="1">
      <c r="A174" s="104">
        <v>2023</v>
      </c>
      <c r="B174" s="105" t="s">
        <v>1076</v>
      </c>
      <c r="C174" s="556" t="s">
        <v>1092</v>
      </c>
      <c r="D174" s="106" t="s">
        <v>2415</v>
      </c>
      <c r="E174" s="150" t="s">
        <v>1093</v>
      </c>
      <c r="F174" s="71" t="s">
        <v>170</v>
      </c>
      <c r="G174" s="71" t="s">
        <v>2188</v>
      </c>
      <c r="H174" s="386">
        <v>734</v>
      </c>
      <c r="I174" s="387"/>
      <c r="J174" s="424">
        <v>12</v>
      </c>
      <c r="K174" s="462">
        <v>746</v>
      </c>
      <c r="L174" s="387">
        <v>1272</v>
      </c>
      <c r="M174" s="387">
        <v>1057</v>
      </c>
      <c r="N174" s="388"/>
      <c r="O174" s="387">
        <v>459</v>
      </c>
      <c r="P174" s="390">
        <v>6</v>
      </c>
      <c r="Q174" s="387">
        <v>8495</v>
      </c>
      <c r="R174" s="390">
        <v>15955</v>
      </c>
      <c r="S174" s="387">
        <v>66925</v>
      </c>
      <c r="T174" s="388">
        <v>1940</v>
      </c>
      <c r="U174" s="391"/>
      <c r="V174" s="387"/>
      <c r="W174" s="462">
        <v>71653</v>
      </c>
      <c r="X174" s="387"/>
      <c r="Y174" s="387"/>
      <c r="Z174" s="391"/>
      <c r="AA174" s="387"/>
      <c r="AB174" s="462">
        <v>0</v>
      </c>
      <c r="AC174" s="387"/>
      <c r="AD174" s="387"/>
      <c r="AE174" s="388"/>
      <c r="AF174" s="392"/>
      <c r="AG174" s="387"/>
      <c r="AH174" s="388"/>
      <c r="AI174" s="388"/>
      <c r="AJ174" s="462">
        <v>0</v>
      </c>
      <c r="AK174" s="388">
        <v>297761.09299999999</v>
      </c>
      <c r="AL174" s="388">
        <v>183292.41699999999</v>
      </c>
      <c r="AM174" s="388">
        <v>114468.67600000001</v>
      </c>
      <c r="AN174" s="388">
        <v>6413.259</v>
      </c>
      <c r="AO174" s="467">
        <v>0.61556872710700317</v>
      </c>
      <c r="AP174" s="468">
        <v>78066.259000000005</v>
      </c>
      <c r="AQ174" s="468">
        <v>-77320.259000000005</v>
      </c>
      <c r="AR174" s="393"/>
      <c r="AS174" s="394"/>
      <c r="AT174" s="394"/>
      <c r="AU174" s="395"/>
      <c r="AV174" s="471"/>
      <c r="AW174" s="388">
        <v>297761093</v>
      </c>
      <c r="AX174" s="424">
        <v>183292417</v>
      </c>
      <c r="AY174" s="424">
        <v>114468676</v>
      </c>
      <c r="AZ174" s="424">
        <v>6413259</v>
      </c>
      <c r="BA174" s="472">
        <v>0.61556872710700317</v>
      </c>
      <c r="BB174" s="453">
        <v>11365</v>
      </c>
      <c r="BC174" s="390">
        <v>3269</v>
      </c>
      <c r="BD174" s="236">
        <v>0</v>
      </c>
    </row>
    <row r="175" spans="1:56" s="121" customFormat="1" ht="14.25" customHeight="1">
      <c r="A175" s="104">
        <v>2023</v>
      </c>
      <c r="B175" s="105" t="s">
        <v>2546</v>
      </c>
      <c r="C175" s="556" t="s">
        <v>1104</v>
      </c>
      <c r="D175" s="106" t="s">
        <v>2415</v>
      </c>
      <c r="E175" s="150" t="s">
        <v>1105</v>
      </c>
      <c r="F175" s="71" t="s">
        <v>170</v>
      </c>
      <c r="G175" s="71" t="s">
        <v>2188</v>
      </c>
      <c r="H175" s="386">
        <v>515</v>
      </c>
      <c r="I175" s="387"/>
      <c r="J175" s="424">
        <v>12</v>
      </c>
      <c r="K175" s="462">
        <v>527</v>
      </c>
      <c r="L175" s="387">
        <v>935</v>
      </c>
      <c r="M175" s="387">
        <v>616</v>
      </c>
      <c r="N175" s="388"/>
      <c r="O175" s="387">
        <v>886</v>
      </c>
      <c r="P175" s="390">
        <v>6</v>
      </c>
      <c r="Q175" s="387">
        <v>8495</v>
      </c>
      <c r="R175" s="390">
        <v>14246</v>
      </c>
      <c r="S175" s="387">
        <v>65216</v>
      </c>
      <c r="T175" s="388">
        <v>2229</v>
      </c>
      <c r="U175" s="391">
        <v>19</v>
      </c>
      <c r="V175" s="387"/>
      <c r="W175" s="462">
        <v>69901</v>
      </c>
      <c r="X175" s="387"/>
      <c r="Y175" s="387"/>
      <c r="Z175" s="391"/>
      <c r="AA175" s="387"/>
      <c r="AB175" s="462">
        <v>0</v>
      </c>
      <c r="AC175" s="387"/>
      <c r="AD175" s="387"/>
      <c r="AE175" s="388"/>
      <c r="AF175" s="392"/>
      <c r="AG175" s="387"/>
      <c r="AH175" s="388"/>
      <c r="AI175" s="388"/>
      <c r="AJ175" s="462">
        <v>0</v>
      </c>
      <c r="AK175" s="388">
        <v>172694.30900000001</v>
      </c>
      <c r="AL175" s="388">
        <v>130753.186</v>
      </c>
      <c r="AM175" s="388">
        <v>41941.123</v>
      </c>
      <c r="AN175" s="388">
        <v>2409.2620000000002</v>
      </c>
      <c r="AO175" s="467">
        <v>0.75713662341936239</v>
      </c>
      <c r="AP175" s="468">
        <v>72310.262000000002</v>
      </c>
      <c r="AQ175" s="468">
        <v>-71783.262000000002</v>
      </c>
      <c r="AR175" s="393"/>
      <c r="AS175" s="394"/>
      <c r="AT175" s="394"/>
      <c r="AU175" s="395"/>
      <c r="AV175" s="471"/>
      <c r="AW175" s="388">
        <v>172694309</v>
      </c>
      <c r="AX175" s="424">
        <v>130753186</v>
      </c>
      <c r="AY175" s="424">
        <v>41941123</v>
      </c>
      <c r="AZ175" s="424">
        <v>2409262</v>
      </c>
      <c r="BA175" s="472">
        <v>0.75713662341936239</v>
      </c>
      <c r="BB175" s="453">
        <v>24523</v>
      </c>
      <c r="BC175" s="390">
        <v>18</v>
      </c>
      <c r="BD175" s="236">
        <v>0</v>
      </c>
    </row>
    <row r="176" spans="1:56" s="121" customFormat="1" ht="14.25" customHeight="1">
      <c r="A176" s="104">
        <v>2023</v>
      </c>
      <c r="B176" s="105" t="s">
        <v>1081</v>
      </c>
      <c r="C176" s="556" t="s">
        <v>1108</v>
      </c>
      <c r="D176" s="106" t="s">
        <v>2415</v>
      </c>
      <c r="E176" s="150" t="s">
        <v>1109</v>
      </c>
      <c r="F176" s="71" t="s">
        <v>170</v>
      </c>
      <c r="G176" s="71" t="s">
        <v>2188</v>
      </c>
      <c r="H176" s="386">
        <v>334</v>
      </c>
      <c r="I176" s="387"/>
      <c r="J176" s="424">
        <v>6</v>
      </c>
      <c r="K176" s="462">
        <v>340</v>
      </c>
      <c r="L176" s="387">
        <v>1327</v>
      </c>
      <c r="M176" s="387">
        <v>555</v>
      </c>
      <c r="N176" s="388"/>
      <c r="O176" s="387">
        <v>112</v>
      </c>
      <c r="P176" s="390">
        <v>4</v>
      </c>
      <c r="Q176" s="387">
        <v>8495</v>
      </c>
      <c r="R176" s="390">
        <v>11775</v>
      </c>
      <c r="S176" s="387">
        <v>45755</v>
      </c>
      <c r="T176" s="388">
        <v>1552</v>
      </c>
      <c r="U176" s="391">
        <v>19</v>
      </c>
      <c r="V176" s="387"/>
      <c r="W176" s="462">
        <v>49320</v>
      </c>
      <c r="X176" s="387"/>
      <c r="Y176" s="387"/>
      <c r="Z176" s="391"/>
      <c r="AA176" s="387"/>
      <c r="AB176" s="462">
        <v>0</v>
      </c>
      <c r="AC176" s="387"/>
      <c r="AD176" s="387"/>
      <c r="AE176" s="388"/>
      <c r="AF176" s="392"/>
      <c r="AG176" s="387"/>
      <c r="AH176" s="388"/>
      <c r="AI176" s="388"/>
      <c r="AJ176" s="462">
        <v>0</v>
      </c>
      <c r="AK176" s="388">
        <v>102380.125</v>
      </c>
      <c r="AL176" s="388">
        <v>91798.187999999995</v>
      </c>
      <c r="AM176" s="388">
        <v>10581.937</v>
      </c>
      <c r="AN176" s="388">
        <v>859.42399999999998</v>
      </c>
      <c r="AO176" s="467">
        <v>0.8966407102941123</v>
      </c>
      <c r="AP176" s="468">
        <v>50179.423999999999</v>
      </c>
      <c r="AQ176" s="468">
        <v>-49839.423999999999</v>
      </c>
      <c r="AR176" s="393"/>
      <c r="AS176" s="394"/>
      <c r="AT176" s="394"/>
      <c r="AU176" s="395"/>
      <c r="AV176" s="471"/>
      <c r="AW176" s="388">
        <v>102380125</v>
      </c>
      <c r="AX176" s="424">
        <v>91798188</v>
      </c>
      <c r="AY176" s="424">
        <v>10581937</v>
      </c>
      <c r="AZ176" s="424">
        <v>859424</v>
      </c>
      <c r="BA176" s="472">
        <v>0.8966407102941123</v>
      </c>
      <c r="BB176" s="453">
        <v>28168</v>
      </c>
      <c r="BC176" s="390">
        <v>1</v>
      </c>
      <c r="BD176" s="236">
        <v>0</v>
      </c>
    </row>
    <row r="177" spans="1:58" s="121" customFormat="1" ht="14.25" customHeight="1">
      <c r="A177" s="104">
        <v>2023</v>
      </c>
      <c r="B177" s="105" t="s">
        <v>1082</v>
      </c>
      <c r="C177" s="556" t="s">
        <v>1121</v>
      </c>
      <c r="D177" s="106" t="s">
        <v>2415</v>
      </c>
      <c r="E177" s="150" t="s">
        <v>1122</v>
      </c>
      <c r="F177" s="71" t="s">
        <v>170</v>
      </c>
      <c r="G177" s="71" t="s">
        <v>2188</v>
      </c>
      <c r="H177" s="386">
        <v>846</v>
      </c>
      <c r="I177" s="387"/>
      <c r="J177" s="424">
        <v>12</v>
      </c>
      <c r="K177" s="462">
        <v>858</v>
      </c>
      <c r="L177" s="387">
        <v>1424</v>
      </c>
      <c r="M177" s="387">
        <v>736</v>
      </c>
      <c r="N177" s="388"/>
      <c r="O177" s="387">
        <v>921</v>
      </c>
      <c r="P177" s="390">
        <v>7</v>
      </c>
      <c r="Q177" s="387">
        <v>8495</v>
      </c>
      <c r="R177" s="390">
        <v>11918</v>
      </c>
      <c r="S177" s="387">
        <v>71383</v>
      </c>
      <c r="T177" s="388">
        <v>2361</v>
      </c>
      <c r="U177" s="391">
        <v>19</v>
      </c>
      <c r="V177" s="387"/>
      <c r="W177" s="462">
        <v>76844</v>
      </c>
      <c r="X177" s="387"/>
      <c r="Y177" s="387"/>
      <c r="Z177" s="391"/>
      <c r="AA177" s="387"/>
      <c r="AB177" s="462">
        <v>0</v>
      </c>
      <c r="AC177" s="387"/>
      <c r="AD177" s="387"/>
      <c r="AE177" s="388"/>
      <c r="AF177" s="392"/>
      <c r="AG177" s="387"/>
      <c r="AH177" s="388"/>
      <c r="AI177" s="388"/>
      <c r="AJ177" s="462">
        <v>0</v>
      </c>
      <c r="AK177" s="388">
        <v>189117.709</v>
      </c>
      <c r="AL177" s="388">
        <v>152266.894</v>
      </c>
      <c r="AM177" s="388">
        <v>36850.815000000002</v>
      </c>
      <c r="AN177" s="388">
        <v>2486.348</v>
      </c>
      <c r="AO177" s="467">
        <v>0.80514349927959417</v>
      </c>
      <c r="AP177" s="468">
        <v>79330.347999999998</v>
      </c>
      <c r="AQ177" s="468">
        <v>-78472.347999999998</v>
      </c>
      <c r="AR177" s="393"/>
      <c r="AS177" s="394"/>
      <c r="AT177" s="394"/>
      <c r="AU177" s="395"/>
      <c r="AV177" s="471"/>
      <c r="AW177" s="388">
        <v>189117709</v>
      </c>
      <c r="AX177" s="424">
        <v>152266894</v>
      </c>
      <c r="AY177" s="424">
        <v>36850815</v>
      </c>
      <c r="AZ177" s="424">
        <v>2486348</v>
      </c>
      <c r="BA177" s="472">
        <v>0.80514349927959417</v>
      </c>
      <c r="BB177" s="453">
        <v>16076</v>
      </c>
      <c r="BC177" s="390">
        <v>3392</v>
      </c>
      <c r="BD177" s="236">
        <v>0</v>
      </c>
    </row>
    <row r="178" spans="1:58" s="121" customFormat="1" ht="14.25" customHeight="1">
      <c r="A178" s="104">
        <v>2023</v>
      </c>
      <c r="B178" s="105" t="s">
        <v>1087</v>
      </c>
      <c r="C178" s="556" t="s">
        <v>1125</v>
      </c>
      <c r="D178" s="106" t="s">
        <v>2415</v>
      </c>
      <c r="E178" s="150" t="s">
        <v>1126</v>
      </c>
      <c r="F178" s="71" t="s">
        <v>170</v>
      </c>
      <c r="G178" s="71" t="s">
        <v>2188</v>
      </c>
      <c r="H178" s="386">
        <v>744</v>
      </c>
      <c r="I178" s="387"/>
      <c r="J178" s="424">
        <v>13</v>
      </c>
      <c r="K178" s="462">
        <v>757</v>
      </c>
      <c r="L178" s="387">
        <v>1579</v>
      </c>
      <c r="M178" s="387">
        <v>1075</v>
      </c>
      <c r="N178" s="388"/>
      <c r="O178" s="387">
        <v>1690</v>
      </c>
      <c r="P178" s="390">
        <v>7</v>
      </c>
      <c r="Q178" s="387">
        <v>8495</v>
      </c>
      <c r="R178" s="390">
        <v>15646</v>
      </c>
      <c r="S178" s="387">
        <v>75111</v>
      </c>
      <c r="T178" s="388">
        <v>2081</v>
      </c>
      <c r="U178" s="391">
        <v>54</v>
      </c>
      <c r="V178" s="387"/>
      <c r="W178" s="462">
        <v>81590</v>
      </c>
      <c r="X178" s="387"/>
      <c r="Y178" s="387"/>
      <c r="Z178" s="391"/>
      <c r="AA178" s="387"/>
      <c r="AB178" s="462">
        <v>0</v>
      </c>
      <c r="AC178" s="387"/>
      <c r="AD178" s="387"/>
      <c r="AE178" s="388"/>
      <c r="AF178" s="392"/>
      <c r="AG178" s="387"/>
      <c r="AH178" s="388"/>
      <c r="AI178" s="388"/>
      <c r="AJ178" s="462">
        <v>0</v>
      </c>
      <c r="AK178" s="388">
        <v>158830.66</v>
      </c>
      <c r="AL178" s="388">
        <v>135575.17600000001</v>
      </c>
      <c r="AM178" s="388">
        <v>23255.484</v>
      </c>
      <c r="AN178" s="388">
        <v>4421.8140000000003</v>
      </c>
      <c r="AO178" s="467">
        <v>0.85358315579624233</v>
      </c>
      <c r="AP178" s="468">
        <v>86011.813999999998</v>
      </c>
      <c r="AQ178" s="468">
        <v>-85254.813999999998</v>
      </c>
      <c r="AR178" s="393"/>
      <c r="AS178" s="394"/>
      <c r="AT178" s="394"/>
      <c r="AU178" s="395"/>
      <c r="AV178" s="471"/>
      <c r="AW178" s="388">
        <v>158830660</v>
      </c>
      <c r="AX178" s="424">
        <v>135575176</v>
      </c>
      <c r="AY178" s="424">
        <v>23255484</v>
      </c>
      <c r="AZ178" s="424">
        <v>4421814</v>
      </c>
      <c r="BA178" s="472">
        <v>0.85358315579624233</v>
      </c>
      <c r="BB178" s="453">
        <v>45485</v>
      </c>
      <c r="BC178" s="390">
        <v>0</v>
      </c>
      <c r="BD178" s="236">
        <v>0</v>
      </c>
    </row>
    <row r="179" spans="1:58" s="121" customFormat="1" ht="14.25" customHeight="1">
      <c r="A179" s="104">
        <v>2023</v>
      </c>
      <c r="B179" s="105" t="s">
        <v>1091</v>
      </c>
      <c r="C179" s="556" t="s">
        <v>1129</v>
      </c>
      <c r="D179" s="106" t="s">
        <v>2415</v>
      </c>
      <c r="E179" s="150" t="s">
        <v>1130</v>
      </c>
      <c r="F179" s="71" t="s">
        <v>170</v>
      </c>
      <c r="G179" s="71" t="s">
        <v>2188</v>
      </c>
      <c r="H179" s="386">
        <v>412</v>
      </c>
      <c r="I179" s="387"/>
      <c r="J179" s="424">
        <v>20</v>
      </c>
      <c r="K179" s="462">
        <v>432</v>
      </c>
      <c r="L179" s="387">
        <v>1769</v>
      </c>
      <c r="M179" s="387">
        <v>447</v>
      </c>
      <c r="N179" s="388"/>
      <c r="O179" s="387">
        <v>1769</v>
      </c>
      <c r="P179" s="390">
        <v>5</v>
      </c>
      <c r="Q179" s="387">
        <v>8495</v>
      </c>
      <c r="R179" s="390">
        <v>9544</v>
      </c>
      <c r="S179" s="387">
        <v>52019</v>
      </c>
      <c r="T179" s="388">
        <v>2065</v>
      </c>
      <c r="U179" s="391">
        <v>18</v>
      </c>
      <c r="V179" s="387"/>
      <c r="W179" s="462">
        <v>58087</v>
      </c>
      <c r="X179" s="387"/>
      <c r="Y179" s="387"/>
      <c r="Z179" s="391"/>
      <c r="AA179" s="387"/>
      <c r="AB179" s="462">
        <v>0</v>
      </c>
      <c r="AC179" s="387"/>
      <c r="AD179" s="387"/>
      <c r="AE179" s="388"/>
      <c r="AF179" s="392"/>
      <c r="AG179" s="387"/>
      <c r="AH179" s="388"/>
      <c r="AI179" s="388"/>
      <c r="AJ179" s="462">
        <v>0</v>
      </c>
      <c r="AK179" s="388">
        <v>119512.391</v>
      </c>
      <c r="AL179" s="388">
        <v>79845.528999999995</v>
      </c>
      <c r="AM179" s="388">
        <v>39666.862000000001</v>
      </c>
      <c r="AN179" s="388">
        <v>1878.2329999999999</v>
      </c>
      <c r="AO179" s="467">
        <v>0.66809414766038777</v>
      </c>
      <c r="AP179" s="468">
        <v>59965.233</v>
      </c>
      <c r="AQ179" s="468">
        <v>-59533.233</v>
      </c>
      <c r="AR179" s="393"/>
      <c r="AS179" s="394"/>
      <c r="AT179" s="394"/>
      <c r="AU179" s="395"/>
      <c r="AV179" s="471"/>
      <c r="AW179" s="388">
        <v>119512391</v>
      </c>
      <c r="AX179" s="424">
        <v>79845529</v>
      </c>
      <c r="AY179" s="424">
        <v>39666862</v>
      </c>
      <c r="AZ179" s="424">
        <v>1878233</v>
      </c>
      <c r="BA179" s="472">
        <v>0.66809414766038777</v>
      </c>
      <c r="BB179" s="453">
        <v>46040</v>
      </c>
      <c r="BC179" s="390">
        <v>0</v>
      </c>
      <c r="BD179" s="236">
        <v>0</v>
      </c>
    </row>
    <row r="180" spans="1:58" s="121" customFormat="1" ht="14.25" customHeight="1">
      <c r="A180" s="104">
        <v>2023</v>
      </c>
      <c r="B180" s="105" t="s">
        <v>1100</v>
      </c>
      <c r="C180" s="556" t="s">
        <v>2198</v>
      </c>
      <c r="D180" s="106" t="s">
        <v>2415</v>
      </c>
      <c r="E180" s="552" t="s">
        <v>2140</v>
      </c>
      <c r="F180" s="71" t="s">
        <v>170</v>
      </c>
      <c r="G180" s="71" t="s">
        <v>2188</v>
      </c>
      <c r="H180" s="386">
        <v>19358</v>
      </c>
      <c r="I180" s="387">
        <v>59</v>
      </c>
      <c r="J180" s="424">
        <v>14004</v>
      </c>
      <c r="K180" s="462">
        <v>33421</v>
      </c>
      <c r="L180" s="387">
        <v>7762</v>
      </c>
      <c r="M180" s="387">
        <v>3029</v>
      </c>
      <c r="N180" s="388"/>
      <c r="O180" s="392">
        <v>713</v>
      </c>
      <c r="P180" s="390">
        <v>30</v>
      </c>
      <c r="Q180" s="387">
        <v>8495</v>
      </c>
      <c r="R180" s="390">
        <v>48312</v>
      </c>
      <c r="S180" s="387">
        <v>303162</v>
      </c>
      <c r="T180" s="388">
        <v>26634</v>
      </c>
      <c r="U180" s="391"/>
      <c r="V180" s="387"/>
      <c r="W180" s="462">
        <v>341300</v>
      </c>
      <c r="X180" s="387"/>
      <c r="Y180" s="387"/>
      <c r="Z180" s="391"/>
      <c r="AA180" s="387"/>
      <c r="AB180" s="462">
        <v>0</v>
      </c>
      <c r="AC180" s="387"/>
      <c r="AD180" s="387"/>
      <c r="AE180" s="388"/>
      <c r="AF180" s="392"/>
      <c r="AG180" s="387"/>
      <c r="AH180" s="388"/>
      <c r="AI180" s="388"/>
      <c r="AJ180" s="462">
        <v>0</v>
      </c>
      <c r="AK180" s="388">
        <v>1151273.7009999999</v>
      </c>
      <c r="AL180" s="388">
        <v>155978.128</v>
      </c>
      <c r="AM180" s="388">
        <v>995295.57299999997</v>
      </c>
      <c r="AN180" s="388">
        <v>38994.531999999999</v>
      </c>
      <c r="AO180" s="467">
        <v>0.13548309829757851</v>
      </c>
      <c r="AP180" s="468">
        <v>380294.53200000001</v>
      </c>
      <c r="AQ180" s="468">
        <v>-346873.53200000001</v>
      </c>
      <c r="AR180" s="393"/>
      <c r="AS180" s="394"/>
      <c r="AT180" s="394"/>
      <c r="AU180" s="395"/>
      <c r="AV180" s="471"/>
      <c r="AW180" s="388">
        <v>1151273701</v>
      </c>
      <c r="AX180" s="424">
        <v>155978128</v>
      </c>
      <c r="AY180" s="424">
        <v>995295573</v>
      </c>
      <c r="AZ180" s="424">
        <v>38994532</v>
      </c>
      <c r="BA180" s="472">
        <v>0.13548309829757851</v>
      </c>
      <c r="BB180" s="453">
        <v>151051</v>
      </c>
      <c r="BC180" s="390">
        <v>26338</v>
      </c>
      <c r="BD180" s="236">
        <v>0</v>
      </c>
    </row>
    <row r="181" spans="1:58" s="121" customFormat="1" ht="14.25" customHeight="1">
      <c r="A181" s="104">
        <v>2023</v>
      </c>
      <c r="B181" s="105" t="s">
        <v>1101</v>
      </c>
      <c r="C181" s="556" t="s">
        <v>2199</v>
      </c>
      <c r="D181" s="106" t="s">
        <v>2415</v>
      </c>
      <c r="E181" s="552" t="s">
        <v>2139</v>
      </c>
      <c r="F181" s="71" t="s">
        <v>170</v>
      </c>
      <c r="G181" s="71" t="s">
        <v>2188</v>
      </c>
      <c r="H181" s="386">
        <v>13249</v>
      </c>
      <c r="I181" s="387">
        <v>59</v>
      </c>
      <c r="J181" s="424">
        <v>9109</v>
      </c>
      <c r="K181" s="462">
        <v>22417</v>
      </c>
      <c r="L181" s="387">
        <v>7476</v>
      </c>
      <c r="M181" s="387">
        <v>2891</v>
      </c>
      <c r="N181" s="388">
        <v>864</v>
      </c>
      <c r="O181" s="392">
        <v>1150</v>
      </c>
      <c r="P181" s="390">
        <v>27</v>
      </c>
      <c r="Q181" s="387">
        <v>8495</v>
      </c>
      <c r="R181" s="390">
        <v>68330</v>
      </c>
      <c r="S181" s="387">
        <v>297695</v>
      </c>
      <c r="T181" s="388">
        <v>18151</v>
      </c>
      <c r="U181" s="391"/>
      <c r="V181" s="387"/>
      <c r="W181" s="462">
        <v>328227</v>
      </c>
      <c r="X181" s="387"/>
      <c r="Y181" s="387"/>
      <c r="Z181" s="391"/>
      <c r="AA181" s="387"/>
      <c r="AB181" s="462">
        <v>0</v>
      </c>
      <c r="AC181" s="387"/>
      <c r="AD181" s="387"/>
      <c r="AE181" s="388"/>
      <c r="AF181" s="392"/>
      <c r="AG181" s="387"/>
      <c r="AH181" s="388"/>
      <c r="AI181" s="388"/>
      <c r="AJ181" s="462">
        <v>0</v>
      </c>
      <c r="AK181" s="388">
        <v>913998.39500000002</v>
      </c>
      <c r="AL181" s="388">
        <v>257494.76800000001</v>
      </c>
      <c r="AM181" s="388">
        <v>656503.62699999998</v>
      </c>
      <c r="AN181" s="388">
        <v>63698.692000000003</v>
      </c>
      <c r="AO181" s="467">
        <v>0.28172343563032187</v>
      </c>
      <c r="AP181" s="468">
        <v>391925.69199999998</v>
      </c>
      <c r="AQ181" s="468">
        <v>-369508.69199999998</v>
      </c>
      <c r="AR181" s="393"/>
      <c r="AS181" s="394"/>
      <c r="AT181" s="394"/>
      <c r="AU181" s="395"/>
      <c r="AV181" s="471"/>
      <c r="AW181" s="388">
        <v>913998395</v>
      </c>
      <c r="AX181" s="424">
        <v>257494768</v>
      </c>
      <c r="AY181" s="424">
        <v>656503627</v>
      </c>
      <c r="AZ181" s="424">
        <v>63698692</v>
      </c>
      <c r="BA181" s="472">
        <v>0.28172343563032187</v>
      </c>
      <c r="BB181" s="453">
        <v>157665</v>
      </c>
      <c r="BC181" s="390">
        <v>30758</v>
      </c>
      <c r="BD181" s="236">
        <v>0</v>
      </c>
    </row>
    <row r="182" spans="1:58" s="121" customFormat="1" ht="14.25" customHeight="1">
      <c r="A182" s="104">
        <v>2023</v>
      </c>
      <c r="B182" s="105" t="s">
        <v>1102</v>
      </c>
      <c r="C182" s="556" t="s">
        <v>2313</v>
      </c>
      <c r="D182" s="106" t="s">
        <v>2415</v>
      </c>
      <c r="E182" s="552" t="s">
        <v>2427</v>
      </c>
      <c r="F182" s="71" t="s">
        <v>170</v>
      </c>
      <c r="G182" s="71" t="s">
        <v>2188</v>
      </c>
      <c r="H182" s="386">
        <v>15533</v>
      </c>
      <c r="I182" s="387">
        <v>59</v>
      </c>
      <c r="J182" s="424">
        <v>5679</v>
      </c>
      <c r="K182" s="462">
        <v>21271</v>
      </c>
      <c r="L182" s="387">
        <v>3929</v>
      </c>
      <c r="M182" s="387">
        <v>1812</v>
      </c>
      <c r="N182" s="388"/>
      <c r="O182" s="392">
        <v>188</v>
      </c>
      <c r="P182" s="390">
        <v>15</v>
      </c>
      <c r="Q182" s="387">
        <v>8495</v>
      </c>
      <c r="R182" s="390">
        <v>49499</v>
      </c>
      <c r="S182" s="387">
        <v>176924</v>
      </c>
      <c r="T182" s="388">
        <v>12909</v>
      </c>
      <c r="U182" s="391"/>
      <c r="V182" s="387"/>
      <c r="W182" s="462">
        <v>195762</v>
      </c>
      <c r="X182" s="387"/>
      <c r="Y182" s="387"/>
      <c r="Z182" s="391"/>
      <c r="AA182" s="387"/>
      <c r="AB182" s="462">
        <v>0</v>
      </c>
      <c r="AC182" s="387"/>
      <c r="AD182" s="387"/>
      <c r="AE182" s="388"/>
      <c r="AF182" s="392"/>
      <c r="AG182" s="387"/>
      <c r="AH182" s="388"/>
      <c r="AI182" s="388"/>
      <c r="AJ182" s="462">
        <v>0</v>
      </c>
      <c r="AK182" s="388">
        <v>433049.81300000002</v>
      </c>
      <c r="AL182" s="388">
        <v>64057.86</v>
      </c>
      <c r="AM182" s="388">
        <v>368991.95299999998</v>
      </c>
      <c r="AN182" s="388">
        <v>15757.965</v>
      </c>
      <c r="AO182" s="467">
        <v>0.14792261323525846</v>
      </c>
      <c r="AP182" s="468">
        <v>211519.965</v>
      </c>
      <c r="AQ182" s="468">
        <v>-190248.965</v>
      </c>
      <c r="AR182" s="393"/>
      <c r="AS182" s="394"/>
      <c r="AT182" s="394"/>
      <c r="AU182" s="395"/>
      <c r="AV182" s="471"/>
      <c r="AW182" s="388">
        <v>433049813</v>
      </c>
      <c r="AX182" s="424">
        <v>64057860</v>
      </c>
      <c r="AY182" s="424">
        <v>368991953</v>
      </c>
      <c r="AZ182" s="424">
        <v>15757965</v>
      </c>
      <c r="BA182" s="472">
        <v>0.14792261323525846</v>
      </c>
      <c r="BB182" s="453">
        <v>53071</v>
      </c>
      <c r="BC182" s="390">
        <v>12717</v>
      </c>
      <c r="BD182" s="236">
        <v>0</v>
      </c>
    </row>
    <row r="183" spans="1:58" ht="14.25" customHeight="1">
      <c r="A183" s="104">
        <v>2023</v>
      </c>
      <c r="B183" s="105" t="s">
        <v>126</v>
      </c>
      <c r="C183" s="556" t="s">
        <v>2706</v>
      </c>
      <c r="D183" s="106" t="s">
        <v>2415</v>
      </c>
      <c r="E183" s="109" t="s">
        <v>2501</v>
      </c>
      <c r="F183" s="71" t="s">
        <v>170</v>
      </c>
      <c r="G183" s="71" t="s">
        <v>2188</v>
      </c>
      <c r="H183" s="386">
        <v>18695</v>
      </c>
      <c r="I183" s="387">
        <v>59</v>
      </c>
      <c r="J183" s="388">
        <v>11044</v>
      </c>
      <c r="K183" s="462">
        <v>29798</v>
      </c>
      <c r="L183" s="387">
        <v>6110</v>
      </c>
      <c r="M183" s="387">
        <v>2354</v>
      </c>
      <c r="N183" s="388"/>
      <c r="O183" s="387">
        <v>341</v>
      </c>
      <c r="P183" s="390">
        <v>25</v>
      </c>
      <c r="Q183" s="387">
        <v>8495</v>
      </c>
      <c r="R183" s="390">
        <v>55359</v>
      </c>
      <c r="S183" s="387">
        <v>267734</v>
      </c>
      <c r="T183" s="388">
        <v>21957</v>
      </c>
      <c r="U183" s="391"/>
      <c r="V183" s="387"/>
      <c r="W183" s="462">
        <v>298496</v>
      </c>
      <c r="X183" s="387"/>
      <c r="Y183" s="387"/>
      <c r="Z183" s="391"/>
      <c r="AA183" s="387"/>
      <c r="AB183" s="462">
        <v>0</v>
      </c>
      <c r="AC183" s="387"/>
      <c r="AD183" s="387"/>
      <c r="AE183" s="388"/>
      <c r="AF183" s="392"/>
      <c r="AG183" s="387"/>
      <c r="AH183" s="388"/>
      <c r="AI183" s="388"/>
      <c r="AJ183" s="462">
        <v>0</v>
      </c>
      <c r="AK183" s="388">
        <v>1035225.42</v>
      </c>
      <c r="AL183" s="424">
        <v>80057.933999999994</v>
      </c>
      <c r="AM183" s="424">
        <v>955167.48600000003</v>
      </c>
      <c r="AN183" s="424">
        <v>40028.966999999997</v>
      </c>
      <c r="AO183" s="467">
        <v>7.7333817788206943E-2</v>
      </c>
      <c r="AP183" s="468">
        <v>338524.967</v>
      </c>
      <c r="AQ183" s="468">
        <v>-308726.967</v>
      </c>
      <c r="AR183" s="393"/>
      <c r="AS183" s="394"/>
      <c r="AT183" s="394"/>
      <c r="AU183" s="395"/>
      <c r="AV183" s="471"/>
      <c r="AW183" s="388">
        <v>1035225420</v>
      </c>
      <c r="AX183" s="424">
        <v>80057934</v>
      </c>
      <c r="AY183" s="424">
        <v>955167486</v>
      </c>
      <c r="AZ183" s="424">
        <v>40028967</v>
      </c>
      <c r="BA183" s="549">
        <v>7.7333817788206943E-2</v>
      </c>
      <c r="BB183" s="453">
        <v>101557</v>
      </c>
      <c r="BC183" s="390">
        <v>19108</v>
      </c>
      <c r="BD183" s="236">
        <v>0</v>
      </c>
      <c r="BE183" s="121"/>
      <c r="BF183" s="121"/>
    </row>
    <row r="184" spans="1:58" s="121" customFormat="1" ht="14.25" customHeight="1">
      <c r="A184" s="557">
        <v>2023</v>
      </c>
      <c r="B184" s="558" t="s">
        <v>2547</v>
      </c>
      <c r="C184" s="559" t="s">
        <v>1133</v>
      </c>
      <c r="D184" s="107" t="s">
        <v>2415</v>
      </c>
      <c r="E184" s="553" t="s">
        <v>1134</v>
      </c>
      <c r="F184" s="131" t="s">
        <v>139</v>
      </c>
      <c r="G184" s="327" t="s">
        <v>1135</v>
      </c>
      <c r="H184" s="414"/>
      <c r="I184" s="417"/>
      <c r="J184" s="415"/>
      <c r="K184" s="541">
        <v>0</v>
      </c>
      <c r="L184" s="542"/>
      <c r="M184" s="542">
        <v>376</v>
      </c>
      <c r="N184" s="542"/>
      <c r="O184" s="543"/>
      <c r="P184" s="544"/>
      <c r="Q184" s="416">
        <v>8495</v>
      </c>
      <c r="R184" s="417"/>
      <c r="S184" s="416">
        <v>0</v>
      </c>
      <c r="T184" s="542"/>
      <c r="U184" s="543">
        <v>556</v>
      </c>
      <c r="V184" s="416">
        <v>29141</v>
      </c>
      <c r="W184" s="541">
        <v>30073</v>
      </c>
      <c r="X184" s="416"/>
      <c r="Y184" s="416"/>
      <c r="Z184" s="418"/>
      <c r="AA184" s="416">
        <v>29141</v>
      </c>
      <c r="AB184" s="541">
        <v>29141</v>
      </c>
      <c r="AC184" s="416">
        <v>5058</v>
      </c>
      <c r="AD184" s="416">
        <v>10354</v>
      </c>
      <c r="AE184" s="417"/>
      <c r="AF184" s="419">
        <v>359</v>
      </c>
      <c r="AG184" s="416">
        <v>8673</v>
      </c>
      <c r="AH184" s="417">
        <v>2303</v>
      </c>
      <c r="AI184" s="417"/>
      <c r="AJ184" s="541">
        <v>26747</v>
      </c>
      <c r="AK184" s="417">
        <v>570874.5</v>
      </c>
      <c r="AL184" s="417">
        <v>251184.78</v>
      </c>
      <c r="AM184" s="417">
        <v>319689.71999999997</v>
      </c>
      <c r="AN184" s="417">
        <v>11417.49</v>
      </c>
      <c r="AO184" s="545">
        <v>0.44</v>
      </c>
      <c r="AP184" s="546">
        <v>41490.49</v>
      </c>
      <c r="AQ184" s="546">
        <v>-41490.49</v>
      </c>
      <c r="AR184" s="420"/>
      <c r="AS184" s="421"/>
      <c r="AT184" s="421"/>
      <c r="AU184" s="422"/>
      <c r="AV184" s="475"/>
      <c r="AW184" s="417">
        <v>570874500</v>
      </c>
      <c r="AX184" s="415">
        <v>251184780</v>
      </c>
      <c r="AY184" s="415">
        <v>319689720</v>
      </c>
      <c r="AZ184" s="415">
        <v>11417490</v>
      </c>
      <c r="BA184" s="547">
        <v>0.44</v>
      </c>
      <c r="BB184" s="548">
        <v>103115</v>
      </c>
      <c r="BC184" s="542">
        <v>18897</v>
      </c>
      <c r="BD184" s="535">
        <v>0</v>
      </c>
    </row>
    <row r="185" spans="1:58" s="121" customFormat="1" ht="14.25" customHeight="1">
      <c r="A185" s="104">
        <v>2023</v>
      </c>
      <c r="B185" s="105" t="s">
        <v>1103</v>
      </c>
      <c r="C185" s="556" t="s">
        <v>1146</v>
      </c>
      <c r="D185" s="106" t="s">
        <v>2415</v>
      </c>
      <c r="E185" s="150" t="s">
        <v>1147</v>
      </c>
      <c r="F185" s="71" t="s">
        <v>139</v>
      </c>
      <c r="G185" s="68" t="s">
        <v>1135</v>
      </c>
      <c r="H185" s="386"/>
      <c r="I185" s="388"/>
      <c r="J185" s="424"/>
      <c r="K185" s="462">
        <v>0</v>
      </c>
      <c r="L185" s="390"/>
      <c r="M185" s="390"/>
      <c r="N185" s="390"/>
      <c r="O185" s="390">
        <v>597</v>
      </c>
      <c r="P185" s="396"/>
      <c r="Q185" s="387">
        <v>8495</v>
      </c>
      <c r="R185" s="388"/>
      <c r="S185" s="387">
        <v>0</v>
      </c>
      <c r="T185" s="390"/>
      <c r="U185" s="426">
        <v>177</v>
      </c>
      <c r="V185" s="387">
        <v>57498</v>
      </c>
      <c r="W185" s="462">
        <v>58272</v>
      </c>
      <c r="X185" s="387">
        <v>297</v>
      </c>
      <c r="Y185" s="387">
        <v>2259</v>
      </c>
      <c r="Z185" s="391">
        <v>148</v>
      </c>
      <c r="AA185" s="387">
        <v>57498</v>
      </c>
      <c r="AB185" s="462">
        <v>60202</v>
      </c>
      <c r="AC185" s="387">
        <v>8978</v>
      </c>
      <c r="AD185" s="387">
        <v>21533</v>
      </c>
      <c r="AE185" s="388"/>
      <c r="AF185" s="392">
        <v>1364</v>
      </c>
      <c r="AG185" s="387">
        <v>21672</v>
      </c>
      <c r="AH185" s="388">
        <v>2766</v>
      </c>
      <c r="AI185" s="388">
        <v>5397</v>
      </c>
      <c r="AJ185" s="462">
        <v>61710</v>
      </c>
      <c r="AK185" s="388">
        <v>1342220.7279999999</v>
      </c>
      <c r="AL185" s="388">
        <v>677096.61</v>
      </c>
      <c r="AM185" s="388">
        <v>665124.11800000002</v>
      </c>
      <c r="AN185" s="388">
        <v>37076.963000000003</v>
      </c>
      <c r="AO185" s="467">
        <v>0.50445995645509056</v>
      </c>
      <c r="AP185" s="468">
        <v>95348.963000000003</v>
      </c>
      <c r="AQ185" s="468">
        <v>-95348.963000000003</v>
      </c>
      <c r="AR185" s="393"/>
      <c r="AS185" s="394"/>
      <c r="AT185" s="394"/>
      <c r="AU185" s="395"/>
      <c r="AV185" s="471"/>
      <c r="AW185" s="388">
        <v>1342220728</v>
      </c>
      <c r="AX185" s="424">
        <v>677096610</v>
      </c>
      <c r="AY185" s="424">
        <v>665124118</v>
      </c>
      <c r="AZ185" s="424">
        <v>37076963</v>
      </c>
      <c r="BA185" s="472">
        <v>0.50445995645509056</v>
      </c>
      <c r="BB185" s="453">
        <v>258542</v>
      </c>
      <c r="BC185" s="390">
        <v>1376</v>
      </c>
      <c r="BD185" s="236">
        <v>0</v>
      </c>
    </row>
    <row r="186" spans="1:58" s="121" customFormat="1" ht="14.25" customHeight="1">
      <c r="A186" s="104">
        <v>2023</v>
      </c>
      <c r="B186" s="105" t="s">
        <v>80</v>
      </c>
      <c r="C186" s="556" t="s">
        <v>1156</v>
      </c>
      <c r="D186" s="106" t="s">
        <v>2415</v>
      </c>
      <c r="E186" s="150" t="s">
        <v>1157</v>
      </c>
      <c r="F186" s="71" t="s">
        <v>139</v>
      </c>
      <c r="G186" s="68" t="s">
        <v>1135</v>
      </c>
      <c r="H186" s="439"/>
      <c r="I186" s="440"/>
      <c r="J186" s="441"/>
      <c r="K186" s="462">
        <v>0</v>
      </c>
      <c r="L186" s="390"/>
      <c r="M186" s="390"/>
      <c r="N186" s="390"/>
      <c r="O186" s="390">
        <v>872</v>
      </c>
      <c r="P186" s="442"/>
      <c r="Q186" s="387">
        <v>8495</v>
      </c>
      <c r="R186" s="443"/>
      <c r="S186" s="387">
        <v>0</v>
      </c>
      <c r="T186" s="390"/>
      <c r="U186" s="426">
        <v>1715</v>
      </c>
      <c r="V186" s="440">
        <v>35741</v>
      </c>
      <c r="W186" s="462">
        <v>38328</v>
      </c>
      <c r="X186" s="440">
        <v>414</v>
      </c>
      <c r="Y186" s="440">
        <v>4224</v>
      </c>
      <c r="Z186" s="444">
        <v>123</v>
      </c>
      <c r="AA186" s="440">
        <v>35741</v>
      </c>
      <c r="AB186" s="462">
        <v>40502</v>
      </c>
      <c r="AC186" s="440">
        <v>6459</v>
      </c>
      <c r="AD186" s="440">
        <v>2355</v>
      </c>
      <c r="AE186" s="443"/>
      <c r="AF186" s="445">
        <v>603</v>
      </c>
      <c r="AG186" s="440">
        <v>21069</v>
      </c>
      <c r="AH186" s="443">
        <v>8273</v>
      </c>
      <c r="AI186" s="443">
        <v>169</v>
      </c>
      <c r="AJ186" s="462">
        <v>38928</v>
      </c>
      <c r="AK186" s="388">
        <v>349755</v>
      </c>
      <c r="AL186" s="388">
        <v>174877.5</v>
      </c>
      <c r="AM186" s="388">
        <v>174877.5</v>
      </c>
      <c r="AN186" s="388">
        <v>6995.1</v>
      </c>
      <c r="AO186" s="467">
        <v>0.5</v>
      </c>
      <c r="AP186" s="468">
        <v>45323.1</v>
      </c>
      <c r="AQ186" s="468">
        <v>-45323.1</v>
      </c>
      <c r="AR186" s="446"/>
      <c r="AS186" s="394"/>
      <c r="AT186" s="394"/>
      <c r="AU186" s="395"/>
      <c r="AV186" s="471"/>
      <c r="AW186" s="388">
        <v>349755000</v>
      </c>
      <c r="AX186" s="424">
        <v>174877500</v>
      </c>
      <c r="AY186" s="424">
        <v>174877500</v>
      </c>
      <c r="AZ186" s="424">
        <v>6995100</v>
      </c>
      <c r="BA186" s="472">
        <v>0.5</v>
      </c>
      <c r="BB186" s="453">
        <v>205027</v>
      </c>
      <c r="BC186" s="390">
        <v>0</v>
      </c>
      <c r="BD186" s="236">
        <v>42</v>
      </c>
    </row>
    <row r="187" spans="1:58" s="121" customFormat="1" ht="14.25" customHeight="1">
      <c r="A187" s="104">
        <v>2023</v>
      </c>
      <c r="B187" s="105" t="s">
        <v>1107</v>
      </c>
      <c r="C187" s="556" t="s">
        <v>1165</v>
      </c>
      <c r="D187" s="106" t="s">
        <v>2415</v>
      </c>
      <c r="E187" s="150" t="s">
        <v>1166</v>
      </c>
      <c r="F187" s="71" t="s">
        <v>139</v>
      </c>
      <c r="G187" s="68" t="s">
        <v>1135</v>
      </c>
      <c r="H187" s="386"/>
      <c r="I187" s="388"/>
      <c r="J187" s="424"/>
      <c r="K187" s="462">
        <v>0</v>
      </c>
      <c r="L187" s="390"/>
      <c r="M187" s="390"/>
      <c r="N187" s="390"/>
      <c r="O187" s="387">
        <v>66</v>
      </c>
      <c r="P187" s="396"/>
      <c r="Q187" s="387">
        <v>8495</v>
      </c>
      <c r="R187" s="388"/>
      <c r="S187" s="387">
        <v>0</v>
      </c>
      <c r="T187" s="390"/>
      <c r="U187" s="426"/>
      <c r="V187" s="387">
        <v>98</v>
      </c>
      <c r="W187" s="462">
        <v>164</v>
      </c>
      <c r="X187" s="387"/>
      <c r="Y187" s="387"/>
      <c r="Z187" s="391"/>
      <c r="AA187" s="387">
        <v>98</v>
      </c>
      <c r="AB187" s="462">
        <v>98</v>
      </c>
      <c r="AC187" s="387"/>
      <c r="AD187" s="387">
        <v>40</v>
      </c>
      <c r="AE187" s="388"/>
      <c r="AF187" s="392"/>
      <c r="AG187" s="387"/>
      <c r="AH187" s="388"/>
      <c r="AI187" s="388">
        <v>43</v>
      </c>
      <c r="AJ187" s="462">
        <v>83</v>
      </c>
      <c r="AK187" s="388">
        <v>68490.75</v>
      </c>
      <c r="AL187" s="388">
        <v>57532.23</v>
      </c>
      <c r="AM187" s="388">
        <v>10958.52</v>
      </c>
      <c r="AN187" s="388">
        <v>1369.8150000000001</v>
      </c>
      <c r="AO187" s="467">
        <v>0.84</v>
      </c>
      <c r="AP187" s="468">
        <v>1533.8150000000001</v>
      </c>
      <c r="AQ187" s="468">
        <v>-1533.8150000000001</v>
      </c>
      <c r="AR187" s="393"/>
      <c r="AS187" s="394"/>
      <c r="AT187" s="394"/>
      <c r="AU187" s="395"/>
      <c r="AV187" s="471"/>
      <c r="AW187" s="388">
        <v>68490750</v>
      </c>
      <c r="AX187" s="424">
        <v>57532230</v>
      </c>
      <c r="AY187" s="424">
        <v>10958520</v>
      </c>
      <c r="AZ187" s="424">
        <v>1369815</v>
      </c>
      <c r="BA187" s="472">
        <v>0.84</v>
      </c>
      <c r="BB187" s="453" t="s">
        <v>825</v>
      </c>
      <c r="BC187" s="390" t="s">
        <v>825</v>
      </c>
      <c r="BD187" s="236" t="s">
        <v>825</v>
      </c>
    </row>
    <row r="188" spans="1:58" s="121" customFormat="1" ht="14.25" customHeight="1">
      <c r="A188" s="104">
        <v>2023</v>
      </c>
      <c r="B188" s="105" t="s">
        <v>1111</v>
      </c>
      <c r="C188" s="556" t="s">
        <v>1171</v>
      </c>
      <c r="D188" s="106" t="s">
        <v>2415</v>
      </c>
      <c r="E188" s="150" t="s">
        <v>1172</v>
      </c>
      <c r="F188" s="71" t="s">
        <v>78</v>
      </c>
      <c r="G188" s="68" t="s">
        <v>156</v>
      </c>
      <c r="H188" s="386">
        <v>8767</v>
      </c>
      <c r="I188" s="388"/>
      <c r="J188" s="424"/>
      <c r="K188" s="462">
        <v>8767</v>
      </c>
      <c r="L188" s="387">
        <v>9125</v>
      </c>
      <c r="M188" s="387">
        <v>6348</v>
      </c>
      <c r="N188" s="390"/>
      <c r="O188" s="387">
        <v>1718</v>
      </c>
      <c r="P188" s="389">
        <v>0</v>
      </c>
      <c r="Q188" s="387">
        <v>8495</v>
      </c>
      <c r="R188" s="388">
        <v>2502</v>
      </c>
      <c r="S188" s="387">
        <v>2502</v>
      </c>
      <c r="T188" s="388">
        <v>246</v>
      </c>
      <c r="U188" s="426">
        <v>424</v>
      </c>
      <c r="V188" s="388"/>
      <c r="W188" s="462">
        <v>20363</v>
      </c>
      <c r="X188" s="387"/>
      <c r="Y188" s="387"/>
      <c r="Z188" s="391"/>
      <c r="AA188" s="387"/>
      <c r="AB188" s="462">
        <v>0</v>
      </c>
      <c r="AC188" s="387"/>
      <c r="AD188" s="387"/>
      <c r="AE188" s="388"/>
      <c r="AF188" s="392"/>
      <c r="AG188" s="387"/>
      <c r="AH188" s="388"/>
      <c r="AI188" s="388"/>
      <c r="AJ188" s="462">
        <v>0</v>
      </c>
      <c r="AK188" s="388">
        <v>486488.45400000003</v>
      </c>
      <c r="AL188" s="388">
        <v>299020.364</v>
      </c>
      <c r="AM188" s="388">
        <v>187468.09</v>
      </c>
      <c r="AN188" s="388">
        <v>11884.42</v>
      </c>
      <c r="AO188" s="467">
        <v>0.6146504845930012</v>
      </c>
      <c r="AP188" s="468">
        <v>32247.42</v>
      </c>
      <c r="AQ188" s="468">
        <v>-23480.42</v>
      </c>
      <c r="AR188" s="393"/>
      <c r="AS188" s="394"/>
      <c r="AT188" s="394"/>
      <c r="AU188" s="395"/>
      <c r="AV188" s="471"/>
      <c r="AW188" s="388">
        <v>486488454</v>
      </c>
      <c r="AX188" s="424">
        <v>299020364</v>
      </c>
      <c r="AY188" s="424">
        <v>187468090</v>
      </c>
      <c r="AZ188" s="424">
        <v>11884420</v>
      </c>
      <c r="BA188" s="472">
        <v>0.6146504845930012</v>
      </c>
      <c r="BB188" s="453">
        <v>166566</v>
      </c>
      <c r="BC188" s="390">
        <v>30263</v>
      </c>
      <c r="BD188" s="236">
        <v>0</v>
      </c>
    </row>
    <row r="189" spans="1:58" s="121" customFormat="1" ht="14.25" customHeight="1">
      <c r="A189" s="104">
        <v>2023</v>
      </c>
      <c r="B189" s="105" t="s">
        <v>1112</v>
      </c>
      <c r="C189" s="556" t="s">
        <v>1178</v>
      </c>
      <c r="D189" s="106" t="s">
        <v>2415</v>
      </c>
      <c r="E189" s="150" t="s">
        <v>1179</v>
      </c>
      <c r="F189" s="71" t="s">
        <v>139</v>
      </c>
      <c r="G189" s="68" t="s">
        <v>1180</v>
      </c>
      <c r="H189" s="386">
        <v>260</v>
      </c>
      <c r="I189" s="388">
        <v>615</v>
      </c>
      <c r="J189" s="424"/>
      <c r="K189" s="462">
        <v>875</v>
      </c>
      <c r="L189" s="390"/>
      <c r="M189" s="390"/>
      <c r="N189" s="390"/>
      <c r="O189" s="390"/>
      <c r="P189" s="389">
        <v>0.27</v>
      </c>
      <c r="Q189" s="387">
        <v>8495</v>
      </c>
      <c r="R189" s="388"/>
      <c r="S189" s="387">
        <v>2294</v>
      </c>
      <c r="T189" s="390"/>
      <c r="U189" s="426">
        <v>376</v>
      </c>
      <c r="V189" s="387">
        <v>67103</v>
      </c>
      <c r="W189" s="462">
        <v>69773</v>
      </c>
      <c r="X189" s="387">
        <v>631</v>
      </c>
      <c r="Y189" s="387">
        <v>178</v>
      </c>
      <c r="Z189" s="391"/>
      <c r="AA189" s="387">
        <v>67103</v>
      </c>
      <c r="AB189" s="462">
        <v>67912</v>
      </c>
      <c r="AC189" s="387">
        <v>9790</v>
      </c>
      <c r="AD189" s="387">
        <v>16052</v>
      </c>
      <c r="AE189" s="388">
        <v>0</v>
      </c>
      <c r="AF189" s="392">
        <v>620</v>
      </c>
      <c r="AG189" s="387">
        <v>30467</v>
      </c>
      <c r="AH189" s="388">
        <v>6481</v>
      </c>
      <c r="AI189" s="388">
        <v>1376</v>
      </c>
      <c r="AJ189" s="462">
        <v>64786</v>
      </c>
      <c r="AK189" s="388">
        <v>1275094.2819999999</v>
      </c>
      <c r="AL189" s="388">
        <v>718843.19299999997</v>
      </c>
      <c r="AM189" s="388">
        <v>556251.08900000004</v>
      </c>
      <c r="AN189" s="388">
        <v>28364.254000000001</v>
      </c>
      <c r="AO189" s="467">
        <v>0.56375689480191704</v>
      </c>
      <c r="AP189" s="468">
        <v>98137.254000000001</v>
      </c>
      <c r="AQ189" s="468">
        <v>-97262.254000000001</v>
      </c>
      <c r="AR189" s="393"/>
      <c r="AS189" s="394"/>
      <c r="AT189" s="394"/>
      <c r="AU189" s="395"/>
      <c r="AV189" s="471"/>
      <c r="AW189" s="388">
        <v>1275094282</v>
      </c>
      <c r="AX189" s="424">
        <v>718843193</v>
      </c>
      <c r="AY189" s="424">
        <v>556251089</v>
      </c>
      <c r="AZ189" s="424">
        <v>28364254</v>
      </c>
      <c r="BA189" s="472">
        <v>0.56375689480191704</v>
      </c>
      <c r="BB189" s="453">
        <v>249063</v>
      </c>
      <c r="BC189" s="390">
        <v>20602</v>
      </c>
      <c r="BD189" s="236">
        <v>0</v>
      </c>
    </row>
    <row r="190" spans="1:58" s="121" customFormat="1" ht="14.25" customHeight="1">
      <c r="A190" s="104">
        <v>2023</v>
      </c>
      <c r="B190" s="105" t="s">
        <v>1116</v>
      </c>
      <c r="C190" s="556" t="s">
        <v>1190</v>
      </c>
      <c r="D190" s="106" t="s">
        <v>2415</v>
      </c>
      <c r="E190" s="150" t="s">
        <v>1191</v>
      </c>
      <c r="F190" s="71" t="s">
        <v>139</v>
      </c>
      <c r="G190" s="68" t="s">
        <v>1180</v>
      </c>
      <c r="H190" s="386"/>
      <c r="I190" s="387">
        <v>78553</v>
      </c>
      <c r="J190" s="424"/>
      <c r="K190" s="462">
        <v>78553</v>
      </c>
      <c r="L190" s="390"/>
      <c r="M190" s="390"/>
      <c r="N190" s="390"/>
      <c r="O190" s="387"/>
      <c r="P190" s="389">
        <v>0.15</v>
      </c>
      <c r="Q190" s="387">
        <v>8495</v>
      </c>
      <c r="R190" s="388"/>
      <c r="S190" s="387">
        <v>1274</v>
      </c>
      <c r="T190" s="388"/>
      <c r="U190" s="426">
        <v>90</v>
      </c>
      <c r="V190" s="387">
        <v>160016</v>
      </c>
      <c r="W190" s="462">
        <v>161380</v>
      </c>
      <c r="X190" s="387"/>
      <c r="Y190" s="387">
        <v>4296</v>
      </c>
      <c r="Z190" s="391"/>
      <c r="AA190" s="387">
        <v>160016</v>
      </c>
      <c r="AB190" s="462">
        <v>164312</v>
      </c>
      <c r="AC190" s="387">
        <v>3960</v>
      </c>
      <c r="AD190" s="387">
        <v>10628</v>
      </c>
      <c r="AE190" s="388">
        <v>0</v>
      </c>
      <c r="AF190" s="392">
        <v>133</v>
      </c>
      <c r="AG190" s="387">
        <v>134629</v>
      </c>
      <c r="AH190" s="388">
        <v>8090</v>
      </c>
      <c r="AI190" s="388">
        <v>1701</v>
      </c>
      <c r="AJ190" s="462">
        <v>159141</v>
      </c>
      <c r="AK190" s="388">
        <v>608216.43299999996</v>
      </c>
      <c r="AL190" s="388">
        <v>210055.666</v>
      </c>
      <c r="AM190" s="388">
        <v>398160.76699999999</v>
      </c>
      <c r="AN190" s="388">
        <v>17924.085999999999</v>
      </c>
      <c r="AO190" s="467">
        <v>0.34536335193034812</v>
      </c>
      <c r="AP190" s="468">
        <v>179304.08600000001</v>
      </c>
      <c r="AQ190" s="468">
        <v>-100751.08600000001</v>
      </c>
      <c r="AR190" s="393"/>
      <c r="AS190" s="394"/>
      <c r="AT190" s="394"/>
      <c r="AU190" s="395"/>
      <c r="AV190" s="471"/>
      <c r="AW190" s="388">
        <v>608216433</v>
      </c>
      <c r="AX190" s="424">
        <v>210055666</v>
      </c>
      <c r="AY190" s="424">
        <v>398160767</v>
      </c>
      <c r="AZ190" s="424">
        <v>17924086</v>
      </c>
      <c r="BA190" s="472">
        <v>0.34536335193034812</v>
      </c>
      <c r="BB190" s="453">
        <v>82128</v>
      </c>
      <c r="BC190" s="390">
        <v>3778</v>
      </c>
      <c r="BD190" s="236">
        <v>0</v>
      </c>
    </row>
    <row r="191" spans="1:58" s="121" customFormat="1" ht="14.25" customHeight="1">
      <c r="A191" s="104">
        <v>2023</v>
      </c>
      <c r="B191" s="105" t="s">
        <v>1119</v>
      </c>
      <c r="C191" s="556" t="s">
        <v>1199</v>
      </c>
      <c r="D191" s="106" t="s">
        <v>2415</v>
      </c>
      <c r="E191" s="150" t="s">
        <v>1200</v>
      </c>
      <c r="F191" s="71" t="s">
        <v>170</v>
      </c>
      <c r="G191" s="68" t="s">
        <v>2132</v>
      </c>
      <c r="H191" s="386">
        <v>161903</v>
      </c>
      <c r="I191" s="387">
        <v>20</v>
      </c>
      <c r="J191" s="424">
        <v>1496</v>
      </c>
      <c r="K191" s="462">
        <v>163419</v>
      </c>
      <c r="L191" s="387">
        <v>4141</v>
      </c>
      <c r="M191" s="387">
        <v>6303</v>
      </c>
      <c r="N191" s="388">
        <v>0</v>
      </c>
      <c r="O191" s="387">
        <v>1494</v>
      </c>
      <c r="P191" s="389">
        <v>24.05</v>
      </c>
      <c r="Q191" s="387">
        <v>8495</v>
      </c>
      <c r="R191" s="390">
        <v>123570</v>
      </c>
      <c r="S191" s="387">
        <v>327875</v>
      </c>
      <c r="T191" s="388">
        <v>34573</v>
      </c>
      <c r="U191" s="391"/>
      <c r="V191" s="387"/>
      <c r="W191" s="462">
        <v>374386</v>
      </c>
      <c r="X191" s="387"/>
      <c r="Y191" s="387"/>
      <c r="Z191" s="391"/>
      <c r="AA191" s="387"/>
      <c r="AB191" s="462">
        <v>0</v>
      </c>
      <c r="AC191" s="387"/>
      <c r="AD191" s="387"/>
      <c r="AE191" s="388"/>
      <c r="AF191" s="392"/>
      <c r="AG191" s="387"/>
      <c r="AH191" s="388"/>
      <c r="AI191" s="388"/>
      <c r="AJ191" s="462">
        <v>0</v>
      </c>
      <c r="AK191" s="388">
        <v>987403.65599999996</v>
      </c>
      <c r="AL191" s="388">
        <v>281993.35200000001</v>
      </c>
      <c r="AM191" s="388">
        <v>705410.304</v>
      </c>
      <c r="AN191" s="388">
        <v>35249.169000000002</v>
      </c>
      <c r="AO191" s="467">
        <v>0.28559075134718764</v>
      </c>
      <c r="AP191" s="468">
        <v>409635.16899999999</v>
      </c>
      <c r="AQ191" s="468">
        <v>-246216.16899999999</v>
      </c>
      <c r="AR191" s="393"/>
      <c r="AS191" s="394"/>
      <c r="AT191" s="394"/>
      <c r="AU191" s="395"/>
      <c r="AV191" s="471"/>
      <c r="AW191" s="388">
        <v>987403656</v>
      </c>
      <c r="AX191" s="424">
        <v>281993352</v>
      </c>
      <c r="AY191" s="424">
        <v>705410304</v>
      </c>
      <c r="AZ191" s="424">
        <v>35249169</v>
      </c>
      <c r="BA191" s="472">
        <v>0.28559075134718764</v>
      </c>
      <c r="BB191" s="453">
        <v>103639</v>
      </c>
      <c r="BC191" s="390">
        <v>14971</v>
      </c>
      <c r="BD191" s="236">
        <v>0</v>
      </c>
    </row>
    <row r="192" spans="1:58" s="121" customFormat="1" ht="14.25" customHeight="1">
      <c r="A192" s="104">
        <v>2023</v>
      </c>
      <c r="B192" s="105" t="s">
        <v>1120</v>
      </c>
      <c r="C192" s="556" t="s">
        <v>1205</v>
      </c>
      <c r="D192" s="106" t="s">
        <v>2415</v>
      </c>
      <c r="E192" s="150" t="s">
        <v>1206</v>
      </c>
      <c r="F192" s="71" t="s">
        <v>708</v>
      </c>
      <c r="G192" s="68" t="s">
        <v>1207</v>
      </c>
      <c r="H192" s="447">
        <v>32530</v>
      </c>
      <c r="I192" s="387">
        <v>0</v>
      </c>
      <c r="J192" s="424">
        <v>0</v>
      </c>
      <c r="K192" s="462">
        <v>32530</v>
      </c>
      <c r="L192" s="387">
        <v>0</v>
      </c>
      <c r="M192" s="387">
        <v>0</v>
      </c>
      <c r="N192" s="388">
        <v>0</v>
      </c>
      <c r="O192" s="387">
        <v>5788</v>
      </c>
      <c r="P192" s="448">
        <v>0.20334807327858501</v>
      </c>
      <c r="Q192" s="387">
        <v>8495</v>
      </c>
      <c r="R192" s="388">
        <v>248</v>
      </c>
      <c r="S192" s="387">
        <v>1975</v>
      </c>
      <c r="T192" s="388">
        <v>310</v>
      </c>
      <c r="U192" s="391">
        <v>235</v>
      </c>
      <c r="V192" s="387">
        <v>9869</v>
      </c>
      <c r="W192" s="462">
        <v>18177</v>
      </c>
      <c r="X192" s="387">
        <v>9869</v>
      </c>
      <c r="Y192" s="387">
        <v>0</v>
      </c>
      <c r="Z192" s="391">
        <v>0</v>
      </c>
      <c r="AA192" s="387">
        <v>0</v>
      </c>
      <c r="AB192" s="462">
        <v>9869</v>
      </c>
      <c r="AC192" s="387">
        <v>0</v>
      </c>
      <c r="AD192" s="387">
        <v>1601</v>
      </c>
      <c r="AE192" s="388">
        <v>0</v>
      </c>
      <c r="AF192" s="392">
        <v>5006</v>
      </c>
      <c r="AG192" s="387">
        <v>2496</v>
      </c>
      <c r="AH192" s="388">
        <v>726</v>
      </c>
      <c r="AI192" s="388">
        <v>0</v>
      </c>
      <c r="AJ192" s="462">
        <v>9829</v>
      </c>
      <c r="AK192" s="388">
        <v>1937809.5</v>
      </c>
      <c r="AL192" s="388">
        <v>1098913.7849999999</v>
      </c>
      <c r="AM192" s="388">
        <v>838895.71499999997</v>
      </c>
      <c r="AN192" s="388">
        <v>42631.807000000001</v>
      </c>
      <c r="AO192" s="467">
        <v>0.56709072021785423</v>
      </c>
      <c r="AP192" s="468">
        <v>60808.807000000001</v>
      </c>
      <c r="AQ192" s="468">
        <v>-28278.807000000001</v>
      </c>
      <c r="AR192" s="434"/>
      <c r="AS192" s="435"/>
      <c r="AT192" s="394"/>
      <c r="AU192" s="395"/>
      <c r="AV192" s="471"/>
      <c r="AW192" s="388">
        <v>1937809500</v>
      </c>
      <c r="AX192" s="424">
        <v>1098913785</v>
      </c>
      <c r="AY192" s="424">
        <v>838895715</v>
      </c>
      <c r="AZ192" s="424">
        <v>42631807</v>
      </c>
      <c r="BA192" s="472">
        <v>0.56709072021785423</v>
      </c>
      <c r="BB192" s="453" t="s">
        <v>825</v>
      </c>
      <c r="BC192" s="390" t="s">
        <v>825</v>
      </c>
      <c r="BD192" s="236" t="s">
        <v>825</v>
      </c>
    </row>
    <row r="193" spans="1:56" s="121" customFormat="1" ht="14.25" customHeight="1">
      <c r="A193" s="104">
        <v>2023</v>
      </c>
      <c r="B193" s="105" t="s">
        <v>1124</v>
      </c>
      <c r="C193" s="556" t="s">
        <v>1217</v>
      </c>
      <c r="D193" s="106" t="s">
        <v>2415</v>
      </c>
      <c r="E193" s="150" t="s">
        <v>1218</v>
      </c>
      <c r="F193" s="71" t="s">
        <v>708</v>
      </c>
      <c r="G193" s="109" t="s">
        <v>1207</v>
      </c>
      <c r="H193" s="449">
        <v>11136</v>
      </c>
      <c r="I193" s="387">
        <v>0</v>
      </c>
      <c r="J193" s="424">
        <v>0</v>
      </c>
      <c r="K193" s="462">
        <v>11136</v>
      </c>
      <c r="L193" s="387">
        <v>0</v>
      </c>
      <c r="M193" s="387">
        <v>0</v>
      </c>
      <c r="N193" s="388">
        <v>0</v>
      </c>
      <c r="O193" s="387"/>
      <c r="P193" s="448">
        <v>6.961465571699306E-2</v>
      </c>
      <c r="Q193" s="387">
        <v>8495</v>
      </c>
      <c r="R193" s="388">
        <v>84</v>
      </c>
      <c r="S193" s="387">
        <v>675</v>
      </c>
      <c r="T193" s="388">
        <v>106</v>
      </c>
      <c r="U193" s="391">
        <v>80</v>
      </c>
      <c r="V193" s="387">
        <v>3378</v>
      </c>
      <c r="W193" s="462">
        <v>4239</v>
      </c>
      <c r="X193" s="387">
        <v>3378</v>
      </c>
      <c r="Y193" s="387">
        <v>0</v>
      </c>
      <c r="Z193" s="391">
        <v>0</v>
      </c>
      <c r="AA193" s="387">
        <v>0</v>
      </c>
      <c r="AB193" s="462">
        <v>3378</v>
      </c>
      <c r="AC193" s="387">
        <v>0</v>
      </c>
      <c r="AD193" s="387">
        <v>548</v>
      </c>
      <c r="AE193" s="388">
        <v>0</v>
      </c>
      <c r="AF193" s="392">
        <v>1713</v>
      </c>
      <c r="AG193" s="387">
        <v>854</v>
      </c>
      <c r="AH193" s="388">
        <v>248</v>
      </c>
      <c r="AI193" s="388">
        <v>0</v>
      </c>
      <c r="AJ193" s="462">
        <v>3363</v>
      </c>
      <c r="AK193" s="388">
        <v>618571.4</v>
      </c>
      <c r="AL193" s="388">
        <v>339471.55599999998</v>
      </c>
      <c r="AM193" s="388">
        <v>279099.84399999998</v>
      </c>
      <c r="AN193" s="388">
        <v>13608.57</v>
      </c>
      <c r="AO193" s="467">
        <v>0.54879930756578787</v>
      </c>
      <c r="AP193" s="468">
        <v>17847.57</v>
      </c>
      <c r="AQ193" s="468">
        <v>-6711.57</v>
      </c>
      <c r="AR193" s="434"/>
      <c r="AS193" s="435"/>
      <c r="AT193" s="394"/>
      <c r="AU193" s="395"/>
      <c r="AV193" s="471"/>
      <c r="AW193" s="388">
        <v>618571400</v>
      </c>
      <c r="AX193" s="424">
        <v>339471556</v>
      </c>
      <c r="AY193" s="424">
        <v>279099844</v>
      </c>
      <c r="AZ193" s="424">
        <v>13608570</v>
      </c>
      <c r="BA193" s="472">
        <v>0.54879930756578787</v>
      </c>
      <c r="BB193" s="453" t="s">
        <v>825</v>
      </c>
      <c r="BC193" s="390" t="s">
        <v>825</v>
      </c>
      <c r="BD193" s="236" t="s">
        <v>825</v>
      </c>
    </row>
    <row r="194" spans="1:56" s="121" customFormat="1" ht="14.25" customHeight="1">
      <c r="A194" s="104">
        <v>2023</v>
      </c>
      <c r="B194" s="105" t="s">
        <v>1128</v>
      </c>
      <c r="C194" s="556" t="s">
        <v>1222</v>
      </c>
      <c r="D194" s="106" t="s">
        <v>2415</v>
      </c>
      <c r="E194" s="150" t="s">
        <v>1223</v>
      </c>
      <c r="F194" s="71" t="s">
        <v>708</v>
      </c>
      <c r="G194" s="109" t="s">
        <v>1207</v>
      </c>
      <c r="H194" s="449">
        <v>22859</v>
      </c>
      <c r="I194" s="387">
        <v>0</v>
      </c>
      <c r="J194" s="424">
        <v>0</v>
      </c>
      <c r="K194" s="462">
        <v>22859</v>
      </c>
      <c r="L194" s="387">
        <v>528</v>
      </c>
      <c r="M194" s="387">
        <v>0</v>
      </c>
      <c r="N194" s="388">
        <v>0</v>
      </c>
      <c r="O194" s="387">
        <v>232</v>
      </c>
      <c r="P194" s="448">
        <v>0.1428932406822489</v>
      </c>
      <c r="Q194" s="387">
        <v>8495</v>
      </c>
      <c r="R194" s="388">
        <v>174</v>
      </c>
      <c r="S194" s="387">
        <v>1388</v>
      </c>
      <c r="T194" s="388">
        <v>218</v>
      </c>
      <c r="U194" s="391">
        <v>165</v>
      </c>
      <c r="V194" s="387">
        <v>6935</v>
      </c>
      <c r="W194" s="462">
        <v>9466</v>
      </c>
      <c r="X194" s="387">
        <v>6935</v>
      </c>
      <c r="Y194" s="387">
        <v>0</v>
      </c>
      <c r="Z194" s="391">
        <v>0</v>
      </c>
      <c r="AA194" s="387">
        <v>0</v>
      </c>
      <c r="AB194" s="462">
        <v>6935</v>
      </c>
      <c r="AC194" s="387">
        <v>0</v>
      </c>
      <c r="AD194" s="387">
        <v>1125</v>
      </c>
      <c r="AE194" s="388">
        <v>0</v>
      </c>
      <c r="AF194" s="392">
        <v>3518</v>
      </c>
      <c r="AG194" s="387">
        <v>1754</v>
      </c>
      <c r="AH194" s="388">
        <v>510</v>
      </c>
      <c r="AI194" s="388">
        <v>0</v>
      </c>
      <c r="AJ194" s="462">
        <v>6907</v>
      </c>
      <c r="AK194" s="388">
        <v>1788581.486</v>
      </c>
      <c r="AL194" s="388">
        <v>1312541.128</v>
      </c>
      <c r="AM194" s="388">
        <v>476040.35800000001</v>
      </c>
      <c r="AN194" s="388">
        <v>29764.025000000001</v>
      </c>
      <c r="AO194" s="467">
        <v>0.73384474695384383</v>
      </c>
      <c r="AP194" s="468">
        <v>39230.025000000001</v>
      </c>
      <c r="AQ194" s="468">
        <v>-16371.025000000001</v>
      </c>
      <c r="AR194" s="434"/>
      <c r="AS194" s="435"/>
      <c r="AT194" s="394"/>
      <c r="AU194" s="395"/>
      <c r="AV194" s="471"/>
      <c r="AW194" s="388">
        <v>1788581486</v>
      </c>
      <c r="AX194" s="424">
        <v>1312541128</v>
      </c>
      <c r="AY194" s="424">
        <v>476040358</v>
      </c>
      <c r="AZ194" s="424">
        <v>29764025</v>
      </c>
      <c r="BA194" s="472">
        <v>0.73384474695384383</v>
      </c>
      <c r="BB194" s="453" t="s">
        <v>825</v>
      </c>
      <c r="BC194" s="390" t="s">
        <v>825</v>
      </c>
      <c r="BD194" s="236" t="s">
        <v>825</v>
      </c>
    </row>
    <row r="195" spans="1:56" s="121" customFormat="1" ht="14.25" customHeight="1">
      <c r="A195" s="104">
        <v>2023</v>
      </c>
      <c r="B195" s="105" t="s">
        <v>1132</v>
      </c>
      <c r="C195" s="556" t="s">
        <v>1226</v>
      </c>
      <c r="D195" s="106" t="s">
        <v>2415</v>
      </c>
      <c r="E195" s="150" t="s">
        <v>1227</v>
      </c>
      <c r="F195" s="71" t="s">
        <v>708</v>
      </c>
      <c r="G195" s="109" t="s">
        <v>1207</v>
      </c>
      <c r="H195" s="449">
        <v>586</v>
      </c>
      <c r="I195" s="387">
        <v>0</v>
      </c>
      <c r="J195" s="424">
        <v>0</v>
      </c>
      <c r="K195" s="462">
        <v>586</v>
      </c>
      <c r="L195" s="387">
        <v>4</v>
      </c>
      <c r="M195" s="387">
        <v>0</v>
      </c>
      <c r="N195" s="388">
        <v>0</v>
      </c>
      <c r="O195" s="387"/>
      <c r="P195" s="448">
        <v>3.6639292482627925E-3</v>
      </c>
      <c r="Q195" s="387">
        <v>8495</v>
      </c>
      <c r="R195" s="388">
        <v>4</v>
      </c>
      <c r="S195" s="387">
        <v>35</v>
      </c>
      <c r="T195" s="388">
        <v>5</v>
      </c>
      <c r="U195" s="391">
        <v>4</v>
      </c>
      <c r="V195" s="387">
        <v>177</v>
      </c>
      <c r="W195" s="462">
        <v>225</v>
      </c>
      <c r="X195" s="387">
        <v>177</v>
      </c>
      <c r="Y195" s="387">
        <v>0</v>
      </c>
      <c r="Z195" s="391">
        <v>0</v>
      </c>
      <c r="AA195" s="387">
        <v>0</v>
      </c>
      <c r="AB195" s="462">
        <v>177</v>
      </c>
      <c r="AC195" s="387">
        <v>0</v>
      </c>
      <c r="AD195" s="387">
        <v>28</v>
      </c>
      <c r="AE195" s="388">
        <v>0</v>
      </c>
      <c r="AF195" s="392">
        <v>90</v>
      </c>
      <c r="AG195" s="387">
        <v>44</v>
      </c>
      <c r="AH195" s="388">
        <v>13</v>
      </c>
      <c r="AI195" s="388">
        <v>0</v>
      </c>
      <c r="AJ195" s="462">
        <v>175</v>
      </c>
      <c r="AK195" s="388">
        <v>429539.52799999999</v>
      </c>
      <c r="AL195" s="388">
        <v>405984.58899999998</v>
      </c>
      <c r="AM195" s="388">
        <v>23554.938999999998</v>
      </c>
      <c r="AN195" s="388">
        <v>760.17899999999997</v>
      </c>
      <c r="AO195" s="467">
        <v>0.94516234836482849</v>
      </c>
      <c r="AP195" s="468">
        <v>985.17899999999997</v>
      </c>
      <c r="AQ195" s="468">
        <v>-399.17899999999997</v>
      </c>
      <c r="AR195" s="434"/>
      <c r="AS195" s="435"/>
      <c r="AT195" s="394"/>
      <c r="AU195" s="395"/>
      <c r="AV195" s="471"/>
      <c r="AW195" s="388">
        <v>429539528</v>
      </c>
      <c r="AX195" s="424">
        <v>405984589</v>
      </c>
      <c r="AY195" s="424">
        <v>23554939</v>
      </c>
      <c r="AZ195" s="424">
        <v>760179</v>
      </c>
      <c r="BA195" s="472">
        <v>0.94516234836482849</v>
      </c>
      <c r="BB195" s="453" t="s">
        <v>825</v>
      </c>
      <c r="BC195" s="390" t="s">
        <v>825</v>
      </c>
      <c r="BD195" s="236" t="s">
        <v>825</v>
      </c>
    </row>
    <row r="196" spans="1:56" s="121" customFormat="1" ht="14.25" customHeight="1">
      <c r="A196" s="104">
        <v>2023</v>
      </c>
      <c r="B196" s="105" t="s">
        <v>1145</v>
      </c>
      <c r="C196" s="556" t="s">
        <v>1229</v>
      </c>
      <c r="D196" s="106" t="s">
        <v>2415</v>
      </c>
      <c r="E196" s="150" t="s">
        <v>1230</v>
      </c>
      <c r="F196" s="71" t="s">
        <v>708</v>
      </c>
      <c r="G196" s="109" t="s">
        <v>1207</v>
      </c>
      <c r="H196" s="449">
        <v>1172</v>
      </c>
      <c r="I196" s="387">
        <v>0</v>
      </c>
      <c r="J196" s="424">
        <v>0</v>
      </c>
      <c r="K196" s="462">
        <v>1172</v>
      </c>
      <c r="L196" s="387">
        <v>4</v>
      </c>
      <c r="M196" s="387">
        <v>0</v>
      </c>
      <c r="N196" s="388">
        <v>0</v>
      </c>
      <c r="O196" s="387"/>
      <c r="P196" s="448">
        <v>7.327858496525585E-3</v>
      </c>
      <c r="Q196" s="387">
        <v>8495</v>
      </c>
      <c r="R196" s="388">
        <v>8</v>
      </c>
      <c r="S196" s="387">
        <v>70</v>
      </c>
      <c r="T196" s="388">
        <v>11</v>
      </c>
      <c r="U196" s="391">
        <v>8</v>
      </c>
      <c r="V196" s="387">
        <v>355</v>
      </c>
      <c r="W196" s="462">
        <v>448</v>
      </c>
      <c r="X196" s="387">
        <v>355</v>
      </c>
      <c r="Y196" s="387">
        <v>0</v>
      </c>
      <c r="Z196" s="391">
        <v>0</v>
      </c>
      <c r="AA196" s="387">
        <v>0</v>
      </c>
      <c r="AB196" s="462">
        <v>355</v>
      </c>
      <c r="AC196" s="387">
        <v>0</v>
      </c>
      <c r="AD196" s="387">
        <v>57</v>
      </c>
      <c r="AE196" s="388">
        <v>0</v>
      </c>
      <c r="AF196" s="392">
        <v>180</v>
      </c>
      <c r="AG196" s="387">
        <v>89</v>
      </c>
      <c r="AH196" s="388">
        <v>26</v>
      </c>
      <c r="AI196" s="388">
        <v>0</v>
      </c>
      <c r="AJ196" s="462">
        <v>352</v>
      </c>
      <c r="AK196" s="388">
        <v>267523.40000000002</v>
      </c>
      <c r="AL196" s="388">
        <v>247570.20699999999</v>
      </c>
      <c r="AM196" s="388">
        <v>19953.192999999999</v>
      </c>
      <c r="AN196" s="388">
        <v>557.97699999999998</v>
      </c>
      <c r="AO196" s="467">
        <v>0.92541514873091479</v>
      </c>
      <c r="AP196" s="468">
        <v>1005.977</v>
      </c>
      <c r="AQ196" s="468">
        <v>166.02300000000002</v>
      </c>
      <c r="AR196" s="434"/>
      <c r="AS196" s="435"/>
      <c r="AT196" s="394"/>
      <c r="AU196" s="395"/>
      <c r="AV196" s="471"/>
      <c r="AW196" s="388">
        <v>267523400</v>
      </c>
      <c r="AX196" s="424">
        <v>247570207</v>
      </c>
      <c r="AY196" s="424">
        <v>19953193</v>
      </c>
      <c r="AZ196" s="424">
        <v>557977</v>
      </c>
      <c r="BA196" s="472">
        <v>0.92541514873091479</v>
      </c>
      <c r="BB196" s="453" t="s">
        <v>825</v>
      </c>
      <c r="BC196" s="390" t="s">
        <v>825</v>
      </c>
      <c r="BD196" s="236" t="s">
        <v>825</v>
      </c>
    </row>
    <row r="197" spans="1:56" s="121" customFormat="1" ht="14.25" customHeight="1">
      <c r="A197" s="104">
        <v>2023</v>
      </c>
      <c r="B197" s="105" t="s">
        <v>1155</v>
      </c>
      <c r="C197" s="556" t="s">
        <v>1232</v>
      </c>
      <c r="D197" s="106" t="s">
        <v>2415</v>
      </c>
      <c r="E197" s="150" t="s">
        <v>1233</v>
      </c>
      <c r="F197" s="71" t="s">
        <v>708</v>
      </c>
      <c r="G197" s="109" t="s">
        <v>1207</v>
      </c>
      <c r="H197" s="449">
        <v>16118</v>
      </c>
      <c r="I197" s="387">
        <v>0</v>
      </c>
      <c r="J197" s="424">
        <v>0</v>
      </c>
      <c r="K197" s="462">
        <v>16118</v>
      </c>
      <c r="L197" s="387">
        <v>17</v>
      </c>
      <c r="M197" s="387">
        <v>0</v>
      </c>
      <c r="N197" s="388">
        <v>0</v>
      </c>
      <c r="O197" s="387">
        <v>588</v>
      </c>
      <c r="P197" s="448">
        <v>0.1007580543272268</v>
      </c>
      <c r="Q197" s="387">
        <v>8495</v>
      </c>
      <c r="R197" s="388">
        <v>122</v>
      </c>
      <c r="S197" s="387">
        <v>978</v>
      </c>
      <c r="T197" s="388">
        <v>153</v>
      </c>
      <c r="U197" s="391">
        <v>116</v>
      </c>
      <c r="V197" s="387">
        <v>4890</v>
      </c>
      <c r="W197" s="462">
        <v>6742</v>
      </c>
      <c r="X197" s="387">
        <v>4890</v>
      </c>
      <c r="Y197" s="387">
        <v>0</v>
      </c>
      <c r="Z197" s="391">
        <v>0</v>
      </c>
      <c r="AA197" s="387">
        <v>0</v>
      </c>
      <c r="AB197" s="462">
        <v>4890</v>
      </c>
      <c r="AC197" s="387">
        <v>0</v>
      </c>
      <c r="AD197" s="387">
        <v>793</v>
      </c>
      <c r="AE197" s="388">
        <v>0</v>
      </c>
      <c r="AF197" s="392">
        <v>2480</v>
      </c>
      <c r="AG197" s="387">
        <v>1236</v>
      </c>
      <c r="AH197" s="388">
        <v>360</v>
      </c>
      <c r="AI197" s="388">
        <v>0</v>
      </c>
      <c r="AJ197" s="462">
        <v>4869</v>
      </c>
      <c r="AK197" s="388">
        <v>703743.84699999995</v>
      </c>
      <c r="AL197" s="388">
        <v>488538.07900000003</v>
      </c>
      <c r="AM197" s="388">
        <v>215205.76800000001</v>
      </c>
      <c r="AN197" s="388">
        <v>5579.3370000000004</v>
      </c>
      <c r="AO197" s="467">
        <v>0.6941987217118788</v>
      </c>
      <c r="AP197" s="468">
        <v>12321.337</v>
      </c>
      <c r="AQ197" s="468">
        <v>3796.6630000000005</v>
      </c>
      <c r="AR197" s="434"/>
      <c r="AS197" s="435"/>
      <c r="AT197" s="394"/>
      <c r="AU197" s="395"/>
      <c r="AV197" s="471"/>
      <c r="AW197" s="388">
        <v>703743847</v>
      </c>
      <c r="AX197" s="424">
        <v>488538079</v>
      </c>
      <c r="AY197" s="424">
        <v>215205768</v>
      </c>
      <c r="AZ197" s="424">
        <v>5579337</v>
      </c>
      <c r="BA197" s="472">
        <v>0.6941987217118788</v>
      </c>
      <c r="BB197" s="453" t="s">
        <v>825</v>
      </c>
      <c r="BC197" s="390" t="s">
        <v>825</v>
      </c>
      <c r="BD197" s="236" t="s">
        <v>825</v>
      </c>
    </row>
    <row r="198" spans="1:56" s="121" customFormat="1" ht="14.25" customHeight="1">
      <c r="A198" s="104">
        <v>2023</v>
      </c>
      <c r="B198" s="105" t="s">
        <v>1164</v>
      </c>
      <c r="C198" s="556" t="s">
        <v>1236</v>
      </c>
      <c r="D198" s="106" t="s">
        <v>2415</v>
      </c>
      <c r="E198" s="150" t="s">
        <v>1237</v>
      </c>
      <c r="F198" s="71" t="s">
        <v>708</v>
      </c>
      <c r="G198" s="109" t="s">
        <v>1207</v>
      </c>
      <c r="H198" s="449">
        <v>60665</v>
      </c>
      <c r="I198" s="387">
        <v>0</v>
      </c>
      <c r="J198" s="424">
        <v>0</v>
      </c>
      <c r="K198" s="462">
        <v>60665</v>
      </c>
      <c r="L198" s="387">
        <v>0</v>
      </c>
      <c r="M198" s="387">
        <v>0</v>
      </c>
      <c r="N198" s="388">
        <v>0</v>
      </c>
      <c r="O198" s="387">
        <v>363</v>
      </c>
      <c r="P198" s="448">
        <v>0.37921667719519903</v>
      </c>
      <c r="Q198" s="387">
        <v>8495</v>
      </c>
      <c r="R198" s="388">
        <v>462</v>
      </c>
      <c r="S198" s="387">
        <v>3683</v>
      </c>
      <c r="T198" s="388">
        <v>579</v>
      </c>
      <c r="U198" s="391">
        <v>439</v>
      </c>
      <c r="V198" s="387">
        <v>18406</v>
      </c>
      <c r="W198" s="462">
        <v>23470</v>
      </c>
      <c r="X198" s="387">
        <v>18406</v>
      </c>
      <c r="Y198" s="387">
        <v>0</v>
      </c>
      <c r="Z198" s="391">
        <v>0</v>
      </c>
      <c r="AA198" s="387">
        <v>0</v>
      </c>
      <c r="AB198" s="462">
        <v>18406</v>
      </c>
      <c r="AC198" s="387">
        <v>0</v>
      </c>
      <c r="AD198" s="387">
        <v>2986</v>
      </c>
      <c r="AE198" s="388">
        <v>0</v>
      </c>
      <c r="AF198" s="392">
        <v>9336</v>
      </c>
      <c r="AG198" s="387">
        <v>4655</v>
      </c>
      <c r="AH198" s="388">
        <v>1354</v>
      </c>
      <c r="AI198" s="388">
        <v>0</v>
      </c>
      <c r="AJ198" s="462">
        <v>18331</v>
      </c>
      <c r="AK198" s="388">
        <v>2089611.5719999999</v>
      </c>
      <c r="AL198" s="388">
        <v>1991869.9850000001</v>
      </c>
      <c r="AM198" s="388">
        <v>97741.587</v>
      </c>
      <c r="AN198" s="388">
        <v>4897.1840000000002</v>
      </c>
      <c r="AO198" s="467">
        <v>0.95322499726279275</v>
      </c>
      <c r="AP198" s="468">
        <v>28367.184000000001</v>
      </c>
      <c r="AQ198" s="468">
        <v>32297.815999999999</v>
      </c>
      <c r="AR198" s="434"/>
      <c r="AS198" s="435"/>
      <c r="AT198" s="394"/>
      <c r="AU198" s="395"/>
      <c r="AV198" s="471"/>
      <c r="AW198" s="388">
        <v>2089611572</v>
      </c>
      <c r="AX198" s="424">
        <v>1991869985</v>
      </c>
      <c r="AY198" s="424">
        <v>97741587</v>
      </c>
      <c r="AZ198" s="424">
        <v>4897184</v>
      </c>
      <c r="BA198" s="472">
        <v>0.95322499726279275</v>
      </c>
      <c r="BB198" s="453" t="s">
        <v>825</v>
      </c>
      <c r="BC198" s="390" t="s">
        <v>825</v>
      </c>
      <c r="BD198" s="236" t="s">
        <v>825</v>
      </c>
    </row>
    <row r="199" spans="1:56" s="121" customFormat="1" ht="14.25" customHeight="1">
      <c r="A199" s="104">
        <v>2023</v>
      </c>
      <c r="B199" s="105" t="s">
        <v>1170</v>
      </c>
      <c r="C199" s="556" t="s">
        <v>1239</v>
      </c>
      <c r="D199" s="106" t="s">
        <v>2415</v>
      </c>
      <c r="E199" s="150" t="s">
        <v>1240</v>
      </c>
      <c r="F199" s="71" t="s">
        <v>708</v>
      </c>
      <c r="G199" s="109" t="s">
        <v>1207</v>
      </c>
      <c r="H199" s="449">
        <v>31651</v>
      </c>
      <c r="I199" s="387">
        <v>0</v>
      </c>
      <c r="J199" s="424">
        <v>0</v>
      </c>
      <c r="K199" s="462">
        <v>31651</v>
      </c>
      <c r="L199" s="387">
        <v>0</v>
      </c>
      <c r="M199" s="387">
        <v>0</v>
      </c>
      <c r="N199" s="388">
        <v>0</v>
      </c>
      <c r="O199" s="387">
        <v>1707</v>
      </c>
      <c r="P199" s="448">
        <v>0.19785217940619079</v>
      </c>
      <c r="Q199" s="387">
        <v>8495</v>
      </c>
      <c r="R199" s="388">
        <v>241</v>
      </c>
      <c r="S199" s="387">
        <v>1922</v>
      </c>
      <c r="T199" s="388">
        <v>302</v>
      </c>
      <c r="U199" s="391">
        <v>229</v>
      </c>
      <c r="V199" s="387">
        <v>9603</v>
      </c>
      <c r="W199" s="462">
        <v>13763</v>
      </c>
      <c r="X199" s="387">
        <v>9603</v>
      </c>
      <c r="Y199" s="387">
        <v>0</v>
      </c>
      <c r="Z199" s="391">
        <v>0</v>
      </c>
      <c r="AA199" s="387">
        <v>0</v>
      </c>
      <c r="AB199" s="462">
        <v>9603</v>
      </c>
      <c r="AC199" s="387">
        <v>0</v>
      </c>
      <c r="AD199" s="387">
        <v>1558</v>
      </c>
      <c r="AE199" s="388">
        <v>0</v>
      </c>
      <c r="AF199" s="392">
        <v>4871</v>
      </c>
      <c r="AG199" s="387">
        <v>2429</v>
      </c>
      <c r="AH199" s="388">
        <v>706</v>
      </c>
      <c r="AI199" s="388">
        <v>0</v>
      </c>
      <c r="AJ199" s="462">
        <v>9564</v>
      </c>
      <c r="AK199" s="388">
        <v>1856908.246</v>
      </c>
      <c r="AL199" s="388">
        <v>1226979.3959999999</v>
      </c>
      <c r="AM199" s="388">
        <v>629928.85</v>
      </c>
      <c r="AN199" s="388">
        <v>10372.227999999999</v>
      </c>
      <c r="AO199" s="467">
        <v>0.66076468702374436</v>
      </c>
      <c r="AP199" s="468">
        <v>24135.227999999999</v>
      </c>
      <c r="AQ199" s="468">
        <v>7515.7720000000008</v>
      </c>
      <c r="AR199" s="434"/>
      <c r="AS199" s="435"/>
      <c r="AT199" s="394"/>
      <c r="AU199" s="395"/>
      <c r="AV199" s="471"/>
      <c r="AW199" s="388">
        <v>1856908246</v>
      </c>
      <c r="AX199" s="424">
        <v>1226979396</v>
      </c>
      <c r="AY199" s="424">
        <v>629928850</v>
      </c>
      <c r="AZ199" s="424">
        <v>10372228</v>
      </c>
      <c r="BA199" s="472">
        <v>0.66076468702374436</v>
      </c>
      <c r="BB199" s="453" t="s">
        <v>825</v>
      </c>
      <c r="BC199" s="390" t="s">
        <v>825</v>
      </c>
      <c r="BD199" s="236" t="s">
        <v>825</v>
      </c>
    </row>
    <row r="200" spans="1:56" s="121" customFormat="1" ht="14.25" customHeight="1">
      <c r="A200" s="104">
        <v>2023</v>
      </c>
      <c r="B200" s="105" t="s">
        <v>1177</v>
      </c>
      <c r="C200" s="556" t="s">
        <v>1242</v>
      </c>
      <c r="D200" s="106" t="s">
        <v>2415</v>
      </c>
      <c r="E200" s="150" t="s">
        <v>1243</v>
      </c>
      <c r="F200" s="71" t="s">
        <v>708</v>
      </c>
      <c r="G200" s="109" t="s">
        <v>1207</v>
      </c>
      <c r="H200" s="449">
        <v>4982</v>
      </c>
      <c r="I200" s="387">
        <v>0</v>
      </c>
      <c r="J200" s="424">
        <v>0</v>
      </c>
      <c r="K200" s="462">
        <v>4982</v>
      </c>
      <c r="L200" s="387">
        <v>0</v>
      </c>
      <c r="M200" s="387">
        <v>0</v>
      </c>
      <c r="N200" s="388">
        <v>0</v>
      </c>
      <c r="O200" s="387"/>
      <c r="P200" s="448">
        <v>3.1143398610233734E-2</v>
      </c>
      <c r="Q200" s="387">
        <v>8495</v>
      </c>
      <c r="R200" s="388">
        <v>37</v>
      </c>
      <c r="S200" s="387">
        <v>302</v>
      </c>
      <c r="T200" s="388">
        <v>47</v>
      </c>
      <c r="U200" s="391">
        <v>36</v>
      </c>
      <c r="V200" s="387">
        <v>1511</v>
      </c>
      <c r="W200" s="462">
        <v>1896</v>
      </c>
      <c r="X200" s="387">
        <v>1511</v>
      </c>
      <c r="Y200" s="387">
        <v>0</v>
      </c>
      <c r="Z200" s="391">
        <v>0</v>
      </c>
      <c r="AA200" s="387">
        <v>0</v>
      </c>
      <c r="AB200" s="462">
        <v>1511</v>
      </c>
      <c r="AC200" s="387">
        <v>0</v>
      </c>
      <c r="AD200" s="387">
        <v>245</v>
      </c>
      <c r="AE200" s="388">
        <v>0</v>
      </c>
      <c r="AF200" s="392">
        <v>766</v>
      </c>
      <c r="AG200" s="387">
        <v>382</v>
      </c>
      <c r="AH200" s="388">
        <v>111</v>
      </c>
      <c r="AI200" s="388">
        <v>0</v>
      </c>
      <c r="AJ200" s="462">
        <v>1504</v>
      </c>
      <c r="AK200" s="388">
        <v>193948.52499999999</v>
      </c>
      <c r="AL200" s="388">
        <v>151506.136</v>
      </c>
      <c r="AM200" s="388">
        <v>42442.389000000003</v>
      </c>
      <c r="AN200" s="388">
        <v>1153.2750000000001</v>
      </c>
      <c r="AO200" s="467">
        <v>0.78116673483337906</v>
      </c>
      <c r="AP200" s="468">
        <v>3049.2750000000001</v>
      </c>
      <c r="AQ200" s="468">
        <v>1932.7249999999999</v>
      </c>
      <c r="AR200" s="434"/>
      <c r="AS200" s="435"/>
      <c r="AT200" s="394"/>
      <c r="AU200" s="395"/>
      <c r="AV200" s="471"/>
      <c r="AW200" s="388">
        <v>193948525</v>
      </c>
      <c r="AX200" s="424">
        <v>151506136</v>
      </c>
      <c r="AY200" s="424">
        <v>42442389</v>
      </c>
      <c r="AZ200" s="424">
        <v>1153275</v>
      </c>
      <c r="BA200" s="472">
        <v>0.78116673483337906</v>
      </c>
      <c r="BB200" s="453" t="s">
        <v>825</v>
      </c>
      <c r="BC200" s="390" t="s">
        <v>825</v>
      </c>
      <c r="BD200" s="236" t="s">
        <v>825</v>
      </c>
    </row>
    <row r="201" spans="1:56" s="121" customFormat="1" ht="14.25" customHeight="1">
      <c r="A201" s="104">
        <v>2023</v>
      </c>
      <c r="B201" s="105" t="s">
        <v>1189</v>
      </c>
      <c r="C201" s="556" t="s">
        <v>1246</v>
      </c>
      <c r="D201" s="106" t="s">
        <v>2415</v>
      </c>
      <c r="E201" s="150" t="s">
        <v>1247</v>
      </c>
      <c r="F201" s="71" t="s">
        <v>708</v>
      </c>
      <c r="G201" s="109" t="s">
        <v>1207</v>
      </c>
      <c r="H201" s="449">
        <v>34289</v>
      </c>
      <c r="I201" s="387">
        <v>0</v>
      </c>
      <c r="J201" s="424">
        <v>0</v>
      </c>
      <c r="K201" s="462">
        <v>34289</v>
      </c>
      <c r="L201" s="387">
        <v>0</v>
      </c>
      <c r="M201" s="387">
        <v>0</v>
      </c>
      <c r="N201" s="388">
        <v>0</v>
      </c>
      <c r="O201" s="387"/>
      <c r="P201" s="448">
        <v>0.21433986102337338</v>
      </c>
      <c r="Q201" s="387">
        <v>8495</v>
      </c>
      <c r="R201" s="388">
        <v>261</v>
      </c>
      <c r="S201" s="387">
        <v>2082</v>
      </c>
      <c r="T201" s="388">
        <v>327</v>
      </c>
      <c r="U201" s="391">
        <v>248</v>
      </c>
      <c r="V201" s="387">
        <v>10403</v>
      </c>
      <c r="W201" s="462">
        <v>13060</v>
      </c>
      <c r="X201" s="387">
        <v>10403</v>
      </c>
      <c r="Y201" s="387">
        <v>0</v>
      </c>
      <c r="Z201" s="391">
        <v>0</v>
      </c>
      <c r="AA201" s="387">
        <v>0</v>
      </c>
      <c r="AB201" s="462">
        <v>10403</v>
      </c>
      <c r="AC201" s="387">
        <v>0</v>
      </c>
      <c r="AD201" s="387">
        <v>1687</v>
      </c>
      <c r="AE201" s="388">
        <v>0</v>
      </c>
      <c r="AF201" s="392">
        <v>5277</v>
      </c>
      <c r="AG201" s="387">
        <v>2631</v>
      </c>
      <c r="AH201" s="388">
        <v>765</v>
      </c>
      <c r="AI201" s="388">
        <v>0</v>
      </c>
      <c r="AJ201" s="462">
        <v>10360</v>
      </c>
      <c r="AK201" s="388">
        <v>1079525.524</v>
      </c>
      <c r="AL201" s="388">
        <v>972858.81799999997</v>
      </c>
      <c r="AM201" s="388">
        <v>106666.70600000001</v>
      </c>
      <c r="AN201" s="388">
        <v>3921.6559999999999</v>
      </c>
      <c r="AO201" s="467">
        <v>0.90119112181362371</v>
      </c>
      <c r="AP201" s="468">
        <v>16981.655999999999</v>
      </c>
      <c r="AQ201" s="468">
        <v>17307.344000000001</v>
      </c>
      <c r="AR201" s="434"/>
      <c r="AS201" s="435"/>
      <c r="AT201" s="394"/>
      <c r="AU201" s="395"/>
      <c r="AV201" s="471"/>
      <c r="AW201" s="388">
        <v>1079525524</v>
      </c>
      <c r="AX201" s="424">
        <v>972858818</v>
      </c>
      <c r="AY201" s="424">
        <v>106666706</v>
      </c>
      <c r="AZ201" s="424">
        <v>3921656</v>
      </c>
      <c r="BA201" s="472">
        <v>0.90119112181362371</v>
      </c>
      <c r="BB201" s="453" t="s">
        <v>825</v>
      </c>
      <c r="BC201" s="390" t="s">
        <v>825</v>
      </c>
      <c r="BD201" s="236" t="s">
        <v>825</v>
      </c>
    </row>
    <row r="202" spans="1:56" s="121" customFormat="1" ht="14.25" customHeight="1">
      <c r="A202" s="104">
        <v>2023</v>
      </c>
      <c r="B202" s="105" t="s">
        <v>1195</v>
      </c>
      <c r="C202" s="556" t="s">
        <v>1250</v>
      </c>
      <c r="D202" s="106" t="s">
        <v>2415</v>
      </c>
      <c r="E202" s="150" t="s">
        <v>1251</v>
      </c>
      <c r="F202" s="71" t="s">
        <v>708</v>
      </c>
      <c r="G202" s="109" t="s">
        <v>1207</v>
      </c>
      <c r="H202" s="449">
        <v>6447</v>
      </c>
      <c r="I202" s="387">
        <v>0</v>
      </c>
      <c r="J202" s="424">
        <v>0</v>
      </c>
      <c r="K202" s="462">
        <v>6447</v>
      </c>
      <c r="L202" s="387">
        <v>0</v>
      </c>
      <c r="M202" s="387">
        <v>0</v>
      </c>
      <c r="N202" s="388">
        <v>0</v>
      </c>
      <c r="O202" s="387">
        <v>880</v>
      </c>
      <c r="P202" s="448">
        <v>4.0303221730890716E-2</v>
      </c>
      <c r="Q202" s="387">
        <v>8495</v>
      </c>
      <c r="R202" s="388">
        <v>49</v>
      </c>
      <c r="S202" s="387">
        <v>391</v>
      </c>
      <c r="T202" s="388">
        <v>61</v>
      </c>
      <c r="U202" s="391">
        <v>46</v>
      </c>
      <c r="V202" s="387">
        <v>1956</v>
      </c>
      <c r="W202" s="462">
        <v>3334</v>
      </c>
      <c r="X202" s="387">
        <v>1956</v>
      </c>
      <c r="Y202" s="387">
        <v>0</v>
      </c>
      <c r="Z202" s="391">
        <v>0</v>
      </c>
      <c r="AA202" s="387">
        <v>0</v>
      </c>
      <c r="AB202" s="462">
        <v>1956</v>
      </c>
      <c r="AC202" s="387">
        <v>0</v>
      </c>
      <c r="AD202" s="387">
        <v>317</v>
      </c>
      <c r="AE202" s="388">
        <v>0</v>
      </c>
      <c r="AF202" s="392">
        <v>992</v>
      </c>
      <c r="AG202" s="387">
        <v>494</v>
      </c>
      <c r="AH202" s="388">
        <v>144</v>
      </c>
      <c r="AI202" s="388">
        <v>0</v>
      </c>
      <c r="AJ202" s="462">
        <v>1947</v>
      </c>
      <c r="AK202" s="388">
        <v>231159.13500000001</v>
      </c>
      <c r="AL202" s="388">
        <v>220031.12899999999</v>
      </c>
      <c r="AM202" s="388">
        <v>11128.005999999999</v>
      </c>
      <c r="AN202" s="388">
        <v>318.77999999999997</v>
      </c>
      <c r="AO202" s="467">
        <v>0.95185997732687488</v>
      </c>
      <c r="AP202" s="468">
        <v>3652.7799999999997</v>
      </c>
      <c r="AQ202" s="468">
        <v>2794.2200000000003</v>
      </c>
      <c r="AR202" s="434"/>
      <c r="AS202" s="435"/>
      <c r="AT202" s="394"/>
      <c r="AU202" s="395"/>
      <c r="AV202" s="471"/>
      <c r="AW202" s="388">
        <v>231159135</v>
      </c>
      <c r="AX202" s="424">
        <v>220031129</v>
      </c>
      <c r="AY202" s="424">
        <v>11128006</v>
      </c>
      <c r="AZ202" s="424">
        <v>318780</v>
      </c>
      <c r="BA202" s="472">
        <v>0.95185997732687488</v>
      </c>
      <c r="BB202" s="453" t="s">
        <v>825</v>
      </c>
      <c r="BC202" s="390" t="s">
        <v>825</v>
      </c>
      <c r="BD202" s="236" t="s">
        <v>825</v>
      </c>
    </row>
    <row r="203" spans="1:56" s="121" customFormat="1" ht="14.25" customHeight="1">
      <c r="A203" s="104">
        <v>2023</v>
      </c>
      <c r="B203" s="105" t="s">
        <v>72</v>
      </c>
      <c r="C203" s="556" t="s">
        <v>1255</v>
      </c>
      <c r="D203" s="106" t="s">
        <v>2415</v>
      </c>
      <c r="E203" s="150" t="s">
        <v>1256</v>
      </c>
      <c r="F203" s="71" t="s">
        <v>708</v>
      </c>
      <c r="G203" s="109" t="s">
        <v>1207</v>
      </c>
      <c r="H203" s="449">
        <v>5568</v>
      </c>
      <c r="I203" s="387">
        <v>0</v>
      </c>
      <c r="J203" s="388">
        <v>0</v>
      </c>
      <c r="K203" s="462">
        <v>5568</v>
      </c>
      <c r="L203" s="387">
        <v>0</v>
      </c>
      <c r="M203" s="387">
        <v>0</v>
      </c>
      <c r="N203" s="388">
        <v>0</v>
      </c>
      <c r="O203" s="387"/>
      <c r="P203" s="448">
        <v>3.480732785849653E-2</v>
      </c>
      <c r="Q203" s="387">
        <v>8495</v>
      </c>
      <c r="R203" s="388">
        <v>42</v>
      </c>
      <c r="S203" s="387">
        <v>338</v>
      </c>
      <c r="T203" s="388">
        <v>53</v>
      </c>
      <c r="U203" s="391">
        <v>40</v>
      </c>
      <c r="V203" s="387">
        <v>1689</v>
      </c>
      <c r="W203" s="462">
        <v>2120</v>
      </c>
      <c r="X203" s="387">
        <v>1689</v>
      </c>
      <c r="Y203" s="387">
        <v>0</v>
      </c>
      <c r="Z203" s="391">
        <v>0</v>
      </c>
      <c r="AA203" s="387">
        <v>0</v>
      </c>
      <c r="AB203" s="462">
        <v>1689</v>
      </c>
      <c r="AC203" s="387">
        <v>0</v>
      </c>
      <c r="AD203" s="387">
        <v>274</v>
      </c>
      <c r="AE203" s="388">
        <v>0</v>
      </c>
      <c r="AF203" s="392">
        <v>856</v>
      </c>
      <c r="AG203" s="387">
        <v>427</v>
      </c>
      <c r="AH203" s="388">
        <v>124</v>
      </c>
      <c r="AI203" s="388">
        <v>0</v>
      </c>
      <c r="AJ203" s="462">
        <v>1681</v>
      </c>
      <c r="AK203" s="388">
        <v>156178.00399999999</v>
      </c>
      <c r="AL203" s="388">
        <v>85117.778000000006</v>
      </c>
      <c r="AM203" s="388">
        <v>71060.225999999995</v>
      </c>
      <c r="AN203" s="388">
        <v>2175.2020000000002</v>
      </c>
      <c r="AO203" s="467">
        <v>0.54500490350741071</v>
      </c>
      <c r="AP203" s="468">
        <v>4295.2020000000002</v>
      </c>
      <c r="AQ203" s="468">
        <v>1272.7979999999998</v>
      </c>
      <c r="AR203" s="434"/>
      <c r="AS203" s="435"/>
      <c r="AT203" s="394"/>
      <c r="AU203" s="395"/>
      <c r="AV203" s="471"/>
      <c r="AW203" s="388">
        <v>156178004</v>
      </c>
      <c r="AX203" s="424">
        <v>85117778</v>
      </c>
      <c r="AY203" s="424">
        <v>71060226</v>
      </c>
      <c r="AZ203" s="424">
        <v>2175202</v>
      </c>
      <c r="BA203" s="472">
        <v>0.54500490350741071</v>
      </c>
      <c r="BB203" s="453" t="s">
        <v>825</v>
      </c>
      <c r="BC203" s="390" t="s">
        <v>825</v>
      </c>
      <c r="BD203" s="236" t="s">
        <v>825</v>
      </c>
    </row>
    <row r="204" spans="1:56" s="121" customFormat="1" ht="14.25" customHeight="1">
      <c r="A204" s="104">
        <v>2023</v>
      </c>
      <c r="B204" s="105" t="s">
        <v>1197</v>
      </c>
      <c r="C204" s="556" t="s">
        <v>1259</v>
      </c>
      <c r="D204" s="106" t="s">
        <v>2415</v>
      </c>
      <c r="E204" s="150" t="s">
        <v>1260</v>
      </c>
      <c r="F204" s="71" t="s">
        <v>708</v>
      </c>
      <c r="G204" s="109" t="s">
        <v>1207</v>
      </c>
      <c r="H204" s="449">
        <v>8205</v>
      </c>
      <c r="I204" s="387">
        <v>0</v>
      </c>
      <c r="J204" s="388">
        <v>0</v>
      </c>
      <c r="K204" s="462">
        <v>8205</v>
      </c>
      <c r="L204" s="387">
        <v>0</v>
      </c>
      <c r="M204" s="387">
        <v>0</v>
      </c>
      <c r="N204" s="388">
        <v>0</v>
      </c>
      <c r="O204" s="387">
        <v>734</v>
      </c>
      <c r="P204" s="448">
        <v>5.1295009475679103E-2</v>
      </c>
      <c r="Q204" s="387">
        <v>8495</v>
      </c>
      <c r="R204" s="388">
        <v>62</v>
      </c>
      <c r="S204" s="387">
        <v>498</v>
      </c>
      <c r="T204" s="388">
        <v>78</v>
      </c>
      <c r="U204" s="391">
        <v>59</v>
      </c>
      <c r="V204" s="387">
        <v>2489</v>
      </c>
      <c r="W204" s="462">
        <v>3858</v>
      </c>
      <c r="X204" s="387">
        <v>2489</v>
      </c>
      <c r="Y204" s="387">
        <v>0</v>
      </c>
      <c r="Z204" s="391">
        <v>0</v>
      </c>
      <c r="AA204" s="387">
        <v>0</v>
      </c>
      <c r="AB204" s="462">
        <v>2489</v>
      </c>
      <c r="AC204" s="387">
        <v>0</v>
      </c>
      <c r="AD204" s="387">
        <v>403</v>
      </c>
      <c r="AE204" s="388">
        <v>0</v>
      </c>
      <c r="AF204" s="392">
        <v>1262</v>
      </c>
      <c r="AG204" s="387">
        <v>629</v>
      </c>
      <c r="AH204" s="388">
        <v>183</v>
      </c>
      <c r="AI204" s="388">
        <v>0</v>
      </c>
      <c r="AJ204" s="462">
        <v>2477</v>
      </c>
      <c r="AK204" s="388">
        <v>259260.22</v>
      </c>
      <c r="AL204" s="388">
        <v>233132.902</v>
      </c>
      <c r="AM204" s="388">
        <v>26127.317999999999</v>
      </c>
      <c r="AN204" s="388">
        <v>782.07100000000003</v>
      </c>
      <c r="AO204" s="467">
        <v>0.89922357544863607</v>
      </c>
      <c r="AP204" s="468">
        <v>4640.0709999999999</v>
      </c>
      <c r="AQ204" s="468">
        <v>3564.9290000000001</v>
      </c>
      <c r="AR204" s="434"/>
      <c r="AS204" s="435"/>
      <c r="AT204" s="394"/>
      <c r="AU204" s="395"/>
      <c r="AV204" s="471"/>
      <c r="AW204" s="388">
        <v>259260220</v>
      </c>
      <c r="AX204" s="424">
        <v>233132902</v>
      </c>
      <c r="AY204" s="424">
        <v>26127318</v>
      </c>
      <c r="AZ204" s="424">
        <v>782071</v>
      </c>
      <c r="BA204" s="472">
        <v>0.89922357544863607</v>
      </c>
      <c r="BB204" s="453" t="s">
        <v>825</v>
      </c>
      <c r="BC204" s="390" t="s">
        <v>825</v>
      </c>
      <c r="BD204" s="236" t="s">
        <v>825</v>
      </c>
    </row>
    <row r="205" spans="1:56" s="121" customFormat="1" ht="14.25" customHeight="1">
      <c r="A205" s="104">
        <v>2023</v>
      </c>
      <c r="B205" s="105" t="s">
        <v>1198</v>
      </c>
      <c r="C205" s="556" t="s">
        <v>1264</v>
      </c>
      <c r="D205" s="106" t="s">
        <v>2415</v>
      </c>
      <c r="E205" s="150" t="s">
        <v>1265</v>
      </c>
      <c r="F205" s="71" t="s">
        <v>708</v>
      </c>
      <c r="G205" s="109" t="s">
        <v>1207</v>
      </c>
      <c r="H205" s="449">
        <v>20807</v>
      </c>
      <c r="I205" s="387">
        <v>0</v>
      </c>
      <c r="J205" s="388">
        <v>0</v>
      </c>
      <c r="K205" s="462">
        <v>20807</v>
      </c>
      <c r="L205" s="387">
        <v>0</v>
      </c>
      <c r="M205" s="387">
        <v>0</v>
      </c>
      <c r="N205" s="388">
        <v>0</v>
      </c>
      <c r="O205" s="387">
        <v>259</v>
      </c>
      <c r="P205" s="448">
        <v>0.13006948831332912</v>
      </c>
      <c r="Q205" s="387">
        <v>8495</v>
      </c>
      <c r="R205" s="388">
        <v>158</v>
      </c>
      <c r="S205" s="387">
        <v>1263</v>
      </c>
      <c r="T205" s="388">
        <v>198</v>
      </c>
      <c r="U205" s="391">
        <v>150</v>
      </c>
      <c r="V205" s="387">
        <v>6313</v>
      </c>
      <c r="W205" s="462">
        <v>8183</v>
      </c>
      <c r="X205" s="387">
        <v>6313</v>
      </c>
      <c r="Y205" s="387">
        <v>0</v>
      </c>
      <c r="Z205" s="391">
        <v>0</v>
      </c>
      <c r="AA205" s="387">
        <v>0</v>
      </c>
      <c r="AB205" s="462">
        <v>6313</v>
      </c>
      <c r="AC205" s="387">
        <v>0</v>
      </c>
      <c r="AD205" s="387">
        <v>1024</v>
      </c>
      <c r="AE205" s="388">
        <v>0</v>
      </c>
      <c r="AF205" s="392">
        <v>3202</v>
      </c>
      <c r="AG205" s="387">
        <v>1596</v>
      </c>
      <c r="AH205" s="388">
        <v>464</v>
      </c>
      <c r="AI205" s="388">
        <v>0</v>
      </c>
      <c r="AJ205" s="462">
        <v>6286</v>
      </c>
      <c r="AK205" s="388">
        <v>776524.19499999995</v>
      </c>
      <c r="AL205" s="388">
        <v>602834.99699999997</v>
      </c>
      <c r="AM205" s="388">
        <v>173689.198</v>
      </c>
      <c r="AN205" s="388">
        <v>2792.8519999999999</v>
      </c>
      <c r="AO205" s="467">
        <v>0.77632480852705432</v>
      </c>
      <c r="AP205" s="468">
        <v>10975.851999999999</v>
      </c>
      <c r="AQ205" s="468">
        <v>9831.148000000001</v>
      </c>
      <c r="AR205" s="434"/>
      <c r="AS205" s="435"/>
      <c r="AT205" s="394"/>
      <c r="AU205" s="395"/>
      <c r="AV205" s="471"/>
      <c r="AW205" s="388">
        <v>776524195</v>
      </c>
      <c r="AX205" s="424">
        <v>602834997</v>
      </c>
      <c r="AY205" s="424">
        <v>173689198</v>
      </c>
      <c r="AZ205" s="424">
        <v>2792852</v>
      </c>
      <c r="BA205" s="472">
        <v>0.77632480852705432</v>
      </c>
      <c r="BB205" s="453" t="s">
        <v>825</v>
      </c>
      <c r="BC205" s="390" t="s">
        <v>825</v>
      </c>
      <c r="BD205" s="236" t="s">
        <v>825</v>
      </c>
    </row>
    <row r="206" spans="1:56" s="121" customFormat="1" ht="14.25" customHeight="1">
      <c r="A206" s="104">
        <v>2023</v>
      </c>
      <c r="B206" s="105" t="s">
        <v>1204</v>
      </c>
      <c r="C206" s="556" t="s">
        <v>1268</v>
      </c>
      <c r="D206" s="106" t="s">
        <v>2415</v>
      </c>
      <c r="E206" s="150" t="s">
        <v>1269</v>
      </c>
      <c r="F206" s="71" t="s">
        <v>708</v>
      </c>
      <c r="G206" s="109" t="s">
        <v>1207</v>
      </c>
      <c r="H206" s="449">
        <v>21980</v>
      </c>
      <c r="I206" s="387">
        <v>0</v>
      </c>
      <c r="J206" s="388">
        <v>0</v>
      </c>
      <c r="K206" s="462">
        <v>21980</v>
      </c>
      <c r="L206" s="450">
        <v>15</v>
      </c>
      <c r="M206" s="387">
        <v>0</v>
      </c>
      <c r="N206" s="388">
        <v>0</v>
      </c>
      <c r="O206" s="387">
        <v>536</v>
      </c>
      <c r="P206" s="448">
        <v>0.13739734680985471</v>
      </c>
      <c r="Q206" s="387">
        <v>8495</v>
      </c>
      <c r="R206" s="388">
        <v>167</v>
      </c>
      <c r="S206" s="387">
        <v>1334</v>
      </c>
      <c r="T206" s="388">
        <v>209</v>
      </c>
      <c r="U206" s="391">
        <v>159</v>
      </c>
      <c r="V206" s="387">
        <v>6668</v>
      </c>
      <c r="W206" s="462">
        <v>8921</v>
      </c>
      <c r="X206" s="387">
        <v>6668</v>
      </c>
      <c r="Y206" s="387">
        <v>0</v>
      </c>
      <c r="Z206" s="391">
        <v>0</v>
      </c>
      <c r="AA206" s="387">
        <v>0</v>
      </c>
      <c r="AB206" s="462">
        <v>6668</v>
      </c>
      <c r="AC206" s="387">
        <v>0</v>
      </c>
      <c r="AD206" s="387">
        <v>1081</v>
      </c>
      <c r="AE206" s="388">
        <v>0</v>
      </c>
      <c r="AF206" s="392">
        <v>3382</v>
      </c>
      <c r="AG206" s="387">
        <v>1686</v>
      </c>
      <c r="AH206" s="388">
        <v>490</v>
      </c>
      <c r="AI206" s="388">
        <v>0</v>
      </c>
      <c r="AJ206" s="462">
        <v>6639</v>
      </c>
      <c r="AK206" s="388">
        <v>762841.38500000001</v>
      </c>
      <c r="AL206" s="388">
        <v>596093.02</v>
      </c>
      <c r="AM206" s="388">
        <v>166748.36499999999</v>
      </c>
      <c r="AN206" s="388">
        <v>7770.8609999999999</v>
      </c>
      <c r="AO206" s="467">
        <v>0.78141148569174701</v>
      </c>
      <c r="AP206" s="468">
        <v>16691.861000000001</v>
      </c>
      <c r="AQ206" s="468">
        <v>5288.1389999999992</v>
      </c>
      <c r="AR206" s="434"/>
      <c r="AS206" s="435"/>
      <c r="AT206" s="394"/>
      <c r="AU206" s="395"/>
      <c r="AV206" s="471"/>
      <c r="AW206" s="388">
        <v>762841385</v>
      </c>
      <c r="AX206" s="424">
        <v>596093020</v>
      </c>
      <c r="AY206" s="424">
        <v>166748365</v>
      </c>
      <c r="AZ206" s="424">
        <v>7770861</v>
      </c>
      <c r="BA206" s="472">
        <v>0.78141148569174701</v>
      </c>
      <c r="BB206" s="453" t="s">
        <v>825</v>
      </c>
      <c r="BC206" s="390" t="s">
        <v>825</v>
      </c>
      <c r="BD206" s="236" t="s">
        <v>825</v>
      </c>
    </row>
    <row r="207" spans="1:56" s="121" customFormat="1" ht="14.25" customHeight="1">
      <c r="A207" s="104">
        <v>2023</v>
      </c>
      <c r="B207" s="105" t="s">
        <v>1216</v>
      </c>
      <c r="C207" s="556" t="s">
        <v>1271</v>
      </c>
      <c r="D207" s="106" t="s">
        <v>2415</v>
      </c>
      <c r="E207" s="150" t="s">
        <v>1272</v>
      </c>
      <c r="F207" s="71" t="s">
        <v>708</v>
      </c>
      <c r="G207" s="109" t="s">
        <v>1207</v>
      </c>
      <c r="H207" s="449">
        <v>6154</v>
      </c>
      <c r="I207" s="387">
        <v>0</v>
      </c>
      <c r="J207" s="388">
        <v>0</v>
      </c>
      <c r="K207" s="462">
        <v>6154</v>
      </c>
      <c r="L207" s="387">
        <v>0</v>
      </c>
      <c r="M207" s="387">
        <v>0</v>
      </c>
      <c r="N207" s="388">
        <v>0</v>
      </c>
      <c r="O207" s="387"/>
      <c r="P207" s="448">
        <v>3.8471257106759325E-2</v>
      </c>
      <c r="Q207" s="387">
        <v>8495</v>
      </c>
      <c r="R207" s="388">
        <v>46</v>
      </c>
      <c r="S207" s="387">
        <v>373</v>
      </c>
      <c r="T207" s="388">
        <v>58</v>
      </c>
      <c r="U207" s="391">
        <v>44</v>
      </c>
      <c r="V207" s="387">
        <v>1867</v>
      </c>
      <c r="W207" s="462">
        <v>2342</v>
      </c>
      <c r="X207" s="387">
        <v>1867</v>
      </c>
      <c r="Y207" s="387">
        <v>0</v>
      </c>
      <c r="Z207" s="391">
        <v>0</v>
      </c>
      <c r="AA207" s="387">
        <v>0</v>
      </c>
      <c r="AB207" s="462">
        <v>1867</v>
      </c>
      <c r="AC207" s="387">
        <v>0</v>
      </c>
      <c r="AD207" s="387">
        <v>302</v>
      </c>
      <c r="AE207" s="388">
        <v>0</v>
      </c>
      <c r="AF207" s="392">
        <v>947</v>
      </c>
      <c r="AG207" s="387">
        <v>472</v>
      </c>
      <c r="AH207" s="388">
        <v>137</v>
      </c>
      <c r="AI207" s="388">
        <v>0</v>
      </c>
      <c r="AJ207" s="462">
        <v>1858</v>
      </c>
      <c r="AK207" s="388">
        <v>244196.30900000001</v>
      </c>
      <c r="AL207" s="388">
        <v>227397.62299999999</v>
      </c>
      <c r="AM207" s="388">
        <v>16798.686000000002</v>
      </c>
      <c r="AN207" s="388">
        <v>471.58100000000002</v>
      </c>
      <c r="AO207" s="467">
        <v>0.93120827227572878</v>
      </c>
      <c r="AP207" s="468">
        <v>2813.5810000000001</v>
      </c>
      <c r="AQ207" s="468">
        <v>3340.4189999999999</v>
      </c>
      <c r="AR207" s="434"/>
      <c r="AS207" s="435"/>
      <c r="AT207" s="394"/>
      <c r="AU207" s="395"/>
      <c r="AV207" s="471"/>
      <c r="AW207" s="388">
        <v>244196309</v>
      </c>
      <c r="AX207" s="424">
        <v>227397623</v>
      </c>
      <c r="AY207" s="424">
        <v>16798686</v>
      </c>
      <c r="AZ207" s="424">
        <v>471581</v>
      </c>
      <c r="BA207" s="472">
        <v>0.93120827227572878</v>
      </c>
      <c r="BB207" s="453" t="s">
        <v>825</v>
      </c>
      <c r="BC207" s="390" t="s">
        <v>825</v>
      </c>
      <c r="BD207" s="236" t="s">
        <v>825</v>
      </c>
    </row>
    <row r="208" spans="1:56" s="121" customFormat="1" ht="14.25" customHeight="1">
      <c r="A208" s="104">
        <v>2023</v>
      </c>
      <c r="B208" s="105" t="s">
        <v>1221</v>
      </c>
      <c r="C208" s="556" t="s">
        <v>1275</v>
      </c>
      <c r="D208" s="106" t="s">
        <v>2415</v>
      </c>
      <c r="E208" s="150" t="s">
        <v>1276</v>
      </c>
      <c r="F208" s="71" t="s">
        <v>708</v>
      </c>
      <c r="G208" s="109" t="s">
        <v>1207</v>
      </c>
      <c r="H208" s="449">
        <v>4982</v>
      </c>
      <c r="I208" s="387">
        <v>0</v>
      </c>
      <c r="J208" s="388">
        <v>0</v>
      </c>
      <c r="K208" s="462">
        <v>4982</v>
      </c>
      <c r="L208" s="387">
        <v>0</v>
      </c>
      <c r="M208" s="387">
        <v>0</v>
      </c>
      <c r="N208" s="388">
        <v>0</v>
      </c>
      <c r="O208" s="387"/>
      <c r="P208" s="448">
        <v>3.1143398610233734E-2</v>
      </c>
      <c r="Q208" s="387">
        <v>8495</v>
      </c>
      <c r="R208" s="388">
        <v>37</v>
      </c>
      <c r="S208" s="387">
        <v>302</v>
      </c>
      <c r="T208" s="388">
        <v>47</v>
      </c>
      <c r="U208" s="391">
        <v>36</v>
      </c>
      <c r="V208" s="387">
        <v>1511</v>
      </c>
      <c r="W208" s="462">
        <v>1896</v>
      </c>
      <c r="X208" s="387">
        <v>1511</v>
      </c>
      <c r="Y208" s="387">
        <v>0</v>
      </c>
      <c r="Z208" s="391">
        <v>0</v>
      </c>
      <c r="AA208" s="387">
        <v>0</v>
      </c>
      <c r="AB208" s="462">
        <v>1511</v>
      </c>
      <c r="AC208" s="387">
        <v>0</v>
      </c>
      <c r="AD208" s="387">
        <v>245</v>
      </c>
      <c r="AE208" s="388">
        <v>0</v>
      </c>
      <c r="AF208" s="392">
        <v>766</v>
      </c>
      <c r="AG208" s="387">
        <v>382</v>
      </c>
      <c r="AH208" s="388">
        <v>111</v>
      </c>
      <c r="AI208" s="388">
        <v>0</v>
      </c>
      <c r="AJ208" s="462">
        <v>1504</v>
      </c>
      <c r="AK208" s="388">
        <v>240302.024</v>
      </c>
      <c r="AL208" s="388">
        <v>192565.93799999999</v>
      </c>
      <c r="AM208" s="388">
        <v>47736.086000000003</v>
      </c>
      <c r="AN208" s="388">
        <v>5295.8180000000002</v>
      </c>
      <c r="AO208" s="467">
        <v>0.80134962991406178</v>
      </c>
      <c r="AP208" s="468">
        <v>7191.8180000000002</v>
      </c>
      <c r="AQ208" s="468">
        <v>-2209.8180000000002</v>
      </c>
      <c r="AR208" s="434"/>
      <c r="AS208" s="435"/>
      <c r="AT208" s="394"/>
      <c r="AU208" s="395"/>
      <c r="AV208" s="471"/>
      <c r="AW208" s="388">
        <v>240302024</v>
      </c>
      <c r="AX208" s="424">
        <v>192565938</v>
      </c>
      <c r="AY208" s="424">
        <v>47736086</v>
      </c>
      <c r="AZ208" s="424">
        <v>5295818</v>
      </c>
      <c r="BA208" s="472">
        <v>0.80134962991406178</v>
      </c>
      <c r="BB208" s="453" t="s">
        <v>825</v>
      </c>
      <c r="BC208" s="390" t="s">
        <v>825</v>
      </c>
      <c r="BD208" s="236" t="s">
        <v>825</v>
      </c>
    </row>
    <row r="209" spans="1:56" s="121" customFormat="1" ht="14.25" customHeight="1">
      <c r="A209" s="104">
        <v>2023</v>
      </c>
      <c r="B209" s="105" t="s">
        <v>1225</v>
      </c>
      <c r="C209" s="556" t="s">
        <v>1279</v>
      </c>
      <c r="D209" s="106" t="s">
        <v>2415</v>
      </c>
      <c r="E209" s="150" t="s">
        <v>1280</v>
      </c>
      <c r="F209" s="71" t="s">
        <v>708</v>
      </c>
      <c r="G209" s="109" t="s">
        <v>1207</v>
      </c>
      <c r="H209" s="449">
        <v>6740</v>
      </c>
      <c r="I209" s="387">
        <v>0</v>
      </c>
      <c r="J209" s="388">
        <v>0</v>
      </c>
      <c r="K209" s="462">
        <v>6740</v>
      </c>
      <c r="L209" s="387">
        <v>0</v>
      </c>
      <c r="M209" s="387">
        <v>0</v>
      </c>
      <c r="N209" s="388">
        <v>0</v>
      </c>
      <c r="O209" s="387"/>
      <c r="P209" s="448">
        <v>4.2135186355022114E-2</v>
      </c>
      <c r="Q209" s="387">
        <v>8495</v>
      </c>
      <c r="R209" s="388">
        <v>51</v>
      </c>
      <c r="S209" s="387">
        <v>409</v>
      </c>
      <c r="T209" s="388">
        <v>64</v>
      </c>
      <c r="U209" s="391">
        <v>48</v>
      </c>
      <c r="V209" s="387">
        <v>2045</v>
      </c>
      <c r="W209" s="462">
        <v>2566</v>
      </c>
      <c r="X209" s="387">
        <v>2045</v>
      </c>
      <c r="Y209" s="387">
        <v>0</v>
      </c>
      <c r="Z209" s="391">
        <v>0</v>
      </c>
      <c r="AA209" s="387">
        <v>0</v>
      </c>
      <c r="AB209" s="462">
        <v>2045</v>
      </c>
      <c r="AC209" s="387">
        <v>0</v>
      </c>
      <c r="AD209" s="387">
        <v>331</v>
      </c>
      <c r="AE209" s="387">
        <v>0</v>
      </c>
      <c r="AF209" s="392">
        <v>1037</v>
      </c>
      <c r="AG209" s="387">
        <v>517</v>
      </c>
      <c r="AH209" s="387">
        <v>150</v>
      </c>
      <c r="AI209" s="387">
        <v>0</v>
      </c>
      <c r="AJ209" s="462">
        <v>2035</v>
      </c>
      <c r="AK209" s="388">
        <v>343118.1</v>
      </c>
      <c r="AL209" s="388">
        <v>244550.364</v>
      </c>
      <c r="AM209" s="388">
        <v>98567.736000000004</v>
      </c>
      <c r="AN209" s="388">
        <v>7548.598</v>
      </c>
      <c r="AO209" s="467">
        <v>0.71272941882109975</v>
      </c>
      <c r="AP209" s="468">
        <v>10114.598</v>
      </c>
      <c r="AQ209" s="468">
        <v>-3374.598</v>
      </c>
      <c r="AR209" s="434"/>
      <c r="AS209" s="435"/>
      <c r="AT209" s="394"/>
      <c r="AU209" s="395"/>
      <c r="AV209" s="471"/>
      <c r="AW209" s="388">
        <v>343118100</v>
      </c>
      <c r="AX209" s="424">
        <v>244550364</v>
      </c>
      <c r="AY209" s="424">
        <v>98567736</v>
      </c>
      <c r="AZ209" s="424">
        <v>7548598</v>
      </c>
      <c r="BA209" s="472">
        <v>0.71272941882109975</v>
      </c>
      <c r="BB209" s="453" t="s">
        <v>825</v>
      </c>
      <c r="BC209" s="390" t="s">
        <v>825</v>
      </c>
      <c r="BD209" s="236" t="s">
        <v>825</v>
      </c>
    </row>
    <row r="210" spans="1:56" s="121" customFormat="1" ht="14.25" customHeight="1">
      <c r="A210" s="104">
        <v>2023</v>
      </c>
      <c r="B210" s="105" t="s">
        <v>1228</v>
      </c>
      <c r="C210" s="556" t="s">
        <v>1283</v>
      </c>
      <c r="D210" s="106" t="s">
        <v>2415</v>
      </c>
      <c r="E210" s="150" t="s">
        <v>1284</v>
      </c>
      <c r="F210" s="71" t="s">
        <v>708</v>
      </c>
      <c r="G210" s="109" t="s">
        <v>1207</v>
      </c>
      <c r="H210" s="449">
        <v>13481</v>
      </c>
      <c r="I210" s="387">
        <v>0</v>
      </c>
      <c r="J210" s="388">
        <v>0</v>
      </c>
      <c r="K210" s="462">
        <v>13481</v>
      </c>
      <c r="L210" s="387">
        <v>20</v>
      </c>
      <c r="M210" s="387">
        <v>0</v>
      </c>
      <c r="N210" s="388">
        <v>0</v>
      </c>
      <c r="O210" s="387">
        <v>1267</v>
      </c>
      <c r="P210" s="448">
        <v>8.4270372710044228E-2</v>
      </c>
      <c r="Q210" s="387">
        <v>8495</v>
      </c>
      <c r="R210" s="388">
        <v>102</v>
      </c>
      <c r="S210" s="387">
        <v>818</v>
      </c>
      <c r="T210" s="388">
        <v>128</v>
      </c>
      <c r="U210" s="391">
        <v>97</v>
      </c>
      <c r="V210" s="387">
        <v>4090</v>
      </c>
      <c r="W210" s="462">
        <v>6420</v>
      </c>
      <c r="X210" s="387">
        <v>4090</v>
      </c>
      <c r="Y210" s="387">
        <v>0</v>
      </c>
      <c r="Z210" s="391">
        <v>0</v>
      </c>
      <c r="AA210" s="387">
        <v>0</v>
      </c>
      <c r="AB210" s="462">
        <v>4090</v>
      </c>
      <c r="AC210" s="387">
        <v>0</v>
      </c>
      <c r="AD210" s="387">
        <v>663</v>
      </c>
      <c r="AE210" s="387">
        <v>0</v>
      </c>
      <c r="AF210" s="387">
        <v>2074</v>
      </c>
      <c r="AG210" s="387">
        <v>1034</v>
      </c>
      <c r="AH210" s="387">
        <v>301</v>
      </c>
      <c r="AI210" s="387">
        <v>0</v>
      </c>
      <c r="AJ210" s="462">
        <v>4072</v>
      </c>
      <c r="AK210" s="388">
        <v>1087534.736</v>
      </c>
      <c r="AL210" s="388">
        <v>639467.11</v>
      </c>
      <c r="AM210" s="388">
        <v>448067.62599999999</v>
      </c>
      <c r="AN210" s="388">
        <v>24083.045999999998</v>
      </c>
      <c r="AO210" s="467">
        <v>0.58799695203482683</v>
      </c>
      <c r="AP210" s="468">
        <v>30503.045999999998</v>
      </c>
      <c r="AQ210" s="468">
        <v>-17022.045999999998</v>
      </c>
      <c r="AR210" s="434"/>
      <c r="AS210" s="435"/>
      <c r="AT210" s="394"/>
      <c r="AU210" s="395"/>
      <c r="AV210" s="471"/>
      <c r="AW210" s="388">
        <v>1087534736</v>
      </c>
      <c r="AX210" s="424">
        <v>639467110</v>
      </c>
      <c r="AY210" s="424">
        <v>448067626</v>
      </c>
      <c r="AZ210" s="424">
        <v>24083046</v>
      </c>
      <c r="BA210" s="472">
        <v>0.58799695203482683</v>
      </c>
      <c r="BB210" s="453" t="s">
        <v>825</v>
      </c>
      <c r="BC210" s="390" t="s">
        <v>825</v>
      </c>
      <c r="BD210" s="236" t="s">
        <v>825</v>
      </c>
    </row>
    <row r="211" spans="1:56" s="121" customFormat="1" ht="14.25" customHeight="1">
      <c r="A211" s="104">
        <v>2023</v>
      </c>
      <c r="B211" s="105" t="s">
        <v>1231</v>
      </c>
      <c r="C211" s="556" t="s">
        <v>1287</v>
      </c>
      <c r="D211" s="106" t="s">
        <v>2415</v>
      </c>
      <c r="E211" s="150" t="s">
        <v>1288</v>
      </c>
      <c r="F211" s="71" t="s">
        <v>708</v>
      </c>
      <c r="G211" s="109" t="s">
        <v>1207</v>
      </c>
      <c r="H211" s="449">
        <v>34875</v>
      </c>
      <c r="I211" s="387">
        <v>0</v>
      </c>
      <c r="J211" s="388">
        <v>0</v>
      </c>
      <c r="K211" s="462">
        <v>34875</v>
      </c>
      <c r="L211" s="387">
        <v>0</v>
      </c>
      <c r="M211" s="387">
        <v>0</v>
      </c>
      <c r="N211" s="388">
        <v>0</v>
      </c>
      <c r="O211" s="387">
        <v>5147</v>
      </c>
      <c r="P211" s="448">
        <v>0.21800379027163616</v>
      </c>
      <c r="Q211" s="387">
        <v>8495</v>
      </c>
      <c r="R211" s="388">
        <v>265</v>
      </c>
      <c r="S211" s="387">
        <v>2117</v>
      </c>
      <c r="T211" s="388">
        <v>333</v>
      </c>
      <c r="U211" s="391">
        <v>252</v>
      </c>
      <c r="V211" s="387">
        <v>10581</v>
      </c>
      <c r="W211" s="462">
        <v>18430</v>
      </c>
      <c r="X211" s="387">
        <v>10581</v>
      </c>
      <c r="Y211" s="387">
        <v>0</v>
      </c>
      <c r="Z211" s="391">
        <v>0</v>
      </c>
      <c r="AA211" s="387">
        <v>0</v>
      </c>
      <c r="AB211" s="462">
        <v>10581</v>
      </c>
      <c r="AC211" s="387">
        <v>0</v>
      </c>
      <c r="AD211" s="387">
        <v>1716</v>
      </c>
      <c r="AE211" s="387">
        <v>0</v>
      </c>
      <c r="AF211" s="387">
        <v>5367</v>
      </c>
      <c r="AG211" s="387">
        <v>2676</v>
      </c>
      <c r="AH211" s="387">
        <v>778</v>
      </c>
      <c r="AI211" s="387">
        <v>0</v>
      </c>
      <c r="AJ211" s="462">
        <v>10537</v>
      </c>
      <c r="AK211" s="388">
        <v>2173352.2990000001</v>
      </c>
      <c r="AL211" s="388">
        <v>1205603.379</v>
      </c>
      <c r="AM211" s="388">
        <v>967748.92</v>
      </c>
      <c r="AN211" s="388">
        <v>48111.576000000001</v>
      </c>
      <c r="AO211" s="467">
        <v>0.55472064034658375</v>
      </c>
      <c r="AP211" s="468">
        <v>66541.576000000001</v>
      </c>
      <c r="AQ211" s="468">
        <v>-31666.576000000001</v>
      </c>
      <c r="AR211" s="434"/>
      <c r="AS211" s="435"/>
      <c r="AT211" s="394"/>
      <c r="AU211" s="395"/>
      <c r="AV211" s="471"/>
      <c r="AW211" s="388">
        <v>2173352299</v>
      </c>
      <c r="AX211" s="424">
        <v>1205603379</v>
      </c>
      <c r="AY211" s="424">
        <v>967748920</v>
      </c>
      <c r="AZ211" s="424">
        <v>48111576</v>
      </c>
      <c r="BA211" s="472">
        <v>0.55472064034658375</v>
      </c>
      <c r="BB211" s="453" t="s">
        <v>825</v>
      </c>
      <c r="BC211" s="390" t="s">
        <v>825</v>
      </c>
      <c r="BD211" s="236" t="s">
        <v>825</v>
      </c>
    </row>
    <row r="212" spans="1:56" s="121" customFormat="1" ht="14.25" customHeight="1">
      <c r="A212" s="104">
        <v>2023</v>
      </c>
      <c r="B212" s="105" t="s">
        <v>1235</v>
      </c>
      <c r="C212" s="556" t="s">
        <v>1291</v>
      </c>
      <c r="D212" s="106" t="s">
        <v>2415</v>
      </c>
      <c r="E212" s="150" t="s">
        <v>1292</v>
      </c>
      <c r="F212" s="71" t="s">
        <v>708</v>
      </c>
      <c r="G212" s="109" t="s">
        <v>1207</v>
      </c>
      <c r="H212" s="449">
        <v>18170</v>
      </c>
      <c r="I212" s="387">
        <v>0</v>
      </c>
      <c r="J212" s="388">
        <v>0</v>
      </c>
      <c r="K212" s="462">
        <v>18170</v>
      </c>
      <c r="L212" s="387">
        <v>0</v>
      </c>
      <c r="M212" s="387">
        <v>0</v>
      </c>
      <c r="N212" s="388">
        <v>0</v>
      </c>
      <c r="O212" s="387">
        <v>1967</v>
      </c>
      <c r="P212" s="448">
        <v>0.11358180669614658</v>
      </c>
      <c r="Q212" s="387">
        <v>8495</v>
      </c>
      <c r="R212" s="388">
        <v>138</v>
      </c>
      <c r="S212" s="387">
        <v>1103</v>
      </c>
      <c r="T212" s="388">
        <v>173</v>
      </c>
      <c r="U212" s="391">
        <v>131</v>
      </c>
      <c r="V212" s="387">
        <v>5512</v>
      </c>
      <c r="W212" s="462">
        <v>8886</v>
      </c>
      <c r="X212" s="387">
        <v>5512</v>
      </c>
      <c r="Y212" s="387">
        <v>0</v>
      </c>
      <c r="Z212" s="391">
        <v>0</v>
      </c>
      <c r="AA212" s="387">
        <v>0</v>
      </c>
      <c r="AB212" s="462">
        <v>5512</v>
      </c>
      <c r="AC212" s="387">
        <v>0</v>
      </c>
      <c r="AD212" s="387">
        <v>894</v>
      </c>
      <c r="AE212" s="387">
        <v>0</v>
      </c>
      <c r="AF212" s="387">
        <v>2796</v>
      </c>
      <c r="AG212" s="387">
        <v>1394</v>
      </c>
      <c r="AH212" s="387">
        <v>405</v>
      </c>
      <c r="AI212" s="387">
        <v>0</v>
      </c>
      <c r="AJ212" s="462">
        <v>5489</v>
      </c>
      <c r="AK212" s="388">
        <v>1099862.348</v>
      </c>
      <c r="AL212" s="388">
        <v>583072.72199999995</v>
      </c>
      <c r="AM212" s="388">
        <v>516789.62599999999</v>
      </c>
      <c r="AN212" s="388">
        <v>24673.361000000001</v>
      </c>
      <c r="AO212" s="467">
        <v>0.53013245072009685</v>
      </c>
      <c r="AP212" s="468">
        <v>33559.361000000004</v>
      </c>
      <c r="AQ212" s="468">
        <v>-15389.361000000004</v>
      </c>
      <c r="AR212" s="434"/>
      <c r="AS212" s="435"/>
      <c r="AT212" s="394"/>
      <c r="AU212" s="395"/>
      <c r="AV212" s="471"/>
      <c r="AW212" s="388">
        <v>1099862348</v>
      </c>
      <c r="AX212" s="424">
        <v>583072722</v>
      </c>
      <c r="AY212" s="424">
        <v>516789626</v>
      </c>
      <c r="AZ212" s="424">
        <v>24673361</v>
      </c>
      <c r="BA212" s="472">
        <v>0.53013245072009685</v>
      </c>
      <c r="BB212" s="453" t="s">
        <v>825</v>
      </c>
      <c r="BC212" s="390" t="s">
        <v>825</v>
      </c>
      <c r="BD212" s="236" t="s">
        <v>825</v>
      </c>
    </row>
    <row r="213" spans="1:56" s="121" customFormat="1" ht="14.25" customHeight="1">
      <c r="A213" s="104">
        <v>2023</v>
      </c>
      <c r="B213" s="105" t="s">
        <v>148</v>
      </c>
      <c r="C213" s="556" t="s">
        <v>1295</v>
      </c>
      <c r="D213" s="106" t="s">
        <v>2415</v>
      </c>
      <c r="E213" s="150" t="s">
        <v>1296</v>
      </c>
      <c r="F213" s="71" t="s">
        <v>708</v>
      </c>
      <c r="G213" s="109" t="s">
        <v>1207</v>
      </c>
      <c r="H213" s="449">
        <v>13481</v>
      </c>
      <c r="I213" s="387">
        <v>0</v>
      </c>
      <c r="J213" s="388">
        <v>0</v>
      </c>
      <c r="K213" s="462">
        <v>13481</v>
      </c>
      <c r="L213" s="387">
        <v>0</v>
      </c>
      <c r="M213" s="387">
        <v>0</v>
      </c>
      <c r="N213" s="388">
        <v>0</v>
      </c>
      <c r="O213" s="387">
        <v>1236</v>
      </c>
      <c r="P213" s="448">
        <v>8.4270372710044228E-2</v>
      </c>
      <c r="Q213" s="387">
        <v>8495</v>
      </c>
      <c r="R213" s="388">
        <v>102</v>
      </c>
      <c r="S213" s="387">
        <v>818</v>
      </c>
      <c r="T213" s="388">
        <v>128</v>
      </c>
      <c r="U213" s="391">
        <v>97</v>
      </c>
      <c r="V213" s="387">
        <v>4090</v>
      </c>
      <c r="W213" s="462">
        <v>6369</v>
      </c>
      <c r="X213" s="387">
        <v>4090</v>
      </c>
      <c r="Y213" s="387">
        <v>0</v>
      </c>
      <c r="Z213" s="391">
        <v>0</v>
      </c>
      <c r="AA213" s="387">
        <v>0</v>
      </c>
      <c r="AB213" s="462">
        <v>4090</v>
      </c>
      <c r="AC213" s="387">
        <v>0</v>
      </c>
      <c r="AD213" s="387">
        <v>663</v>
      </c>
      <c r="AE213" s="388">
        <v>0</v>
      </c>
      <c r="AF213" s="387">
        <v>2074</v>
      </c>
      <c r="AG213" s="387">
        <v>1034</v>
      </c>
      <c r="AH213" s="388">
        <v>301</v>
      </c>
      <c r="AI213" s="388">
        <v>0</v>
      </c>
      <c r="AJ213" s="462">
        <v>4072</v>
      </c>
      <c r="AK213" s="388">
        <v>913790.09600000002</v>
      </c>
      <c r="AL213" s="388">
        <v>418087.96600000001</v>
      </c>
      <c r="AM213" s="388">
        <v>495702.13</v>
      </c>
      <c r="AN213" s="388">
        <v>20376.648000000001</v>
      </c>
      <c r="AO213" s="467">
        <v>0.45753173275802278</v>
      </c>
      <c r="AP213" s="468">
        <v>26745.648000000001</v>
      </c>
      <c r="AQ213" s="468">
        <v>-13264.648000000001</v>
      </c>
      <c r="AR213" s="434"/>
      <c r="AS213" s="435"/>
      <c r="AT213" s="394"/>
      <c r="AU213" s="395"/>
      <c r="AV213" s="471"/>
      <c r="AW213" s="388">
        <v>913790096</v>
      </c>
      <c r="AX213" s="424">
        <v>418087966</v>
      </c>
      <c r="AY213" s="424">
        <v>495702130</v>
      </c>
      <c r="AZ213" s="424">
        <v>20376648</v>
      </c>
      <c r="BA213" s="472">
        <v>0.45753173275802278</v>
      </c>
      <c r="BB213" s="453" t="s">
        <v>825</v>
      </c>
      <c r="BC213" s="390" t="s">
        <v>825</v>
      </c>
      <c r="BD213" s="236" t="s">
        <v>825</v>
      </c>
    </row>
    <row r="214" spans="1:56" s="121" customFormat="1" ht="14.25" customHeight="1">
      <c r="A214" s="104">
        <v>2023</v>
      </c>
      <c r="B214" s="105" t="s">
        <v>1241</v>
      </c>
      <c r="C214" s="556" t="s">
        <v>1299</v>
      </c>
      <c r="D214" s="106" t="s">
        <v>2415</v>
      </c>
      <c r="E214" s="150" t="s">
        <v>1300</v>
      </c>
      <c r="F214" s="71" t="s">
        <v>708</v>
      </c>
      <c r="G214" s="109" t="s">
        <v>1207</v>
      </c>
      <c r="H214" s="449">
        <v>8792</v>
      </c>
      <c r="I214" s="387">
        <v>0</v>
      </c>
      <c r="J214" s="388">
        <v>0</v>
      </c>
      <c r="K214" s="462">
        <v>8792</v>
      </c>
      <c r="L214" s="387">
        <v>0</v>
      </c>
      <c r="M214" s="387">
        <v>0</v>
      </c>
      <c r="N214" s="388">
        <v>0</v>
      </c>
      <c r="O214" s="387">
        <v>770</v>
      </c>
      <c r="P214" s="448">
        <v>5.4958938723941891E-2</v>
      </c>
      <c r="Q214" s="387">
        <v>8495</v>
      </c>
      <c r="R214" s="388">
        <v>67</v>
      </c>
      <c r="S214" s="387">
        <v>534</v>
      </c>
      <c r="T214" s="388">
        <v>83</v>
      </c>
      <c r="U214" s="391">
        <v>63</v>
      </c>
      <c r="V214" s="387">
        <v>2667</v>
      </c>
      <c r="W214" s="462">
        <v>4117</v>
      </c>
      <c r="X214" s="387">
        <v>2667</v>
      </c>
      <c r="Y214" s="387">
        <v>0</v>
      </c>
      <c r="Z214" s="391">
        <v>0</v>
      </c>
      <c r="AA214" s="387">
        <v>0</v>
      </c>
      <c r="AB214" s="462">
        <v>2667</v>
      </c>
      <c r="AC214" s="387">
        <v>0</v>
      </c>
      <c r="AD214" s="387">
        <v>432</v>
      </c>
      <c r="AE214" s="387">
        <v>0</v>
      </c>
      <c r="AF214" s="392">
        <v>1353</v>
      </c>
      <c r="AG214" s="387">
        <v>674</v>
      </c>
      <c r="AH214" s="387">
        <v>196</v>
      </c>
      <c r="AI214" s="387">
        <v>0</v>
      </c>
      <c r="AJ214" s="462">
        <v>2655</v>
      </c>
      <c r="AK214" s="388">
        <v>523972</v>
      </c>
      <c r="AL214" s="388">
        <v>244336.764</v>
      </c>
      <c r="AM214" s="388">
        <v>279635.23599999998</v>
      </c>
      <c r="AN214" s="388">
        <v>11635.084000000001</v>
      </c>
      <c r="AO214" s="467">
        <v>0.46631645202415395</v>
      </c>
      <c r="AP214" s="468">
        <v>15752.084000000001</v>
      </c>
      <c r="AQ214" s="468">
        <v>-6960.0840000000007</v>
      </c>
      <c r="AR214" s="434"/>
      <c r="AS214" s="435"/>
      <c r="AT214" s="394"/>
      <c r="AU214" s="395"/>
      <c r="AV214" s="471"/>
      <c r="AW214" s="388">
        <v>523972000</v>
      </c>
      <c r="AX214" s="424">
        <v>244336764</v>
      </c>
      <c r="AY214" s="424">
        <v>279635236</v>
      </c>
      <c r="AZ214" s="424">
        <v>11635084</v>
      </c>
      <c r="BA214" s="472">
        <v>0.46631645202415395</v>
      </c>
      <c r="BB214" s="453" t="s">
        <v>825</v>
      </c>
      <c r="BC214" s="390" t="s">
        <v>825</v>
      </c>
      <c r="BD214" s="236" t="s">
        <v>825</v>
      </c>
    </row>
    <row r="215" spans="1:56" s="121" customFormat="1" ht="14.25" customHeight="1">
      <c r="A215" s="104">
        <v>2023</v>
      </c>
      <c r="B215" s="105" t="s">
        <v>1245</v>
      </c>
      <c r="C215" s="556" t="s">
        <v>1304</v>
      </c>
      <c r="D215" s="106" t="s">
        <v>2415</v>
      </c>
      <c r="E215" s="150" t="s">
        <v>1305</v>
      </c>
      <c r="F215" s="71" t="s">
        <v>708</v>
      </c>
      <c r="G215" s="109" t="s">
        <v>1207</v>
      </c>
      <c r="H215" s="449">
        <v>25790</v>
      </c>
      <c r="I215" s="387">
        <v>0</v>
      </c>
      <c r="J215" s="388">
        <v>0</v>
      </c>
      <c r="K215" s="462">
        <v>25790</v>
      </c>
      <c r="L215" s="387">
        <v>0</v>
      </c>
      <c r="M215" s="387">
        <v>0</v>
      </c>
      <c r="N215" s="388">
        <v>0</v>
      </c>
      <c r="O215" s="387">
        <v>3005</v>
      </c>
      <c r="P215" s="448">
        <v>0.16121288692356286</v>
      </c>
      <c r="Q215" s="387">
        <v>8495</v>
      </c>
      <c r="R215" s="388">
        <v>196</v>
      </c>
      <c r="S215" s="387">
        <v>1566</v>
      </c>
      <c r="T215" s="388">
        <v>246</v>
      </c>
      <c r="U215" s="391">
        <v>186</v>
      </c>
      <c r="V215" s="387">
        <v>7824</v>
      </c>
      <c r="W215" s="462">
        <v>12827</v>
      </c>
      <c r="X215" s="387">
        <v>7824</v>
      </c>
      <c r="Y215" s="387">
        <v>0</v>
      </c>
      <c r="Z215" s="391">
        <v>0</v>
      </c>
      <c r="AA215" s="387">
        <v>0</v>
      </c>
      <c r="AB215" s="462">
        <v>7824</v>
      </c>
      <c r="AC215" s="387">
        <v>0</v>
      </c>
      <c r="AD215" s="387">
        <v>1269</v>
      </c>
      <c r="AE215" s="387">
        <v>0</v>
      </c>
      <c r="AF215" s="387">
        <v>3969</v>
      </c>
      <c r="AG215" s="387">
        <v>1979</v>
      </c>
      <c r="AH215" s="387">
        <v>576</v>
      </c>
      <c r="AI215" s="387">
        <v>0</v>
      </c>
      <c r="AJ215" s="462">
        <v>7793</v>
      </c>
      <c r="AK215" s="388">
        <v>1273503</v>
      </c>
      <c r="AL215" s="388">
        <v>465178.44300000003</v>
      </c>
      <c r="AM215" s="388">
        <v>808324.55700000003</v>
      </c>
      <c r="AN215" s="388">
        <v>28107.362000000001</v>
      </c>
      <c r="AO215" s="467">
        <v>0.36527471313377352</v>
      </c>
      <c r="AP215" s="468">
        <v>40934.362000000001</v>
      </c>
      <c r="AQ215" s="468">
        <v>-15144.362000000001</v>
      </c>
      <c r="AR215" s="434"/>
      <c r="AS215" s="435"/>
      <c r="AT215" s="394"/>
      <c r="AU215" s="395"/>
      <c r="AV215" s="471"/>
      <c r="AW215" s="388">
        <v>1273503000</v>
      </c>
      <c r="AX215" s="424">
        <v>465178443</v>
      </c>
      <c r="AY215" s="424">
        <v>808324557</v>
      </c>
      <c r="AZ215" s="424">
        <v>28107362</v>
      </c>
      <c r="BA215" s="472">
        <v>0.36527471313377352</v>
      </c>
      <c r="BB215" s="453" t="s">
        <v>825</v>
      </c>
      <c r="BC215" s="390" t="s">
        <v>825</v>
      </c>
      <c r="BD215" s="236" t="s">
        <v>825</v>
      </c>
    </row>
    <row r="216" spans="1:56" s="121" customFormat="1" ht="14.25" customHeight="1">
      <c r="A216" s="104">
        <v>2023</v>
      </c>
      <c r="B216" s="105" t="s">
        <v>1249</v>
      </c>
      <c r="C216" s="556" t="s">
        <v>1308</v>
      </c>
      <c r="D216" s="106" t="s">
        <v>2415</v>
      </c>
      <c r="E216" s="150" t="s">
        <v>1309</v>
      </c>
      <c r="F216" s="71" t="s">
        <v>708</v>
      </c>
      <c r="G216" s="109" t="s">
        <v>1207</v>
      </c>
      <c r="H216" s="449">
        <v>13774</v>
      </c>
      <c r="I216" s="387">
        <v>0</v>
      </c>
      <c r="J216" s="388">
        <v>0</v>
      </c>
      <c r="K216" s="462">
        <v>13774</v>
      </c>
      <c r="L216" s="387">
        <v>0</v>
      </c>
      <c r="M216" s="387">
        <v>0</v>
      </c>
      <c r="N216" s="388">
        <v>0</v>
      </c>
      <c r="O216" s="387"/>
      <c r="P216" s="448">
        <v>8.6102337334175633E-2</v>
      </c>
      <c r="Q216" s="387">
        <v>8495</v>
      </c>
      <c r="R216" s="388">
        <v>105</v>
      </c>
      <c r="S216" s="387">
        <v>836</v>
      </c>
      <c r="T216" s="388">
        <v>131</v>
      </c>
      <c r="U216" s="391">
        <v>99</v>
      </c>
      <c r="V216" s="387">
        <v>4179</v>
      </c>
      <c r="W216" s="462">
        <v>5245</v>
      </c>
      <c r="X216" s="387">
        <v>4179</v>
      </c>
      <c r="Y216" s="387">
        <v>0</v>
      </c>
      <c r="Z216" s="391">
        <v>0</v>
      </c>
      <c r="AA216" s="387">
        <v>0</v>
      </c>
      <c r="AB216" s="462">
        <v>4179</v>
      </c>
      <c r="AC216" s="387">
        <v>0</v>
      </c>
      <c r="AD216" s="387">
        <v>678</v>
      </c>
      <c r="AE216" s="388">
        <v>0</v>
      </c>
      <c r="AF216" s="387">
        <v>2119</v>
      </c>
      <c r="AG216" s="387">
        <v>1057</v>
      </c>
      <c r="AH216" s="388">
        <v>307</v>
      </c>
      <c r="AI216" s="388">
        <v>0</v>
      </c>
      <c r="AJ216" s="462">
        <v>4161</v>
      </c>
      <c r="AK216" s="388">
        <v>636969.01899999997</v>
      </c>
      <c r="AL216" s="388">
        <v>554866.41700000002</v>
      </c>
      <c r="AM216" s="388">
        <v>82102.601999999999</v>
      </c>
      <c r="AN216" s="388">
        <v>2299.1909999999998</v>
      </c>
      <c r="AO216" s="467">
        <v>0.87110424596647451</v>
      </c>
      <c r="AP216" s="468">
        <v>7544.1909999999998</v>
      </c>
      <c r="AQ216" s="468">
        <v>6229.8090000000002</v>
      </c>
      <c r="AR216" s="434"/>
      <c r="AS216" s="435"/>
      <c r="AT216" s="394"/>
      <c r="AU216" s="395"/>
      <c r="AV216" s="471"/>
      <c r="AW216" s="388">
        <v>636969019</v>
      </c>
      <c r="AX216" s="424">
        <v>554866417</v>
      </c>
      <c r="AY216" s="424">
        <v>82102602</v>
      </c>
      <c r="AZ216" s="424">
        <v>2299191</v>
      </c>
      <c r="BA216" s="472">
        <v>0.87110424596647451</v>
      </c>
      <c r="BB216" s="453" t="s">
        <v>825</v>
      </c>
      <c r="BC216" s="390" t="s">
        <v>825</v>
      </c>
      <c r="BD216" s="236" t="s">
        <v>825</v>
      </c>
    </row>
    <row r="217" spans="1:56" s="121" customFormat="1" ht="14.25" customHeight="1">
      <c r="A217" s="104">
        <v>2023</v>
      </c>
      <c r="B217" s="105" t="s">
        <v>1252</v>
      </c>
      <c r="C217" s="556" t="s">
        <v>2707</v>
      </c>
      <c r="D217" s="106" t="s">
        <v>2415</v>
      </c>
      <c r="E217" s="150" t="s">
        <v>2590</v>
      </c>
      <c r="F217" s="71" t="s">
        <v>708</v>
      </c>
      <c r="G217" s="109" t="s">
        <v>1207</v>
      </c>
      <c r="H217" s="449">
        <v>14946</v>
      </c>
      <c r="I217" s="387">
        <v>0</v>
      </c>
      <c r="J217" s="388">
        <v>0</v>
      </c>
      <c r="K217" s="462">
        <v>14946</v>
      </c>
      <c r="L217" s="387">
        <v>0</v>
      </c>
      <c r="M217" s="387">
        <v>0</v>
      </c>
      <c r="N217" s="388">
        <v>0</v>
      </c>
      <c r="O217" s="387">
        <v>254</v>
      </c>
      <c r="P217" s="448">
        <v>9.343019583070121E-2</v>
      </c>
      <c r="Q217" s="387">
        <v>8495</v>
      </c>
      <c r="R217" s="388">
        <v>113</v>
      </c>
      <c r="S217" s="387">
        <v>907</v>
      </c>
      <c r="T217" s="388">
        <v>142</v>
      </c>
      <c r="U217" s="391">
        <v>108</v>
      </c>
      <c r="V217" s="387">
        <v>4534</v>
      </c>
      <c r="W217" s="462">
        <v>5945</v>
      </c>
      <c r="X217" s="387">
        <v>4534</v>
      </c>
      <c r="Y217" s="387">
        <v>0</v>
      </c>
      <c r="Z217" s="391">
        <v>0</v>
      </c>
      <c r="AA217" s="387">
        <v>0</v>
      </c>
      <c r="AB217" s="462">
        <v>4534</v>
      </c>
      <c r="AC217" s="387">
        <v>0</v>
      </c>
      <c r="AD217" s="387">
        <v>735</v>
      </c>
      <c r="AE217" s="388">
        <v>0</v>
      </c>
      <c r="AF217" s="392">
        <v>2300</v>
      </c>
      <c r="AG217" s="387">
        <v>1147</v>
      </c>
      <c r="AH217" s="388">
        <v>333</v>
      </c>
      <c r="AI217" s="388">
        <v>0</v>
      </c>
      <c r="AJ217" s="462">
        <v>4515</v>
      </c>
      <c r="AK217" s="388"/>
      <c r="AL217" s="388"/>
      <c r="AM217" s="388"/>
      <c r="AN217" s="388"/>
      <c r="AO217" s="467"/>
      <c r="AP217" s="468"/>
      <c r="AQ217" s="468"/>
      <c r="AR217" s="434"/>
      <c r="AS217" s="435"/>
      <c r="AT217" s="394"/>
      <c r="AU217" s="395"/>
      <c r="AV217" s="471"/>
      <c r="AW217" s="388">
        <v>93832291</v>
      </c>
      <c r="AX217" s="424">
        <v>15977864</v>
      </c>
      <c r="AY217" s="424">
        <v>77854427</v>
      </c>
      <c r="AZ217" s="424">
        <v>2077695</v>
      </c>
      <c r="BA217" s="472"/>
      <c r="BB217" s="453" t="s">
        <v>825</v>
      </c>
      <c r="BC217" s="390" t="s">
        <v>825</v>
      </c>
      <c r="BD217" s="236" t="s">
        <v>825</v>
      </c>
    </row>
    <row r="218" spans="1:56" s="121" customFormat="1" ht="14.25" customHeight="1">
      <c r="A218" s="104">
        <v>2023</v>
      </c>
      <c r="B218" s="105" t="s">
        <v>1253</v>
      </c>
      <c r="C218" s="556" t="s">
        <v>1312</v>
      </c>
      <c r="D218" s="106" t="s">
        <v>2415</v>
      </c>
      <c r="E218" s="150" t="s">
        <v>1313</v>
      </c>
      <c r="F218" s="71" t="s">
        <v>1404</v>
      </c>
      <c r="G218" s="109" t="s">
        <v>2467</v>
      </c>
      <c r="H218" s="388"/>
      <c r="I218" s="388"/>
      <c r="J218" s="388"/>
      <c r="K218" s="462">
        <v>0</v>
      </c>
      <c r="L218" s="387">
        <v>143</v>
      </c>
      <c r="M218" s="387">
        <v>24</v>
      </c>
      <c r="N218" s="388"/>
      <c r="O218" s="387">
        <v>196</v>
      </c>
      <c r="P218" s="389"/>
      <c r="Q218" s="387">
        <v>8495</v>
      </c>
      <c r="R218" s="388">
        <v>183</v>
      </c>
      <c r="S218" s="387">
        <v>183</v>
      </c>
      <c r="T218" s="388"/>
      <c r="U218" s="391"/>
      <c r="V218" s="388"/>
      <c r="W218" s="462">
        <v>546</v>
      </c>
      <c r="X218" s="387"/>
      <c r="Y218" s="387"/>
      <c r="Z218" s="392"/>
      <c r="AA218" s="387"/>
      <c r="AB218" s="462">
        <v>0</v>
      </c>
      <c r="AC218" s="387"/>
      <c r="AD218" s="387"/>
      <c r="AE218" s="387"/>
      <c r="AF218" s="392"/>
      <c r="AG218" s="387"/>
      <c r="AH218" s="387"/>
      <c r="AI218" s="387"/>
      <c r="AJ218" s="462">
        <v>0</v>
      </c>
      <c r="AK218" s="388">
        <v>146963.49799999999</v>
      </c>
      <c r="AL218" s="388">
        <v>128186.253</v>
      </c>
      <c r="AM218" s="388">
        <v>18777.244999999999</v>
      </c>
      <c r="AN218" s="388">
        <v>1036.741</v>
      </c>
      <c r="AO218" s="467">
        <v>0.87223191298835312</v>
      </c>
      <c r="AP218" s="468">
        <v>1582.741</v>
      </c>
      <c r="AQ218" s="468">
        <v>-1582.741</v>
      </c>
      <c r="AR218" s="393"/>
      <c r="AS218" s="394"/>
      <c r="AT218" s="394"/>
      <c r="AU218" s="395"/>
      <c r="AV218" s="471"/>
      <c r="AW218" s="388">
        <v>146963498</v>
      </c>
      <c r="AX218" s="424">
        <v>128186253</v>
      </c>
      <c r="AY218" s="424">
        <v>18777245</v>
      </c>
      <c r="AZ218" s="424">
        <v>1036741</v>
      </c>
      <c r="BA218" s="472">
        <v>0.87223191298835312</v>
      </c>
      <c r="BB218" s="453" t="s">
        <v>825</v>
      </c>
      <c r="BC218" s="390" t="s">
        <v>825</v>
      </c>
      <c r="BD218" s="236" t="s">
        <v>825</v>
      </c>
    </row>
    <row r="219" spans="1:56" s="121" customFormat="1" ht="14.25" customHeight="1">
      <c r="A219" s="104">
        <v>2023</v>
      </c>
      <c r="B219" s="105" t="s">
        <v>1254</v>
      </c>
      <c r="C219" s="556" t="s">
        <v>1320</v>
      </c>
      <c r="D219" s="106" t="s">
        <v>2415</v>
      </c>
      <c r="E219" s="150" t="s">
        <v>1321</v>
      </c>
      <c r="F219" s="71" t="s">
        <v>1404</v>
      </c>
      <c r="G219" s="109" t="s">
        <v>2467</v>
      </c>
      <c r="H219" s="388"/>
      <c r="I219" s="388"/>
      <c r="J219" s="388"/>
      <c r="K219" s="462">
        <v>0</v>
      </c>
      <c r="L219" s="387"/>
      <c r="M219" s="387"/>
      <c r="N219" s="388"/>
      <c r="O219" s="387"/>
      <c r="P219" s="389"/>
      <c r="Q219" s="387">
        <v>8495</v>
      </c>
      <c r="R219" s="388">
        <v>30</v>
      </c>
      <c r="S219" s="387">
        <v>30</v>
      </c>
      <c r="T219" s="388"/>
      <c r="U219" s="391"/>
      <c r="V219" s="388"/>
      <c r="W219" s="462">
        <v>30</v>
      </c>
      <c r="X219" s="387"/>
      <c r="Y219" s="387"/>
      <c r="Z219" s="387"/>
      <c r="AA219" s="387"/>
      <c r="AB219" s="462">
        <v>0</v>
      </c>
      <c r="AC219" s="387"/>
      <c r="AD219" s="387"/>
      <c r="AE219" s="387"/>
      <c r="AF219" s="387"/>
      <c r="AG219" s="387"/>
      <c r="AH219" s="387"/>
      <c r="AI219" s="387"/>
      <c r="AJ219" s="462">
        <v>0</v>
      </c>
      <c r="AK219" s="388">
        <v>884502</v>
      </c>
      <c r="AL219" s="388">
        <v>570936.12800000003</v>
      </c>
      <c r="AM219" s="388">
        <v>313565.87199999997</v>
      </c>
      <c r="AN219" s="388">
        <v>17816.754000000001</v>
      </c>
      <c r="AO219" s="467">
        <v>0.645488792563499</v>
      </c>
      <c r="AP219" s="468">
        <v>17846.754000000001</v>
      </c>
      <c r="AQ219" s="468">
        <v>-17846.754000000001</v>
      </c>
      <c r="AR219" s="393"/>
      <c r="AS219" s="394"/>
      <c r="AT219" s="394"/>
      <c r="AU219" s="395"/>
      <c r="AV219" s="477"/>
      <c r="AW219" s="388">
        <v>884502000</v>
      </c>
      <c r="AX219" s="424">
        <v>570936128</v>
      </c>
      <c r="AY219" s="424">
        <v>313565872</v>
      </c>
      <c r="AZ219" s="424">
        <v>17816754</v>
      </c>
      <c r="BA219" s="472">
        <v>0.645488792563499</v>
      </c>
      <c r="BB219" s="453" t="s">
        <v>825</v>
      </c>
      <c r="BC219" s="390" t="s">
        <v>825</v>
      </c>
      <c r="BD219" s="236" t="s">
        <v>825</v>
      </c>
    </row>
    <row r="220" spans="1:56" s="121" customFormat="1" ht="14.25" customHeight="1">
      <c r="A220" s="104">
        <v>2023</v>
      </c>
      <c r="B220" s="105" t="s">
        <v>1258</v>
      </c>
      <c r="C220" s="556" t="s">
        <v>1328</v>
      </c>
      <c r="D220" s="106" t="s">
        <v>2415</v>
      </c>
      <c r="E220" s="150" t="s">
        <v>1329</v>
      </c>
      <c r="F220" s="71" t="s">
        <v>1404</v>
      </c>
      <c r="G220" s="290" t="s">
        <v>2467</v>
      </c>
      <c r="H220" s="424">
        <v>4869</v>
      </c>
      <c r="I220" s="388"/>
      <c r="J220" s="388"/>
      <c r="K220" s="462">
        <v>4869</v>
      </c>
      <c r="L220" s="387">
        <v>812</v>
      </c>
      <c r="M220" s="387">
        <v>2690</v>
      </c>
      <c r="N220" s="388"/>
      <c r="O220" s="387"/>
      <c r="P220" s="389"/>
      <c r="Q220" s="387">
        <v>8495</v>
      </c>
      <c r="R220" s="388">
        <v>33</v>
      </c>
      <c r="S220" s="387">
        <v>33</v>
      </c>
      <c r="T220" s="388"/>
      <c r="U220" s="391"/>
      <c r="V220" s="388"/>
      <c r="W220" s="462">
        <v>3535</v>
      </c>
      <c r="X220" s="387"/>
      <c r="Y220" s="387"/>
      <c r="Z220" s="387"/>
      <c r="AA220" s="387"/>
      <c r="AB220" s="462">
        <v>0</v>
      </c>
      <c r="AC220" s="387"/>
      <c r="AD220" s="387"/>
      <c r="AE220" s="387"/>
      <c r="AF220" s="387"/>
      <c r="AG220" s="387"/>
      <c r="AH220" s="387"/>
      <c r="AI220" s="387"/>
      <c r="AJ220" s="462">
        <v>0</v>
      </c>
      <c r="AK220" s="388">
        <v>75640.994000000006</v>
      </c>
      <c r="AL220" s="388">
        <v>35096.826000000001</v>
      </c>
      <c r="AM220" s="388">
        <v>40544.167999999998</v>
      </c>
      <c r="AN220" s="388">
        <v>1512.8130000000001</v>
      </c>
      <c r="AO220" s="467">
        <v>0.46399213103942022</v>
      </c>
      <c r="AP220" s="468">
        <v>5047.8130000000001</v>
      </c>
      <c r="AQ220" s="468">
        <v>-178.8130000000001</v>
      </c>
      <c r="AR220" s="393"/>
      <c r="AS220" s="394"/>
      <c r="AT220" s="394"/>
      <c r="AU220" s="395"/>
      <c r="AV220" s="477"/>
      <c r="AW220" s="388">
        <v>75640994</v>
      </c>
      <c r="AX220" s="424">
        <v>35096826</v>
      </c>
      <c r="AY220" s="424">
        <v>40544168</v>
      </c>
      <c r="AZ220" s="424">
        <v>1512813</v>
      </c>
      <c r="BA220" s="472">
        <v>0.46399213103942022</v>
      </c>
      <c r="BB220" s="453">
        <v>22304</v>
      </c>
      <c r="BC220" s="390">
        <v>4</v>
      </c>
      <c r="BD220" s="236">
        <v>0</v>
      </c>
    </row>
    <row r="221" spans="1:56" s="121" customFormat="1" ht="14.25" customHeight="1">
      <c r="A221" s="104">
        <v>2023</v>
      </c>
      <c r="B221" s="105" t="s">
        <v>1263</v>
      </c>
      <c r="C221" s="556" t="s">
        <v>1336</v>
      </c>
      <c r="D221" s="106" t="s">
        <v>2415</v>
      </c>
      <c r="E221" s="150" t="s">
        <v>1337</v>
      </c>
      <c r="F221" s="71" t="s">
        <v>1404</v>
      </c>
      <c r="G221" s="290" t="s">
        <v>2467</v>
      </c>
      <c r="H221" s="424"/>
      <c r="I221" s="388"/>
      <c r="J221" s="388"/>
      <c r="K221" s="462">
        <v>0</v>
      </c>
      <c r="L221" s="387">
        <v>42</v>
      </c>
      <c r="M221" s="387">
        <v>647</v>
      </c>
      <c r="N221" s="388"/>
      <c r="O221" s="387">
        <v>60</v>
      </c>
      <c r="P221" s="389"/>
      <c r="Q221" s="387">
        <v>8495</v>
      </c>
      <c r="R221" s="388"/>
      <c r="S221" s="387">
        <v>0</v>
      </c>
      <c r="T221" s="388"/>
      <c r="U221" s="391"/>
      <c r="V221" s="388"/>
      <c r="W221" s="462">
        <v>749</v>
      </c>
      <c r="X221" s="387"/>
      <c r="Y221" s="387"/>
      <c r="Z221" s="387"/>
      <c r="AA221" s="387"/>
      <c r="AB221" s="462">
        <v>0</v>
      </c>
      <c r="AC221" s="387"/>
      <c r="AD221" s="387"/>
      <c r="AE221" s="387"/>
      <c r="AF221" s="387"/>
      <c r="AG221" s="387"/>
      <c r="AH221" s="387"/>
      <c r="AI221" s="387"/>
      <c r="AJ221" s="462">
        <v>0</v>
      </c>
      <c r="AK221" s="388">
        <v>97737.3</v>
      </c>
      <c r="AL221" s="388">
        <v>68450.532999999996</v>
      </c>
      <c r="AM221" s="388">
        <v>29286.767</v>
      </c>
      <c r="AN221" s="388">
        <v>2243.0479999999998</v>
      </c>
      <c r="AO221" s="467">
        <v>0.70035219921156</v>
      </c>
      <c r="AP221" s="468">
        <v>2992.0479999999998</v>
      </c>
      <c r="AQ221" s="468">
        <v>-2992.0479999999998</v>
      </c>
      <c r="AR221" s="393"/>
      <c r="AS221" s="394"/>
      <c r="AT221" s="394"/>
      <c r="AU221" s="395"/>
      <c r="AV221" s="477"/>
      <c r="AW221" s="388">
        <v>97737300</v>
      </c>
      <c r="AX221" s="424">
        <v>68450533</v>
      </c>
      <c r="AY221" s="424">
        <v>29286767</v>
      </c>
      <c r="AZ221" s="424">
        <v>2243048</v>
      </c>
      <c r="BA221" s="472">
        <v>0.70035219921156</v>
      </c>
      <c r="BB221" s="453">
        <v>9211</v>
      </c>
      <c r="BC221" s="390">
        <v>0</v>
      </c>
      <c r="BD221" s="236">
        <v>0</v>
      </c>
    </row>
    <row r="222" spans="1:56" s="121" customFormat="1" ht="14.25" customHeight="1">
      <c r="A222" s="104">
        <v>2023</v>
      </c>
      <c r="B222" s="105" t="s">
        <v>1267</v>
      </c>
      <c r="C222" s="556" t="s">
        <v>1342</v>
      </c>
      <c r="D222" s="106" t="s">
        <v>2415</v>
      </c>
      <c r="E222" s="150" t="s">
        <v>1343</v>
      </c>
      <c r="F222" s="71" t="s">
        <v>1404</v>
      </c>
      <c r="G222" s="290" t="s">
        <v>2467</v>
      </c>
      <c r="H222" s="423">
        <v>761</v>
      </c>
      <c r="I222" s="388"/>
      <c r="J222" s="388"/>
      <c r="K222" s="462">
        <v>761</v>
      </c>
      <c r="L222" s="387">
        <v>18</v>
      </c>
      <c r="M222" s="387"/>
      <c r="N222" s="388"/>
      <c r="O222" s="387"/>
      <c r="P222" s="389">
        <v>0.8</v>
      </c>
      <c r="Q222" s="387">
        <v>8495</v>
      </c>
      <c r="R222" s="388"/>
      <c r="S222" s="387">
        <v>6796</v>
      </c>
      <c r="T222" s="388"/>
      <c r="U222" s="391"/>
      <c r="V222" s="388">
        <v>15608</v>
      </c>
      <c r="W222" s="462">
        <v>22422</v>
      </c>
      <c r="X222" s="387">
        <v>57197</v>
      </c>
      <c r="Y222" s="387">
        <v>3833</v>
      </c>
      <c r="Z222" s="388"/>
      <c r="AA222" s="387">
        <v>15608</v>
      </c>
      <c r="AB222" s="462">
        <v>76638</v>
      </c>
      <c r="AC222" s="387">
        <v>7355</v>
      </c>
      <c r="AD222" s="387">
        <v>32757</v>
      </c>
      <c r="AE222" s="388"/>
      <c r="AF222" s="387">
        <v>4600</v>
      </c>
      <c r="AG222" s="387">
        <v>31884</v>
      </c>
      <c r="AH222" s="388">
        <v>7220</v>
      </c>
      <c r="AI222" s="388"/>
      <c r="AJ222" s="462">
        <v>83816</v>
      </c>
      <c r="AK222" s="388">
        <v>455380.973</v>
      </c>
      <c r="AL222" s="388">
        <v>164552.01199999999</v>
      </c>
      <c r="AM222" s="388">
        <v>290828.96100000001</v>
      </c>
      <c r="AN222" s="388">
        <v>9775.7000000000007</v>
      </c>
      <c r="AO222" s="467">
        <v>0.36135021390100985</v>
      </c>
      <c r="AP222" s="468">
        <v>32197.7</v>
      </c>
      <c r="AQ222" s="468">
        <v>-31436.7</v>
      </c>
      <c r="AR222" s="393"/>
      <c r="AS222" s="394"/>
      <c r="AT222" s="394"/>
      <c r="AU222" s="395"/>
      <c r="AV222" s="477"/>
      <c r="AW222" s="388">
        <v>455380973</v>
      </c>
      <c r="AX222" s="424">
        <v>164552012</v>
      </c>
      <c r="AY222" s="424">
        <v>290828961</v>
      </c>
      <c r="AZ222" s="424">
        <v>9775700</v>
      </c>
      <c r="BA222" s="472">
        <v>0.36135021390100985</v>
      </c>
      <c r="BB222" s="453">
        <v>218432</v>
      </c>
      <c r="BC222" s="390">
        <v>0</v>
      </c>
      <c r="BD222" s="236">
        <v>0</v>
      </c>
    </row>
    <row r="223" spans="1:56" s="121" customFormat="1" ht="14.25" customHeight="1">
      <c r="A223" s="104">
        <v>2023</v>
      </c>
      <c r="B223" s="105" t="s">
        <v>157</v>
      </c>
      <c r="C223" s="556" t="s">
        <v>1348</v>
      </c>
      <c r="D223" s="106" t="s">
        <v>2415</v>
      </c>
      <c r="E223" s="150" t="s">
        <v>1349</v>
      </c>
      <c r="F223" s="71" t="s">
        <v>1404</v>
      </c>
      <c r="G223" s="290" t="s">
        <v>2467</v>
      </c>
      <c r="H223" s="424"/>
      <c r="I223" s="388"/>
      <c r="J223" s="388"/>
      <c r="K223" s="462">
        <v>0</v>
      </c>
      <c r="L223" s="387">
        <v>909</v>
      </c>
      <c r="M223" s="387">
        <v>2168</v>
      </c>
      <c r="N223" s="388"/>
      <c r="O223" s="387">
        <v>402</v>
      </c>
      <c r="P223" s="389"/>
      <c r="Q223" s="387">
        <v>8495</v>
      </c>
      <c r="R223" s="388">
        <v>59</v>
      </c>
      <c r="S223" s="387">
        <v>59</v>
      </c>
      <c r="T223" s="388"/>
      <c r="U223" s="391"/>
      <c r="V223" s="388"/>
      <c r="W223" s="462">
        <v>3538</v>
      </c>
      <c r="X223" s="387"/>
      <c r="Y223" s="387"/>
      <c r="Z223" s="392"/>
      <c r="AA223" s="387"/>
      <c r="AB223" s="462">
        <v>0</v>
      </c>
      <c r="AC223" s="387"/>
      <c r="AD223" s="387"/>
      <c r="AE223" s="387"/>
      <c r="AF223" s="392"/>
      <c r="AG223" s="387"/>
      <c r="AH223" s="387"/>
      <c r="AI223" s="387"/>
      <c r="AJ223" s="462">
        <v>0</v>
      </c>
      <c r="AK223" s="388">
        <v>73845.010999999999</v>
      </c>
      <c r="AL223" s="388">
        <v>40588.379999999997</v>
      </c>
      <c r="AM223" s="388">
        <v>33256.631000000001</v>
      </c>
      <c r="AN223" s="388">
        <v>2035.2149999999999</v>
      </c>
      <c r="AO223" s="467">
        <v>0.54964281879516541</v>
      </c>
      <c r="AP223" s="468">
        <v>5573.2150000000001</v>
      </c>
      <c r="AQ223" s="468">
        <v>-5573.2150000000001</v>
      </c>
      <c r="AR223" s="393"/>
      <c r="AS223" s="394"/>
      <c r="AT223" s="394"/>
      <c r="AU223" s="395"/>
      <c r="AV223" s="477"/>
      <c r="AW223" s="388">
        <v>73845011</v>
      </c>
      <c r="AX223" s="424">
        <v>40588380</v>
      </c>
      <c r="AY223" s="424">
        <v>33256631</v>
      </c>
      <c r="AZ223" s="424">
        <v>2035215</v>
      </c>
      <c r="BA223" s="472">
        <v>0.54964281879516541</v>
      </c>
      <c r="BB223" s="453">
        <v>15482</v>
      </c>
      <c r="BC223" s="390">
        <v>0</v>
      </c>
      <c r="BD223" s="236">
        <v>0</v>
      </c>
    </row>
    <row r="224" spans="1:56" s="121" customFormat="1" ht="14.25" customHeight="1">
      <c r="A224" s="104">
        <v>2023</v>
      </c>
      <c r="B224" s="105" t="s">
        <v>1274</v>
      </c>
      <c r="C224" s="556" t="s">
        <v>1357</v>
      </c>
      <c r="D224" s="106" t="s">
        <v>2415</v>
      </c>
      <c r="E224" s="150" t="s">
        <v>1358</v>
      </c>
      <c r="F224" s="71" t="s">
        <v>1404</v>
      </c>
      <c r="G224" s="290" t="s">
        <v>2467</v>
      </c>
      <c r="H224" s="424"/>
      <c r="I224" s="388"/>
      <c r="J224" s="388"/>
      <c r="K224" s="462">
        <v>0</v>
      </c>
      <c r="L224" s="387">
        <v>66</v>
      </c>
      <c r="M224" s="387">
        <v>1068</v>
      </c>
      <c r="N224" s="388"/>
      <c r="O224" s="387"/>
      <c r="P224" s="389"/>
      <c r="Q224" s="387">
        <v>8495</v>
      </c>
      <c r="R224" s="388"/>
      <c r="S224" s="387">
        <v>0</v>
      </c>
      <c r="T224" s="388"/>
      <c r="U224" s="391"/>
      <c r="V224" s="388"/>
      <c r="W224" s="462">
        <v>1134</v>
      </c>
      <c r="X224" s="387"/>
      <c r="Y224" s="387"/>
      <c r="Z224" s="387"/>
      <c r="AA224" s="387"/>
      <c r="AB224" s="462">
        <v>0</v>
      </c>
      <c r="AC224" s="387"/>
      <c r="AD224" s="387"/>
      <c r="AE224" s="387"/>
      <c r="AF224" s="387"/>
      <c r="AG224" s="387"/>
      <c r="AH224" s="387"/>
      <c r="AI224" s="387"/>
      <c r="AJ224" s="462">
        <v>0</v>
      </c>
      <c r="AK224" s="388">
        <v>0</v>
      </c>
      <c r="AL224" s="388">
        <v>0</v>
      </c>
      <c r="AM224" s="388">
        <v>0</v>
      </c>
      <c r="AN224" s="388">
        <v>0</v>
      </c>
      <c r="AO224" s="467" t="s">
        <v>825</v>
      </c>
      <c r="AP224" s="468">
        <v>1134</v>
      </c>
      <c r="AQ224" s="468">
        <v>-1134</v>
      </c>
      <c r="AR224" s="393"/>
      <c r="AS224" s="394"/>
      <c r="AT224" s="394"/>
      <c r="AU224" s="395"/>
      <c r="AV224" s="477"/>
      <c r="AW224" s="388">
        <v>0</v>
      </c>
      <c r="AX224" s="424">
        <v>0</v>
      </c>
      <c r="AY224" s="424">
        <v>0</v>
      </c>
      <c r="AZ224" s="424">
        <v>0</v>
      </c>
      <c r="BA224" s="472" t="s">
        <v>1966</v>
      </c>
      <c r="BB224" s="453">
        <v>23445</v>
      </c>
      <c r="BC224" s="390">
        <v>0</v>
      </c>
      <c r="BD224" s="236">
        <v>0</v>
      </c>
    </row>
    <row r="225" spans="1:56" s="121" customFormat="1" ht="14.25" customHeight="1">
      <c r="A225" s="104">
        <v>2023</v>
      </c>
      <c r="B225" s="105" t="s">
        <v>1278</v>
      </c>
      <c r="C225" s="556" t="s">
        <v>1361</v>
      </c>
      <c r="D225" s="106" t="s">
        <v>2415</v>
      </c>
      <c r="E225" s="150" t="s">
        <v>1362</v>
      </c>
      <c r="F225" s="71" t="s">
        <v>1363</v>
      </c>
      <c r="G225" s="290" t="s">
        <v>1364</v>
      </c>
      <c r="H225" s="424">
        <v>0</v>
      </c>
      <c r="I225" s="388">
        <v>0</v>
      </c>
      <c r="J225" s="388">
        <v>0</v>
      </c>
      <c r="K225" s="462">
        <v>0</v>
      </c>
      <c r="L225" s="387">
        <v>166</v>
      </c>
      <c r="M225" s="387">
        <v>2283</v>
      </c>
      <c r="N225" s="390">
        <v>0</v>
      </c>
      <c r="O225" s="387">
        <v>35</v>
      </c>
      <c r="P225" s="389">
        <v>0.08</v>
      </c>
      <c r="Q225" s="387">
        <v>8495</v>
      </c>
      <c r="R225" s="388"/>
      <c r="S225" s="387">
        <v>680</v>
      </c>
      <c r="T225" s="390"/>
      <c r="U225" s="391">
        <v>50</v>
      </c>
      <c r="V225" s="388"/>
      <c r="W225" s="462">
        <v>3214</v>
      </c>
      <c r="X225" s="387"/>
      <c r="Y225" s="387"/>
      <c r="Z225" s="388"/>
      <c r="AA225" s="387"/>
      <c r="AB225" s="462">
        <v>0</v>
      </c>
      <c r="AC225" s="387"/>
      <c r="AD225" s="387"/>
      <c r="AE225" s="388"/>
      <c r="AF225" s="387"/>
      <c r="AG225" s="387"/>
      <c r="AH225" s="388"/>
      <c r="AI225" s="388"/>
      <c r="AJ225" s="462">
        <v>0</v>
      </c>
      <c r="AK225" s="388">
        <v>24413.200000000001</v>
      </c>
      <c r="AL225" s="388">
        <v>24413.197</v>
      </c>
      <c r="AM225" s="388">
        <v>3.0000000000000001E-3</v>
      </c>
      <c r="AN225" s="388">
        <v>0</v>
      </c>
      <c r="AO225" s="467">
        <v>0.99999987711565874</v>
      </c>
      <c r="AP225" s="468">
        <v>3214</v>
      </c>
      <c r="AQ225" s="468">
        <v>-3214</v>
      </c>
      <c r="AR225" s="393"/>
      <c r="AS225" s="394"/>
      <c r="AT225" s="394"/>
      <c r="AU225" s="395"/>
      <c r="AV225" s="477"/>
      <c r="AW225" s="388">
        <v>24413200</v>
      </c>
      <c r="AX225" s="424">
        <v>24413197</v>
      </c>
      <c r="AY225" s="424">
        <v>3</v>
      </c>
      <c r="AZ225" s="424">
        <v>0</v>
      </c>
      <c r="BA225" s="472">
        <v>0.99999987711565874</v>
      </c>
      <c r="BB225" s="453">
        <v>2533</v>
      </c>
      <c r="BC225" s="390">
        <v>8</v>
      </c>
      <c r="BD225" s="236">
        <v>0</v>
      </c>
    </row>
    <row r="226" spans="1:56" s="121" customFormat="1" ht="14.25" customHeight="1">
      <c r="A226" s="104">
        <v>2023</v>
      </c>
      <c r="B226" s="105" t="s">
        <v>1282</v>
      </c>
      <c r="C226" s="556" t="s">
        <v>1371</v>
      </c>
      <c r="D226" s="106" t="s">
        <v>2415</v>
      </c>
      <c r="E226" s="150" t="s">
        <v>1372</v>
      </c>
      <c r="F226" s="71" t="s">
        <v>170</v>
      </c>
      <c r="G226" s="68" t="s">
        <v>1373</v>
      </c>
      <c r="H226" s="386">
        <v>1143</v>
      </c>
      <c r="I226" s="387">
        <v>0</v>
      </c>
      <c r="J226" s="388">
        <v>1129</v>
      </c>
      <c r="K226" s="462">
        <v>2272</v>
      </c>
      <c r="L226" s="388">
        <v>0</v>
      </c>
      <c r="M226" s="388">
        <v>0</v>
      </c>
      <c r="N226" s="388">
        <v>0</v>
      </c>
      <c r="O226" s="388">
        <v>312</v>
      </c>
      <c r="P226" s="389">
        <v>0</v>
      </c>
      <c r="Q226" s="387">
        <v>8495</v>
      </c>
      <c r="R226" s="388"/>
      <c r="S226" s="387">
        <v>0</v>
      </c>
      <c r="T226" s="388"/>
      <c r="U226" s="391">
        <v>30106</v>
      </c>
      <c r="V226" s="387">
        <v>4300</v>
      </c>
      <c r="W226" s="462">
        <v>34718</v>
      </c>
      <c r="X226" s="387">
        <v>118766</v>
      </c>
      <c r="Y226" s="387">
        <v>109183</v>
      </c>
      <c r="Z226" s="391">
        <v>120</v>
      </c>
      <c r="AA226" s="387">
        <v>4300</v>
      </c>
      <c r="AB226" s="462">
        <v>232369</v>
      </c>
      <c r="AC226" s="387">
        <v>37664</v>
      </c>
      <c r="AD226" s="387">
        <v>38581</v>
      </c>
      <c r="AE226" s="388">
        <v>0</v>
      </c>
      <c r="AF226" s="392">
        <v>5701</v>
      </c>
      <c r="AG226" s="387">
        <v>95417</v>
      </c>
      <c r="AH226" s="388">
        <v>47630</v>
      </c>
      <c r="AI226" s="388">
        <v>15483</v>
      </c>
      <c r="AJ226" s="462">
        <v>240476</v>
      </c>
      <c r="AK226" s="388">
        <v>1054247.7279999999</v>
      </c>
      <c r="AL226" s="388">
        <v>241599.67300000001</v>
      </c>
      <c r="AM226" s="388">
        <v>812648.05500000005</v>
      </c>
      <c r="AN226" s="388">
        <v>36878.055999999997</v>
      </c>
      <c r="AO226" s="467">
        <v>0.2291678384342698</v>
      </c>
      <c r="AP226" s="468">
        <v>71596.055999999997</v>
      </c>
      <c r="AQ226" s="468">
        <v>-69324.055999999997</v>
      </c>
      <c r="AR226" s="393"/>
      <c r="AS226" s="394"/>
      <c r="AT226" s="394" t="s">
        <v>2672</v>
      </c>
      <c r="AU226" s="395" t="s">
        <v>2672</v>
      </c>
      <c r="AV226" s="471"/>
      <c r="AW226" s="388">
        <v>1054247728</v>
      </c>
      <c r="AX226" s="424">
        <v>241599673</v>
      </c>
      <c r="AY226" s="424">
        <v>812648055</v>
      </c>
      <c r="AZ226" s="424">
        <v>36878056</v>
      </c>
      <c r="BA226" s="472">
        <v>0.2291678384342698</v>
      </c>
      <c r="BB226" s="453">
        <v>634528</v>
      </c>
      <c r="BC226" s="390">
        <v>104504</v>
      </c>
      <c r="BD226" s="236">
        <v>156</v>
      </c>
    </row>
    <row r="227" spans="1:56" s="121" customFormat="1" ht="14.25" customHeight="1">
      <c r="A227" s="104">
        <v>2023</v>
      </c>
      <c r="B227" s="105" t="s">
        <v>1286</v>
      </c>
      <c r="C227" s="556" t="s">
        <v>1382</v>
      </c>
      <c r="D227" s="106" t="s">
        <v>2415</v>
      </c>
      <c r="E227" s="150" t="s">
        <v>2060</v>
      </c>
      <c r="F227" s="71" t="s">
        <v>170</v>
      </c>
      <c r="G227" s="290" t="s">
        <v>1373</v>
      </c>
      <c r="H227" s="423"/>
      <c r="I227" s="387"/>
      <c r="J227" s="388">
        <v>145</v>
      </c>
      <c r="K227" s="462">
        <v>145</v>
      </c>
      <c r="L227" s="388">
        <v>0</v>
      </c>
      <c r="M227" s="388">
        <v>183</v>
      </c>
      <c r="N227" s="388">
        <v>0</v>
      </c>
      <c r="O227" s="388">
        <v>903</v>
      </c>
      <c r="P227" s="389">
        <v>0</v>
      </c>
      <c r="Q227" s="387">
        <v>8495</v>
      </c>
      <c r="R227" s="388"/>
      <c r="S227" s="387">
        <v>0</v>
      </c>
      <c r="T227" s="388"/>
      <c r="U227" s="391">
        <v>660</v>
      </c>
      <c r="V227" s="387">
        <v>45285</v>
      </c>
      <c r="W227" s="462">
        <v>47031</v>
      </c>
      <c r="X227" s="387">
        <v>22784</v>
      </c>
      <c r="Y227" s="387">
        <v>14056</v>
      </c>
      <c r="Z227" s="391">
        <v>1127</v>
      </c>
      <c r="AA227" s="387">
        <v>45285</v>
      </c>
      <c r="AB227" s="462">
        <v>83252</v>
      </c>
      <c r="AC227" s="387">
        <v>7709</v>
      </c>
      <c r="AD227" s="387">
        <v>10680</v>
      </c>
      <c r="AE227" s="388">
        <v>0</v>
      </c>
      <c r="AF227" s="392">
        <v>9358</v>
      </c>
      <c r="AG227" s="387">
        <v>26656</v>
      </c>
      <c r="AH227" s="388">
        <v>20675</v>
      </c>
      <c r="AI227" s="388">
        <v>1146</v>
      </c>
      <c r="AJ227" s="462">
        <v>76224</v>
      </c>
      <c r="AK227" s="388">
        <v>628237.34699999995</v>
      </c>
      <c r="AL227" s="388">
        <v>527231.48300000001</v>
      </c>
      <c r="AM227" s="388">
        <v>101005.864</v>
      </c>
      <c r="AN227" s="388">
        <v>12813.913</v>
      </c>
      <c r="AO227" s="467">
        <v>0.83922340102458126</v>
      </c>
      <c r="AP227" s="468">
        <v>59844.913</v>
      </c>
      <c r="AQ227" s="468">
        <v>-59699.913</v>
      </c>
      <c r="AR227" s="393"/>
      <c r="AS227" s="394"/>
      <c r="AT227" s="394" t="s">
        <v>2672</v>
      </c>
      <c r="AU227" s="395" t="s">
        <v>2672</v>
      </c>
      <c r="AV227" s="471"/>
      <c r="AW227" s="388">
        <v>628237347</v>
      </c>
      <c r="AX227" s="424">
        <v>527231483</v>
      </c>
      <c r="AY227" s="424">
        <v>101005864</v>
      </c>
      <c r="AZ227" s="424">
        <v>12813913</v>
      </c>
      <c r="BA227" s="472">
        <v>0.83922340102458126</v>
      </c>
      <c r="BB227" s="453">
        <v>124629</v>
      </c>
      <c r="BC227" s="390">
        <v>1042</v>
      </c>
      <c r="BD227" s="236">
        <v>0</v>
      </c>
    </row>
    <row r="228" spans="1:56" s="121" customFormat="1" ht="14.25" customHeight="1">
      <c r="A228" s="104">
        <v>2023</v>
      </c>
      <c r="B228" s="105" t="s">
        <v>1290</v>
      </c>
      <c r="C228" s="556" t="s">
        <v>1390</v>
      </c>
      <c r="D228" s="106" t="s">
        <v>2415</v>
      </c>
      <c r="E228" s="150" t="s">
        <v>1391</v>
      </c>
      <c r="F228" s="71" t="s">
        <v>170</v>
      </c>
      <c r="G228" s="290" t="s">
        <v>1373</v>
      </c>
      <c r="H228" s="423"/>
      <c r="I228" s="387"/>
      <c r="J228" s="388"/>
      <c r="K228" s="462">
        <v>0</v>
      </c>
      <c r="L228" s="388"/>
      <c r="M228" s="388"/>
      <c r="N228" s="388"/>
      <c r="O228" s="388"/>
      <c r="P228" s="389">
        <v>0</v>
      </c>
      <c r="Q228" s="387">
        <v>8495</v>
      </c>
      <c r="R228" s="388"/>
      <c r="S228" s="387">
        <v>0</v>
      </c>
      <c r="T228" s="388"/>
      <c r="U228" s="391"/>
      <c r="V228" s="387">
        <v>3440</v>
      </c>
      <c r="W228" s="462">
        <v>3440</v>
      </c>
      <c r="X228" s="387">
        <v>5541</v>
      </c>
      <c r="Y228" s="387">
        <v>1728</v>
      </c>
      <c r="Z228" s="391"/>
      <c r="AA228" s="387">
        <v>3440</v>
      </c>
      <c r="AB228" s="462">
        <v>10709</v>
      </c>
      <c r="AC228" s="387">
        <v>283</v>
      </c>
      <c r="AD228" s="387">
        <v>0</v>
      </c>
      <c r="AE228" s="388">
        <v>0</v>
      </c>
      <c r="AF228" s="392">
        <v>1008</v>
      </c>
      <c r="AG228" s="387">
        <v>7837</v>
      </c>
      <c r="AH228" s="388">
        <v>2900</v>
      </c>
      <c r="AI228" s="388">
        <v>0</v>
      </c>
      <c r="AJ228" s="462">
        <v>12028</v>
      </c>
      <c r="AK228" s="388">
        <v>2776.5</v>
      </c>
      <c r="AL228" s="388">
        <v>2776.4969999999998</v>
      </c>
      <c r="AM228" s="388">
        <v>3.0000000000000001E-3</v>
      </c>
      <c r="AN228" s="388">
        <v>0</v>
      </c>
      <c r="AO228" s="467">
        <v>0.99999891950297137</v>
      </c>
      <c r="AP228" s="468">
        <v>3440</v>
      </c>
      <c r="AQ228" s="468">
        <v>-3440</v>
      </c>
      <c r="AR228" s="393"/>
      <c r="AS228" s="394"/>
      <c r="AT228" s="394" t="s">
        <v>2672</v>
      </c>
      <c r="AU228" s="395" t="s">
        <v>2672</v>
      </c>
      <c r="AV228" s="471"/>
      <c r="AW228" s="388">
        <v>2776500</v>
      </c>
      <c r="AX228" s="424">
        <v>2776497</v>
      </c>
      <c r="AY228" s="424">
        <v>3</v>
      </c>
      <c r="AZ228" s="424">
        <v>0</v>
      </c>
      <c r="BA228" s="472">
        <v>0.99999891950297137</v>
      </c>
      <c r="BB228" s="453">
        <v>9725</v>
      </c>
      <c r="BC228" s="390">
        <v>0</v>
      </c>
      <c r="BD228" s="236">
        <v>0</v>
      </c>
    </row>
    <row r="229" spans="1:56" s="121" customFormat="1" ht="14.25" customHeight="1">
      <c r="A229" s="104">
        <v>2023</v>
      </c>
      <c r="B229" s="105" t="s">
        <v>1294</v>
      </c>
      <c r="C229" s="556" t="s">
        <v>1395</v>
      </c>
      <c r="D229" s="106" t="s">
        <v>2415</v>
      </c>
      <c r="E229" s="150" t="s">
        <v>1396</v>
      </c>
      <c r="F229" s="71" t="s">
        <v>170</v>
      </c>
      <c r="G229" s="290" t="s">
        <v>1373</v>
      </c>
      <c r="H229" s="423">
        <v>4826</v>
      </c>
      <c r="I229" s="387">
        <v>0</v>
      </c>
      <c r="J229" s="388">
        <v>7</v>
      </c>
      <c r="K229" s="462">
        <v>4833</v>
      </c>
      <c r="L229" s="388">
        <v>0</v>
      </c>
      <c r="M229" s="388">
        <v>62</v>
      </c>
      <c r="N229" s="388">
        <v>0</v>
      </c>
      <c r="O229" s="388">
        <v>638</v>
      </c>
      <c r="P229" s="389">
        <v>0</v>
      </c>
      <c r="Q229" s="387">
        <v>8495</v>
      </c>
      <c r="R229" s="388"/>
      <c r="S229" s="387">
        <v>0</v>
      </c>
      <c r="T229" s="388"/>
      <c r="U229" s="391">
        <v>47</v>
      </c>
      <c r="V229" s="387">
        <v>14626</v>
      </c>
      <c r="W229" s="462">
        <v>15373</v>
      </c>
      <c r="X229" s="387"/>
      <c r="Y229" s="387"/>
      <c r="Z229" s="391">
        <v>1491</v>
      </c>
      <c r="AA229" s="387">
        <v>14626</v>
      </c>
      <c r="AB229" s="462">
        <v>16117</v>
      </c>
      <c r="AC229" s="387">
        <v>759</v>
      </c>
      <c r="AD229" s="387">
        <v>7106</v>
      </c>
      <c r="AE229" s="388">
        <v>0</v>
      </c>
      <c r="AF229" s="392">
        <v>758</v>
      </c>
      <c r="AG229" s="387">
        <v>4366</v>
      </c>
      <c r="AH229" s="388">
        <v>362</v>
      </c>
      <c r="AI229" s="388">
        <v>1484</v>
      </c>
      <c r="AJ229" s="462">
        <v>14835</v>
      </c>
      <c r="AK229" s="388">
        <v>25061.4</v>
      </c>
      <c r="AL229" s="388">
        <v>25061.399000000001</v>
      </c>
      <c r="AM229" s="388">
        <v>1E-3</v>
      </c>
      <c r="AN229" s="388">
        <v>0</v>
      </c>
      <c r="AO229" s="467">
        <v>0.9999999600979993</v>
      </c>
      <c r="AP229" s="468">
        <v>15373</v>
      </c>
      <c r="AQ229" s="468">
        <v>-10540</v>
      </c>
      <c r="AR229" s="393"/>
      <c r="AS229" s="394"/>
      <c r="AT229" s="394" t="s">
        <v>2672</v>
      </c>
      <c r="AU229" s="395" t="s">
        <v>2672</v>
      </c>
      <c r="AV229" s="471"/>
      <c r="AW229" s="388">
        <v>25061400</v>
      </c>
      <c r="AX229" s="424">
        <v>25061399</v>
      </c>
      <c r="AY229" s="424">
        <v>1</v>
      </c>
      <c r="AZ229" s="424">
        <v>0</v>
      </c>
      <c r="BA229" s="472">
        <v>0.9999999600979993</v>
      </c>
      <c r="BB229" s="453">
        <v>17351</v>
      </c>
      <c r="BC229" s="390">
        <v>0</v>
      </c>
      <c r="BD229" s="236">
        <v>0</v>
      </c>
    </row>
    <row r="230" spans="1:56" s="121" customFormat="1" ht="14.25" customHeight="1">
      <c r="A230" s="104">
        <v>2023</v>
      </c>
      <c r="B230" s="105" t="s">
        <v>1298</v>
      </c>
      <c r="C230" s="556" t="s">
        <v>1402</v>
      </c>
      <c r="D230" s="106" t="s">
        <v>2415</v>
      </c>
      <c r="E230" s="150" t="s">
        <v>1403</v>
      </c>
      <c r="F230" s="71" t="s">
        <v>1404</v>
      </c>
      <c r="G230" s="460" t="s">
        <v>2653</v>
      </c>
      <c r="H230" s="451">
        <v>34</v>
      </c>
      <c r="I230" s="390">
        <v>40500</v>
      </c>
      <c r="J230" s="390">
        <v>0</v>
      </c>
      <c r="K230" s="463">
        <v>40534</v>
      </c>
      <c r="L230" s="387"/>
      <c r="M230" s="387"/>
      <c r="N230" s="387"/>
      <c r="O230" s="387">
        <v>0</v>
      </c>
      <c r="P230" s="396">
        <v>0.26753251681177143</v>
      </c>
      <c r="Q230" s="387">
        <v>8495</v>
      </c>
      <c r="R230" s="388"/>
      <c r="S230" s="387">
        <v>2273</v>
      </c>
      <c r="T230" s="388">
        <v>117.48</v>
      </c>
      <c r="U230" s="391">
        <v>0</v>
      </c>
      <c r="V230" s="387">
        <v>0</v>
      </c>
      <c r="W230" s="462">
        <v>2390.48</v>
      </c>
      <c r="X230" s="387">
        <v>48728.898201372453</v>
      </c>
      <c r="Y230" s="387"/>
      <c r="Z230" s="391"/>
      <c r="AA230" s="387"/>
      <c r="AB230" s="462">
        <v>48728.898201372453</v>
      </c>
      <c r="AC230" s="387">
        <v>2956.1014934814771</v>
      </c>
      <c r="AD230" s="387">
        <v>2822.1315051546562</v>
      </c>
      <c r="AE230" s="388">
        <v>0</v>
      </c>
      <c r="AF230" s="392">
        <v>782</v>
      </c>
      <c r="AG230" s="387">
        <v>14000.538461538463</v>
      </c>
      <c r="AH230" s="388">
        <v>1359.4844807004401</v>
      </c>
      <c r="AI230" s="388">
        <v>1040.952462041522</v>
      </c>
      <c r="AJ230" s="462">
        <v>22961.20840291656</v>
      </c>
      <c r="AK230" s="388">
        <v>559213.06000000006</v>
      </c>
      <c r="AL230" s="388">
        <v>446609.14500000002</v>
      </c>
      <c r="AM230" s="388">
        <v>112603.91499999999</v>
      </c>
      <c r="AN230" s="388">
        <v>11890.791999999999</v>
      </c>
      <c r="AO230" s="467">
        <v>0.79863861727406726</v>
      </c>
      <c r="AP230" s="468">
        <v>14281.271999999999</v>
      </c>
      <c r="AQ230" s="468">
        <v>26252.728000000003</v>
      </c>
      <c r="AR230" s="393"/>
      <c r="AS230" s="394"/>
      <c r="AT230" s="394"/>
      <c r="AU230" s="395"/>
      <c r="AV230" s="471"/>
      <c r="AW230" s="388">
        <v>559213060</v>
      </c>
      <c r="AX230" s="424">
        <v>446609145</v>
      </c>
      <c r="AY230" s="424">
        <v>112603915</v>
      </c>
      <c r="AZ230" s="424">
        <v>11890792</v>
      </c>
      <c r="BA230" s="472">
        <v>0.79863861727406726</v>
      </c>
      <c r="BB230" s="453">
        <v>81040</v>
      </c>
      <c r="BC230" s="390">
        <v>0</v>
      </c>
      <c r="BD230" s="236">
        <v>0</v>
      </c>
    </row>
    <row r="231" spans="1:56" s="121" customFormat="1" ht="14.25" customHeight="1">
      <c r="A231" s="104">
        <v>2023</v>
      </c>
      <c r="B231" s="105" t="s">
        <v>1303</v>
      </c>
      <c r="C231" s="556" t="s">
        <v>1414</v>
      </c>
      <c r="D231" s="106" t="s">
        <v>2415</v>
      </c>
      <c r="E231" s="150" t="s">
        <v>1415</v>
      </c>
      <c r="F231" s="71" t="s">
        <v>1404</v>
      </c>
      <c r="G231" s="460" t="s">
        <v>2653</v>
      </c>
      <c r="H231" s="451">
        <v>0</v>
      </c>
      <c r="I231" s="390">
        <v>4500</v>
      </c>
      <c r="J231" s="390">
        <v>0</v>
      </c>
      <c r="K231" s="463">
        <v>4500</v>
      </c>
      <c r="L231" s="387"/>
      <c r="M231" s="387"/>
      <c r="N231" s="387"/>
      <c r="O231" s="387">
        <v>0</v>
      </c>
      <c r="P231" s="396">
        <v>0.16047852941796487</v>
      </c>
      <c r="Q231" s="387">
        <v>8495</v>
      </c>
      <c r="R231" s="388"/>
      <c r="S231" s="387">
        <v>1363</v>
      </c>
      <c r="T231" s="388">
        <v>4782.8919999999998</v>
      </c>
      <c r="U231" s="391">
        <v>0</v>
      </c>
      <c r="V231" s="387">
        <v>0</v>
      </c>
      <c r="W231" s="462">
        <v>6145.8919999999998</v>
      </c>
      <c r="X231" s="387">
        <v>27097.230705704991</v>
      </c>
      <c r="Y231" s="387"/>
      <c r="Z231" s="391"/>
      <c r="AA231" s="387"/>
      <c r="AB231" s="462">
        <v>27097.230705704991</v>
      </c>
      <c r="AC231" s="387">
        <v>1643.832861299757</v>
      </c>
      <c r="AD231" s="387">
        <v>1569.3346515037838</v>
      </c>
      <c r="AE231" s="388">
        <v>0</v>
      </c>
      <c r="AF231" s="392">
        <v>144</v>
      </c>
      <c r="AG231" s="387">
        <v>14000.538461538463</v>
      </c>
      <c r="AH231" s="388">
        <v>755.98394328825236</v>
      </c>
      <c r="AI231" s="388">
        <v>578.85423349909217</v>
      </c>
      <c r="AJ231" s="462">
        <v>18692.544151129347</v>
      </c>
      <c r="AK231" s="388">
        <v>554079.6</v>
      </c>
      <c r="AL231" s="388">
        <v>548908.87199999997</v>
      </c>
      <c r="AM231" s="388">
        <v>5170.7280000000001</v>
      </c>
      <c r="AN231" s="388">
        <v>332.387</v>
      </c>
      <c r="AO231" s="467">
        <v>0.99066789681482592</v>
      </c>
      <c r="AP231" s="468">
        <v>6478.2789999999995</v>
      </c>
      <c r="AQ231" s="468">
        <v>-1978.2789999999995</v>
      </c>
      <c r="AR231" s="393"/>
      <c r="AS231" s="394"/>
      <c r="AT231" s="394"/>
      <c r="AU231" s="395"/>
      <c r="AV231" s="471"/>
      <c r="AW231" s="388">
        <v>554079600</v>
      </c>
      <c r="AX231" s="424">
        <v>548908872</v>
      </c>
      <c r="AY231" s="424">
        <v>5170728</v>
      </c>
      <c r="AZ231" s="424">
        <v>332387</v>
      </c>
      <c r="BA231" s="472">
        <v>0.99066789681482592</v>
      </c>
      <c r="BB231" s="453">
        <v>64017</v>
      </c>
      <c r="BC231" s="390">
        <v>0</v>
      </c>
      <c r="BD231" s="236">
        <v>0</v>
      </c>
    </row>
    <row r="232" spans="1:56" s="121" customFormat="1" ht="14.25" customHeight="1">
      <c r="A232" s="104">
        <v>2023</v>
      </c>
      <c r="B232" s="105" t="s">
        <v>2548</v>
      </c>
      <c r="C232" s="556" t="s">
        <v>1417</v>
      </c>
      <c r="D232" s="106" t="s">
        <v>2415</v>
      </c>
      <c r="E232" s="150" t="s">
        <v>1418</v>
      </c>
      <c r="F232" s="71" t="s">
        <v>1404</v>
      </c>
      <c r="G232" s="460" t="s">
        <v>2653</v>
      </c>
      <c r="H232" s="451">
        <v>269.548</v>
      </c>
      <c r="I232" s="390">
        <v>38514.805999999997</v>
      </c>
      <c r="J232" s="390">
        <v>0</v>
      </c>
      <c r="K232" s="463">
        <v>38784.353999999999</v>
      </c>
      <c r="L232" s="387"/>
      <c r="M232" s="387"/>
      <c r="N232" s="387"/>
      <c r="O232" s="387">
        <v>0</v>
      </c>
      <c r="P232" s="396">
        <v>0.57198895377026371</v>
      </c>
      <c r="Q232" s="387">
        <v>8495</v>
      </c>
      <c r="R232" s="388"/>
      <c r="S232" s="387">
        <v>4859</v>
      </c>
      <c r="T232" s="388">
        <v>15129.48</v>
      </c>
      <c r="U232" s="391">
        <v>0</v>
      </c>
      <c r="V232" s="387">
        <v>0</v>
      </c>
      <c r="W232" s="462">
        <v>19988.48</v>
      </c>
      <c r="X232" s="387">
        <v>96581.871092922534</v>
      </c>
      <c r="Y232" s="387"/>
      <c r="Z232" s="391">
        <v>542</v>
      </c>
      <c r="AA232" s="387"/>
      <c r="AB232" s="462">
        <v>97123.871092922534</v>
      </c>
      <c r="AC232" s="387">
        <v>5859.065645218765</v>
      </c>
      <c r="AD232" s="387">
        <v>5593.5338433415591</v>
      </c>
      <c r="AE232" s="388">
        <v>0</v>
      </c>
      <c r="AF232" s="392">
        <v>819</v>
      </c>
      <c r="AG232" s="387">
        <v>32667.923076923074</v>
      </c>
      <c r="AH232" s="388">
        <v>2694.5315760113072</v>
      </c>
      <c r="AI232" s="388">
        <v>2063.1933044593852</v>
      </c>
      <c r="AJ232" s="462">
        <v>49697.24744595409</v>
      </c>
      <c r="AK232" s="388">
        <v>5323522.0999999996</v>
      </c>
      <c r="AL232" s="388">
        <v>3842565.0809999998</v>
      </c>
      <c r="AM232" s="388">
        <v>1480957.0190000001</v>
      </c>
      <c r="AN232" s="388">
        <v>145238.86799999999</v>
      </c>
      <c r="AO232" s="467">
        <v>0.72180879666114284</v>
      </c>
      <c r="AP232" s="468">
        <v>165227.348</v>
      </c>
      <c r="AQ232" s="468">
        <v>-126442.99400000001</v>
      </c>
      <c r="AR232" s="393"/>
      <c r="AS232" s="394"/>
      <c r="AT232" s="394"/>
      <c r="AU232" s="395"/>
      <c r="AV232" s="471"/>
      <c r="AW232" s="388">
        <v>5323522100</v>
      </c>
      <c r="AX232" s="424">
        <v>3842565081</v>
      </c>
      <c r="AY232" s="424">
        <v>1480957019</v>
      </c>
      <c r="AZ232" s="424">
        <v>145238868</v>
      </c>
      <c r="BA232" s="472">
        <v>0.72180879666114284</v>
      </c>
      <c r="BB232" s="453">
        <v>221846</v>
      </c>
      <c r="BC232" s="390">
        <v>0</v>
      </c>
      <c r="BD232" s="236">
        <v>0</v>
      </c>
    </row>
    <row r="233" spans="1:56" s="121" customFormat="1" ht="14.25" customHeight="1">
      <c r="A233" s="104">
        <v>2023</v>
      </c>
      <c r="B233" s="105" t="s">
        <v>1307</v>
      </c>
      <c r="C233" s="556" t="s">
        <v>1420</v>
      </c>
      <c r="D233" s="106" t="s">
        <v>2415</v>
      </c>
      <c r="E233" s="150" t="s">
        <v>1421</v>
      </c>
      <c r="F233" s="71" t="s">
        <v>1404</v>
      </c>
      <c r="G233" s="460" t="s">
        <v>2653</v>
      </c>
      <c r="H233" s="451">
        <v>144.6</v>
      </c>
      <c r="I233" s="390">
        <v>3658.9362921201564</v>
      </c>
      <c r="J233" s="390">
        <v>0</v>
      </c>
      <c r="K233" s="463">
        <v>3803.5362921201563</v>
      </c>
      <c r="L233" s="387"/>
      <c r="M233" s="387"/>
      <c r="N233" s="387"/>
      <c r="O233" s="387">
        <v>0</v>
      </c>
      <c r="P233" s="396">
        <v>6.83581284006992E-2</v>
      </c>
      <c r="Q233" s="387">
        <v>8495</v>
      </c>
      <c r="R233" s="388"/>
      <c r="S233" s="387">
        <v>581</v>
      </c>
      <c r="T233" s="388">
        <v>2101</v>
      </c>
      <c r="U233" s="391">
        <v>0</v>
      </c>
      <c r="V233" s="387">
        <v>0</v>
      </c>
      <c r="W233" s="462">
        <v>2682</v>
      </c>
      <c r="X233" s="387">
        <v>11592.649921089374</v>
      </c>
      <c r="Y233" s="387"/>
      <c r="Z233" s="391"/>
      <c r="AA233" s="387"/>
      <c r="AB233" s="462">
        <v>11592.649921089374</v>
      </c>
      <c r="AC233" s="387">
        <v>430.72456705280564</v>
      </c>
      <c r="AD233" s="387">
        <v>923.44995656504545</v>
      </c>
      <c r="AE233" s="388">
        <v>0</v>
      </c>
      <c r="AF233" s="392">
        <v>544</v>
      </c>
      <c r="AG233" s="387">
        <v>10175.245901639344</v>
      </c>
      <c r="AH233" s="388">
        <v>876.96642925257004</v>
      </c>
      <c r="AI233" s="388">
        <v>95.769737889379584</v>
      </c>
      <c r="AJ233" s="462">
        <v>13046.156592399144</v>
      </c>
      <c r="AK233" s="388">
        <v>151879.796</v>
      </c>
      <c r="AL233" s="388">
        <v>90773.471999999994</v>
      </c>
      <c r="AM233" s="388">
        <v>61106.324000000001</v>
      </c>
      <c r="AN233" s="388">
        <v>5105.5190000000002</v>
      </c>
      <c r="AO233" s="467">
        <v>0.59766653887262267</v>
      </c>
      <c r="AP233" s="468">
        <v>7787.5190000000002</v>
      </c>
      <c r="AQ233" s="468">
        <v>-3983.9827078798439</v>
      </c>
      <c r="AR233" s="393"/>
      <c r="AS233" s="394"/>
      <c r="AT233" s="394"/>
      <c r="AU233" s="395"/>
      <c r="AV233" s="471"/>
      <c r="AW233" s="388">
        <v>151879796</v>
      </c>
      <c r="AX233" s="424">
        <v>90773472</v>
      </c>
      <c r="AY233" s="424">
        <v>61106324</v>
      </c>
      <c r="AZ233" s="424">
        <v>5105519</v>
      </c>
      <c r="BA233" s="472">
        <v>0.59766653887262267</v>
      </c>
      <c r="BB233" s="453">
        <v>11711</v>
      </c>
      <c r="BC233" s="390">
        <v>0</v>
      </c>
      <c r="BD233" s="236">
        <v>0</v>
      </c>
    </row>
    <row r="234" spans="1:56" s="121" customFormat="1" ht="14.25" customHeight="1">
      <c r="A234" s="104">
        <v>2023</v>
      </c>
      <c r="B234" s="105" t="s">
        <v>1311</v>
      </c>
      <c r="C234" s="556" t="s">
        <v>1427</v>
      </c>
      <c r="D234" s="106" t="s">
        <v>2415</v>
      </c>
      <c r="E234" s="150" t="s">
        <v>1428</v>
      </c>
      <c r="F234" s="71" t="s">
        <v>1404</v>
      </c>
      <c r="G234" s="460" t="s">
        <v>2653</v>
      </c>
      <c r="H234" s="451">
        <v>100.3</v>
      </c>
      <c r="I234" s="390">
        <v>4629.5511135319966</v>
      </c>
      <c r="J234" s="390">
        <v>0</v>
      </c>
      <c r="K234" s="463">
        <v>4729.8511135319968</v>
      </c>
      <c r="L234" s="387"/>
      <c r="M234" s="387"/>
      <c r="N234" s="387"/>
      <c r="O234" s="387">
        <v>0</v>
      </c>
      <c r="P234" s="396">
        <v>8.6491653363290552E-2</v>
      </c>
      <c r="Q234" s="387">
        <v>8495</v>
      </c>
      <c r="R234" s="388"/>
      <c r="S234" s="387">
        <v>735</v>
      </c>
      <c r="T234" s="388">
        <v>0</v>
      </c>
      <c r="U234" s="391">
        <v>0</v>
      </c>
      <c r="V234" s="387">
        <v>0</v>
      </c>
      <c r="W234" s="462">
        <v>735</v>
      </c>
      <c r="X234" s="387">
        <v>14667.860018920355</v>
      </c>
      <c r="Y234" s="387"/>
      <c r="Z234" s="391"/>
      <c r="AA234" s="387"/>
      <c r="AB234" s="462">
        <v>14667.860018920355</v>
      </c>
      <c r="AC234" s="387">
        <v>544.9839078420938</v>
      </c>
      <c r="AD234" s="387">
        <v>1168.4157452846921</v>
      </c>
      <c r="AE234" s="388">
        <v>0</v>
      </c>
      <c r="AF234" s="392">
        <v>4</v>
      </c>
      <c r="AG234" s="387">
        <v>10175.245901639344</v>
      </c>
      <c r="AH234" s="388">
        <v>1109.6014209976545</v>
      </c>
      <c r="AI234" s="388">
        <v>121.17480636197007</v>
      </c>
      <c r="AJ234" s="462">
        <v>13123.421782125755</v>
      </c>
      <c r="AK234" s="388">
        <v>101090.982</v>
      </c>
      <c r="AL234" s="388">
        <v>74826.028999999995</v>
      </c>
      <c r="AM234" s="388">
        <v>26264.953000000001</v>
      </c>
      <c r="AN234" s="388">
        <v>3748.672</v>
      </c>
      <c r="AO234" s="467">
        <v>0.74018500483059901</v>
      </c>
      <c r="AP234" s="468">
        <v>4483.6720000000005</v>
      </c>
      <c r="AQ234" s="468">
        <v>246.17911353199634</v>
      </c>
      <c r="AR234" s="393"/>
      <c r="AS234" s="394"/>
      <c r="AT234" s="394"/>
      <c r="AU234" s="395"/>
      <c r="AV234" s="471"/>
      <c r="AW234" s="388">
        <v>101090982</v>
      </c>
      <c r="AX234" s="424">
        <v>74826029</v>
      </c>
      <c r="AY234" s="424">
        <v>26264953</v>
      </c>
      <c r="AZ234" s="424">
        <v>3748672</v>
      </c>
      <c r="BA234" s="472">
        <v>0.74018500483059901</v>
      </c>
      <c r="BB234" s="453">
        <v>27564</v>
      </c>
      <c r="BC234" s="390">
        <v>0</v>
      </c>
      <c r="BD234" s="236">
        <v>0</v>
      </c>
    </row>
    <row r="235" spans="1:56" s="121" customFormat="1" ht="14.25" customHeight="1">
      <c r="A235" s="104">
        <v>2023</v>
      </c>
      <c r="B235" s="105" t="s">
        <v>1319</v>
      </c>
      <c r="C235" s="556" t="s">
        <v>1430</v>
      </c>
      <c r="D235" s="106" t="s">
        <v>2415</v>
      </c>
      <c r="E235" s="150" t="s">
        <v>1431</v>
      </c>
      <c r="F235" s="71" t="s">
        <v>1404</v>
      </c>
      <c r="G235" s="460" t="s">
        <v>2653</v>
      </c>
      <c r="H235" s="451">
        <v>0</v>
      </c>
      <c r="I235" s="390">
        <v>5200.5917036394394</v>
      </c>
      <c r="J235" s="390">
        <v>0</v>
      </c>
      <c r="K235" s="463">
        <v>5200.5917036394394</v>
      </c>
      <c r="L235" s="387"/>
      <c r="M235" s="387"/>
      <c r="N235" s="387"/>
      <c r="O235" s="387">
        <v>0</v>
      </c>
      <c r="P235" s="396">
        <v>9.7160127166631027E-2</v>
      </c>
      <c r="Q235" s="387">
        <v>8495</v>
      </c>
      <c r="R235" s="388"/>
      <c r="S235" s="387">
        <v>825</v>
      </c>
      <c r="T235" s="388">
        <v>0</v>
      </c>
      <c r="U235" s="391">
        <v>0</v>
      </c>
      <c r="V235" s="387">
        <v>0</v>
      </c>
      <c r="W235" s="462">
        <v>825</v>
      </c>
      <c r="X235" s="387">
        <v>16477.094485807454</v>
      </c>
      <c r="Y235" s="387"/>
      <c r="Z235" s="391"/>
      <c r="AA235" s="387"/>
      <c r="AB235" s="462">
        <v>16477.094485807454</v>
      </c>
      <c r="AC235" s="387">
        <v>612.20596127694205</v>
      </c>
      <c r="AD235" s="387">
        <v>1312.5361578940185</v>
      </c>
      <c r="AE235" s="388">
        <v>0</v>
      </c>
      <c r="AF235" s="392">
        <v>246</v>
      </c>
      <c r="AG235" s="387">
        <v>5451.0245901639337</v>
      </c>
      <c r="AH235" s="388">
        <v>1246.4672714207095</v>
      </c>
      <c r="AI235" s="388">
        <v>136.12133816045008</v>
      </c>
      <c r="AJ235" s="462">
        <v>9004.3553189160539</v>
      </c>
      <c r="AK235" s="388">
        <v>426731.81199999998</v>
      </c>
      <c r="AL235" s="388">
        <v>386860.29700000002</v>
      </c>
      <c r="AM235" s="388">
        <v>39871.514999999999</v>
      </c>
      <c r="AN235" s="388">
        <v>24562.855</v>
      </c>
      <c r="AO235" s="467">
        <v>0.90656540272183883</v>
      </c>
      <c r="AP235" s="468">
        <v>25387.855</v>
      </c>
      <c r="AQ235" s="468">
        <v>-20187.263296360561</v>
      </c>
      <c r="AR235" s="393"/>
      <c r="AS235" s="394"/>
      <c r="AT235" s="394"/>
      <c r="AU235" s="395"/>
      <c r="AV235" s="471"/>
      <c r="AW235" s="388">
        <v>426731812</v>
      </c>
      <c r="AX235" s="424">
        <v>386860297</v>
      </c>
      <c r="AY235" s="424">
        <v>39871515</v>
      </c>
      <c r="AZ235" s="424">
        <v>24562855</v>
      </c>
      <c r="BA235" s="472">
        <v>0.90656540272183883</v>
      </c>
      <c r="BB235" s="453">
        <v>30462</v>
      </c>
      <c r="BC235" s="390">
        <v>0</v>
      </c>
      <c r="BD235" s="236">
        <v>0</v>
      </c>
    </row>
    <row r="236" spans="1:56" s="121" customFormat="1" ht="14.25" customHeight="1">
      <c r="A236" s="104">
        <v>2023</v>
      </c>
      <c r="B236" s="105" t="s">
        <v>1327</v>
      </c>
      <c r="C236" s="556" t="s">
        <v>1433</v>
      </c>
      <c r="D236" s="106" t="s">
        <v>2415</v>
      </c>
      <c r="E236" s="150" t="s">
        <v>2006</v>
      </c>
      <c r="F236" s="71" t="s">
        <v>1404</v>
      </c>
      <c r="G236" s="460" t="s">
        <v>2653</v>
      </c>
      <c r="H236" s="451">
        <v>0</v>
      </c>
      <c r="I236" s="390">
        <v>11977.692013831722</v>
      </c>
      <c r="J236" s="390">
        <v>0</v>
      </c>
      <c r="K236" s="463">
        <v>11977.692013831722</v>
      </c>
      <c r="L236" s="387"/>
      <c r="M236" s="387"/>
      <c r="N236" s="387"/>
      <c r="O236" s="387">
        <v>0</v>
      </c>
      <c r="P236" s="396">
        <v>0.22377339840238203</v>
      </c>
      <c r="Q236" s="387">
        <v>8495</v>
      </c>
      <c r="R236" s="388"/>
      <c r="S236" s="387">
        <v>1901</v>
      </c>
      <c r="T236" s="388">
        <v>0</v>
      </c>
      <c r="U236" s="391">
        <v>0</v>
      </c>
      <c r="V236" s="387">
        <v>0</v>
      </c>
      <c r="W236" s="462">
        <v>1901</v>
      </c>
      <c r="X236" s="387">
        <v>37949.05931486476</v>
      </c>
      <c r="Y236" s="387"/>
      <c r="Z236" s="391"/>
      <c r="AA236" s="387"/>
      <c r="AB236" s="462">
        <v>37949.05931486476</v>
      </c>
      <c r="AC236" s="387">
        <v>1409.9961833334091</v>
      </c>
      <c r="AD236" s="387">
        <v>3022.9548390177788</v>
      </c>
      <c r="AE236" s="388">
        <v>0</v>
      </c>
      <c r="AF236" s="392">
        <v>247</v>
      </c>
      <c r="AG236" s="387">
        <v>19078.586065573771</v>
      </c>
      <c r="AH236" s="388">
        <v>2870.7889281041589</v>
      </c>
      <c r="AI236" s="388">
        <v>313.5065311617372</v>
      </c>
      <c r="AJ236" s="462">
        <v>26942.832547190854</v>
      </c>
      <c r="AK236" s="388">
        <v>24119.687000000002</v>
      </c>
      <c r="AL236" s="388">
        <v>19629.554</v>
      </c>
      <c r="AM236" s="388">
        <v>4490.1329999999998</v>
      </c>
      <c r="AN236" s="388">
        <v>186.98599999999999</v>
      </c>
      <c r="AO236" s="467">
        <v>0.81383949965851543</v>
      </c>
      <c r="AP236" s="468">
        <v>2087.9859999999999</v>
      </c>
      <c r="AQ236" s="468">
        <v>9889.7060138317211</v>
      </c>
      <c r="AR236" s="393"/>
      <c r="AS236" s="394"/>
      <c r="AT236" s="394"/>
      <c r="AU236" s="395"/>
      <c r="AV236" s="471"/>
      <c r="AW236" s="388">
        <v>24119687</v>
      </c>
      <c r="AX236" s="424">
        <v>19629554</v>
      </c>
      <c r="AY236" s="424">
        <v>4490133</v>
      </c>
      <c r="AZ236" s="424">
        <v>186986</v>
      </c>
      <c r="BA236" s="472">
        <v>0.81383949965851543</v>
      </c>
      <c r="BB236" s="453">
        <v>12200</v>
      </c>
      <c r="BC236" s="390">
        <v>0</v>
      </c>
      <c r="BD236" s="236">
        <v>0</v>
      </c>
    </row>
    <row r="237" spans="1:56" s="121" customFormat="1" ht="14.25" customHeight="1">
      <c r="A237" s="104">
        <v>2023</v>
      </c>
      <c r="B237" s="105" t="s">
        <v>1335</v>
      </c>
      <c r="C237" s="556" t="s">
        <v>1435</v>
      </c>
      <c r="D237" s="106" t="s">
        <v>2415</v>
      </c>
      <c r="E237" s="150" t="s">
        <v>2009</v>
      </c>
      <c r="F237" s="71" t="s">
        <v>1404</v>
      </c>
      <c r="G237" s="461" t="s">
        <v>2653</v>
      </c>
      <c r="H237" s="451">
        <v>0</v>
      </c>
      <c r="I237" s="390">
        <v>1424.5584140025803</v>
      </c>
      <c r="J237" s="390">
        <v>0</v>
      </c>
      <c r="K237" s="463">
        <v>1424.5584140025803</v>
      </c>
      <c r="L237" s="387"/>
      <c r="M237" s="387"/>
      <c r="N237" s="387"/>
      <c r="O237" s="387">
        <v>244.2</v>
      </c>
      <c r="P237" s="396">
        <v>2.661433247373057E-2</v>
      </c>
      <c r="Q237" s="387">
        <v>8495</v>
      </c>
      <c r="R237" s="388"/>
      <c r="S237" s="387">
        <v>226</v>
      </c>
      <c r="T237" s="388">
        <v>0</v>
      </c>
      <c r="U237" s="391">
        <v>0</v>
      </c>
      <c r="V237" s="387">
        <v>0</v>
      </c>
      <c r="W237" s="462">
        <v>470.2</v>
      </c>
      <c r="X237" s="387">
        <v>4513.4448012225457</v>
      </c>
      <c r="Y237" s="387"/>
      <c r="Z237" s="391"/>
      <c r="AA237" s="387"/>
      <c r="AB237" s="462">
        <v>4513.4448012225457</v>
      </c>
      <c r="AC237" s="387">
        <v>167.69690891697633</v>
      </c>
      <c r="AD237" s="387">
        <v>359.53301738762627</v>
      </c>
      <c r="AE237" s="388">
        <v>0</v>
      </c>
      <c r="AF237" s="392">
        <v>50</v>
      </c>
      <c r="AG237" s="387">
        <v>2725.5122950819668</v>
      </c>
      <c r="AH237" s="388">
        <v>341.43527130548949</v>
      </c>
      <c r="AI237" s="388">
        <v>37.286679795696529</v>
      </c>
      <c r="AJ237" s="462">
        <v>3681.4641724877556</v>
      </c>
      <c r="AK237" s="388">
        <v>0</v>
      </c>
      <c r="AL237" s="388">
        <v>0</v>
      </c>
      <c r="AM237" s="388">
        <v>0</v>
      </c>
      <c r="AN237" s="388">
        <v>0</v>
      </c>
      <c r="AO237" s="467" t="s">
        <v>825</v>
      </c>
      <c r="AP237" s="468">
        <v>470.2</v>
      </c>
      <c r="AQ237" s="468">
        <v>954.35841400258028</v>
      </c>
      <c r="AR237" s="452"/>
      <c r="AS237" s="394"/>
      <c r="AT237" s="394"/>
      <c r="AU237" s="395"/>
      <c r="AV237" s="471"/>
      <c r="AW237" s="388">
        <v>0</v>
      </c>
      <c r="AX237" s="424">
        <v>0</v>
      </c>
      <c r="AY237" s="424">
        <v>0</v>
      </c>
      <c r="AZ237" s="424">
        <v>0</v>
      </c>
      <c r="BA237" s="472" t="s">
        <v>1966</v>
      </c>
      <c r="BB237" s="453">
        <v>1855</v>
      </c>
      <c r="BC237" s="390">
        <v>0</v>
      </c>
      <c r="BD237" s="236">
        <v>0</v>
      </c>
    </row>
    <row r="238" spans="1:56" s="121" customFormat="1" ht="14.25" customHeight="1">
      <c r="A238" s="104">
        <v>2023</v>
      </c>
      <c r="B238" s="105" t="s">
        <v>1341</v>
      </c>
      <c r="C238" s="556" t="s">
        <v>1437</v>
      </c>
      <c r="D238" s="106" t="s">
        <v>2415</v>
      </c>
      <c r="E238" s="150" t="s">
        <v>1438</v>
      </c>
      <c r="F238" s="71" t="s">
        <v>1404</v>
      </c>
      <c r="G238" s="461" t="s">
        <v>2653</v>
      </c>
      <c r="H238" s="451">
        <v>0</v>
      </c>
      <c r="I238" s="390">
        <v>5288.1101456503638</v>
      </c>
      <c r="J238" s="390">
        <v>0</v>
      </c>
      <c r="K238" s="463">
        <v>5288.1101456503638</v>
      </c>
      <c r="L238" s="387"/>
      <c r="M238" s="387"/>
      <c r="N238" s="387"/>
      <c r="O238" s="387">
        <v>0</v>
      </c>
      <c r="P238" s="396">
        <v>9.8795191682319913E-2</v>
      </c>
      <c r="Q238" s="387">
        <v>8495</v>
      </c>
      <c r="R238" s="388"/>
      <c r="S238" s="387">
        <v>839</v>
      </c>
      <c r="T238" s="388">
        <v>0</v>
      </c>
      <c r="U238" s="391">
        <v>0</v>
      </c>
      <c r="V238" s="387">
        <v>0</v>
      </c>
      <c r="W238" s="462">
        <v>839</v>
      </c>
      <c r="X238" s="387">
        <v>16754.380171829587</v>
      </c>
      <c r="Y238" s="387"/>
      <c r="Z238" s="391"/>
      <c r="AA238" s="387"/>
      <c r="AB238" s="462">
        <v>16754.380171829587</v>
      </c>
      <c r="AC238" s="387">
        <v>622.50850279029783</v>
      </c>
      <c r="AD238" s="387">
        <v>1334.6242444364598</v>
      </c>
      <c r="AE238" s="388">
        <v>0</v>
      </c>
      <c r="AF238" s="392">
        <v>139</v>
      </c>
      <c r="AG238" s="387">
        <v>11810.553278688523</v>
      </c>
      <c r="AH238" s="388">
        <v>1267.4435140924822</v>
      </c>
      <c r="AI238" s="388">
        <v>138.4120635469302</v>
      </c>
      <c r="AJ238" s="462">
        <v>15312.541603554693</v>
      </c>
      <c r="AK238" s="388">
        <v>50966.737000000001</v>
      </c>
      <c r="AL238" s="388">
        <v>45091.171000000002</v>
      </c>
      <c r="AM238" s="388">
        <v>5875.5659999999998</v>
      </c>
      <c r="AN238" s="388">
        <v>495.529</v>
      </c>
      <c r="AO238" s="467">
        <v>0.88471763456232244</v>
      </c>
      <c r="AP238" s="468">
        <v>1334.529</v>
      </c>
      <c r="AQ238" s="468">
        <v>3953.5811456503639</v>
      </c>
      <c r="AR238" s="393"/>
      <c r="AS238" s="394"/>
      <c r="AT238" s="394"/>
      <c r="AU238" s="395"/>
      <c r="AV238" s="471"/>
      <c r="AW238" s="388">
        <v>50966737</v>
      </c>
      <c r="AX238" s="424">
        <v>45091171</v>
      </c>
      <c r="AY238" s="424">
        <v>5875566</v>
      </c>
      <c r="AZ238" s="424">
        <v>495529</v>
      </c>
      <c r="BA238" s="472">
        <v>0.88471763456232244</v>
      </c>
      <c r="BB238" s="453">
        <v>4696</v>
      </c>
      <c r="BC238" s="390">
        <v>0</v>
      </c>
      <c r="BD238" s="236">
        <v>0</v>
      </c>
    </row>
    <row r="239" spans="1:56" s="121" customFormat="1" ht="14.25" customHeight="1">
      <c r="A239" s="104">
        <v>2023</v>
      </c>
      <c r="B239" s="105" t="s">
        <v>1347</v>
      </c>
      <c r="C239" s="556" t="s">
        <v>1441</v>
      </c>
      <c r="D239" s="106" t="s">
        <v>2415</v>
      </c>
      <c r="E239" s="150" t="s">
        <v>2012</v>
      </c>
      <c r="F239" s="71" t="s">
        <v>1404</v>
      </c>
      <c r="G239" s="461" t="s">
        <v>2653</v>
      </c>
      <c r="H239" s="451">
        <v>0</v>
      </c>
      <c r="I239" s="390">
        <v>5595.5810559696902</v>
      </c>
      <c r="J239" s="390">
        <v>0</v>
      </c>
      <c r="K239" s="463">
        <v>5595.5810559696902</v>
      </c>
      <c r="L239" s="387"/>
      <c r="M239" s="387"/>
      <c r="N239" s="387"/>
      <c r="O239" s="387">
        <v>0</v>
      </c>
      <c r="P239" s="396">
        <v>0.10453952126038685</v>
      </c>
      <c r="Q239" s="387">
        <v>8495</v>
      </c>
      <c r="R239" s="388"/>
      <c r="S239" s="387">
        <v>888</v>
      </c>
      <c r="T239" s="388">
        <v>0</v>
      </c>
      <c r="U239" s="391">
        <v>0</v>
      </c>
      <c r="V239" s="387">
        <v>0</v>
      </c>
      <c r="W239" s="462">
        <v>888</v>
      </c>
      <c r="X239" s="387">
        <v>17728.543791985223</v>
      </c>
      <c r="Y239" s="387"/>
      <c r="Z239" s="391"/>
      <c r="AA239" s="387"/>
      <c r="AB239" s="462">
        <v>17728.543791985223</v>
      </c>
      <c r="AC239" s="387">
        <v>658.7035234616975</v>
      </c>
      <c r="AD239" s="387">
        <v>1412.2243927065658</v>
      </c>
      <c r="AE239" s="388">
        <v>0</v>
      </c>
      <c r="AF239" s="392">
        <v>33</v>
      </c>
      <c r="AG239" s="387">
        <v>5451.0245901639337</v>
      </c>
      <c r="AH239" s="388">
        <v>1341.1375182495028</v>
      </c>
      <c r="AI239" s="388">
        <v>146.45986928580197</v>
      </c>
      <c r="AJ239" s="462">
        <v>9042.5498938675009</v>
      </c>
      <c r="AK239" s="388">
        <v>13209.68</v>
      </c>
      <c r="AL239" s="388">
        <v>13073.722</v>
      </c>
      <c r="AM239" s="388">
        <v>135.958</v>
      </c>
      <c r="AN239" s="388">
        <v>23.879000000000001</v>
      </c>
      <c r="AO239" s="467">
        <v>0.98970769920240309</v>
      </c>
      <c r="AP239" s="468">
        <v>911.87900000000002</v>
      </c>
      <c r="AQ239" s="468">
        <v>4683.7020559696903</v>
      </c>
      <c r="AR239" s="393"/>
      <c r="AS239" s="394"/>
      <c r="AT239" s="394"/>
      <c r="AU239" s="395"/>
      <c r="AV239" s="471"/>
      <c r="AW239" s="388">
        <v>13209680</v>
      </c>
      <c r="AX239" s="424">
        <v>13073722</v>
      </c>
      <c r="AY239" s="424">
        <v>135958</v>
      </c>
      <c r="AZ239" s="424">
        <v>23879</v>
      </c>
      <c r="BA239" s="472">
        <v>0.98970769920240309</v>
      </c>
      <c r="BB239" s="453">
        <v>3211</v>
      </c>
      <c r="BC239" s="390">
        <v>0</v>
      </c>
      <c r="BD239" s="236">
        <v>0</v>
      </c>
    </row>
    <row r="240" spans="1:56" s="121" customFormat="1" ht="14.25" customHeight="1">
      <c r="A240" s="104">
        <v>2023</v>
      </c>
      <c r="B240" s="105" t="s">
        <v>1356</v>
      </c>
      <c r="C240" s="556" t="s">
        <v>1443</v>
      </c>
      <c r="D240" s="106" t="s">
        <v>2415</v>
      </c>
      <c r="E240" s="150" t="s">
        <v>2015</v>
      </c>
      <c r="F240" s="71" t="s">
        <v>1404</v>
      </c>
      <c r="G240" s="461" t="s">
        <v>2653</v>
      </c>
      <c r="H240" s="451">
        <v>0</v>
      </c>
      <c r="I240" s="390">
        <v>3061.9688200261667</v>
      </c>
      <c r="J240" s="390">
        <v>0</v>
      </c>
      <c r="K240" s="463">
        <v>3061.9688200261667</v>
      </c>
      <c r="L240" s="387"/>
      <c r="M240" s="387"/>
      <c r="N240" s="387"/>
      <c r="O240" s="387">
        <v>0</v>
      </c>
      <c r="P240" s="396">
        <v>5.7205275262391081E-2</v>
      </c>
      <c r="Q240" s="387">
        <v>8495</v>
      </c>
      <c r="R240" s="388"/>
      <c r="S240" s="387">
        <v>486</v>
      </c>
      <c r="T240" s="388">
        <v>0</v>
      </c>
      <c r="U240" s="391">
        <v>0</v>
      </c>
      <c r="V240" s="387">
        <v>0</v>
      </c>
      <c r="W240" s="462">
        <v>486</v>
      </c>
      <c r="X240" s="387">
        <v>9701.2710159231156</v>
      </c>
      <c r="Y240" s="387"/>
      <c r="Z240" s="391"/>
      <c r="AA240" s="387"/>
      <c r="AB240" s="462">
        <v>9701.2710159231156</v>
      </c>
      <c r="AC240" s="387">
        <v>360.45043942832621</v>
      </c>
      <c r="AD240" s="387">
        <v>772.78606351964106</v>
      </c>
      <c r="AE240" s="388">
        <v>0</v>
      </c>
      <c r="AF240" s="392">
        <v>66</v>
      </c>
      <c r="AG240" s="387">
        <v>2725.5122950819668</v>
      </c>
      <c r="AH240" s="388">
        <v>733.88647634121514</v>
      </c>
      <c r="AI240" s="388">
        <v>80.144590642609899</v>
      </c>
      <c r="AJ240" s="462">
        <v>4738.7798650137584</v>
      </c>
      <c r="AK240" s="388">
        <v>46423.915000000001</v>
      </c>
      <c r="AL240" s="388">
        <v>32708.833999999999</v>
      </c>
      <c r="AM240" s="388">
        <v>13715.081</v>
      </c>
      <c r="AN240" s="388">
        <v>402.94499999999999</v>
      </c>
      <c r="AO240" s="467">
        <v>0.70456862589034119</v>
      </c>
      <c r="AP240" s="468">
        <v>888.94499999999994</v>
      </c>
      <c r="AQ240" s="468">
        <v>2173.0238200261665</v>
      </c>
      <c r="AR240" s="393"/>
      <c r="AS240" s="394"/>
      <c r="AT240" s="394"/>
      <c r="AU240" s="395"/>
      <c r="AV240" s="471"/>
      <c r="AW240" s="388">
        <v>46423915</v>
      </c>
      <c r="AX240" s="424">
        <v>32708834</v>
      </c>
      <c r="AY240" s="424">
        <v>13715081</v>
      </c>
      <c r="AZ240" s="424">
        <v>402945</v>
      </c>
      <c r="BA240" s="472">
        <v>0.70456862589034119</v>
      </c>
      <c r="BB240" s="453">
        <v>3989</v>
      </c>
      <c r="BC240" s="390">
        <v>0</v>
      </c>
      <c r="BD240" s="236">
        <v>0</v>
      </c>
    </row>
    <row r="241" spans="1:58" s="121" customFormat="1" ht="14.25" customHeight="1">
      <c r="A241" s="104">
        <v>2023</v>
      </c>
      <c r="B241" s="105" t="s">
        <v>1360</v>
      </c>
      <c r="C241" s="556" t="s">
        <v>1446</v>
      </c>
      <c r="D241" s="106" t="s">
        <v>2415</v>
      </c>
      <c r="E241" s="150" t="s">
        <v>1447</v>
      </c>
      <c r="F241" s="71" t="s">
        <v>1404</v>
      </c>
      <c r="G241" s="461" t="s">
        <v>2653</v>
      </c>
      <c r="H241" s="451">
        <v>0</v>
      </c>
      <c r="I241" s="390">
        <v>12270.069340271555</v>
      </c>
      <c r="J241" s="390">
        <v>249.28800000000001</v>
      </c>
      <c r="K241" s="463">
        <v>12519.357340271556</v>
      </c>
      <c r="L241" s="387"/>
      <c r="M241" s="387"/>
      <c r="N241" s="387"/>
      <c r="O241" s="387">
        <v>0</v>
      </c>
      <c r="P241" s="396">
        <v>0.22923574188873069</v>
      </c>
      <c r="Q241" s="387">
        <v>8495</v>
      </c>
      <c r="R241" s="388"/>
      <c r="S241" s="387">
        <v>1947</v>
      </c>
      <c r="T241" s="388">
        <v>12.358000000000001</v>
      </c>
      <c r="U241" s="391">
        <v>0</v>
      </c>
      <c r="V241" s="387">
        <v>0</v>
      </c>
      <c r="W241" s="462">
        <v>1959.3579999999999</v>
      </c>
      <c r="X241" s="387">
        <v>38875.401759684173</v>
      </c>
      <c r="Y241" s="387"/>
      <c r="Z241" s="391"/>
      <c r="AA241" s="387"/>
      <c r="AB241" s="462">
        <v>38875.401759684173</v>
      </c>
      <c r="AC241" s="387">
        <v>1444.414409640892</v>
      </c>
      <c r="AD241" s="387">
        <v>3096.7456371748631</v>
      </c>
      <c r="AE241" s="388">
        <v>0</v>
      </c>
      <c r="AF241" s="392">
        <v>819</v>
      </c>
      <c r="AG241" s="387">
        <v>15626.270491803276</v>
      </c>
      <c r="AH241" s="388">
        <v>2940.865332690526</v>
      </c>
      <c r="AI241" s="388">
        <v>321.15927438611169</v>
      </c>
      <c r="AJ241" s="462">
        <v>24248.455145695669</v>
      </c>
      <c r="AK241" s="388">
        <v>1062910.477</v>
      </c>
      <c r="AL241" s="388">
        <v>655708.14800000004</v>
      </c>
      <c r="AM241" s="388">
        <v>407202.32900000003</v>
      </c>
      <c r="AN241" s="388">
        <v>30524.672999999999</v>
      </c>
      <c r="AO241" s="467">
        <v>0.61689875317693388</v>
      </c>
      <c r="AP241" s="468">
        <v>32484.030999999999</v>
      </c>
      <c r="AQ241" s="468">
        <v>-19964.673659728443</v>
      </c>
      <c r="AR241" s="393"/>
      <c r="AS241" s="394"/>
      <c r="AT241" s="394"/>
      <c r="AU241" s="395"/>
      <c r="AV241" s="471"/>
      <c r="AW241" s="388">
        <v>1062910477</v>
      </c>
      <c r="AX241" s="424">
        <v>655708148</v>
      </c>
      <c r="AY241" s="424">
        <v>407202329</v>
      </c>
      <c r="AZ241" s="424">
        <v>30524673</v>
      </c>
      <c r="BA241" s="472">
        <v>0.61689875317693388</v>
      </c>
      <c r="BB241" s="453">
        <v>146669</v>
      </c>
      <c r="BC241" s="390">
        <v>0</v>
      </c>
      <c r="BD241" s="236">
        <v>0</v>
      </c>
    </row>
    <row r="242" spans="1:58" s="121" customFormat="1" ht="14.25" customHeight="1">
      <c r="A242" s="104">
        <v>2023</v>
      </c>
      <c r="B242" s="105" t="s">
        <v>1368</v>
      </c>
      <c r="C242" s="556" t="s">
        <v>1450</v>
      </c>
      <c r="D242" s="106" t="s">
        <v>2415</v>
      </c>
      <c r="E242" s="150" t="s">
        <v>2071</v>
      </c>
      <c r="F242" s="71" t="s">
        <v>1404</v>
      </c>
      <c r="G242" s="461" t="s">
        <v>2653</v>
      </c>
      <c r="H242" s="451">
        <v>0</v>
      </c>
      <c r="I242" s="390">
        <v>0</v>
      </c>
      <c r="J242" s="390">
        <v>0</v>
      </c>
      <c r="K242" s="463">
        <v>0</v>
      </c>
      <c r="L242" s="387">
        <v>12</v>
      </c>
      <c r="M242" s="387"/>
      <c r="N242" s="388"/>
      <c r="O242" s="387">
        <v>0</v>
      </c>
      <c r="P242" s="389">
        <v>0</v>
      </c>
      <c r="Q242" s="387">
        <v>8495</v>
      </c>
      <c r="R242" s="388"/>
      <c r="S242" s="387">
        <v>0</v>
      </c>
      <c r="T242" s="388">
        <v>0</v>
      </c>
      <c r="U242" s="391">
        <v>0</v>
      </c>
      <c r="V242" s="387">
        <v>0</v>
      </c>
      <c r="W242" s="462">
        <v>12</v>
      </c>
      <c r="X242" s="387">
        <v>0</v>
      </c>
      <c r="Y242" s="387"/>
      <c r="Z242" s="391"/>
      <c r="AA242" s="387"/>
      <c r="AB242" s="462">
        <v>0</v>
      </c>
      <c r="AC242" s="387">
        <v>0</v>
      </c>
      <c r="AD242" s="387">
        <v>0</v>
      </c>
      <c r="AE242" s="387">
        <v>0</v>
      </c>
      <c r="AF242" s="392">
        <v>0</v>
      </c>
      <c r="AG242" s="387">
        <v>0</v>
      </c>
      <c r="AH242" s="387">
        <v>0</v>
      </c>
      <c r="AI242" s="387">
        <v>0</v>
      </c>
      <c r="AJ242" s="462">
        <v>0</v>
      </c>
      <c r="AK242" s="388">
        <v>0</v>
      </c>
      <c r="AL242" s="388">
        <v>0</v>
      </c>
      <c r="AM242" s="388">
        <v>0</v>
      </c>
      <c r="AN242" s="388">
        <v>0</v>
      </c>
      <c r="AO242" s="467" t="s">
        <v>825</v>
      </c>
      <c r="AP242" s="468">
        <v>12</v>
      </c>
      <c r="AQ242" s="468">
        <v>-12</v>
      </c>
      <c r="AR242" s="393"/>
      <c r="AS242" s="394"/>
      <c r="AT242" s="394"/>
      <c r="AU242" s="395"/>
      <c r="AV242" s="471"/>
      <c r="AW242" s="388">
        <v>0</v>
      </c>
      <c r="AX242" s="424">
        <v>0</v>
      </c>
      <c r="AY242" s="424">
        <v>0</v>
      </c>
      <c r="AZ242" s="424">
        <v>0</v>
      </c>
      <c r="BA242" s="472" t="s">
        <v>1966</v>
      </c>
      <c r="BB242" s="453">
        <v>0</v>
      </c>
      <c r="BC242" s="390">
        <v>0</v>
      </c>
      <c r="BD242" s="236">
        <v>0</v>
      </c>
    </row>
    <row r="243" spans="1:58" s="121" customFormat="1" ht="14.25" customHeight="1">
      <c r="A243" s="104">
        <v>2023</v>
      </c>
      <c r="B243" s="105" t="s">
        <v>305</v>
      </c>
      <c r="C243" s="556" t="s">
        <v>1454</v>
      </c>
      <c r="D243" s="106" t="s">
        <v>2415</v>
      </c>
      <c r="E243" s="150" t="s">
        <v>1455</v>
      </c>
      <c r="F243" s="71" t="s">
        <v>78</v>
      </c>
      <c r="G243" s="334" t="s">
        <v>2328</v>
      </c>
      <c r="H243" s="423">
        <v>1130</v>
      </c>
      <c r="I243" s="387">
        <v>334</v>
      </c>
      <c r="J243" s="388"/>
      <c r="K243" s="462">
        <v>1464</v>
      </c>
      <c r="L243" s="387">
        <v>91</v>
      </c>
      <c r="M243" s="387">
        <v>383</v>
      </c>
      <c r="N243" s="388"/>
      <c r="O243" s="387">
        <v>161</v>
      </c>
      <c r="P243" s="389"/>
      <c r="Q243" s="387">
        <v>8495</v>
      </c>
      <c r="R243" s="388">
        <v>4860</v>
      </c>
      <c r="S243" s="387">
        <v>4860</v>
      </c>
      <c r="T243" s="388">
        <v>31891</v>
      </c>
      <c r="U243" s="391"/>
      <c r="V243" s="387"/>
      <c r="W243" s="462">
        <v>37386</v>
      </c>
      <c r="X243" s="387"/>
      <c r="Y243" s="387"/>
      <c r="Z243" s="391"/>
      <c r="AA243" s="387"/>
      <c r="AB243" s="462">
        <v>0</v>
      </c>
      <c r="AC243" s="387"/>
      <c r="AD243" s="387"/>
      <c r="AE243" s="388"/>
      <c r="AF243" s="387"/>
      <c r="AG243" s="387"/>
      <c r="AH243" s="388"/>
      <c r="AI243" s="388"/>
      <c r="AJ243" s="462">
        <v>0</v>
      </c>
      <c r="AK243" s="388">
        <v>1866</v>
      </c>
      <c r="AL243" s="388">
        <v>1295.3040000000001</v>
      </c>
      <c r="AM243" s="388">
        <v>570.69600000000003</v>
      </c>
      <c r="AN243" s="388">
        <v>74.171999999999997</v>
      </c>
      <c r="AO243" s="467">
        <v>0.69416077170418011</v>
      </c>
      <c r="AP243" s="468">
        <v>37460.171999999999</v>
      </c>
      <c r="AQ243" s="468">
        <v>-35996.171999999999</v>
      </c>
      <c r="AR243" s="393"/>
      <c r="AS243" s="394"/>
      <c r="AT243" s="394"/>
      <c r="AU243" s="395"/>
      <c r="AV243" s="471"/>
      <c r="AW243" s="388">
        <v>1866000</v>
      </c>
      <c r="AX243" s="424">
        <v>1295304</v>
      </c>
      <c r="AY243" s="424">
        <v>570696</v>
      </c>
      <c r="AZ243" s="424">
        <v>74172</v>
      </c>
      <c r="BA243" s="472">
        <v>0.69416077170418011</v>
      </c>
      <c r="BB243" s="453">
        <v>2657</v>
      </c>
      <c r="BC243" s="390">
        <v>0</v>
      </c>
      <c r="BD243" s="236">
        <v>0</v>
      </c>
    </row>
    <row r="244" spans="1:58" s="121" customFormat="1" ht="14.25" customHeight="1">
      <c r="A244" s="104">
        <v>2023</v>
      </c>
      <c r="B244" s="105" t="s">
        <v>1381</v>
      </c>
      <c r="C244" s="556" t="s">
        <v>2320</v>
      </c>
      <c r="D244" s="106" t="s">
        <v>2415</v>
      </c>
      <c r="E244" s="158" t="s">
        <v>2102</v>
      </c>
      <c r="F244" s="71" t="s">
        <v>1404</v>
      </c>
      <c r="G244" s="461" t="s">
        <v>2653</v>
      </c>
      <c r="H244" s="453">
        <v>0</v>
      </c>
      <c r="I244" s="390">
        <v>419</v>
      </c>
      <c r="J244" s="390">
        <v>0</v>
      </c>
      <c r="K244" s="463">
        <v>419</v>
      </c>
      <c r="L244" s="387"/>
      <c r="M244" s="387"/>
      <c r="N244" s="388"/>
      <c r="O244" s="387">
        <v>3814</v>
      </c>
      <c r="P244" s="396">
        <v>7.8266300994379971E-3</v>
      </c>
      <c r="Q244" s="387">
        <v>8495</v>
      </c>
      <c r="R244" s="388"/>
      <c r="S244" s="387">
        <v>66</v>
      </c>
      <c r="T244" s="388">
        <v>0</v>
      </c>
      <c r="U244" s="391">
        <v>0</v>
      </c>
      <c r="V244" s="387">
        <v>0</v>
      </c>
      <c r="W244" s="462">
        <v>3880</v>
      </c>
      <c r="X244" s="387">
        <v>1327.2947186733916</v>
      </c>
      <c r="Y244" s="387"/>
      <c r="Z244" s="391"/>
      <c r="AA244" s="387"/>
      <c r="AB244" s="462">
        <v>1327.2947186733916</v>
      </c>
      <c r="AC244" s="387">
        <v>49.31559625655882</v>
      </c>
      <c r="AD244" s="387">
        <v>105.72994601330791</v>
      </c>
      <c r="AE244" s="388">
        <v>0</v>
      </c>
      <c r="AF244" s="392">
        <v>22</v>
      </c>
      <c r="AG244" s="387">
        <v>5451.0245901639337</v>
      </c>
      <c r="AH244" s="388">
        <v>100.40783754569007</v>
      </c>
      <c r="AI244" s="388">
        <v>10.965108769312634</v>
      </c>
      <c r="AJ244" s="462">
        <v>5739.4430787488036</v>
      </c>
      <c r="AK244" s="388">
        <v>250217.64</v>
      </c>
      <c r="AL244" s="388">
        <v>146705.49600000001</v>
      </c>
      <c r="AM244" s="388">
        <v>103512.144</v>
      </c>
      <c r="AN244" s="388">
        <v>24450.916000000001</v>
      </c>
      <c r="AO244" s="467">
        <v>0.5863115646043181</v>
      </c>
      <c r="AP244" s="468">
        <v>28330.916000000001</v>
      </c>
      <c r="AQ244" s="468">
        <v>-27911.916000000001</v>
      </c>
      <c r="AR244" s="393"/>
      <c r="AS244" s="394"/>
      <c r="AT244" s="394"/>
      <c r="AU244" s="395"/>
      <c r="AV244" s="471"/>
      <c r="AW244" s="388">
        <v>250217640</v>
      </c>
      <c r="AX244" s="424">
        <v>146705496</v>
      </c>
      <c r="AY244" s="424">
        <v>103512144</v>
      </c>
      <c r="AZ244" s="424">
        <v>24450916</v>
      </c>
      <c r="BA244" s="472">
        <v>0.5863115646043181</v>
      </c>
      <c r="BB244" s="453">
        <v>7567</v>
      </c>
      <c r="BC244" s="390">
        <v>0</v>
      </c>
      <c r="BD244" s="236">
        <v>0</v>
      </c>
    </row>
    <row r="245" spans="1:58" s="121" customFormat="1" ht="14.25" customHeight="1">
      <c r="A245" s="104">
        <v>2023</v>
      </c>
      <c r="B245" s="105" t="s">
        <v>1389</v>
      </c>
      <c r="C245" s="556" t="s">
        <v>1460</v>
      </c>
      <c r="D245" s="215" t="s">
        <v>2415</v>
      </c>
      <c r="E245" s="554" t="s">
        <v>1461</v>
      </c>
      <c r="F245" s="71" t="s">
        <v>78</v>
      </c>
      <c r="G245" s="334" t="s">
        <v>2328</v>
      </c>
      <c r="H245" s="386">
        <v>13863</v>
      </c>
      <c r="I245" s="387">
        <v>43112</v>
      </c>
      <c r="J245" s="388"/>
      <c r="K245" s="462">
        <v>56975</v>
      </c>
      <c r="L245" s="387">
        <v>26871</v>
      </c>
      <c r="M245" s="387">
        <v>12633</v>
      </c>
      <c r="N245" s="390"/>
      <c r="O245" s="387">
        <v>721</v>
      </c>
      <c r="P245" s="454">
        <v>36</v>
      </c>
      <c r="Q245" s="387">
        <v>8495</v>
      </c>
      <c r="R245" s="390">
        <v>8789</v>
      </c>
      <c r="S245" s="387">
        <v>314609</v>
      </c>
      <c r="T245" s="388">
        <v>1431272</v>
      </c>
      <c r="U245" s="391">
        <v>236803</v>
      </c>
      <c r="V245" s="388"/>
      <c r="W245" s="462">
        <v>2022909</v>
      </c>
      <c r="X245" s="387"/>
      <c r="Y245" s="387"/>
      <c r="Z245" s="391"/>
      <c r="AA245" s="387"/>
      <c r="AB245" s="462">
        <v>0</v>
      </c>
      <c r="AC245" s="387"/>
      <c r="AD245" s="387"/>
      <c r="AE245" s="388"/>
      <c r="AF245" s="392"/>
      <c r="AG245" s="387"/>
      <c r="AH245" s="388"/>
      <c r="AI245" s="388"/>
      <c r="AJ245" s="462">
        <v>0</v>
      </c>
      <c r="AK245" s="388">
        <v>1059760.118</v>
      </c>
      <c r="AL245" s="388">
        <v>725992.55299999996</v>
      </c>
      <c r="AM245" s="388">
        <v>333767.565</v>
      </c>
      <c r="AN245" s="388">
        <v>20649.565999999999</v>
      </c>
      <c r="AO245" s="467">
        <v>0.68505366513518862</v>
      </c>
      <c r="AP245" s="468">
        <v>2043558.5660000001</v>
      </c>
      <c r="AQ245" s="468">
        <v>-1986583.5660000001</v>
      </c>
      <c r="AR245" s="393"/>
      <c r="AS245" s="394"/>
      <c r="AT245" s="394"/>
      <c r="AU245" s="395"/>
      <c r="AV245" s="471"/>
      <c r="AW245" s="388">
        <v>1059760118</v>
      </c>
      <c r="AX245" s="424">
        <v>725992553</v>
      </c>
      <c r="AY245" s="424">
        <v>333767565</v>
      </c>
      <c r="AZ245" s="424">
        <v>20649566</v>
      </c>
      <c r="BA245" s="472">
        <v>0.68505366513518862</v>
      </c>
      <c r="BB245" s="453">
        <v>96830</v>
      </c>
      <c r="BC245" s="390">
        <v>0</v>
      </c>
      <c r="BD245" s="236">
        <v>614.20000000000005</v>
      </c>
    </row>
    <row r="246" spans="1:58" s="121" customFormat="1" ht="14.25" customHeight="1">
      <c r="A246" s="104">
        <v>2023</v>
      </c>
      <c r="B246" s="105" t="s">
        <v>1394</v>
      </c>
      <c r="C246" s="556" t="s">
        <v>1468</v>
      </c>
      <c r="D246" s="106" t="s">
        <v>2415</v>
      </c>
      <c r="E246" s="150" t="s">
        <v>1469</v>
      </c>
      <c r="F246" s="71" t="s">
        <v>78</v>
      </c>
      <c r="G246" s="461" t="s">
        <v>2597</v>
      </c>
      <c r="H246" s="386">
        <v>29543</v>
      </c>
      <c r="I246" s="388"/>
      <c r="J246" s="388"/>
      <c r="K246" s="462">
        <v>29543</v>
      </c>
      <c r="L246" s="390">
        <v>0</v>
      </c>
      <c r="M246" s="390">
        <v>0</v>
      </c>
      <c r="N246" s="390">
        <v>0</v>
      </c>
      <c r="O246" s="390">
        <v>26730</v>
      </c>
      <c r="P246" s="396">
        <v>1.55</v>
      </c>
      <c r="Q246" s="387">
        <v>8495</v>
      </c>
      <c r="R246" s="390"/>
      <c r="S246" s="387">
        <v>13167</v>
      </c>
      <c r="T246" s="390">
        <v>97</v>
      </c>
      <c r="U246" s="426"/>
      <c r="V246" s="387">
        <v>50402</v>
      </c>
      <c r="W246" s="462">
        <v>90396</v>
      </c>
      <c r="X246" s="387"/>
      <c r="Y246" s="387"/>
      <c r="Z246" s="391"/>
      <c r="AA246" s="387">
        <v>50402</v>
      </c>
      <c r="AB246" s="462">
        <v>50402</v>
      </c>
      <c r="AC246" s="387">
        <v>16591</v>
      </c>
      <c r="AD246" s="387">
        <v>5238</v>
      </c>
      <c r="AE246" s="388">
        <v>0</v>
      </c>
      <c r="AF246" s="392">
        <v>391</v>
      </c>
      <c r="AG246" s="387">
        <v>25300</v>
      </c>
      <c r="AH246" s="388">
        <v>1097</v>
      </c>
      <c r="AI246" s="388">
        <v>1718</v>
      </c>
      <c r="AJ246" s="462">
        <v>50335</v>
      </c>
      <c r="AK246" s="388">
        <v>1076238.2579999999</v>
      </c>
      <c r="AL246" s="388">
        <v>534687.59100000001</v>
      </c>
      <c r="AM246" s="388">
        <v>541550.66700000002</v>
      </c>
      <c r="AN246" s="388">
        <v>34085.47</v>
      </c>
      <c r="AO246" s="467">
        <v>0.49681154430769175</v>
      </c>
      <c r="AP246" s="468">
        <v>124481.47</v>
      </c>
      <c r="AQ246" s="468">
        <v>-94938.47</v>
      </c>
      <c r="AR246" s="393"/>
      <c r="AS246" s="394"/>
      <c r="AT246" s="394"/>
      <c r="AU246" s="395"/>
      <c r="AV246" s="471"/>
      <c r="AW246" s="388">
        <v>1076238258</v>
      </c>
      <c r="AX246" s="424">
        <v>534687591</v>
      </c>
      <c r="AY246" s="424">
        <v>541550667</v>
      </c>
      <c r="AZ246" s="424">
        <v>34085470</v>
      </c>
      <c r="BA246" s="472">
        <v>0.49681154430769175</v>
      </c>
      <c r="BB246" s="453">
        <v>127434</v>
      </c>
      <c r="BC246" s="390">
        <v>0</v>
      </c>
      <c r="BD246" s="236">
        <v>0</v>
      </c>
      <c r="BF246" s="121" t="s">
        <v>2569</v>
      </c>
    </row>
    <row r="247" spans="1:58" s="121" customFormat="1" ht="14.25" customHeight="1">
      <c r="A247" s="104">
        <v>2023</v>
      </c>
      <c r="B247" s="105" t="s">
        <v>1399</v>
      </c>
      <c r="C247" s="556" t="s">
        <v>1475</v>
      </c>
      <c r="D247" s="106" t="s">
        <v>2415</v>
      </c>
      <c r="E247" s="150" t="s">
        <v>1880</v>
      </c>
      <c r="F247" s="71" t="s">
        <v>708</v>
      </c>
      <c r="G247" s="461" t="s">
        <v>1476</v>
      </c>
      <c r="H247" s="386">
        <v>0</v>
      </c>
      <c r="I247" s="388">
        <v>0</v>
      </c>
      <c r="J247" s="388">
        <v>4000</v>
      </c>
      <c r="K247" s="462">
        <v>4000</v>
      </c>
      <c r="L247" s="387">
        <v>0</v>
      </c>
      <c r="M247" s="387">
        <v>0</v>
      </c>
      <c r="N247" s="390">
        <v>0</v>
      </c>
      <c r="O247" s="387">
        <v>2706</v>
      </c>
      <c r="P247" s="396">
        <v>0.6</v>
      </c>
      <c r="Q247" s="387">
        <v>8495</v>
      </c>
      <c r="R247" s="390"/>
      <c r="S247" s="387">
        <v>5097</v>
      </c>
      <c r="T247" s="388"/>
      <c r="U247" s="391"/>
      <c r="V247" s="388"/>
      <c r="W247" s="462">
        <v>7803</v>
      </c>
      <c r="X247" s="387">
        <v>42081</v>
      </c>
      <c r="Y247" s="387"/>
      <c r="Z247" s="391"/>
      <c r="AA247" s="387"/>
      <c r="AB247" s="462">
        <v>42081</v>
      </c>
      <c r="AC247" s="387">
        <v>2675</v>
      </c>
      <c r="AD247" s="387">
        <v>15596</v>
      </c>
      <c r="AE247" s="388"/>
      <c r="AF247" s="392">
        <v>3000</v>
      </c>
      <c r="AG247" s="387">
        <v>5589</v>
      </c>
      <c r="AH247" s="388">
        <v>1992</v>
      </c>
      <c r="AI247" s="388">
        <v>7927</v>
      </c>
      <c r="AJ247" s="462">
        <v>36779</v>
      </c>
      <c r="AK247" s="388">
        <v>994327.45200000005</v>
      </c>
      <c r="AL247" s="388">
        <v>767354.79599999997</v>
      </c>
      <c r="AM247" s="388">
        <v>226972.65599999999</v>
      </c>
      <c r="AN247" s="388">
        <v>26124.824000000001</v>
      </c>
      <c r="AO247" s="467">
        <v>0.77173248556754115</v>
      </c>
      <c r="AP247" s="468">
        <v>33927.824000000001</v>
      </c>
      <c r="AQ247" s="468">
        <v>-29927.824000000001</v>
      </c>
      <c r="AR247" s="393"/>
      <c r="AS247" s="394"/>
      <c r="AT247" s="394"/>
      <c r="AU247" s="395"/>
      <c r="AV247" s="471"/>
      <c r="AW247" s="388">
        <v>994327452</v>
      </c>
      <c r="AX247" s="424">
        <v>767354796</v>
      </c>
      <c r="AY247" s="424">
        <v>226972656</v>
      </c>
      <c r="AZ247" s="424">
        <v>26124824</v>
      </c>
      <c r="BA247" s="472">
        <v>0.77173248556754115</v>
      </c>
      <c r="BB247" s="453">
        <v>68006</v>
      </c>
      <c r="BC247" s="390">
        <v>0</v>
      </c>
      <c r="BD247" s="236">
        <v>75</v>
      </c>
    </row>
    <row r="248" spans="1:58" s="121" customFormat="1" ht="14.25" customHeight="1">
      <c r="A248" s="104">
        <v>2023</v>
      </c>
      <c r="B248" s="105" t="s">
        <v>756</v>
      </c>
      <c r="C248" s="556" t="s">
        <v>1480</v>
      </c>
      <c r="D248" s="106" t="s">
        <v>2415</v>
      </c>
      <c r="E248" s="150" t="s">
        <v>1481</v>
      </c>
      <c r="F248" s="71" t="s">
        <v>708</v>
      </c>
      <c r="G248" s="290" t="s">
        <v>2586</v>
      </c>
      <c r="H248" s="424"/>
      <c r="I248" s="388"/>
      <c r="J248" s="388"/>
      <c r="K248" s="462">
        <v>0</v>
      </c>
      <c r="L248" s="387">
        <v>9</v>
      </c>
      <c r="M248" s="390"/>
      <c r="N248" s="390"/>
      <c r="O248" s="390"/>
      <c r="P248" s="389"/>
      <c r="Q248" s="387">
        <v>8495</v>
      </c>
      <c r="R248" s="390"/>
      <c r="S248" s="387">
        <v>0</v>
      </c>
      <c r="T248" s="390"/>
      <c r="U248" s="391"/>
      <c r="V248" s="388"/>
      <c r="W248" s="462">
        <v>9</v>
      </c>
      <c r="X248" s="387"/>
      <c r="Y248" s="387"/>
      <c r="Z248" s="391"/>
      <c r="AA248" s="387"/>
      <c r="AB248" s="462">
        <v>0</v>
      </c>
      <c r="AC248" s="387"/>
      <c r="AD248" s="387"/>
      <c r="AE248" s="388"/>
      <c r="AF248" s="392"/>
      <c r="AG248" s="387"/>
      <c r="AH248" s="388"/>
      <c r="AI248" s="388"/>
      <c r="AJ248" s="462">
        <v>0</v>
      </c>
      <c r="AK248" s="388">
        <v>9176.4809999999998</v>
      </c>
      <c r="AL248" s="388">
        <v>7336.9369999999999</v>
      </c>
      <c r="AM248" s="388">
        <v>1839.5440000000001</v>
      </c>
      <c r="AN248" s="388">
        <v>109.434</v>
      </c>
      <c r="AO248" s="467">
        <v>0.79953709924316307</v>
      </c>
      <c r="AP248" s="468">
        <v>118.434</v>
      </c>
      <c r="AQ248" s="468">
        <v>-118.434</v>
      </c>
      <c r="AR248" s="393"/>
      <c r="AS248" s="394"/>
      <c r="AT248" s="394"/>
      <c r="AU248" s="395"/>
      <c r="AV248" s="471"/>
      <c r="AW248" s="388">
        <v>9176481</v>
      </c>
      <c r="AX248" s="424">
        <v>7336937</v>
      </c>
      <c r="AY248" s="424">
        <v>1839544</v>
      </c>
      <c r="AZ248" s="424">
        <v>109434</v>
      </c>
      <c r="BA248" s="472">
        <v>0.79953709924316307</v>
      </c>
      <c r="BB248" s="453">
        <v>0</v>
      </c>
      <c r="BC248" s="390">
        <v>0</v>
      </c>
      <c r="BD248" s="236">
        <v>0</v>
      </c>
    </row>
    <row r="249" spans="1:58" s="121" customFormat="1" ht="14.25" customHeight="1">
      <c r="A249" s="104">
        <v>2023</v>
      </c>
      <c r="B249" s="105" t="s">
        <v>1413</v>
      </c>
      <c r="C249" s="556" t="s">
        <v>1483</v>
      </c>
      <c r="D249" s="106" t="s">
        <v>2415</v>
      </c>
      <c r="E249" s="150" t="s">
        <v>1484</v>
      </c>
      <c r="F249" s="71" t="s">
        <v>139</v>
      </c>
      <c r="G249" s="158" t="s">
        <v>2568</v>
      </c>
      <c r="H249" s="386">
        <v>0</v>
      </c>
      <c r="I249" s="387">
        <v>0</v>
      </c>
      <c r="J249" s="388">
        <v>245453</v>
      </c>
      <c r="K249" s="462">
        <v>245453</v>
      </c>
      <c r="L249" s="387">
        <v>0</v>
      </c>
      <c r="M249" s="387">
        <v>0</v>
      </c>
      <c r="N249" s="388">
        <v>0</v>
      </c>
      <c r="O249" s="387">
        <v>0</v>
      </c>
      <c r="P249" s="430">
        <v>0.4</v>
      </c>
      <c r="Q249" s="387">
        <v>8495</v>
      </c>
      <c r="R249" s="390"/>
      <c r="S249" s="387">
        <v>3398</v>
      </c>
      <c r="T249" s="388">
        <v>0</v>
      </c>
      <c r="U249" s="391">
        <v>305387</v>
      </c>
      <c r="V249" s="387">
        <v>249754</v>
      </c>
      <c r="W249" s="462">
        <v>558539</v>
      </c>
      <c r="X249" s="387">
        <v>0</v>
      </c>
      <c r="Y249" s="387">
        <v>320467</v>
      </c>
      <c r="Z249" s="391">
        <v>23569</v>
      </c>
      <c r="AA249" s="387">
        <v>89239</v>
      </c>
      <c r="AB249" s="462">
        <v>433275</v>
      </c>
      <c r="AC249" s="387">
        <v>0</v>
      </c>
      <c r="AD249" s="387">
        <v>0</v>
      </c>
      <c r="AE249" s="388">
        <v>0</v>
      </c>
      <c r="AF249" s="392">
        <v>0</v>
      </c>
      <c r="AG249" s="387">
        <v>310758</v>
      </c>
      <c r="AH249" s="388">
        <v>0</v>
      </c>
      <c r="AI249" s="388">
        <v>122517</v>
      </c>
      <c r="AJ249" s="462">
        <v>433275</v>
      </c>
      <c r="AK249" s="388">
        <v>314010.13400000002</v>
      </c>
      <c r="AL249" s="388">
        <v>96051.687999999995</v>
      </c>
      <c r="AM249" s="388">
        <v>217958.446</v>
      </c>
      <c r="AN249" s="388">
        <v>7070.4179999999997</v>
      </c>
      <c r="AO249" s="467">
        <v>0.30588722337222402</v>
      </c>
      <c r="AP249" s="468">
        <v>565609.41799999995</v>
      </c>
      <c r="AQ249" s="468">
        <v>-320156.41799999995</v>
      </c>
      <c r="AR249" s="393"/>
      <c r="AS249" s="394"/>
      <c r="AT249" s="394"/>
      <c r="AU249" s="395"/>
      <c r="AV249" s="471"/>
      <c r="AW249" s="388">
        <v>314010134</v>
      </c>
      <c r="AX249" s="424">
        <v>96051688</v>
      </c>
      <c r="AY249" s="424">
        <v>217958446</v>
      </c>
      <c r="AZ249" s="424">
        <v>7070418</v>
      </c>
      <c r="BA249" s="472">
        <v>0.30588722337222402</v>
      </c>
      <c r="BB249" s="453">
        <v>153706</v>
      </c>
      <c r="BC249" s="390">
        <v>524</v>
      </c>
      <c r="BD249" s="236">
        <v>0</v>
      </c>
    </row>
    <row r="250" spans="1:58" s="121" customFormat="1" ht="14.25" customHeight="1">
      <c r="A250" s="104">
        <v>2023</v>
      </c>
      <c r="B250" s="105" t="s">
        <v>1416</v>
      </c>
      <c r="C250" s="556" t="s">
        <v>1492</v>
      </c>
      <c r="D250" s="106" t="s">
        <v>2415</v>
      </c>
      <c r="E250" s="150" t="s">
        <v>1493</v>
      </c>
      <c r="F250" s="71" t="s">
        <v>1493</v>
      </c>
      <c r="G250" s="109" t="s">
        <v>1493</v>
      </c>
      <c r="H250" s="386"/>
      <c r="I250" s="387"/>
      <c r="J250" s="388"/>
      <c r="K250" s="462">
        <v>0</v>
      </c>
      <c r="L250" s="387"/>
      <c r="M250" s="387"/>
      <c r="N250" s="388"/>
      <c r="O250" s="387"/>
      <c r="P250" s="389"/>
      <c r="Q250" s="387">
        <v>8495</v>
      </c>
      <c r="R250" s="390"/>
      <c r="S250" s="387">
        <v>0</v>
      </c>
      <c r="T250" s="388"/>
      <c r="U250" s="391"/>
      <c r="V250" s="387"/>
      <c r="W250" s="462">
        <v>0</v>
      </c>
      <c r="X250" s="387"/>
      <c r="Y250" s="387"/>
      <c r="Z250" s="391"/>
      <c r="AA250" s="387"/>
      <c r="AB250" s="462">
        <v>0</v>
      </c>
      <c r="AC250" s="387"/>
      <c r="AD250" s="387"/>
      <c r="AE250" s="388"/>
      <c r="AF250" s="392"/>
      <c r="AG250" s="387"/>
      <c r="AH250" s="388"/>
      <c r="AI250" s="388"/>
      <c r="AJ250" s="462">
        <v>0</v>
      </c>
      <c r="AK250" s="388"/>
      <c r="AL250" s="388"/>
      <c r="AM250" s="388"/>
      <c r="AN250" s="388"/>
      <c r="AO250" s="424"/>
      <c r="AP250" s="424"/>
      <c r="AQ250" s="424"/>
      <c r="AR250" s="393"/>
      <c r="AS250" s="394"/>
      <c r="AT250" s="394"/>
      <c r="AU250" s="395"/>
      <c r="AV250" s="471"/>
      <c r="AW250" s="388"/>
      <c r="AX250" s="424"/>
      <c r="AY250" s="424"/>
      <c r="AZ250" s="424"/>
      <c r="BA250" s="472" t="s">
        <v>1966</v>
      </c>
      <c r="BB250" s="453" t="s">
        <v>825</v>
      </c>
      <c r="BC250" s="390" t="s">
        <v>825</v>
      </c>
      <c r="BD250" s="236" t="s">
        <v>825</v>
      </c>
    </row>
    <row r="251" spans="1:58" s="121" customFormat="1" ht="14.25" customHeight="1">
      <c r="A251" s="104">
        <v>2023</v>
      </c>
      <c r="B251" s="105" t="s">
        <v>1419</v>
      </c>
      <c r="C251" s="556" t="s">
        <v>1501</v>
      </c>
      <c r="D251" s="106" t="s">
        <v>2415</v>
      </c>
      <c r="E251" s="150" t="s">
        <v>1502</v>
      </c>
      <c r="F251" s="71" t="s">
        <v>1502</v>
      </c>
      <c r="G251" s="68" t="s">
        <v>1503</v>
      </c>
      <c r="H251" s="386"/>
      <c r="I251" s="387"/>
      <c r="J251" s="388"/>
      <c r="K251" s="462">
        <v>0</v>
      </c>
      <c r="L251" s="387"/>
      <c r="M251" s="387"/>
      <c r="N251" s="388"/>
      <c r="O251" s="387"/>
      <c r="P251" s="389"/>
      <c r="Q251" s="387">
        <v>8495</v>
      </c>
      <c r="R251" s="390"/>
      <c r="S251" s="387">
        <v>0</v>
      </c>
      <c r="T251" s="388"/>
      <c r="U251" s="391"/>
      <c r="V251" s="387"/>
      <c r="W251" s="462">
        <v>0</v>
      </c>
      <c r="X251" s="387"/>
      <c r="Y251" s="387"/>
      <c r="Z251" s="391"/>
      <c r="AA251" s="387"/>
      <c r="AB251" s="462">
        <v>0</v>
      </c>
      <c r="AC251" s="387"/>
      <c r="AD251" s="387"/>
      <c r="AE251" s="388"/>
      <c r="AF251" s="392"/>
      <c r="AG251" s="387"/>
      <c r="AH251" s="388"/>
      <c r="AI251" s="388"/>
      <c r="AJ251" s="462">
        <v>0</v>
      </c>
      <c r="AK251" s="388"/>
      <c r="AL251" s="424"/>
      <c r="AM251" s="424"/>
      <c r="AN251" s="424"/>
      <c r="AO251" s="424"/>
      <c r="AP251" s="424"/>
      <c r="AQ251" s="424"/>
      <c r="AR251" s="393"/>
      <c r="AS251" s="394"/>
      <c r="AT251" s="394"/>
      <c r="AU251" s="395"/>
      <c r="AV251" s="471"/>
      <c r="AW251" s="388"/>
      <c r="AX251" s="424"/>
      <c r="AY251" s="424"/>
      <c r="AZ251" s="424"/>
      <c r="BA251" s="472" t="s">
        <v>1966</v>
      </c>
      <c r="BB251" s="453" t="s">
        <v>825</v>
      </c>
      <c r="BC251" s="390" t="s">
        <v>825</v>
      </c>
      <c r="BD251" s="236" t="s">
        <v>825</v>
      </c>
    </row>
    <row r="252" spans="1:58" s="121" customFormat="1" ht="14.25" customHeight="1">
      <c r="A252" s="104">
        <v>2023</v>
      </c>
      <c r="B252" s="105" t="s">
        <v>1426</v>
      </c>
      <c r="C252" s="556" t="s">
        <v>1506</v>
      </c>
      <c r="D252" s="106" t="s">
        <v>2415</v>
      </c>
      <c r="E252" s="150" t="s">
        <v>1507</v>
      </c>
      <c r="F252" s="71" t="s">
        <v>1502</v>
      </c>
      <c r="G252" s="68" t="s">
        <v>1508</v>
      </c>
      <c r="H252" s="386"/>
      <c r="I252" s="387"/>
      <c r="J252" s="388"/>
      <c r="K252" s="462">
        <v>0</v>
      </c>
      <c r="L252" s="387"/>
      <c r="M252" s="387"/>
      <c r="N252" s="388"/>
      <c r="O252" s="387"/>
      <c r="P252" s="389"/>
      <c r="Q252" s="387">
        <v>8495</v>
      </c>
      <c r="R252" s="390"/>
      <c r="S252" s="387">
        <v>0</v>
      </c>
      <c r="T252" s="388"/>
      <c r="U252" s="391"/>
      <c r="V252" s="387"/>
      <c r="W252" s="462">
        <v>0</v>
      </c>
      <c r="X252" s="387"/>
      <c r="Y252" s="387"/>
      <c r="Z252" s="391"/>
      <c r="AA252" s="387"/>
      <c r="AB252" s="462">
        <v>0</v>
      </c>
      <c r="AC252" s="387"/>
      <c r="AD252" s="387"/>
      <c r="AE252" s="388"/>
      <c r="AF252" s="392"/>
      <c r="AG252" s="387"/>
      <c r="AH252" s="388"/>
      <c r="AI252" s="388"/>
      <c r="AJ252" s="462">
        <v>0</v>
      </c>
      <c r="AK252" s="388"/>
      <c r="AL252" s="424"/>
      <c r="AM252" s="424"/>
      <c r="AN252" s="424"/>
      <c r="AO252" s="424"/>
      <c r="AP252" s="424"/>
      <c r="AQ252" s="424"/>
      <c r="AR252" s="393"/>
      <c r="AS252" s="394"/>
      <c r="AT252" s="394"/>
      <c r="AU252" s="395"/>
      <c r="AV252" s="471"/>
      <c r="AW252" s="388"/>
      <c r="AX252" s="424"/>
      <c r="AY252" s="424"/>
      <c r="AZ252" s="424"/>
      <c r="BA252" s="472" t="s">
        <v>1966</v>
      </c>
      <c r="BB252" s="453">
        <v>5619098</v>
      </c>
      <c r="BC252" s="390">
        <v>110</v>
      </c>
      <c r="BD252" s="236">
        <v>0</v>
      </c>
    </row>
    <row r="253" spans="1:58" s="121" customFormat="1" ht="14.25" customHeight="1">
      <c r="A253" s="104">
        <v>2023</v>
      </c>
      <c r="B253" s="105" t="s">
        <v>1429</v>
      </c>
      <c r="C253" s="556" t="s">
        <v>2322</v>
      </c>
      <c r="D253" s="106" t="s">
        <v>2415</v>
      </c>
      <c r="E253" s="150" t="s">
        <v>1511</v>
      </c>
      <c r="F253" s="71" t="s">
        <v>1502</v>
      </c>
      <c r="G253" s="68" t="s">
        <v>1508</v>
      </c>
      <c r="H253" s="386"/>
      <c r="I253" s="387"/>
      <c r="J253" s="388"/>
      <c r="K253" s="462">
        <v>0</v>
      </c>
      <c r="L253" s="387"/>
      <c r="M253" s="387"/>
      <c r="N253" s="388"/>
      <c r="O253" s="387"/>
      <c r="P253" s="389"/>
      <c r="Q253" s="387">
        <v>8495</v>
      </c>
      <c r="R253" s="390"/>
      <c r="S253" s="387">
        <v>0</v>
      </c>
      <c r="T253" s="388"/>
      <c r="U253" s="391"/>
      <c r="V253" s="387"/>
      <c r="W253" s="462">
        <v>0</v>
      </c>
      <c r="X253" s="387"/>
      <c r="Y253" s="387"/>
      <c r="Z253" s="391"/>
      <c r="AA253" s="387"/>
      <c r="AB253" s="462">
        <v>0</v>
      </c>
      <c r="AC253" s="387"/>
      <c r="AD253" s="387"/>
      <c r="AE253" s="388"/>
      <c r="AF253" s="392"/>
      <c r="AG253" s="387"/>
      <c r="AH253" s="388"/>
      <c r="AI253" s="388"/>
      <c r="AJ253" s="462">
        <v>0</v>
      </c>
      <c r="AK253" s="388"/>
      <c r="AL253" s="424"/>
      <c r="AM253" s="424"/>
      <c r="AN253" s="424"/>
      <c r="AO253" s="424"/>
      <c r="AP253" s="424"/>
      <c r="AQ253" s="424"/>
      <c r="AR253" s="393"/>
      <c r="AS253" s="394"/>
      <c r="AT253" s="394"/>
      <c r="AU253" s="395"/>
      <c r="AV253" s="471"/>
      <c r="AW253" s="388"/>
      <c r="AX253" s="424"/>
      <c r="AY253" s="424"/>
      <c r="AZ253" s="424"/>
      <c r="BA253" s="472" t="s">
        <v>1966</v>
      </c>
      <c r="BB253" s="453">
        <v>439216</v>
      </c>
      <c r="BC253" s="390">
        <v>0</v>
      </c>
      <c r="BD253" s="236">
        <v>0</v>
      </c>
    </row>
    <row r="254" spans="1:58" s="121" customFormat="1" ht="14.25" customHeight="1">
      <c r="A254" s="104">
        <v>2023</v>
      </c>
      <c r="B254" s="105" t="s">
        <v>1432</v>
      </c>
      <c r="C254" s="556" t="s">
        <v>2323</v>
      </c>
      <c r="D254" s="106" t="s">
        <v>2415</v>
      </c>
      <c r="E254" s="150" t="s">
        <v>1514</v>
      </c>
      <c r="F254" s="71" t="s">
        <v>1502</v>
      </c>
      <c r="G254" s="68" t="s">
        <v>1508</v>
      </c>
      <c r="H254" s="386"/>
      <c r="I254" s="387"/>
      <c r="J254" s="388"/>
      <c r="K254" s="462">
        <v>0</v>
      </c>
      <c r="L254" s="387"/>
      <c r="M254" s="387"/>
      <c r="N254" s="388"/>
      <c r="O254" s="387"/>
      <c r="P254" s="389"/>
      <c r="Q254" s="387">
        <v>8495</v>
      </c>
      <c r="R254" s="390"/>
      <c r="S254" s="387">
        <v>0</v>
      </c>
      <c r="T254" s="388"/>
      <c r="U254" s="391"/>
      <c r="V254" s="387"/>
      <c r="W254" s="462">
        <v>0</v>
      </c>
      <c r="X254" s="387"/>
      <c r="Y254" s="387"/>
      <c r="Z254" s="391"/>
      <c r="AA254" s="387"/>
      <c r="AB254" s="462">
        <v>0</v>
      </c>
      <c r="AC254" s="387"/>
      <c r="AD254" s="387"/>
      <c r="AE254" s="388"/>
      <c r="AF254" s="392"/>
      <c r="AG254" s="387"/>
      <c r="AH254" s="388"/>
      <c r="AI254" s="388"/>
      <c r="AJ254" s="462">
        <v>0</v>
      </c>
      <c r="AK254" s="388"/>
      <c r="AL254" s="424"/>
      <c r="AM254" s="424"/>
      <c r="AN254" s="424"/>
      <c r="AO254" s="424"/>
      <c r="AP254" s="424"/>
      <c r="AQ254" s="424"/>
      <c r="AR254" s="393"/>
      <c r="AS254" s="394"/>
      <c r="AT254" s="394"/>
      <c r="AU254" s="395"/>
      <c r="AV254" s="471"/>
      <c r="AW254" s="388"/>
      <c r="AX254" s="424"/>
      <c r="AY254" s="424"/>
      <c r="AZ254" s="424"/>
      <c r="BA254" s="472" t="s">
        <v>1966</v>
      </c>
      <c r="BB254" s="453">
        <v>717041</v>
      </c>
      <c r="BC254" s="390">
        <v>0</v>
      </c>
      <c r="BD254" s="236">
        <v>0</v>
      </c>
    </row>
    <row r="255" spans="1:58" s="121" customFormat="1" ht="14.25" customHeight="1">
      <c r="A255" s="104">
        <v>2023</v>
      </c>
      <c r="B255" s="105" t="s">
        <v>1434</v>
      </c>
      <c r="C255" s="556" t="s">
        <v>2324</v>
      </c>
      <c r="D255" s="106" t="s">
        <v>2415</v>
      </c>
      <c r="E255" s="150" t="s">
        <v>1911</v>
      </c>
      <c r="F255" s="71" t="s">
        <v>1502</v>
      </c>
      <c r="G255" s="68" t="s">
        <v>1508</v>
      </c>
      <c r="H255" s="386"/>
      <c r="I255" s="387"/>
      <c r="J255" s="388"/>
      <c r="K255" s="462">
        <v>0</v>
      </c>
      <c r="L255" s="387"/>
      <c r="M255" s="387"/>
      <c r="N255" s="388"/>
      <c r="O255" s="387"/>
      <c r="P255" s="389"/>
      <c r="Q255" s="387">
        <v>8495</v>
      </c>
      <c r="R255" s="390"/>
      <c r="S255" s="387">
        <v>0</v>
      </c>
      <c r="T255" s="388"/>
      <c r="U255" s="391"/>
      <c r="V255" s="387"/>
      <c r="W255" s="462">
        <v>0</v>
      </c>
      <c r="X255" s="387"/>
      <c r="Y255" s="387"/>
      <c r="Z255" s="391"/>
      <c r="AA255" s="387"/>
      <c r="AB255" s="462">
        <v>0</v>
      </c>
      <c r="AC255" s="387"/>
      <c r="AD255" s="387"/>
      <c r="AE255" s="388"/>
      <c r="AF255" s="392"/>
      <c r="AG255" s="387"/>
      <c r="AH255" s="388"/>
      <c r="AI255" s="388"/>
      <c r="AJ255" s="462">
        <v>0</v>
      </c>
      <c r="AK255" s="388"/>
      <c r="AL255" s="424"/>
      <c r="AM255" s="424"/>
      <c r="AN255" s="424"/>
      <c r="AO255" s="424"/>
      <c r="AP255" s="424"/>
      <c r="AQ255" s="424"/>
      <c r="AR255" s="393"/>
      <c r="AS255" s="394"/>
      <c r="AT255" s="394"/>
      <c r="AU255" s="395"/>
      <c r="AV255" s="471"/>
      <c r="AW255" s="388"/>
      <c r="AX255" s="424"/>
      <c r="AY255" s="424"/>
      <c r="AZ255" s="424"/>
      <c r="BA255" s="472" t="s">
        <v>1966</v>
      </c>
      <c r="BB255" s="453">
        <v>273677</v>
      </c>
      <c r="BC255" s="390">
        <v>0</v>
      </c>
      <c r="BD255" s="236">
        <v>0</v>
      </c>
    </row>
    <row r="256" spans="1:58" s="121" customFormat="1" ht="14.25" customHeight="1">
      <c r="A256" s="104">
        <v>2023</v>
      </c>
      <c r="B256" s="105" t="s">
        <v>1436</v>
      </c>
      <c r="C256" s="556" t="s">
        <v>1516</v>
      </c>
      <c r="D256" s="106" t="s">
        <v>2415</v>
      </c>
      <c r="E256" s="150" t="s">
        <v>1517</v>
      </c>
      <c r="F256" s="71" t="s">
        <v>1502</v>
      </c>
      <c r="G256" s="68" t="s">
        <v>1518</v>
      </c>
      <c r="H256" s="386"/>
      <c r="I256" s="387"/>
      <c r="J256" s="388"/>
      <c r="K256" s="462">
        <v>0</v>
      </c>
      <c r="L256" s="387"/>
      <c r="M256" s="387"/>
      <c r="N256" s="388"/>
      <c r="O256" s="387"/>
      <c r="P256" s="389"/>
      <c r="Q256" s="387">
        <v>8495</v>
      </c>
      <c r="R256" s="390"/>
      <c r="S256" s="387">
        <v>0</v>
      </c>
      <c r="T256" s="388"/>
      <c r="U256" s="391"/>
      <c r="V256" s="387"/>
      <c r="W256" s="462">
        <v>0</v>
      </c>
      <c r="X256" s="387"/>
      <c r="Y256" s="387"/>
      <c r="Z256" s="391"/>
      <c r="AA256" s="387"/>
      <c r="AB256" s="462">
        <v>0</v>
      </c>
      <c r="AC256" s="387"/>
      <c r="AD256" s="387"/>
      <c r="AE256" s="388"/>
      <c r="AF256" s="392"/>
      <c r="AG256" s="387"/>
      <c r="AH256" s="388"/>
      <c r="AI256" s="388"/>
      <c r="AJ256" s="462">
        <v>0</v>
      </c>
      <c r="AK256" s="388"/>
      <c r="AL256" s="424"/>
      <c r="AM256" s="424"/>
      <c r="AN256" s="424"/>
      <c r="AO256" s="424"/>
      <c r="AP256" s="424"/>
      <c r="AQ256" s="424"/>
      <c r="AR256" s="393"/>
      <c r="AS256" s="394"/>
      <c r="AT256" s="394"/>
      <c r="AU256" s="395"/>
      <c r="AV256" s="471"/>
      <c r="AW256" s="388"/>
      <c r="AX256" s="424"/>
      <c r="AY256" s="424"/>
      <c r="AZ256" s="424"/>
      <c r="BA256" s="472" t="s">
        <v>1966</v>
      </c>
      <c r="BB256" s="453">
        <v>45212</v>
      </c>
      <c r="BC256" s="390">
        <v>0</v>
      </c>
      <c r="BD256" s="236">
        <v>0</v>
      </c>
    </row>
    <row r="257" spans="1:58" s="121" customFormat="1" ht="14.25" customHeight="1">
      <c r="A257" s="104">
        <v>2023</v>
      </c>
      <c r="B257" s="105" t="s">
        <v>1440</v>
      </c>
      <c r="C257" s="556" t="s">
        <v>1523</v>
      </c>
      <c r="D257" s="106" t="s">
        <v>2415</v>
      </c>
      <c r="E257" s="150" t="s">
        <v>1524</v>
      </c>
      <c r="F257" s="71" t="s">
        <v>1502</v>
      </c>
      <c r="G257" s="68" t="s">
        <v>1518</v>
      </c>
      <c r="H257" s="386"/>
      <c r="I257" s="387"/>
      <c r="J257" s="388"/>
      <c r="K257" s="462">
        <v>0</v>
      </c>
      <c r="L257" s="387"/>
      <c r="M257" s="387"/>
      <c r="N257" s="388"/>
      <c r="O257" s="387"/>
      <c r="P257" s="389"/>
      <c r="Q257" s="387">
        <v>8495</v>
      </c>
      <c r="R257" s="390"/>
      <c r="S257" s="387">
        <v>0</v>
      </c>
      <c r="T257" s="388"/>
      <c r="U257" s="391"/>
      <c r="V257" s="387"/>
      <c r="W257" s="462">
        <v>0</v>
      </c>
      <c r="X257" s="387"/>
      <c r="Y257" s="387"/>
      <c r="Z257" s="391"/>
      <c r="AA257" s="387"/>
      <c r="AB257" s="462">
        <v>0</v>
      </c>
      <c r="AC257" s="387"/>
      <c r="AD257" s="387"/>
      <c r="AE257" s="388"/>
      <c r="AF257" s="392"/>
      <c r="AG257" s="387"/>
      <c r="AH257" s="388"/>
      <c r="AI257" s="388"/>
      <c r="AJ257" s="462">
        <v>0</v>
      </c>
      <c r="AK257" s="388"/>
      <c r="AL257" s="424"/>
      <c r="AM257" s="424"/>
      <c r="AN257" s="424"/>
      <c r="AO257" s="424"/>
      <c r="AP257" s="424"/>
      <c r="AQ257" s="424"/>
      <c r="AR257" s="393"/>
      <c r="AS257" s="394"/>
      <c r="AT257" s="394"/>
      <c r="AU257" s="395"/>
      <c r="AV257" s="471"/>
      <c r="AW257" s="388"/>
      <c r="AX257" s="424"/>
      <c r="AY257" s="424"/>
      <c r="AZ257" s="424"/>
      <c r="BA257" s="472" t="s">
        <v>1966</v>
      </c>
      <c r="BB257" s="453">
        <v>29215</v>
      </c>
      <c r="BC257" s="390">
        <v>0</v>
      </c>
      <c r="BD257" s="236">
        <v>0</v>
      </c>
    </row>
    <row r="258" spans="1:58" s="121" customFormat="1" ht="14.25" customHeight="1">
      <c r="A258" s="104">
        <v>2023</v>
      </c>
      <c r="B258" s="105" t="s">
        <v>1442</v>
      </c>
      <c r="C258" s="556" t="s">
        <v>1526</v>
      </c>
      <c r="D258" s="106" t="s">
        <v>2415</v>
      </c>
      <c r="E258" s="150" t="s">
        <v>1527</v>
      </c>
      <c r="F258" s="71" t="s">
        <v>1502</v>
      </c>
      <c r="G258" s="68" t="s">
        <v>1518</v>
      </c>
      <c r="H258" s="386"/>
      <c r="I258" s="387"/>
      <c r="J258" s="388"/>
      <c r="K258" s="462">
        <v>0</v>
      </c>
      <c r="L258" s="387"/>
      <c r="M258" s="387"/>
      <c r="N258" s="388"/>
      <c r="O258" s="387"/>
      <c r="P258" s="389"/>
      <c r="Q258" s="387">
        <v>8495</v>
      </c>
      <c r="R258" s="390"/>
      <c r="S258" s="387">
        <v>0</v>
      </c>
      <c r="T258" s="388"/>
      <c r="U258" s="391"/>
      <c r="V258" s="387"/>
      <c r="W258" s="462">
        <v>0</v>
      </c>
      <c r="X258" s="387"/>
      <c r="Y258" s="387"/>
      <c r="Z258" s="391"/>
      <c r="AA258" s="387"/>
      <c r="AB258" s="462">
        <v>0</v>
      </c>
      <c r="AC258" s="387"/>
      <c r="AD258" s="387"/>
      <c r="AE258" s="388"/>
      <c r="AF258" s="392"/>
      <c r="AG258" s="387"/>
      <c r="AH258" s="388"/>
      <c r="AI258" s="388"/>
      <c r="AJ258" s="462">
        <v>0</v>
      </c>
      <c r="AK258" s="388"/>
      <c r="AL258" s="424"/>
      <c r="AM258" s="424"/>
      <c r="AN258" s="424"/>
      <c r="AO258" s="424"/>
      <c r="AP258" s="424"/>
      <c r="AQ258" s="424"/>
      <c r="AR258" s="393"/>
      <c r="AS258" s="394"/>
      <c r="AT258" s="394"/>
      <c r="AU258" s="395"/>
      <c r="AV258" s="471"/>
      <c r="AW258" s="388"/>
      <c r="AX258" s="424"/>
      <c r="AY258" s="424"/>
      <c r="AZ258" s="424"/>
      <c r="BA258" s="472" t="s">
        <v>1966</v>
      </c>
      <c r="BB258" s="453">
        <v>13370</v>
      </c>
      <c r="BC258" s="390">
        <v>0</v>
      </c>
      <c r="BD258" s="236">
        <v>0</v>
      </c>
    </row>
    <row r="259" spans="1:58" s="121" customFormat="1" ht="14.25" customHeight="1">
      <c r="A259" s="104">
        <v>2023</v>
      </c>
      <c r="B259" s="105" t="s">
        <v>1445</v>
      </c>
      <c r="C259" s="556" t="s">
        <v>1529</v>
      </c>
      <c r="D259" s="106" t="s">
        <v>2415</v>
      </c>
      <c r="E259" s="150" t="s">
        <v>1530</v>
      </c>
      <c r="F259" s="71" t="s">
        <v>1502</v>
      </c>
      <c r="G259" s="68" t="s">
        <v>1518</v>
      </c>
      <c r="H259" s="386"/>
      <c r="I259" s="387"/>
      <c r="J259" s="388"/>
      <c r="K259" s="462">
        <v>0</v>
      </c>
      <c r="L259" s="387"/>
      <c r="M259" s="387"/>
      <c r="N259" s="388"/>
      <c r="O259" s="387"/>
      <c r="P259" s="389"/>
      <c r="Q259" s="387">
        <v>8495</v>
      </c>
      <c r="R259" s="390"/>
      <c r="S259" s="387">
        <v>0</v>
      </c>
      <c r="T259" s="388"/>
      <c r="U259" s="391"/>
      <c r="V259" s="387"/>
      <c r="W259" s="462">
        <v>0</v>
      </c>
      <c r="X259" s="387"/>
      <c r="Y259" s="387"/>
      <c r="Z259" s="391"/>
      <c r="AA259" s="387"/>
      <c r="AB259" s="462">
        <v>0</v>
      </c>
      <c r="AC259" s="387"/>
      <c r="AD259" s="387"/>
      <c r="AE259" s="388"/>
      <c r="AF259" s="392"/>
      <c r="AG259" s="387"/>
      <c r="AH259" s="388"/>
      <c r="AI259" s="388"/>
      <c r="AJ259" s="462">
        <v>0</v>
      </c>
      <c r="AK259" s="388"/>
      <c r="AL259" s="424"/>
      <c r="AM259" s="424"/>
      <c r="AN259" s="424"/>
      <c r="AO259" s="424"/>
      <c r="AP259" s="424"/>
      <c r="AQ259" s="424"/>
      <c r="AR259" s="393"/>
      <c r="AS259" s="394"/>
      <c r="AT259" s="394"/>
      <c r="AU259" s="395"/>
      <c r="AV259" s="471"/>
      <c r="AW259" s="388"/>
      <c r="AX259" s="424"/>
      <c r="AY259" s="424"/>
      <c r="AZ259" s="424"/>
      <c r="BA259" s="472" t="s">
        <v>1966</v>
      </c>
      <c r="BB259" s="479">
        <v>32957</v>
      </c>
      <c r="BC259" s="480">
        <v>0</v>
      </c>
      <c r="BD259" s="373">
        <v>0</v>
      </c>
      <c r="BE259" s="163"/>
      <c r="BF259" s="163"/>
    </row>
    <row r="260" spans="1:58" ht="14.25" customHeight="1">
      <c r="A260" s="104">
        <v>2023</v>
      </c>
      <c r="B260" s="105" t="s">
        <v>1449</v>
      </c>
      <c r="C260" s="556" t="s">
        <v>1532</v>
      </c>
      <c r="D260" s="106" t="s">
        <v>2415</v>
      </c>
      <c r="E260" s="555" t="s">
        <v>1533</v>
      </c>
      <c r="F260" s="71" t="s">
        <v>1502</v>
      </c>
      <c r="G260" s="327" t="s">
        <v>1518</v>
      </c>
      <c r="H260" s="386"/>
      <c r="I260" s="387"/>
      <c r="J260" s="388"/>
      <c r="K260" s="462">
        <v>0</v>
      </c>
      <c r="L260" s="387"/>
      <c r="M260" s="387"/>
      <c r="N260" s="388"/>
      <c r="O260" s="387"/>
      <c r="P260" s="389"/>
      <c r="Q260" s="387">
        <v>8495</v>
      </c>
      <c r="R260" s="390"/>
      <c r="S260" s="387">
        <v>0</v>
      </c>
      <c r="T260" s="388"/>
      <c r="U260" s="391"/>
      <c r="V260" s="387"/>
      <c r="W260" s="462">
        <v>0</v>
      </c>
      <c r="X260" s="387"/>
      <c r="Y260" s="387"/>
      <c r="Z260" s="391"/>
      <c r="AA260" s="387"/>
      <c r="AB260" s="462">
        <v>0</v>
      </c>
      <c r="AC260" s="387"/>
      <c r="AD260" s="387"/>
      <c r="AE260" s="388"/>
      <c r="AF260" s="392"/>
      <c r="AG260" s="387"/>
      <c r="AH260" s="388"/>
      <c r="AI260" s="388"/>
      <c r="AJ260" s="462">
        <v>0</v>
      </c>
      <c r="AK260" s="388"/>
      <c r="AL260" s="424"/>
      <c r="AM260" s="424"/>
      <c r="AN260" s="424"/>
      <c r="AO260" s="424"/>
      <c r="AP260" s="424"/>
      <c r="AQ260" s="424"/>
      <c r="AR260" s="393"/>
      <c r="AS260" s="394"/>
      <c r="AT260" s="394"/>
      <c r="AU260" s="395"/>
      <c r="AV260" s="471"/>
      <c r="AW260" s="388"/>
      <c r="AX260" s="424"/>
      <c r="AY260" s="424"/>
      <c r="AZ260" s="424"/>
      <c r="BA260" s="472" t="s">
        <v>1966</v>
      </c>
      <c r="BB260" s="479">
        <v>77110</v>
      </c>
      <c r="BC260" s="480">
        <v>0</v>
      </c>
      <c r="BD260" s="373">
        <v>0</v>
      </c>
    </row>
    <row r="261" spans="1:58" ht="14.25" customHeight="1">
      <c r="A261" s="104">
        <v>2023</v>
      </c>
      <c r="B261" s="105" t="s">
        <v>1453</v>
      </c>
      <c r="C261" s="556" t="s">
        <v>1535</v>
      </c>
      <c r="D261" s="106" t="s">
        <v>2415</v>
      </c>
      <c r="E261" s="150" t="s">
        <v>1536</v>
      </c>
      <c r="F261" s="71" t="s">
        <v>1502</v>
      </c>
      <c r="G261" s="68" t="s">
        <v>1518</v>
      </c>
      <c r="H261" s="386"/>
      <c r="I261" s="387"/>
      <c r="J261" s="388"/>
      <c r="K261" s="462">
        <v>0</v>
      </c>
      <c r="L261" s="387"/>
      <c r="M261" s="387"/>
      <c r="N261" s="388"/>
      <c r="O261" s="387"/>
      <c r="P261" s="389"/>
      <c r="Q261" s="387">
        <v>8495</v>
      </c>
      <c r="R261" s="390"/>
      <c r="S261" s="387">
        <v>0</v>
      </c>
      <c r="T261" s="388"/>
      <c r="U261" s="391"/>
      <c r="V261" s="387"/>
      <c r="W261" s="462">
        <v>0</v>
      </c>
      <c r="X261" s="387"/>
      <c r="Y261" s="387"/>
      <c r="Z261" s="391"/>
      <c r="AA261" s="387"/>
      <c r="AB261" s="462">
        <v>0</v>
      </c>
      <c r="AC261" s="387"/>
      <c r="AD261" s="387"/>
      <c r="AE261" s="388"/>
      <c r="AF261" s="392"/>
      <c r="AG261" s="387"/>
      <c r="AH261" s="388"/>
      <c r="AI261" s="388"/>
      <c r="AJ261" s="462">
        <v>0</v>
      </c>
      <c r="AK261" s="388"/>
      <c r="AL261" s="424"/>
      <c r="AM261" s="424"/>
      <c r="AN261" s="424"/>
      <c r="AO261" s="424"/>
      <c r="AP261" s="424"/>
      <c r="AQ261" s="424"/>
      <c r="AR261" s="393"/>
      <c r="AS261" s="394"/>
      <c r="AT261" s="394"/>
      <c r="AU261" s="395"/>
      <c r="AV261" s="471"/>
      <c r="AW261" s="388"/>
      <c r="AX261" s="424"/>
      <c r="AY261" s="424"/>
      <c r="AZ261" s="424"/>
      <c r="BA261" s="472" t="s">
        <v>1966</v>
      </c>
      <c r="BB261" s="479">
        <v>19714</v>
      </c>
      <c r="BC261" s="480">
        <v>0</v>
      </c>
      <c r="BD261" s="373">
        <v>0</v>
      </c>
    </row>
    <row r="262" spans="1:58" ht="14.25" customHeight="1">
      <c r="A262" s="104">
        <v>2023</v>
      </c>
      <c r="B262" s="105" t="s">
        <v>1459</v>
      </c>
      <c r="C262" s="556" t="s">
        <v>1538</v>
      </c>
      <c r="D262" s="106" t="s">
        <v>2415</v>
      </c>
      <c r="E262" s="150" t="s">
        <v>1539</v>
      </c>
      <c r="F262" s="71" t="s">
        <v>1502</v>
      </c>
      <c r="G262" s="68" t="s">
        <v>1518</v>
      </c>
      <c r="H262" s="386"/>
      <c r="I262" s="387"/>
      <c r="J262" s="388"/>
      <c r="K262" s="462">
        <v>0</v>
      </c>
      <c r="L262" s="387"/>
      <c r="M262" s="387"/>
      <c r="N262" s="388"/>
      <c r="O262" s="387"/>
      <c r="P262" s="389"/>
      <c r="Q262" s="387">
        <v>8495</v>
      </c>
      <c r="R262" s="390"/>
      <c r="S262" s="387">
        <v>0</v>
      </c>
      <c r="T262" s="388"/>
      <c r="U262" s="391"/>
      <c r="V262" s="387"/>
      <c r="W262" s="462">
        <v>0</v>
      </c>
      <c r="X262" s="387"/>
      <c r="Y262" s="387"/>
      <c r="Z262" s="391"/>
      <c r="AA262" s="387"/>
      <c r="AB262" s="462">
        <v>0</v>
      </c>
      <c r="AC262" s="387"/>
      <c r="AD262" s="387"/>
      <c r="AE262" s="388"/>
      <c r="AF262" s="392"/>
      <c r="AG262" s="387"/>
      <c r="AH262" s="388"/>
      <c r="AI262" s="388"/>
      <c r="AJ262" s="462">
        <v>0</v>
      </c>
      <c r="AK262" s="388"/>
      <c r="AL262" s="424"/>
      <c r="AM262" s="424"/>
      <c r="AN262" s="424"/>
      <c r="AO262" s="424"/>
      <c r="AP262" s="424"/>
      <c r="AQ262" s="424"/>
      <c r="AR262" s="393"/>
      <c r="AS262" s="394"/>
      <c r="AT262" s="394"/>
      <c r="AU262" s="395"/>
      <c r="AV262" s="471"/>
      <c r="AW262" s="388"/>
      <c r="AX262" s="424"/>
      <c r="AY262" s="424"/>
      <c r="AZ262" s="424"/>
      <c r="BA262" s="472" t="s">
        <v>1966</v>
      </c>
      <c r="BB262" s="479">
        <v>16769</v>
      </c>
      <c r="BC262" s="480">
        <v>0</v>
      </c>
      <c r="BD262" s="373">
        <v>0</v>
      </c>
    </row>
    <row r="263" spans="1:58" ht="14.25" customHeight="1">
      <c r="A263" s="104">
        <v>2023</v>
      </c>
      <c r="B263" s="105" t="s">
        <v>1467</v>
      </c>
      <c r="C263" s="556" t="s">
        <v>1541</v>
      </c>
      <c r="D263" s="106" t="s">
        <v>2415</v>
      </c>
      <c r="E263" s="150" t="s">
        <v>1542</v>
      </c>
      <c r="F263" s="71" t="s">
        <v>1542</v>
      </c>
      <c r="G263" s="68" t="s">
        <v>1542</v>
      </c>
      <c r="H263" s="386"/>
      <c r="I263" s="387"/>
      <c r="J263" s="388"/>
      <c r="K263" s="462">
        <v>0</v>
      </c>
      <c r="L263" s="387"/>
      <c r="M263" s="387"/>
      <c r="N263" s="388"/>
      <c r="O263" s="387"/>
      <c r="P263" s="389"/>
      <c r="Q263" s="387">
        <v>8495</v>
      </c>
      <c r="R263" s="390"/>
      <c r="S263" s="387">
        <v>0</v>
      </c>
      <c r="T263" s="388"/>
      <c r="U263" s="391"/>
      <c r="V263" s="387"/>
      <c r="W263" s="462">
        <v>0</v>
      </c>
      <c r="X263" s="387"/>
      <c r="Y263" s="387"/>
      <c r="Z263" s="391"/>
      <c r="AA263" s="387"/>
      <c r="AB263" s="462">
        <v>0</v>
      </c>
      <c r="AC263" s="387"/>
      <c r="AD263" s="387"/>
      <c r="AE263" s="388"/>
      <c r="AF263" s="392"/>
      <c r="AG263" s="387"/>
      <c r="AH263" s="388"/>
      <c r="AI263" s="388"/>
      <c r="AJ263" s="462">
        <v>0</v>
      </c>
      <c r="AK263" s="388"/>
      <c r="AL263" s="424"/>
      <c r="AM263" s="424"/>
      <c r="AN263" s="424"/>
      <c r="AO263" s="424"/>
      <c r="AP263" s="424"/>
      <c r="AQ263" s="424"/>
      <c r="AR263" s="393"/>
      <c r="AS263" s="394"/>
      <c r="AT263" s="394"/>
      <c r="AU263" s="395"/>
      <c r="AV263" s="471"/>
      <c r="AW263" s="388"/>
      <c r="AX263" s="424"/>
      <c r="AY263" s="424"/>
      <c r="AZ263" s="424"/>
      <c r="BA263" s="472" t="s">
        <v>1966</v>
      </c>
      <c r="BB263" s="479" t="s">
        <v>825</v>
      </c>
      <c r="BC263" s="480" t="s">
        <v>825</v>
      </c>
      <c r="BD263" s="373" t="s">
        <v>825</v>
      </c>
    </row>
    <row r="264" spans="1:58">
      <c r="H264" s="455"/>
      <c r="I264" s="455"/>
      <c r="J264" s="455"/>
      <c r="K264" s="456"/>
      <c r="L264" s="455"/>
      <c r="M264" s="455"/>
      <c r="N264" s="455"/>
      <c r="O264" s="455"/>
      <c r="P264" s="456"/>
      <c r="Q264" s="456"/>
      <c r="R264" s="457"/>
      <c r="S264" s="456"/>
      <c r="T264" s="455"/>
      <c r="U264" s="455"/>
      <c r="V264" s="455"/>
      <c r="W264" s="456"/>
      <c r="X264" s="455"/>
      <c r="Y264" s="455"/>
      <c r="Z264" s="455"/>
      <c r="AA264" s="455"/>
      <c r="AB264" s="456"/>
      <c r="AC264" s="455"/>
      <c r="AD264" s="455"/>
      <c r="AE264" s="455"/>
      <c r="AF264" s="455"/>
      <c r="AG264" s="455"/>
      <c r="AH264" s="455"/>
      <c r="AI264" s="455"/>
      <c r="AJ264" s="456"/>
      <c r="AK264" s="456"/>
      <c r="AL264" s="456"/>
      <c r="AM264" s="456"/>
      <c r="AN264" s="456"/>
      <c r="AO264" s="456"/>
      <c r="AP264" s="456"/>
      <c r="AQ264" s="456"/>
      <c r="AR264" s="458"/>
      <c r="AS264" s="459"/>
      <c r="AT264" s="459"/>
      <c r="AU264" s="459"/>
      <c r="AV264" s="478"/>
      <c r="AW264" s="456"/>
      <c r="AX264" s="456"/>
      <c r="AY264" s="456"/>
      <c r="AZ264" s="456"/>
      <c r="BA264" s="456"/>
      <c r="BB264" s="456"/>
      <c r="BC264" s="456"/>
    </row>
    <row r="265" spans="1:58">
      <c r="H265" s="455"/>
      <c r="I265" s="455"/>
      <c r="J265" s="455"/>
      <c r="K265" s="456"/>
      <c r="L265" s="455"/>
      <c r="M265" s="455"/>
      <c r="N265" s="455"/>
      <c r="O265" s="455"/>
      <c r="P265" s="456"/>
      <c r="Q265" s="456"/>
      <c r="R265" s="457"/>
      <c r="S265" s="456"/>
      <c r="T265" s="455"/>
      <c r="U265" s="455"/>
      <c r="V265" s="455"/>
      <c r="W265" s="456"/>
      <c r="X265" s="455"/>
      <c r="Y265" s="455"/>
      <c r="Z265" s="455"/>
      <c r="AA265" s="455"/>
      <c r="AB265" s="456"/>
      <c r="AC265" s="455"/>
      <c r="AD265" s="455"/>
      <c r="AE265" s="455"/>
      <c r="AF265" s="455"/>
      <c r="AG265" s="455"/>
      <c r="AH265" s="455"/>
      <c r="AI265" s="455"/>
      <c r="AJ265" s="456"/>
      <c r="AK265" s="456"/>
      <c r="AL265" s="456"/>
      <c r="AM265" s="456"/>
      <c r="AN265" s="456"/>
      <c r="AO265" s="456"/>
      <c r="AP265" s="456"/>
      <c r="AQ265" s="456"/>
      <c r="AR265" s="458"/>
      <c r="AS265" s="459"/>
      <c r="AT265" s="459"/>
      <c r="AU265" s="459"/>
      <c r="AV265" s="478"/>
      <c r="AW265" s="456"/>
      <c r="AX265" s="456"/>
      <c r="AY265" s="456"/>
      <c r="AZ265" s="456"/>
      <c r="BA265" s="456"/>
      <c r="BB265" s="456"/>
      <c r="BC265" s="456"/>
    </row>
    <row r="266" spans="1:58">
      <c r="H266" s="455"/>
      <c r="I266" s="455"/>
      <c r="J266" s="455"/>
      <c r="K266" s="456"/>
      <c r="L266" s="455"/>
      <c r="M266" s="455"/>
      <c r="N266" s="455"/>
      <c r="O266" s="455"/>
      <c r="P266" s="456"/>
      <c r="Q266" s="456"/>
      <c r="R266" s="457"/>
      <c r="S266" s="456"/>
      <c r="T266" s="455"/>
      <c r="U266" s="455"/>
      <c r="V266" s="455"/>
      <c r="W266" s="456"/>
      <c r="X266" s="455"/>
      <c r="Y266" s="455"/>
      <c r="Z266" s="455"/>
      <c r="AA266" s="455"/>
      <c r="AB266" s="456"/>
      <c r="AC266" s="455"/>
      <c r="AD266" s="455"/>
      <c r="AE266" s="455"/>
      <c r="AF266" s="455"/>
      <c r="AG266" s="455"/>
      <c r="AH266" s="455"/>
      <c r="AI266" s="455"/>
      <c r="AJ266" s="456"/>
      <c r="AK266" s="456"/>
      <c r="AL266" s="456"/>
      <c r="AM266" s="456"/>
      <c r="AN266" s="456"/>
      <c r="AO266" s="456"/>
      <c r="AP266" s="456"/>
      <c r="AQ266" s="456"/>
      <c r="AR266" s="458"/>
      <c r="AS266" s="459"/>
      <c r="AT266" s="459"/>
      <c r="AU266" s="459"/>
      <c r="AV266" s="478"/>
      <c r="AW266" s="456"/>
      <c r="AX266" s="456"/>
      <c r="AY266" s="456"/>
      <c r="AZ266" s="456"/>
      <c r="BA266" s="456"/>
      <c r="BB266" s="456"/>
      <c r="BC266" s="456"/>
    </row>
    <row r="267" spans="1:58">
      <c r="H267" s="455"/>
      <c r="I267" s="455"/>
      <c r="J267" s="455"/>
      <c r="K267" s="456"/>
      <c r="L267" s="455"/>
      <c r="M267" s="455"/>
      <c r="N267" s="455"/>
      <c r="O267" s="455"/>
      <c r="P267" s="456"/>
      <c r="Q267" s="456"/>
      <c r="R267" s="457"/>
      <c r="S267" s="456"/>
      <c r="T267" s="455"/>
      <c r="U267" s="455"/>
      <c r="V267" s="455"/>
      <c r="W267" s="456"/>
      <c r="X267" s="455"/>
      <c r="Y267" s="455"/>
      <c r="Z267" s="455"/>
      <c r="AA267" s="455"/>
      <c r="AB267" s="456"/>
      <c r="AC267" s="455"/>
      <c r="AD267" s="455"/>
      <c r="AE267" s="455"/>
      <c r="AF267" s="455"/>
      <c r="AG267" s="455"/>
      <c r="AH267" s="455"/>
      <c r="AI267" s="455"/>
      <c r="AJ267" s="456"/>
      <c r="AK267" s="456"/>
      <c r="AL267" s="456"/>
      <c r="AM267" s="456"/>
      <c r="AN267" s="456"/>
      <c r="AO267" s="456"/>
      <c r="AP267" s="456"/>
      <c r="AQ267" s="456"/>
      <c r="AR267" s="458"/>
      <c r="AS267" s="459"/>
      <c r="AT267" s="459"/>
      <c r="AU267" s="459"/>
      <c r="AV267" s="478"/>
      <c r="AW267" s="456"/>
      <c r="AX267" s="456"/>
      <c r="AY267" s="456"/>
      <c r="AZ267" s="456"/>
      <c r="BA267" s="456"/>
      <c r="BB267" s="456"/>
      <c r="BC267" s="456"/>
    </row>
    <row r="268" spans="1:58">
      <c r="H268" s="455"/>
      <c r="I268" s="455"/>
      <c r="J268" s="455"/>
      <c r="K268" s="456"/>
      <c r="L268" s="455"/>
      <c r="M268" s="455"/>
      <c r="N268" s="455"/>
      <c r="O268" s="455"/>
      <c r="P268" s="456"/>
      <c r="Q268" s="456"/>
      <c r="R268" s="457"/>
      <c r="S268" s="456"/>
      <c r="T268" s="455"/>
      <c r="U268" s="455"/>
      <c r="V268" s="455"/>
      <c r="W268" s="456"/>
      <c r="X268" s="455"/>
      <c r="Y268" s="455"/>
      <c r="Z268" s="455"/>
      <c r="AA268" s="455"/>
      <c r="AB268" s="456"/>
      <c r="AC268" s="455"/>
      <c r="AD268" s="455"/>
      <c r="AE268" s="455"/>
      <c r="AF268" s="455"/>
      <c r="AG268" s="455"/>
      <c r="AH268" s="455"/>
      <c r="AI268" s="455"/>
      <c r="AJ268" s="456"/>
      <c r="AK268" s="456"/>
      <c r="AL268" s="456"/>
      <c r="AM268" s="456"/>
      <c r="AN268" s="456"/>
      <c r="AO268" s="456"/>
      <c r="AP268" s="456"/>
      <c r="AQ268" s="456"/>
      <c r="AR268" s="458"/>
      <c r="AS268" s="459"/>
      <c r="AT268" s="459"/>
      <c r="AU268" s="459"/>
      <c r="AV268" s="478"/>
      <c r="AW268" s="456"/>
      <c r="AX268" s="456"/>
      <c r="AY268" s="456"/>
      <c r="AZ268" s="456"/>
      <c r="BA268" s="456"/>
      <c r="BB268" s="456"/>
      <c r="BC268" s="456"/>
    </row>
    <row r="269" spans="1:58">
      <c r="H269" s="455"/>
      <c r="I269" s="455"/>
      <c r="J269" s="455"/>
      <c r="K269" s="456"/>
      <c r="L269" s="455"/>
      <c r="M269" s="455"/>
      <c r="N269" s="455"/>
      <c r="O269" s="455"/>
      <c r="P269" s="456"/>
      <c r="Q269" s="456"/>
      <c r="R269" s="457"/>
      <c r="S269" s="456"/>
      <c r="T269" s="455"/>
      <c r="U269" s="455"/>
      <c r="V269" s="455"/>
      <c r="W269" s="456"/>
      <c r="X269" s="455"/>
      <c r="Y269" s="455"/>
      <c r="Z269" s="455"/>
      <c r="AA269" s="455"/>
      <c r="AB269" s="456"/>
      <c r="AC269" s="455"/>
      <c r="AD269" s="455"/>
      <c r="AE269" s="455"/>
      <c r="AF269" s="455"/>
      <c r="AG269" s="455"/>
      <c r="AH269" s="455"/>
      <c r="AI269" s="455"/>
      <c r="AJ269" s="456"/>
      <c r="AK269" s="456"/>
      <c r="AL269" s="456"/>
      <c r="AM269" s="456"/>
      <c r="AN269" s="456"/>
      <c r="AO269" s="456"/>
      <c r="AP269" s="456"/>
      <c r="AQ269" s="456"/>
      <c r="AR269" s="458"/>
      <c r="AS269" s="459"/>
      <c r="AT269" s="459"/>
      <c r="AU269" s="459"/>
      <c r="AV269" s="478"/>
      <c r="AW269" s="456"/>
      <c r="AX269" s="456"/>
      <c r="AY269" s="456"/>
      <c r="AZ269" s="456"/>
      <c r="BA269" s="456"/>
      <c r="BB269" s="456"/>
      <c r="BC269" s="456"/>
    </row>
    <row r="270" spans="1:58">
      <c r="H270" s="455"/>
      <c r="I270" s="455"/>
      <c r="J270" s="455"/>
      <c r="K270" s="456"/>
      <c r="L270" s="455"/>
      <c r="M270" s="455"/>
      <c r="N270" s="455"/>
      <c r="O270" s="455"/>
      <c r="P270" s="456"/>
      <c r="Q270" s="456"/>
      <c r="R270" s="457"/>
      <c r="S270" s="456"/>
      <c r="T270" s="455"/>
      <c r="U270" s="455"/>
      <c r="V270" s="455"/>
      <c r="W270" s="456"/>
      <c r="X270" s="455"/>
      <c r="Y270" s="455"/>
      <c r="Z270" s="455"/>
      <c r="AA270" s="455"/>
      <c r="AB270" s="456"/>
      <c r="AC270" s="455"/>
      <c r="AD270" s="455"/>
      <c r="AE270" s="455"/>
      <c r="AF270" s="455"/>
      <c r="AG270" s="455"/>
      <c r="AH270" s="455"/>
      <c r="AI270" s="455"/>
      <c r="AJ270" s="456"/>
      <c r="AK270" s="456"/>
      <c r="AL270" s="456"/>
      <c r="AM270" s="456"/>
      <c r="AN270" s="456"/>
      <c r="AO270" s="456"/>
      <c r="AP270" s="456"/>
      <c r="AQ270" s="456"/>
      <c r="AR270" s="458"/>
      <c r="AS270" s="459"/>
      <c r="AT270" s="459"/>
      <c r="AU270" s="459"/>
      <c r="AV270" s="478"/>
      <c r="AW270" s="456"/>
      <c r="AX270" s="456"/>
      <c r="AY270" s="456"/>
      <c r="AZ270" s="456"/>
      <c r="BA270" s="456"/>
      <c r="BB270" s="456"/>
      <c r="BC270" s="456"/>
    </row>
    <row r="271" spans="1:58">
      <c r="H271" s="455"/>
      <c r="I271" s="455"/>
      <c r="J271" s="455"/>
      <c r="K271" s="456"/>
      <c r="L271" s="455"/>
      <c r="M271" s="455"/>
      <c r="N271" s="455"/>
      <c r="O271" s="455"/>
      <c r="P271" s="456"/>
      <c r="Q271" s="456"/>
      <c r="R271" s="457"/>
      <c r="S271" s="456"/>
      <c r="T271" s="455"/>
      <c r="U271" s="455"/>
      <c r="V271" s="455"/>
      <c r="W271" s="456"/>
      <c r="X271" s="455"/>
      <c r="Y271" s="455"/>
      <c r="Z271" s="455"/>
      <c r="AA271" s="455"/>
      <c r="AB271" s="456"/>
      <c r="AC271" s="455"/>
      <c r="AD271" s="455"/>
      <c r="AE271" s="455"/>
      <c r="AF271" s="455"/>
      <c r="AG271" s="455"/>
      <c r="AH271" s="455"/>
      <c r="AI271" s="455"/>
      <c r="AJ271" s="456"/>
      <c r="AK271" s="456"/>
      <c r="AL271" s="456"/>
      <c r="AM271" s="456"/>
      <c r="AN271" s="456"/>
      <c r="AO271" s="456"/>
      <c r="AP271" s="456"/>
      <c r="AQ271" s="456"/>
      <c r="AR271" s="458"/>
      <c r="AS271" s="459"/>
      <c r="AT271" s="459"/>
      <c r="AU271" s="459"/>
      <c r="AV271" s="478"/>
      <c r="AW271" s="456"/>
      <c r="AX271" s="456"/>
      <c r="AY271" s="456"/>
      <c r="AZ271" s="456"/>
      <c r="BA271" s="456"/>
      <c r="BB271" s="456"/>
      <c r="BC271" s="456"/>
    </row>
    <row r="272" spans="1:58">
      <c r="H272" s="455"/>
      <c r="I272" s="455"/>
      <c r="J272" s="455"/>
      <c r="K272" s="456"/>
      <c r="L272" s="455"/>
      <c r="M272" s="455"/>
      <c r="N272" s="455"/>
      <c r="O272" s="455"/>
      <c r="P272" s="456"/>
      <c r="Q272" s="456"/>
      <c r="R272" s="457"/>
      <c r="S272" s="456"/>
      <c r="T272" s="455"/>
      <c r="U272" s="455"/>
      <c r="V272" s="455"/>
      <c r="W272" s="456"/>
      <c r="X272" s="455"/>
      <c r="Y272" s="455"/>
      <c r="Z272" s="455"/>
      <c r="AA272" s="455"/>
      <c r="AB272" s="456"/>
      <c r="AC272" s="455"/>
      <c r="AD272" s="455"/>
      <c r="AE272" s="455"/>
      <c r="AF272" s="455"/>
      <c r="AG272" s="455"/>
      <c r="AH272" s="455"/>
      <c r="AI272" s="455"/>
      <c r="AJ272" s="456"/>
      <c r="AK272" s="456"/>
      <c r="AL272" s="456"/>
      <c r="AM272" s="456"/>
      <c r="AN272" s="456"/>
      <c r="AO272" s="456"/>
      <c r="AP272" s="456"/>
      <c r="AQ272" s="456"/>
      <c r="AR272" s="458"/>
      <c r="AS272" s="459"/>
      <c r="AT272" s="459"/>
      <c r="AU272" s="459"/>
      <c r="AV272" s="478"/>
      <c r="AW272" s="456"/>
      <c r="AX272" s="456"/>
      <c r="AY272" s="456"/>
      <c r="AZ272" s="456"/>
      <c r="BA272" s="456"/>
      <c r="BB272" s="456"/>
      <c r="BC272" s="456"/>
    </row>
    <row r="273" spans="8:55">
      <c r="H273" s="455"/>
      <c r="I273" s="455"/>
      <c r="J273" s="455"/>
      <c r="K273" s="456"/>
      <c r="L273" s="455"/>
      <c r="M273" s="455"/>
      <c r="N273" s="455"/>
      <c r="O273" s="455"/>
      <c r="P273" s="456"/>
      <c r="Q273" s="456"/>
      <c r="R273" s="457"/>
      <c r="S273" s="456"/>
      <c r="T273" s="455"/>
      <c r="U273" s="455"/>
      <c r="V273" s="455"/>
      <c r="W273" s="456"/>
      <c r="X273" s="455"/>
      <c r="Y273" s="455"/>
      <c r="Z273" s="455"/>
      <c r="AA273" s="455"/>
      <c r="AB273" s="456"/>
      <c r="AC273" s="455"/>
      <c r="AD273" s="455"/>
      <c r="AE273" s="455"/>
      <c r="AF273" s="455"/>
      <c r="AG273" s="455"/>
      <c r="AH273" s="455"/>
      <c r="AI273" s="455"/>
      <c r="AJ273" s="456"/>
      <c r="AK273" s="456"/>
      <c r="AL273" s="456"/>
      <c r="AM273" s="456"/>
      <c r="AN273" s="456"/>
      <c r="AO273" s="456"/>
      <c r="AP273" s="456"/>
      <c r="AQ273" s="456"/>
      <c r="AR273" s="458"/>
      <c r="AS273" s="459"/>
      <c r="AT273" s="459"/>
      <c r="AU273" s="459"/>
      <c r="AV273" s="478"/>
      <c r="AW273" s="456"/>
      <c r="AX273" s="456"/>
      <c r="AY273" s="456"/>
      <c r="AZ273" s="456"/>
      <c r="BA273" s="456"/>
      <c r="BB273" s="456"/>
      <c r="BC273" s="456"/>
    </row>
    <row r="274" spans="8:55">
      <c r="H274" s="455"/>
      <c r="I274" s="455"/>
      <c r="J274" s="455"/>
      <c r="K274" s="456"/>
      <c r="L274" s="455"/>
      <c r="M274" s="455"/>
      <c r="N274" s="455"/>
      <c r="O274" s="455"/>
      <c r="P274" s="456"/>
      <c r="Q274" s="456"/>
      <c r="R274" s="457"/>
      <c r="S274" s="456"/>
      <c r="T274" s="455"/>
      <c r="U274" s="455"/>
      <c r="V274" s="455"/>
      <c r="W274" s="456"/>
      <c r="X274" s="455"/>
      <c r="Y274" s="455"/>
      <c r="Z274" s="455"/>
      <c r="AA274" s="455"/>
      <c r="AB274" s="456"/>
      <c r="AC274" s="455"/>
      <c r="AD274" s="455"/>
      <c r="AE274" s="455"/>
      <c r="AF274" s="455"/>
      <c r="AG274" s="455"/>
      <c r="AH274" s="455"/>
      <c r="AI274" s="455"/>
      <c r="AJ274" s="456"/>
      <c r="AK274" s="456"/>
      <c r="AL274" s="456"/>
      <c r="AM274" s="456"/>
      <c r="AN274" s="456"/>
      <c r="AO274" s="456"/>
      <c r="AP274" s="456"/>
      <c r="AQ274" s="456"/>
      <c r="AR274" s="458"/>
      <c r="AS274" s="459"/>
      <c r="AT274" s="459"/>
      <c r="AU274" s="459"/>
      <c r="AV274" s="478"/>
      <c r="AW274" s="456"/>
      <c r="AX274" s="456"/>
      <c r="AY274" s="456"/>
      <c r="AZ274" s="456"/>
      <c r="BA274" s="456"/>
      <c r="BB274" s="456"/>
      <c r="BC274" s="456"/>
    </row>
    <row r="275" spans="8:55">
      <c r="H275" s="455"/>
      <c r="I275" s="455"/>
      <c r="J275" s="455"/>
      <c r="K275" s="456"/>
      <c r="L275" s="455"/>
      <c r="M275" s="455"/>
      <c r="N275" s="455"/>
      <c r="O275" s="455"/>
      <c r="P275" s="456"/>
      <c r="Q275" s="456"/>
      <c r="R275" s="457"/>
      <c r="S275" s="456"/>
      <c r="T275" s="455"/>
      <c r="U275" s="455"/>
      <c r="V275" s="455"/>
      <c r="W275" s="456"/>
      <c r="X275" s="455"/>
      <c r="Y275" s="455"/>
      <c r="Z275" s="455"/>
      <c r="AA275" s="455"/>
      <c r="AB275" s="456"/>
      <c r="AC275" s="455"/>
      <c r="AD275" s="455"/>
      <c r="AE275" s="455"/>
      <c r="AF275" s="455"/>
      <c r="AG275" s="455"/>
      <c r="AH275" s="455"/>
      <c r="AI275" s="455"/>
      <c r="AJ275" s="456"/>
      <c r="AK275" s="456"/>
      <c r="AL275" s="456"/>
      <c r="AM275" s="456"/>
      <c r="AN275" s="456"/>
      <c r="AO275" s="456"/>
      <c r="AP275" s="456"/>
      <c r="AQ275" s="456"/>
      <c r="AR275" s="458"/>
      <c r="AS275" s="459"/>
      <c r="AT275" s="459"/>
      <c r="AU275" s="459"/>
      <c r="AV275" s="478"/>
      <c r="AW275" s="456"/>
      <c r="AX275" s="456"/>
      <c r="AY275" s="456"/>
      <c r="AZ275" s="456"/>
      <c r="BA275" s="456"/>
      <c r="BB275" s="456"/>
      <c r="BC275" s="456"/>
    </row>
    <row r="276" spans="8:55">
      <c r="H276" s="455"/>
      <c r="I276" s="455"/>
      <c r="J276" s="455"/>
      <c r="K276" s="456"/>
      <c r="L276" s="455"/>
      <c r="M276" s="455"/>
      <c r="N276" s="455"/>
      <c r="O276" s="455"/>
      <c r="P276" s="456"/>
      <c r="Q276" s="456"/>
      <c r="R276" s="457"/>
      <c r="S276" s="456"/>
      <c r="T276" s="455"/>
      <c r="U276" s="455"/>
      <c r="V276" s="455"/>
      <c r="W276" s="456"/>
      <c r="X276" s="455"/>
      <c r="Y276" s="455"/>
      <c r="Z276" s="455"/>
      <c r="AA276" s="455"/>
      <c r="AB276" s="456"/>
      <c r="AC276" s="455"/>
      <c r="AD276" s="455"/>
      <c r="AE276" s="455"/>
      <c r="AF276" s="455"/>
      <c r="AG276" s="455"/>
      <c r="AH276" s="455"/>
      <c r="AI276" s="455"/>
      <c r="AJ276" s="456"/>
      <c r="AK276" s="456"/>
      <c r="AL276" s="456"/>
      <c r="AM276" s="456"/>
      <c r="AN276" s="456"/>
      <c r="AO276" s="456"/>
      <c r="AP276" s="456"/>
      <c r="AQ276" s="456"/>
      <c r="AR276" s="458"/>
      <c r="AS276" s="459"/>
      <c r="AT276" s="459"/>
      <c r="AU276" s="459"/>
      <c r="AV276" s="478"/>
      <c r="AW276" s="456"/>
      <c r="AX276" s="456"/>
      <c r="AY276" s="456"/>
      <c r="AZ276" s="456"/>
      <c r="BA276" s="456"/>
      <c r="BB276" s="456"/>
      <c r="BC276" s="456"/>
    </row>
    <row r="277" spans="8:55">
      <c r="H277" s="455"/>
      <c r="I277" s="455"/>
      <c r="J277" s="455"/>
      <c r="K277" s="456"/>
      <c r="L277" s="455"/>
      <c r="M277" s="455"/>
      <c r="N277" s="455"/>
      <c r="O277" s="455"/>
      <c r="P277" s="456"/>
      <c r="Q277" s="456"/>
      <c r="R277" s="457"/>
      <c r="S277" s="456"/>
      <c r="T277" s="455"/>
      <c r="U277" s="455"/>
      <c r="V277" s="455"/>
      <c r="W277" s="456"/>
      <c r="X277" s="455"/>
      <c r="Y277" s="455"/>
      <c r="Z277" s="455"/>
      <c r="AA277" s="455"/>
      <c r="AB277" s="456"/>
      <c r="AC277" s="455"/>
      <c r="AD277" s="455"/>
      <c r="AE277" s="455"/>
      <c r="AF277" s="455"/>
      <c r="AG277" s="455"/>
      <c r="AH277" s="455"/>
      <c r="AI277" s="455"/>
      <c r="AJ277" s="456"/>
      <c r="AK277" s="456"/>
      <c r="AL277" s="456"/>
      <c r="AM277" s="456"/>
      <c r="AN277" s="456"/>
      <c r="AO277" s="456"/>
      <c r="AP277" s="456"/>
      <c r="AQ277" s="456"/>
      <c r="AR277" s="458"/>
      <c r="AS277" s="459"/>
      <c r="AT277" s="459"/>
      <c r="AU277" s="459"/>
      <c r="AV277" s="478"/>
      <c r="AW277" s="456"/>
      <c r="AX277" s="456"/>
      <c r="AY277" s="456"/>
      <c r="AZ277" s="456"/>
      <c r="BA277" s="456"/>
      <c r="BB277" s="456"/>
      <c r="BC277" s="456"/>
    </row>
    <row r="278" spans="8:55">
      <c r="H278" s="455"/>
      <c r="I278" s="455"/>
      <c r="J278" s="455"/>
      <c r="K278" s="456"/>
      <c r="L278" s="455"/>
      <c r="M278" s="455"/>
      <c r="N278" s="455"/>
      <c r="O278" s="455"/>
      <c r="P278" s="456"/>
      <c r="Q278" s="456"/>
      <c r="R278" s="457"/>
      <c r="S278" s="456"/>
      <c r="T278" s="455"/>
      <c r="U278" s="455"/>
      <c r="V278" s="455"/>
      <c r="W278" s="456"/>
      <c r="X278" s="455"/>
      <c r="Y278" s="455"/>
      <c r="Z278" s="455"/>
      <c r="AA278" s="455"/>
      <c r="AB278" s="456"/>
      <c r="AC278" s="455"/>
      <c r="AD278" s="455"/>
      <c r="AE278" s="455"/>
      <c r="AF278" s="455"/>
      <c r="AG278" s="455"/>
      <c r="AH278" s="455"/>
      <c r="AI278" s="455"/>
      <c r="AJ278" s="456"/>
      <c r="AK278" s="456"/>
      <c r="AL278" s="456"/>
      <c r="AM278" s="456"/>
      <c r="AN278" s="456"/>
      <c r="AO278" s="456"/>
      <c r="AP278" s="456"/>
      <c r="AQ278" s="456"/>
      <c r="AR278" s="458"/>
      <c r="AS278" s="459"/>
      <c r="AT278" s="459"/>
      <c r="AU278" s="459"/>
      <c r="AV278" s="478"/>
      <c r="AW278" s="456"/>
      <c r="AX278" s="456"/>
      <c r="AY278" s="456"/>
      <c r="AZ278" s="456"/>
      <c r="BA278" s="456"/>
      <c r="BB278" s="456"/>
      <c r="BC278" s="456"/>
    </row>
    <row r="279" spans="8:55">
      <c r="H279" s="455"/>
      <c r="I279" s="455"/>
      <c r="J279" s="455"/>
      <c r="K279" s="456"/>
      <c r="L279" s="455"/>
      <c r="M279" s="455"/>
      <c r="N279" s="455"/>
      <c r="O279" s="455"/>
      <c r="P279" s="456"/>
      <c r="Q279" s="456"/>
      <c r="R279" s="457"/>
      <c r="S279" s="456"/>
      <c r="T279" s="455"/>
      <c r="U279" s="455"/>
      <c r="V279" s="455"/>
      <c r="W279" s="456"/>
      <c r="X279" s="455"/>
      <c r="Y279" s="455"/>
      <c r="Z279" s="455"/>
      <c r="AA279" s="455"/>
      <c r="AB279" s="456"/>
      <c r="AC279" s="455"/>
      <c r="AD279" s="455"/>
      <c r="AE279" s="455"/>
      <c r="AF279" s="455"/>
      <c r="AG279" s="455"/>
      <c r="AH279" s="455"/>
      <c r="AI279" s="455"/>
      <c r="AJ279" s="456"/>
      <c r="AK279" s="456"/>
      <c r="AL279" s="456"/>
      <c r="AM279" s="456"/>
      <c r="AN279" s="456"/>
      <c r="AO279" s="456"/>
      <c r="AP279" s="456"/>
      <c r="AQ279" s="456"/>
      <c r="AR279" s="458"/>
      <c r="AS279" s="459"/>
      <c r="AT279" s="459"/>
      <c r="AU279" s="459"/>
      <c r="AV279" s="478"/>
      <c r="AW279" s="456"/>
      <c r="AX279" s="456"/>
      <c r="AY279" s="456"/>
      <c r="AZ279" s="456"/>
      <c r="BA279" s="456"/>
      <c r="BB279" s="456"/>
      <c r="BC279" s="456"/>
    </row>
    <row r="280" spans="8:55">
      <c r="H280" s="455"/>
      <c r="I280" s="455"/>
      <c r="J280" s="455"/>
      <c r="K280" s="456"/>
      <c r="L280" s="455"/>
      <c r="M280" s="455"/>
      <c r="N280" s="455"/>
      <c r="O280" s="455"/>
      <c r="P280" s="456"/>
      <c r="Q280" s="456"/>
      <c r="R280" s="457"/>
      <c r="S280" s="456"/>
      <c r="T280" s="455"/>
      <c r="U280" s="455"/>
      <c r="V280" s="455"/>
      <c r="W280" s="456"/>
      <c r="X280" s="455"/>
      <c r="Y280" s="455"/>
      <c r="Z280" s="455"/>
      <c r="AA280" s="455"/>
      <c r="AB280" s="456"/>
      <c r="AC280" s="455"/>
      <c r="AD280" s="455"/>
      <c r="AE280" s="455"/>
      <c r="AF280" s="455"/>
      <c r="AG280" s="455"/>
      <c r="AH280" s="455"/>
      <c r="AI280" s="455"/>
      <c r="AJ280" s="456"/>
      <c r="AK280" s="456"/>
      <c r="AL280" s="456"/>
      <c r="AM280" s="456"/>
      <c r="AN280" s="456"/>
      <c r="AO280" s="456"/>
      <c r="AP280" s="456"/>
      <c r="AQ280" s="456"/>
      <c r="AR280" s="458"/>
      <c r="AS280" s="459"/>
      <c r="AT280" s="459"/>
      <c r="AU280" s="459"/>
      <c r="AV280" s="478"/>
      <c r="AW280" s="456"/>
      <c r="AX280" s="456"/>
      <c r="AY280" s="456"/>
      <c r="AZ280" s="456"/>
      <c r="BA280" s="456"/>
      <c r="BB280" s="456"/>
      <c r="BC280" s="456"/>
    </row>
    <row r="281" spans="8:55">
      <c r="H281" s="455"/>
      <c r="I281" s="455"/>
      <c r="J281" s="455"/>
      <c r="K281" s="456"/>
      <c r="L281" s="455"/>
      <c r="M281" s="455"/>
      <c r="N281" s="455"/>
      <c r="O281" s="455"/>
      <c r="P281" s="456"/>
      <c r="Q281" s="456"/>
      <c r="R281" s="457"/>
      <c r="S281" s="456"/>
      <c r="T281" s="455"/>
      <c r="U281" s="455"/>
      <c r="V281" s="455"/>
      <c r="W281" s="456"/>
      <c r="X281" s="455"/>
      <c r="Y281" s="455"/>
      <c r="Z281" s="455"/>
      <c r="AA281" s="455"/>
      <c r="AB281" s="456"/>
      <c r="AC281" s="455"/>
      <c r="AD281" s="455"/>
      <c r="AE281" s="455"/>
      <c r="AF281" s="455"/>
      <c r="AG281" s="455"/>
      <c r="AH281" s="455"/>
      <c r="AI281" s="455"/>
      <c r="AJ281" s="456"/>
      <c r="AK281" s="456"/>
      <c r="AL281" s="456"/>
      <c r="AM281" s="456"/>
      <c r="AN281" s="456"/>
      <c r="AO281" s="456"/>
      <c r="AP281" s="456"/>
      <c r="AQ281" s="456"/>
      <c r="AR281" s="458"/>
      <c r="AS281" s="459"/>
      <c r="AT281" s="459"/>
      <c r="AU281" s="459"/>
      <c r="AV281" s="478"/>
      <c r="AW281" s="456"/>
      <c r="AX281" s="456"/>
      <c r="AY281" s="456"/>
      <c r="AZ281" s="456"/>
      <c r="BA281" s="456"/>
      <c r="BB281" s="456"/>
      <c r="BC281" s="456"/>
    </row>
    <row r="282" spans="8:55">
      <c r="H282" s="455"/>
      <c r="I282" s="455"/>
      <c r="J282" s="455"/>
      <c r="K282" s="456"/>
      <c r="L282" s="455"/>
      <c r="M282" s="455"/>
      <c r="N282" s="455"/>
      <c r="O282" s="455"/>
      <c r="P282" s="456"/>
      <c r="Q282" s="456"/>
      <c r="R282" s="457"/>
      <c r="S282" s="456"/>
      <c r="T282" s="455"/>
      <c r="U282" s="455"/>
      <c r="V282" s="455"/>
      <c r="W282" s="456"/>
      <c r="X282" s="455"/>
      <c r="Y282" s="455"/>
      <c r="Z282" s="455"/>
      <c r="AA282" s="455"/>
      <c r="AB282" s="456"/>
      <c r="AC282" s="455"/>
      <c r="AD282" s="455"/>
      <c r="AE282" s="455"/>
      <c r="AF282" s="455"/>
      <c r="AG282" s="455"/>
      <c r="AH282" s="455"/>
      <c r="AI282" s="455"/>
      <c r="AJ282" s="456"/>
      <c r="AK282" s="456"/>
      <c r="AL282" s="456"/>
      <c r="AM282" s="456"/>
      <c r="AN282" s="456"/>
      <c r="AO282" s="456"/>
      <c r="AP282" s="456"/>
      <c r="AQ282" s="456"/>
      <c r="AR282" s="458"/>
      <c r="AS282" s="459"/>
      <c r="AT282" s="459"/>
      <c r="AU282" s="459"/>
      <c r="AV282" s="478"/>
      <c r="AW282" s="456"/>
      <c r="AX282" s="456"/>
      <c r="AY282" s="456"/>
      <c r="AZ282" s="456"/>
      <c r="BA282" s="456"/>
      <c r="BB282" s="456"/>
      <c r="BC282" s="456"/>
    </row>
    <row r="283" spans="8:55">
      <c r="H283" s="455"/>
      <c r="I283" s="455"/>
      <c r="J283" s="455"/>
      <c r="K283" s="456"/>
      <c r="L283" s="455"/>
      <c r="M283" s="455"/>
      <c r="N283" s="455"/>
      <c r="O283" s="455"/>
      <c r="P283" s="456"/>
      <c r="Q283" s="456"/>
      <c r="R283" s="457"/>
      <c r="S283" s="456"/>
      <c r="T283" s="455"/>
      <c r="U283" s="455"/>
      <c r="V283" s="455"/>
      <c r="W283" s="456"/>
      <c r="X283" s="455"/>
      <c r="Y283" s="455"/>
      <c r="Z283" s="455"/>
      <c r="AA283" s="455"/>
      <c r="AB283" s="456"/>
      <c r="AC283" s="455"/>
      <c r="AD283" s="455"/>
      <c r="AE283" s="455"/>
      <c r="AF283" s="455"/>
      <c r="AG283" s="455"/>
      <c r="AH283" s="455"/>
      <c r="AI283" s="455"/>
      <c r="AJ283" s="456"/>
      <c r="AK283" s="456"/>
      <c r="AL283" s="456"/>
      <c r="AM283" s="456"/>
      <c r="AN283" s="456"/>
      <c r="AO283" s="456"/>
      <c r="AP283" s="456"/>
      <c r="AQ283" s="456"/>
      <c r="AR283" s="458"/>
      <c r="AS283" s="459"/>
      <c r="AT283" s="459"/>
      <c r="AU283" s="459"/>
      <c r="AV283" s="478"/>
      <c r="AW283" s="456"/>
      <c r="AX283" s="456"/>
      <c r="AY283" s="456"/>
      <c r="AZ283" s="456"/>
      <c r="BA283" s="456"/>
      <c r="BB283" s="456"/>
      <c r="BC283" s="456"/>
    </row>
    <row r="284" spans="8:55">
      <c r="H284" s="455"/>
      <c r="I284" s="455"/>
      <c r="J284" s="455"/>
      <c r="K284" s="456"/>
      <c r="L284" s="455"/>
      <c r="M284" s="455"/>
      <c r="N284" s="455"/>
      <c r="O284" s="455"/>
      <c r="P284" s="456"/>
      <c r="Q284" s="456"/>
      <c r="R284" s="457"/>
      <c r="S284" s="456"/>
      <c r="T284" s="455"/>
      <c r="U284" s="455"/>
      <c r="V284" s="455"/>
      <c r="W284" s="456"/>
      <c r="X284" s="455"/>
      <c r="Y284" s="455"/>
      <c r="Z284" s="455"/>
      <c r="AA284" s="455"/>
      <c r="AB284" s="456"/>
      <c r="AC284" s="455"/>
      <c r="AD284" s="455"/>
      <c r="AE284" s="455"/>
      <c r="AF284" s="455"/>
      <c r="AG284" s="455"/>
      <c r="AH284" s="455"/>
      <c r="AI284" s="455"/>
      <c r="AJ284" s="456"/>
      <c r="AK284" s="456"/>
      <c r="AL284" s="456"/>
      <c r="AM284" s="456"/>
      <c r="AN284" s="456"/>
      <c r="AO284" s="456"/>
      <c r="AP284" s="456"/>
      <c r="AQ284" s="456"/>
      <c r="AR284" s="458"/>
      <c r="AS284" s="459"/>
      <c r="AT284" s="459"/>
      <c r="AU284" s="459"/>
      <c r="AV284" s="478"/>
      <c r="AW284" s="456"/>
      <c r="AX284" s="456"/>
      <c r="AY284" s="456"/>
      <c r="AZ284" s="456"/>
      <c r="BA284" s="456"/>
      <c r="BB284" s="456"/>
      <c r="BC284" s="456"/>
    </row>
    <row r="285" spans="8:55">
      <c r="H285" s="455"/>
      <c r="I285" s="455"/>
      <c r="J285" s="455"/>
      <c r="K285" s="456"/>
      <c r="L285" s="455"/>
      <c r="M285" s="455"/>
      <c r="N285" s="455"/>
      <c r="O285" s="455"/>
      <c r="P285" s="456"/>
      <c r="Q285" s="456"/>
      <c r="R285" s="457"/>
      <c r="S285" s="456"/>
      <c r="T285" s="455"/>
      <c r="U285" s="455"/>
      <c r="V285" s="455"/>
      <c r="W285" s="456"/>
      <c r="X285" s="455"/>
      <c r="Y285" s="455"/>
      <c r="Z285" s="455"/>
      <c r="AA285" s="455"/>
      <c r="AB285" s="456"/>
      <c r="AC285" s="455"/>
      <c r="AD285" s="455"/>
      <c r="AE285" s="455"/>
      <c r="AF285" s="455"/>
      <c r="AG285" s="455"/>
      <c r="AH285" s="455"/>
      <c r="AI285" s="455"/>
      <c r="AJ285" s="456"/>
      <c r="AK285" s="456"/>
      <c r="AL285" s="456"/>
      <c r="AM285" s="456"/>
      <c r="AN285" s="456"/>
      <c r="AO285" s="456"/>
      <c r="AP285" s="456"/>
      <c r="AQ285" s="456"/>
      <c r="AR285" s="458"/>
      <c r="AS285" s="459"/>
      <c r="AT285" s="459"/>
      <c r="AU285" s="459"/>
      <c r="AV285" s="478"/>
      <c r="AW285" s="456"/>
      <c r="AX285" s="456"/>
      <c r="AY285" s="456"/>
      <c r="AZ285" s="456"/>
      <c r="BA285" s="456"/>
      <c r="BB285" s="456"/>
      <c r="BC285" s="456"/>
    </row>
    <row r="286" spans="8:55">
      <c r="H286" s="455"/>
      <c r="I286" s="455"/>
      <c r="J286" s="455"/>
      <c r="K286" s="456"/>
      <c r="L286" s="455"/>
      <c r="M286" s="455"/>
      <c r="N286" s="455"/>
      <c r="O286" s="455"/>
      <c r="P286" s="456"/>
      <c r="Q286" s="456"/>
      <c r="R286" s="457"/>
      <c r="S286" s="456"/>
      <c r="T286" s="455"/>
      <c r="U286" s="455"/>
      <c r="V286" s="455"/>
      <c r="W286" s="456"/>
      <c r="X286" s="455"/>
      <c r="Y286" s="455"/>
      <c r="Z286" s="455"/>
      <c r="AA286" s="455"/>
      <c r="AB286" s="456"/>
      <c r="AC286" s="455"/>
      <c r="AD286" s="455"/>
      <c r="AE286" s="455"/>
      <c r="AF286" s="455"/>
      <c r="AG286" s="455"/>
      <c r="AH286" s="455"/>
      <c r="AI286" s="455"/>
      <c r="AJ286" s="456"/>
      <c r="AK286" s="456"/>
      <c r="AL286" s="456"/>
      <c r="AM286" s="456"/>
      <c r="AN286" s="456"/>
      <c r="AO286" s="456"/>
      <c r="AP286" s="456"/>
      <c r="AQ286" s="456"/>
      <c r="AR286" s="458"/>
      <c r="AS286" s="459"/>
      <c r="AT286" s="459"/>
      <c r="AU286" s="459"/>
      <c r="AV286" s="478"/>
      <c r="AW286" s="456"/>
      <c r="AX286" s="456"/>
      <c r="AY286" s="456"/>
      <c r="AZ286" s="456"/>
      <c r="BA286" s="456"/>
      <c r="BB286" s="456"/>
      <c r="BC286" s="456"/>
    </row>
    <row r="287" spans="8:55">
      <c r="H287" s="455"/>
      <c r="I287" s="455"/>
      <c r="J287" s="455"/>
      <c r="K287" s="456"/>
      <c r="L287" s="455"/>
      <c r="M287" s="455"/>
      <c r="N287" s="455"/>
      <c r="O287" s="455"/>
      <c r="P287" s="456"/>
      <c r="Q287" s="456"/>
      <c r="R287" s="457"/>
      <c r="S287" s="456"/>
      <c r="T287" s="455"/>
      <c r="U287" s="455"/>
      <c r="V287" s="455"/>
      <c r="W287" s="456"/>
      <c r="X287" s="455"/>
      <c r="Y287" s="455"/>
      <c r="Z287" s="455"/>
      <c r="AA287" s="455"/>
      <c r="AB287" s="456"/>
      <c r="AC287" s="455"/>
      <c r="AD287" s="455"/>
      <c r="AE287" s="455"/>
      <c r="AF287" s="455"/>
      <c r="AG287" s="455"/>
      <c r="AH287" s="455"/>
      <c r="AI287" s="455"/>
      <c r="AJ287" s="456"/>
      <c r="AK287" s="456"/>
      <c r="AL287" s="456"/>
      <c r="AM287" s="456"/>
      <c r="AN287" s="456"/>
      <c r="AO287" s="456"/>
      <c r="AP287" s="456"/>
      <c r="AQ287" s="456"/>
      <c r="AR287" s="458"/>
      <c r="AS287" s="459"/>
      <c r="AT287" s="459"/>
      <c r="AU287" s="459"/>
      <c r="AV287" s="478"/>
      <c r="AW287" s="456"/>
      <c r="AX287" s="456"/>
      <c r="AY287" s="456"/>
      <c r="AZ287" s="456"/>
      <c r="BA287" s="456"/>
      <c r="BB287" s="456"/>
      <c r="BC287" s="456"/>
    </row>
    <row r="288" spans="8:55">
      <c r="H288" s="455"/>
      <c r="I288" s="455"/>
      <c r="J288" s="455"/>
      <c r="K288" s="456"/>
      <c r="L288" s="455"/>
      <c r="M288" s="455"/>
      <c r="N288" s="455"/>
      <c r="O288" s="455"/>
      <c r="P288" s="456"/>
      <c r="Q288" s="456"/>
      <c r="R288" s="457"/>
      <c r="S288" s="456"/>
      <c r="T288" s="455"/>
      <c r="U288" s="455"/>
      <c r="V288" s="455"/>
      <c r="W288" s="456"/>
      <c r="X288" s="455"/>
      <c r="Y288" s="455"/>
      <c r="Z288" s="455"/>
      <c r="AA288" s="455"/>
      <c r="AB288" s="456"/>
      <c r="AC288" s="455"/>
      <c r="AD288" s="455"/>
      <c r="AE288" s="455"/>
      <c r="AF288" s="455"/>
      <c r="AG288" s="455"/>
      <c r="AH288" s="455"/>
      <c r="AI288" s="455"/>
      <c r="AJ288" s="456"/>
      <c r="AK288" s="456"/>
      <c r="AL288" s="456"/>
      <c r="AM288" s="456"/>
      <c r="AN288" s="456"/>
      <c r="AO288" s="456"/>
      <c r="AP288" s="456"/>
      <c r="AQ288" s="456"/>
      <c r="AR288" s="458"/>
      <c r="AS288" s="459"/>
      <c r="AT288" s="459"/>
      <c r="AU288" s="459"/>
      <c r="AV288" s="478"/>
      <c r="AW288" s="456"/>
      <c r="AX288" s="456"/>
      <c r="AY288" s="456"/>
      <c r="AZ288" s="456"/>
      <c r="BA288" s="456"/>
      <c r="BB288" s="456"/>
      <c r="BC288" s="456"/>
    </row>
    <row r="289" spans="8:55">
      <c r="H289" s="455"/>
      <c r="I289" s="455"/>
      <c r="J289" s="455"/>
      <c r="K289" s="456"/>
      <c r="L289" s="455"/>
      <c r="M289" s="455"/>
      <c r="N289" s="455"/>
      <c r="O289" s="455"/>
      <c r="P289" s="456"/>
      <c r="Q289" s="456"/>
      <c r="R289" s="457"/>
      <c r="S289" s="456"/>
      <c r="T289" s="455"/>
      <c r="U289" s="455"/>
      <c r="V289" s="455"/>
      <c r="W289" s="456"/>
      <c r="X289" s="455"/>
      <c r="Y289" s="455"/>
      <c r="Z289" s="455"/>
      <c r="AA289" s="455"/>
      <c r="AB289" s="456"/>
      <c r="AC289" s="455"/>
      <c r="AD289" s="455"/>
      <c r="AE289" s="455"/>
      <c r="AF289" s="455"/>
      <c r="AG289" s="455"/>
      <c r="AH289" s="455"/>
      <c r="AI289" s="455"/>
      <c r="AJ289" s="456"/>
      <c r="AK289" s="456"/>
      <c r="AL289" s="456"/>
      <c r="AM289" s="456"/>
      <c r="AN289" s="456"/>
      <c r="AO289" s="456"/>
      <c r="AP289" s="456"/>
      <c r="AQ289" s="456"/>
      <c r="AR289" s="458"/>
      <c r="AS289" s="459"/>
      <c r="AT289" s="459"/>
      <c r="AU289" s="459"/>
      <c r="AV289" s="478"/>
      <c r="AW289" s="456"/>
      <c r="AX289" s="456"/>
      <c r="AY289" s="456"/>
      <c r="AZ289" s="456"/>
      <c r="BA289" s="456"/>
      <c r="BB289" s="456"/>
      <c r="BC289" s="456"/>
    </row>
    <row r="290" spans="8:55">
      <c r="H290" s="455"/>
      <c r="I290" s="455"/>
      <c r="J290" s="455"/>
      <c r="K290" s="456"/>
      <c r="L290" s="455"/>
      <c r="M290" s="455"/>
      <c r="N290" s="455"/>
      <c r="O290" s="455"/>
      <c r="P290" s="456"/>
      <c r="Q290" s="456"/>
      <c r="R290" s="457"/>
      <c r="S290" s="456"/>
      <c r="T290" s="455"/>
      <c r="U290" s="455"/>
      <c r="V290" s="455"/>
      <c r="W290" s="456"/>
      <c r="X290" s="455"/>
      <c r="Y290" s="455"/>
      <c r="Z290" s="455"/>
      <c r="AA290" s="455"/>
      <c r="AB290" s="456"/>
      <c r="AC290" s="455"/>
      <c r="AD290" s="455"/>
      <c r="AE290" s="455"/>
      <c r="AF290" s="455"/>
      <c r="AG290" s="455"/>
      <c r="AH290" s="455"/>
      <c r="AI290" s="455"/>
      <c r="AJ290" s="456"/>
      <c r="AK290" s="456"/>
      <c r="AL290" s="456"/>
      <c r="AM290" s="456"/>
      <c r="AN290" s="456"/>
      <c r="AO290" s="456"/>
      <c r="AP290" s="456"/>
      <c r="AQ290" s="456"/>
      <c r="AR290" s="458"/>
      <c r="AS290" s="459"/>
      <c r="AT290" s="459"/>
      <c r="AU290" s="459"/>
      <c r="AV290" s="478"/>
      <c r="AW290" s="456"/>
      <c r="AX290" s="456"/>
      <c r="AY290" s="456"/>
      <c r="AZ290" s="456"/>
      <c r="BA290" s="456"/>
      <c r="BB290" s="456"/>
      <c r="BC290" s="456"/>
    </row>
    <row r="291" spans="8:55">
      <c r="H291" s="455"/>
      <c r="I291" s="455"/>
      <c r="J291" s="455"/>
      <c r="K291" s="456"/>
      <c r="L291" s="455"/>
      <c r="M291" s="455"/>
      <c r="N291" s="455"/>
      <c r="O291" s="455"/>
      <c r="P291" s="456"/>
      <c r="Q291" s="456"/>
      <c r="R291" s="457"/>
      <c r="S291" s="456"/>
      <c r="T291" s="455"/>
      <c r="U291" s="455"/>
      <c r="V291" s="455"/>
      <c r="W291" s="456"/>
      <c r="X291" s="455"/>
      <c r="Y291" s="455"/>
      <c r="Z291" s="455"/>
      <c r="AA291" s="455"/>
      <c r="AB291" s="456"/>
      <c r="AC291" s="455"/>
      <c r="AD291" s="455"/>
      <c r="AE291" s="455"/>
      <c r="AF291" s="455"/>
      <c r="AG291" s="455"/>
      <c r="AH291" s="455"/>
      <c r="AI291" s="455"/>
      <c r="AJ291" s="456"/>
      <c r="AK291" s="456"/>
      <c r="AL291" s="456"/>
      <c r="AM291" s="456"/>
      <c r="AN291" s="456"/>
      <c r="AO291" s="456"/>
      <c r="AP291" s="456"/>
      <c r="AQ291" s="456"/>
      <c r="AR291" s="458"/>
      <c r="AS291" s="459"/>
      <c r="AT291" s="459"/>
      <c r="AU291" s="459"/>
      <c r="AV291" s="478"/>
      <c r="AW291" s="456"/>
      <c r="AX291" s="456"/>
      <c r="AY291" s="456"/>
      <c r="AZ291" s="456"/>
      <c r="BA291" s="456"/>
      <c r="BB291" s="456"/>
      <c r="BC291" s="456"/>
    </row>
    <row r="292" spans="8:55">
      <c r="H292" s="455"/>
      <c r="I292" s="455"/>
      <c r="J292" s="455"/>
      <c r="K292" s="456"/>
      <c r="L292" s="455"/>
      <c r="M292" s="455"/>
      <c r="N292" s="455"/>
      <c r="O292" s="455"/>
      <c r="P292" s="456"/>
      <c r="Q292" s="456"/>
      <c r="R292" s="457"/>
      <c r="S292" s="456"/>
      <c r="T292" s="455"/>
      <c r="U292" s="455"/>
      <c r="V292" s="455"/>
      <c r="W292" s="456"/>
      <c r="X292" s="455"/>
      <c r="Y292" s="455"/>
      <c r="Z292" s="455"/>
      <c r="AA292" s="455"/>
      <c r="AB292" s="456"/>
      <c r="AC292" s="455"/>
      <c r="AD292" s="455"/>
      <c r="AE292" s="455"/>
      <c r="AF292" s="455"/>
      <c r="AG292" s="455"/>
      <c r="AH292" s="455"/>
      <c r="AI292" s="455"/>
      <c r="AJ292" s="456"/>
      <c r="AK292" s="456"/>
      <c r="AL292" s="456"/>
      <c r="AM292" s="456"/>
      <c r="AN292" s="456"/>
      <c r="AO292" s="456"/>
      <c r="AP292" s="456"/>
      <c r="AQ292" s="456"/>
      <c r="AR292" s="458"/>
      <c r="AS292" s="459"/>
      <c r="AT292" s="459"/>
      <c r="AU292" s="459"/>
      <c r="AV292" s="478"/>
      <c r="AW292" s="456"/>
      <c r="AX292" s="456"/>
      <c r="AY292" s="456"/>
      <c r="AZ292" s="456"/>
      <c r="BA292" s="456"/>
      <c r="BB292" s="456"/>
      <c r="BC292" s="456"/>
    </row>
    <row r="293" spans="8:55">
      <c r="H293" s="455"/>
      <c r="I293" s="455"/>
      <c r="J293" s="455"/>
      <c r="K293" s="456"/>
      <c r="L293" s="455"/>
      <c r="M293" s="455"/>
      <c r="N293" s="455"/>
      <c r="O293" s="455"/>
      <c r="P293" s="456"/>
      <c r="Q293" s="456"/>
      <c r="R293" s="457"/>
      <c r="S293" s="456"/>
      <c r="T293" s="455"/>
      <c r="U293" s="455"/>
      <c r="V293" s="455"/>
      <c r="W293" s="456"/>
      <c r="X293" s="455"/>
      <c r="Y293" s="455"/>
      <c r="Z293" s="455"/>
      <c r="AA293" s="455"/>
      <c r="AB293" s="456"/>
      <c r="AC293" s="455"/>
      <c r="AD293" s="455"/>
      <c r="AE293" s="455"/>
      <c r="AF293" s="455"/>
      <c r="AG293" s="455"/>
      <c r="AH293" s="455"/>
      <c r="AI293" s="455"/>
      <c r="AJ293" s="456"/>
      <c r="AK293" s="456"/>
      <c r="AL293" s="456"/>
      <c r="AM293" s="456"/>
      <c r="AN293" s="456"/>
      <c r="AO293" s="456"/>
      <c r="AP293" s="456"/>
      <c r="AQ293" s="456"/>
      <c r="AR293" s="458"/>
      <c r="AS293" s="459"/>
      <c r="AT293" s="459"/>
      <c r="AU293" s="459"/>
      <c r="AV293" s="478"/>
      <c r="AW293" s="456"/>
      <c r="AX293" s="456"/>
      <c r="AY293" s="456"/>
      <c r="AZ293" s="456"/>
      <c r="BA293" s="456"/>
      <c r="BB293" s="456"/>
      <c r="BC293" s="456"/>
    </row>
    <row r="294" spans="8:55">
      <c r="H294" s="455"/>
      <c r="I294" s="455"/>
      <c r="J294" s="455"/>
      <c r="K294" s="456"/>
      <c r="L294" s="455"/>
      <c r="M294" s="455"/>
      <c r="N294" s="455"/>
      <c r="O294" s="455"/>
      <c r="P294" s="456"/>
      <c r="Q294" s="456"/>
      <c r="R294" s="457"/>
      <c r="S294" s="456"/>
      <c r="T294" s="455"/>
      <c r="U294" s="455"/>
      <c r="V294" s="455"/>
      <c r="W294" s="456"/>
      <c r="X294" s="455"/>
      <c r="Y294" s="455"/>
      <c r="Z294" s="455"/>
      <c r="AA294" s="455"/>
      <c r="AB294" s="456"/>
      <c r="AC294" s="455"/>
      <c r="AD294" s="455"/>
      <c r="AE294" s="455"/>
      <c r="AF294" s="455"/>
      <c r="AG294" s="455"/>
      <c r="AH294" s="455"/>
      <c r="AI294" s="455"/>
      <c r="AJ294" s="456"/>
      <c r="AK294" s="456"/>
      <c r="AL294" s="456"/>
      <c r="AM294" s="456"/>
      <c r="AN294" s="456"/>
      <c r="AO294" s="456"/>
      <c r="AP294" s="456"/>
      <c r="AQ294" s="456"/>
      <c r="AR294" s="458"/>
      <c r="AS294" s="459"/>
      <c r="AT294" s="459"/>
      <c r="AU294" s="459"/>
      <c r="AV294" s="478"/>
      <c r="AW294" s="456"/>
      <c r="AX294" s="456"/>
      <c r="AY294" s="456"/>
      <c r="AZ294" s="456"/>
      <c r="BA294" s="456"/>
      <c r="BB294" s="456"/>
      <c r="BC294" s="456"/>
    </row>
    <row r="295" spans="8:55">
      <c r="H295" s="455"/>
      <c r="I295" s="455"/>
      <c r="J295" s="455"/>
      <c r="K295" s="456"/>
      <c r="L295" s="455"/>
      <c r="M295" s="455"/>
      <c r="N295" s="455"/>
      <c r="O295" s="455"/>
      <c r="P295" s="456"/>
      <c r="Q295" s="456"/>
      <c r="R295" s="457"/>
      <c r="S295" s="456"/>
      <c r="T295" s="455"/>
      <c r="U295" s="455"/>
      <c r="V295" s="455"/>
      <c r="W295" s="456"/>
      <c r="X295" s="455"/>
      <c r="Y295" s="455"/>
      <c r="Z295" s="455"/>
      <c r="AA295" s="455"/>
      <c r="AB295" s="456"/>
      <c r="AC295" s="455"/>
      <c r="AD295" s="455"/>
      <c r="AE295" s="455"/>
      <c r="AF295" s="455"/>
      <c r="AG295" s="455"/>
      <c r="AH295" s="455"/>
      <c r="AI295" s="455"/>
      <c r="AJ295" s="456"/>
      <c r="AK295" s="456"/>
      <c r="AL295" s="456"/>
      <c r="AM295" s="456"/>
      <c r="AN295" s="456"/>
      <c r="AO295" s="456"/>
      <c r="AP295" s="456"/>
      <c r="AQ295" s="456"/>
      <c r="AR295" s="458"/>
      <c r="AS295" s="459"/>
      <c r="AT295" s="459"/>
      <c r="AU295" s="459"/>
      <c r="AV295" s="478"/>
      <c r="AW295" s="456"/>
      <c r="AX295" s="456"/>
      <c r="AY295" s="456"/>
      <c r="AZ295" s="456"/>
      <c r="BA295" s="456"/>
      <c r="BB295" s="456"/>
      <c r="BC295" s="456"/>
    </row>
    <row r="296" spans="8:55">
      <c r="H296" s="455"/>
      <c r="I296" s="455"/>
      <c r="J296" s="455"/>
      <c r="K296" s="456"/>
      <c r="L296" s="455"/>
      <c r="M296" s="455"/>
      <c r="N296" s="455"/>
      <c r="O296" s="455"/>
      <c r="P296" s="456"/>
      <c r="Q296" s="456"/>
      <c r="R296" s="457"/>
      <c r="S296" s="456"/>
      <c r="T296" s="455"/>
      <c r="U296" s="455"/>
      <c r="V296" s="455"/>
      <c r="W296" s="456"/>
      <c r="X296" s="455"/>
      <c r="Y296" s="455"/>
      <c r="Z296" s="455"/>
      <c r="AA296" s="455"/>
      <c r="AB296" s="456"/>
      <c r="AC296" s="455"/>
      <c r="AD296" s="455"/>
      <c r="AE296" s="455"/>
      <c r="AF296" s="455"/>
      <c r="AG296" s="455"/>
      <c r="AH296" s="455"/>
      <c r="AI296" s="455"/>
      <c r="AJ296" s="456"/>
      <c r="AK296" s="456"/>
      <c r="AL296" s="456"/>
      <c r="AM296" s="456"/>
      <c r="AN296" s="456"/>
      <c r="AO296" s="456"/>
      <c r="AP296" s="456"/>
      <c r="AQ296" s="456"/>
      <c r="AR296" s="458"/>
      <c r="AS296" s="459"/>
      <c r="AT296" s="459"/>
      <c r="AU296" s="459"/>
      <c r="AV296" s="478"/>
      <c r="AW296" s="456"/>
      <c r="AX296" s="456"/>
      <c r="AY296" s="456"/>
      <c r="AZ296" s="456"/>
      <c r="BA296" s="456"/>
      <c r="BB296" s="456"/>
      <c r="BC296" s="456"/>
    </row>
    <row r="297" spans="8:55">
      <c r="H297" s="455"/>
      <c r="I297" s="455"/>
      <c r="J297" s="455"/>
      <c r="K297" s="456"/>
      <c r="L297" s="455"/>
      <c r="M297" s="455"/>
      <c r="N297" s="455"/>
      <c r="O297" s="455"/>
      <c r="P297" s="456"/>
      <c r="Q297" s="456"/>
      <c r="R297" s="457"/>
      <c r="S297" s="456"/>
      <c r="T297" s="455"/>
      <c r="U297" s="455"/>
      <c r="V297" s="455"/>
      <c r="W297" s="456"/>
      <c r="X297" s="455"/>
      <c r="Y297" s="455"/>
      <c r="Z297" s="455"/>
      <c r="AA297" s="455"/>
      <c r="AB297" s="456"/>
      <c r="AC297" s="455"/>
      <c r="AD297" s="455"/>
      <c r="AE297" s="455"/>
      <c r="AF297" s="455"/>
      <c r="AG297" s="455"/>
      <c r="AH297" s="455"/>
      <c r="AI297" s="455"/>
      <c r="AJ297" s="456"/>
      <c r="AK297" s="456"/>
      <c r="AL297" s="456"/>
      <c r="AM297" s="456"/>
      <c r="AN297" s="456"/>
      <c r="AO297" s="456"/>
      <c r="AP297" s="456"/>
      <c r="AQ297" s="456"/>
      <c r="AR297" s="458"/>
      <c r="AS297" s="459"/>
      <c r="AT297" s="459"/>
      <c r="AU297" s="459"/>
      <c r="AV297" s="478"/>
      <c r="AW297" s="456"/>
      <c r="AX297" s="456"/>
      <c r="AY297" s="456"/>
      <c r="AZ297" s="456"/>
      <c r="BA297" s="456"/>
      <c r="BB297" s="456"/>
      <c r="BC297" s="456"/>
    </row>
    <row r="298" spans="8:55">
      <c r="H298" s="455"/>
      <c r="I298" s="455"/>
      <c r="J298" s="455"/>
      <c r="K298" s="456"/>
      <c r="L298" s="455"/>
      <c r="M298" s="455"/>
      <c r="N298" s="455"/>
      <c r="O298" s="455"/>
      <c r="P298" s="456"/>
      <c r="Q298" s="456"/>
      <c r="R298" s="457"/>
      <c r="S298" s="456"/>
      <c r="T298" s="455"/>
      <c r="U298" s="455"/>
      <c r="V298" s="455"/>
      <c r="W298" s="456"/>
      <c r="X298" s="455"/>
      <c r="Y298" s="455"/>
      <c r="Z298" s="455"/>
      <c r="AA298" s="455"/>
      <c r="AB298" s="456"/>
      <c r="AC298" s="455"/>
      <c r="AD298" s="455"/>
      <c r="AE298" s="455"/>
      <c r="AF298" s="455"/>
      <c r="AG298" s="455"/>
      <c r="AH298" s="455"/>
      <c r="AI298" s="455"/>
      <c r="AJ298" s="456"/>
      <c r="AK298" s="456"/>
      <c r="AL298" s="456"/>
      <c r="AM298" s="456"/>
      <c r="AN298" s="456"/>
      <c r="AO298" s="456"/>
      <c r="AP298" s="456"/>
      <c r="AQ298" s="456"/>
      <c r="AR298" s="458"/>
      <c r="AS298" s="459"/>
      <c r="AT298" s="459"/>
      <c r="AU298" s="459"/>
      <c r="AV298" s="478"/>
      <c r="AW298" s="456"/>
      <c r="AX298" s="456"/>
      <c r="AY298" s="456"/>
      <c r="AZ298" s="456"/>
      <c r="BA298" s="456"/>
      <c r="BB298" s="456"/>
      <c r="BC298" s="456"/>
    </row>
    <row r="299" spans="8:55">
      <c r="H299" s="455"/>
      <c r="I299" s="455"/>
      <c r="J299" s="455"/>
      <c r="K299" s="456"/>
      <c r="L299" s="455"/>
      <c r="M299" s="455"/>
      <c r="N299" s="455"/>
      <c r="O299" s="455"/>
      <c r="P299" s="456"/>
      <c r="Q299" s="456"/>
      <c r="R299" s="457"/>
      <c r="S299" s="456"/>
      <c r="T299" s="455"/>
      <c r="U299" s="455"/>
      <c r="V299" s="455"/>
      <c r="W299" s="456"/>
      <c r="X299" s="455"/>
      <c r="Y299" s="455"/>
      <c r="Z299" s="455"/>
      <c r="AA299" s="455"/>
      <c r="AB299" s="456"/>
      <c r="AC299" s="455"/>
      <c r="AD299" s="455"/>
      <c r="AE299" s="455"/>
      <c r="AF299" s="455"/>
      <c r="AG299" s="455"/>
      <c r="AH299" s="455"/>
      <c r="AI299" s="455"/>
      <c r="AJ299" s="456"/>
      <c r="AK299" s="456"/>
      <c r="AL299" s="456"/>
      <c r="AM299" s="456"/>
      <c r="AN299" s="456"/>
      <c r="AO299" s="456"/>
      <c r="AP299" s="456"/>
      <c r="AQ299" s="456"/>
      <c r="AR299" s="458"/>
      <c r="AS299" s="459"/>
      <c r="AT299" s="459"/>
      <c r="AU299" s="459"/>
      <c r="AV299" s="478"/>
      <c r="AW299" s="456"/>
      <c r="AX299" s="456"/>
      <c r="AY299" s="456"/>
      <c r="AZ299" s="456"/>
      <c r="BA299" s="456"/>
      <c r="BB299" s="456"/>
      <c r="BC299" s="456"/>
    </row>
    <row r="300" spans="8:55">
      <c r="H300" s="455"/>
      <c r="I300" s="455"/>
      <c r="J300" s="455"/>
      <c r="K300" s="456"/>
      <c r="L300" s="455"/>
      <c r="M300" s="455"/>
      <c r="N300" s="455"/>
      <c r="O300" s="455"/>
      <c r="P300" s="456"/>
      <c r="Q300" s="456"/>
      <c r="R300" s="457"/>
      <c r="S300" s="456"/>
      <c r="T300" s="455"/>
      <c r="U300" s="455"/>
      <c r="V300" s="455"/>
      <c r="W300" s="456"/>
      <c r="X300" s="455"/>
      <c r="Y300" s="455"/>
      <c r="Z300" s="455"/>
      <c r="AA300" s="455"/>
      <c r="AB300" s="456"/>
      <c r="AC300" s="455"/>
      <c r="AD300" s="455"/>
      <c r="AE300" s="455"/>
      <c r="AF300" s="455"/>
      <c r="AG300" s="455"/>
      <c r="AH300" s="455"/>
      <c r="AI300" s="455"/>
      <c r="AJ300" s="456"/>
      <c r="AK300" s="456"/>
      <c r="AL300" s="456"/>
      <c r="AM300" s="456"/>
      <c r="AN300" s="456"/>
      <c r="AO300" s="456"/>
      <c r="AP300" s="456"/>
      <c r="AQ300" s="456"/>
      <c r="AR300" s="458"/>
      <c r="AS300" s="459"/>
      <c r="AT300" s="459"/>
      <c r="AU300" s="459"/>
      <c r="AV300" s="478"/>
      <c r="AW300" s="456"/>
      <c r="AX300" s="456"/>
      <c r="AY300" s="456"/>
      <c r="AZ300" s="456"/>
      <c r="BA300" s="456"/>
      <c r="BB300" s="456"/>
      <c r="BC300" s="456"/>
    </row>
    <row r="301" spans="8:55">
      <c r="H301" s="455"/>
      <c r="I301" s="455"/>
      <c r="J301" s="455"/>
      <c r="K301" s="456"/>
      <c r="L301" s="455"/>
      <c r="M301" s="455"/>
      <c r="N301" s="455"/>
      <c r="O301" s="455"/>
      <c r="P301" s="456"/>
      <c r="Q301" s="456"/>
      <c r="R301" s="457"/>
      <c r="S301" s="456"/>
      <c r="T301" s="455"/>
      <c r="U301" s="455"/>
      <c r="V301" s="455"/>
      <c r="W301" s="456"/>
      <c r="X301" s="455"/>
      <c r="Y301" s="455"/>
      <c r="Z301" s="455"/>
      <c r="AA301" s="455"/>
      <c r="AB301" s="456"/>
      <c r="AC301" s="455"/>
      <c r="AD301" s="455"/>
      <c r="AE301" s="455"/>
      <c r="AF301" s="455"/>
      <c r="AG301" s="455"/>
      <c r="AH301" s="455"/>
      <c r="AI301" s="455"/>
      <c r="AJ301" s="456"/>
      <c r="AK301" s="456"/>
      <c r="AL301" s="456"/>
      <c r="AM301" s="456"/>
      <c r="AN301" s="456"/>
      <c r="AO301" s="456"/>
      <c r="AP301" s="456"/>
      <c r="AQ301" s="456"/>
      <c r="AR301" s="458"/>
      <c r="AS301" s="459"/>
      <c r="AT301" s="459"/>
      <c r="AU301" s="459"/>
      <c r="AV301" s="478"/>
      <c r="AW301" s="456"/>
      <c r="AX301" s="456"/>
      <c r="AY301" s="456"/>
      <c r="AZ301" s="456"/>
      <c r="BA301" s="456"/>
      <c r="BB301" s="456"/>
      <c r="BC301" s="456"/>
    </row>
    <row r="302" spans="8:55">
      <c r="H302" s="455"/>
      <c r="I302" s="455"/>
      <c r="J302" s="455"/>
      <c r="K302" s="456"/>
      <c r="L302" s="455"/>
      <c r="M302" s="455"/>
      <c r="N302" s="455"/>
      <c r="O302" s="455"/>
      <c r="P302" s="456"/>
      <c r="Q302" s="456"/>
      <c r="R302" s="457"/>
      <c r="S302" s="456"/>
      <c r="T302" s="455"/>
      <c r="U302" s="455"/>
      <c r="V302" s="455"/>
      <c r="W302" s="456"/>
      <c r="X302" s="455"/>
      <c r="Y302" s="455"/>
      <c r="Z302" s="455"/>
      <c r="AA302" s="455"/>
      <c r="AB302" s="456"/>
      <c r="AC302" s="455"/>
      <c r="AD302" s="455"/>
      <c r="AE302" s="455"/>
      <c r="AF302" s="455"/>
      <c r="AG302" s="455"/>
      <c r="AH302" s="455"/>
      <c r="AI302" s="455"/>
      <c r="AJ302" s="456"/>
      <c r="AK302" s="456"/>
      <c r="AL302" s="456"/>
      <c r="AM302" s="456"/>
      <c r="AN302" s="456"/>
      <c r="AO302" s="456"/>
      <c r="AP302" s="456"/>
      <c r="AQ302" s="456"/>
      <c r="AR302" s="458"/>
      <c r="AS302" s="459"/>
      <c r="AT302" s="459"/>
      <c r="AU302" s="459"/>
      <c r="AV302" s="478"/>
      <c r="AW302" s="456"/>
      <c r="AX302" s="456"/>
      <c r="AY302" s="456"/>
      <c r="AZ302" s="456"/>
      <c r="BA302" s="456"/>
      <c r="BB302" s="456"/>
      <c r="BC302" s="456"/>
    </row>
    <row r="303" spans="8:55">
      <c r="H303" s="455"/>
      <c r="I303" s="455"/>
      <c r="J303" s="455"/>
      <c r="K303" s="456"/>
      <c r="L303" s="455"/>
      <c r="M303" s="455"/>
      <c r="N303" s="455"/>
      <c r="O303" s="455"/>
      <c r="P303" s="456"/>
      <c r="Q303" s="456"/>
      <c r="R303" s="457"/>
      <c r="S303" s="456"/>
      <c r="T303" s="455"/>
      <c r="U303" s="455"/>
      <c r="V303" s="455"/>
      <c r="W303" s="456"/>
      <c r="X303" s="455"/>
      <c r="Y303" s="455"/>
      <c r="Z303" s="455"/>
      <c r="AA303" s="455"/>
      <c r="AB303" s="456"/>
      <c r="AC303" s="455"/>
      <c r="AD303" s="455"/>
      <c r="AE303" s="455"/>
      <c r="AF303" s="455"/>
      <c r="AG303" s="455"/>
      <c r="AH303" s="455"/>
      <c r="AI303" s="455"/>
      <c r="AJ303" s="456"/>
      <c r="AK303" s="456"/>
      <c r="AL303" s="456"/>
      <c r="AM303" s="456"/>
      <c r="AN303" s="456"/>
      <c r="AO303" s="456"/>
      <c r="AP303" s="456"/>
      <c r="AQ303" s="456"/>
      <c r="AR303" s="458"/>
      <c r="AS303" s="459"/>
      <c r="AT303" s="459"/>
      <c r="AU303" s="459"/>
      <c r="AV303" s="478"/>
      <c r="AW303" s="456"/>
      <c r="AX303" s="456"/>
      <c r="AY303" s="456"/>
      <c r="AZ303" s="456"/>
      <c r="BA303" s="456"/>
      <c r="BB303" s="456"/>
      <c r="BC303" s="456"/>
    </row>
    <row r="304" spans="8:55">
      <c r="H304" s="455"/>
      <c r="I304" s="455"/>
      <c r="J304" s="455"/>
      <c r="K304" s="456"/>
      <c r="L304" s="455"/>
      <c r="M304" s="455"/>
      <c r="N304" s="455"/>
      <c r="O304" s="455"/>
      <c r="P304" s="456"/>
      <c r="Q304" s="456"/>
      <c r="R304" s="457"/>
      <c r="S304" s="456"/>
      <c r="T304" s="455"/>
      <c r="U304" s="455"/>
      <c r="V304" s="455"/>
      <c r="W304" s="456"/>
      <c r="X304" s="455"/>
      <c r="Y304" s="455"/>
      <c r="Z304" s="455"/>
      <c r="AA304" s="455"/>
      <c r="AB304" s="456"/>
      <c r="AC304" s="455"/>
      <c r="AD304" s="455"/>
      <c r="AE304" s="455"/>
      <c r="AF304" s="455"/>
      <c r="AG304" s="455"/>
      <c r="AH304" s="455"/>
      <c r="AI304" s="455"/>
      <c r="AJ304" s="456"/>
      <c r="AK304" s="456"/>
      <c r="AL304" s="456"/>
      <c r="AM304" s="456"/>
      <c r="AN304" s="456"/>
      <c r="AO304" s="456"/>
      <c r="AP304" s="456"/>
      <c r="AQ304" s="456"/>
      <c r="AR304" s="458"/>
      <c r="AS304" s="459"/>
      <c r="AT304" s="459"/>
      <c r="AU304" s="459"/>
      <c r="AV304" s="478"/>
      <c r="AW304" s="456"/>
      <c r="AX304" s="456"/>
      <c r="AY304" s="456"/>
      <c r="AZ304" s="456"/>
      <c r="BA304" s="456"/>
      <c r="BB304" s="456"/>
      <c r="BC304" s="456"/>
    </row>
    <row r="305" spans="8:55">
      <c r="H305" s="455"/>
      <c r="I305" s="455"/>
      <c r="J305" s="455"/>
      <c r="K305" s="456"/>
      <c r="L305" s="455"/>
      <c r="M305" s="455"/>
      <c r="N305" s="455"/>
      <c r="O305" s="455"/>
      <c r="P305" s="456"/>
      <c r="Q305" s="456"/>
      <c r="R305" s="457"/>
      <c r="S305" s="456"/>
      <c r="T305" s="455"/>
      <c r="U305" s="455"/>
      <c r="V305" s="455"/>
      <c r="W305" s="456"/>
      <c r="X305" s="455"/>
      <c r="Y305" s="455"/>
      <c r="Z305" s="455"/>
      <c r="AA305" s="455"/>
      <c r="AB305" s="456"/>
      <c r="AC305" s="455"/>
      <c r="AD305" s="455"/>
      <c r="AE305" s="455"/>
      <c r="AF305" s="455"/>
      <c r="AG305" s="455"/>
      <c r="AH305" s="455"/>
      <c r="AI305" s="455"/>
      <c r="AJ305" s="456"/>
      <c r="AK305" s="456"/>
      <c r="AL305" s="456"/>
      <c r="AM305" s="456"/>
      <c r="AN305" s="456"/>
      <c r="AO305" s="456"/>
      <c r="AP305" s="456"/>
      <c r="AQ305" s="456"/>
      <c r="AR305" s="458"/>
      <c r="AS305" s="459"/>
      <c r="AT305" s="459"/>
      <c r="AU305" s="459"/>
      <c r="AV305" s="478"/>
      <c r="AW305" s="456"/>
      <c r="AX305" s="456"/>
      <c r="AY305" s="456"/>
      <c r="AZ305" s="456"/>
      <c r="BA305" s="456"/>
      <c r="BB305" s="456"/>
      <c r="BC305" s="456"/>
    </row>
    <row r="306" spans="8:55">
      <c r="H306" s="455"/>
      <c r="I306" s="455"/>
      <c r="J306" s="455"/>
      <c r="K306" s="456"/>
      <c r="L306" s="455"/>
      <c r="M306" s="455"/>
      <c r="N306" s="455"/>
      <c r="O306" s="455"/>
      <c r="P306" s="456"/>
      <c r="Q306" s="456"/>
      <c r="R306" s="457"/>
      <c r="S306" s="456"/>
      <c r="T306" s="455"/>
      <c r="U306" s="455"/>
      <c r="V306" s="455"/>
      <c r="W306" s="456"/>
      <c r="X306" s="455"/>
      <c r="Y306" s="455"/>
      <c r="Z306" s="455"/>
      <c r="AA306" s="455"/>
      <c r="AB306" s="456"/>
      <c r="AC306" s="455"/>
      <c r="AD306" s="455"/>
      <c r="AE306" s="455"/>
      <c r="AF306" s="455"/>
      <c r="AG306" s="455"/>
      <c r="AH306" s="455"/>
      <c r="AI306" s="455"/>
      <c r="AJ306" s="456"/>
      <c r="AK306" s="456"/>
      <c r="AL306" s="456"/>
      <c r="AM306" s="456"/>
      <c r="AN306" s="456"/>
      <c r="AO306" s="456"/>
      <c r="AP306" s="456"/>
      <c r="AQ306" s="456"/>
      <c r="AR306" s="458"/>
      <c r="AS306" s="459"/>
      <c r="AT306" s="459"/>
      <c r="AU306" s="459"/>
      <c r="AV306" s="478"/>
      <c r="AW306" s="456"/>
      <c r="AX306" s="456"/>
      <c r="AY306" s="456"/>
      <c r="AZ306" s="456"/>
      <c r="BA306" s="456"/>
      <c r="BB306" s="456"/>
      <c r="BC306" s="456"/>
    </row>
    <row r="307" spans="8:55">
      <c r="H307" s="455"/>
      <c r="I307" s="455"/>
      <c r="J307" s="455"/>
      <c r="K307" s="456"/>
      <c r="L307" s="455"/>
      <c r="M307" s="455"/>
      <c r="N307" s="455"/>
      <c r="O307" s="455"/>
      <c r="P307" s="456"/>
      <c r="Q307" s="456"/>
      <c r="R307" s="457"/>
      <c r="S307" s="456"/>
      <c r="T307" s="455"/>
      <c r="U307" s="455"/>
      <c r="V307" s="455"/>
      <c r="W307" s="456"/>
      <c r="X307" s="455"/>
      <c r="Y307" s="455"/>
      <c r="Z307" s="455"/>
      <c r="AA307" s="455"/>
      <c r="AB307" s="456"/>
      <c r="AC307" s="455"/>
      <c r="AD307" s="455"/>
      <c r="AE307" s="455"/>
      <c r="AF307" s="455"/>
      <c r="AG307" s="455"/>
      <c r="AH307" s="455"/>
      <c r="AI307" s="455"/>
      <c r="AJ307" s="456"/>
      <c r="AK307" s="456"/>
      <c r="AL307" s="456"/>
      <c r="AM307" s="456"/>
      <c r="AN307" s="456"/>
      <c r="AO307" s="456"/>
      <c r="AP307" s="456"/>
      <c r="AQ307" s="456"/>
      <c r="AR307" s="458"/>
      <c r="AS307" s="459"/>
      <c r="AT307" s="459"/>
      <c r="AU307" s="459"/>
      <c r="AV307" s="478"/>
      <c r="AW307" s="456"/>
      <c r="AX307" s="456"/>
      <c r="AY307" s="456"/>
      <c r="AZ307" s="456"/>
      <c r="BA307" s="456"/>
      <c r="BB307" s="456"/>
      <c r="BC307" s="456"/>
    </row>
    <row r="308" spans="8:55">
      <c r="H308" s="455"/>
      <c r="I308" s="455"/>
      <c r="J308" s="455"/>
      <c r="K308" s="456"/>
      <c r="L308" s="455"/>
      <c r="M308" s="455"/>
      <c r="N308" s="455"/>
      <c r="O308" s="455"/>
      <c r="P308" s="456"/>
      <c r="Q308" s="456"/>
      <c r="R308" s="457"/>
      <c r="S308" s="456"/>
      <c r="T308" s="455"/>
      <c r="U308" s="455"/>
      <c r="V308" s="455"/>
      <c r="W308" s="456"/>
      <c r="X308" s="455"/>
      <c r="Y308" s="455"/>
      <c r="Z308" s="455"/>
      <c r="AA308" s="455"/>
      <c r="AB308" s="456"/>
      <c r="AC308" s="455"/>
      <c r="AD308" s="455"/>
      <c r="AE308" s="455"/>
      <c r="AF308" s="455"/>
      <c r="AG308" s="455"/>
      <c r="AH308" s="455"/>
      <c r="AI308" s="455"/>
      <c r="AJ308" s="456"/>
      <c r="AK308" s="456"/>
      <c r="AL308" s="456"/>
      <c r="AM308" s="456"/>
      <c r="AN308" s="456"/>
      <c r="AO308" s="456"/>
      <c r="AP308" s="456"/>
      <c r="AQ308" s="456"/>
      <c r="AR308" s="458"/>
      <c r="AS308" s="459"/>
      <c r="AT308" s="459"/>
      <c r="AU308" s="459"/>
      <c r="AV308" s="478"/>
      <c r="AW308" s="456"/>
      <c r="AX308" s="456"/>
      <c r="AY308" s="456"/>
      <c r="AZ308" s="456"/>
      <c r="BA308" s="456"/>
      <c r="BB308" s="456"/>
      <c r="BC308" s="456"/>
    </row>
    <row r="309" spans="8:55">
      <c r="H309" s="455"/>
      <c r="I309" s="455"/>
      <c r="J309" s="455"/>
      <c r="K309" s="456"/>
      <c r="L309" s="455"/>
      <c r="M309" s="455"/>
      <c r="N309" s="455"/>
      <c r="O309" s="455"/>
      <c r="P309" s="456"/>
      <c r="Q309" s="456"/>
      <c r="R309" s="457"/>
      <c r="S309" s="456"/>
      <c r="T309" s="455"/>
      <c r="U309" s="455"/>
      <c r="V309" s="455"/>
      <c r="W309" s="456"/>
      <c r="X309" s="455"/>
      <c r="Y309" s="455"/>
      <c r="Z309" s="455"/>
      <c r="AA309" s="455"/>
      <c r="AB309" s="456"/>
      <c r="AC309" s="455"/>
      <c r="AD309" s="455"/>
      <c r="AE309" s="455"/>
      <c r="AF309" s="455"/>
      <c r="AG309" s="455"/>
      <c r="AH309" s="455"/>
      <c r="AI309" s="455"/>
      <c r="AJ309" s="456"/>
      <c r="AK309" s="456"/>
      <c r="AL309" s="456"/>
      <c r="AM309" s="456"/>
      <c r="AN309" s="456"/>
      <c r="AO309" s="456"/>
      <c r="AP309" s="456"/>
      <c r="AQ309" s="456"/>
      <c r="AR309" s="458"/>
      <c r="AS309" s="459"/>
      <c r="AT309" s="459"/>
      <c r="AU309" s="459"/>
      <c r="AV309" s="478"/>
      <c r="AW309" s="456"/>
      <c r="AX309" s="456"/>
      <c r="AY309" s="456"/>
      <c r="AZ309" s="456"/>
      <c r="BA309" s="456"/>
      <c r="BB309" s="456"/>
      <c r="BC309" s="456"/>
    </row>
    <row r="310" spans="8:55">
      <c r="H310" s="455"/>
      <c r="I310" s="455"/>
      <c r="J310" s="455"/>
      <c r="K310" s="456"/>
      <c r="L310" s="455"/>
      <c r="M310" s="455"/>
      <c r="N310" s="455"/>
      <c r="O310" s="455"/>
      <c r="P310" s="456"/>
      <c r="Q310" s="456"/>
      <c r="R310" s="457"/>
      <c r="S310" s="456"/>
      <c r="T310" s="455"/>
      <c r="U310" s="455"/>
      <c r="V310" s="455"/>
      <c r="W310" s="456"/>
      <c r="X310" s="455"/>
      <c r="Y310" s="455"/>
      <c r="Z310" s="455"/>
      <c r="AA310" s="455"/>
      <c r="AB310" s="456"/>
      <c r="AC310" s="455"/>
      <c r="AD310" s="455"/>
      <c r="AE310" s="455"/>
      <c r="AF310" s="455"/>
      <c r="AG310" s="455"/>
      <c r="AH310" s="455"/>
      <c r="AI310" s="455"/>
      <c r="AJ310" s="456"/>
      <c r="AK310" s="456"/>
      <c r="AL310" s="456"/>
      <c r="AM310" s="456"/>
      <c r="AN310" s="456"/>
      <c r="AO310" s="456"/>
      <c r="AP310" s="456"/>
      <c r="AQ310" s="456"/>
      <c r="AR310" s="458"/>
      <c r="AS310" s="459"/>
      <c r="AT310" s="459"/>
      <c r="AU310" s="459"/>
      <c r="AV310" s="478"/>
      <c r="AW310" s="456"/>
      <c r="AX310" s="456"/>
      <c r="AY310" s="456"/>
      <c r="AZ310" s="456"/>
      <c r="BA310" s="456"/>
      <c r="BB310" s="456"/>
      <c r="BC310" s="456"/>
    </row>
    <row r="311" spans="8:55">
      <c r="H311" s="455"/>
      <c r="I311" s="455"/>
      <c r="J311" s="455"/>
      <c r="K311" s="456"/>
      <c r="L311" s="455"/>
      <c r="M311" s="455"/>
      <c r="N311" s="455"/>
      <c r="O311" s="455"/>
      <c r="P311" s="456"/>
      <c r="Q311" s="456"/>
      <c r="R311" s="457"/>
      <c r="S311" s="456"/>
      <c r="T311" s="455"/>
      <c r="U311" s="455"/>
      <c r="V311" s="455"/>
      <c r="W311" s="456"/>
      <c r="X311" s="455"/>
      <c r="Y311" s="455"/>
      <c r="Z311" s="455"/>
      <c r="AA311" s="455"/>
      <c r="AB311" s="456"/>
      <c r="AC311" s="455"/>
      <c r="AD311" s="455"/>
      <c r="AE311" s="455"/>
      <c r="AF311" s="455"/>
      <c r="AG311" s="455"/>
      <c r="AH311" s="455"/>
      <c r="AI311" s="455"/>
      <c r="AJ311" s="456"/>
      <c r="AK311" s="456"/>
      <c r="AL311" s="456"/>
      <c r="AM311" s="456"/>
      <c r="AN311" s="456"/>
      <c r="AO311" s="456"/>
      <c r="AP311" s="456"/>
      <c r="AQ311" s="456"/>
      <c r="AR311" s="458"/>
      <c r="AS311" s="459"/>
      <c r="AT311" s="459"/>
      <c r="AU311" s="459"/>
      <c r="AV311" s="478"/>
      <c r="AW311" s="456"/>
      <c r="AX311" s="456"/>
      <c r="AY311" s="456"/>
      <c r="AZ311" s="456"/>
      <c r="BA311" s="456"/>
      <c r="BB311" s="456"/>
      <c r="BC311" s="456"/>
    </row>
    <row r="312" spans="8:55">
      <c r="H312" s="455"/>
      <c r="I312" s="455"/>
      <c r="J312" s="455"/>
      <c r="K312" s="456"/>
      <c r="L312" s="455"/>
      <c r="M312" s="455"/>
      <c r="N312" s="455"/>
      <c r="O312" s="455"/>
      <c r="P312" s="456"/>
      <c r="Q312" s="456"/>
      <c r="R312" s="457"/>
      <c r="S312" s="456"/>
      <c r="T312" s="455"/>
      <c r="U312" s="455"/>
      <c r="V312" s="455"/>
      <c r="W312" s="456"/>
      <c r="X312" s="455"/>
      <c r="Y312" s="455"/>
      <c r="Z312" s="455"/>
      <c r="AA312" s="455"/>
      <c r="AB312" s="456"/>
      <c r="AC312" s="455"/>
      <c r="AD312" s="455"/>
      <c r="AE312" s="455"/>
      <c r="AF312" s="455"/>
      <c r="AG312" s="455"/>
      <c r="AH312" s="455"/>
      <c r="AI312" s="455"/>
      <c r="AJ312" s="456"/>
      <c r="AK312" s="456"/>
      <c r="AL312" s="456"/>
      <c r="AM312" s="456"/>
      <c r="AN312" s="456"/>
      <c r="AO312" s="456"/>
      <c r="AP312" s="456"/>
      <c r="AQ312" s="456"/>
      <c r="AR312" s="458"/>
      <c r="AS312" s="459"/>
      <c r="AT312" s="459"/>
      <c r="AU312" s="459"/>
      <c r="AV312" s="478"/>
      <c r="AW312" s="456"/>
      <c r="AX312" s="456"/>
      <c r="AY312" s="456"/>
      <c r="AZ312" s="456"/>
      <c r="BA312" s="456"/>
      <c r="BB312" s="456"/>
      <c r="BC312" s="456"/>
    </row>
    <row r="313" spans="8:55">
      <c r="H313" s="455"/>
      <c r="I313" s="455"/>
      <c r="J313" s="455"/>
      <c r="K313" s="456"/>
      <c r="L313" s="455"/>
      <c r="M313" s="455"/>
      <c r="N313" s="455"/>
      <c r="O313" s="455"/>
      <c r="P313" s="456"/>
      <c r="Q313" s="456"/>
      <c r="R313" s="457"/>
      <c r="S313" s="456"/>
      <c r="T313" s="455"/>
      <c r="U313" s="455"/>
      <c r="V313" s="455"/>
      <c r="W313" s="456"/>
      <c r="X313" s="455"/>
      <c r="Y313" s="455"/>
      <c r="Z313" s="455"/>
      <c r="AA313" s="455"/>
      <c r="AB313" s="456"/>
      <c r="AC313" s="455"/>
      <c r="AD313" s="455"/>
      <c r="AE313" s="455"/>
      <c r="AF313" s="455"/>
      <c r="AG313" s="455"/>
      <c r="AH313" s="455"/>
      <c r="AI313" s="455"/>
      <c r="AJ313" s="456"/>
      <c r="AK313" s="456"/>
      <c r="AL313" s="456"/>
      <c r="AM313" s="456"/>
      <c r="AN313" s="456"/>
      <c r="AO313" s="456"/>
      <c r="AP313" s="456"/>
      <c r="AQ313" s="456"/>
      <c r="AR313" s="458"/>
      <c r="AS313" s="459"/>
      <c r="AT313" s="459"/>
      <c r="AU313" s="459"/>
      <c r="AV313" s="478"/>
      <c r="AW313" s="456"/>
      <c r="AX313" s="456"/>
      <c r="AY313" s="456"/>
      <c r="AZ313" s="456"/>
      <c r="BA313" s="456"/>
      <c r="BB313" s="456"/>
      <c r="BC313" s="456"/>
    </row>
    <row r="314" spans="8:55">
      <c r="H314" s="455"/>
      <c r="I314" s="455"/>
      <c r="J314" s="455"/>
      <c r="K314" s="456"/>
      <c r="L314" s="455"/>
      <c r="M314" s="455"/>
      <c r="N314" s="455"/>
      <c r="O314" s="455"/>
      <c r="P314" s="456"/>
      <c r="Q314" s="456"/>
      <c r="R314" s="457"/>
      <c r="S314" s="456"/>
      <c r="T314" s="455"/>
      <c r="U314" s="455"/>
      <c r="V314" s="455"/>
      <c r="W314" s="456"/>
      <c r="X314" s="455"/>
      <c r="Y314" s="455"/>
      <c r="Z314" s="455"/>
      <c r="AA314" s="455"/>
      <c r="AB314" s="456"/>
      <c r="AC314" s="455"/>
      <c r="AD314" s="455"/>
      <c r="AE314" s="455"/>
      <c r="AF314" s="455"/>
      <c r="AG314" s="455"/>
      <c r="AH314" s="455"/>
      <c r="AI314" s="455"/>
      <c r="AJ314" s="456"/>
      <c r="AK314" s="456"/>
      <c r="AL314" s="456"/>
      <c r="AM314" s="456"/>
      <c r="AN314" s="456"/>
      <c r="AO314" s="456"/>
      <c r="AP314" s="456"/>
      <c r="AQ314" s="456"/>
      <c r="AR314" s="458"/>
      <c r="AS314" s="459"/>
      <c r="AT314" s="459"/>
      <c r="AU314" s="459"/>
      <c r="AV314" s="478"/>
      <c r="AW314" s="456"/>
      <c r="AX314" s="456"/>
      <c r="AY314" s="456"/>
      <c r="AZ314" s="456"/>
      <c r="BA314" s="456"/>
      <c r="BB314" s="456"/>
      <c r="BC314" s="456"/>
    </row>
    <row r="315" spans="8:55">
      <c r="H315" s="455"/>
      <c r="I315" s="455"/>
      <c r="J315" s="455"/>
      <c r="K315" s="456"/>
      <c r="L315" s="455"/>
      <c r="M315" s="455"/>
      <c r="N315" s="455"/>
      <c r="O315" s="455"/>
      <c r="P315" s="456"/>
      <c r="Q315" s="456"/>
      <c r="R315" s="457"/>
      <c r="S315" s="456"/>
      <c r="T315" s="455"/>
      <c r="U315" s="455"/>
      <c r="V315" s="455"/>
      <c r="W315" s="456"/>
      <c r="X315" s="455"/>
      <c r="Y315" s="455"/>
      <c r="Z315" s="455"/>
      <c r="AA315" s="455"/>
      <c r="AB315" s="456"/>
      <c r="AC315" s="455"/>
      <c r="AD315" s="455"/>
      <c r="AE315" s="455"/>
      <c r="AF315" s="455"/>
      <c r="AG315" s="455"/>
      <c r="AH315" s="455"/>
      <c r="AI315" s="455"/>
      <c r="AJ315" s="456"/>
      <c r="AK315" s="456"/>
      <c r="AL315" s="456"/>
      <c r="AM315" s="456"/>
      <c r="AN315" s="456"/>
      <c r="AO315" s="456"/>
      <c r="AP315" s="456"/>
      <c r="AQ315" s="456"/>
      <c r="AR315" s="458"/>
      <c r="AS315" s="459"/>
      <c r="AT315" s="459"/>
      <c r="AU315" s="459"/>
      <c r="AV315" s="478"/>
      <c r="AW315" s="456"/>
      <c r="AX315" s="456"/>
      <c r="AY315" s="456"/>
      <c r="AZ315" s="456"/>
      <c r="BA315" s="456"/>
      <c r="BB315" s="456"/>
      <c r="BC315" s="456"/>
    </row>
    <row r="316" spans="8:55">
      <c r="H316" s="455"/>
      <c r="I316" s="455"/>
      <c r="J316" s="455"/>
      <c r="K316" s="456"/>
      <c r="L316" s="455"/>
      <c r="M316" s="455"/>
      <c r="N316" s="455"/>
      <c r="O316" s="455"/>
      <c r="P316" s="456"/>
      <c r="Q316" s="456"/>
      <c r="R316" s="457"/>
      <c r="S316" s="456"/>
      <c r="T316" s="455"/>
      <c r="U316" s="455"/>
      <c r="V316" s="455"/>
      <c r="W316" s="456"/>
      <c r="X316" s="455"/>
      <c r="Y316" s="455"/>
      <c r="Z316" s="455"/>
      <c r="AA316" s="455"/>
      <c r="AB316" s="456"/>
      <c r="AC316" s="455"/>
      <c r="AD316" s="455"/>
      <c r="AE316" s="455"/>
      <c r="AF316" s="455"/>
      <c r="AG316" s="455"/>
      <c r="AH316" s="455"/>
      <c r="AI316" s="455"/>
      <c r="AJ316" s="456"/>
      <c r="AK316" s="456"/>
      <c r="AL316" s="456"/>
      <c r="AM316" s="456"/>
      <c r="AN316" s="456"/>
      <c r="AO316" s="456"/>
      <c r="AP316" s="456"/>
      <c r="AQ316" s="456"/>
      <c r="AR316" s="458"/>
      <c r="AS316" s="459"/>
      <c r="AT316" s="459"/>
      <c r="AU316" s="459"/>
      <c r="AV316" s="478"/>
      <c r="AW316" s="456"/>
      <c r="AX316" s="456"/>
      <c r="AY316" s="456"/>
      <c r="AZ316" s="456"/>
      <c r="BA316" s="456"/>
      <c r="BB316" s="456"/>
      <c r="BC316" s="456"/>
    </row>
    <row r="317" spans="8:55">
      <c r="H317" s="455"/>
      <c r="I317" s="455"/>
      <c r="J317" s="455"/>
      <c r="K317" s="456"/>
      <c r="L317" s="455"/>
      <c r="M317" s="455"/>
      <c r="N317" s="455"/>
      <c r="O317" s="455"/>
      <c r="P317" s="456"/>
      <c r="Q317" s="456"/>
      <c r="R317" s="457"/>
      <c r="S317" s="456"/>
      <c r="T317" s="455"/>
      <c r="U317" s="455"/>
      <c r="V317" s="455"/>
      <c r="W317" s="456"/>
      <c r="X317" s="455"/>
      <c r="Y317" s="455"/>
      <c r="Z317" s="455"/>
      <c r="AA317" s="455"/>
      <c r="AB317" s="456"/>
      <c r="AC317" s="455"/>
      <c r="AD317" s="455"/>
      <c r="AE317" s="455"/>
      <c r="AF317" s="455"/>
      <c r="AG317" s="455"/>
      <c r="AH317" s="455"/>
      <c r="AI317" s="455"/>
      <c r="AJ317" s="456"/>
      <c r="AK317" s="456"/>
      <c r="AL317" s="456"/>
      <c r="AM317" s="456"/>
      <c r="AN317" s="456"/>
      <c r="AO317" s="456"/>
      <c r="AP317" s="456"/>
      <c r="AQ317" s="456"/>
      <c r="AR317" s="458"/>
      <c r="AS317" s="459"/>
      <c r="AT317" s="459"/>
      <c r="AU317" s="459"/>
      <c r="AV317" s="478"/>
      <c r="AW317" s="456"/>
      <c r="AX317" s="456"/>
      <c r="AY317" s="456"/>
      <c r="AZ317" s="456"/>
      <c r="BA317" s="456"/>
      <c r="BB317" s="456"/>
      <c r="BC317" s="456"/>
    </row>
    <row r="318" spans="8:55">
      <c r="H318" s="455"/>
      <c r="I318" s="455"/>
      <c r="J318" s="455"/>
      <c r="K318" s="456"/>
      <c r="L318" s="455"/>
      <c r="M318" s="455"/>
      <c r="N318" s="455"/>
      <c r="O318" s="455"/>
      <c r="P318" s="456"/>
      <c r="Q318" s="456"/>
      <c r="R318" s="457"/>
      <c r="S318" s="456"/>
      <c r="T318" s="455"/>
      <c r="U318" s="455"/>
      <c r="V318" s="455"/>
      <c r="W318" s="456"/>
      <c r="X318" s="455"/>
      <c r="Y318" s="455"/>
      <c r="Z318" s="455"/>
      <c r="AA318" s="455"/>
      <c r="AB318" s="456"/>
      <c r="AC318" s="455"/>
      <c r="AD318" s="455"/>
      <c r="AE318" s="455"/>
      <c r="AF318" s="455"/>
      <c r="AG318" s="455"/>
      <c r="AH318" s="455"/>
      <c r="AI318" s="455"/>
      <c r="AJ318" s="456"/>
      <c r="AK318" s="456"/>
      <c r="AL318" s="456"/>
      <c r="AM318" s="456"/>
      <c r="AN318" s="456"/>
      <c r="AO318" s="456"/>
      <c r="AP318" s="456"/>
      <c r="AQ318" s="456"/>
      <c r="AR318" s="458"/>
      <c r="AS318" s="459"/>
      <c r="AT318" s="459"/>
      <c r="AU318" s="459"/>
      <c r="AV318" s="478"/>
      <c r="AW318" s="456"/>
      <c r="AX318" s="456"/>
      <c r="AY318" s="456"/>
      <c r="AZ318" s="456"/>
      <c r="BA318" s="456"/>
      <c r="BB318" s="456"/>
      <c r="BC318" s="456"/>
    </row>
    <row r="319" spans="8:55">
      <c r="H319" s="455"/>
      <c r="I319" s="455"/>
      <c r="J319" s="455"/>
      <c r="K319" s="456"/>
      <c r="L319" s="455"/>
      <c r="M319" s="455"/>
      <c r="N319" s="455"/>
      <c r="O319" s="455"/>
      <c r="P319" s="456"/>
      <c r="Q319" s="456"/>
      <c r="R319" s="457"/>
      <c r="S319" s="456"/>
      <c r="T319" s="455"/>
      <c r="U319" s="455"/>
      <c r="V319" s="455"/>
      <c r="W319" s="456"/>
      <c r="X319" s="455"/>
      <c r="Y319" s="455"/>
      <c r="Z319" s="455"/>
      <c r="AA319" s="455"/>
      <c r="AB319" s="456"/>
      <c r="AC319" s="455"/>
      <c r="AD319" s="455"/>
      <c r="AE319" s="455"/>
      <c r="AF319" s="455"/>
      <c r="AG319" s="455"/>
      <c r="AH319" s="455"/>
      <c r="AI319" s="455"/>
      <c r="AJ319" s="456"/>
      <c r="AK319" s="456"/>
      <c r="AL319" s="456"/>
      <c r="AM319" s="456"/>
      <c r="AN319" s="456"/>
      <c r="AO319" s="456"/>
      <c r="AP319" s="456"/>
      <c r="AQ319" s="456"/>
      <c r="AR319" s="458"/>
      <c r="AS319" s="459"/>
      <c r="AT319" s="459"/>
      <c r="AU319" s="459"/>
      <c r="AV319" s="478"/>
      <c r="AW319" s="456"/>
      <c r="AX319" s="456"/>
      <c r="AY319" s="456"/>
      <c r="AZ319" s="456"/>
      <c r="BA319" s="456"/>
      <c r="BB319" s="456"/>
      <c r="BC319" s="456"/>
    </row>
    <row r="320" spans="8:55">
      <c r="H320" s="455"/>
      <c r="I320" s="455"/>
      <c r="J320" s="455"/>
      <c r="K320" s="456"/>
      <c r="L320" s="455"/>
      <c r="M320" s="455"/>
      <c r="N320" s="455"/>
      <c r="O320" s="455"/>
      <c r="P320" s="456"/>
      <c r="Q320" s="456"/>
      <c r="R320" s="457"/>
      <c r="S320" s="456"/>
      <c r="T320" s="455"/>
      <c r="U320" s="455"/>
      <c r="V320" s="455"/>
      <c r="W320" s="456"/>
      <c r="X320" s="455"/>
      <c r="Y320" s="455"/>
      <c r="Z320" s="455"/>
      <c r="AA320" s="455"/>
      <c r="AB320" s="456"/>
      <c r="AC320" s="455"/>
      <c r="AD320" s="455"/>
      <c r="AE320" s="455"/>
      <c r="AF320" s="455"/>
      <c r="AG320" s="455"/>
      <c r="AH320" s="455"/>
      <c r="AI320" s="455"/>
      <c r="AJ320" s="456"/>
      <c r="AK320" s="456"/>
      <c r="AL320" s="456"/>
      <c r="AM320" s="456"/>
      <c r="AN320" s="456"/>
      <c r="AO320" s="456"/>
      <c r="AP320" s="456"/>
      <c r="AQ320" s="456"/>
      <c r="AR320" s="458"/>
      <c r="AS320" s="459"/>
      <c r="AT320" s="459"/>
      <c r="AU320" s="459"/>
      <c r="AV320" s="478"/>
      <c r="AW320" s="456"/>
      <c r="AX320" s="456"/>
      <c r="AY320" s="456"/>
      <c r="AZ320" s="456"/>
      <c r="BA320" s="456"/>
      <c r="BB320" s="456"/>
      <c r="BC320" s="456"/>
    </row>
    <row r="321" spans="8:55">
      <c r="H321" s="455"/>
      <c r="I321" s="455"/>
      <c r="J321" s="455"/>
      <c r="K321" s="456"/>
      <c r="L321" s="455"/>
      <c r="M321" s="455"/>
      <c r="N321" s="455"/>
      <c r="O321" s="455"/>
      <c r="P321" s="456"/>
      <c r="Q321" s="456"/>
      <c r="R321" s="457"/>
      <c r="S321" s="456"/>
      <c r="T321" s="455"/>
      <c r="U321" s="455"/>
      <c r="V321" s="455"/>
      <c r="W321" s="456"/>
      <c r="X321" s="455"/>
      <c r="Y321" s="455"/>
      <c r="Z321" s="455"/>
      <c r="AA321" s="455"/>
      <c r="AB321" s="456"/>
      <c r="AC321" s="455"/>
      <c r="AD321" s="455"/>
      <c r="AE321" s="455"/>
      <c r="AF321" s="455"/>
      <c r="AG321" s="455"/>
      <c r="AH321" s="455"/>
      <c r="AI321" s="455"/>
      <c r="AJ321" s="456"/>
      <c r="AK321" s="456"/>
      <c r="AL321" s="456"/>
      <c r="AM321" s="456"/>
      <c r="AN321" s="456"/>
      <c r="AO321" s="456"/>
      <c r="AP321" s="456"/>
      <c r="AQ321" s="456"/>
      <c r="AR321" s="458"/>
      <c r="AS321" s="459"/>
      <c r="AT321" s="459"/>
      <c r="AU321" s="459"/>
      <c r="AV321" s="478"/>
      <c r="AW321" s="456"/>
      <c r="AX321" s="456"/>
      <c r="AY321" s="456"/>
      <c r="AZ321" s="456"/>
      <c r="BA321" s="456"/>
      <c r="BB321" s="456"/>
      <c r="BC321" s="456"/>
    </row>
    <row r="322" spans="8:55">
      <c r="H322" s="455"/>
      <c r="I322" s="455"/>
      <c r="J322" s="455"/>
      <c r="K322" s="456"/>
      <c r="L322" s="455"/>
      <c r="M322" s="455"/>
      <c r="N322" s="455"/>
      <c r="O322" s="455"/>
      <c r="P322" s="456"/>
      <c r="Q322" s="456"/>
      <c r="R322" s="457"/>
      <c r="S322" s="456"/>
      <c r="T322" s="455"/>
      <c r="U322" s="455"/>
      <c r="V322" s="455"/>
      <c r="W322" s="456"/>
      <c r="X322" s="455"/>
      <c r="Y322" s="455"/>
      <c r="Z322" s="455"/>
      <c r="AA322" s="455"/>
      <c r="AB322" s="456"/>
      <c r="AC322" s="455"/>
      <c r="AD322" s="455"/>
      <c r="AE322" s="455"/>
      <c r="AF322" s="455"/>
      <c r="AG322" s="455"/>
      <c r="AH322" s="455"/>
      <c r="AI322" s="455"/>
      <c r="AJ322" s="456"/>
      <c r="AK322" s="456"/>
      <c r="AL322" s="456"/>
      <c r="AM322" s="456"/>
      <c r="AN322" s="456"/>
      <c r="AO322" s="456"/>
      <c r="AP322" s="456"/>
      <c r="AQ322" s="456"/>
      <c r="AR322" s="458"/>
      <c r="AS322" s="459"/>
      <c r="AT322" s="459"/>
      <c r="AU322" s="459"/>
      <c r="AV322" s="478"/>
      <c r="AW322" s="456"/>
      <c r="AX322" s="456"/>
      <c r="AY322" s="456"/>
      <c r="AZ322" s="456"/>
      <c r="BA322" s="456"/>
      <c r="BB322" s="456"/>
      <c r="BC322" s="456"/>
    </row>
    <row r="323" spans="8:55">
      <c r="H323" s="455"/>
      <c r="I323" s="455"/>
      <c r="J323" s="455"/>
      <c r="K323" s="456"/>
      <c r="L323" s="455"/>
      <c r="M323" s="455"/>
      <c r="N323" s="455"/>
      <c r="O323" s="455"/>
      <c r="P323" s="456"/>
      <c r="Q323" s="456"/>
      <c r="R323" s="457"/>
      <c r="S323" s="456"/>
      <c r="T323" s="455"/>
      <c r="U323" s="455"/>
      <c r="V323" s="455"/>
      <c r="W323" s="456"/>
      <c r="X323" s="455"/>
      <c r="Y323" s="455"/>
      <c r="Z323" s="455"/>
      <c r="AA323" s="455"/>
      <c r="AB323" s="456"/>
      <c r="AC323" s="455"/>
      <c r="AD323" s="455"/>
      <c r="AE323" s="455"/>
      <c r="AF323" s="455"/>
      <c r="AG323" s="455"/>
      <c r="AH323" s="455"/>
      <c r="AI323" s="455"/>
      <c r="AJ323" s="456"/>
      <c r="AK323" s="456"/>
      <c r="AL323" s="456"/>
      <c r="AM323" s="456"/>
      <c r="AN323" s="456"/>
      <c r="AO323" s="456"/>
      <c r="AP323" s="456"/>
      <c r="AQ323" s="456"/>
      <c r="AR323" s="458"/>
      <c r="AS323" s="459"/>
      <c r="AT323" s="459"/>
      <c r="AU323" s="459"/>
      <c r="AV323" s="478"/>
      <c r="AW323" s="456"/>
      <c r="AX323" s="456"/>
      <c r="AY323" s="456"/>
      <c r="AZ323" s="456"/>
      <c r="BA323" s="456"/>
      <c r="BB323" s="456"/>
      <c r="BC323" s="456"/>
    </row>
    <row r="324" spans="8:55">
      <c r="H324" s="455"/>
      <c r="I324" s="455"/>
      <c r="J324" s="455"/>
      <c r="K324" s="456"/>
      <c r="L324" s="455"/>
      <c r="M324" s="455"/>
      <c r="N324" s="455"/>
      <c r="O324" s="455"/>
      <c r="P324" s="456"/>
      <c r="Q324" s="456"/>
      <c r="R324" s="457"/>
      <c r="S324" s="456"/>
      <c r="T324" s="455"/>
      <c r="U324" s="455"/>
      <c r="V324" s="455"/>
      <c r="W324" s="456"/>
      <c r="X324" s="455"/>
      <c r="Y324" s="455"/>
      <c r="Z324" s="455"/>
      <c r="AA324" s="455"/>
      <c r="AB324" s="456"/>
      <c r="AC324" s="455"/>
      <c r="AD324" s="455"/>
      <c r="AE324" s="455"/>
      <c r="AF324" s="455"/>
      <c r="AG324" s="455"/>
      <c r="AH324" s="455"/>
      <c r="AI324" s="455"/>
      <c r="AJ324" s="456"/>
      <c r="AK324" s="456"/>
      <c r="AL324" s="456"/>
      <c r="AM324" s="456"/>
      <c r="AN324" s="456"/>
      <c r="AO324" s="456"/>
      <c r="AP324" s="456"/>
      <c r="AQ324" s="456"/>
      <c r="AR324" s="458"/>
      <c r="AS324" s="459"/>
      <c r="AT324" s="459"/>
      <c r="AU324" s="459"/>
      <c r="AV324" s="478"/>
      <c r="AW324" s="456"/>
      <c r="AX324" s="456"/>
      <c r="AY324" s="456"/>
      <c r="AZ324" s="456"/>
      <c r="BA324" s="456"/>
      <c r="BB324" s="456"/>
      <c r="BC324" s="456"/>
    </row>
    <row r="325" spans="8:55">
      <c r="H325" s="455"/>
      <c r="I325" s="455"/>
      <c r="J325" s="455"/>
      <c r="K325" s="456"/>
      <c r="L325" s="455"/>
      <c r="M325" s="455"/>
      <c r="N325" s="455"/>
      <c r="O325" s="455"/>
      <c r="P325" s="456"/>
      <c r="Q325" s="456"/>
      <c r="R325" s="457"/>
      <c r="S325" s="456"/>
      <c r="T325" s="455"/>
      <c r="U325" s="455"/>
      <c r="V325" s="455"/>
      <c r="W325" s="456"/>
      <c r="X325" s="455"/>
      <c r="Y325" s="455"/>
      <c r="Z325" s="455"/>
      <c r="AA325" s="455"/>
      <c r="AB325" s="456"/>
      <c r="AC325" s="455"/>
      <c r="AD325" s="455"/>
      <c r="AE325" s="455"/>
      <c r="AF325" s="455"/>
      <c r="AG325" s="455"/>
      <c r="AH325" s="455"/>
      <c r="AI325" s="455"/>
      <c r="AJ325" s="456"/>
      <c r="AK325" s="456"/>
      <c r="AL325" s="456"/>
      <c r="AM325" s="456"/>
      <c r="AN325" s="456"/>
      <c r="AO325" s="456"/>
      <c r="AP325" s="456"/>
      <c r="AQ325" s="456"/>
      <c r="AR325" s="458"/>
      <c r="AS325" s="459"/>
      <c r="AT325" s="459"/>
      <c r="AU325" s="459"/>
      <c r="AV325" s="478"/>
      <c r="AW325" s="456"/>
      <c r="AX325" s="456"/>
      <c r="AY325" s="456"/>
      <c r="AZ325" s="456"/>
      <c r="BA325" s="456"/>
      <c r="BB325" s="456"/>
      <c r="BC325" s="456"/>
    </row>
    <row r="326" spans="8:55">
      <c r="H326" s="455"/>
      <c r="I326" s="455"/>
      <c r="J326" s="455"/>
      <c r="K326" s="456"/>
      <c r="L326" s="455"/>
      <c r="M326" s="455"/>
      <c r="N326" s="455"/>
      <c r="O326" s="455"/>
      <c r="P326" s="456"/>
      <c r="Q326" s="456"/>
      <c r="R326" s="457"/>
      <c r="S326" s="456"/>
      <c r="T326" s="455"/>
      <c r="U326" s="455"/>
      <c r="V326" s="455"/>
      <c r="W326" s="456"/>
      <c r="X326" s="455"/>
      <c r="Y326" s="455"/>
      <c r="Z326" s="455"/>
      <c r="AA326" s="455"/>
      <c r="AB326" s="456"/>
      <c r="AC326" s="455"/>
      <c r="AD326" s="455"/>
      <c r="AE326" s="455"/>
      <c r="AF326" s="455"/>
      <c r="AG326" s="455"/>
      <c r="AH326" s="455"/>
      <c r="AI326" s="455"/>
      <c r="AJ326" s="456"/>
      <c r="AK326" s="456"/>
      <c r="AL326" s="456"/>
      <c r="AM326" s="456"/>
      <c r="AN326" s="456"/>
      <c r="AO326" s="456"/>
      <c r="AP326" s="456"/>
      <c r="AQ326" s="456"/>
      <c r="AR326" s="458"/>
      <c r="AS326" s="459"/>
      <c r="AT326" s="459"/>
      <c r="AU326" s="459"/>
      <c r="AV326" s="478"/>
      <c r="AW326" s="456"/>
      <c r="AX326" s="456"/>
      <c r="AY326" s="456"/>
      <c r="AZ326" s="456"/>
      <c r="BA326" s="456"/>
      <c r="BB326" s="456"/>
      <c r="BC326" s="456"/>
    </row>
    <row r="327" spans="8:55">
      <c r="H327" s="455"/>
      <c r="I327" s="455"/>
      <c r="J327" s="455"/>
      <c r="K327" s="456"/>
      <c r="L327" s="455"/>
      <c r="M327" s="455"/>
      <c r="N327" s="455"/>
      <c r="O327" s="455"/>
      <c r="P327" s="456"/>
      <c r="Q327" s="456"/>
      <c r="R327" s="457"/>
      <c r="S327" s="456"/>
      <c r="T327" s="455"/>
      <c r="U327" s="455"/>
      <c r="V327" s="455"/>
      <c r="W327" s="456"/>
      <c r="X327" s="455"/>
      <c r="Y327" s="455"/>
      <c r="Z327" s="455"/>
      <c r="AA327" s="455"/>
      <c r="AB327" s="456"/>
      <c r="AC327" s="455"/>
      <c r="AD327" s="455"/>
      <c r="AE327" s="455"/>
      <c r="AF327" s="455"/>
      <c r="AG327" s="455"/>
      <c r="AH327" s="455"/>
      <c r="AI327" s="455"/>
      <c r="AJ327" s="456"/>
      <c r="AK327" s="456"/>
      <c r="AL327" s="456"/>
      <c r="AM327" s="456"/>
      <c r="AN327" s="456"/>
      <c r="AO327" s="456"/>
      <c r="AP327" s="456"/>
      <c r="AQ327" s="456"/>
      <c r="AR327" s="458"/>
      <c r="AS327" s="459"/>
      <c r="AT327" s="459"/>
      <c r="AU327" s="459"/>
      <c r="AV327" s="478"/>
      <c r="AW327" s="456"/>
      <c r="AX327" s="456"/>
      <c r="AY327" s="456"/>
      <c r="AZ327" s="456"/>
      <c r="BA327" s="456"/>
      <c r="BB327" s="456"/>
      <c r="BC327" s="456"/>
    </row>
    <row r="328" spans="8:55">
      <c r="H328" s="455"/>
      <c r="I328" s="455"/>
      <c r="J328" s="455"/>
      <c r="K328" s="456"/>
      <c r="L328" s="455"/>
      <c r="M328" s="455"/>
      <c r="N328" s="455"/>
      <c r="O328" s="455"/>
      <c r="P328" s="456"/>
      <c r="Q328" s="456"/>
      <c r="R328" s="457"/>
      <c r="S328" s="456"/>
      <c r="T328" s="455"/>
      <c r="U328" s="455"/>
      <c r="V328" s="455"/>
      <c r="W328" s="456"/>
      <c r="X328" s="455"/>
      <c r="Y328" s="455"/>
      <c r="Z328" s="455"/>
      <c r="AA328" s="455"/>
      <c r="AB328" s="456"/>
      <c r="AC328" s="455"/>
      <c r="AD328" s="455"/>
      <c r="AE328" s="455"/>
      <c r="AF328" s="455"/>
      <c r="AG328" s="455"/>
      <c r="AH328" s="455"/>
      <c r="AI328" s="455"/>
      <c r="AJ328" s="456"/>
      <c r="AK328" s="456"/>
      <c r="AL328" s="456"/>
      <c r="AM328" s="456"/>
      <c r="AN328" s="456"/>
      <c r="AO328" s="456"/>
      <c r="AP328" s="456"/>
      <c r="AQ328" s="456"/>
      <c r="AR328" s="458"/>
      <c r="AS328" s="459"/>
      <c r="AT328" s="459"/>
      <c r="AU328" s="459"/>
      <c r="AV328" s="478"/>
      <c r="AW328" s="456"/>
      <c r="AX328" s="456"/>
      <c r="AY328" s="456"/>
      <c r="AZ328" s="456"/>
      <c r="BA328" s="456"/>
      <c r="BB328" s="456"/>
      <c r="BC328" s="456"/>
    </row>
    <row r="329" spans="8:55">
      <c r="H329" s="455"/>
      <c r="I329" s="455"/>
      <c r="J329" s="455"/>
      <c r="K329" s="456"/>
      <c r="L329" s="455"/>
      <c r="M329" s="455"/>
      <c r="N329" s="455"/>
      <c r="O329" s="455"/>
      <c r="P329" s="456"/>
      <c r="Q329" s="456"/>
      <c r="R329" s="457"/>
      <c r="S329" s="456"/>
      <c r="T329" s="455"/>
      <c r="U329" s="455"/>
      <c r="V329" s="455"/>
      <c r="W329" s="456"/>
      <c r="X329" s="455"/>
      <c r="Y329" s="455"/>
      <c r="Z329" s="455"/>
      <c r="AA329" s="455"/>
      <c r="AB329" s="456"/>
      <c r="AC329" s="455"/>
      <c r="AD329" s="455"/>
      <c r="AE329" s="455"/>
      <c r="AF329" s="455"/>
      <c r="AG329" s="455"/>
      <c r="AH329" s="455"/>
      <c r="AI329" s="455"/>
      <c r="AJ329" s="456"/>
      <c r="AK329" s="456"/>
      <c r="AL329" s="456"/>
      <c r="AM329" s="456"/>
      <c r="AN329" s="456"/>
      <c r="AO329" s="456"/>
      <c r="AP329" s="456"/>
      <c r="AQ329" s="456"/>
      <c r="AR329" s="458"/>
      <c r="AS329" s="459"/>
      <c r="AT329" s="459"/>
      <c r="AU329" s="459"/>
      <c r="AV329" s="478"/>
      <c r="AW329" s="456"/>
      <c r="AX329" s="456"/>
      <c r="AY329" s="456"/>
      <c r="AZ329" s="456"/>
      <c r="BA329" s="456"/>
      <c r="BB329" s="456"/>
      <c r="BC329" s="456"/>
    </row>
    <row r="330" spans="8:55">
      <c r="H330" s="455"/>
      <c r="I330" s="455"/>
      <c r="J330" s="455"/>
      <c r="K330" s="456"/>
      <c r="L330" s="455"/>
      <c r="M330" s="455"/>
      <c r="N330" s="455"/>
      <c r="O330" s="455"/>
      <c r="P330" s="456"/>
      <c r="Q330" s="456"/>
      <c r="R330" s="457"/>
      <c r="S330" s="456"/>
      <c r="T330" s="455"/>
      <c r="U330" s="455"/>
      <c r="V330" s="455"/>
      <c r="W330" s="456"/>
      <c r="X330" s="455"/>
      <c r="Y330" s="455"/>
      <c r="Z330" s="455"/>
      <c r="AA330" s="455"/>
      <c r="AB330" s="456"/>
      <c r="AC330" s="455"/>
      <c r="AD330" s="455"/>
      <c r="AE330" s="455"/>
      <c r="AF330" s="455"/>
      <c r="AG330" s="455"/>
      <c r="AH330" s="455"/>
      <c r="AI330" s="455"/>
      <c r="AJ330" s="456"/>
      <c r="AK330" s="456"/>
      <c r="AL330" s="456"/>
      <c r="AM330" s="456"/>
      <c r="AN330" s="456"/>
      <c r="AO330" s="456"/>
      <c r="AP330" s="456"/>
      <c r="AQ330" s="456"/>
      <c r="AR330" s="458"/>
      <c r="AS330" s="459"/>
      <c r="AT330" s="459"/>
      <c r="AU330" s="459"/>
      <c r="AV330" s="478"/>
      <c r="AW330" s="456"/>
      <c r="AX330" s="456"/>
      <c r="AY330" s="456"/>
      <c r="AZ330" s="456"/>
      <c r="BA330" s="456"/>
      <c r="BB330" s="456"/>
      <c r="BC330" s="456"/>
    </row>
    <row r="331" spans="8:55">
      <c r="H331" s="455"/>
      <c r="I331" s="455"/>
      <c r="J331" s="455"/>
      <c r="K331" s="456"/>
      <c r="L331" s="455"/>
      <c r="M331" s="455"/>
      <c r="N331" s="455"/>
      <c r="O331" s="455"/>
      <c r="P331" s="456"/>
      <c r="Q331" s="456"/>
      <c r="R331" s="457"/>
      <c r="S331" s="456"/>
      <c r="T331" s="455"/>
      <c r="U331" s="455"/>
      <c r="V331" s="455"/>
      <c r="W331" s="456"/>
      <c r="X331" s="455"/>
      <c r="Y331" s="455"/>
      <c r="Z331" s="455"/>
      <c r="AA331" s="455"/>
      <c r="AB331" s="456"/>
      <c r="AC331" s="455"/>
      <c r="AD331" s="455"/>
      <c r="AE331" s="455"/>
      <c r="AF331" s="455"/>
      <c r="AG331" s="455"/>
      <c r="AH331" s="455"/>
      <c r="AI331" s="455"/>
      <c r="AJ331" s="456"/>
      <c r="AK331" s="456"/>
      <c r="AL331" s="456"/>
      <c r="AM331" s="456"/>
      <c r="AN331" s="456"/>
      <c r="AO331" s="456"/>
      <c r="AP331" s="456"/>
      <c r="AQ331" s="456"/>
      <c r="AR331" s="458"/>
      <c r="AS331" s="459"/>
      <c r="AT331" s="459"/>
      <c r="AU331" s="459"/>
      <c r="AV331" s="478"/>
      <c r="AW331" s="456"/>
      <c r="AX331" s="456"/>
      <c r="AY331" s="456"/>
      <c r="AZ331" s="456"/>
      <c r="BA331" s="456"/>
      <c r="BB331" s="456"/>
      <c r="BC331" s="456"/>
    </row>
    <row r="332" spans="8:55">
      <c r="H332" s="455"/>
      <c r="I332" s="455"/>
      <c r="J332" s="455"/>
      <c r="K332" s="456"/>
      <c r="L332" s="455"/>
      <c r="M332" s="455"/>
      <c r="N332" s="455"/>
      <c r="O332" s="455"/>
      <c r="P332" s="456"/>
      <c r="Q332" s="456"/>
      <c r="R332" s="457"/>
      <c r="S332" s="456"/>
      <c r="T332" s="455"/>
      <c r="U332" s="455"/>
      <c r="V332" s="455"/>
      <c r="W332" s="456"/>
      <c r="X332" s="455"/>
      <c r="Y332" s="455"/>
      <c r="Z332" s="455"/>
      <c r="AA332" s="455"/>
      <c r="AB332" s="456"/>
      <c r="AC332" s="455"/>
      <c r="AD332" s="455"/>
      <c r="AE332" s="455"/>
      <c r="AF332" s="455"/>
      <c r="AG332" s="455"/>
      <c r="AH332" s="455"/>
      <c r="AI332" s="455"/>
      <c r="AJ332" s="456"/>
      <c r="AK332" s="456"/>
      <c r="AL332" s="456"/>
      <c r="AM332" s="456"/>
      <c r="AN332" s="456"/>
      <c r="AO332" s="456"/>
      <c r="AP332" s="456"/>
      <c r="AQ332" s="456"/>
      <c r="AR332" s="458"/>
      <c r="AS332" s="459"/>
      <c r="AT332" s="459"/>
      <c r="AU332" s="459"/>
      <c r="AV332" s="478"/>
      <c r="AW332" s="456"/>
      <c r="AX332" s="456"/>
      <c r="AY332" s="456"/>
      <c r="AZ332" s="456"/>
      <c r="BA332" s="456"/>
      <c r="BB332" s="456"/>
      <c r="BC332" s="456"/>
    </row>
    <row r="333" spans="8:55">
      <c r="H333" s="455"/>
      <c r="I333" s="455"/>
      <c r="J333" s="455"/>
      <c r="K333" s="456"/>
      <c r="L333" s="455"/>
      <c r="M333" s="455"/>
      <c r="N333" s="455"/>
      <c r="O333" s="455"/>
      <c r="P333" s="456"/>
      <c r="Q333" s="456"/>
      <c r="R333" s="457"/>
      <c r="S333" s="456"/>
      <c r="T333" s="455"/>
      <c r="U333" s="455"/>
      <c r="V333" s="455"/>
      <c r="W333" s="456"/>
      <c r="X333" s="455"/>
      <c r="Y333" s="455"/>
      <c r="Z333" s="455"/>
      <c r="AA333" s="455"/>
      <c r="AB333" s="456"/>
      <c r="AC333" s="455"/>
      <c r="AD333" s="455"/>
      <c r="AE333" s="455"/>
      <c r="AF333" s="455"/>
      <c r="AG333" s="455"/>
      <c r="AH333" s="455"/>
      <c r="AI333" s="455"/>
      <c r="AJ333" s="456"/>
      <c r="AK333" s="456"/>
      <c r="AL333" s="456"/>
      <c r="AM333" s="456"/>
      <c r="AN333" s="456"/>
      <c r="AO333" s="456"/>
      <c r="AP333" s="456"/>
      <c r="AQ333" s="456"/>
      <c r="AR333" s="458"/>
      <c r="AS333" s="459"/>
      <c r="AT333" s="459"/>
      <c r="AU333" s="459"/>
      <c r="AV333" s="478"/>
      <c r="AW333" s="456"/>
      <c r="AX333" s="456"/>
      <c r="AY333" s="456"/>
      <c r="AZ333" s="456"/>
      <c r="BA333" s="456"/>
      <c r="BB333" s="456"/>
      <c r="BC333" s="456"/>
    </row>
    <row r="334" spans="8:55">
      <c r="H334" s="455"/>
      <c r="I334" s="455"/>
      <c r="J334" s="455"/>
      <c r="K334" s="456"/>
      <c r="L334" s="455"/>
      <c r="M334" s="455"/>
      <c r="N334" s="455"/>
      <c r="O334" s="455"/>
      <c r="P334" s="456"/>
      <c r="Q334" s="456"/>
      <c r="R334" s="457"/>
      <c r="S334" s="456"/>
      <c r="T334" s="455"/>
      <c r="U334" s="455"/>
      <c r="V334" s="455"/>
      <c r="W334" s="456"/>
      <c r="X334" s="455"/>
      <c r="Y334" s="455"/>
      <c r="Z334" s="455"/>
      <c r="AA334" s="455"/>
      <c r="AB334" s="456"/>
      <c r="AC334" s="455"/>
      <c r="AD334" s="455"/>
      <c r="AE334" s="455"/>
      <c r="AF334" s="455"/>
      <c r="AG334" s="455"/>
      <c r="AH334" s="455"/>
      <c r="AI334" s="455"/>
      <c r="AJ334" s="456"/>
      <c r="AK334" s="456"/>
      <c r="AL334" s="456"/>
      <c r="AM334" s="456"/>
      <c r="AN334" s="456"/>
      <c r="AO334" s="456"/>
      <c r="AP334" s="456"/>
      <c r="AQ334" s="456"/>
      <c r="AR334" s="458"/>
      <c r="AS334" s="459"/>
      <c r="AT334" s="459"/>
      <c r="AU334" s="459"/>
      <c r="AV334" s="478"/>
      <c r="AW334" s="456"/>
      <c r="AX334" s="456"/>
      <c r="AY334" s="456"/>
      <c r="AZ334" s="456"/>
      <c r="BA334" s="456"/>
      <c r="BB334" s="456"/>
      <c r="BC334" s="456"/>
    </row>
    <row r="335" spans="8:55">
      <c r="H335" s="455"/>
      <c r="I335" s="455"/>
      <c r="J335" s="455"/>
      <c r="K335" s="456"/>
      <c r="L335" s="455"/>
      <c r="M335" s="455"/>
      <c r="N335" s="455"/>
      <c r="O335" s="455"/>
      <c r="P335" s="456"/>
      <c r="Q335" s="456"/>
      <c r="R335" s="457"/>
      <c r="S335" s="456"/>
      <c r="T335" s="455"/>
      <c r="U335" s="455"/>
      <c r="V335" s="455"/>
      <c r="W335" s="456"/>
      <c r="X335" s="455"/>
      <c r="Y335" s="455"/>
      <c r="Z335" s="455"/>
      <c r="AA335" s="455"/>
      <c r="AB335" s="456"/>
      <c r="AC335" s="455"/>
      <c r="AD335" s="455"/>
      <c r="AE335" s="455"/>
      <c r="AF335" s="455"/>
      <c r="AG335" s="455"/>
      <c r="AH335" s="455"/>
      <c r="AI335" s="455"/>
      <c r="AJ335" s="456"/>
      <c r="AK335" s="456"/>
      <c r="AL335" s="456"/>
      <c r="AM335" s="456"/>
      <c r="AN335" s="456"/>
      <c r="AO335" s="456"/>
      <c r="AP335" s="456"/>
      <c r="AQ335" s="456"/>
      <c r="AR335" s="458"/>
      <c r="AS335" s="459"/>
      <c r="AT335" s="459"/>
      <c r="AU335" s="459"/>
      <c r="AV335" s="478"/>
      <c r="AW335" s="456"/>
      <c r="AX335" s="456"/>
      <c r="AY335" s="456"/>
      <c r="AZ335" s="456"/>
      <c r="BA335" s="456"/>
      <c r="BB335" s="456"/>
      <c r="BC335" s="456"/>
    </row>
    <row r="336" spans="8:55">
      <c r="H336" s="455"/>
      <c r="I336" s="455"/>
      <c r="J336" s="455"/>
      <c r="K336" s="456"/>
      <c r="L336" s="455"/>
      <c r="M336" s="455"/>
      <c r="N336" s="455"/>
      <c r="O336" s="455"/>
      <c r="P336" s="456"/>
      <c r="Q336" s="456"/>
      <c r="R336" s="457"/>
      <c r="S336" s="456"/>
      <c r="T336" s="455"/>
      <c r="U336" s="455"/>
      <c r="V336" s="455"/>
      <c r="W336" s="456"/>
      <c r="X336" s="455"/>
      <c r="Y336" s="455"/>
      <c r="Z336" s="455"/>
      <c r="AA336" s="455"/>
      <c r="AB336" s="456"/>
      <c r="AC336" s="455"/>
      <c r="AD336" s="455"/>
      <c r="AE336" s="455"/>
      <c r="AF336" s="455"/>
      <c r="AG336" s="455"/>
      <c r="AH336" s="455"/>
      <c r="AI336" s="455"/>
      <c r="AJ336" s="456"/>
      <c r="AK336" s="456"/>
      <c r="AL336" s="456"/>
      <c r="AM336" s="456"/>
      <c r="AN336" s="456"/>
      <c r="AO336" s="456"/>
      <c r="AP336" s="456"/>
      <c r="AQ336" s="456"/>
      <c r="AR336" s="458"/>
      <c r="AS336" s="459"/>
      <c r="AT336" s="459"/>
      <c r="AU336" s="459"/>
      <c r="AV336" s="478"/>
      <c r="AW336" s="456"/>
      <c r="AX336" s="456"/>
      <c r="AY336" s="456"/>
      <c r="AZ336" s="456"/>
      <c r="BA336" s="456"/>
      <c r="BB336" s="456"/>
      <c r="BC336" s="456"/>
    </row>
    <row r="337" spans="8:55">
      <c r="H337" s="455"/>
      <c r="I337" s="455"/>
      <c r="J337" s="455"/>
      <c r="K337" s="456"/>
      <c r="L337" s="455"/>
      <c r="M337" s="455"/>
      <c r="N337" s="455"/>
      <c r="O337" s="455"/>
      <c r="P337" s="456"/>
      <c r="Q337" s="456"/>
      <c r="R337" s="457"/>
      <c r="S337" s="456"/>
      <c r="T337" s="455"/>
      <c r="U337" s="455"/>
      <c r="V337" s="455"/>
      <c r="W337" s="456"/>
      <c r="X337" s="455"/>
      <c r="Y337" s="455"/>
      <c r="Z337" s="455"/>
      <c r="AA337" s="455"/>
      <c r="AB337" s="456"/>
      <c r="AC337" s="455"/>
      <c r="AD337" s="455"/>
      <c r="AE337" s="455"/>
      <c r="AF337" s="455"/>
      <c r="AG337" s="455"/>
      <c r="AH337" s="455"/>
      <c r="AI337" s="455"/>
      <c r="AJ337" s="456"/>
      <c r="AK337" s="456"/>
      <c r="AL337" s="456"/>
      <c r="AM337" s="456"/>
      <c r="AN337" s="456"/>
      <c r="AO337" s="456"/>
      <c r="AP337" s="456"/>
      <c r="AQ337" s="456"/>
      <c r="AR337" s="458"/>
      <c r="AS337" s="459"/>
      <c r="AT337" s="459"/>
      <c r="AU337" s="459"/>
      <c r="AV337" s="478"/>
      <c r="AW337" s="456"/>
      <c r="AX337" s="456"/>
      <c r="AY337" s="456"/>
      <c r="AZ337" s="456"/>
      <c r="BA337" s="456"/>
      <c r="BB337" s="456"/>
      <c r="BC337" s="456"/>
    </row>
    <row r="338" spans="8:55">
      <c r="H338" s="455"/>
      <c r="I338" s="455"/>
      <c r="J338" s="455"/>
      <c r="K338" s="456"/>
      <c r="L338" s="455"/>
      <c r="M338" s="455"/>
      <c r="N338" s="455"/>
      <c r="O338" s="455"/>
      <c r="P338" s="456"/>
      <c r="Q338" s="456"/>
      <c r="R338" s="457"/>
      <c r="S338" s="456"/>
      <c r="T338" s="455"/>
      <c r="U338" s="455"/>
      <c r="V338" s="455"/>
      <c r="W338" s="456"/>
      <c r="X338" s="455"/>
      <c r="Y338" s="455"/>
      <c r="Z338" s="455"/>
      <c r="AA338" s="455"/>
      <c r="AB338" s="456"/>
      <c r="AC338" s="455"/>
      <c r="AD338" s="455"/>
      <c r="AE338" s="455"/>
      <c r="AF338" s="455"/>
      <c r="AG338" s="455"/>
      <c r="AH338" s="455"/>
      <c r="AI338" s="455"/>
      <c r="AJ338" s="456"/>
      <c r="AK338" s="456"/>
      <c r="AL338" s="456"/>
      <c r="AM338" s="456"/>
      <c r="AN338" s="456"/>
      <c r="AO338" s="456"/>
      <c r="AP338" s="456"/>
      <c r="AQ338" s="456"/>
      <c r="AR338" s="458"/>
      <c r="AS338" s="459"/>
      <c r="AT338" s="459"/>
      <c r="AU338" s="459"/>
      <c r="AV338" s="478"/>
      <c r="AW338" s="456"/>
      <c r="AX338" s="456"/>
      <c r="AY338" s="456"/>
      <c r="AZ338" s="456"/>
      <c r="BA338" s="456"/>
      <c r="BB338" s="456"/>
      <c r="BC338" s="456"/>
    </row>
    <row r="339" spans="8:55">
      <c r="H339" s="455"/>
      <c r="I339" s="455"/>
      <c r="J339" s="455"/>
      <c r="K339" s="456"/>
      <c r="L339" s="455"/>
      <c r="M339" s="455"/>
      <c r="N339" s="455"/>
      <c r="O339" s="455"/>
      <c r="P339" s="456"/>
      <c r="Q339" s="456"/>
      <c r="R339" s="457"/>
      <c r="S339" s="456"/>
      <c r="T339" s="455"/>
      <c r="U339" s="455"/>
      <c r="V339" s="455"/>
      <c r="W339" s="456"/>
      <c r="X339" s="455"/>
      <c r="Y339" s="455"/>
      <c r="Z339" s="455"/>
      <c r="AA339" s="455"/>
      <c r="AB339" s="456"/>
      <c r="AC339" s="455"/>
      <c r="AD339" s="455"/>
      <c r="AE339" s="455"/>
      <c r="AF339" s="455"/>
      <c r="AG339" s="455"/>
      <c r="AH339" s="455"/>
      <c r="AI339" s="455"/>
      <c r="AJ339" s="456"/>
      <c r="AK339" s="456"/>
      <c r="AL339" s="456"/>
      <c r="AM339" s="456"/>
      <c r="AN339" s="456"/>
      <c r="AO339" s="456"/>
      <c r="AP339" s="456"/>
      <c r="AQ339" s="456"/>
      <c r="AR339" s="458"/>
      <c r="AS339" s="459"/>
      <c r="AT339" s="459"/>
      <c r="AU339" s="459"/>
      <c r="AV339" s="478"/>
      <c r="AW339" s="456"/>
      <c r="AX339" s="456"/>
      <c r="AY339" s="456"/>
      <c r="AZ339" s="456"/>
      <c r="BA339" s="456"/>
      <c r="BB339" s="456"/>
      <c r="BC339" s="456"/>
    </row>
    <row r="340" spans="8:55">
      <c r="H340" s="455"/>
      <c r="I340" s="455"/>
      <c r="J340" s="455"/>
      <c r="K340" s="456"/>
      <c r="L340" s="455"/>
      <c r="M340" s="455"/>
      <c r="N340" s="455"/>
      <c r="O340" s="455"/>
      <c r="P340" s="456"/>
      <c r="Q340" s="456"/>
      <c r="R340" s="457"/>
      <c r="S340" s="456"/>
      <c r="T340" s="455"/>
      <c r="U340" s="455"/>
      <c r="V340" s="455"/>
      <c r="W340" s="456"/>
      <c r="X340" s="455"/>
      <c r="Y340" s="455"/>
      <c r="Z340" s="455"/>
      <c r="AA340" s="455"/>
      <c r="AB340" s="456"/>
      <c r="AC340" s="455"/>
      <c r="AD340" s="455"/>
      <c r="AE340" s="455"/>
      <c r="AF340" s="455"/>
      <c r="AG340" s="455"/>
      <c r="AH340" s="455"/>
      <c r="AI340" s="455"/>
      <c r="AJ340" s="456"/>
      <c r="AK340" s="456"/>
      <c r="AL340" s="456"/>
      <c r="AM340" s="456"/>
      <c r="AN340" s="456"/>
      <c r="AO340" s="456"/>
      <c r="AP340" s="456"/>
      <c r="AQ340" s="456"/>
      <c r="AR340" s="458"/>
      <c r="AS340" s="459"/>
      <c r="AT340" s="459"/>
      <c r="AU340" s="459"/>
      <c r="AV340" s="478"/>
      <c r="AW340" s="456"/>
      <c r="AX340" s="456"/>
      <c r="AY340" s="456"/>
      <c r="AZ340" s="456"/>
      <c r="BA340" s="456"/>
      <c r="BB340" s="456"/>
      <c r="BC340" s="456"/>
    </row>
    <row r="341" spans="8:55">
      <c r="H341" s="455"/>
      <c r="I341" s="455"/>
      <c r="J341" s="455"/>
      <c r="K341" s="456"/>
      <c r="L341" s="455"/>
      <c r="M341" s="455"/>
      <c r="N341" s="455"/>
      <c r="O341" s="455"/>
      <c r="P341" s="456"/>
      <c r="Q341" s="456"/>
      <c r="R341" s="457"/>
      <c r="S341" s="456"/>
      <c r="T341" s="455"/>
      <c r="U341" s="455"/>
      <c r="V341" s="455"/>
      <c r="W341" s="456"/>
      <c r="X341" s="455"/>
      <c r="Y341" s="455"/>
      <c r="Z341" s="455"/>
      <c r="AA341" s="455"/>
      <c r="AB341" s="456"/>
      <c r="AC341" s="455"/>
      <c r="AD341" s="455"/>
      <c r="AE341" s="455"/>
      <c r="AF341" s="455"/>
      <c r="AG341" s="455"/>
      <c r="AH341" s="455"/>
      <c r="AI341" s="455"/>
      <c r="AJ341" s="456"/>
      <c r="AK341" s="456"/>
      <c r="AL341" s="456"/>
      <c r="AM341" s="456"/>
      <c r="AN341" s="456"/>
      <c r="AO341" s="456"/>
      <c r="AP341" s="456"/>
      <c r="AQ341" s="456"/>
      <c r="AR341" s="458"/>
      <c r="AS341" s="459"/>
      <c r="AT341" s="459"/>
      <c r="AU341" s="459"/>
      <c r="AV341" s="478"/>
      <c r="AW341" s="456"/>
      <c r="AX341" s="456"/>
      <c r="AY341" s="456"/>
      <c r="AZ341" s="456"/>
      <c r="BA341" s="456"/>
      <c r="BB341" s="456"/>
      <c r="BC341" s="456"/>
    </row>
    <row r="342" spans="8:55">
      <c r="H342" s="455"/>
      <c r="I342" s="455"/>
      <c r="J342" s="455"/>
      <c r="K342" s="456"/>
      <c r="L342" s="455"/>
      <c r="M342" s="455"/>
      <c r="N342" s="455"/>
      <c r="O342" s="455"/>
      <c r="P342" s="456"/>
      <c r="Q342" s="456"/>
      <c r="R342" s="457"/>
      <c r="S342" s="456"/>
      <c r="T342" s="455"/>
      <c r="U342" s="455"/>
      <c r="V342" s="455"/>
      <c r="W342" s="456"/>
      <c r="X342" s="455"/>
      <c r="Y342" s="455"/>
      <c r="Z342" s="455"/>
      <c r="AA342" s="455"/>
      <c r="AB342" s="456"/>
      <c r="AC342" s="455"/>
      <c r="AD342" s="455"/>
      <c r="AE342" s="455"/>
      <c r="AF342" s="455"/>
      <c r="AG342" s="455"/>
      <c r="AH342" s="455"/>
      <c r="AI342" s="455"/>
      <c r="AJ342" s="456"/>
      <c r="AK342" s="456"/>
      <c r="AL342" s="456"/>
      <c r="AM342" s="456"/>
      <c r="AN342" s="456"/>
      <c r="AO342" s="456"/>
      <c r="AP342" s="456"/>
      <c r="AQ342" s="456"/>
      <c r="AR342" s="458"/>
      <c r="AS342" s="459"/>
      <c r="AT342" s="459"/>
      <c r="AU342" s="459"/>
      <c r="AV342" s="478"/>
      <c r="AW342" s="456"/>
      <c r="AX342" s="456"/>
      <c r="AY342" s="456"/>
      <c r="AZ342" s="456"/>
      <c r="BA342" s="456"/>
      <c r="BB342" s="456"/>
      <c r="BC342" s="456"/>
    </row>
    <row r="343" spans="8:55">
      <c r="H343" s="455"/>
      <c r="I343" s="455"/>
      <c r="J343" s="455"/>
      <c r="K343" s="456"/>
      <c r="L343" s="455"/>
      <c r="M343" s="455"/>
      <c r="N343" s="455"/>
      <c r="O343" s="455"/>
      <c r="P343" s="456"/>
      <c r="Q343" s="456"/>
      <c r="R343" s="457"/>
      <c r="S343" s="456"/>
      <c r="T343" s="455"/>
      <c r="U343" s="455"/>
      <c r="V343" s="455"/>
      <c r="W343" s="456"/>
      <c r="X343" s="455"/>
      <c r="Y343" s="455"/>
      <c r="Z343" s="455"/>
      <c r="AA343" s="455"/>
      <c r="AB343" s="456"/>
      <c r="AC343" s="455"/>
      <c r="AD343" s="455"/>
      <c r="AE343" s="455"/>
      <c r="AF343" s="455"/>
      <c r="AG343" s="455"/>
      <c r="AH343" s="455"/>
      <c r="AI343" s="455"/>
      <c r="AJ343" s="456"/>
      <c r="AK343" s="456"/>
      <c r="AL343" s="456"/>
      <c r="AM343" s="456"/>
      <c r="AN343" s="456"/>
      <c r="AO343" s="456"/>
      <c r="AP343" s="456"/>
      <c r="AQ343" s="456"/>
      <c r="AR343" s="458"/>
      <c r="AS343" s="459"/>
      <c r="AT343" s="459"/>
      <c r="AU343" s="459"/>
      <c r="AV343" s="478"/>
      <c r="AW343" s="456"/>
      <c r="AX343" s="456"/>
      <c r="AY343" s="456"/>
      <c r="AZ343" s="456"/>
      <c r="BA343" s="456"/>
      <c r="BB343" s="456"/>
      <c r="BC343" s="456"/>
    </row>
    <row r="344" spans="8:55">
      <c r="H344" s="455"/>
      <c r="I344" s="455"/>
      <c r="J344" s="455"/>
      <c r="K344" s="456"/>
      <c r="L344" s="455"/>
      <c r="M344" s="455"/>
      <c r="N344" s="455"/>
      <c r="O344" s="455"/>
      <c r="P344" s="456"/>
      <c r="Q344" s="456"/>
      <c r="R344" s="457"/>
      <c r="S344" s="456"/>
      <c r="T344" s="455"/>
      <c r="U344" s="455"/>
      <c r="V344" s="455"/>
      <c r="W344" s="456"/>
      <c r="X344" s="455"/>
      <c r="Y344" s="455"/>
      <c r="Z344" s="455"/>
      <c r="AA344" s="455"/>
      <c r="AB344" s="456"/>
      <c r="AC344" s="455"/>
      <c r="AD344" s="455"/>
      <c r="AE344" s="455"/>
      <c r="AF344" s="455"/>
      <c r="AG344" s="455"/>
      <c r="AH344" s="455"/>
      <c r="AI344" s="455"/>
      <c r="AJ344" s="456"/>
      <c r="AK344" s="456"/>
      <c r="AL344" s="456"/>
      <c r="AM344" s="456"/>
      <c r="AN344" s="456"/>
      <c r="AO344" s="456"/>
      <c r="AP344" s="456"/>
      <c r="AQ344" s="456"/>
      <c r="AR344" s="458"/>
      <c r="AS344" s="459"/>
      <c r="AT344" s="459"/>
      <c r="AU344" s="459"/>
      <c r="AV344" s="478"/>
      <c r="AW344" s="456"/>
      <c r="AX344" s="456"/>
      <c r="AY344" s="456"/>
      <c r="AZ344" s="456"/>
      <c r="BA344" s="456"/>
      <c r="BB344" s="456"/>
      <c r="BC344" s="456"/>
    </row>
    <row r="345" spans="8:55">
      <c r="H345" s="455"/>
      <c r="I345" s="455"/>
      <c r="J345" s="455"/>
      <c r="K345" s="456"/>
      <c r="L345" s="455"/>
      <c r="M345" s="455"/>
      <c r="N345" s="455"/>
      <c r="O345" s="455"/>
      <c r="P345" s="456"/>
      <c r="Q345" s="456"/>
      <c r="R345" s="457"/>
      <c r="S345" s="456"/>
      <c r="T345" s="455"/>
      <c r="U345" s="455"/>
      <c r="V345" s="455"/>
      <c r="W345" s="456"/>
      <c r="X345" s="455"/>
      <c r="Y345" s="455"/>
      <c r="Z345" s="455"/>
      <c r="AA345" s="455"/>
      <c r="AB345" s="456"/>
      <c r="AC345" s="455"/>
      <c r="AD345" s="455"/>
      <c r="AE345" s="455"/>
      <c r="AF345" s="455"/>
      <c r="AG345" s="455"/>
      <c r="AH345" s="455"/>
      <c r="AI345" s="455"/>
      <c r="AJ345" s="456"/>
      <c r="AK345" s="456"/>
      <c r="AL345" s="456"/>
      <c r="AM345" s="456"/>
      <c r="AN345" s="456"/>
      <c r="AO345" s="456"/>
      <c r="AP345" s="456"/>
      <c r="AQ345" s="456"/>
      <c r="AR345" s="458"/>
      <c r="AS345" s="459"/>
      <c r="AT345" s="459"/>
      <c r="AU345" s="459"/>
      <c r="AV345" s="478"/>
      <c r="AW345" s="456"/>
      <c r="AX345" s="456"/>
      <c r="AY345" s="456"/>
      <c r="AZ345" s="456"/>
      <c r="BA345" s="456"/>
      <c r="BB345" s="456"/>
      <c r="BC345" s="456"/>
    </row>
    <row r="346" spans="8:55">
      <c r="H346" s="455"/>
      <c r="I346" s="455"/>
      <c r="J346" s="455"/>
      <c r="K346" s="456"/>
      <c r="L346" s="455"/>
      <c r="M346" s="455"/>
      <c r="N346" s="455"/>
      <c r="O346" s="455"/>
      <c r="P346" s="456"/>
      <c r="Q346" s="456"/>
      <c r="R346" s="457"/>
      <c r="S346" s="456"/>
      <c r="T346" s="455"/>
      <c r="U346" s="455"/>
      <c r="V346" s="455"/>
      <c r="W346" s="456"/>
      <c r="X346" s="455"/>
      <c r="Y346" s="455"/>
      <c r="Z346" s="455"/>
      <c r="AA346" s="455"/>
      <c r="AB346" s="456"/>
      <c r="AC346" s="455"/>
      <c r="AD346" s="455"/>
      <c r="AE346" s="455"/>
      <c r="AF346" s="455"/>
      <c r="AG346" s="455"/>
      <c r="AH346" s="455"/>
      <c r="AI346" s="455"/>
      <c r="AJ346" s="456"/>
      <c r="AK346" s="456"/>
      <c r="AL346" s="456"/>
      <c r="AM346" s="456"/>
      <c r="AN346" s="456"/>
      <c r="AO346" s="456"/>
      <c r="AP346" s="456"/>
      <c r="AQ346" s="456"/>
      <c r="AR346" s="458"/>
      <c r="AS346" s="459"/>
      <c r="AT346" s="459"/>
      <c r="AU346" s="459"/>
      <c r="AV346" s="478"/>
      <c r="AW346" s="456"/>
      <c r="AX346" s="456"/>
      <c r="AY346" s="456"/>
      <c r="AZ346" s="456"/>
      <c r="BA346" s="456"/>
      <c r="BB346" s="456"/>
      <c r="BC346" s="456"/>
    </row>
    <row r="347" spans="8:55">
      <c r="H347" s="455"/>
      <c r="I347" s="455"/>
      <c r="J347" s="455"/>
      <c r="K347" s="456"/>
      <c r="L347" s="455"/>
      <c r="M347" s="455"/>
      <c r="N347" s="455"/>
      <c r="O347" s="455"/>
      <c r="P347" s="456"/>
      <c r="Q347" s="456"/>
      <c r="R347" s="457"/>
      <c r="S347" s="456"/>
      <c r="T347" s="455"/>
      <c r="U347" s="455"/>
      <c r="V347" s="455"/>
      <c r="W347" s="456"/>
      <c r="X347" s="455"/>
      <c r="Y347" s="455"/>
      <c r="Z347" s="455"/>
      <c r="AA347" s="455"/>
      <c r="AB347" s="456"/>
      <c r="AC347" s="455"/>
      <c r="AD347" s="455"/>
      <c r="AE347" s="455"/>
      <c r="AF347" s="455"/>
      <c r="AG347" s="455"/>
      <c r="AH347" s="455"/>
      <c r="AI347" s="455"/>
      <c r="AJ347" s="456"/>
      <c r="AK347" s="456"/>
      <c r="AL347" s="456"/>
      <c r="AM347" s="456"/>
      <c r="AN347" s="456"/>
      <c r="AO347" s="456"/>
      <c r="AP347" s="456"/>
      <c r="AQ347" s="456"/>
      <c r="AR347" s="458"/>
      <c r="AS347" s="459"/>
      <c r="AT347" s="459"/>
      <c r="AU347" s="459"/>
      <c r="AV347" s="478"/>
      <c r="AW347" s="456"/>
      <c r="AX347" s="456"/>
      <c r="AY347" s="456"/>
      <c r="AZ347" s="456"/>
      <c r="BA347" s="456"/>
      <c r="BB347" s="456"/>
      <c r="BC347" s="456"/>
    </row>
    <row r="348" spans="8:55">
      <c r="H348" s="455"/>
      <c r="I348" s="455"/>
      <c r="J348" s="455"/>
      <c r="K348" s="456"/>
      <c r="L348" s="455"/>
      <c r="M348" s="455"/>
      <c r="N348" s="455"/>
      <c r="O348" s="455"/>
      <c r="P348" s="456"/>
      <c r="Q348" s="456"/>
      <c r="R348" s="457"/>
      <c r="S348" s="456"/>
      <c r="T348" s="455"/>
      <c r="U348" s="455"/>
      <c r="V348" s="455"/>
      <c r="W348" s="456"/>
      <c r="X348" s="455"/>
      <c r="Y348" s="455"/>
      <c r="Z348" s="455"/>
      <c r="AA348" s="455"/>
      <c r="AB348" s="456"/>
      <c r="AC348" s="455"/>
      <c r="AD348" s="455"/>
      <c r="AE348" s="455"/>
      <c r="AF348" s="455"/>
      <c r="AG348" s="455"/>
      <c r="AH348" s="455"/>
      <c r="AI348" s="455"/>
      <c r="AJ348" s="456"/>
      <c r="AK348" s="456"/>
      <c r="AL348" s="456"/>
      <c r="AM348" s="456"/>
      <c r="AN348" s="456"/>
      <c r="AO348" s="456"/>
      <c r="AP348" s="456"/>
      <c r="AQ348" s="456"/>
      <c r="AR348" s="458"/>
      <c r="AS348" s="459"/>
      <c r="AT348" s="459"/>
      <c r="AU348" s="459"/>
      <c r="AV348" s="478"/>
      <c r="AW348" s="456"/>
      <c r="AX348" s="456"/>
      <c r="AY348" s="456"/>
      <c r="AZ348" s="456"/>
      <c r="BA348" s="456"/>
      <c r="BB348" s="456"/>
      <c r="BC348" s="456"/>
    </row>
    <row r="349" spans="8:55">
      <c r="H349" s="455"/>
      <c r="I349" s="455"/>
      <c r="J349" s="455"/>
      <c r="K349" s="456"/>
      <c r="L349" s="455"/>
      <c r="M349" s="455"/>
      <c r="N349" s="455"/>
      <c r="O349" s="455"/>
      <c r="P349" s="456"/>
      <c r="Q349" s="456"/>
      <c r="R349" s="457"/>
      <c r="S349" s="456"/>
      <c r="T349" s="455"/>
      <c r="U349" s="455"/>
      <c r="V349" s="455"/>
      <c r="W349" s="456"/>
      <c r="X349" s="455"/>
      <c r="Y349" s="455"/>
      <c r="Z349" s="455"/>
      <c r="AA349" s="455"/>
      <c r="AB349" s="456"/>
      <c r="AC349" s="455"/>
      <c r="AD349" s="455"/>
      <c r="AE349" s="455"/>
      <c r="AF349" s="455"/>
      <c r="AG349" s="455"/>
      <c r="AH349" s="455"/>
      <c r="AI349" s="455"/>
      <c r="AJ349" s="456"/>
      <c r="AK349" s="456"/>
      <c r="AL349" s="456"/>
      <c r="AM349" s="456"/>
      <c r="AN349" s="456"/>
      <c r="AO349" s="456"/>
      <c r="AP349" s="456"/>
      <c r="AQ349" s="456"/>
      <c r="AR349" s="458"/>
      <c r="AS349" s="459"/>
      <c r="AT349" s="459"/>
      <c r="AU349" s="459"/>
      <c r="AV349" s="478"/>
      <c r="AW349" s="456"/>
      <c r="AX349" s="456"/>
      <c r="AY349" s="456"/>
      <c r="AZ349" s="456"/>
      <c r="BA349" s="456"/>
      <c r="BB349" s="456"/>
      <c r="BC349" s="456"/>
    </row>
    <row r="350" spans="8:55">
      <c r="H350" s="455"/>
      <c r="I350" s="455"/>
      <c r="J350" s="455"/>
      <c r="K350" s="456"/>
      <c r="L350" s="455"/>
      <c r="M350" s="455"/>
      <c r="N350" s="455"/>
      <c r="O350" s="455"/>
      <c r="P350" s="456"/>
      <c r="Q350" s="456"/>
      <c r="R350" s="457"/>
      <c r="S350" s="456"/>
      <c r="T350" s="455"/>
      <c r="U350" s="455"/>
      <c r="V350" s="455"/>
      <c r="W350" s="456"/>
      <c r="X350" s="455"/>
      <c r="Y350" s="455"/>
      <c r="Z350" s="455"/>
      <c r="AA350" s="455"/>
      <c r="AB350" s="456"/>
      <c r="AC350" s="455"/>
      <c r="AD350" s="455"/>
      <c r="AE350" s="455"/>
      <c r="AF350" s="455"/>
      <c r="AG350" s="455"/>
      <c r="AH350" s="455"/>
      <c r="AI350" s="455"/>
      <c r="AJ350" s="456"/>
      <c r="AK350" s="456"/>
      <c r="AL350" s="456"/>
      <c r="AM350" s="456"/>
      <c r="AN350" s="456"/>
      <c r="AO350" s="456"/>
      <c r="AP350" s="456"/>
      <c r="AQ350" s="456"/>
      <c r="AR350" s="458"/>
      <c r="AS350" s="459"/>
      <c r="AT350" s="459"/>
      <c r="AU350" s="459"/>
      <c r="AV350" s="478"/>
      <c r="AW350" s="456"/>
      <c r="AX350" s="456"/>
      <c r="AY350" s="456"/>
      <c r="AZ350" s="456"/>
      <c r="BA350" s="456"/>
      <c r="BB350" s="456"/>
      <c r="BC350" s="456"/>
    </row>
    <row r="351" spans="8:55">
      <c r="H351" s="455"/>
      <c r="I351" s="455"/>
      <c r="J351" s="455"/>
      <c r="K351" s="456"/>
      <c r="L351" s="455"/>
      <c r="M351" s="455"/>
      <c r="N351" s="455"/>
      <c r="O351" s="455"/>
      <c r="P351" s="456"/>
      <c r="Q351" s="456"/>
      <c r="R351" s="457"/>
      <c r="S351" s="456"/>
      <c r="T351" s="455"/>
      <c r="U351" s="455"/>
      <c r="V351" s="455"/>
      <c r="W351" s="456"/>
      <c r="X351" s="455"/>
      <c r="Y351" s="455"/>
      <c r="Z351" s="455"/>
      <c r="AA351" s="455"/>
      <c r="AB351" s="456"/>
      <c r="AC351" s="455"/>
      <c r="AD351" s="455"/>
      <c r="AE351" s="455"/>
      <c r="AF351" s="455"/>
      <c r="AG351" s="455"/>
      <c r="AH351" s="455"/>
      <c r="AI351" s="455"/>
      <c r="AJ351" s="456"/>
      <c r="AK351" s="456"/>
      <c r="AL351" s="456"/>
      <c r="AM351" s="456"/>
      <c r="AN351" s="456"/>
      <c r="AO351" s="456"/>
      <c r="AP351" s="456"/>
      <c r="AQ351" s="456"/>
      <c r="AR351" s="458"/>
      <c r="AS351" s="459"/>
      <c r="AT351" s="459"/>
      <c r="AU351" s="459"/>
      <c r="AV351" s="478"/>
      <c r="AW351" s="456"/>
      <c r="AX351" s="456"/>
      <c r="AY351" s="456"/>
      <c r="AZ351" s="456"/>
      <c r="BA351" s="456"/>
      <c r="BB351" s="456"/>
      <c r="BC351" s="456"/>
    </row>
    <row r="352" spans="8:55">
      <c r="H352" s="455"/>
      <c r="I352" s="455"/>
      <c r="J352" s="455"/>
      <c r="K352" s="456"/>
      <c r="L352" s="455"/>
      <c r="M352" s="455"/>
      <c r="N352" s="455"/>
      <c r="O352" s="455"/>
      <c r="P352" s="456"/>
      <c r="Q352" s="456"/>
      <c r="R352" s="457"/>
      <c r="S352" s="456"/>
      <c r="T352" s="455"/>
      <c r="U352" s="455"/>
      <c r="V352" s="455"/>
      <c r="W352" s="456"/>
      <c r="X352" s="455"/>
      <c r="Y352" s="455"/>
      <c r="Z352" s="455"/>
      <c r="AA352" s="455"/>
      <c r="AB352" s="456"/>
      <c r="AC352" s="455"/>
      <c r="AD352" s="455"/>
      <c r="AE352" s="455"/>
      <c r="AF352" s="455"/>
      <c r="AG352" s="455"/>
      <c r="AH352" s="455"/>
      <c r="AI352" s="455"/>
      <c r="AJ352" s="456"/>
      <c r="AK352" s="456"/>
      <c r="AL352" s="456"/>
      <c r="AM352" s="456"/>
      <c r="AN352" s="456"/>
      <c r="AO352" s="456"/>
      <c r="AP352" s="456"/>
      <c r="AQ352" s="456"/>
      <c r="AR352" s="458"/>
      <c r="AS352" s="459"/>
      <c r="AT352" s="459"/>
      <c r="AU352" s="459"/>
      <c r="AV352" s="478"/>
      <c r="AW352" s="456"/>
      <c r="AX352" s="456"/>
      <c r="AY352" s="456"/>
      <c r="AZ352" s="456"/>
      <c r="BA352" s="456"/>
      <c r="BB352" s="456"/>
      <c r="BC352" s="456"/>
    </row>
    <row r="353" spans="8:55">
      <c r="H353" s="455"/>
      <c r="I353" s="455"/>
      <c r="J353" s="455"/>
      <c r="K353" s="456"/>
      <c r="L353" s="455"/>
      <c r="M353" s="455"/>
      <c r="N353" s="455"/>
      <c r="O353" s="455"/>
      <c r="P353" s="456"/>
      <c r="Q353" s="456"/>
      <c r="R353" s="457"/>
      <c r="S353" s="456"/>
      <c r="T353" s="455"/>
      <c r="U353" s="455"/>
      <c r="V353" s="455"/>
      <c r="W353" s="456"/>
      <c r="X353" s="455"/>
      <c r="Y353" s="455"/>
      <c r="Z353" s="455"/>
      <c r="AA353" s="455"/>
      <c r="AB353" s="456"/>
      <c r="AC353" s="455"/>
      <c r="AD353" s="455"/>
      <c r="AE353" s="455"/>
      <c r="AF353" s="455"/>
      <c r="AG353" s="455"/>
      <c r="AH353" s="455"/>
      <c r="AI353" s="455"/>
      <c r="AJ353" s="456"/>
      <c r="AK353" s="456"/>
      <c r="AL353" s="456"/>
      <c r="AM353" s="456"/>
      <c r="AN353" s="456"/>
      <c r="AO353" s="456"/>
      <c r="AP353" s="456"/>
      <c r="AQ353" s="456"/>
      <c r="AR353" s="458"/>
      <c r="AS353" s="459"/>
      <c r="AT353" s="459"/>
      <c r="AU353" s="459"/>
      <c r="AV353" s="478"/>
      <c r="AW353" s="456"/>
      <c r="AX353" s="456"/>
      <c r="AY353" s="456"/>
      <c r="AZ353" s="456"/>
      <c r="BA353" s="456"/>
      <c r="BB353" s="456"/>
      <c r="BC353" s="456"/>
    </row>
    <row r="354" spans="8:55">
      <c r="H354" s="455"/>
      <c r="I354" s="455"/>
      <c r="J354" s="455"/>
      <c r="K354" s="456"/>
      <c r="L354" s="455"/>
      <c r="M354" s="455"/>
      <c r="N354" s="455"/>
      <c r="O354" s="455"/>
      <c r="P354" s="456"/>
      <c r="Q354" s="456"/>
      <c r="R354" s="457"/>
      <c r="S354" s="456"/>
      <c r="T354" s="455"/>
      <c r="U354" s="455"/>
      <c r="V354" s="455"/>
      <c r="W354" s="456"/>
      <c r="X354" s="455"/>
      <c r="Y354" s="455"/>
      <c r="Z354" s="455"/>
      <c r="AA354" s="455"/>
      <c r="AB354" s="456"/>
      <c r="AC354" s="455"/>
      <c r="AD354" s="455"/>
      <c r="AE354" s="455"/>
      <c r="AF354" s="455"/>
      <c r="AG354" s="455"/>
      <c r="AH354" s="455"/>
      <c r="AI354" s="455"/>
      <c r="AJ354" s="456"/>
      <c r="AK354" s="456"/>
      <c r="AL354" s="456"/>
      <c r="AM354" s="456"/>
      <c r="AN354" s="456"/>
      <c r="AO354" s="456"/>
      <c r="AP354" s="456"/>
      <c r="AQ354" s="456"/>
      <c r="AR354" s="458"/>
      <c r="AS354" s="459"/>
      <c r="AT354" s="459"/>
      <c r="AU354" s="459"/>
      <c r="AV354" s="478"/>
      <c r="AW354" s="456"/>
      <c r="AX354" s="456"/>
      <c r="AY354" s="456"/>
      <c r="AZ354" s="456"/>
      <c r="BA354" s="456"/>
      <c r="BB354" s="456"/>
      <c r="BC354" s="456"/>
    </row>
    <row r="355" spans="8:55">
      <c r="H355" s="455"/>
      <c r="I355" s="455"/>
      <c r="J355" s="455"/>
      <c r="K355" s="456"/>
      <c r="L355" s="455"/>
      <c r="M355" s="455"/>
      <c r="N355" s="455"/>
      <c r="O355" s="455"/>
      <c r="P355" s="456"/>
      <c r="Q355" s="456"/>
      <c r="R355" s="457"/>
      <c r="S355" s="456"/>
      <c r="T355" s="455"/>
      <c r="U355" s="455"/>
      <c r="V355" s="455"/>
      <c r="W355" s="456"/>
      <c r="X355" s="455"/>
      <c r="Y355" s="455"/>
      <c r="Z355" s="455"/>
      <c r="AA355" s="455"/>
      <c r="AB355" s="456"/>
      <c r="AC355" s="455"/>
      <c r="AD355" s="455"/>
      <c r="AE355" s="455"/>
      <c r="AF355" s="455"/>
      <c r="AG355" s="455"/>
      <c r="AH355" s="455"/>
      <c r="AI355" s="455"/>
      <c r="AJ355" s="456"/>
      <c r="AK355" s="456"/>
      <c r="AL355" s="456"/>
      <c r="AM355" s="456"/>
      <c r="AN355" s="456"/>
      <c r="AO355" s="456"/>
      <c r="AP355" s="456"/>
      <c r="AQ355" s="456"/>
      <c r="AR355" s="458"/>
      <c r="AS355" s="459"/>
      <c r="AT355" s="459"/>
      <c r="AU355" s="459"/>
      <c r="AV355" s="478"/>
      <c r="AW355" s="456"/>
      <c r="AX355" s="456"/>
      <c r="AY355" s="456"/>
      <c r="AZ355" s="456"/>
      <c r="BA355" s="456"/>
      <c r="BB355" s="456"/>
      <c r="BC355" s="456"/>
    </row>
    <row r="356" spans="8:55">
      <c r="H356" s="455"/>
      <c r="I356" s="455"/>
      <c r="J356" s="455"/>
      <c r="K356" s="456"/>
      <c r="L356" s="455"/>
      <c r="M356" s="455"/>
      <c r="N356" s="455"/>
      <c r="O356" s="455"/>
      <c r="P356" s="456"/>
      <c r="Q356" s="456"/>
      <c r="R356" s="457"/>
      <c r="S356" s="456"/>
      <c r="T356" s="455"/>
      <c r="U356" s="455"/>
      <c r="V356" s="455"/>
      <c r="W356" s="456"/>
      <c r="X356" s="455"/>
      <c r="Y356" s="455"/>
      <c r="Z356" s="455"/>
      <c r="AA356" s="455"/>
      <c r="AB356" s="456"/>
      <c r="AC356" s="455"/>
      <c r="AD356" s="455"/>
      <c r="AE356" s="455"/>
      <c r="AF356" s="455"/>
      <c r="AG356" s="455"/>
      <c r="AH356" s="455"/>
      <c r="AI356" s="455"/>
      <c r="AJ356" s="456"/>
      <c r="AK356" s="456"/>
      <c r="AL356" s="456"/>
      <c r="AM356" s="456"/>
      <c r="AN356" s="456"/>
      <c r="AO356" s="456"/>
      <c r="AP356" s="456"/>
      <c r="AQ356" s="456"/>
      <c r="AR356" s="458"/>
      <c r="AS356" s="459"/>
      <c r="AT356" s="459"/>
      <c r="AU356" s="459"/>
      <c r="AV356" s="478"/>
      <c r="AW356" s="456"/>
      <c r="AX356" s="456"/>
      <c r="AY356" s="456"/>
      <c r="AZ356" s="456"/>
      <c r="BA356" s="456"/>
      <c r="BB356" s="456"/>
      <c r="BC356" s="456"/>
    </row>
    <row r="357" spans="8:55">
      <c r="H357" s="455"/>
      <c r="I357" s="455"/>
      <c r="J357" s="455"/>
      <c r="K357" s="456"/>
      <c r="L357" s="455"/>
      <c r="M357" s="455"/>
      <c r="N357" s="455"/>
      <c r="O357" s="455"/>
      <c r="P357" s="456"/>
      <c r="Q357" s="456"/>
      <c r="R357" s="457"/>
      <c r="S357" s="456"/>
      <c r="T357" s="455"/>
      <c r="U357" s="455"/>
      <c r="V357" s="455"/>
      <c r="W357" s="456"/>
      <c r="X357" s="455"/>
      <c r="Y357" s="455"/>
      <c r="Z357" s="455"/>
      <c r="AA357" s="455"/>
      <c r="AB357" s="456"/>
      <c r="AC357" s="455"/>
      <c r="AD357" s="455"/>
      <c r="AE357" s="455"/>
      <c r="AF357" s="455"/>
      <c r="AG357" s="455"/>
      <c r="AH357" s="455"/>
      <c r="AI357" s="455"/>
      <c r="AJ357" s="456"/>
      <c r="AK357" s="456"/>
      <c r="AL357" s="456"/>
      <c r="AM357" s="456"/>
      <c r="AN357" s="456"/>
      <c r="AO357" s="456"/>
      <c r="AP357" s="456"/>
      <c r="AQ357" s="456"/>
      <c r="AR357" s="458"/>
      <c r="AS357" s="459"/>
      <c r="AT357" s="459"/>
      <c r="AU357" s="459"/>
      <c r="AV357" s="478"/>
      <c r="AW357" s="456"/>
      <c r="AX357" s="456"/>
      <c r="AY357" s="456"/>
      <c r="AZ357" s="456"/>
      <c r="BA357" s="456"/>
      <c r="BB357" s="456"/>
      <c r="BC357" s="456"/>
    </row>
    <row r="358" spans="8:55">
      <c r="H358" s="455"/>
      <c r="I358" s="455"/>
      <c r="J358" s="455"/>
      <c r="K358" s="456"/>
      <c r="L358" s="455"/>
      <c r="M358" s="455"/>
      <c r="N358" s="455"/>
      <c r="O358" s="455"/>
      <c r="P358" s="456"/>
      <c r="Q358" s="456"/>
      <c r="R358" s="457"/>
      <c r="S358" s="456"/>
      <c r="T358" s="455"/>
      <c r="U358" s="455"/>
      <c r="V358" s="455"/>
      <c r="W358" s="456"/>
      <c r="X358" s="455"/>
      <c r="Y358" s="455"/>
      <c r="Z358" s="455"/>
      <c r="AA358" s="455"/>
      <c r="AB358" s="456"/>
      <c r="AC358" s="455"/>
      <c r="AD358" s="455"/>
      <c r="AE358" s="455"/>
      <c r="AF358" s="455"/>
      <c r="AG358" s="455"/>
      <c r="AH358" s="455"/>
      <c r="AI358" s="455"/>
      <c r="AJ358" s="456"/>
      <c r="AK358" s="456"/>
      <c r="AL358" s="456"/>
      <c r="AM358" s="456"/>
      <c r="AN358" s="456"/>
      <c r="AO358" s="456"/>
      <c r="AP358" s="456"/>
      <c r="AQ358" s="456"/>
      <c r="AR358" s="458"/>
      <c r="AS358" s="459"/>
      <c r="AT358" s="459"/>
      <c r="AU358" s="459"/>
      <c r="AV358" s="478"/>
      <c r="AW358" s="456"/>
      <c r="AX358" s="456"/>
      <c r="AY358" s="456"/>
      <c r="AZ358" s="456"/>
      <c r="BA358" s="456"/>
      <c r="BB358" s="456"/>
      <c r="BC358" s="456"/>
    </row>
    <row r="359" spans="8:55">
      <c r="H359" s="455"/>
      <c r="I359" s="455"/>
      <c r="J359" s="455"/>
      <c r="K359" s="456"/>
      <c r="L359" s="455"/>
      <c r="M359" s="455"/>
      <c r="N359" s="455"/>
      <c r="O359" s="455"/>
      <c r="P359" s="456"/>
      <c r="Q359" s="456"/>
      <c r="R359" s="457"/>
      <c r="S359" s="456"/>
      <c r="T359" s="455"/>
      <c r="U359" s="455"/>
      <c r="V359" s="455"/>
      <c r="W359" s="456"/>
      <c r="X359" s="455"/>
      <c r="Y359" s="455"/>
      <c r="Z359" s="455"/>
      <c r="AA359" s="455"/>
      <c r="AB359" s="456"/>
      <c r="AC359" s="455"/>
      <c r="AD359" s="455"/>
      <c r="AE359" s="455"/>
      <c r="AF359" s="455"/>
      <c r="AG359" s="455"/>
      <c r="AH359" s="455"/>
      <c r="AI359" s="455"/>
      <c r="AJ359" s="456"/>
      <c r="AK359" s="456"/>
      <c r="AL359" s="456"/>
      <c r="AM359" s="456"/>
      <c r="AN359" s="456"/>
      <c r="AO359" s="456"/>
      <c r="AP359" s="456"/>
      <c r="AQ359" s="456"/>
      <c r="AR359" s="458"/>
      <c r="AS359" s="459"/>
      <c r="AT359" s="459"/>
      <c r="AU359" s="459"/>
      <c r="AV359" s="478"/>
      <c r="AW359" s="456"/>
      <c r="AX359" s="456"/>
      <c r="AY359" s="456"/>
      <c r="AZ359" s="456"/>
      <c r="BA359" s="456"/>
      <c r="BB359" s="456"/>
      <c r="BC359" s="456"/>
    </row>
    <row r="360" spans="8:55">
      <c r="H360" s="455"/>
      <c r="I360" s="455"/>
      <c r="J360" s="455"/>
      <c r="K360" s="456"/>
      <c r="L360" s="455"/>
      <c r="M360" s="455"/>
      <c r="N360" s="455"/>
      <c r="O360" s="455"/>
      <c r="P360" s="456"/>
      <c r="Q360" s="456"/>
      <c r="R360" s="457"/>
      <c r="S360" s="456"/>
      <c r="T360" s="455"/>
      <c r="U360" s="455"/>
      <c r="V360" s="455"/>
      <c r="W360" s="456"/>
      <c r="X360" s="455"/>
      <c r="Y360" s="455"/>
      <c r="Z360" s="455"/>
      <c r="AA360" s="455"/>
      <c r="AB360" s="456"/>
      <c r="AC360" s="455"/>
      <c r="AD360" s="455"/>
      <c r="AE360" s="455"/>
      <c r="AF360" s="455"/>
      <c r="AG360" s="455"/>
      <c r="AH360" s="455"/>
      <c r="AI360" s="455"/>
      <c r="AJ360" s="456"/>
      <c r="AK360" s="456"/>
      <c r="AL360" s="456"/>
      <c r="AM360" s="456"/>
      <c r="AN360" s="456"/>
      <c r="AO360" s="456"/>
      <c r="AP360" s="456"/>
      <c r="AQ360" s="456"/>
      <c r="AR360" s="458"/>
      <c r="AS360" s="459"/>
      <c r="AT360" s="459"/>
      <c r="AU360" s="459"/>
      <c r="AV360" s="478"/>
      <c r="AW360" s="456"/>
      <c r="AX360" s="456"/>
      <c r="AY360" s="456"/>
      <c r="AZ360" s="456"/>
      <c r="BA360" s="456"/>
      <c r="BB360" s="456"/>
      <c r="BC360" s="456"/>
    </row>
    <row r="361" spans="8:55">
      <c r="H361" s="455"/>
      <c r="I361" s="455"/>
      <c r="J361" s="455"/>
      <c r="K361" s="456"/>
      <c r="L361" s="455"/>
      <c r="M361" s="455"/>
      <c r="N361" s="455"/>
      <c r="O361" s="455"/>
      <c r="P361" s="456"/>
      <c r="Q361" s="456"/>
      <c r="R361" s="457"/>
      <c r="S361" s="456"/>
      <c r="T361" s="455"/>
      <c r="U361" s="455"/>
      <c r="V361" s="455"/>
      <c r="W361" s="456"/>
      <c r="X361" s="455"/>
      <c r="Y361" s="455"/>
      <c r="Z361" s="455"/>
      <c r="AA361" s="455"/>
      <c r="AB361" s="456"/>
      <c r="AC361" s="455"/>
      <c r="AD361" s="455"/>
      <c r="AE361" s="455"/>
      <c r="AF361" s="455"/>
      <c r="AG361" s="455"/>
      <c r="AH361" s="455"/>
      <c r="AI361" s="455"/>
      <c r="AJ361" s="456"/>
      <c r="AK361" s="456"/>
      <c r="AL361" s="456"/>
      <c r="AM361" s="456"/>
      <c r="AN361" s="456"/>
      <c r="AO361" s="456"/>
      <c r="AP361" s="456"/>
      <c r="AQ361" s="456"/>
      <c r="AR361" s="458"/>
      <c r="AS361" s="459"/>
      <c r="AT361" s="459"/>
      <c r="AU361" s="459"/>
      <c r="AV361" s="478"/>
      <c r="AW361" s="456"/>
      <c r="AX361" s="456"/>
      <c r="AY361" s="456"/>
      <c r="AZ361" s="456"/>
      <c r="BA361" s="456"/>
      <c r="BB361" s="456"/>
      <c r="BC361" s="456"/>
    </row>
    <row r="362" spans="8:55">
      <c r="H362" s="455"/>
      <c r="I362" s="455"/>
      <c r="J362" s="455"/>
      <c r="K362" s="456"/>
      <c r="L362" s="455"/>
      <c r="M362" s="455"/>
      <c r="N362" s="455"/>
      <c r="O362" s="455"/>
      <c r="P362" s="456"/>
      <c r="Q362" s="456"/>
      <c r="R362" s="457"/>
      <c r="S362" s="456"/>
      <c r="T362" s="455"/>
      <c r="U362" s="455"/>
      <c r="V362" s="455"/>
      <c r="W362" s="456"/>
      <c r="X362" s="455"/>
      <c r="Y362" s="455"/>
      <c r="Z362" s="455"/>
      <c r="AA362" s="455"/>
      <c r="AB362" s="456"/>
      <c r="AC362" s="455"/>
      <c r="AD362" s="455"/>
      <c r="AE362" s="455"/>
      <c r="AF362" s="455"/>
      <c r="AG362" s="455"/>
      <c r="AH362" s="455"/>
      <c r="AI362" s="455"/>
      <c r="AJ362" s="456"/>
      <c r="AK362" s="456"/>
      <c r="AL362" s="456"/>
      <c r="AM362" s="456"/>
      <c r="AN362" s="456"/>
      <c r="AO362" s="456"/>
      <c r="AP362" s="456"/>
      <c r="AQ362" s="456"/>
      <c r="AR362" s="458"/>
      <c r="AS362" s="459"/>
      <c r="AT362" s="459"/>
      <c r="AU362" s="459"/>
      <c r="AV362" s="478"/>
      <c r="AW362" s="456"/>
      <c r="AX362" s="456"/>
      <c r="AY362" s="456"/>
      <c r="AZ362" s="456"/>
      <c r="BA362" s="456"/>
      <c r="BB362" s="456"/>
      <c r="BC362" s="456"/>
    </row>
    <row r="363" spans="8:55">
      <c r="H363" s="455"/>
      <c r="I363" s="455"/>
      <c r="J363" s="455"/>
      <c r="K363" s="456"/>
      <c r="L363" s="455"/>
      <c r="M363" s="455"/>
      <c r="N363" s="455"/>
      <c r="O363" s="455"/>
      <c r="P363" s="456"/>
      <c r="Q363" s="456"/>
      <c r="R363" s="457"/>
      <c r="S363" s="456"/>
      <c r="T363" s="455"/>
      <c r="U363" s="455"/>
      <c r="V363" s="455"/>
      <c r="W363" s="456"/>
      <c r="X363" s="455"/>
      <c r="Y363" s="455"/>
      <c r="Z363" s="455"/>
      <c r="AA363" s="455"/>
      <c r="AB363" s="456"/>
      <c r="AC363" s="455"/>
      <c r="AD363" s="455"/>
      <c r="AE363" s="455"/>
      <c r="AF363" s="455"/>
      <c r="AG363" s="455"/>
      <c r="AH363" s="455"/>
      <c r="AI363" s="455"/>
      <c r="AJ363" s="456"/>
      <c r="AK363" s="456"/>
      <c r="AL363" s="456"/>
      <c r="AM363" s="456"/>
      <c r="AN363" s="456"/>
      <c r="AO363" s="456"/>
      <c r="AP363" s="456"/>
      <c r="AQ363" s="456"/>
      <c r="AR363" s="458"/>
      <c r="AS363" s="459"/>
      <c r="AT363" s="459"/>
      <c r="AU363" s="459"/>
      <c r="AV363" s="478"/>
      <c r="AW363" s="456"/>
      <c r="AX363" s="456"/>
      <c r="AY363" s="456"/>
      <c r="AZ363" s="456"/>
      <c r="BA363" s="456"/>
      <c r="BB363" s="456"/>
      <c r="BC363" s="456"/>
    </row>
    <row r="364" spans="8:55">
      <c r="H364" s="455"/>
      <c r="I364" s="455"/>
      <c r="J364" s="455"/>
      <c r="K364" s="456"/>
      <c r="L364" s="455"/>
      <c r="M364" s="455"/>
      <c r="N364" s="455"/>
      <c r="O364" s="455"/>
      <c r="P364" s="456"/>
      <c r="Q364" s="456"/>
      <c r="R364" s="457"/>
      <c r="S364" s="456"/>
      <c r="T364" s="455"/>
      <c r="U364" s="455"/>
      <c r="V364" s="455"/>
      <c r="W364" s="456"/>
      <c r="X364" s="455"/>
      <c r="Y364" s="455"/>
      <c r="Z364" s="455"/>
      <c r="AA364" s="455"/>
      <c r="AB364" s="456"/>
      <c r="AC364" s="455"/>
      <c r="AD364" s="455"/>
      <c r="AE364" s="455"/>
      <c r="AF364" s="455"/>
      <c r="AG364" s="455"/>
      <c r="AH364" s="455"/>
      <c r="AI364" s="455"/>
      <c r="AJ364" s="456"/>
      <c r="AK364" s="456"/>
      <c r="AL364" s="456"/>
      <c r="AM364" s="456"/>
      <c r="AN364" s="456"/>
      <c r="AO364" s="456"/>
      <c r="AP364" s="456"/>
      <c r="AQ364" s="456"/>
      <c r="AR364" s="458"/>
      <c r="AS364" s="459"/>
      <c r="AT364" s="459"/>
      <c r="AU364" s="459"/>
      <c r="AV364" s="478"/>
      <c r="AW364" s="456"/>
      <c r="AX364" s="456"/>
      <c r="AY364" s="456"/>
      <c r="AZ364" s="456"/>
      <c r="BA364" s="456"/>
      <c r="BB364" s="456"/>
      <c r="BC364" s="456"/>
    </row>
    <row r="365" spans="8:55">
      <c r="H365" s="455"/>
      <c r="I365" s="455"/>
      <c r="J365" s="455"/>
      <c r="K365" s="456"/>
      <c r="L365" s="455"/>
      <c r="M365" s="455"/>
      <c r="N365" s="455"/>
      <c r="O365" s="455"/>
      <c r="P365" s="456"/>
      <c r="Q365" s="456"/>
      <c r="R365" s="457"/>
      <c r="S365" s="456"/>
      <c r="T365" s="455"/>
      <c r="U365" s="455"/>
      <c r="V365" s="455"/>
      <c r="W365" s="456"/>
      <c r="X365" s="455"/>
      <c r="Y365" s="455"/>
      <c r="Z365" s="455"/>
      <c r="AA365" s="455"/>
      <c r="AB365" s="456"/>
      <c r="AC365" s="455"/>
      <c r="AD365" s="455"/>
      <c r="AE365" s="455"/>
      <c r="AF365" s="455"/>
      <c r="AG365" s="455"/>
      <c r="AH365" s="455"/>
      <c r="AI365" s="455"/>
      <c r="AJ365" s="456"/>
      <c r="AK365" s="456"/>
      <c r="AL365" s="456"/>
      <c r="AM365" s="456"/>
      <c r="AN365" s="456"/>
      <c r="AO365" s="456"/>
      <c r="AP365" s="456"/>
      <c r="AQ365" s="456"/>
      <c r="AR365" s="458"/>
      <c r="AS365" s="459"/>
      <c r="AT365" s="459"/>
      <c r="AU365" s="459"/>
      <c r="AV365" s="478"/>
      <c r="AW365" s="456"/>
      <c r="AX365" s="456"/>
      <c r="AY365" s="456"/>
      <c r="AZ365" s="456"/>
      <c r="BA365" s="456"/>
      <c r="BB365" s="456"/>
      <c r="BC365" s="456"/>
    </row>
    <row r="366" spans="8:55">
      <c r="H366" s="455"/>
      <c r="I366" s="455"/>
      <c r="J366" s="455"/>
      <c r="K366" s="456"/>
      <c r="L366" s="455"/>
      <c r="M366" s="455"/>
      <c r="N366" s="455"/>
      <c r="O366" s="455"/>
      <c r="P366" s="456"/>
      <c r="Q366" s="456"/>
      <c r="R366" s="457"/>
      <c r="S366" s="456"/>
      <c r="T366" s="455"/>
      <c r="U366" s="455"/>
      <c r="V366" s="455"/>
      <c r="W366" s="456"/>
      <c r="X366" s="455"/>
      <c r="Y366" s="455"/>
      <c r="Z366" s="455"/>
      <c r="AA366" s="455"/>
      <c r="AB366" s="456"/>
      <c r="AC366" s="455"/>
      <c r="AD366" s="455"/>
      <c r="AE366" s="455"/>
      <c r="AF366" s="455"/>
      <c r="AG366" s="455"/>
      <c r="AH366" s="455"/>
      <c r="AI366" s="455"/>
      <c r="AJ366" s="456"/>
      <c r="AK366" s="456"/>
      <c r="AL366" s="456"/>
      <c r="AM366" s="456"/>
      <c r="AN366" s="456"/>
      <c r="AO366" s="456"/>
      <c r="AP366" s="456"/>
      <c r="AQ366" s="456"/>
      <c r="AR366" s="458"/>
      <c r="AS366" s="459"/>
      <c r="AT366" s="459"/>
      <c r="AU366" s="459"/>
      <c r="AV366" s="478"/>
      <c r="AW366" s="456"/>
      <c r="AX366" s="456"/>
      <c r="AY366" s="456"/>
      <c r="AZ366" s="456"/>
      <c r="BA366" s="456"/>
      <c r="BB366" s="456"/>
      <c r="BC366" s="456"/>
    </row>
    <row r="367" spans="8:55">
      <c r="H367" s="455"/>
      <c r="I367" s="455"/>
      <c r="J367" s="455"/>
      <c r="K367" s="456"/>
      <c r="L367" s="455"/>
      <c r="M367" s="455"/>
      <c r="N367" s="455"/>
      <c r="O367" s="455"/>
      <c r="P367" s="456"/>
      <c r="Q367" s="456"/>
      <c r="R367" s="457"/>
      <c r="S367" s="456"/>
      <c r="T367" s="455"/>
      <c r="U367" s="455"/>
      <c r="V367" s="455"/>
      <c r="W367" s="456"/>
      <c r="X367" s="455"/>
      <c r="Y367" s="455"/>
      <c r="Z367" s="455"/>
      <c r="AA367" s="455"/>
      <c r="AB367" s="456"/>
      <c r="AC367" s="455"/>
      <c r="AD367" s="455"/>
      <c r="AE367" s="455"/>
      <c r="AF367" s="455"/>
      <c r="AG367" s="455"/>
      <c r="AH367" s="455"/>
      <c r="AI367" s="455"/>
      <c r="AJ367" s="456"/>
      <c r="AK367" s="456"/>
      <c r="AL367" s="456"/>
      <c r="AM367" s="456"/>
      <c r="AN367" s="456"/>
      <c r="AO367" s="456"/>
      <c r="AP367" s="456"/>
      <c r="AQ367" s="456"/>
      <c r="AR367" s="458"/>
      <c r="AS367" s="459"/>
      <c r="AT367" s="459"/>
      <c r="AU367" s="459"/>
      <c r="AV367" s="478"/>
      <c r="AW367" s="456"/>
      <c r="AX367" s="456"/>
      <c r="AY367" s="456"/>
      <c r="AZ367" s="456"/>
      <c r="BA367" s="456"/>
      <c r="BB367" s="456"/>
      <c r="BC367" s="456"/>
    </row>
    <row r="368" spans="8:55">
      <c r="H368" s="455"/>
      <c r="I368" s="455"/>
      <c r="J368" s="455"/>
      <c r="K368" s="456"/>
      <c r="L368" s="455"/>
      <c r="M368" s="455"/>
      <c r="N368" s="455"/>
      <c r="O368" s="455"/>
      <c r="P368" s="456"/>
      <c r="Q368" s="456"/>
      <c r="R368" s="457"/>
      <c r="S368" s="456"/>
      <c r="T368" s="455"/>
      <c r="U368" s="455"/>
      <c r="V368" s="455"/>
      <c r="W368" s="456"/>
      <c r="X368" s="455"/>
      <c r="Y368" s="455"/>
      <c r="Z368" s="455"/>
      <c r="AA368" s="455"/>
      <c r="AB368" s="456"/>
      <c r="AC368" s="455"/>
      <c r="AD368" s="455"/>
      <c r="AE368" s="455"/>
      <c r="AF368" s="455"/>
      <c r="AG368" s="455"/>
      <c r="AH368" s="455"/>
      <c r="AI368" s="455"/>
      <c r="AJ368" s="456"/>
      <c r="AK368" s="456"/>
      <c r="AL368" s="456"/>
      <c r="AM368" s="456"/>
      <c r="AN368" s="456"/>
      <c r="AO368" s="456"/>
      <c r="AP368" s="456"/>
      <c r="AQ368" s="456"/>
      <c r="AR368" s="458"/>
      <c r="AS368" s="459"/>
      <c r="AT368" s="459"/>
      <c r="AU368" s="459"/>
      <c r="AV368" s="478"/>
      <c r="AW368" s="456"/>
      <c r="AX368" s="456"/>
      <c r="AY368" s="456"/>
      <c r="AZ368" s="456"/>
      <c r="BA368" s="456"/>
      <c r="BB368" s="456"/>
      <c r="BC368" s="456"/>
    </row>
    <row r="369" spans="8:55">
      <c r="H369" s="455"/>
      <c r="I369" s="455"/>
      <c r="J369" s="455"/>
      <c r="K369" s="456"/>
      <c r="L369" s="455"/>
      <c r="M369" s="455"/>
      <c r="N369" s="455"/>
      <c r="O369" s="455"/>
      <c r="P369" s="456"/>
      <c r="Q369" s="456"/>
      <c r="R369" s="457"/>
      <c r="S369" s="456"/>
      <c r="T369" s="455"/>
      <c r="U369" s="455"/>
      <c r="V369" s="455"/>
      <c r="W369" s="456"/>
      <c r="X369" s="455"/>
      <c r="Y369" s="455"/>
      <c r="Z369" s="455"/>
      <c r="AA369" s="455"/>
      <c r="AB369" s="456"/>
      <c r="AC369" s="455"/>
      <c r="AD369" s="455"/>
      <c r="AE369" s="455"/>
      <c r="AF369" s="455"/>
      <c r="AG369" s="455"/>
      <c r="AH369" s="455"/>
      <c r="AI369" s="455"/>
      <c r="AJ369" s="456"/>
      <c r="AK369" s="456"/>
      <c r="AL369" s="456"/>
      <c r="AM369" s="456"/>
      <c r="AN369" s="456"/>
      <c r="AO369" s="456"/>
      <c r="AP369" s="456"/>
      <c r="AQ369" s="456"/>
      <c r="AR369" s="458"/>
      <c r="AS369" s="459"/>
      <c r="AT369" s="459"/>
      <c r="AU369" s="459"/>
      <c r="AV369" s="478"/>
      <c r="AW369" s="456"/>
      <c r="AX369" s="456"/>
      <c r="AY369" s="456"/>
      <c r="AZ369" s="456"/>
      <c r="BA369" s="456"/>
      <c r="BB369" s="456"/>
      <c r="BC369" s="456"/>
    </row>
    <row r="370" spans="8:55">
      <c r="H370" s="455"/>
      <c r="I370" s="455"/>
      <c r="J370" s="455"/>
      <c r="K370" s="456"/>
      <c r="L370" s="455"/>
      <c r="M370" s="455"/>
      <c r="N370" s="455"/>
      <c r="O370" s="455"/>
      <c r="P370" s="456"/>
      <c r="Q370" s="456"/>
      <c r="R370" s="457"/>
      <c r="S370" s="456"/>
      <c r="T370" s="455"/>
      <c r="U370" s="455"/>
      <c r="V370" s="455"/>
      <c r="W370" s="456"/>
      <c r="X370" s="455"/>
      <c r="Y370" s="455"/>
      <c r="Z370" s="455"/>
      <c r="AA370" s="455"/>
      <c r="AB370" s="456"/>
      <c r="AC370" s="455"/>
      <c r="AD370" s="455"/>
      <c r="AE370" s="455"/>
      <c r="AF370" s="455"/>
      <c r="AG370" s="455"/>
      <c r="AH370" s="455"/>
      <c r="AI370" s="455"/>
      <c r="AJ370" s="456"/>
      <c r="AK370" s="456"/>
      <c r="AL370" s="456"/>
      <c r="AM370" s="456"/>
      <c r="AN370" s="456"/>
      <c r="AO370" s="456"/>
      <c r="AP370" s="456"/>
      <c r="AQ370" s="456"/>
      <c r="AR370" s="458"/>
      <c r="AS370" s="459"/>
      <c r="AT370" s="459"/>
      <c r="AU370" s="459"/>
      <c r="AV370" s="478"/>
      <c r="AW370" s="456"/>
      <c r="AX370" s="456"/>
      <c r="AY370" s="456"/>
      <c r="AZ370" s="456"/>
      <c r="BA370" s="456"/>
      <c r="BB370" s="456"/>
      <c r="BC370" s="456"/>
    </row>
    <row r="371" spans="8:55">
      <c r="H371" s="455"/>
      <c r="I371" s="455"/>
      <c r="J371" s="455"/>
      <c r="K371" s="456"/>
      <c r="L371" s="455"/>
      <c r="M371" s="455"/>
      <c r="N371" s="455"/>
      <c r="O371" s="455"/>
      <c r="P371" s="456"/>
      <c r="Q371" s="456"/>
      <c r="R371" s="457"/>
      <c r="S371" s="456"/>
      <c r="T371" s="455"/>
      <c r="U371" s="455"/>
      <c r="V371" s="455"/>
      <c r="W371" s="456"/>
      <c r="X371" s="455"/>
      <c r="Y371" s="455"/>
      <c r="Z371" s="455"/>
      <c r="AA371" s="455"/>
      <c r="AB371" s="456"/>
      <c r="AC371" s="455"/>
      <c r="AD371" s="455"/>
      <c r="AE371" s="455"/>
      <c r="AF371" s="455"/>
      <c r="AG371" s="455"/>
      <c r="AH371" s="455"/>
      <c r="AI371" s="455"/>
      <c r="AJ371" s="456"/>
      <c r="AK371" s="456"/>
      <c r="AL371" s="456"/>
      <c r="AM371" s="456"/>
      <c r="AN371" s="456"/>
      <c r="AO371" s="456"/>
      <c r="AP371" s="456"/>
      <c r="AQ371" s="456"/>
      <c r="AR371" s="458"/>
      <c r="AS371" s="459"/>
      <c r="AT371" s="459"/>
      <c r="AU371" s="459"/>
      <c r="AV371" s="478"/>
      <c r="AW371" s="456"/>
      <c r="AX371" s="456"/>
      <c r="AY371" s="456"/>
      <c r="AZ371" s="456"/>
      <c r="BA371" s="456"/>
      <c r="BB371" s="456"/>
      <c r="BC371" s="456"/>
    </row>
    <row r="372" spans="8:55">
      <c r="H372" s="455"/>
      <c r="I372" s="455"/>
      <c r="J372" s="455"/>
      <c r="K372" s="456"/>
      <c r="L372" s="455"/>
      <c r="M372" s="455"/>
      <c r="N372" s="455"/>
      <c r="O372" s="455"/>
      <c r="P372" s="456"/>
      <c r="Q372" s="456"/>
      <c r="R372" s="457"/>
      <c r="S372" s="456"/>
      <c r="T372" s="455"/>
      <c r="U372" s="455"/>
      <c r="V372" s="455"/>
      <c r="W372" s="456"/>
      <c r="X372" s="455"/>
      <c r="Y372" s="455"/>
      <c r="Z372" s="455"/>
      <c r="AA372" s="455"/>
      <c r="AB372" s="456"/>
      <c r="AC372" s="455"/>
      <c r="AD372" s="455"/>
      <c r="AE372" s="455"/>
      <c r="AF372" s="455"/>
      <c r="AG372" s="455"/>
      <c r="AH372" s="455"/>
      <c r="AI372" s="455"/>
      <c r="AJ372" s="456"/>
      <c r="AK372" s="456"/>
      <c r="AL372" s="456"/>
      <c r="AM372" s="456"/>
      <c r="AN372" s="456"/>
      <c r="AO372" s="456"/>
      <c r="AP372" s="456"/>
      <c r="AQ372" s="456"/>
      <c r="AR372" s="458"/>
      <c r="AS372" s="459"/>
      <c r="AT372" s="459"/>
      <c r="AU372" s="459"/>
      <c r="AV372" s="478"/>
      <c r="AW372" s="456"/>
      <c r="AX372" s="456"/>
      <c r="AY372" s="456"/>
      <c r="AZ372" s="456"/>
      <c r="BA372" s="456"/>
      <c r="BB372" s="456"/>
      <c r="BC372" s="456"/>
    </row>
    <row r="373" spans="8:55">
      <c r="H373" s="455"/>
      <c r="I373" s="455"/>
      <c r="J373" s="455"/>
      <c r="K373" s="456"/>
      <c r="L373" s="455"/>
      <c r="M373" s="455"/>
      <c r="N373" s="455"/>
      <c r="O373" s="455"/>
      <c r="P373" s="456"/>
      <c r="Q373" s="456"/>
      <c r="R373" s="457"/>
      <c r="S373" s="456"/>
      <c r="T373" s="455"/>
      <c r="U373" s="455"/>
      <c r="V373" s="455"/>
      <c r="W373" s="456"/>
      <c r="X373" s="455"/>
      <c r="Y373" s="455"/>
      <c r="Z373" s="455"/>
      <c r="AA373" s="455"/>
      <c r="AB373" s="456"/>
      <c r="AC373" s="455"/>
      <c r="AD373" s="455"/>
      <c r="AE373" s="455"/>
      <c r="AF373" s="455"/>
      <c r="AG373" s="455"/>
      <c r="AH373" s="455"/>
      <c r="AI373" s="455"/>
      <c r="AJ373" s="456"/>
      <c r="AK373" s="456"/>
      <c r="AL373" s="456"/>
      <c r="AM373" s="456"/>
      <c r="AN373" s="456"/>
      <c r="AO373" s="456"/>
      <c r="AP373" s="456"/>
      <c r="AQ373" s="456"/>
      <c r="AR373" s="458"/>
      <c r="AS373" s="459"/>
      <c r="AT373" s="459"/>
      <c r="AU373" s="459"/>
      <c r="AV373" s="478"/>
      <c r="AW373" s="456"/>
      <c r="AX373" s="456"/>
      <c r="AY373" s="456"/>
      <c r="AZ373" s="456"/>
      <c r="BA373" s="456"/>
      <c r="BB373" s="456"/>
      <c r="BC373" s="456"/>
    </row>
    <row r="374" spans="8:55">
      <c r="H374" s="455"/>
      <c r="I374" s="455"/>
      <c r="J374" s="455"/>
      <c r="K374" s="456"/>
      <c r="L374" s="455"/>
      <c r="M374" s="455"/>
      <c r="N374" s="455"/>
      <c r="O374" s="455"/>
      <c r="P374" s="456"/>
      <c r="Q374" s="456"/>
      <c r="R374" s="457"/>
      <c r="S374" s="456"/>
      <c r="T374" s="455"/>
      <c r="U374" s="455"/>
      <c r="V374" s="455"/>
      <c r="W374" s="456"/>
      <c r="X374" s="455"/>
      <c r="Y374" s="455"/>
      <c r="Z374" s="455"/>
      <c r="AA374" s="455"/>
      <c r="AB374" s="456"/>
      <c r="AC374" s="455"/>
      <c r="AD374" s="455"/>
      <c r="AE374" s="455"/>
      <c r="AF374" s="455"/>
      <c r="AG374" s="455"/>
      <c r="AH374" s="455"/>
      <c r="AI374" s="455"/>
      <c r="AJ374" s="456"/>
      <c r="AK374" s="456"/>
      <c r="AL374" s="456"/>
      <c r="AM374" s="456"/>
      <c r="AN374" s="456"/>
      <c r="AO374" s="456"/>
      <c r="AP374" s="456"/>
      <c r="AQ374" s="456"/>
      <c r="AR374" s="458"/>
      <c r="AS374" s="459"/>
      <c r="AT374" s="459"/>
      <c r="AU374" s="459"/>
      <c r="AV374" s="478"/>
      <c r="AW374" s="456"/>
      <c r="AX374" s="456"/>
      <c r="AY374" s="456"/>
      <c r="AZ374" s="456"/>
      <c r="BA374" s="456"/>
      <c r="BB374" s="456"/>
      <c r="BC374" s="456"/>
    </row>
    <row r="375" spans="8:55">
      <c r="H375" s="455"/>
      <c r="I375" s="455"/>
      <c r="J375" s="455"/>
      <c r="K375" s="456"/>
      <c r="L375" s="455"/>
      <c r="M375" s="455"/>
      <c r="N375" s="455"/>
      <c r="O375" s="455"/>
      <c r="P375" s="456"/>
      <c r="Q375" s="456"/>
      <c r="R375" s="457"/>
      <c r="S375" s="456"/>
      <c r="T375" s="455"/>
      <c r="U375" s="455"/>
      <c r="V375" s="455"/>
      <c r="W375" s="456"/>
      <c r="X375" s="455"/>
      <c r="Y375" s="455"/>
      <c r="Z375" s="455"/>
      <c r="AA375" s="455"/>
      <c r="AB375" s="456"/>
      <c r="AC375" s="455"/>
      <c r="AD375" s="455"/>
      <c r="AE375" s="455"/>
      <c r="AF375" s="455"/>
      <c r="AG375" s="455"/>
      <c r="AH375" s="455"/>
      <c r="AI375" s="455"/>
      <c r="AJ375" s="456"/>
      <c r="AK375" s="456"/>
      <c r="AL375" s="456"/>
      <c r="AM375" s="456"/>
      <c r="AN375" s="456"/>
      <c r="AO375" s="456"/>
      <c r="AP375" s="456"/>
      <c r="AQ375" s="456"/>
      <c r="AR375" s="458"/>
      <c r="AS375" s="459"/>
      <c r="AT375" s="459"/>
      <c r="AU375" s="459"/>
      <c r="AV375" s="478"/>
      <c r="AW375" s="456"/>
      <c r="AX375" s="456"/>
      <c r="AY375" s="456"/>
      <c r="AZ375" s="456"/>
      <c r="BA375" s="456"/>
      <c r="BB375" s="456"/>
      <c r="BC375" s="456"/>
    </row>
    <row r="376" spans="8:55">
      <c r="H376" s="455"/>
      <c r="I376" s="455"/>
      <c r="J376" s="455"/>
      <c r="K376" s="456"/>
      <c r="L376" s="455"/>
      <c r="M376" s="455"/>
      <c r="N376" s="455"/>
      <c r="O376" s="455"/>
      <c r="P376" s="456"/>
      <c r="Q376" s="456"/>
      <c r="R376" s="457"/>
      <c r="S376" s="456"/>
      <c r="T376" s="455"/>
      <c r="U376" s="455"/>
      <c r="V376" s="455"/>
      <c r="W376" s="456"/>
      <c r="X376" s="455"/>
      <c r="Y376" s="455"/>
      <c r="Z376" s="455"/>
      <c r="AA376" s="455"/>
      <c r="AB376" s="456"/>
      <c r="AC376" s="455"/>
      <c r="AD376" s="455"/>
      <c r="AE376" s="455"/>
      <c r="AF376" s="455"/>
      <c r="AG376" s="455"/>
      <c r="AH376" s="455"/>
      <c r="AI376" s="455"/>
      <c r="AJ376" s="456"/>
      <c r="AK376" s="456"/>
      <c r="AL376" s="456"/>
      <c r="AM376" s="456"/>
      <c r="AN376" s="456"/>
      <c r="AO376" s="456"/>
      <c r="AP376" s="456"/>
      <c r="AQ376" s="456"/>
      <c r="AR376" s="458"/>
      <c r="AS376" s="459"/>
      <c r="AT376" s="459"/>
      <c r="AU376" s="459"/>
      <c r="AV376" s="478"/>
      <c r="AW376" s="456"/>
      <c r="AX376" s="456"/>
      <c r="AY376" s="456"/>
      <c r="AZ376" s="456"/>
      <c r="BA376" s="456"/>
      <c r="BB376" s="456"/>
      <c r="BC376" s="456"/>
    </row>
    <row r="377" spans="8:55">
      <c r="H377" s="455"/>
      <c r="I377" s="455"/>
      <c r="J377" s="455"/>
      <c r="K377" s="456"/>
      <c r="L377" s="455"/>
      <c r="M377" s="455"/>
      <c r="N377" s="455"/>
      <c r="O377" s="455"/>
      <c r="P377" s="456"/>
      <c r="Q377" s="456"/>
      <c r="R377" s="457"/>
      <c r="S377" s="456"/>
      <c r="T377" s="455"/>
      <c r="U377" s="455"/>
      <c r="V377" s="455"/>
      <c r="W377" s="456"/>
      <c r="X377" s="455"/>
      <c r="Y377" s="455"/>
      <c r="Z377" s="455"/>
      <c r="AA377" s="455"/>
      <c r="AB377" s="456"/>
      <c r="AC377" s="455"/>
      <c r="AD377" s="455"/>
      <c r="AE377" s="455"/>
      <c r="AF377" s="455"/>
      <c r="AG377" s="455"/>
      <c r="AH377" s="455"/>
      <c r="AI377" s="455"/>
      <c r="AJ377" s="456"/>
      <c r="AK377" s="456"/>
      <c r="AL377" s="456"/>
      <c r="AM377" s="456"/>
      <c r="AN377" s="456"/>
      <c r="AO377" s="456"/>
      <c r="AP377" s="456"/>
      <c r="AQ377" s="456"/>
      <c r="AR377" s="458"/>
      <c r="AS377" s="459"/>
      <c r="AT377" s="459"/>
      <c r="AU377" s="459"/>
      <c r="AV377" s="478"/>
      <c r="AW377" s="456"/>
      <c r="AX377" s="456"/>
      <c r="AY377" s="456"/>
      <c r="AZ377" s="456"/>
      <c r="BA377" s="456"/>
      <c r="BB377" s="456"/>
      <c r="BC377" s="456"/>
    </row>
    <row r="378" spans="8:55">
      <c r="H378" s="455"/>
      <c r="I378" s="455"/>
      <c r="J378" s="455"/>
      <c r="K378" s="456"/>
      <c r="L378" s="455"/>
      <c r="M378" s="455"/>
      <c r="N378" s="455"/>
      <c r="O378" s="455"/>
      <c r="P378" s="456"/>
      <c r="Q378" s="456"/>
      <c r="R378" s="457"/>
      <c r="S378" s="456"/>
      <c r="T378" s="455"/>
      <c r="U378" s="455"/>
      <c r="V378" s="455"/>
      <c r="W378" s="456"/>
      <c r="X378" s="455"/>
      <c r="Y378" s="455"/>
      <c r="Z378" s="455"/>
      <c r="AA378" s="455"/>
      <c r="AB378" s="456"/>
      <c r="AC378" s="455"/>
      <c r="AD378" s="455"/>
      <c r="AE378" s="455"/>
      <c r="AF378" s="455"/>
      <c r="AG378" s="455"/>
      <c r="AH378" s="455"/>
      <c r="AI378" s="455"/>
      <c r="AJ378" s="456"/>
      <c r="AK378" s="456"/>
      <c r="AL378" s="456"/>
      <c r="AM378" s="456"/>
      <c r="AN378" s="456"/>
      <c r="AO378" s="456"/>
      <c r="AP378" s="456"/>
      <c r="AQ378" s="456"/>
      <c r="AR378" s="458"/>
      <c r="AS378" s="459"/>
      <c r="AT378" s="459"/>
      <c r="AU378" s="459"/>
      <c r="AV378" s="478"/>
      <c r="AW378" s="456"/>
      <c r="AX378" s="456"/>
      <c r="AY378" s="456"/>
      <c r="AZ378" s="456"/>
      <c r="BA378" s="456"/>
      <c r="BB378" s="456"/>
      <c r="BC378" s="456"/>
    </row>
    <row r="379" spans="8:55">
      <c r="H379" s="455"/>
      <c r="I379" s="455"/>
      <c r="J379" s="455"/>
      <c r="K379" s="456"/>
      <c r="L379" s="455"/>
      <c r="M379" s="455"/>
      <c r="N379" s="455"/>
      <c r="O379" s="455"/>
      <c r="P379" s="456"/>
      <c r="Q379" s="456"/>
      <c r="R379" s="457"/>
      <c r="S379" s="456"/>
      <c r="T379" s="455"/>
      <c r="U379" s="455"/>
      <c r="V379" s="455"/>
      <c r="W379" s="456"/>
      <c r="X379" s="455"/>
      <c r="Y379" s="455"/>
      <c r="Z379" s="455"/>
      <c r="AA379" s="455"/>
      <c r="AB379" s="456"/>
      <c r="AC379" s="455"/>
      <c r="AD379" s="455"/>
      <c r="AE379" s="455"/>
      <c r="AF379" s="455"/>
      <c r="AG379" s="455"/>
      <c r="AH379" s="455"/>
      <c r="AI379" s="455"/>
      <c r="AJ379" s="456"/>
      <c r="AK379" s="456"/>
      <c r="AL379" s="456"/>
      <c r="AM379" s="456"/>
      <c r="AN379" s="456"/>
      <c r="AO379" s="456"/>
      <c r="AP379" s="456"/>
      <c r="AQ379" s="456"/>
      <c r="AR379" s="458"/>
      <c r="AS379" s="459"/>
      <c r="AT379" s="459"/>
      <c r="AU379" s="459"/>
      <c r="AV379" s="478"/>
      <c r="AW379" s="456"/>
      <c r="AX379" s="456"/>
      <c r="AY379" s="456"/>
      <c r="AZ379" s="456"/>
      <c r="BA379" s="456"/>
      <c r="BB379" s="456"/>
      <c r="BC379" s="456"/>
    </row>
    <row r="380" spans="8:55">
      <c r="H380" s="455"/>
      <c r="I380" s="455"/>
      <c r="J380" s="455"/>
      <c r="K380" s="456"/>
      <c r="L380" s="455"/>
      <c r="M380" s="455"/>
      <c r="N380" s="455"/>
      <c r="O380" s="455"/>
      <c r="P380" s="456"/>
      <c r="Q380" s="456"/>
      <c r="R380" s="457"/>
      <c r="S380" s="456"/>
      <c r="T380" s="455"/>
      <c r="U380" s="455"/>
      <c r="V380" s="455"/>
      <c r="W380" s="456"/>
      <c r="X380" s="455"/>
      <c r="Y380" s="455"/>
      <c r="Z380" s="455"/>
      <c r="AA380" s="455"/>
      <c r="AB380" s="456"/>
      <c r="AC380" s="455"/>
      <c r="AD380" s="455"/>
      <c r="AE380" s="455"/>
      <c r="AF380" s="455"/>
      <c r="AG380" s="455"/>
      <c r="AH380" s="455"/>
      <c r="AI380" s="455"/>
      <c r="AJ380" s="456"/>
      <c r="AK380" s="456"/>
      <c r="AL380" s="456"/>
      <c r="AM380" s="456"/>
      <c r="AN380" s="456"/>
      <c r="AO380" s="456"/>
      <c r="AP380" s="456"/>
      <c r="AQ380" s="456"/>
      <c r="AR380" s="458"/>
      <c r="AS380" s="459"/>
      <c r="AT380" s="459"/>
      <c r="AU380" s="459"/>
      <c r="AV380" s="478"/>
      <c r="AW380" s="456"/>
      <c r="AX380" s="456"/>
      <c r="AY380" s="456"/>
      <c r="AZ380" s="456"/>
      <c r="BA380" s="456"/>
      <c r="BB380" s="456"/>
      <c r="BC380" s="456"/>
    </row>
    <row r="381" spans="8:55">
      <c r="H381" s="455"/>
      <c r="I381" s="455"/>
      <c r="J381" s="455"/>
      <c r="K381" s="456"/>
      <c r="L381" s="455"/>
      <c r="M381" s="455"/>
      <c r="N381" s="455"/>
      <c r="O381" s="455"/>
      <c r="P381" s="456"/>
      <c r="Q381" s="456"/>
      <c r="R381" s="457"/>
      <c r="S381" s="456"/>
      <c r="T381" s="455"/>
      <c r="U381" s="455"/>
      <c r="V381" s="455"/>
      <c r="W381" s="456"/>
      <c r="X381" s="455"/>
      <c r="Y381" s="455"/>
      <c r="Z381" s="455"/>
      <c r="AA381" s="455"/>
      <c r="AB381" s="456"/>
      <c r="AC381" s="455"/>
      <c r="AD381" s="455"/>
      <c r="AE381" s="455"/>
      <c r="AF381" s="455"/>
      <c r="AG381" s="455"/>
      <c r="AH381" s="455"/>
      <c r="AI381" s="455"/>
      <c r="AJ381" s="456"/>
      <c r="AK381" s="456"/>
      <c r="AL381" s="456"/>
      <c r="AM381" s="456"/>
      <c r="AN381" s="456"/>
      <c r="AO381" s="456"/>
      <c r="AP381" s="456"/>
      <c r="AQ381" s="456"/>
      <c r="AR381" s="458"/>
      <c r="AS381" s="459"/>
      <c r="AT381" s="459"/>
      <c r="AU381" s="459"/>
      <c r="AV381" s="478"/>
      <c r="AW381" s="456"/>
      <c r="AX381" s="456"/>
      <c r="AY381" s="456"/>
      <c r="AZ381" s="456"/>
      <c r="BA381" s="456"/>
      <c r="BB381" s="456"/>
      <c r="BC381" s="456"/>
    </row>
    <row r="382" spans="8:55">
      <c r="H382" s="455"/>
      <c r="I382" s="455"/>
      <c r="J382" s="455"/>
      <c r="K382" s="456"/>
      <c r="L382" s="455"/>
      <c r="M382" s="455"/>
      <c r="N382" s="455"/>
      <c r="O382" s="455"/>
      <c r="P382" s="456"/>
      <c r="Q382" s="456"/>
      <c r="R382" s="457"/>
      <c r="S382" s="456"/>
      <c r="T382" s="455"/>
      <c r="U382" s="455"/>
      <c r="V382" s="455"/>
      <c r="W382" s="456"/>
      <c r="X382" s="455"/>
      <c r="Y382" s="455"/>
      <c r="Z382" s="455"/>
      <c r="AA382" s="455"/>
      <c r="AB382" s="456"/>
      <c r="AC382" s="455"/>
      <c r="AD382" s="455"/>
      <c r="AE382" s="455"/>
      <c r="AF382" s="455"/>
      <c r="AG382" s="455"/>
      <c r="AH382" s="455"/>
      <c r="AI382" s="455"/>
      <c r="AJ382" s="456"/>
      <c r="AK382" s="456"/>
      <c r="AL382" s="456"/>
      <c r="AM382" s="456"/>
      <c r="AN382" s="456"/>
      <c r="AO382" s="456"/>
      <c r="AP382" s="456"/>
      <c r="AQ382" s="456"/>
      <c r="AR382" s="458"/>
      <c r="AS382" s="459"/>
      <c r="AT382" s="459"/>
      <c r="AU382" s="459"/>
      <c r="AV382" s="478"/>
      <c r="AW382" s="456"/>
      <c r="AX382" s="456"/>
      <c r="AY382" s="456"/>
      <c r="AZ382" s="456"/>
      <c r="BA382" s="456"/>
      <c r="BB382" s="456"/>
      <c r="BC382" s="456"/>
    </row>
    <row r="383" spans="8:55">
      <c r="H383" s="455"/>
      <c r="I383" s="455"/>
      <c r="J383" s="455"/>
      <c r="K383" s="456"/>
      <c r="L383" s="455"/>
      <c r="M383" s="455"/>
      <c r="N383" s="455"/>
      <c r="O383" s="455"/>
      <c r="P383" s="456"/>
      <c r="Q383" s="456"/>
      <c r="R383" s="457"/>
      <c r="S383" s="456"/>
      <c r="T383" s="455"/>
      <c r="U383" s="455"/>
      <c r="V383" s="455"/>
      <c r="W383" s="456"/>
      <c r="X383" s="455"/>
      <c r="Y383" s="455"/>
      <c r="Z383" s="455"/>
      <c r="AA383" s="455"/>
      <c r="AB383" s="456"/>
      <c r="AC383" s="455"/>
      <c r="AD383" s="455"/>
      <c r="AE383" s="455"/>
      <c r="AF383" s="455"/>
      <c r="AG383" s="455"/>
      <c r="AH383" s="455"/>
      <c r="AI383" s="455"/>
      <c r="AJ383" s="456"/>
      <c r="AK383" s="456"/>
      <c r="AL383" s="456"/>
      <c r="AM383" s="456"/>
      <c r="AN383" s="456"/>
      <c r="AO383" s="456"/>
      <c r="AP383" s="456"/>
      <c r="AQ383" s="456"/>
      <c r="AR383" s="458"/>
      <c r="AS383" s="459"/>
      <c r="AT383" s="459"/>
      <c r="AU383" s="459"/>
      <c r="AV383" s="478"/>
      <c r="AW383" s="456"/>
      <c r="AX383" s="456"/>
      <c r="AY383" s="456"/>
      <c r="AZ383" s="456"/>
      <c r="BA383" s="456"/>
      <c r="BB383" s="456"/>
      <c r="BC383" s="456"/>
    </row>
    <row r="384" spans="8:55">
      <c r="H384" s="455"/>
      <c r="I384" s="455"/>
      <c r="J384" s="455"/>
      <c r="K384" s="456"/>
      <c r="L384" s="455"/>
      <c r="M384" s="455"/>
      <c r="N384" s="455"/>
      <c r="O384" s="455"/>
      <c r="P384" s="456"/>
      <c r="Q384" s="456"/>
      <c r="R384" s="457"/>
      <c r="S384" s="456"/>
      <c r="T384" s="455"/>
      <c r="U384" s="455"/>
      <c r="V384" s="455"/>
      <c r="W384" s="456"/>
      <c r="X384" s="455"/>
      <c r="Y384" s="455"/>
      <c r="Z384" s="455"/>
      <c r="AA384" s="455"/>
      <c r="AB384" s="456"/>
      <c r="AC384" s="455"/>
      <c r="AD384" s="455"/>
      <c r="AE384" s="455"/>
      <c r="AF384" s="455"/>
      <c r="AG384" s="455"/>
      <c r="AH384" s="455"/>
      <c r="AI384" s="455"/>
      <c r="AJ384" s="456"/>
      <c r="AK384" s="456"/>
      <c r="AL384" s="456"/>
      <c r="AM384" s="456"/>
      <c r="AN384" s="456"/>
      <c r="AO384" s="456"/>
      <c r="AP384" s="456"/>
      <c r="AQ384" s="456"/>
      <c r="AR384" s="458"/>
      <c r="AS384" s="459"/>
      <c r="AT384" s="459"/>
      <c r="AU384" s="459"/>
      <c r="AV384" s="478"/>
      <c r="AW384" s="456"/>
      <c r="AX384" s="456"/>
      <c r="AY384" s="456"/>
      <c r="AZ384" s="456"/>
      <c r="BA384" s="456"/>
      <c r="BB384" s="456"/>
      <c r="BC384" s="456"/>
    </row>
    <row r="385" spans="8:55">
      <c r="H385" s="455"/>
      <c r="I385" s="455"/>
      <c r="J385" s="455"/>
      <c r="K385" s="456"/>
      <c r="L385" s="455"/>
      <c r="M385" s="455"/>
      <c r="N385" s="455"/>
      <c r="O385" s="455"/>
      <c r="P385" s="456"/>
      <c r="Q385" s="456"/>
      <c r="R385" s="457"/>
      <c r="S385" s="456"/>
      <c r="T385" s="455"/>
      <c r="U385" s="455"/>
      <c r="V385" s="455"/>
      <c r="W385" s="456"/>
      <c r="X385" s="455"/>
      <c r="Y385" s="455"/>
      <c r="Z385" s="455"/>
      <c r="AA385" s="455"/>
      <c r="AB385" s="456"/>
      <c r="AC385" s="455"/>
      <c r="AD385" s="455"/>
      <c r="AE385" s="455"/>
      <c r="AF385" s="455"/>
      <c r="AG385" s="455"/>
      <c r="AH385" s="455"/>
      <c r="AI385" s="455"/>
      <c r="AJ385" s="456"/>
      <c r="AK385" s="456"/>
      <c r="AL385" s="456"/>
      <c r="AM385" s="456"/>
      <c r="AN385" s="456"/>
      <c r="AO385" s="456"/>
      <c r="AP385" s="456"/>
      <c r="AQ385" s="456"/>
      <c r="AR385" s="458"/>
      <c r="AS385" s="459"/>
      <c r="AT385" s="459"/>
      <c r="AU385" s="459"/>
      <c r="AV385" s="478"/>
      <c r="AW385" s="456"/>
      <c r="AX385" s="456"/>
      <c r="AY385" s="456"/>
      <c r="AZ385" s="456"/>
      <c r="BA385" s="456"/>
      <c r="BB385" s="456"/>
      <c r="BC385" s="456"/>
    </row>
    <row r="386" spans="8:55">
      <c r="H386" s="455"/>
      <c r="I386" s="455"/>
      <c r="J386" s="455"/>
      <c r="K386" s="456"/>
      <c r="L386" s="455"/>
      <c r="M386" s="455"/>
      <c r="N386" s="455"/>
      <c r="O386" s="455"/>
      <c r="P386" s="456"/>
      <c r="Q386" s="456"/>
      <c r="R386" s="457"/>
      <c r="S386" s="456"/>
      <c r="T386" s="455"/>
      <c r="U386" s="455"/>
      <c r="V386" s="455"/>
      <c r="W386" s="456"/>
      <c r="X386" s="455"/>
      <c r="Y386" s="455"/>
      <c r="Z386" s="455"/>
      <c r="AA386" s="455"/>
      <c r="AB386" s="456"/>
      <c r="AC386" s="455"/>
      <c r="AD386" s="455"/>
      <c r="AE386" s="455"/>
      <c r="AF386" s="455"/>
      <c r="AG386" s="455"/>
      <c r="AH386" s="455"/>
      <c r="AI386" s="455"/>
      <c r="AJ386" s="456"/>
      <c r="AK386" s="456"/>
      <c r="AL386" s="456"/>
      <c r="AM386" s="456"/>
      <c r="AN386" s="456"/>
      <c r="AO386" s="456"/>
      <c r="AP386" s="456"/>
      <c r="AQ386" s="456"/>
      <c r="AR386" s="458"/>
      <c r="AS386" s="459"/>
      <c r="AT386" s="459"/>
      <c r="AU386" s="459"/>
      <c r="AV386" s="478"/>
      <c r="AW386" s="456"/>
      <c r="AX386" s="456"/>
      <c r="AY386" s="456"/>
      <c r="AZ386" s="456"/>
      <c r="BA386" s="456"/>
      <c r="BB386" s="456"/>
      <c r="BC386" s="456"/>
    </row>
    <row r="387" spans="8:55">
      <c r="H387" s="455"/>
      <c r="I387" s="455"/>
      <c r="J387" s="455"/>
      <c r="K387" s="456"/>
      <c r="L387" s="455"/>
      <c r="M387" s="455"/>
      <c r="N387" s="455"/>
      <c r="O387" s="455"/>
      <c r="P387" s="456"/>
      <c r="Q387" s="456"/>
      <c r="R387" s="457"/>
      <c r="S387" s="456"/>
      <c r="T387" s="455"/>
      <c r="U387" s="455"/>
      <c r="V387" s="455"/>
      <c r="W387" s="456"/>
      <c r="X387" s="455"/>
      <c r="Y387" s="455"/>
      <c r="Z387" s="455"/>
      <c r="AA387" s="455"/>
      <c r="AB387" s="456"/>
      <c r="AC387" s="455"/>
      <c r="AD387" s="455"/>
      <c r="AE387" s="455"/>
      <c r="AF387" s="455"/>
      <c r="AG387" s="455"/>
      <c r="AH387" s="455"/>
      <c r="AI387" s="455"/>
      <c r="AJ387" s="456"/>
      <c r="AK387" s="456"/>
      <c r="AL387" s="456"/>
      <c r="AM387" s="456"/>
      <c r="AN387" s="456"/>
      <c r="AO387" s="456"/>
      <c r="AP387" s="456"/>
      <c r="AQ387" s="456"/>
      <c r="AR387" s="458"/>
      <c r="AS387" s="459"/>
      <c r="AT387" s="459"/>
      <c r="AU387" s="459"/>
      <c r="AV387" s="478"/>
      <c r="AW387" s="456"/>
      <c r="AX387" s="456"/>
      <c r="AY387" s="456"/>
      <c r="AZ387" s="456"/>
      <c r="BA387" s="456"/>
      <c r="BB387" s="456"/>
      <c r="BC387" s="456"/>
    </row>
    <row r="388" spans="8:55">
      <c r="H388" s="455"/>
      <c r="I388" s="455"/>
      <c r="J388" s="455"/>
      <c r="K388" s="456"/>
      <c r="L388" s="455"/>
      <c r="M388" s="455"/>
      <c r="N388" s="455"/>
      <c r="O388" s="455"/>
      <c r="P388" s="456"/>
      <c r="Q388" s="456"/>
      <c r="R388" s="457"/>
      <c r="S388" s="456"/>
      <c r="T388" s="455"/>
      <c r="U388" s="455"/>
      <c r="V388" s="455"/>
      <c r="W388" s="456"/>
      <c r="X388" s="455"/>
      <c r="Y388" s="455"/>
      <c r="Z388" s="455"/>
      <c r="AA388" s="455"/>
      <c r="AB388" s="456"/>
      <c r="AC388" s="455"/>
      <c r="AD388" s="455"/>
      <c r="AE388" s="455"/>
      <c r="AF388" s="455"/>
      <c r="AG388" s="455"/>
      <c r="AH388" s="455"/>
      <c r="AI388" s="455"/>
      <c r="AJ388" s="456"/>
      <c r="AK388" s="456"/>
      <c r="AL388" s="456"/>
      <c r="AM388" s="456"/>
      <c r="AN388" s="456"/>
      <c r="AO388" s="456"/>
      <c r="AP388" s="456"/>
      <c r="AQ388" s="456"/>
      <c r="AR388" s="458"/>
      <c r="AS388" s="459"/>
      <c r="AT388" s="459"/>
      <c r="AU388" s="459"/>
      <c r="AV388" s="478"/>
      <c r="AW388" s="456"/>
      <c r="AX388" s="456"/>
      <c r="AY388" s="456"/>
      <c r="AZ388" s="456"/>
      <c r="BA388" s="456"/>
      <c r="BB388" s="456"/>
      <c r="BC388" s="456"/>
    </row>
    <row r="389" spans="8:55">
      <c r="H389" s="455"/>
      <c r="I389" s="455"/>
      <c r="J389" s="455"/>
      <c r="K389" s="456"/>
      <c r="L389" s="455"/>
      <c r="M389" s="455"/>
      <c r="N389" s="455"/>
      <c r="O389" s="455"/>
      <c r="P389" s="456"/>
      <c r="Q389" s="456"/>
      <c r="R389" s="457"/>
      <c r="S389" s="456"/>
      <c r="T389" s="455"/>
      <c r="U389" s="455"/>
      <c r="V389" s="455"/>
      <c r="W389" s="456"/>
      <c r="X389" s="455"/>
      <c r="Y389" s="455"/>
      <c r="Z389" s="455"/>
      <c r="AA389" s="455"/>
      <c r="AB389" s="456"/>
      <c r="AC389" s="455"/>
      <c r="AD389" s="455"/>
      <c r="AE389" s="455"/>
      <c r="AF389" s="455"/>
      <c r="AG389" s="455"/>
      <c r="AH389" s="455"/>
      <c r="AI389" s="455"/>
      <c r="AJ389" s="456"/>
      <c r="AK389" s="456"/>
      <c r="AL389" s="456"/>
      <c r="AM389" s="456"/>
      <c r="AN389" s="456"/>
      <c r="AO389" s="456"/>
      <c r="AP389" s="456"/>
      <c r="AQ389" s="456"/>
      <c r="AR389" s="458"/>
      <c r="AS389" s="459"/>
      <c r="AT389" s="459"/>
      <c r="AU389" s="459"/>
      <c r="AV389" s="478"/>
      <c r="AW389" s="456"/>
      <c r="AX389" s="456"/>
      <c r="AY389" s="456"/>
      <c r="AZ389" s="456"/>
      <c r="BA389" s="456"/>
      <c r="BB389" s="456"/>
      <c r="BC389" s="456"/>
    </row>
    <row r="390" spans="8:55">
      <c r="H390" s="455"/>
      <c r="I390" s="455"/>
      <c r="J390" s="455"/>
      <c r="K390" s="456"/>
      <c r="L390" s="455"/>
      <c r="M390" s="455"/>
      <c r="N390" s="455"/>
      <c r="O390" s="455"/>
      <c r="P390" s="456"/>
      <c r="Q390" s="456"/>
      <c r="R390" s="457"/>
      <c r="S390" s="456"/>
      <c r="T390" s="455"/>
      <c r="U390" s="455"/>
      <c r="V390" s="455"/>
      <c r="W390" s="456"/>
      <c r="X390" s="455"/>
      <c r="Y390" s="455"/>
      <c r="Z390" s="455"/>
      <c r="AA390" s="455"/>
      <c r="AB390" s="456"/>
      <c r="AC390" s="455"/>
      <c r="AD390" s="455"/>
      <c r="AE390" s="455"/>
      <c r="AF390" s="455"/>
      <c r="AG390" s="455"/>
      <c r="AH390" s="455"/>
      <c r="AI390" s="455"/>
      <c r="AJ390" s="456"/>
      <c r="AK390" s="456"/>
      <c r="AL390" s="456"/>
      <c r="AM390" s="456"/>
      <c r="AN390" s="456"/>
      <c r="AO390" s="456"/>
      <c r="AP390" s="456"/>
      <c r="AQ390" s="456"/>
      <c r="AR390" s="458"/>
      <c r="AS390" s="459"/>
      <c r="AT390" s="459"/>
      <c r="AU390" s="459"/>
      <c r="AV390" s="478"/>
      <c r="AW390" s="456"/>
      <c r="AX390" s="456"/>
      <c r="AY390" s="456"/>
      <c r="AZ390" s="456"/>
      <c r="BA390" s="456"/>
      <c r="BB390" s="456"/>
      <c r="BC390" s="456"/>
    </row>
    <row r="391" spans="8:55">
      <c r="H391" s="455"/>
      <c r="I391" s="455"/>
      <c r="J391" s="455"/>
      <c r="K391" s="456"/>
      <c r="L391" s="455"/>
      <c r="M391" s="455"/>
      <c r="N391" s="455"/>
      <c r="O391" s="455"/>
      <c r="P391" s="456"/>
      <c r="Q391" s="456"/>
      <c r="R391" s="457"/>
      <c r="S391" s="456"/>
      <c r="T391" s="455"/>
      <c r="U391" s="455"/>
      <c r="V391" s="455"/>
      <c r="W391" s="456"/>
      <c r="X391" s="455"/>
      <c r="Y391" s="455"/>
      <c r="Z391" s="455"/>
      <c r="AA391" s="455"/>
      <c r="AB391" s="456"/>
      <c r="AC391" s="455"/>
      <c r="AD391" s="455"/>
      <c r="AE391" s="455"/>
      <c r="AF391" s="455"/>
      <c r="AG391" s="455"/>
      <c r="AH391" s="455"/>
      <c r="AI391" s="455"/>
      <c r="AJ391" s="456"/>
      <c r="AK391" s="456"/>
      <c r="AL391" s="456"/>
      <c r="AM391" s="456"/>
      <c r="AN391" s="456"/>
      <c r="AO391" s="456"/>
      <c r="AP391" s="456"/>
      <c r="AQ391" s="456"/>
      <c r="AR391" s="458"/>
      <c r="AS391" s="459"/>
      <c r="AT391" s="459"/>
      <c r="AU391" s="459"/>
      <c r="AV391" s="478"/>
      <c r="AW391" s="456"/>
      <c r="AX391" s="456"/>
      <c r="AY391" s="456"/>
      <c r="AZ391" s="456"/>
      <c r="BA391" s="456"/>
      <c r="BB391" s="456"/>
      <c r="BC391" s="456"/>
    </row>
    <row r="392" spans="8:55">
      <c r="H392" s="455"/>
      <c r="I392" s="455"/>
      <c r="J392" s="455"/>
      <c r="K392" s="456"/>
      <c r="L392" s="455"/>
      <c r="M392" s="455"/>
      <c r="N392" s="455"/>
      <c r="O392" s="455"/>
      <c r="P392" s="456"/>
      <c r="Q392" s="456"/>
      <c r="R392" s="457"/>
      <c r="S392" s="456"/>
      <c r="T392" s="455"/>
      <c r="U392" s="455"/>
      <c r="V392" s="455"/>
      <c r="W392" s="456"/>
      <c r="X392" s="455"/>
      <c r="Y392" s="455"/>
      <c r="Z392" s="455"/>
      <c r="AA392" s="455"/>
      <c r="AB392" s="456"/>
      <c r="AC392" s="455"/>
      <c r="AD392" s="455"/>
      <c r="AE392" s="455"/>
      <c r="AF392" s="455"/>
      <c r="AG392" s="455"/>
      <c r="AH392" s="455"/>
      <c r="AI392" s="455"/>
      <c r="AJ392" s="456"/>
      <c r="AK392" s="456"/>
      <c r="AL392" s="456"/>
      <c r="AM392" s="456"/>
      <c r="AN392" s="456"/>
      <c r="AO392" s="456"/>
      <c r="AP392" s="456"/>
      <c r="AQ392" s="456"/>
      <c r="AR392" s="458"/>
      <c r="AS392" s="459"/>
      <c r="AT392" s="459"/>
      <c r="AU392" s="459"/>
      <c r="AV392" s="478"/>
      <c r="AW392" s="456"/>
      <c r="AX392" s="456"/>
      <c r="AY392" s="456"/>
      <c r="AZ392" s="456"/>
      <c r="BA392" s="456"/>
      <c r="BB392" s="456"/>
      <c r="BC392" s="456"/>
    </row>
    <row r="393" spans="8:55">
      <c r="H393" s="455"/>
      <c r="I393" s="455"/>
      <c r="J393" s="455"/>
      <c r="K393" s="456"/>
      <c r="L393" s="455"/>
      <c r="M393" s="455"/>
      <c r="N393" s="455"/>
      <c r="O393" s="455"/>
      <c r="P393" s="456"/>
      <c r="Q393" s="456"/>
      <c r="R393" s="457"/>
      <c r="S393" s="456"/>
      <c r="T393" s="455"/>
      <c r="U393" s="455"/>
      <c r="V393" s="455"/>
      <c r="W393" s="456"/>
      <c r="X393" s="455"/>
      <c r="Y393" s="455"/>
      <c r="Z393" s="455"/>
      <c r="AA393" s="455"/>
      <c r="AB393" s="456"/>
      <c r="AC393" s="455"/>
      <c r="AD393" s="455"/>
      <c r="AE393" s="455"/>
      <c r="AF393" s="455"/>
      <c r="AG393" s="455"/>
      <c r="AH393" s="455"/>
      <c r="AI393" s="455"/>
      <c r="AJ393" s="456"/>
      <c r="AK393" s="456"/>
      <c r="AL393" s="456"/>
      <c r="AM393" s="456"/>
      <c r="AN393" s="456"/>
      <c r="AO393" s="456"/>
      <c r="AP393" s="456"/>
      <c r="AQ393" s="456"/>
      <c r="AR393" s="458"/>
      <c r="AS393" s="459"/>
      <c r="AT393" s="459"/>
      <c r="AU393" s="459"/>
      <c r="AV393" s="478"/>
      <c r="AW393" s="456"/>
      <c r="AX393" s="456"/>
      <c r="AY393" s="456"/>
      <c r="AZ393" s="456"/>
      <c r="BA393" s="456"/>
      <c r="BB393" s="456"/>
      <c r="BC393" s="456"/>
    </row>
    <row r="394" spans="8:55">
      <c r="H394" s="455"/>
      <c r="I394" s="455"/>
      <c r="J394" s="455"/>
      <c r="K394" s="456"/>
      <c r="L394" s="455"/>
      <c r="M394" s="455"/>
      <c r="N394" s="455"/>
      <c r="O394" s="455"/>
      <c r="P394" s="456"/>
      <c r="Q394" s="456"/>
      <c r="R394" s="457"/>
      <c r="S394" s="456"/>
      <c r="T394" s="455"/>
      <c r="U394" s="455"/>
      <c r="V394" s="455"/>
      <c r="W394" s="456"/>
      <c r="X394" s="455"/>
      <c r="Y394" s="455"/>
      <c r="Z394" s="455"/>
      <c r="AA394" s="455"/>
      <c r="AB394" s="456"/>
      <c r="AC394" s="455"/>
      <c r="AD394" s="455"/>
      <c r="AE394" s="455"/>
      <c r="AF394" s="455"/>
      <c r="AG394" s="455"/>
      <c r="AH394" s="455"/>
      <c r="AI394" s="455"/>
      <c r="AJ394" s="456"/>
      <c r="AK394" s="456"/>
      <c r="AL394" s="456"/>
      <c r="AM394" s="456"/>
      <c r="AN394" s="456"/>
      <c r="AO394" s="456"/>
      <c r="AP394" s="456"/>
      <c r="AQ394" s="456"/>
      <c r="AR394" s="458"/>
      <c r="AS394" s="459"/>
      <c r="AT394" s="459"/>
      <c r="AU394" s="459"/>
      <c r="AV394" s="478"/>
      <c r="AW394" s="456"/>
      <c r="AX394" s="456"/>
      <c r="AY394" s="456"/>
      <c r="AZ394" s="456"/>
      <c r="BA394" s="456"/>
      <c r="BB394" s="456"/>
      <c r="BC394" s="456"/>
    </row>
    <row r="395" spans="8:55">
      <c r="H395" s="455"/>
      <c r="I395" s="455"/>
      <c r="J395" s="455"/>
      <c r="K395" s="456"/>
      <c r="L395" s="455"/>
      <c r="M395" s="455"/>
      <c r="N395" s="455"/>
      <c r="O395" s="455"/>
      <c r="P395" s="456"/>
      <c r="Q395" s="456"/>
      <c r="R395" s="457"/>
      <c r="S395" s="456"/>
      <c r="T395" s="455"/>
      <c r="U395" s="455"/>
      <c r="V395" s="455"/>
      <c r="W395" s="456"/>
      <c r="X395" s="455"/>
      <c r="Y395" s="455"/>
      <c r="Z395" s="455"/>
      <c r="AA395" s="455"/>
      <c r="AB395" s="456"/>
      <c r="AC395" s="455"/>
      <c r="AD395" s="455"/>
      <c r="AE395" s="455"/>
      <c r="AF395" s="455"/>
      <c r="AG395" s="455"/>
      <c r="AH395" s="455"/>
      <c r="AI395" s="455"/>
      <c r="AJ395" s="456"/>
      <c r="AK395" s="456"/>
      <c r="AL395" s="456"/>
      <c r="AM395" s="456"/>
      <c r="AN395" s="456"/>
      <c r="AO395" s="456"/>
      <c r="AP395" s="456"/>
      <c r="AQ395" s="456"/>
      <c r="AR395" s="458"/>
      <c r="AS395" s="459"/>
      <c r="AT395" s="459"/>
      <c r="AU395" s="459"/>
      <c r="AV395" s="478"/>
      <c r="AW395" s="456"/>
      <c r="AX395" s="456"/>
      <c r="AY395" s="456"/>
      <c r="AZ395" s="456"/>
      <c r="BA395" s="456"/>
      <c r="BB395" s="456"/>
      <c r="BC395" s="456"/>
    </row>
    <row r="396" spans="8:55">
      <c r="H396" s="455"/>
      <c r="I396" s="455"/>
      <c r="J396" s="455"/>
      <c r="K396" s="456"/>
      <c r="L396" s="455"/>
      <c r="M396" s="455"/>
      <c r="N396" s="455"/>
      <c r="O396" s="455"/>
      <c r="P396" s="456"/>
      <c r="Q396" s="456"/>
      <c r="R396" s="457"/>
      <c r="S396" s="456"/>
      <c r="T396" s="455"/>
      <c r="U396" s="455"/>
      <c r="V396" s="455"/>
      <c r="W396" s="456"/>
      <c r="X396" s="455"/>
      <c r="Y396" s="455"/>
      <c r="Z396" s="455"/>
      <c r="AA396" s="455"/>
      <c r="AB396" s="456"/>
      <c r="AC396" s="455"/>
      <c r="AD396" s="455"/>
      <c r="AE396" s="455"/>
      <c r="AF396" s="455"/>
      <c r="AG396" s="455"/>
      <c r="AH396" s="455"/>
      <c r="AI396" s="455"/>
      <c r="AJ396" s="456"/>
      <c r="AK396" s="456"/>
      <c r="AL396" s="456"/>
      <c r="AM396" s="456"/>
      <c r="AN396" s="456"/>
      <c r="AO396" s="456"/>
      <c r="AP396" s="456"/>
      <c r="AQ396" s="456"/>
      <c r="AR396" s="458"/>
      <c r="AS396" s="459"/>
      <c r="AT396" s="459"/>
      <c r="AU396" s="459"/>
      <c r="AV396" s="478"/>
      <c r="AW396" s="456"/>
      <c r="AX396" s="456"/>
      <c r="AY396" s="456"/>
      <c r="AZ396" s="456"/>
      <c r="BA396" s="456"/>
      <c r="BB396" s="456"/>
      <c r="BC396" s="456"/>
    </row>
    <row r="397" spans="8:55">
      <c r="H397" s="455"/>
      <c r="I397" s="455"/>
      <c r="J397" s="455"/>
      <c r="K397" s="456"/>
      <c r="L397" s="455"/>
      <c r="M397" s="455"/>
      <c r="N397" s="455"/>
      <c r="O397" s="455"/>
      <c r="P397" s="456"/>
      <c r="Q397" s="456"/>
      <c r="R397" s="457"/>
      <c r="S397" s="456"/>
      <c r="T397" s="455"/>
      <c r="U397" s="455"/>
      <c r="V397" s="455"/>
      <c r="W397" s="456"/>
      <c r="X397" s="455"/>
      <c r="Y397" s="455"/>
      <c r="Z397" s="455"/>
      <c r="AA397" s="455"/>
      <c r="AB397" s="456"/>
      <c r="AC397" s="455"/>
      <c r="AD397" s="455"/>
      <c r="AE397" s="455"/>
      <c r="AF397" s="455"/>
      <c r="AG397" s="455"/>
      <c r="AH397" s="455"/>
      <c r="AI397" s="455"/>
      <c r="AJ397" s="456"/>
      <c r="AK397" s="456"/>
      <c r="AL397" s="456"/>
      <c r="AM397" s="456"/>
      <c r="AN397" s="456"/>
      <c r="AO397" s="456"/>
      <c r="AP397" s="456"/>
      <c r="AQ397" s="456"/>
      <c r="AR397" s="458"/>
      <c r="AS397" s="459"/>
      <c r="AT397" s="459"/>
      <c r="AU397" s="459"/>
      <c r="AV397" s="478"/>
      <c r="AW397" s="456"/>
      <c r="AX397" s="456"/>
      <c r="AY397" s="456"/>
      <c r="AZ397" s="456"/>
      <c r="BA397" s="456"/>
      <c r="BB397" s="456"/>
      <c r="BC397" s="456"/>
    </row>
    <row r="398" spans="8:55">
      <c r="H398" s="455"/>
      <c r="I398" s="455"/>
      <c r="J398" s="455"/>
      <c r="K398" s="456"/>
      <c r="L398" s="455"/>
      <c r="M398" s="455"/>
      <c r="N398" s="455"/>
      <c r="O398" s="455"/>
      <c r="P398" s="456"/>
      <c r="Q398" s="456"/>
      <c r="R398" s="457"/>
      <c r="S398" s="456"/>
      <c r="T398" s="455"/>
      <c r="U398" s="455"/>
      <c r="V398" s="455"/>
      <c r="W398" s="456"/>
      <c r="X398" s="455"/>
      <c r="Y398" s="455"/>
      <c r="Z398" s="455"/>
      <c r="AA398" s="455"/>
      <c r="AB398" s="456"/>
      <c r="AC398" s="455"/>
      <c r="AD398" s="455"/>
      <c r="AE398" s="455"/>
      <c r="AF398" s="455"/>
      <c r="AG398" s="455"/>
      <c r="AH398" s="455"/>
      <c r="AI398" s="455"/>
      <c r="AJ398" s="456"/>
      <c r="AK398" s="456"/>
      <c r="AL398" s="456"/>
      <c r="AM398" s="456"/>
      <c r="AN398" s="456"/>
      <c r="AO398" s="456"/>
      <c r="AP398" s="456"/>
      <c r="AQ398" s="456"/>
      <c r="AR398" s="458"/>
      <c r="AS398" s="459"/>
      <c r="AT398" s="459"/>
      <c r="AU398" s="459"/>
      <c r="AV398" s="478"/>
      <c r="AW398" s="456"/>
      <c r="AX398" s="456"/>
      <c r="AY398" s="456"/>
      <c r="AZ398" s="456"/>
      <c r="BA398" s="456"/>
      <c r="BB398" s="456"/>
      <c r="BC398" s="456"/>
    </row>
    <row r="399" spans="8:55">
      <c r="H399" s="455"/>
      <c r="I399" s="455"/>
      <c r="J399" s="455"/>
      <c r="K399" s="456"/>
      <c r="L399" s="455"/>
      <c r="M399" s="455"/>
      <c r="N399" s="455"/>
      <c r="O399" s="455"/>
      <c r="P399" s="456"/>
      <c r="Q399" s="456"/>
      <c r="R399" s="457"/>
      <c r="S399" s="456"/>
      <c r="T399" s="455"/>
      <c r="U399" s="455"/>
      <c r="V399" s="455"/>
      <c r="W399" s="456"/>
      <c r="X399" s="455"/>
      <c r="Y399" s="455"/>
      <c r="Z399" s="455"/>
      <c r="AA399" s="455"/>
      <c r="AB399" s="456"/>
      <c r="AC399" s="455"/>
      <c r="AD399" s="455"/>
      <c r="AE399" s="455"/>
      <c r="AF399" s="455"/>
      <c r="AG399" s="455"/>
      <c r="AH399" s="455"/>
      <c r="AI399" s="455"/>
      <c r="AJ399" s="456"/>
      <c r="AK399" s="456"/>
      <c r="AL399" s="456"/>
      <c r="AM399" s="456"/>
      <c r="AN399" s="456"/>
      <c r="AO399" s="456"/>
      <c r="AP399" s="456"/>
      <c r="AQ399" s="456"/>
      <c r="AR399" s="458"/>
      <c r="AS399" s="459"/>
      <c r="AT399" s="459"/>
      <c r="AU399" s="459"/>
      <c r="AV399" s="478"/>
      <c r="AW399" s="456"/>
      <c r="AX399" s="456"/>
      <c r="AY399" s="456"/>
      <c r="AZ399" s="456"/>
      <c r="BA399" s="456"/>
      <c r="BB399" s="456"/>
      <c r="BC399" s="456"/>
    </row>
    <row r="400" spans="8:55">
      <c r="H400" s="455"/>
      <c r="I400" s="455"/>
      <c r="J400" s="455"/>
      <c r="K400" s="456"/>
      <c r="L400" s="455"/>
      <c r="M400" s="455"/>
      <c r="N400" s="455"/>
      <c r="O400" s="455"/>
      <c r="P400" s="456"/>
      <c r="Q400" s="456"/>
      <c r="R400" s="457"/>
      <c r="S400" s="456"/>
      <c r="T400" s="455"/>
      <c r="U400" s="455"/>
      <c r="V400" s="455"/>
      <c r="W400" s="456"/>
      <c r="X400" s="455"/>
      <c r="Y400" s="455"/>
      <c r="Z400" s="455"/>
      <c r="AA400" s="455"/>
      <c r="AB400" s="456"/>
      <c r="AC400" s="455"/>
      <c r="AD400" s="455"/>
      <c r="AE400" s="455"/>
      <c r="AF400" s="455"/>
      <c r="AG400" s="455"/>
      <c r="AH400" s="455"/>
      <c r="AI400" s="455"/>
      <c r="AJ400" s="456"/>
      <c r="AK400" s="456"/>
      <c r="AL400" s="456"/>
      <c r="AM400" s="456"/>
      <c r="AN400" s="456"/>
      <c r="AO400" s="456"/>
      <c r="AP400" s="456"/>
      <c r="AQ400" s="456"/>
      <c r="AR400" s="458"/>
      <c r="AS400" s="459"/>
      <c r="AT400" s="459"/>
      <c r="AU400" s="459"/>
      <c r="AV400" s="478"/>
      <c r="AW400" s="456"/>
      <c r="AX400" s="456"/>
      <c r="AY400" s="456"/>
      <c r="AZ400" s="456"/>
      <c r="BA400" s="456"/>
      <c r="BB400" s="456"/>
      <c r="BC400" s="456"/>
    </row>
    <row r="401" spans="8:55">
      <c r="H401" s="455"/>
      <c r="I401" s="455"/>
      <c r="J401" s="455"/>
      <c r="K401" s="456"/>
      <c r="L401" s="455"/>
      <c r="M401" s="455"/>
      <c r="N401" s="455"/>
      <c r="O401" s="455"/>
      <c r="P401" s="456"/>
      <c r="Q401" s="456"/>
      <c r="R401" s="457"/>
      <c r="S401" s="456"/>
      <c r="T401" s="455"/>
      <c r="U401" s="455"/>
      <c r="V401" s="455"/>
      <c r="W401" s="456"/>
      <c r="X401" s="455"/>
      <c r="Y401" s="455"/>
      <c r="Z401" s="455"/>
      <c r="AA401" s="455"/>
      <c r="AB401" s="456"/>
      <c r="AC401" s="455"/>
      <c r="AD401" s="455"/>
      <c r="AE401" s="455"/>
      <c r="AF401" s="455"/>
      <c r="AG401" s="455"/>
      <c r="AH401" s="455"/>
      <c r="AI401" s="455"/>
      <c r="AJ401" s="456"/>
      <c r="AK401" s="456"/>
      <c r="AL401" s="456"/>
      <c r="AM401" s="456"/>
      <c r="AN401" s="456"/>
      <c r="AO401" s="456"/>
      <c r="AP401" s="456"/>
      <c r="AQ401" s="456"/>
      <c r="AR401" s="458"/>
      <c r="AS401" s="459"/>
      <c r="AT401" s="459"/>
      <c r="AU401" s="459"/>
      <c r="AV401" s="478"/>
      <c r="AW401" s="456"/>
      <c r="AX401" s="456"/>
      <c r="AY401" s="456"/>
      <c r="AZ401" s="456"/>
      <c r="BA401" s="456"/>
      <c r="BB401" s="456"/>
      <c r="BC401" s="456"/>
    </row>
    <row r="402" spans="8:55">
      <c r="H402" s="455"/>
      <c r="I402" s="455"/>
      <c r="J402" s="455"/>
      <c r="K402" s="456"/>
      <c r="L402" s="455"/>
      <c r="M402" s="455"/>
      <c r="N402" s="455"/>
      <c r="O402" s="455"/>
      <c r="P402" s="456"/>
      <c r="Q402" s="456"/>
      <c r="R402" s="457"/>
      <c r="S402" s="456"/>
      <c r="T402" s="455"/>
      <c r="U402" s="455"/>
      <c r="V402" s="455"/>
      <c r="W402" s="456"/>
      <c r="X402" s="455"/>
      <c r="Y402" s="455"/>
      <c r="Z402" s="455"/>
      <c r="AA402" s="455"/>
      <c r="AB402" s="456"/>
      <c r="AC402" s="455"/>
      <c r="AD402" s="455"/>
      <c r="AE402" s="455"/>
      <c r="AF402" s="455"/>
      <c r="AG402" s="455"/>
      <c r="AH402" s="455"/>
      <c r="AI402" s="455"/>
      <c r="AJ402" s="456"/>
      <c r="AK402" s="456"/>
      <c r="AL402" s="456"/>
      <c r="AM402" s="456"/>
      <c r="AN402" s="456"/>
      <c r="AO402" s="456"/>
      <c r="AP402" s="456"/>
      <c r="AQ402" s="456"/>
      <c r="AR402" s="458"/>
      <c r="AS402" s="459"/>
      <c r="AT402" s="459"/>
      <c r="AU402" s="459"/>
      <c r="AV402" s="478"/>
      <c r="AW402" s="456"/>
      <c r="AX402" s="456"/>
      <c r="AY402" s="456"/>
      <c r="AZ402" s="456"/>
      <c r="BA402" s="456"/>
      <c r="BB402" s="456"/>
      <c r="BC402" s="456"/>
    </row>
    <row r="403" spans="8:55">
      <c r="H403" s="455"/>
      <c r="I403" s="455"/>
      <c r="J403" s="455"/>
      <c r="K403" s="456"/>
      <c r="L403" s="455"/>
      <c r="M403" s="455"/>
      <c r="N403" s="455"/>
      <c r="O403" s="455"/>
      <c r="P403" s="456"/>
      <c r="Q403" s="456"/>
      <c r="R403" s="457"/>
      <c r="S403" s="456"/>
      <c r="T403" s="455"/>
      <c r="U403" s="455"/>
      <c r="V403" s="455"/>
      <c r="W403" s="456"/>
      <c r="X403" s="455"/>
      <c r="Y403" s="455"/>
      <c r="Z403" s="455"/>
      <c r="AA403" s="455"/>
      <c r="AB403" s="456"/>
      <c r="AC403" s="455"/>
      <c r="AD403" s="455"/>
      <c r="AE403" s="455"/>
      <c r="AF403" s="455"/>
      <c r="AG403" s="455"/>
      <c r="AH403" s="455"/>
      <c r="AI403" s="455"/>
      <c r="AJ403" s="456"/>
      <c r="AK403" s="456"/>
      <c r="AL403" s="456"/>
      <c r="AM403" s="456"/>
      <c r="AN403" s="456"/>
      <c r="AO403" s="456"/>
      <c r="AP403" s="456"/>
      <c r="AQ403" s="456"/>
      <c r="AR403" s="458"/>
      <c r="AS403" s="459"/>
      <c r="AT403" s="459"/>
      <c r="AU403" s="459"/>
      <c r="AV403" s="478"/>
      <c r="AW403" s="456"/>
      <c r="AX403" s="456"/>
      <c r="AY403" s="456"/>
      <c r="AZ403" s="456"/>
      <c r="BA403" s="456"/>
      <c r="BB403" s="456"/>
      <c r="BC403" s="456"/>
    </row>
    <row r="404" spans="8:55">
      <c r="H404" s="455"/>
      <c r="I404" s="455"/>
      <c r="J404" s="455"/>
      <c r="K404" s="456"/>
      <c r="L404" s="455"/>
      <c r="M404" s="455"/>
      <c r="N404" s="455"/>
      <c r="O404" s="455"/>
      <c r="P404" s="456"/>
      <c r="Q404" s="456"/>
      <c r="R404" s="457"/>
      <c r="S404" s="456"/>
      <c r="T404" s="455"/>
      <c r="U404" s="455"/>
      <c r="V404" s="455"/>
      <c r="W404" s="456"/>
      <c r="X404" s="455"/>
      <c r="Y404" s="455"/>
      <c r="Z404" s="455"/>
      <c r="AA404" s="455"/>
      <c r="AB404" s="456"/>
      <c r="AC404" s="455"/>
      <c r="AD404" s="455"/>
      <c r="AE404" s="455"/>
      <c r="AF404" s="455"/>
      <c r="AG404" s="455"/>
      <c r="AH404" s="455"/>
      <c r="AI404" s="455"/>
      <c r="AJ404" s="456"/>
      <c r="AK404" s="456"/>
      <c r="AL404" s="456"/>
      <c r="AM404" s="456"/>
      <c r="AN404" s="456"/>
      <c r="AO404" s="456"/>
      <c r="AP404" s="456"/>
      <c r="AQ404" s="456"/>
      <c r="AR404" s="458"/>
      <c r="AS404" s="459"/>
      <c r="AT404" s="459"/>
      <c r="AU404" s="459"/>
      <c r="AV404" s="478"/>
      <c r="AW404" s="456"/>
      <c r="AX404" s="456"/>
      <c r="AY404" s="456"/>
      <c r="AZ404" s="456"/>
      <c r="BA404" s="456"/>
      <c r="BB404" s="456"/>
      <c r="BC404" s="456"/>
    </row>
    <row r="405" spans="8:55">
      <c r="H405" s="455"/>
      <c r="I405" s="455"/>
      <c r="J405" s="455"/>
      <c r="K405" s="456"/>
      <c r="L405" s="455"/>
      <c r="M405" s="455"/>
      <c r="N405" s="455"/>
      <c r="O405" s="455"/>
      <c r="P405" s="456"/>
      <c r="Q405" s="456"/>
      <c r="R405" s="457"/>
      <c r="S405" s="456"/>
      <c r="T405" s="455"/>
      <c r="U405" s="455"/>
      <c r="V405" s="455"/>
      <c r="W405" s="456"/>
      <c r="X405" s="455"/>
      <c r="Y405" s="455"/>
      <c r="Z405" s="455"/>
      <c r="AA405" s="455"/>
      <c r="AB405" s="456"/>
      <c r="AC405" s="455"/>
      <c r="AD405" s="455"/>
      <c r="AE405" s="455"/>
      <c r="AF405" s="455"/>
      <c r="AG405" s="455"/>
      <c r="AH405" s="455"/>
      <c r="AI405" s="455"/>
      <c r="AJ405" s="456"/>
      <c r="AK405" s="456"/>
      <c r="AL405" s="456"/>
      <c r="AM405" s="456"/>
      <c r="AN405" s="456"/>
      <c r="AO405" s="456"/>
      <c r="AP405" s="456"/>
      <c r="AQ405" s="456"/>
      <c r="AR405" s="458"/>
      <c r="AS405" s="459"/>
      <c r="AT405" s="459"/>
      <c r="AU405" s="459"/>
      <c r="AV405" s="478"/>
      <c r="AW405" s="456"/>
      <c r="AX405" s="456"/>
      <c r="AY405" s="456"/>
      <c r="AZ405" s="456"/>
      <c r="BA405" s="456"/>
      <c r="BB405" s="456"/>
      <c r="BC405" s="456"/>
    </row>
    <row r="406" spans="8:55">
      <c r="H406" s="455"/>
      <c r="I406" s="455"/>
      <c r="J406" s="455"/>
      <c r="K406" s="456"/>
      <c r="L406" s="455"/>
      <c r="M406" s="455"/>
      <c r="N406" s="455"/>
      <c r="O406" s="455"/>
      <c r="P406" s="456"/>
      <c r="Q406" s="456"/>
      <c r="R406" s="457"/>
      <c r="S406" s="456"/>
      <c r="T406" s="455"/>
      <c r="U406" s="455"/>
      <c r="V406" s="455"/>
      <c r="W406" s="456"/>
      <c r="X406" s="455"/>
      <c r="Y406" s="455"/>
      <c r="Z406" s="455"/>
      <c r="AA406" s="455"/>
      <c r="AB406" s="456"/>
      <c r="AC406" s="455"/>
      <c r="AD406" s="455"/>
      <c r="AE406" s="455"/>
      <c r="AF406" s="455"/>
      <c r="AG406" s="455"/>
      <c r="AH406" s="455"/>
      <c r="AI406" s="455"/>
      <c r="AJ406" s="456"/>
      <c r="AK406" s="456"/>
      <c r="AL406" s="456"/>
      <c r="AM406" s="456"/>
      <c r="AN406" s="456"/>
      <c r="AO406" s="456"/>
      <c r="AP406" s="456"/>
      <c r="AQ406" s="456"/>
      <c r="AR406" s="458"/>
      <c r="AS406" s="459"/>
      <c r="AT406" s="459"/>
      <c r="AU406" s="459"/>
      <c r="AV406" s="478"/>
      <c r="AW406" s="456"/>
      <c r="AX406" s="456"/>
      <c r="AY406" s="456"/>
      <c r="AZ406" s="456"/>
      <c r="BA406" s="456"/>
      <c r="BB406" s="456"/>
      <c r="BC406" s="456"/>
    </row>
    <row r="407" spans="8:55">
      <c r="H407" s="455"/>
      <c r="I407" s="455"/>
      <c r="J407" s="455"/>
      <c r="K407" s="456"/>
      <c r="L407" s="455"/>
      <c r="M407" s="455"/>
      <c r="N407" s="455"/>
      <c r="O407" s="455"/>
      <c r="P407" s="456"/>
      <c r="Q407" s="456"/>
      <c r="R407" s="457"/>
      <c r="S407" s="456"/>
      <c r="T407" s="455"/>
      <c r="U407" s="455"/>
      <c r="V407" s="455"/>
      <c r="W407" s="456"/>
      <c r="X407" s="455"/>
      <c r="Y407" s="455"/>
      <c r="Z407" s="455"/>
      <c r="AA407" s="455"/>
      <c r="AB407" s="456"/>
      <c r="AC407" s="455"/>
      <c r="AD407" s="455"/>
      <c r="AE407" s="455"/>
      <c r="AF407" s="455"/>
      <c r="AG407" s="455"/>
      <c r="AH407" s="455"/>
      <c r="AI407" s="455"/>
      <c r="AJ407" s="456"/>
      <c r="AK407" s="456"/>
      <c r="AL407" s="456"/>
      <c r="AM407" s="456"/>
      <c r="AN407" s="456"/>
      <c r="AO407" s="456"/>
      <c r="AP407" s="456"/>
      <c r="AQ407" s="456"/>
      <c r="AR407" s="458"/>
      <c r="AS407" s="459"/>
      <c r="AT407" s="459"/>
      <c r="AU407" s="459"/>
      <c r="AV407" s="478"/>
      <c r="AW407" s="456"/>
      <c r="AX407" s="456"/>
      <c r="AY407" s="456"/>
      <c r="AZ407" s="456"/>
      <c r="BA407" s="456"/>
      <c r="BB407" s="456"/>
      <c r="BC407" s="456"/>
    </row>
    <row r="408" spans="8:55">
      <c r="H408" s="455"/>
      <c r="I408" s="455"/>
      <c r="J408" s="455"/>
      <c r="K408" s="456"/>
      <c r="L408" s="455"/>
      <c r="M408" s="455"/>
      <c r="N408" s="455"/>
      <c r="O408" s="455"/>
      <c r="P408" s="456"/>
      <c r="Q408" s="456"/>
      <c r="R408" s="457"/>
      <c r="S408" s="456"/>
      <c r="T408" s="455"/>
      <c r="U408" s="455"/>
      <c r="V408" s="455"/>
      <c r="W408" s="456"/>
      <c r="X408" s="455"/>
      <c r="Y408" s="455"/>
      <c r="Z408" s="455"/>
      <c r="AA408" s="455"/>
      <c r="AB408" s="456"/>
      <c r="AC408" s="455"/>
      <c r="AD408" s="455"/>
      <c r="AE408" s="455"/>
      <c r="AF408" s="455"/>
      <c r="AG408" s="455"/>
      <c r="AH408" s="455"/>
      <c r="AI408" s="455"/>
      <c r="AJ408" s="456"/>
      <c r="AK408" s="456"/>
      <c r="AL408" s="456"/>
      <c r="AM408" s="456"/>
      <c r="AN408" s="456"/>
      <c r="AO408" s="456"/>
      <c r="AP408" s="456"/>
      <c r="AQ408" s="456"/>
      <c r="AR408" s="458"/>
      <c r="AS408" s="459"/>
      <c r="AT408" s="459"/>
      <c r="AU408" s="459"/>
      <c r="AV408" s="478"/>
      <c r="AW408" s="456"/>
      <c r="AX408" s="456"/>
      <c r="AY408" s="456"/>
      <c r="AZ408" s="456"/>
      <c r="BA408" s="456"/>
      <c r="BB408" s="456"/>
      <c r="BC408" s="456"/>
    </row>
    <row r="409" spans="8:55">
      <c r="H409" s="455"/>
      <c r="I409" s="455"/>
      <c r="J409" s="455"/>
      <c r="K409" s="456"/>
      <c r="L409" s="455"/>
      <c r="M409" s="455"/>
      <c r="N409" s="455"/>
      <c r="O409" s="455"/>
      <c r="P409" s="456"/>
      <c r="Q409" s="456"/>
      <c r="R409" s="457"/>
      <c r="S409" s="456"/>
      <c r="T409" s="455"/>
      <c r="U409" s="455"/>
      <c r="V409" s="455"/>
      <c r="W409" s="456"/>
      <c r="X409" s="455"/>
      <c r="Y409" s="455"/>
      <c r="Z409" s="455"/>
      <c r="AA409" s="455"/>
      <c r="AB409" s="456"/>
      <c r="AC409" s="455"/>
      <c r="AD409" s="455"/>
      <c r="AE409" s="455"/>
      <c r="AF409" s="455"/>
      <c r="AG409" s="455"/>
      <c r="AH409" s="455"/>
      <c r="AI409" s="455"/>
      <c r="AJ409" s="456"/>
      <c r="AK409" s="456"/>
      <c r="AL409" s="456"/>
      <c r="AM409" s="456"/>
      <c r="AN409" s="456"/>
      <c r="AO409" s="456"/>
      <c r="AP409" s="456"/>
      <c r="AQ409" s="456"/>
      <c r="AR409" s="458"/>
      <c r="AS409" s="459"/>
      <c r="AT409" s="459"/>
      <c r="AU409" s="459"/>
      <c r="AV409" s="478"/>
      <c r="AW409" s="456"/>
      <c r="AX409" s="456"/>
      <c r="AY409" s="456"/>
      <c r="AZ409" s="456"/>
      <c r="BA409" s="456"/>
      <c r="BB409" s="456"/>
      <c r="BC409" s="456"/>
    </row>
    <row r="410" spans="8:55">
      <c r="H410" s="455"/>
      <c r="I410" s="455"/>
      <c r="J410" s="455"/>
      <c r="K410" s="456"/>
      <c r="L410" s="455"/>
      <c r="M410" s="455"/>
      <c r="N410" s="455"/>
      <c r="O410" s="455"/>
      <c r="P410" s="456"/>
      <c r="Q410" s="456"/>
      <c r="R410" s="457"/>
      <c r="S410" s="456"/>
      <c r="T410" s="455"/>
      <c r="U410" s="455"/>
      <c r="V410" s="455"/>
      <c r="W410" s="456"/>
      <c r="X410" s="455"/>
      <c r="Y410" s="455"/>
      <c r="Z410" s="455"/>
      <c r="AA410" s="455"/>
      <c r="AB410" s="456"/>
      <c r="AC410" s="455"/>
      <c r="AD410" s="455"/>
      <c r="AE410" s="455"/>
      <c r="AF410" s="455"/>
      <c r="AG410" s="455"/>
      <c r="AH410" s="455"/>
      <c r="AI410" s="455"/>
      <c r="AJ410" s="456"/>
      <c r="AK410" s="456"/>
      <c r="AL410" s="456"/>
      <c r="AM410" s="456"/>
      <c r="AN410" s="456"/>
      <c r="AO410" s="456"/>
      <c r="AP410" s="456"/>
      <c r="AQ410" s="456"/>
      <c r="AR410" s="458"/>
      <c r="AS410" s="459"/>
      <c r="AT410" s="459"/>
      <c r="AU410" s="459"/>
      <c r="AV410" s="478"/>
      <c r="AW410" s="456"/>
      <c r="AX410" s="456"/>
      <c r="AY410" s="456"/>
      <c r="AZ410" s="456"/>
      <c r="BA410" s="456"/>
      <c r="BB410" s="456"/>
      <c r="BC410" s="456"/>
    </row>
    <row r="411" spans="8:55">
      <c r="H411" s="455"/>
      <c r="I411" s="455"/>
      <c r="J411" s="455"/>
      <c r="K411" s="456"/>
      <c r="L411" s="455"/>
      <c r="M411" s="455"/>
      <c r="N411" s="455"/>
      <c r="O411" s="455"/>
      <c r="P411" s="456"/>
      <c r="Q411" s="456"/>
      <c r="R411" s="457"/>
      <c r="S411" s="456"/>
      <c r="T411" s="455"/>
      <c r="U411" s="455"/>
      <c r="V411" s="455"/>
      <c r="W411" s="456"/>
      <c r="X411" s="455"/>
      <c r="Y411" s="455"/>
      <c r="Z411" s="455"/>
      <c r="AA411" s="455"/>
      <c r="AB411" s="456"/>
      <c r="AC411" s="455"/>
      <c r="AD411" s="455"/>
      <c r="AE411" s="455"/>
      <c r="AF411" s="455"/>
      <c r="AG411" s="455"/>
      <c r="AH411" s="455"/>
      <c r="AI411" s="455"/>
      <c r="AJ411" s="456"/>
      <c r="AK411" s="456"/>
      <c r="AL411" s="456"/>
      <c r="AM411" s="456"/>
      <c r="AN411" s="456"/>
      <c r="AO411" s="456"/>
      <c r="AP411" s="456"/>
      <c r="AQ411" s="456"/>
      <c r="AR411" s="458"/>
      <c r="AS411" s="459"/>
      <c r="AT411" s="459"/>
      <c r="AU411" s="459"/>
      <c r="AV411" s="478"/>
      <c r="AW411" s="456"/>
      <c r="AX411" s="456"/>
      <c r="AY411" s="456"/>
      <c r="AZ411" s="456"/>
      <c r="BA411" s="456"/>
      <c r="BB411" s="456"/>
      <c r="BC411" s="456"/>
    </row>
    <row r="412" spans="8:55">
      <c r="H412" s="455"/>
      <c r="I412" s="455"/>
      <c r="J412" s="455"/>
      <c r="K412" s="456"/>
      <c r="L412" s="455"/>
      <c r="M412" s="455"/>
      <c r="N412" s="455"/>
      <c r="O412" s="455"/>
      <c r="P412" s="456"/>
      <c r="Q412" s="456"/>
      <c r="R412" s="457"/>
      <c r="S412" s="456"/>
      <c r="T412" s="455"/>
      <c r="U412" s="455"/>
      <c r="V412" s="455"/>
      <c r="W412" s="456"/>
      <c r="X412" s="455"/>
      <c r="Y412" s="455"/>
      <c r="Z412" s="455"/>
      <c r="AA412" s="455"/>
      <c r="AB412" s="456"/>
      <c r="AC412" s="455"/>
      <c r="AD412" s="455"/>
      <c r="AE412" s="455"/>
      <c r="AF412" s="455"/>
      <c r="AG412" s="455"/>
      <c r="AH412" s="455"/>
      <c r="AI412" s="455"/>
      <c r="AJ412" s="456"/>
      <c r="AK412" s="456"/>
      <c r="AL412" s="456"/>
      <c r="AM412" s="456"/>
      <c r="AN412" s="456"/>
      <c r="AO412" s="456"/>
      <c r="AP412" s="456"/>
      <c r="AQ412" s="456"/>
      <c r="AR412" s="458"/>
      <c r="AS412" s="459"/>
      <c r="AT412" s="459"/>
      <c r="AU412" s="459"/>
      <c r="AV412" s="478"/>
      <c r="AW412" s="456"/>
      <c r="AX412" s="456"/>
      <c r="AY412" s="456"/>
      <c r="AZ412" s="456"/>
      <c r="BA412" s="456"/>
      <c r="BB412" s="456"/>
      <c r="BC412" s="456"/>
    </row>
    <row r="413" spans="8:55">
      <c r="H413" s="455"/>
      <c r="I413" s="455"/>
      <c r="J413" s="455"/>
      <c r="K413" s="456"/>
      <c r="L413" s="455"/>
      <c r="M413" s="455"/>
      <c r="N413" s="455"/>
      <c r="O413" s="455"/>
      <c r="P413" s="456"/>
      <c r="Q413" s="456"/>
      <c r="R413" s="457"/>
      <c r="S413" s="456"/>
      <c r="T413" s="455"/>
      <c r="U413" s="455"/>
      <c r="V413" s="455"/>
      <c r="W413" s="456"/>
      <c r="X413" s="455"/>
      <c r="Y413" s="455"/>
      <c r="Z413" s="455"/>
      <c r="AA413" s="455"/>
      <c r="AB413" s="456"/>
      <c r="AC413" s="455"/>
      <c r="AD413" s="455"/>
      <c r="AE413" s="455"/>
      <c r="AF413" s="455"/>
      <c r="AG413" s="455"/>
      <c r="AH413" s="455"/>
      <c r="AI413" s="455"/>
      <c r="AJ413" s="456"/>
      <c r="AK413" s="456"/>
      <c r="AL413" s="456"/>
      <c r="AM413" s="456"/>
      <c r="AN413" s="456"/>
      <c r="AO413" s="456"/>
      <c r="AP413" s="456"/>
      <c r="AQ413" s="456"/>
      <c r="AR413" s="458"/>
      <c r="AS413" s="459"/>
      <c r="AT413" s="459"/>
      <c r="AU413" s="459"/>
      <c r="AV413" s="478"/>
      <c r="AW413" s="456"/>
      <c r="AX413" s="456"/>
      <c r="AY413" s="456"/>
      <c r="AZ413" s="456"/>
      <c r="BA413" s="456"/>
      <c r="BB413" s="456"/>
      <c r="BC413" s="456"/>
    </row>
    <row r="414" spans="8:55">
      <c r="H414" s="455"/>
      <c r="I414" s="455"/>
      <c r="J414" s="455"/>
      <c r="K414" s="456"/>
      <c r="L414" s="455"/>
      <c r="M414" s="455"/>
      <c r="N414" s="455"/>
      <c r="O414" s="455"/>
      <c r="P414" s="456"/>
      <c r="Q414" s="456"/>
      <c r="R414" s="457"/>
      <c r="S414" s="456"/>
      <c r="T414" s="455"/>
      <c r="U414" s="455"/>
      <c r="V414" s="455"/>
      <c r="W414" s="456"/>
      <c r="X414" s="455"/>
      <c r="Y414" s="455"/>
      <c r="Z414" s="455"/>
      <c r="AA414" s="455"/>
      <c r="AB414" s="456"/>
      <c r="AC414" s="455"/>
      <c r="AD414" s="455"/>
      <c r="AE414" s="455"/>
      <c r="AF414" s="455"/>
      <c r="AG414" s="455"/>
      <c r="AH414" s="455"/>
      <c r="AI414" s="455"/>
      <c r="AJ414" s="456"/>
      <c r="AK414" s="456"/>
      <c r="AL414" s="456"/>
      <c r="AM414" s="456"/>
      <c r="AN414" s="456"/>
      <c r="AO414" s="456"/>
      <c r="AP414" s="456"/>
      <c r="AQ414" s="456"/>
      <c r="AR414" s="458"/>
      <c r="AS414" s="459"/>
      <c r="AT414" s="459"/>
      <c r="AU414" s="459"/>
      <c r="AV414" s="478"/>
      <c r="AW414" s="456"/>
      <c r="AX414" s="456"/>
      <c r="AY414" s="456"/>
      <c r="AZ414" s="456"/>
      <c r="BA414" s="456"/>
      <c r="BB414" s="456"/>
      <c r="BC414" s="456"/>
    </row>
    <row r="415" spans="8:55">
      <c r="H415" s="455"/>
      <c r="I415" s="455"/>
      <c r="J415" s="455"/>
      <c r="K415" s="456"/>
      <c r="L415" s="455"/>
      <c r="M415" s="455"/>
      <c r="N415" s="455"/>
      <c r="O415" s="455"/>
      <c r="P415" s="456"/>
      <c r="Q415" s="456"/>
      <c r="R415" s="457"/>
      <c r="S415" s="456"/>
      <c r="T415" s="455"/>
      <c r="U415" s="455"/>
      <c r="V415" s="455"/>
      <c r="W415" s="456"/>
      <c r="X415" s="455"/>
      <c r="Y415" s="455"/>
      <c r="Z415" s="455"/>
      <c r="AA415" s="455"/>
      <c r="AB415" s="456"/>
      <c r="AC415" s="455"/>
      <c r="AD415" s="455"/>
      <c r="AE415" s="455"/>
      <c r="AF415" s="455"/>
      <c r="AG415" s="455"/>
      <c r="AH415" s="455"/>
      <c r="AI415" s="455"/>
      <c r="AJ415" s="456"/>
      <c r="AK415" s="456"/>
      <c r="AL415" s="456"/>
      <c r="AM415" s="456"/>
      <c r="AN415" s="456"/>
      <c r="AO415" s="456"/>
      <c r="AP415" s="456"/>
      <c r="AQ415" s="456"/>
      <c r="AR415" s="458"/>
      <c r="AS415" s="459"/>
      <c r="AT415" s="459"/>
      <c r="AU415" s="459"/>
      <c r="AV415" s="478"/>
      <c r="AW415" s="456"/>
      <c r="AX415" s="456"/>
      <c r="AY415" s="456"/>
      <c r="AZ415" s="456"/>
      <c r="BA415" s="456"/>
      <c r="BB415" s="456"/>
      <c r="BC415" s="456"/>
    </row>
    <row r="416" spans="8:55">
      <c r="H416" s="455"/>
      <c r="I416" s="455"/>
      <c r="J416" s="455"/>
      <c r="K416" s="456"/>
      <c r="L416" s="455"/>
      <c r="M416" s="455"/>
      <c r="N416" s="455"/>
      <c r="O416" s="455"/>
      <c r="P416" s="456"/>
      <c r="Q416" s="456"/>
      <c r="R416" s="457"/>
      <c r="S416" s="456"/>
      <c r="T416" s="455"/>
      <c r="U416" s="455"/>
      <c r="V416" s="455"/>
      <c r="W416" s="456"/>
      <c r="X416" s="455"/>
      <c r="Y416" s="455"/>
      <c r="Z416" s="455"/>
      <c r="AA416" s="455"/>
      <c r="AB416" s="456"/>
      <c r="AC416" s="455"/>
      <c r="AD416" s="455"/>
      <c r="AE416" s="455"/>
      <c r="AF416" s="455"/>
      <c r="AG416" s="455"/>
      <c r="AH416" s="455"/>
      <c r="AI416" s="455"/>
      <c r="AJ416" s="456"/>
      <c r="AK416" s="456"/>
      <c r="AL416" s="456"/>
      <c r="AM416" s="456"/>
      <c r="AN416" s="456"/>
      <c r="AO416" s="456"/>
      <c r="AP416" s="456"/>
      <c r="AQ416" s="456"/>
      <c r="AR416" s="458"/>
      <c r="AS416" s="459"/>
      <c r="AT416" s="459"/>
      <c r="AU416" s="459"/>
      <c r="AV416" s="478"/>
      <c r="AW416" s="456"/>
      <c r="AX416" s="456"/>
      <c r="AY416" s="456"/>
      <c r="AZ416" s="456"/>
      <c r="BA416" s="456"/>
      <c r="BB416" s="456"/>
      <c r="BC416" s="456"/>
    </row>
    <row r="417" spans="8:55">
      <c r="H417" s="455"/>
      <c r="I417" s="455"/>
      <c r="J417" s="455"/>
      <c r="K417" s="456"/>
      <c r="L417" s="455"/>
      <c r="M417" s="455"/>
      <c r="N417" s="455"/>
      <c r="O417" s="455"/>
      <c r="P417" s="456"/>
      <c r="Q417" s="456"/>
      <c r="R417" s="457"/>
      <c r="S417" s="456"/>
      <c r="T417" s="455"/>
      <c r="U417" s="455"/>
      <c r="V417" s="455"/>
      <c r="W417" s="456"/>
      <c r="X417" s="455"/>
      <c r="Y417" s="455"/>
      <c r="Z417" s="455"/>
      <c r="AA417" s="455"/>
      <c r="AB417" s="456"/>
      <c r="AC417" s="455"/>
      <c r="AD417" s="455"/>
      <c r="AE417" s="455"/>
      <c r="AF417" s="455"/>
      <c r="AG417" s="455"/>
      <c r="AH417" s="455"/>
      <c r="AI417" s="455"/>
      <c r="AJ417" s="456"/>
      <c r="AK417" s="456"/>
      <c r="AL417" s="456"/>
      <c r="AM417" s="456"/>
      <c r="AN417" s="456"/>
      <c r="AO417" s="456"/>
      <c r="AP417" s="456"/>
      <c r="AQ417" s="456"/>
      <c r="AR417" s="458"/>
      <c r="AS417" s="459"/>
      <c r="AT417" s="459"/>
      <c r="AU417" s="459"/>
      <c r="AV417" s="478"/>
      <c r="AW417" s="456"/>
      <c r="AX417" s="456"/>
      <c r="AY417" s="456"/>
      <c r="AZ417" s="456"/>
      <c r="BA417" s="456"/>
      <c r="BB417" s="456"/>
      <c r="BC417" s="456"/>
    </row>
    <row r="418" spans="8:55">
      <c r="H418" s="455"/>
      <c r="I418" s="455"/>
      <c r="J418" s="455"/>
      <c r="K418" s="456"/>
      <c r="L418" s="455"/>
      <c r="M418" s="455"/>
      <c r="N418" s="455"/>
      <c r="O418" s="455"/>
      <c r="P418" s="456"/>
      <c r="Q418" s="456"/>
      <c r="R418" s="457"/>
      <c r="S418" s="456"/>
      <c r="T418" s="455"/>
      <c r="U418" s="455"/>
      <c r="V418" s="455"/>
      <c r="W418" s="456"/>
      <c r="X418" s="455"/>
      <c r="Y418" s="455"/>
      <c r="Z418" s="455"/>
      <c r="AA418" s="455"/>
      <c r="AB418" s="456"/>
      <c r="AC418" s="455"/>
      <c r="AD418" s="455"/>
      <c r="AE418" s="455"/>
      <c r="AF418" s="455"/>
      <c r="AG418" s="455"/>
      <c r="AH418" s="455"/>
      <c r="AI418" s="455"/>
      <c r="AJ418" s="456"/>
      <c r="AK418" s="456"/>
      <c r="AL418" s="456"/>
      <c r="AM418" s="456"/>
      <c r="AN418" s="456"/>
      <c r="AO418" s="456"/>
      <c r="AP418" s="456"/>
      <c r="AQ418" s="456"/>
      <c r="AR418" s="458"/>
      <c r="AS418" s="459"/>
      <c r="AT418" s="459"/>
      <c r="AU418" s="459"/>
      <c r="AV418" s="478"/>
      <c r="AW418" s="456"/>
      <c r="AX418" s="456"/>
      <c r="AY418" s="456"/>
      <c r="AZ418" s="456"/>
      <c r="BA418" s="456"/>
      <c r="BB418" s="456"/>
      <c r="BC418" s="456"/>
    </row>
    <row r="419" spans="8:55">
      <c r="H419" s="455"/>
      <c r="I419" s="455"/>
      <c r="J419" s="455"/>
      <c r="K419" s="456"/>
      <c r="L419" s="455"/>
      <c r="M419" s="455"/>
      <c r="N419" s="455"/>
      <c r="O419" s="455"/>
      <c r="P419" s="456"/>
      <c r="Q419" s="456"/>
      <c r="R419" s="457"/>
      <c r="S419" s="456"/>
      <c r="T419" s="455"/>
      <c r="U419" s="455"/>
      <c r="V419" s="455"/>
      <c r="W419" s="456"/>
      <c r="X419" s="455"/>
      <c r="Y419" s="455"/>
      <c r="Z419" s="455"/>
      <c r="AA419" s="455"/>
      <c r="AB419" s="456"/>
      <c r="AC419" s="455"/>
      <c r="AD419" s="455"/>
      <c r="AE419" s="455"/>
      <c r="AF419" s="455"/>
      <c r="AG419" s="455"/>
      <c r="AH419" s="455"/>
      <c r="AI419" s="455"/>
      <c r="AJ419" s="456"/>
      <c r="AK419" s="456"/>
      <c r="AL419" s="456"/>
      <c r="AM419" s="456"/>
      <c r="AN419" s="456"/>
      <c r="AO419" s="456"/>
      <c r="AP419" s="456"/>
      <c r="AQ419" s="456"/>
      <c r="AR419" s="458"/>
      <c r="AS419" s="459"/>
      <c r="AT419" s="459"/>
      <c r="AU419" s="459"/>
      <c r="AV419" s="478"/>
      <c r="AW419" s="456"/>
      <c r="AX419" s="456"/>
      <c r="AY419" s="456"/>
      <c r="AZ419" s="456"/>
      <c r="BA419" s="456"/>
      <c r="BB419" s="456"/>
      <c r="BC419" s="456"/>
    </row>
    <row r="420" spans="8:55">
      <c r="H420" s="455"/>
      <c r="I420" s="455"/>
      <c r="J420" s="455"/>
      <c r="K420" s="456"/>
      <c r="L420" s="455"/>
      <c r="M420" s="455"/>
      <c r="N420" s="455"/>
      <c r="O420" s="455"/>
      <c r="P420" s="456"/>
      <c r="Q420" s="456"/>
      <c r="R420" s="457"/>
      <c r="S420" s="456"/>
      <c r="T420" s="455"/>
      <c r="U420" s="455"/>
      <c r="V420" s="455"/>
      <c r="W420" s="456"/>
      <c r="X420" s="455"/>
      <c r="Y420" s="455"/>
      <c r="Z420" s="455"/>
      <c r="AA420" s="455"/>
      <c r="AB420" s="456"/>
      <c r="AC420" s="455"/>
      <c r="AD420" s="455"/>
      <c r="AE420" s="455"/>
      <c r="AF420" s="455"/>
      <c r="AG420" s="455"/>
      <c r="AH420" s="455"/>
      <c r="AI420" s="455"/>
      <c r="AJ420" s="456"/>
      <c r="AK420" s="456"/>
      <c r="AL420" s="456"/>
      <c r="AM420" s="456"/>
      <c r="AN420" s="456"/>
      <c r="AO420" s="456"/>
      <c r="AP420" s="456"/>
      <c r="AQ420" s="456"/>
      <c r="AR420" s="458"/>
      <c r="AS420" s="459"/>
      <c r="AT420" s="459"/>
      <c r="AU420" s="459"/>
      <c r="AV420" s="478"/>
      <c r="AW420" s="456"/>
      <c r="AX420" s="456"/>
      <c r="AY420" s="456"/>
      <c r="AZ420" s="456"/>
      <c r="BA420" s="456"/>
      <c r="BB420" s="456"/>
      <c r="BC420" s="456"/>
    </row>
    <row r="421" spans="8:55">
      <c r="H421" s="455"/>
      <c r="I421" s="455"/>
      <c r="J421" s="455"/>
      <c r="K421" s="456"/>
      <c r="L421" s="455"/>
      <c r="M421" s="455"/>
      <c r="N421" s="455"/>
      <c r="O421" s="455"/>
      <c r="P421" s="456"/>
      <c r="Q421" s="456"/>
      <c r="R421" s="457"/>
      <c r="S421" s="456"/>
      <c r="T421" s="455"/>
      <c r="U421" s="455"/>
      <c r="V421" s="455"/>
      <c r="W421" s="456"/>
      <c r="X421" s="455"/>
      <c r="Y421" s="455"/>
      <c r="Z421" s="455"/>
      <c r="AA421" s="455"/>
      <c r="AB421" s="456"/>
      <c r="AC421" s="455"/>
      <c r="AD421" s="455"/>
      <c r="AE421" s="455"/>
      <c r="AF421" s="455"/>
      <c r="AG421" s="455"/>
      <c r="AH421" s="455"/>
      <c r="AI421" s="455"/>
      <c r="AJ421" s="456"/>
      <c r="AK421" s="456"/>
      <c r="AL421" s="456"/>
      <c r="AM421" s="456"/>
      <c r="AN421" s="456"/>
      <c r="AO421" s="456"/>
      <c r="AP421" s="456"/>
      <c r="AQ421" s="456"/>
      <c r="AR421" s="458"/>
      <c r="AS421" s="459"/>
      <c r="AT421" s="459"/>
      <c r="AU421" s="459"/>
      <c r="AV421" s="478"/>
      <c r="AW421" s="456"/>
      <c r="AX421" s="456"/>
      <c r="AY421" s="456"/>
      <c r="AZ421" s="456"/>
      <c r="BA421" s="456"/>
      <c r="BB421" s="456"/>
      <c r="BC421" s="456"/>
    </row>
    <row r="422" spans="8:55">
      <c r="H422" s="455"/>
      <c r="I422" s="455"/>
      <c r="J422" s="455"/>
      <c r="K422" s="456"/>
      <c r="L422" s="455"/>
      <c r="M422" s="455"/>
      <c r="N422" s="455"/>
      <c r="O422" s="455"/>
      <c r="P422" s="456"/>
      <c r="Q422" s="456"/>
      <c r="R422" s="457"/>
      <c r="S422" s="456"/>
      <c r="T422" s="455"/>
      <c r="U422" s="455"/>
      <c r="V422" s="455"/>
      <c r="W422" s="456"/>
      <c r="X422" s="455"/>
      <c r="Y422" s="455"/>
      <c r="Z422" s="455"/>
      <c r="AA422" s="455"/>
      <c r="AB422" s="456"/>
      <c r="AC422" s="455"/>
      <c r="AD422" s="455"/>
      <c r="AE422" s="455"/>
      <c r="AF422" s="455"/>
      <c r="AG422" s="455"/>
      <c r="AH422" s="455"/>
      <c r="AI422" s="455"/>
      <c r="AJ422" s="456"/>
      <c r="AK422" s="456"/>
      <c r="AL422" s="456"/>
      <c r="AM422" s="456"/>
      <c r="AN422" s="456"/>
      <c r="AO422" s="456"/>
      <c r="AP422" s="456"/>
      <c r="AQ422" s="456"/>
      <c r="AR422" s="458"/>
      <c r="AS422" s="459"/>
      <c r="AT422" s="459"/>
      <c r="AU422" s="459"/>
      <c r="AV422" s="478"/>
      <c r="AW422" s="456"/>
      <c r="AX422" s="456"/>
      <c r="AY422" s="456"/>
      <c r="AZ422" s="456"/>
      <c r="BA422" s="456"/>
      <c r="BB422" s="456"/>
      <c r="BC422" s="456"/>
    </row>
    <row r="423" spans="8:55">
      <c r="H423" s="455"/>
      <c r="I423" s="455"/>
      <c r="J423" s="455"/>
      <c r="K423" s="456"/>
      <c r="L423" s="455"/>
      <c r="M423" s="455"/>
      <c r="N423" s="455"/>
      <c r="O423" s="455"/>
      <c r="P423" s="456"/>
      <c r="Q423" s="456"/>
      <c r="R423" s="457"/>
      <c r="S423" s="456"/>
      <c r="T423" s="455"/>
      <c r="U423" s="455"/>
      <c r="V423" s="455"/>
      <c r="W423" s="456"/>
      <c r="X423" s="455"/>
      <c r="Y423" s="455"/>
      <c r="Z423" s="455"/>
      <c r="AA423" s="455"/>
      <c r="AB423" s="456"/>
      <c r="AC423" s="455"/>
      <c r="AD423" s="455"/>
      <c r="AE423" s="455"/>
      <c r="AF423" s="455"/>
      <c r="AG423" s="455"/>
      <c r="AH423" s="455"/>
      <c r="AI423" s="455"/>
      <c r="AJ423" s="456"/>
      <c r="AK423" s="456"/>
      <c r="AL423" s="456"/>
      <c r="AM423" s="456"/>
      <c r="AN423" s="456"/>
      <c r="AO423" s="456"/>
      <c r="AP423" s="456"/>
      <c r="AQ423" s="456"/>
      <c r="AR423" s="458"/>
      <c r="AS423" s="459"/>
      <c r="AT423" s="459"/>
      <c r="AU423" s="459"/>
      <c r="AV423" s="478"/>
      <c r="AW423" s="456"/>
      <c r="AX423" s="456"/>
      <c r="AY423" s="456"/>
      <c r="AZ423" s="456"/>
      <c r="BA423" s="456"/>
      <c r="BB423" s="456"/>
      <c r="BC423" s="456"/>
    </row>
    <row r="424" spans="8:55">
      <c r="H424" s="455"/>
      <c r="I424" s="455"/>
      <c r="J424" s="455"/>
      <c r="K424" s="456"/>
      <c r="L424" s="455"/>
      <c r="M424" s="455"/>
      <c r="N424" s="455"/>
      <c r="O424" s="455"/>
      <c r="P424" s="456"/>
      <c r="Q424" s="456"/>
      <c r="R424" s="457"/>
      <c r="S424" s="456"/>
      <c r="T424" s="455"/>
      <c r="U424" s="455"/>
      <c r="V424" s="455"/>
      <c r="W424" s="456"/>
      <c r="X424" s="455"/>
      <c r="Y424" s="455"/>
      <c r="Z424" s="455"/>
      <c r="AA424" s="455"/>
      <c r="AB424" s="456"/>
      <c r="AC424" s="455"/>
      <c r="AD424" s="455"/>
      <c r="AE424" s="455"/>
      <c r="AF424" s="455"/>
      <c r="AG424" s="455"/>
      <c r="AH424" s="455"/>
      <c r="AI424" s="455"/>
      <c r="AJ424" s="456"/>
      <c r="AK424" s="456"/>
      <c r="AL424" s="456"/>
      <c r="AM424" s="456"/>
      <c r="AN424" s="456"/>
      <c r="AO424" s="456"/>
      <c r="AP424" s="456"/>
      <c r="AQ424" s="456"/>
      <c r="AR424" s="458"/>
      <c r="AS424" s="459"/>
      <c r="AT424" s="459"/>
      <c r="AU424" s="459"/>
      <c r="AV424" s="478"/>
      <c r="AW424" s="456"/>
      <c r="AX424" s="456"/>
      <c r="AY424" s="456"/>
      <c r="AZ424" s="456"/>
      <c r="BA424" s="456"/>
      <c r="BB424" s="456"/>
      <c r="BC424" s="456"/>
    </row>
    <row r="425" spans="8:55">
      <c r="H425" s="455"/>
      <c r="I425" s="455"/>
      <c r="J425" s="455"/>
      <c r="K425" s="456"/>
      <c r="L425" s="455"/>
      <c r="M425" s="455"/>
      <c r="N425" s="455"/>
      <c r="O425" s="455"/>
      <c r="P425" s="456"/>
      <c r="Q425" s="456"/>
      <c r="R425" s="457"/>
      <c r="S425" s="456"/>
      <c r="T425" s="455"/>
      <c r="U425" s="455"/>
      <c r="V425" s="455"/>
      <c r="W425" s="456"/>
      <c r="X425" s="455"/>
      <c r="Y425" s="455"/>
      <c r="Z425" s="455"/>
      <c r="AA425" s="455"/>
      <c r="AB425" s="456"/>
      <c r="AC425" s="455"/>
      <c r="AD425" s="455"/>
      <c r="AE425" s="455"/>
      <c r="AF425" s="455"/>
      <c r="AG425" s="455"/>
      <c r="AH425" s="455"/>
      <c r="AI425" s="455"/>
      <c r="AJ425" s="456"/>
      <c r="AK425" s="456"/>
      <c r="AL425" s="456"/>
      <c r="AM425" s="456"/>
      <c r="AN425" s="456"/>
      <c r="AO425" s="456"/>
      <c r="AP425" s="456"/>
      <c r="AQ425" s="456"/>
      <c r="AR425" s="458"/>
      <c r="AS425" s="459"/>
      <c r="AT425" s="459"/>
      <c r="AU425" s="459"/>
      <c r="AV425" s="478"/>
      <c r="AW425" s="456"/>
      <c r="AX425" s="456"/>
      <c r="AY425" s="456"/>
      <c r="AZ425" s="456"/>
      <c r="BA425" s="456"/>
      <c r="BB425" s="456"/>
      <c r="BC425" s="456"/>
    </row>
    <row r="426" spans="8:55">
      <c r="H426" s="455"/>
      <c r="I426" s="455"/>
      <c r="J426" s="455"/>
      <c r="K426" s="456"/>
      <c r="L426" s="455"/>
      <c r="M426" s="455"/>
      <c r="N426" s="455"/>
      <c r="O426" s="455"/>
      <c r="P426" s="456"/>
      <c r="Q426" s="456"/>
      <c r="R426" s="457"/>
      <c r="S426" s="456"/>
      <c r="T426" s="455"/>
      <c r="U426" s="455"/>
      <c r="V426" s="455"/>
      <c r="W426" s="456"/>
      <c r="X426" s="455"/>
      <c r="Y426" s="455"/>
      <c r="Z426" s="455"/>
      <c r="AA426" s="455"/>
      <c r="AB426" s="456"/>
      <c r="AC426" s="455"/>
      <c r="AD426" s="455"/>
      <c r="AE426" s="455"/>
      <c r="AF426" s="455"/>
      <c r="AG426" s="455"/>
      <c r="AH426" s="455"/>
      <c r="AI426" s="455"/>
      <c r="AJ426" s="456"/>
      <c r="AK426" s="456"/>
      <c r="AL426" s="456"/>
      <c r="AM426" s="456"/>
      <c r="AN426" s="456"/>
      <c r="AO426" s="456"/>
      <c r="AP426" s="456"/>
      <c r="AQ426" s="456"/>
      <c r="AR426" s="458"/>
      <c r="AS426" s="459"/>
      <c r="AT426" s="459"/>
      <c r="AU426" s="459"/>
      <c r="AV426" s="478"/>
      <c r="AW426" s="456"/>
      <c r="AX426" s="456"/>
      <c r="AY426" s="456"/>
      <c r="AZ426" s="456"/>
      <c r="BA426" s="456"/>
      <c r="BB426" s="456"/>
      <c r="BC426" s="456"/>
    </row>
    <row r="427" spans="8:55">
      <c r="H427" s="455"/>
      <c r="I427" s="455"/>
      <c r="J427" s="455"/>
      <c r="K427" s="456"/>
      <c r="L427" s="455"/>
      <c r="M427" s="455"/>
      <c r="N427" s="455"/>
      <c r="O427" s="455"/>
      <c r="P427" s="456"/>
      <c r="Q427" s="456"/>
      <c r="R427" s="457"/>
      <c r="S427" s="456"/>
      <c r="T427" s="455"/>
      <c r="U427" s="455"/>
      <c r="V427" s="455"/>
      <c r="W427" s="456"/>
      <c r="X427" s="455"/>
      <c r="Y427" s="455"/>
      <c r="Z427" s="455"/>
      <c r="AA427" s="455"/>
      <c r="AB427" s="456"/>
      <c r="AC427" s="455"/>
      <c r="AD427" s="455"/>
      <c r="AE427" s="455"/>
      <c r="AF427" s="455"/>
      <c r="AG427" s="455"/>
      <c r="AH427" s="455"/>
      <c r="AI427" s="455"/>
      <c r="AJ427" s="456"/>
      <c r="AK427" s="456"/>
      <c r="AL427" s="456"/>
      <c r="AM427" s="456"/>
      <c r="AN427" s="456"/>
      <c r="AO427" s="456"/>
      <c r="AP427" s="456"/>
      <c r="AQ427" s="456"/>
      <c r="AR427" s="458"/>
      <c r="AS427" s="459"/>
      <c r="AT427" s="459"/>
      <c r="AU427" s="459"/>
      <c r="AV427" s="478"/>
      <c r="AW427" s="456"/>
      <c r="AX427" s="456"/>
      <c r="AY427" s="456"/>
      <c r="AZ427" s="456"/>
      <c r="BA427" s="456"/>
      <c r="BB427" s="456"/>
      <c r="BC427" s="456"/>
    </row>
    <row r="428" spans="8:55">
      <c r="H428" s="455"/>
      <c r="I428" s="455"/>
      <c r="J428" s="455"/>
      <c r="K428" s="456"/>
      <c r="L428" s="455"/>
      <c r="M428" s="455"/>
      <c r="N428" s="455"/>
      <c r="O428" s="455"/>
      <c r="P428" s="456"/>
      <c r="Q428" s="456"/>
      <c r="R428" s="457"/>
      <c r="S428" s="456"/>
      <c r="T428" s="455"/>
      <c r="U428" s="455"/>
      <c r="V428" s="455"/>
      <c r="W428" s="456"/>
      <c r="X428" s="455"/>
      <c r="Y428" s="455"/>
      <c r="Z428" s="455"/>
      <c r="AA428" s="455"/>
      <c r="AB428" s="456"/>
      <c r="AC428" s="455"/>
      <c r="AD428" s="455"/>
      <c r="AE428" s="455"/>
      <c r="AF428" s="455"/>
      <c r="AG428" s="455"/>
      <c r="AH428" s="455"/>
      <c r="AI428" s="455"/>
      <c r="AJ428" s="456"/>
      <c r="AK428" s="456"/>
      <c r="AL428" s="456"/>
      <c r="AM428" s="456"/>
      <c r="AN428" s="456"/>
      <c r="AO428" s="456"/>
      <c r="AP428" s="456"/>
      <c r="AQ428" s="456"/>
      <c r="AR428" s="458"/>
      <c r="AS428" s="459"/>
      <c r="AT428" s="459"/>
      <c r="AU428" s="459"/>
      <c r="AV428" s="478"/>
      <c r="AW428" s="456"/>
      <c r="AX428" s="456"/>
      <c r="AY428" s="456"/>
      <c r="AZ428" s="456"/>
      <c r="BA428" s="456"/>
      <c r="BB428" s="456"/>
      <c r="BC428" s="456"/>
    </row>
    <row r="429" spans="8:55">
      <c r="H429" s="455"/>
      <c r="I429" s="455"/>
      <c r="J429" s="455"/>
      <c r="K429" s="456"/>
      <c r="L429" s="455"/>
      <c r="M429" s="455"/>
      <c r="N429" s="455"/>
      <c r="O429" s="455"/>
      <c r="P429" s="456"/>
      <c r="Q429" s="456"/>
      <c r="R429" s="457"/>
      <c r="S429" s="456"/>
      <c r="T429" s="455"/>
      <c r="U429" s="455"/>
      <c r="V429" s="455"/>
      <c r="W429" s="456"/>
      <c r="X429" s="455"/>
      <c r="Y429" s="455"/>
      <c r="Z429" s="455"/>
      <c r="AA429" s="455"/>
      <c r="AB429" s="456"/>
      <c r="AC429" s="455"/>
      <c r="AD429" s="455"/>
      <c r="AE429" s="455"/>
      <c r="AF429" s="455"/>
      <c r="AG429" s="455"/>
      <c r="AH429" s="455"/>
      <c r="AI429" s="455"/>
      <c r="AJ429" s="456"/>
      <c r="AK429" s="456"/>
      <c r="AL429" s="456"/>
      <c r="AM429" s="456"/>
      <c r="AN429" s="456"/>
      <c r="AO429" s="456"/>
      <c r="AP429" s="456"/>
      <c r="AQ429" s="456"/>
      <c r="AR429" s="458"/>
      <c r="AS429" s="459"/>
      <c r="AT429" s="459"/>
      <c r="AU429" s="459"/>
      <c r="AV429" s="478"/>
      <c r="AW429" s="456"/>
      <c r="AX429" s="456"/>
      <c r="AY429" s="456"/>
      <c r="AZ429" s="456"/>
      <c r="BA429" s="456"/>
      <c r="BB429" s="456"/>
      <c r="BC429" s="456"/>
    </row>
    <row r="430" spans="8:55">
      <c r="H430" s="455"/>
      <c r="I430" s="455"/>
      <c r="J430" s="455"/>
      <c r="K430" s="456"/>
      <c r="L430" s="455"/>
      <c r="M430" s="455"/>
      <c r="N430" s="455"/>
      <c r="O430" s="455"/>
      <c r="P430" s="456"/>
      <c r="Q430" s="456"/>
      <c r="R430" s="457"/>
      <c r="S430" s="456"/>
      <c r="T430" s="455"/>
      <c r="U430" s="455"/>
      <c r="V430" s="455"/>
      <c r="W430" s="456"/>
      <c r="X430" s="455"/>
      <c r="Y430" s="455"/>
      <c r="Z430" s="455"/>
      <c r="AA430" s="455"/>
      <c r="AB430" s="456"/>
      <c r="AC430" s="455"/>
      <c r="AD430" s="455"/>
      <c r="AE430" s="455"/>
      <c r="AF430" s="455"/>
      <c r="AG430" s="455"/>
      <c r="AH430" s="455"/>
      <c r="AI430" s="455"/>
      <c r="AJ430" s="456"/>
      <c r="AK430" s="456"/>
      <c r="AL430" s="456"/>
      <c r="AM430" s="456"/>
      <c r="AN430" s="456"/>
      <c r="AO430" s="456"/>
      <c r="AP430" s="456"/>
      <c r="AQ430" s="456"/>
      <c r="AR430" s="458"/>
      <c r="AS430" s="459"/>
      <c r="AT430" s="459"/>
      <c r="AU430" s="459"/>
      <c r="AV430" s="478"/>
      <c r="AW430" s="456"/>
      <c r="AX430" s="456"/>
      <c r="AY430" s="456"/>
      <c r="AZ430" s="456"/>
      <c r="BA430" s="456"/>
      <c r="BB430" s="456"/>
      <c r="BC430" s="456"/>
    </row>
    <row r="431" spans="8:55">
      <c r="H431" s="455"/>
      <c r="I431" s="455"/>
      <c r="J431" s="455"/>
      <c r="K431" s="456"/>
      <c r="L431" s="455"/>
      <c r="M431" s="455"/>
      <c r="N431" s="455"/>
      <c r="O431" s="455"/>
      <c r="P431" s="456"/>
      <c r="Q431" s="456"/>
      <c r="R431" s="457"/>
      <c r="S431" s="456"/>
      <c r="T431" s="455"/>
      <c r="U431" s="455"/>
      <c r="V431" s="455"/>
      <c r="W431" s="456"/>
      <c r="X431" s="455"/>
      <c r="Y431" s="455"/>
      <c r="Z431" s="455"/>
      <c r="AA431" s="455"/>
      <c r="AB431" s="456"/>
      <c r="AC431" s="455"/>
      <c r="AD431" s="455"/>
      <c r="AE431" s="455"/>
      <c r="AF431" s="455"/>
      <c r="AG431" s="455"/>
      <c r="AH431" s="455"/>
      <c r="AI431" s="455"/>
      <c r="AJ431" s="456"/>
      <c r="AK431" s="456"/>
      <c r="AL431" s="456"/>
      <c r="AM431" s="456"/>
      <c r="AN431" s="456"/>
      <c r="AO431" s="456"/>
      <c r="AP431" s="456"/>
      <c r="AQ431" s="456"/>
      <c r="AR431" s="458"/>
      <c r="AS431" s="459"/>
      <c r="AT431" s="459"/>
      <c r="AU431" s="459"/>
      <c r="AV431" s="478"/>
      <c r="AW431" s="456"/>
      <c r="AX431" s="456"/>
      <c r="AY431" s="456"/>
      <c r="AZ431" s="456"/>
      <c r="BA431" s="456"/>
      <c r="BB431" s="456"/>
      <c r="BC431" s="456"/>
    </row>
    <row r="432" spans="8:55">
      <c r="H432" s="455"/>
      <c r="I432" s="455"/>
      <c r="J432" s="455"/>
      <c r="K432" s="456"/>
      <c r="L432" s="455"/>
      <c r="M432" s="455"/>
      <c r="N432" s="455"/>
      <c r="O432" s="455"/>
      <c r="P432" s="456"/>
      <c r="Q432" s="456"/>
      <c r="R432" s="457"/>
      <c r="S432" s="456"/>
      <c r="T432" s="455"/>
      <c r="U432" s="455"/>
      <c r="V432" s="455"/>
      <c r="W432" s="456"/>
      <c r="X432" s="455"/>
      <c r="Y432" s="455"/>
      <c r="Z432" s="455"/>
      <c r="AA432" s="455"/>
      <c r="AB432" s="456"/>
      <c r="AC432" s="455"/>
      <c r="AD432" s="455"/>
      <c r="AE432" s="455"/>
      <c r="AF432" s="455"/>
      <c r="AG432" s="455"/>
      <c r="AH432" s="455"/>
      <c r="AI432" s="455"/>
      <c r="AJ432" s="456"/>
      <c r="AK432" s="456"/>
      <c r="AL432" s="456"/>
      <c r="AM432" s="456"/>
      <c r="AN432" s="456"/>
      <c r="AO432" s="456"/>
      <c r="AP432" s="456"/>
      <c r="AQ432" s="456"/>
      <c r="AR432" s="458"/>
      <c r="AS432" s="459"/>
      <c r="AT432" s="459"/>
      <c r="AU432" s="459"/>
      <c r="AV432" s="478"/>
      <c r="AW432" s="456"/>
      <c r="AX432" s="456"/>
      <c r="AY432" s="456"/>
      <c r="AZ432" s="456"/>
      <c r="BA432" s="456"/>
      <c r="BB432" s="456"/>
      <c r="BC432" s="456"/>
    </row>
    <row r="433" spans="8:55">
      <c r="H433" s="455"/>
      <c r="I433" s="455"/>
      <c r="J433" s="455"/>
      <c r="K433" s="456"/>
      <c r="L433" s="455"/>
      <c r="M433" s="455"/>
      <c r="N433" s="455"/>
      <c r="O433" s="455"/>
      <c r="P433" s="456"/>
      <c r="Q433" s="456"/>
      <c r="R433" s="457"/>
      <c r="S433" s="456"/>
      <c r="T433" s="455"/>
      <c r="U433" s="455"/>
      <c r="V433" s="455"/>
      <c r="W433" s="456"/>
      <c r="X433" s="455"/>
      <c r="Y433" s="455"/>
      <c r="Z433" s="455"/>
      <c r="AA433" s="455"/>
      <c r="AB433" s="456"/>
      <c r="AC433" s="455"/>
      <c r="AD433" s="455"/>
      <c r="AE433" s="455"/>
      <c r="AF433" s="455"/>
      <c r="AG433" s="455"/>
      <c r="AH433" s="455"/>
      <c r="AI433" s="455"/>
      <c r="AJ433" s="456"/>
      <c r="AK433" s="456"/>
      <c r="AL433" s="456"/>
      <c r="AM433" s="456"/>
      <c r="AN433" s="456"/>
      <c r="AO433" s="456"/>
      <c r="AP433" s="456"/>
      <c r="AQ433" s="456"/>
      <c r="AR433" s="458"/>
      <c r="AS433" s="459"/>
      <c r="AT433" s="459"/>
      <c r="AU433" s="459"/>
      <c r="AV433" s="478"/>
      <c r="AW433" s="456"/>
      <c r="AX433" s="456"/>
      <c r="AY433" s="456"/>
      <c r="AZ433" s="456"/>
      <c r="BA433" s="456"/>
      <c r="BB433" s="456"/>
      <c r="BC433" s="456"/>
    </row>
    <row r="434" spans="8:55">
      <c r="H434" s="455"/>
      <c r="I434" s="455"/>
      <c r="J434" s="455"/>
      <c r="K434" s="456"/>
      <c r="L434" s="455"/>
      <c r="M434" s="455"/>
      <c r="N434" s="455"/>
      <c r="O434" s="455"/>
      <c r="P434" s="456"/>
      <c r="Q434" s="456"/>
      <c r="R434" s="457"/>
      <c r="S434" s="456"/>
      <c r="T434" s="455"/>
      <c r="U434" s="455"/>
      <c r="V434" s="455"/>
      <c r="W434" s="456"/>
      <c r="X434" s="455"/>
      <c r="Y434" s="455"/>
      <c r="Z434" s="455"/>
      <c r="AA434" s="455"/>
      <c r="AB434" s="456"/>
      <c r="AC434" s="455"/>
      <c r="AD434" s="455"/>
      <c r="AE434" s="455"/>
      <c r="AF434" s="455"/>
      <c r="AG434" s="455"/>
      <c r="AH434" s="455"/>
      <c r="AI434" s="455"/>
      <c r="AJ434" s="456"/>
      <c r="AK434" s="456"/>
      <c r="AL434" s="456"/>
      <c r="AM434" s="456"/>
      <c r="AN434" s="456"/>
      <c r="AO434" s="456"/>
      <c r="AP434" s="456"/>
      <c r="AQ434" s="456"/>
      <c r="AR434" s="458"/>
      <c r="AS434" s="459"/>
      <c r="AT434" s="459"/>
      <c r="AU434" s="459"/>
      <c r="AV434" s="478"/>
      <c r="AW434" s="456"/>
      <c r="AX434" s="456"/>
      <c r="AY434" s="456"/>
      <c r="AZ434" s="456"/>
      <c r="BA434" s="456"/>
      <c r="BB434" s="456"/>
      <c r="BC434" s="456"/>
    </row>
    <row r="435" spans="8:55">
      <c r="H435" s="455"/>
      <c r="I435" s="455"/>
      <c r="J435" s="455"/>
      <c r="K435" s="456"/>
      <c r="L435" s="455"/>
      <c r="M435" s="455"/>
      <c r="N435" s="455"/>
      <c r="O435" s="455"/>
      <c r="P435" s="456"/>
      <c r="Q435" s="456"/>
      <c r="R435" s="457"/>
      <c r="S435" s="456"/>
      <c r="T435" s="455"/>
      <c r="U435" s="455"/>
      <c r="V435" s="455"/>
      <c r="W435" s="456"/>
      <c r="X435" s="455"/>
      <c r="Y435" s="455"/>
      <c r="Z435" s="455"/>
      <c r="AA435" s="455"/>
      <c r="AB435" s="456"/>
      <c r="AC435" s="455"/>
      <c r="AD435" s="455"/>
      <c r="AE435" s="455"/>
      <c r="AF435" s="455"/>
      <c r="AG435" s="455"/>
      <c r="AH435" s="455"/>
      <c r="AI435" s="455"/>
      <c r="AJ435" s="456"/>
      <c r="AK435" s="456"/>
      <c r="AL435" s="456"/>
      <c r="AM435" s="456"/>
      <c r="AN435" s="456"/>
      <c r="AO435" s="456"/>
      <c r="AP435" s="456"/>
      <c r="AQ435" s="456"/>
      <c r="AR435" s="458"/>
      <c r="AS435" s="459"/>
      <c r="AT435" s="459"/>
      <c r="AU435" s="459"/>
      <c r="AV435" s="478"/>
      <c r="AW435" s="456"/>
      <c r="AX435" s="456"/>
      <c r="AY435" s="456"/>
      <c r="AZ435" s="456"/>
      <c r="BA435" s="456"/>
      <c r="BB435" s="456"/>
      <c r="BC435" s="456"/>
    </row>
    <row r="436" spans="8:55">
      <c r="H436" s="455"/>
      <c r="I436" s="455"/>
      <c r="J436" s="455"/>
      <c r="K436" s="456"/>
      <c r="L436" s="455"/>
      <c r="M436" s="455"/>
      <c r="N436" s="455"/>
      <c r="O436" s="455"/>
      <c r="P436" s="456"/>
      <c r="Q436" s="456"/>
      <c r="R436" s="457"/>
      <c r="S436" s="456"/>
      <c r="T436" s="455"/>
      <c r="U436" s="455"/>
      <c r="V436" s="455"/>
      <c r="W436" s="456"/>
      <c r="X436" s="455"/>
      <c r="Y436" s="455"/>
      <c r="Z436" s="455"/>
      <c r="AA436" s="455"/>
      <c r="AB436" s="456"/>
      <c r="AC436" s="455"/>
      <c r="AD436" s="455"/>
      <c r="AE436" s="455"/>
      <c r="AF436" s="455"/>
      <c r="AG436" s="455"/>
      <c r="AH436" s="455"/>
      <c r="AI436" s="455"/>
      <c r="AJ436" s="456"/>
      <c r="AK436" s="456"/>
      <c r="AL436" s="456"/>
      <c r="AM436" s="456"/>
      <c r="AN436" s="456"/>
      <c r="AO436" s="456"/>
      <c r="AP436" s="456"/>
      <c r="AQ436" s="456"/>
      <c r="AR436" s="458"/>
      <c r="AS436" s="459"/>
      <c r="AT436" s="459"/>
      <c r="AU436" s="459"/>
      <c r="AV436" s="478"/>
      <c r="AW436" s="456"/>
      <c r="AX436" s="456"/>
      <c r="AY436" s="456"/>
      <c r="AZ436" s="456"/>
      <c r="BA436" s="456"/>
      <c r="BB436" s="456"/>
      <c r="BC436" s="456"/>
    </row>
    <row r="437" spans="8:55">
      <c r="H437" s="455"/>
      <c r="I437" s="455"/>
      <c r="J437" s="455"/>
      <c r="K437" s="456"/>
      <c r="L437" s="455"/>
      <c r="M437" s="455"/>
      <c r="N437" s="455"/>
      <c r="O437" s="455"/>
      <c r="P437" s="456"/>
      <c r="Q437" s="456"/>
      <c r="R437" s="457"/>
      <c r="S437" s="456"/>
      <c r="T437" s="455"/>
      <c r="U437" s="455"/>
      <c r="V437" s="455"/>
      <c r="W437" s="456"/>
      <c r="X437" s="455"/>
      <c r="Y437" s="455"/>
      <c r="Z437" s="455"/>
      <c r="AA437" s="455"/>
      <c r="AB437" s="456"/>
      <c r="AC437" s="455"/>
      <c r="AD437" s="455"/>
      <c r="AE437" s="455"/>
      <c r="AF437" s="455"/>
      <c r="AG437" s="455"/>
      <c r="AH437" s="455"/>
      <c r="AI437" s="455"/>
      <c r="AJ437" s="456"/>
      <c r="AK437" s="456"/>
      <c r="AL437" s="456"/>
      <c r="AM437" s="456"/>
      <c r="AN437" s="456"/>
      <c r="AO437" s="456"/>
      <c r="AP437" s="456"/>
      <c r="AQ437" s="456"/>
      <c r="AR437" s="458"/>
      <c r="AS437" s="459"/>
      <c r="AT437" s="459"/>
      <c r="AU437" s="459"/>
      <c r="AV437" s="478"/>
      <c r="AW437" s="456"/>
      <c r="AX437" s="456"/>
      <c r="AY437" s="456"/>
      <c r="AZ437" s="456"/>
      <c r="BA437" s="456"/>
      <c r="BB437" s="456"/>
      <c r="BC437" s="456"/>
    </row>
    <row r="438" spans="8:55">
      <c r="H438" s="455"/>
      <c r="I438" s="455"/>
      <c r="J438" s="455"/>
      <c r="K438" s="456"/>
      <c r="L438" s="455"/>
      <c r="M438" s="455"/>
      <c r="N438" s="455"/>
      <c r="O438" s="455"/>
      <c r="P438" s="456"/>
      <c r="Q438" s="456"/>
      <c r="R438" s="457"/>
      <c r="S438" s="456"/>
      <c r="T438" s="455"/>
      <c r="U438" s="455"/>
      <c r="V438" s="455"/>
      <c r="W438" s="456"/>
      <c r="X438" s="455"/>
      <c r="Y438" s="455"/>
      <c r="Z438" s="455"/>
      <c r="AA438" s="455"/>
      <c r="AB438" s="456"/>
      <c r="AC438" s="455"/>
      <c r="AD438" s="455"/>
      <c r="AE438" s="455"/>
      <c r="AF438" s="455"/>
      <c r="AG438" s="455"/>
      <c r="AH438" s="455"/>
      <c r="AI438" s="455"/>
      <c r="AJ438" s="456"/>
      <c r="AK438" s="456"/>
      <c r="AL438" s="456"/>
      <c r="AM438" s="456"/>
      <c r="AN438" s="456"/>
      <c r="AO438" s="456"/>
      <c r="AP438" s="456"/>
      <c r="AQ438" s="456"/>
      <c r="AR438" s="458"/>
      <c r="AS438" s="459"/>
      <c r="AT438" s="459"/>
      <c r="AU438" s="459"/>
      <c r="AV438" s="478"/>
      <c r="AW438" s="456"/>
      <c r="AX438" s="456"/>
      <c r="AY438" s="456"/>
      <c r="AZ438" s="456"/>
      <c r="BA438" s="456"/>
      <c r="BB438" s="456"/>
      <c r="BC438" s="456"/>
    </row>
    <row r="439" spans="8:55">
      <c r="H439" s="455"/>
      <c r="I439" s="455"/>
      <c r="J439" s="455"/>
      <c r="K439" s="456"/>
      <c r="L439" s="455"/>
      <c r="M439" s="455"/>
      <c r="N439" s="455"/>
      <c r="O439" s="455"/>
      <c r="P439" s="456"/>
      <c r="Q439" s="456"/>
      <c r="R439" s="457"/>
      <c r="S439" s="456"/>
      <c r="T439" s="455"/>
      <c r="U439" s="455"/>
      <c r="V439" s="455"/>
      <c r="W439" s="456"/>
      <c r="X439" s="455"/>
      <c r="Y439" s="455"/>
      <c r="Z439" s="455"/>
      <c r="AA439" s="455"/>
      <c r="AB439" s="456"/>
      <c r="AC439" s="455"/>
      <c r="AD439" s="455"/>
      <c r="AE439" s="455"/>
      <c r="AF439" s="455"/>
      <c r="AG439" s="455"/>
      <c r="AH439" s="455"/>
      <c r="AI439" s="455"/>
      <c r="AJ439" s="456"/>
      <c r="AK439" s="456"/>
      <c r="AL439" s="456"/>
      <c r="AM439" s="456"/>
      <c r="AN439" s="456"/>
      <c r="AO439" s="456"/>
      <c r="AP439" s="456"/>
      <c r="AQ439" s="456"/>
      <c r="AR439" s="458"/>
      <c r="AS439" s="459"/>
      <c r="AT439" s="459"/>
      <c r="AU439" s="459"/>
      <c r="AV439" s="478"/>
      <c r="AW439" s="456"/>
      <c r="AX439" s="456"/>
      <c r="AY439" s="456"/>
      <c r="AZ439" s="456"/>
      <c r="BA439" s="456"/>
      <c r="BB439" s="456"/>
      <c r="BC439" s="456"/>
    </row>
    <row r="440" spans="8:55">
      <c r="H440" s="455"/>
      <c r="I440" s="455"/>
      <c r="J440" s="455"/>
      <c r="K440" s="456"/>
      <c r="L440" s="455"/>
      <c r="M440" s="455"/>
      <c r="N440" s="455"/>
      <c r="O440" s="455"/>
      <c r="P440" s="456"/>
      <c r="Q440" s="456"/>
      <c r="R440" s="457"/>
      <c r="S440" s="456"/>
      <c r="T440" s="455"/>
      <c r="U440" s="455"/>
      <c r="V440" s="455"/>
      <c r="W440" s="456"/>
      <c r="X440" s="455"/>
      <c r="Y440" s="455"/>
      <c r="Z440" s="455"/>
      <c r="AA440" s="455"/>
      <c r="AB440" s="456"/>
      <c r="AC440" s="455"/>
      <c r="AD440" s="455"/>
      <c r="AE440" s="455"/>
      <c r="AF440" s="455"/>
      <c r="AG440" s="455"/>
      <c r="AH440" s="455"/>
      <c r="AI440" s="455"/>
      <c r="AJ440" s="456"/>
      <c r="AK440" s="456"/>
      <c r="AL440" s="456"/>
      <c r="AM440" s="456"/>
      <c r="AN440" s="456"/>
      <c r="AO440" s="456"/>
      <c r="AP440" s="456"/>
      <c r="AQ440" s="456"/>
      <c r="AR440" s="458"/>
      <c r="AS440" s="459"/>
      <c r="AT440" s="459"/>
      <c r="AU440" s="459"/>
      <c r="AV440" s="478"/>
      <c r="AW440" s="456"/>
      <c r="AX440" s="456"/>
      <c r="AY440" s="456"/>
      <c r="AZ440" s="456"/>
      <c r="BA440" s="456"/>
      <c r="BB440" s="456"/>
      <c r="BC440" s="456"/>
    </row>
    <row r="441" spans="8:55">
      <c r="H441" s="455"/>
      <c r="I441" s="455"/>
      <c r="J441" s="455"/>
      <c r="K441" s="456"/>
      <c r="L441" s="455"/>
      <c r="M441" s="455"/>
      <c r="N441" s="455"/>
      <c r="O441" s="455"/>
      <c r="P441" s="456"/>
      <c r="Q441" s="456"/>
      <c r="R441" s="457"/>
      <c r="S441" s="456"/>
      <c r="T441" s="455"/>
      <c r="U441" s="455"/>
      <c r="V441" s="455"/>
      <c r="W441" s="456"/>
      <c r="X441" s="455"/>
      <c r="Y441" s="455"/>
      <c r="Z441" s="455"/>
      <c r="AA441" s="455"/>
      <c r="AB441" s="456"/>
      <c r="AC441" s="455"/>
      <c r="AD441" s="455"/>
      <c r="AE441" s="455"/>
      <c r="AF441" s="455"/>
      <c r="AG441" s="455"/>
      <c r="AH441" s="455"/>
      <c r="AI441" s="455"/>
      <c r="AJ441" s="456"/>
      <c r="AK441" s="456"/>
      <c r="AL441" s="456"/>
      <c r="AM441" s="456"/>
      <c r="AN441" s="456"/>
      <c r="AO441" s="456"/>
      <c r="AP441" s="456"/>
      <c r="AQ441" s="456"/>
      <c r="AR441" s="458"/>
      <c r="AS441" s="459"/>
      <c r="AT441" s="459"/>
      <c r="AU441" s="459"/>
      <c r="AV441" s="478"/>
      <c r="AW441" s="456"/>
      <c r="AX441" s="456"/>
      <c r="AY441" s="456"/>
      <c r="AZ441" s="456"/>
      <c r="BA441" s="456"/>
      <c r="BB441" s="456"/>
      <c r="BC441" s="456"/>
    </row>
    <row r="442" spans="8:55">
      <c r="H442" s="455"/>
      <c r="I442" s="455"/>
      <c r="J442" s="455"/>
      <c r="K442" s="456"/>
      <c r="L442" s="455"/>
      <c r="M442" s="455"/>
      <c r="N442" s="455"/>
      <c r="O442" s="455"/>
      <c r="P442" s="456"/>
      <c r="Q442" s="456"/>
      <c r="R442" s="457"/>
      <c r="S442" s="456"/>
      <c r="T442" s="455"/>
      <c r="U442" s="455"/>
      <c r="V442" s="455"/>
      <c r="W442" s="456"/>
      <c r="X442" s="455"/>
      <c r="Y442" s="455"/>
      <c r="Z442" s="455"/>
      <c r="AA442" s="455"/>
      <c r="AB442" s="456"/>
      <c r="AC442" s="455"/>
      <c r="AD442" s="455"/>
      <c r="AE442" s="455"/>
      <c r="AF442" s="455"/>
      <c r="AG442" s="455"/>
      <c r="AH442" s="455"/>
      <c r="AI442" s="455"/>
      <c r="AJ442" s="456"/>
      <c r="AK442" s="456"/>
      <c r="AL442" s="456"/>
      <c r="AM442" s="456"/>
      <c r="AN442" s="456"/>
      <c r="AO442" s="456"/>
      <c r="AP442" s="456"/>
      <c r="AQ442" s="456"/>
      <c r="AR442" s="458"/>
      <c r="AS442" s="459"/>
      <c r="AT442" s="459"/>
      <c r="AU442" s="459"/>
      <c r="AV442" s="478"/>
      <c r="AW442" s="456"/>
      <c r="AX442" s="456"/>
      <c r="AY442" s="456"/>
      <c r="AZ442" s="456"/>
      <c r="BA442" s="456"/>
      <c r="BB442" s="456"/>
      <c r="BC442" s="456"/>
    </row>
    <row r="443" spans="8:55">
      <c r="H443" s="455"/>
      <c r="I443" s="455"/>
      <c r="J443" s="455"/>
      <c r="K443" s="456"/>
      <c r="L443" s="455"/>
      <c r="M443" s="455"/>
      <c r="N443" s="455"/>
      <c r="O443" s="455"/>
      <c r="P443" s="456"/>
      <c r="Q443" s="456"/>
      <c r="R443" s="457"/>
      <c r="S443" s="456"/>
      <c r="T443" s="455"/>
      <c r="U443" s="455"/>
      <c r="V443" s="455"/>
      <c r="W443" s="456"/>
      <c r="X443" s="455"/>
      <c r="Y443" s="455"/>
      <c r="Z443" s="455"/>
      <c r="AA443" s="455"/>
      <c r="AB443" s="456"/>
      <c r="AC443" s="455"/>
      <c r="AD443" s="455"/>
      <c r="AE443" s="455"/>
      <c r="AF443" s="455"/>
      <c r="AG443" s="455"/>
      <c r="AH443" s="455"/>
      <c r="AI443" s="455"/>
      <c r="AJ443" s="456"/>
      <c r="AK443" s="456"/>
      <c r="AL443" s="456"/>
      <c r="AM443" s="456"/>
      <c r="AN443" s="456"/>
      <c r="AO443" s="456"/>
      <c r="AP443" s="456"/>
      <c r="AQ443" s="456"/>
      <c r="AR443" s="458"/>
      <c r="AS443" s="459"/>
      <c r="AT443" s="459"/>
      <c r="AU443" s="459"/>
      <c r="AV443" s="478"/>
      <c r="AW443" s="456"/>
      <c r="AX443" s="456"/>
      <c r="AY443" s="456"/>
      <c r="AZ443" s="456"/>
      <c r="BA443" s="456"/>
      <c r="BB443" s="456"/>
      <c r="BC443" s="456"/>
    </row>
    <row r="444" spans="8:55">
      <c r="H444" s="455"/>
      <c r="I444" s="455"/>
      <c r="J444" s="455"/>
      <c r="K444" s="456"/>
      <c r="L444" s="455"/>
      <c r="M444" s="455"/>
      <c r="N444" s="455"/>
      <c r="O444" s="455"/>
      <c r="P444" s="456"/>
      <c r="Q444" s="456"/>
      <c r="R444" s="457"/>
      <c r="S444" s="456"/>
      <c r="T444" s="455"/>
      <c r="U444" s="455"/>
      <c r="V444" s="455"/>
      <c r="W444" s="456"/>
      <c r="X444" s="455"/>
      <c r="Y444" s="455"/>
      <c r="Z444" s="455"/>
      <c r="AA444" s="455"/>
      <c r="AB444" s="456"/>
      <c r="AC444" s="455"/>
      <c r="AD444" s="455"/>
      <c r="AE444" s="455"/>
      <c r="AF444" s="455"/>
      <c r="AG444" s="455"/>
      <c r="AH444" s="455"/>
      <c r="AI444" s="455"/>
      <c r="AJ444" s="456"/>
      <c r="AK444" s="456"/>
      <c r="AL444" s="456"/>
      <c r="AM444" s="456"/>
      <c r="AN444" s="456"/>
      <c r="AO444" s="456"/>
      <c r="AP444" s="456"/>
      <c r="AQ444" s="456"/>
      <c r="AR444" s="458"/>
      <c r="AS444" s="459"/>
      <c r="AT444" s="459"/>
      <c r="AU444" s="459"/>
      <c r="AV444" s="478"/>
      <c r="AW444" s="456"/>
      <c r="AX444" s="456"/>
      <c r="AY444" s="456"/>
      <c r="AZ444" s="456"/>
      <c r="BA444" s="456"/>
      <c r="BB444" s="456"/>
      <c r="BC444" s="456"/>
    </row>
    <row r="445" spans="8:55">
      <c r="H445" s="455"/>
      <c r="I445" s="455"/>
      <c r="J445" s="455"/>
      <c r="K445" s="456"/>
      <c r="L445" s="455"/>
      <c r="M445" s="455"/>
      <c r="N445" s="455"/>
      <c r="O445" s="455"/>
      <c r="P445" s="456"/>
      <c r="Q445" s="456"/>
      <c r="R445" s="457"/>
      <c r="S445" s="456"/>
      <c r="T445" s="455"/>
      <c r="U445" s="455"/>
      <c r="V445" s="455"/>
      <c r="W445" s="456"/>
      <c r="X445" s="455"/>
      <c r="Y445" s="455"/>
      <c r="Z445" s="455"/>
      <c r="AA445" s="455"/>
      <c r="AB445" s="456"/>
      <c r="AC445" s="455"/>
      <c r="AD445" s="455"/>
      <c r="AE445" s="455"/>
      <c r="AF445" s="455"/>
      <c r="AG445" s="455"/>
      <c r="AH445" s="455"/>
      <c r="AI445" s="455"/>
      <c r="AJ445" s="456"/>
      <c r="AK445" s="456"/>
      <c r="AL445" s="456"/>
      <c r="AM445" s="456"/>
      <c r="AN445" s="456"/>
      <c r="AO445" s="456"/>
      <c r="AP445" s="456"/>
      <c r="AQ445" s="456"/>
      <c r="AR445" s="458"/>
      <c r="AS445" s="459"/>
      <c r="AT445" s="459"/>
      <c r="AU445" s="459"/>
      <c r="AV445" s="478"/>
      <c r="AW445" s="456"/>
      <c r="AX445" s="456"/>
      <c r="AY445" s="456"/>
      <c r="AZ445" s="456"/>
      <c r="BA445" s="456"/>
      <c r="BB445" s="456"/>
      <c r="BC445" s="456"/>
    </row>
    <row r="446" spans="8:55">
      <c r="H446" s="455"/>
      <c r="I446" s="455"/>
      <c r="J446" s="455"/>
      <c r="K446" s="456"/>
      <c r="L446" s="455"/>
      <c r="M446" s="455"/>
      <c r="N446" s="455"/>
      <c r="O446" s="455"/>
      <c r="P446" s="456"/>
      <c r="Q446" s="456"/>
      <c r="R446" s="457"/>
      <c r="S446" s="456"/>
      <c r="T446" s="455"/>
      <c r="U446" s="455"/>
      <c r="V446" s="455"/>
      <c r="W446" s="456"/>
      <c r="X446" s="455"/>
      <c r="Y446" s="455"/>
      <c r="Z446" s="455"/>
      <c r="AA446" s="455"/>
      <c r="AB446" s="456"/>
      <c r="AC446" s="455"/>
      <c r="AD446" s="455"/>
      <c r="AE446" s="455"/>
      <c r="AF446" s="455"/>
      <c r="AG446" s="455"/>
      <c r="AH446" s="455"/>
      <c r="AI446" s="455"/>
      <c r="AJ446" s="456"/>
      <c r="AK446" s="456"/>
      <c r="AL446" s="456"/>
      <c r="AM446" s="456"/>
      <c r="AN446" s="456"/>
      <c r="AO446" s="456"/>
      <c r="AP446" s="456"/>
      <c r="AQ446" s="456"/>
      <c r="AR446" s="458"/>
      <c r="AS446" s="459"/>
      <c r="AT446" s="459"/>
      <c r="AU446" s="459"/>
      <c r="AV446" s="478"/>
      <c r="AW446" s="456"/>
      <c r="AX446" s="456"/>
      <c r="AY446" s="456"/>
      <c r="AZ446" s="456"/>
      <c r="BA446" s="456"/>
      <c r="BB446" s="456"/>
      <c r="BC446" s="456"/>
    </row>
    <row r="447" spans="8:55">
      <c r="H447" s="455"/>
      <c r="I447" s="455"/>
      <c r="J447" s="455"/>
      <c r="K447" s="456"/>
      <c r="L447" s="455"/>
      <c r="M447" s="455"/>
      <c r="N447" s="455"/>
      <c r="O447" s="455"/>
      <c r="P447" s="456"/>
      <c r="Q447" s="456"/>
      <c r="R447" s="457"/>
      <c r="S447" s="456"/>
      <c r="T447" s="455"/>
      <c r="U447" s="455"/>
      <c r="V447" s="455"/>
      <c r="W447" s="456"/>
      <c r="X447" s="455"/>
      <c r="Y447" s="455"/>
      <c r="Z447" s="455"/>
      <c r="AA447" s="455"/>
      <c r="AB447" s="456"/>
      <c r="AC447" s="455"/>
      <c r="AD447" s="455"/>
      <c r="AE447" s="455"/>
      <c r="AF447" s="455"/>
      <c r="AG447" s="455"/>
      <c r="AH447" s="455"/>
      <c r="AI447" s="455"/>
      <c r="AJ447" s="456"/>
      <c r="AK447" s="456"/>
      <c r="AL447" s="456"/>
      <c r="AM447" s="456"/>
      <c r="AN447" s="456"/>
      <c r="AO447" s="456"/>
      <c r="AP447" s="456"/>
      <c r="AQ447" s="456"/>
      <c r="AR447" s="458"/>
      <c r="AS447" s="459"/>
      <c r="AT447" s="459"/>
      <c r="AU447" s="459"/>
      <c r="AV447" s="478"/>
      <c r="AW447" s="456"/>
      <c r="AX447" s="456"/>
      <c r="AY447" s="456"/>
      <c r="AZ447" s="456"/>
      <c r="BA447" s="456"/>
      <c r="BB447" s="456"/>
      <c r="BC447" s="456"/>
    </row>
    <row r="448" spans="8:55">
      <c r="H448" s="455"/>
      <c r="I448" s="455"/>
      <c r="J448" s="455"/>
      <c r="K448" s="456"/>
      <c r="L448" s="455"/>
      <c r="M448" s="455"/>
      <c r="N448" s="455"/>
      <c r="O448" s="455"/>
      <c r="P448" s="456"/>
      <c r="Q448" s="456"/>
      <c r="R448" s="457"/>
      <c r="S448" s="456"/>
      <c r="T448" s="455"/>
      <c r="U448" s="455"/>
      <c r="V448" s="455"/>
      <c r="W448" s="456"/>
      <c r="X448" s="455"/>
      <c r="Y448" s="455"/>
      <c r="Z448" s="455"/>
      <c r="AA448" s="455"/>
      <c r="AB448" s="456"/>
      <c r="AC448" s="455"/>
      <c r="AD448" s="455"/>
      <c r="AE448" s="455"/>
      <c r="AF448" s="455"/>
      <c r="AG448" s="455"/>
      <c r="AH448" s="455"/>
      <c r="AI448" s="455"/>
      <c r="AJ448" s="456"/>
      <c r="AK448" s="456"/>
      <c r="AL448" s="456"/>
      <c r="AM448" s="456"/>
      <c r="AN448" s="456"/>
      <c r="AO448" s="456"/>
      <c r="AP448" s="456"/>
      <c r="AQ448" s="456"/>
      <c r="AR448" s="458"/>
      <c r="AS448" s="459"/>
      <c r="AT448" s="459"/>
      <c r="AU448" s="459"/>
      <c r="AV448" s="478"/>
      <c r="AW448" s="456"/>
      <c r="AX448" s="456"/>
      <c r="AY448" s="456"/>
      <c r="AZ448" s="456"/>
      <c r="BA448" s="456"/>
      <c r="BB448" s="456"/>
      <c r="BC448" s="456"/>
    </row>
    <row r="449" spans="8:55">
      <c r="H449" s="455"/>
      <c r="I449" s="455"/>
      <c r="J449" s="455"/>
      <c r="K449" s="456"/>
      <c r="L449" s="455"/>
      <c r="M449" s="455"/>
      <c r="N449" s="455"/>
      <c r="O449" s="455"/>
      <c r="P449" s="456"/>
      <c r="Q449" s="456"/>
      <c r="R449" s="457"/>
      <c r="S449" s="456"/>
      <c r="T449" s="455"/>
      <c r="U449" s="455"/>
      <c r="V449" s="455"/>
      <c r="W449" s="456"/>
      <c r="X449" s="455"/>
      <c r="Y449" s="455"/>
      <c r="Z449" s="455"/>
      <c r="AA449" s="455"/>
      <c r="AB449" s="456"/>
      <c r="AC449" s="455"/>
      <c r="AD449" s="455"/>
      <c r="AE449" s="455"/>
      <c r="AF449" s="455"/>
      <c r="AG449" s="455"/>
      <c r="AH449" s="455"/>
      <c r="AI449" s="455"/>
      <c r="AJ449" s="456"/>
      <c r="AK449" s="456"/>
      <c r="AL449" s="456"/>
      <c r="AM449" s="456"/>
      <c r="AN449" s="456"/>
      <c r="AO449" s="456"/>
      <c r="AP449" s="456"/>
      <c r="AQ449" s="456"/>
      <c r="AR449" s="458"/>
      <c r="AS449" s="459"/>
      <c r="AT449" s="459"/>
      <c r="AU449" s="459"/>
      <c r="AV449" s="478"/>
      <c r="AW449" s="456"/>
      <c r="AX449" s="456"/>
      <c r="AY449" s="456"/>
      <c r="AZ449" s="456"/>
      <c r="BA449" s="456"/>
      <c r="BB449" s="456"/>
      <c r="BC449" s="456"/>
    </row>
    <row r="450" spans="8:55">
      <c r="H450" s="455"/>
      <c r="I450" s="455"/>
      <c r="J450" s="455"/>
      <c r="K450" s="456"/>
      <c r="L450" s="455"/>
      <c r="M450" s="455"/>
      <c r="N450" s="455"/>
      <c r="O450" s="455"/>
      <c r="P450" s="456"/>
      <c r="Q450" s="456"/>
      <c r="R450" s="457"/>
      <c r="S450" s="456"/>
      <c r="T450" s="455"/>
      <c r="U450" s="455"/>
      <c r="V450" s="455"/>
      <c r="W450" s="456"/>
      <c r="X450" s="455"/>
      <c r="Y450" s="455"/>
      <c r="Z450" s="455"/>
      <c r="AA450" s="455"/>
      <c r="AB450" s="456"/>
      <c r="AC450" s="455"/>
      <c r="AD450" s="455"/>
      <c r="AE450" s="455"/>
      <c r="AF450" s="455"/>
      <c r="AG450" s="455"/>
      <c r="AH450" s="455"/>
      <c r="AI450" s="455"/>
      <c r="AJ450" s="456"/>
      <c r="AK450" s="456"/>
      <c r="AL450" s="456"/>
      <c r="AM450" s="456"/>
      <c r="AN450" s="456"/>
      <c r="AO450" s="456"/>
      <c r="AP450" s="456"/>
      <c r="AQ450" s="456"/>
      <c r="AR450" s="458"/>
      <c r="AS450" s="459"/>
      <c r="AT450" s="459"/>
      <c r="AU450" s="459"/>
      <c r="AV450" s="478"/>
      <c r="AW450" s="456"/>
      <c r="AX450" s="456"/>
      <c r="AY450" s="456"/>
      <c r="AZ450" s="456"/>
      <c r="BA450" s="456"/>
      <c r="BB450" s="456"/>
      <c r="BC450" s="456"/>
    </row>
    <row r="451" spans="8:55">
      <c r="H451" s="455"/>
      <c r="I451" s="455"/>
      <c r="J451" s="455"/>
      <c r="K451" s="456"/>
      <c r="L451" s="455"/>
      <c r="M451" s="455"/>
      <c r="N451" s="455"/>
      <c r="O451" s="455"/>
      <c r="P451" s="456"/>
      <c r="Q451" s="456"/>
      <c r="R451" s="457"/>
      <c r="S451" s="456"/>
      <c r="T451" s="455"/>
      <c r="U451" s="455"/>
      <c r="V451" s="455"/>
      <c r="W451" s="456"/>
      <c r="X451" s="455"/>
      <c r="Y451" s="455"/>
      <c r="Z451" s="455"/>
      <c r="AA451" s="455"/>
      <c r="AB451" s="456"/>
      <c r="AC451" s="455"/>
      <c r="AD451" s="455"/>
      <c r="AE451" s="455"/>
      <c r="AF451" s="455"/>
      <c r="AG451" s="455"/>
      <c r="AH451" s="455"/>
      <c r="AI451" s="455"/>
      <c r="AJ451" s="456"/>
      <c r="AK451" s="456"/>
      <c r="AL451" s="456"/>
      <c r="AM451" s="456"/>
      <c r="AN451" s="456"/>
      <c r="AO451" s="456"/>
      <c r="AP451" s="456"/>
      <c r="AQ451" s="456"/>
      <c r="AR451" s="458"/>
      <c r="AS451" s="459"/>
      <c r="AT451" s="459"/>
      <c r="AU451" s="459"/>
      <c r="AV451" s="478"/>
      <c r="AW451" s="456"/>
      <c r="AX451" s="456"/>
      <c r="AY451" s="456"/>
      <c r="AZ451" s="456"/>
      <c r="BA451" s="456"/>
      <c r="BB451" s="456"/>
      <c r="BC451" s="456"/>
    </row>
    <row r="452" spans="8:55">
      <c r="H452" s="455"/>
      <c r="I452" s="455"/>
      <c r="J452" s="455"/>
      <c r="K452" s="456"/>
      <c r="L452" s="455"/>
      <c r="M452" s="455"/>
      <c r="N452" s="455"/>
      <c r="O452" s="455"/>
      <c r="P452" s="456"/>
      <c r="Q452" s="456"/>
      <c r="R452" s="457"/>
      <c r="S452" s="456"/>
      <c r="T452" s="455"/>
      <c r="U452" s="455"/>
      <c r="V452" s="455"/>
      <c r="W452" s="456"/>
      <c r="X452" s="455"/>
      <c r="Y452" s="455"/>
      <c r="Z452" s="455"/>
      <c r="AA452" s="455"/>
      <c r="AB452" s="456"/>
      <c r="AC452" s="455"/>
      <c r="AD452" s="455"/>
      <c r="AE452" s="455"/>
      <c r="AF452" s="455"/>
      <c r="AG452" s="455"/>
      <c r="AH452" s="455"/>
      <c r="AI452" s="455"/>
      <c r="AJ452" s="456"/>
      <c r="AK452" s="456"/>
      <c r="AL452" s="456"/>
      <c r="AM452" s="456"/>
      <c r="AN452" s="456"/>
      <c r="AO452" s="456"/>
      <c r="AP452" s="456"/>
      <c r="AQ452" s="456"/>
      <c r="AR452" s="458"/>
      <c r="AS452" s="459"/>
      <c r="AT452" s="459"/>
      <c r="AU452" s="459"/>
      <c r="AV452" s="478"/>
      <c r="AW452" s="456"/>
      <c r="AX452" s="456"/>
      <c r="AY452" s="456"/>
      <c r="AZ452" s="456"/>
      <c r="BA452" s="456"/>
      <c r="BB452" s="456"/>
      <c r="BC452" s="456"/>
    </row>
    <row r="453" spans="8:55">
      <c r="H453" s="455"/>
      <c r="I453" s="455"/>
      <c r="J453" s="455"/>
      <c r="K453" s="456"/>
      <c r="L453" s="455"/>
      <c r="M453" s="455"/>
      <c r="N453" s="455"/>
      <c r="O453" s="455"/>
      <c r="P453" s="456"/>
      <c r="Q453" s="456"/>
      <c r="R453" s="457"/>
      <c r="S453" s="456"/>
      <c r="T453" s="455"/>
      <c r="U453" s="455"/>
      <c r="V453" s="455"/>
      <c r="W453" s="456"/>
      <c r="X453" s="455"/>
      <c r="Y453" s="455"/>
      <c r="Z453" s="455"/>
      <c r="AA453" s="455"/>
      <c r="AB453" s="456"/>
      <c r="AC453" s="455"/>
      <c r="AD453" s="455"/>
      <c r="AE453" s="455"/>
      <c r="AF453" s="455"/>
      <c r="AG453" s="455"/>
      <c r="AH453" s="455"/>
      <c r="AI453" s="455"/>
      <c r="AJ453" s="456"/>
      <c r="AK453" s="456"/>
      <c r="AL453" s="456"/>
      <c r="AM453" s="456"/>
      <c r="AN453" s="456"/>
      <c r="AO453" s="456"/>
      <c r="AP453" s="456"/>
      <c r="AQ453" s="456"/>
      <c r="AR453" s="458"/>
      <c r="AS453" s="459"/>
      <c r="AT453" s="459"/>
      <c r="AU453" s="459"/>
      <c r="AV453" s="478"/>
      <c r="AW453" s="456"/>
      <c r="AX453" s="456"/>
      <c r="AY453" s="456"/>
      <c r="AZ453" s="456"/>
      <c r="BA453" s="456"/>
      <c r="BB453" s="456"/>
      <c r="BC453" s="456"/>
    </row>
    <row r="454" spans="8:55">
      <c r="H454" s="455"/>
      <c r="I454" s="455"/>
      <c r="J454" s="455"/>
      <c r="K454" s="456"/>
      <c r="L454" s="455"/>
      <c r="M454" s="455"/>
      <c r="N454" s="455"/>
      <c r="O454" s="455"/>
      <c r="P454" s="456"/>
      <c r="Q454" s="456"/>
      <c r="R454" s="457"/>
      <c r="S454" s="456"/>
      <c r="T454" s="455"/>
      <c r="U454" s="455"/>
      <c r="V454" s="455"/>
      <c r="W454" s="456"/>
      <c r="X454" s="455"/>
      <c r="Y454" s="455"/>
      <c r="Z454" s="455"/>
      <c r="AA454" s="455"/>
      <c r="AB454" s="456"/>
      <c r="AC454" s="455"/>
      <c r="AD454" s="455"/>
      <c r="AE454" s="455"/>
      <c r="AF454" s="455"/>
      <c r="AG454" s="455"/>
      <c r="AH454" s="455"/>
      <c r="AI454" s="455"/>
      <c r="AJ454" s="456"/>
      <c r="AK454" s="456"/>
      <c r="AL454" s="456"/>
      <c r="AM454" s="456"/>
      <c r="AN454" s="456"/>
      <c r="AO454" s="456"/>
      <c r="AP454" s="456"/>
      <c r="AQ454" s="456"/>
      <c r="AR454" s="458"/>
      <c r="AS454" s="459"/>
      <c r="AT454" s="459"/>
      <c r="AU454" s="459"/>
      <c r="AV454" s="478"/>
      <c r="AW454" s="456"/>
      <c r="AX454" s="456"/>
      <c r="AY454" s="456"/>
      <c r="AZ454" s="456"/>
      <c r="BA454" s="456"/>
      <c r="BB454" s="456"/>
      <c r="BC454" s="456"/>
    </row>
    <row r="455" spans="8:55">
      <c r="H455" s="455"/>
      <c r="I455" s="455"/>
      <c r="J455" s="455"/>
      <c r="K455" s="456"/>
      <c r="L455" s="455"/>
      <c r="M455" s="455"/>
      <c r="N455" s="455"/>
      <c r="O455" s="455"/>
      <c r="P455" s="456"/>
      <c r="Q455" s="456"/>
      <c r="R455" s="457"/>
      <c r="S455" s="456"/>
      <c r="T455" s="455"/>
      <c r="U455" s="455"/>
      <c r="V455" s="455"/>
      <c r="W455" s="456"/>
      <c r="X455" s="455"/>
      <c r="Y455" s="455"/>
      <c r="Z455" s="455"/>
      <c r="AA455" s="455"/>
      <c r="AB455" s="456"/>
      <c r="AC455" s="455"/>
      <c r="AD455" s="455"/>
      <c r="AE455" s="455"/>
      <c r="AF455" s="455"/>
      <c r="AG455" s="455"/>
      <c r="AH455" s="455"/>
      <c r="AI455" s="455"/>
      <c r="AJ455" s="456"/>
      <c r="AK455" s="456"/>
      <c r="AL455" s="456"/>
      <c r="AM455" s="456"/>
      <c r="AN455" s="456"/>
      <c r="AO455" s="456"/>
      <c r="AP455" s="456"/>
      <c r="AQ455" s="456"/>
      <c r="AR455" s="458"/>
      <c r="AS455" s="459"/>
      <c r="AT455" s="459"/>
      <c r="AU455" s="459"/>
      <c r="AV455" s="478"/>
      <c r="AW455" s="456"/>
      <c r="AX455" s="456"/>
      <c r="AY455" s="456"/>
      <c r="AZ455" s="456"/>
      <c r="BA455" s="456"/>
      <c r="BB455" s="456"/>
      <c r="BC455" s="456"/>
    </row>
    <row r="456" spans="8:55">
      <c r="H456" s="455"/>
      <c r="I456" s="455"/>
      <c r="J456" s="455"/>
      <c r="K456" s="456"/>
      <c r="L456" s="455"/>
      <c r="M456" s="455"/>
      <c r="N456" s="455"/>
      <c r="O456" s="455"/>
      <c r="P456" s="456"/>
      <c r="Q456" s="456"/>
      <c r="R456" s="457"/>
      <c r="S456" s="456"/>
      <c r="T456" s="455"/>
      <c r="U456" s="455"/>
      <c r="V456" s="455"/>
      <c r="W456" s="456"/>
      <c r="X456" s="455"/>
      <c r="Y456" s="455"/>
      <c r="Z456" s="455"/>
      <c r="AA456" s="455"/>
      <c r="AB456" s="456"/>
      <c r="AC456" s="455"/>
      <c r="AD456" s="455"/>
      <c r="AE456" s="455"/>
      <c r="AF456" s="455"/>
      <c r="AG456" s="455"/>
      <c r="AH456" s="455"/>
      <c r="AI456" s="455"/>
      <c r="AJ456" s="456"/>
      <c r="AK456" s="456"/>
      <c r="AL456" s="456"/>
      <c r="AM456" s="456"/>
      <c r="AN456" s="456"/>
      <c r="AO456" s="456"/>
      <c r="AP456" s="456"/>
      <c r="AQ456" s="456"/>
      <c r="AR456" s="458"/>
      <c r="AS456" s="459"/>
      <c r="AT456" s="459"/>
      <c r="AU456" s="459"/>
      <c r="AV456" s="478"/>
      <c r="AW456" s="456"/>
      <c r="AX456" s="456"/>
      <c r="AY456" s="456"/>
      <c r="AZ456" s="456"/>
      <c r="BA456" s="456"/>
      <c r="BB456" s="456"/>
      <c r="BC456" s="456"/>
    </row>
    <row r="457" spans="8:55">
      <c r="H457" s="455"/>
      <c r="I457" s="455"/>
      <c r="J457" s="455"/>
      <c r="K457" s="456"/>
      <c r="L457" s="455"/>
      <c r="M457" s="455"/>
      <c r="N457" s="455"/>
      <c r="O457" s="455"/>
      <c r="P457" s="456"/>
      <c r="Q457" s="456"/>
      <c r="R457" s="457"/>
      <c r="S457" s="456"/>
      <c r="T457" s="455"/>
      <c r="U457" s="455"/>
      <c r="V457" s="455"/>
      <c r="W457" s="456"/>
      <c r="X457" s="455"/>
      <c r="Y457" s="455"/>
      <c r="Z457" s="455"/>
      <c r="AA457" s="455"/>
      <c r="AB457" s="456"/>
      <c r="AC457" s="455"/>
      <c r="AD457" s="455"/>
      <c r="AE457" s="455"/>
      <c r="AF457" s="455"/>
      <c r="AG457" s="455"/>
      <c r="AH457" s="455"/>
      <c r="AI457" s="455"/>
      <c r="AJ457" s="456"/>
      <c r="AK457" s="456"/>
      <c r="AL457" s="456"/>
      <c r="AM457" s="456"/>
      <c r="AN457" s="456"/>
      <c r="AO457" s="456"/>
      <c r="AP457" s="456"/>
      <c r="AQ457" s="456"/>
      <c r="AR457" s="458"/>
      <c r="AS457" s="459"/>
      <c r="AT457" s="459"/>
      <c r="AU457" s="459"/>
      <c r="AV457" s="478"/>
      <c r="AW457" s="456"/>
      <c r="AX457" s="456"/>
      <c r="AY457" s="456"/>
      <c r="AZ457" s="456"/>
      <c r="BA457" s="456"/>
      <c r="BB457" s="456"/>
      <c r="BC457" s="456"/>
    </row>
    <row r="458" spans="8:55">
      <c r="H458" s="455"/>
      <c r="I458" s="455"/>
      <c r="J458" s="455"/>
      <c r="K458" s="456"/>
      <c r="L458" s="455"/>
      <c r="M458" s="455"/>
      <c r="N458" s="455"/>
      <c r="O458" s="455"/>
      <c r="P458" s="456"/>
      <c r="Q458" s="456"/>
      <c r="R458" s="457"/>
      <c r="S458" s="456"/>
      <c r="T458" s="455"/>
      <c r="U458" s="455"/>
      <c r="V458" s="455"/>
      <c r="W458" s="456"/>
      <c r="X458" s="455"/>
      <c r="Y458" s="455"/>
      <c r="Z458" s="455"/>
      <c r="AA458" s="455"/>
      <c r="AB458" s="456"/>
      <c r="AC458" s="455"/>
      <c r="AD458" s="455"/>
      <c r="AE458" s="455"/>
      <c r="AF458" s="455"/>
      <c r="AG458" s="455"/>
      <c r="AH458" s="455"/>
      <c r="AI458" s="455"/>
      <c r="AJ458" s="456"/>
      <c r="AK458" s="456"/>
      <c r="AL458" s="456"/>
      <c r="AM458" s="456"/>
      <c r="AN458" s="456"/>
      <c r="AO458" s="456"/>
      <c r="AP458" s="456"/>
      <c r="AQ458" s="456"/>
      <c r="AR458" s="458"/>
      <c r="AS458" s="459"/>
      <c r="AT458" s="459"/>
      <c r="AU458" s="459"/>
      <c r="AV458" s="478"/>
      <c r="AW458" s="456"/>
      <c r="AX458" s="456"/>
      <c r="AY458" s="456"/>
      <c r="AZ458" s="456"/>
      <c r="BA458" s="456"/>
      <c r="BB458" s="456"/>
      <c r="BC458" s="456"/>
    </row>
    <row r="459" spans="8:55">
      <c r="H459" s="455"/>
      <c r="I459" s="455"/>
      <c r="J459" s="455"/>
      <c r="K459" s="456"/>
      <c r="L459" s="455"/>
      <c r="M459" s="455"/>
      <c r="N459" s="455"/>
      <c r="O459" s="455"/>
      <c r="P459" s="456"/>
      <c r="Q459" s="456"/>
      <c r="R459" s="457"/>
      <c r="S459" s="456"/>
      <c r="T459" s="455"/>
      <c r="U459" s="455"/>
      <c r="V459" s="455"/>
      <c r="W459" s="456"/>
      <c r="X459" s="455"/>
      <c r="Y459" s="455"/>
      <c r="Z459" s="455"/>
      <c r="AA459" s="455"/>
      <c r="AB459" s="456"/>
      <c r="AC459" s="455"/>
      <c r="AD459" s="455"/>
      <c r="AE459" s="455"/>
      <c r="AF459" s="455"/>
      <c r="AG459" s="455"/>
      <c r="AH459" s="455"/>
      <c r="AI459" s="455"/>
      <c r="AJ459" s="456"/>
      <c r="AK459" s="456"/>
      <c r="AL459" s="456"/>
      <c r="AM459" s="456"/>
      <c r="AN459" s="456"/>
      <c r="AO459" s="456"/>
      <c r="AP459" s="456"/>
      <c r="AQ459" s="456"/>
      <c r="AR459" s="458"/>
      <c r="AS459" s="459"/>
      <c r="AT459" s="459"/>
      <c r="AU459" s="459"/>
      <c r="AV459" s="478"/>
      <c r="AW459" s="456"/>
      <c r="AX459" s="456"/>
      <c r="AY459" s="456"/>
      <c r="AZ459" s="456"/>
      <c r="BA459" s="456"/>
      <c r="BB459" s="456"/>
      <c r="BC459" s="456"/>
    </row>
    <row r="460" spans="8:55">
      <c r="H460" s="455"/>
      <c r="I460" s="455"/>
      <c r="J460" s="455"/>
      <c r="K460" s="456"/>
      <c r="L460" s="455"/>
      <c r="M460" s="455"/>
      <c r="N460" s="455"/>
      <c r="O460" s="455"/>
      <c r="P460" s="456"/>
      <c r="Q460" s="456"/>
      <c r="R460" s="457"/>
      <c r="S460" s="456"/>
      <c r="T460" s="455"/>
      <c r="U460" s="455"/>
      <c r="V460" s="455"/>
      <c r="W460" s="456"/>
      <c r="X460" s="455"/>
      <c r="Y460" s="455"/>
      <c r="Z460" s="455"/>
      <c r="AA460" s="455"/>
      <c r="AB460" s="456"/>
      <c r="AC460" s="455"/>
      <c r="AD460" s="455"/>
      <c r="AE460" s="455"/>
      <c r="AF460" s="455"/>
      <c r="AG460" s="455"/>
      <c r="AH460" s="455"/>
      <c r="AI460" s="455"/>
      <c r="AJ460" s="456"/>
      <c r="AK460" s="456"/>
      <c r="AL460" s="456"/>
      <c r="AM460" s="456"/>
      <c r="AN460" s="456"/>
      <c r="AO460" s="456"/>
      <c r="AP460" s="456"/>
      <c r="AQ460" s="456"/>
      <c r="AR460" s="458"/>
      <c r="AS460" s="459"/>
      <c r="AT460" s="459"/>
      <c r="AU460" s="459"/>
      <c r="AV460" s="478"/>
      <c r="AW460" s="456"/>
      <c r="AX460" s="456"/>
      <c r="AY460" s="456"/>
      <c r="AZ460" s="456"/>
      <c r="BA460" s="456"/>
      <c r="BB460" s="456"/>
      <c r="BC460" s="456"/>
    </row>
    <row r="461" spans="8:55">
      <c r="H461" s="455"/>
      <c r="I461" s="455"/>
      <c r="J461" s="455"/>
      <c r="K461" s="456"/>
      <c r="L461" s="455"/>
      <c r="M461" s="455"/>
      <c r="N461" s="455"/>
      <c r="O461" s="455"/>
      <c r="P461" s="456"/>
      <c r="Q461" s="456"/>
      <c r="R461" s="457"/>
      <c r="S461" s="456"/>
      <c r="T461" s="455"/>
      <c r="U461" s="455"/>
      <c r="V461" s="455"/>
      <c r="W461" s="456"/>
      <c r="X461" s="455"/>
      <c r="Y461" s="455"/>
      <c r="Z461" s="455"/>
      <c r="AA461" s="455"/>
      <c r="AB461" s="456"/>
      <c r="AC461" s="455"/>
      <c r="AD461" s="455"/>
      <c r="AE461" s="455"/>
      <c r="AF461" s="455"/>
      <c r="AG461" s="455"/>
      <c r="AH461" s="455"/>
      <c r="AI461" s="455"/>
      <c r="AJ461" s="456"/>
      <c r="AK461" s="456"/>
      <c r="AL461" s="456"/>
      <c r="AM461" s="456"/>
      <c r="AN461" s="456"/>
      <c r="AO461" s="456"/>
      <c r="AP461" s="456"/>
      <c r="AQ461" s="456"/>
      <c r="AR461" s="458"/>
      <c r="AS461" s="459"/>
      <c r="AT461" s="459"/>
      <c r="AU461" s="459"/>
      <c r="AV461" s="478"/>
      <c r="AW461" s="456"/>
      <c r="AX461" s="456"/>
      <c r="AY461" s="456"/>
      <c r="AZ461" s="456"/>
      <c r="BA461" s="456"/>
      <c r="BB461" s="456"/>
      <c r="BC461" s="456"/>
    </row>
    <row r="462" spans="8:55">
      <c r="H462" s="455"/>
      <c r="I462" s="455"/>
      <c r="J462" s="455"/>
      <c r="K462" s="456"/>
      <c r="L462" s="455"/>
      <c r="M462" s="455"/>
      <c r="N462" s="455"/>
      <c r="O462" s="455"/>
      <c r="P462" s="456"/>
      <c r="Q462" s="456"/>
      <c r="R462" s="457"/>
      <c r="S462" s="456"/>
      <c r="T462" s="455"/>
      <c r="U462" s="455"/>
      <c r="V462" s="455"/>
      <c r="W462" s="456"/>
      <c r="X462" s="455"/>
      <c r="Y462" s="455"/>
      <c r="Z462" s="455"/>
      <c r="AA462" s="455"/>
      <c r="AB462" s="456"/>
      <c r="AC462" s="455"/>
      <c r="AD462" s="455"/>
      <c r="AE462" s="455"/>
      <c r="AF462" s="455"/>
      <c r="AG462" s="455"/>
      <c r="AH462" s="455"/>
      <c r="AI462" s="455"/>
      <c r="AJ462" s="456"/>
      <c r="AK462" s="456"/>
      <c r="AL462" s="456"/>
      <c r="AM462" s="456"/>
      <c r="AN462" s="456"/>
      <c r="AO462" s="456"/>
      <c r="AP462" s="456"/>
      <c r="AQ462" s="456"/>
      <c r="AR462" s="458"/>
      <c r="AS462" s="459"/>
      <c r="AT462" s="459"/>
      <c r="AU462" s="459"/>
      <c r="AV462" s="478"/>
      <c r="AW462" s="456"/>
      <c r="AX462" s="456"/>
      <c r="AY462" s="456"/>
      <c r="AZ462" s="456"/>
      <c r="BA462" s="456"/>
      <c r="BB462" s="456"/>
      <c r="BC462" s="456"/>
    </row>
    <row r="463" spans="8:55">
      <c r="H463" s="455"/>
      <c r="I463" s="455"/>
      <c r="J463" s="455"/>
      <c r="K463" s="456"/>
      <c r="L463" s="455"/>
      <c r="M463" s="455"/>
      <c r="N463" s="455"/>
      <c r="O463" s="455"/>
      <c r="P463" s="456"/>
      <c r="Q463" s="456"/>
      <c r="R463" s="457"/>
      <c r="S463" s="456"/>
      <c r="T463" s="455"/>
      <c r="U463" s="455"/>
      <c r="V463" s="455"/>
      <c r="W463" s="456"/>
      <c r="X463" s="455"/>
      <c r="Y463" s="455"/>
      <c r="Z463" s="455"/>
      <c r="AA463" s="455"/>
      <c r="AB463" s="456"/>
      <c r="AC463" s="455"/>
      <c r="AD463" s="455"/>
      <c r="AE463" s="455"/>
      <c r="AF463" s="455"/>
      <c r="AG463" s="455"/>
      <c r="AH463" s="455"/>
      <c r="AI463" s="455"/>
      <c r="AJ463" s="456"/>
      <c r="AK463" s="456"/>
      <c r="AL463" s="456"/>
      <c r="AM463" s="456"/>
      <c r="AN463" s="456"/>
      <c r="AO463" s="456"/>
      <c r="AP463" s="456"/>
      <c r="AQ463" s="456"/>
      <c r="AR463" s="458"/>
      <c r="AS463" s="459"/>
      <c r="AT463" s="459"/>
      <c r="AU463" s="459"/>
      <c r="AV463" s="478"/>
      <c r="AW463" s="456"/>
      <c r="AX463" s="456"/>
      <c r="AY463" s="456"/>
      <c r="AZ463" s="456"/>
      <c r="BA463" s="456"/>
      <c r="BB463" s="456"/>
      <c r="BC463" s="456"/>
    </row>
    <row r="464" spans="8:55">
      <c r="H464" s="455"/>
      <c r="I464" s="455"/>
      <c r="J464" s="455"/>
      <c r="K464" s="456"/>
      <c r="L464" s="455"/>
      <c r="M464" s="455"/>
      <c r="N464" s="455"/>
      <c r="O464" s="455"/>
      <c r="P464" s="456"/>
      <c r="Q464" s="456"/>
      <c r="R464" s="457"/>
      <c r="S464" s="456"/>
      <c r="T464" s="455"/>
      <c r="U464" s="455"/>
      <c r="V464" s="455"/>
      <c r="W464" s="456"/>
      <c r="X464" s="455"/>
      <c r="Y464" s="455"/>
      <c r="Z464" s="455"/>
      <c r="AA464" s="455"/>
      <c r="AB464" s="456"/>
      <c r="AC464" s="455"/>
      <c r="AD464" s="455"/>
      <c r="AE464" s="455"/>
      <c r="AF464" s="455"/>
      <c r="AG464" s="455"/>
      <c r="AH464" s="455"/>
      <c r="AI464" s="455"/>
      <c r="AJ464" s="456"/>
      <c r="AK464" s="456"/>
      <c r="AL464" s="456"/>
      <c r="AM464" s="456"/>
      <c r="AN464" s="456"/>
      <c r="AO464" s="456"/>
      <c r="AP464" s="456"/>
      <c r="AQ464" s="456"/>
      <c r="AR464" s="458"/>
      <c r="AS464" s="459"/>
      <c r="AT464" s="459"/>
      <c r="AU464" s="459"/>
      <c r="AV464" s="478"/>
      <c r="AW464" s="456"/>
      <c r="AX464" s="456"/>
      <c r="AY464" s="456"/>
      <c r="AZ464" s="456"/>
      <c r="BA464" s="456"/>
      <c r="BB464" s="456"/>
      <c r="BC464" s="456"/>
    </row>
    <row r="465" spans="8:55">
      <c r="H465" s="455"/>
      <c r="I465" s="455"/>
      <c r="J465" s="455"/>
      <c r="K465" s="456"/>
      <c r="L465" s="455"/>
      <c r="M465" s="455"/>
      <c r="N465" s="455"/>
      <c r="O465" s="455"/>
      <c r="P465" s="456"/>
      <c r="Q465" s="456"/>
      <c r="R465" s="457"/>
      <c r="S465" s="456"/>
      <c r="T465" s="455"/>
      <c r="U465" s="455"/>
      <c r="V465" s="455"/>
      <c r="W465" s="456"/>
      <c r="X465" s="455"/>
      <c r="Y465" s="455"/>
      <c r="Z465" s="455"/>
      <c r="AA465" s="455"/>
      <c r="AB465" s="456"/>
      <c r="AC465" s="455"/>
      <c r="AD465" s="455"/>
      <c r="AE465" s="455"/>
      <c r="AF465" s="455"/>
      <c r="AG465" s="455"/>
      <c r="AH465" s="455"/>
      <c r="AI465" s="455"/>
      <c r="AJ465" s="456"/>
      <c r="AK465" s="456"/>
      <c r="AL465" s="456"/>
      <c r="AM465" s="456"/>
      <c r="AN465" s="456"/>
      <c r="AO465" s="456"/>
      <c r="AP465" s="456"/>
      <c r="AQ465" s="456"/>
      <c r="AR465" s="458"/>
      <c r="AS465" s="459"/>
      <c r="AT465" s="459"/>
      <c r="AU465" s="459"/>
      <c r="AV465" s="478"/>
      <c r="AW465" s="456"/>
      <c r="AX465" s="456"/>
      <c r="AY465" s="456"/>
      <c r="AZ465" s="456"/>
      <c r="BA465" s="456"/>
      <c r="BB465" s="456"/>
      <c r="BC465" s="456"/>
    </row>
    <row r="466" spans="8:55">
      <c r="H466" s="455"/>
      <c r="I466" s="455"/>
      <c r="J466" s="455"/>
      <c r="K466" s="456"/>
      <c r="L466" s="455"/>
      <c r="M466" s="455"/>
      <c r="N466" s="455"/>
      <c r="O466" s="455"/>
      <c r="P466" s="456"/>
      <c r="Q466" s="456"/>
      <c r="R466" s="457"/>
      <c r="S466" s="456"/>
      <c r="T466" s="455"/>
      <c r="U466" s="455"/>
      <c r="V466" s="455"/>
      <c r="W466" s="456"/>
      <c r="X466" s="455"/>
      <c r="Y466" s="455"/>
      <c r="Z466" s="455"/>
      <c r="AA466" s="455"/>
      <c r="AB466" s="456"/>
      <c r="AC466" s="455"/>
      <c r="AD466" s="455"/>
      <c r="AE466" s="455"/>
      <c r="AF466" s="455"/>
      <c r="AG466" s="455"/>
      <c r="AH466" s="455"/>
      <c r="AI466" s="455"/>
      <c r="AJ466" s="456"/>
      <c r="AK466" s="456"/>
      <c r="AL466" s="456"/>
      <c r="AM466" s="456"/>
      <c r="AN466" s="456"/>
      <c r="AO466" s="456"/>
      <c r="AP466" s="456"/>
      <c r="AQ466" s="456"/>
      <c r="AR466" s="458"/>
      <c r="AS466" s="459"/>
      <c r="AT466" s="459"/>
      <c r="AU466" s="459"/>
      <c r="AV466" s="478"/>
      <c r="AW466" s="456"/>
      <c r="AX466" s="456"/>
      <c r="AY466" s="456"/>
      <c r="AZ466" s="456"/>
      <c r="BA466" s="456"/>
      <c r="BB466" s="456"/>
      <c r="BC466" s="456"/>
    </row>
    <row r="467" spans="8:55">
      <c r="H467" s="455"/>
      <c r="I467" s="455"/>
      <c r="J467" s="455"/>
      <c r="K467" s="456"/>
      <c r="L467" s="455"/>
      <c r="M467" s="455"/>
      <c r="N467" s="455"/>
      <c r="O467" s="455"/>
      <c r="P467" s="456"/>
      <c r="Q467" s="456"/>
      <c r="R467" s="457"/>
      <c r="S467" s="456"/>
      <c r="T467" s="455"/>
      <c r="U467" s="455"/>
      <c r="V467" s="455"/>
      <c r="W467" s="456"/>
      <c r="X467" s="455"/>
      <c r="Y467" s="455"/>
      <c r="Z467" s="455"/>
      <c r="AA467" s="455"/>
      <c r="AB467" s="456"/>
      <c r="AC467" s="455"/>
      <c r="AD467" s="455"/>
      <c r="AE467" s="455"/>
      <c r="AF467" s="455"/>
      <c r="AG467" s="455"/>
      <c r="AH467" s="455"/>
      <c r="AI467" s="455"/>
      <c r="AJ467" s="456"/>
      <c r="AK467" s="456"/>
      <c r="AL467" s="456"/>
      <c r="AM467" s="456"/>
      <c r="AN467" s="456"/>
      <c r="AO467" s="456"/>
      <c r="AP467" s="456"/>
      <c r="AQ467" s="456"/>
      <c r="AR467" s="458"/>
      <c r="AS467" s="459"/>
      <c r="AT467" s="459"/>
      <c r="AU467" s="459"/>
      <c r="AV467" s="478"/>
      <c r="AW467" s="456"/>
      <c r="AX467" s="456"/>
      <c r="AY467" s="456"/>
      <c r="AZ467" s="456"/>
      <c r="BA467" s="456"/>
      <c r="BB467" s="456"/>
      <c r="BC467" s="456"/>
    </row>
    <row r="468" spans="8:55">
      <c r="H468" s="455"/>
      <c r="I468" s="455"/>
      <c r="J468" s="455"/>
      <c r="K468" s="456"/>
      <c r="L468" s="455"/>
      <c r="M468" s="455"/>
      <c r="N468" s="455"/>
      <c r="O468" s="455"/>
      <c r="P468" s="456"/>
      <c r="Q468" s="456"/>
      <c r="R468" s="457"/>
      <c r="S468" s="456"/>
      <c r="T468" s="455"/>
      <c r="U468" s="455"/>
      <c r="V468" s="455"/>
      <c r="W468" s="456"/>
      <c r="X468" s="455"/>
      <c r="Y468" s="455"/>
      <c r="Z468" s="455"/>
      <c r="AA468" s="455"/>
      <c r="AB468" s="456"/>
      <c r="AC468" s="455"/>
      <c r="AD468" s="455"/>
      <c r="AE468" s="455"/>
      <c r="AF468" s="455"/>
      <c r="AG468" s="455"/>
      <c r="AH468" s="455"/>
      <c r="AI468" s="455"/>
      <c r="AJ468" s="456"/>
      <c r="AK468" s="456"/>
      <c r="AL468" s="456"/>
      <c r="AM468" s="456"/>
      <c r="AN468" s="456"/>
      <c r="AO468" s="456"/>
      <c r="AP468" s="456"/>
      <c r="AQ468" s="456"/>
      <c r="AR468" s="458"/>
      <c r="AS468" s="459"/>
      <c r="AT468" s="459"/>
      <c r="AU468" s="459"/>
      <c r="AV468" s="478"/>
      <c r="AW468" s="456"/>
      <c r="AX468" s="456"/>
      <c r="AY468" s="456"/>
      <c r="AZ468" s="456"/>
      <c r="BA468" s="456"/>
      <c r="BB468" s="456"/>
      <c r="BC468" s="456"/>
    </row>
    <row r="469" spans="8:55">
      <c r="H469" s="455"/>
      <c r="I469" s="455"/>
      <c r="J469" s="455"/>
      <c r="K469" s="456"/>
      <c r="L469" s="455"/>
      <c r="M469" s="455"/>
      <c r="N469" s="455"/>
      <c r="O469" s="455"/>
      <c r="P469" s="456"/>
      <c r="Q469" s="456"/>
      <c r="R469" s="457"/>
      <c r="S469" s="456"/>
      <c r="T469" s="455"/>
      <c r="U469" s="455"/>
      <c r="V469" s="455"/>
      <c r="W469" s="456"/>
      <c r="X469" s="455"/>
      <c r="Y469" s="455"/>
      <c r="Z469" s="455"/>
      <c r="AA469" s="455"/>
      <c r="AB469" s="456"/>
      <c r="AC469" s="455"/>
      <c r="AD469" s="455"/>
      <c r="AE469" s="455"/>
      <c r="AF469" s="455"/>
      <c r="AG469" s="455"/>
      <c r="AH469" s="455"/>
      <c r="AI469" s="455"/>
      <c r="AJ469" s="456"/>
      <c r="AK469" s="456"/>
      <c r="AL469" s="456"/>
      <c r="AM469" s="456"/>
      <c r="AN469" s="456"/>
      <c r="AO469" s="456"/>
      <c r="AP469" s="456"/>
      <c r="AQ469" s="456"/>
      <c r="AR469" s="458"/>
      <c r="AS469" s="459"/>
      <c r="AT469" s="459"/>
      <c r="AU469" s="459"/>
      <c r="AV469" s="478"/>
      <c r="AW469" s="456"/>
      <c r="AX469" s="456"/>
      <c r="AY469" s="456"/>
      <c r="AZ469" s="456"/>
      <c r="BA469" s="456"/>
      <c r="BB469" s="456"/>
      <c r="BC469" s="456"/>
    </row>
    <row r="470" spans="8:55">
      <c r="H470" s="455"/>
      <c r="I470" s="455"/>
      <c r="J470" s="455"/>
      <c r="K470" s="456"/>
      <c r="L470" s="455"/>
      <c r="M470" s="455"/>
      <c r="N470" s="455"/>
      <c r="O470" s="455"/>
      <c r="P470" s="456"/>
      <c r="Q470" s="456"/>
      <c r="R470" s="457"/>
      <c r="S470" s="456"/>
      <c r="T470" s="455"/>
      <c r="U470" s="455"/>
      <c r="V470" s="455"/>
      <c r="W470" s="456"/>
      <c r="X470" s="455"/>
      <c r="Y470" s="455"/>
      <c r="Z470" s="455"/>
      <c r="AA470" s="455"/>
      <c r="AB470" s="456"/>
      <c r="AC470" s="455"/>
      <c r="AD470" s="455"/>
      <c r="AE470" s="455"/>
      <c r="AF470" s="455"/>
      <c r="AG470" s="455"/>
      <c r="AH470" s="455"/>
      <c r="AI470" s="455"/>
      <c r="AJ470" s="456"/>
      <c r="AK470" s="456"/>
      <c r="AL470" s="456"/>
      <c r="AM470" s="456"/>
      <c r="AN470" s="456"/>
      <c r="AO470" s="456"/>
      <c r="AP470" s="456"/>
      <c r="AQ470" s="456"/>
      <c r="AR470" s="458"/>
      <c r="AS470" s="459"/>
      <c r="AT470" s="459"/>
      <c r="AU470" s="459"/>
      <c r="AV470" s="478"/>
      <c r="AW470" s="456"/>
      <c r="AX470" s="456"/>
      <c r="AY470" s="456"/>
      <c r="AZ470" s="456"/>
      <c r="BA470" s="456"/>
      <c r="BB470" s="456"/>
      <c r="BC470" s="456"/>
    </row>
    <row r="471" spans="8:55">
      <c r="H471" s="455"/>
      <c r="I471" s="455"/>
      <c r="J471" s="455"/>
      <c r="K471" s="456"/>
      <c r="L471" s="455"/>
      <c r="M471" s="455"/>
      <c r="N471" s="455"/>
      <c r="O471" s="455"/>
      <c r="P471" s="456"/>
      <c r="Q471" s="456"/>
      <c r="R471" s="457"/>
      <c r="S471" s="456"/>
      <c r="T471" s="455"/>
      <c r="U471" s="455"/>
      <c r="V471" s="455"/>
      <c r="W471" s="456"/>
      <c r="X471" s="455"/>
      <c r="Y471" s="455"/>
      <c r="Z471" s="455"/>
      <c r="AA471" s="455"/>
      <c r="AB471" s="456"/>
      <c r="AC471" s="455"/>
      <c r="AD471" s="455"/>
      <c r="AE471" s="455"/>
      <c r="AF471" s="455"/>
      <c r="AG471" s="455"/>
      <c r="AH471" s="455"/>
      <c r="AI471" s="455"/>
      <c r="AJ471" s="456"/>
      <c r="AK471" s="456"/>
      <c r="AL471" s="456"/>
      <c r="AM471" s="456"/>
      <c r="AN471" s="456"/>
      <c r="AO471" s="456"/>
      <c r="AP471" s="456"/>
      <c r="AQ471" s="456"/>
      <c r="AR471" s="458"/>
      <c r="AS471" s="459"/>
      <c r="AT471" s="459"/>
      <c r="AU471" s="459"/>
      <c r="AV471" s="478"/>
      <c r="AW471" s="456"/>
      <c r="AX471" s="456"/>
      <c r="AY471" s="456"/>
      <c r="AZ471" s="456"/>
      <c r="BA471" s="456"/>
      <c r="BB471" s="456"/>
      <c r="BC471" s="456"/>
    </row>
    <row r="472" spans="8:55">
      <c r="H472" s="455"/>
      <c r="I472" s="455"/>
      <c r="J472" s="455"/>
      <c r="K472" s="456"/>
      <c r="L472" s="455"/>
      <c r="M472" s="455"/>
      <c r="N472" s="455"/>
      <c r="O472" s="455"/>
      <c r="P472" s="456"/>
      <c r="Q472" s="456"/>
      <c r="R472" s="457"/>
      <c r="S472" s="456"/>
      <c r="T472" s="455"/>
      <c r="U472" s="455"/>
      <c r="V472" s="455"/>
      <c r="W472" s="456"/>
      <c r="X472" s="455"/>
      <c r="Y472" s="455"/>
      <c r="Z472" s="455"/>
      <c r="AA472" s="455"/>
      <c r="AB472" s="456"/>
      <c r="AC472" s="455"/>
      <c r="AD472" s="455"/>
      <c r="AE472" s="455"/>
      <c r="AF472" s="455"/>
      <c r="AG472" s="455"/>
      <c r="AH472" s="455"/>
      <c r="AI472" s="455"/>
      <c r="AJ472" s="456"/>
      <c r="AK472" s="456"/>
      <c r="AL472" s="456"/>
      <c r="AM472" s="456"/>
      <c r="AN472" s="456"/>
      <c r="AO472" s="456"/>
      <c r="AP472" s="456"/>
      <c r="AQ472" s="456"/>
      <c r="AR472" s="458"/>
      <c r="AS472" s="459"/>
      <c r="AT472" s="459"/>
      <c r="AU472" s="459"/>
      <c r="AV472" s="478"/>
      <c r="AW472" s="456"/>
      <c r="AX472" s="456"/>
      <c r="AY472" s="456"/>
      <c r="AZ472" s="456"/>
      <c r="BA472" s="456"/>
      <c r="BB472" s="456"/>
      <c r="BC472" s="456"/>
    </row>
    <row r="473" spans="8:55">
      <c r="H473" s="455"/>
      <c r="I473" s="455"/>
      <c r="J473" s="455"/>
      <c r="K473" s="456"/>
      <c r="L473" s="455"/>
      <c r="M473" s="455"/>
      <c r="N473" s="455"/>
      <c r="O473" s="455"/>
      <c r="P473" s="456"/>
      <c r="Q473" s="456"/>
      <c r="R473" s="457"/>
      <c r="S473" s="456"/>
      <c r="T473" s="455"/>
      <c r="U473" s="455"/>
      <c r="V473" s="455"/>
      <c r="W473" s="456"/>
      <c r="X473" s="455"/>
      <c r="Y473" s="455"/>
      <c r="Z473" s="455"/>
      <c r="AA473" s="455"/>
      <c r="AB473" s="456"/>
      <c r="AC473" s="455"/>
      <c r="AD473" s="455"/>
      <c r="AE473" s="455"/>
      <c r="AF473" s="455"/>
      <c r="AG473" s="455"/>
      <c r="AH473" s="455"/>
      <c r="AI473" s="455"/>
      <c r="AJ473" s="456"/>
      <c r="AK473" s="456"/>
      <c r="AL473" s="456"/>
      <c r="AM473" s="456"/>
      <c r="AN473" s="456"/>
      <c r="AO473" s="456"/>
      <c r="AP473" s="456"/>
      <c r="AQ473" s="456"/>
      <c r="AR473" s="458"/>
      <c r="AS473" s="459"/>
      <c r="AT473" s="459"/>
      <c r="AU473" s="459"/>
      <c r="AV473" s="478"/>
      <c r="AW473" s="456"/>
      <c r="AX473" s="456"/>
      <c r="AY473" s="456"/>
      <c r="AZ473" s="456"/>
      <c r="BA473" s="456"/>
      <c r="BB473" s="456"/>
      <c r="BC473" s="456"/>
    </row>
    <row r="474" spans="8:55">
      <c r="H474" s="455"/>
      <c r="I474" s="455"/>
      <c r="J474" s="455"/>
      <c r="K474" s="456"/>
      <c r="L474" s="455"/>
      <c r="M474" s="455"/>
      <c r="N474" s="455"/>
      <c r="O474" s="455"/>
      <c r="P474" s="456"/>
      <c r="Q474" s="456"/>
      <c r="R474" s="457"/>
      <c r="S474" s="456"/>
      <c r="T474" s="455"/>
      <c r="U474" s="455"/>
      <c r="V474" s="455"/>
      <c r="W474" s="456"/>
      <c r="X474" s="455"/>
      <c r="Y474" s="455"/>
      <c r="Z474" s="455"/>
      <c r="AA474" s="455"/>
      <c r="AB474" s="456"/>
      <c r="AC474" s="455"/>
      <c r="AD474" s="455"/>
      <c r="AE474" s="455"/>
      <c r="AF474" s="455"/>
      <c r="AG474" s="455"/>
      <c r="AH474" s="455"/>
      <c r="AI474" s="455"/>
      <c r="AJ474" s="456"/>
      <c r="AK474" s="456"/>
      <c r="AL474" s="456"/>
      <c r="AM474" s="456"/>
      <c r="AN474" s="456"/>
      <c r="AO474" s="456"/>
      <c r="AP474" s="456"/>
      <c r="AQ474" s="456"/>
      <c r="AR474" s="458"/>
      <c r="AS474" s="459"/>
      <c r="AT474" s="459"/>
      <c r="AU474" s="459"/>
      <c r="AV474" s="478"/>
      <c r="AW474" s="456"/>
      <c r="AX474" s="456"/>
      <c r="AY474" s="456"/>
      <c r="AZ474" s="456"/>
      <c r="BA474" s="456"/>
      <c r="BB474" s="456"/>
      <c r="BC474" s="456"/>
    </row>
    <row r="475" spans="8:55">
      <c r="H475" s="455"/>
      <c r="I475" s="455"/>
      <c r="J475" s="455"/>
      <c r="K475" s="456"/>
      <c r="L475" s="455"/>
      <c r="M475" s="455"/>
      <c r="N475" s="455"/>
      <c r="O475" s="455"/>
      <c r="P475" s="456"/>
      <c r="Q475" s="456"/>
      <c r="R475" s="457"/>
      <c r="S475" s="456"/>
      <c r="T475" s="455"/>
      <c r="U475" s="455"/>
      <c r="V475" s="455"/>
      <c r="W475" s="456"/>
      <c r="X475" s="455"/>
      <c r="Y475" s="455"/>
      <c r="Z475" s="455"/>
      <c r="AA475" s="455"/>
      <c r="AB475" s="456"/>
      <c r="AC475" s="455"/>
      <c r="AD475" s="455"/>
      <c r="AE475" s="455"/>
      <c r="AF475" s="455"/>
      <c r="AG475" s="455"/>
      <c r="AH475" s="455"/>
      <c r="AI475" s="455"/>
      <c r="AJ475" s="456"/>
      <c r="AK475" s="456"/>
      <c r="AL475" s="456"/>
      <c r="AM475" s="456"/>
      <c r="AN475" s="456"/>
      <c r="AO475" s="456"/>
      <c r="AP475" s="456"/>
      <c r="AQ475" s="456"/>
      <c r="AR475" s="458"/>
      <c r="AS475" s="459"/>
      <c r="AT475" s="459"/>
      <c r="AU475" s="459"/>
      <c r="AV475" s="478"/>
      <c r="AW475" s="456"/>
      <c r="AX475" s="456"/>
      <c r="AY475" s="456"/>
      <c r="AZ475" s="456"/>
      <c r="BA475" s="456"/>
      <c r="BB475" s="456"/>
      <c r="BC475" s="456"/>
    </row>
    <row r="476" spans="8:55">
      <c r="H476" s="455"/>
      <c r="I476" s="455"/>
      <c r="J476" s="455"/>
      <c r="K476" s="456"/>
      <c r="L476" s="455"/>
      <c r="M476" s="455"/>
      <c r="N476" s="455"/>
      <c r="O476" s="455"/>
      <c r="P476" s="456"/>
      <c r="Q476" s="456"/>
      <c r="R476" s="457"/>
      <c r="S476" s="456"/>
      <c r="T476" s="455"/>
      <c r="U476" s="455"/>
      <c r="V476" s="455"/>
      <c r="W476" s="456"/>
      <c r="X476" s="455"/>
      <c r="Y476" s="455"/>
      <c r="Z476" s="455"/>
      <c r="AA476" s="455"/>
      <c r="AB476" s="456"/>
      <c r="AC476" s="455"/>
      <c r="AD476" s="455"/>
      <c r="AE476" s="455"/>
      <c r="AF476" s="455"/>
      <c r="AG476" s="455"/>
      <c r="AH476" s="455"/>
      <c r="AI476" s="455"/>
      <c r="AJ476" s="456"/>
      <c r="AK476" s="456"/>
      <c r="AL476" s="456"/>
      <c r="AM476" s="456"/>
      <c r="AN476" s="456"/>
      <c r="AO476" s="456"/>
      <c r="AP476" s="456"/>
      <c r="AQ476" s="456"/>
      <c r="AR476" s="458"/>
      <c r="AS476" s="459"/>
      <c r="AT476" s="459"/>
      <c r="AU476" s="459"/>
      <c r="AV476" s="478"/>
      <c r="AW476" s="456"/>
      <c r="AX476" s="456"/>
      <c r="AY476" s="456"/>
      <c r="AZ476" s="456"/>
      <c r="BA476" s="456"/>
      <c r="BB476" s="456"/>
      <c r="BC476" s="456"/>
    </row>
    <row r="477" spans="8:55">
      <c r="H477" s="455"/>
      <c r="I477" s="455"/>
      <c r="J477" s="455"/>
      <c r="K477" s="456"/>
      <c r="L477" s="455"/>
      <c r="M477" s="455"/>
      <c r="N477" s="455"/>
      <c r="O477" s="455"/>
      <c r="P477" s="456"/>
      <c r="Q477" s="456"/>
      <c r="R477" s="457"/>
      <c r="S477" s="456"/>
      <c r="T477" s="455"/>
      <c r="U477" s="455"/>
      <c r="V477" s="455"/>
      <c r="W477" s="456"/>
      <c r="X477" s="455"/>
      <c r="Y477" s="455"/>
      <c r="Z477" s="455"/>
      <c r="AA477" s="455"/>
      <c r="AB477" s="456"/>
      <c r="AC477" s="455"/>
      <c r="AD477" s="455"/>
      <c r="AE477" s="455"/>
      <c r="AF477" s="455"/>
      <c r="AG477" s="455"/>
      <c r="AH477" s="455"/>
      <c r="AI477" s="455"/>
      <c r="AJ477" s="456"/>
      <c r="AK477" s="456"/>
      <c r="AL477" s="456"/>
      <c r="AM477" s="456"/>
      <c r="AN477" s="456"/>
      <c r="AO477" s="456"/>
      <c r="AP477" s="456"/>
      <c r="AQ477" s="456"/>
      <c r="AR477" s="458"/>
      <c r="AS477" s="459"/>
      <c r="AT477" s="459"/>
      <c r="AU477" s="459"/>
      <c r="AV477" s="478"/>
      <c r="AW477" s="456"/>
      <c r="AX477" s="456"/>
      <c r="AY477" s="456"/>
      <c r="AZ477" s="456"/>
      <c r="BA477" s="456"/>
      <c r="BB477" s="456"/>
      <c r="BC477" s="456"/>
    </row>
    <row r="478" spans="8:55">
      <c r="H478" s="455"/>
      <c r="I478" s="455"/>
      <c r="J478" s="455"/>
      <c r="K478" s="456"/>
      <c r="L478" s="455"/>
      <c r="M478" s="455"/>
      <c r="N478" s="455"/>
      <c r="O478" s="455"/>
      <c r="P478" s="456"/>
      <c r="Q478" s="456"/>
      <c r="R478" s="457"/>
      <c r="S478" s="456"/>
      <c r="T478" s="455"/>
      <c r="U478" s="455"/>
      <c r="V478" s="455"/>
      <c r="W478" s="456"/>
      <c r="X478" s="455"/>
      <c r="Y478" s="455"/>
      <c r="Z478" s="455"/>
      <c r="AA478" s="455"/>
      <c r="AB478" s="456"/>
      <c r="AC478" s="455"/>
      <c r="AD478" s="455"/>
      <c r="AE478" s="455"/>
      <c r="AF478" s="455"/>
      <c r="AG478" s="455"/>
      <c r="AH478" s="455"/>
      <c r="AI478" s="455"/>
      <c r="AJ478" s="456"/>
      <c r="AK478" s="456"/>
      <c r="AL478" s="456"/>
      <c r="AM478" s="456"/>
      <c r="AN478" s="456"/>
      <c r="AO478" s="456"/>
      <c r="AP478" s="456"/>
      <c r="AQ478" s="456"/>
      <c r="AR478" s="458"/>
      <c r="AS478" s="459"/>
      <c r="AT478" s="459"/>
      <c r="AU478" s="459"/>
      <c r="AV478" s="478"/>
      <c r="AW478" s="456"/>
      <c r="AX478" s="456"/>
      <c r="AY478" s="456"/>
      <c r="AZ478" s="456"/>
      <c r="BA478" s="456"/>
      <c r="BB478" s="456"/>
      <c r="BC478" s="456"/>
    </row>
    <row r="479" spans="8:55">
      <c r="H479" s="455"/>
      <c r="I479" s="455"/>
      <c r="J479" s="455"/>
      <c r="K479" s="456"/>
      <c r="L479" s="455"/>
      <c r="M479" s="455"/>
      <c r="N479" s="455"/>
      <c r="O479" s="455"/>
      <c r="P479" s="456"/>
      <c r="Q479" s="456"/>
      <c r="R479" s="457"/>
      <c r="S479" s="456"/>
      <c r="T479" s="455"/>
      <c r="U479" s="455"/>
      <c r="V479" s="455"/>
      <c r="W479" s="456"/>
      <c r="X479" s="455"/>
      <c r="Y479" s="455"/>
      <c r="Z479" s="455"/>
      <c r="AA479" s="455"/>
      <c r="AB479" s="456"/>
      <c r="AC479" s="455"/>
      <c r="AD479" s="455"/>
      <c r="AE479" s="455"/>
      <c r="AF479" s="455"/>
      <c r="AG479" s="455"/>
      <c r="AH479" s="455"/>
      <c r="AI479" s="455"/>
      <c r="AJ479" s="456"/>
      <c r="AK479" s="456"/>
      <c r="AL479" s="456"/>
      <c r="AM479" s="456"/>
      <c r="AN479" s="456"/>
      <c r="AO479" s="456"/>
      <c r="AP479" s="456"/>
      <c r="AQ479" s="456"/>
      <c r="AR479" s="458"/>
      <c r="AS479" s="459"/>
      <c r="AT479" s="459"/>
      <c r="AU479" s="459"/>
      <c r="AV479" s="478"/>
      <c r="AW479" s="456"/>
      <c r="AX479" s="456"/>
      <c r="AY479" s="456"/>
      <c r="AZ479" s="456"/>
      <c r="BA479" s="456"/>
      <c r="BB479" s="456"/>
      <c r="BC479" s="456"/>
    </row>
    <row r="480" spans="8:55">
      <c r="H480" s="455"/>
      <c r="I480" s="455"/>
      <c r="J480" s="455"/>
      <c r="K480" s="456"/>
      <c r="L480" s="455"/>
      <c r="M480" s="455"/>
      <c r="N480" s="455"/>
      <c r="O480" s="455"/>
      <c r="P480" s="456"/>
      <c r="Q480" s="456"/>
      <c r="R480" s="457"/>
      <c r="S480" s="456"/>
      <c r="T480" s="455"/>
      <c r="U480" s="455"/>
      <c r="V480" s="455"/>
      <c r="W480" s="456"/>
      <c r="X480" s="455"/>
      <c r="Y480" s="455"/>
      <c r="Z480" s="455"/>
      <c r="AA480" s="455"/>
      <c r="AB480" s="456"/>
      <c r="AC480" s="455"/>
      <c r="AD480" s="455"/>
      <c r="AE480" s="455"/>
      <c r="AF480" s="455"/>
      <c r="AG480" s="455"/>
      <c r="AH480" s="455"/>
      <c r="AI480" s="455"/>
      <c r="AJ480" s="456"/>
      <c r="AK480" s="456"/>
      <c r="AL480" s="456"/>
      <c r="AM480" s="456"/>
      <c r="AN480" s="456"/>
      <c r="AO480" s="456"/>
      <c r="AP480" s="456"/>
      <c r="AQ480" s="456"/>
      <c r="AR480" s="458"/>
      <c r="AS480" s="459"/>
      <c r="AT480" s="459"/>
      <c r="AU480" s="459"/>
      <c r="AV480" s="478"/>
      <c r="AW480" s="456"/>
      <c r="AX480" s="456"/>
      <c r="AY480" s="456"/>
      <c r="AZ480" s="456"/>
      <c r="BA480" s="456"/>
      <c r="BB480" s="456"/>
      <c r="BC480" s="456"/>
    </row>
    <row r="481" spans="8:55">
      <c r="H481" s="455"/>
      <c r="I481" s="455"/>
      <c r="J481" s="455"/>
      <c r="K481" s="456"/>
      <c r="L481" s="455"/>
      <c r="M481" s="455"/>
      <c r="N481" s="455"/>
      <c r="O481" s="455"/>
      <c r="P481" s="456"/>
      <c r="Q481" s="456"/>
      <c r="R481" s="457"/>
      <c r="S481" s="456"/>
      <c r="T481" s="455"/>
      <c r="U481" s="455"/>
      <c r="V481" s="455"/>
      <c r="W481" s="456"/>
      <c r="X481" s="455"/>
      <c r="Y481" s="455"/>
      <c r="Z481" s="455"/>
      <c r="AA481" s="455"/>
      <c r="AB481" s="456"/>
      <c r="AC481" s="455"/>
      <c r="AD481" s="455"/>
      <c r="AE481" s="455"/>
      <c r="AF481" s="455"/>
      <c r="AG481" s="455"/>
      <c r="AH481" s="455"/>
      <c r="AI481" s="455"/>
      <c r="AJ481" s="456"/>
      <c r="AK481" s="456"/>
      <c r="AL481" s="456"/>
      <c r="AM481" s="456"/>
      <c r="AN481" s="456"/>
      <c r="AO481" s="456"/>
      <c r="AP481" s="456"/>
      <c r="AQ481" s="456"/>
      <c r="AR481" s="458"/>
      <c r="AS481" s="459"/>
      <c r="AT481" s="459"/>
      <c r="AU481" s="459"/>
      <c r="AV481" s="478"/>
      <c r="AW481" s="456"/>
      <c r="AX481" s="456"/>
      <c r="AY481" s="456"/>
      <c r="AZ481" s="456"/>
      <c r="BA481" s="456"/>
      <c r="BB481" s="456"/>
      <c r="BC481" s="456"/>
    </row>
    <row r="482" spans="8:55">
      <c r="H482" s="455"/>
      <c r="I482" s="455"/>
      <c r="J482" s="455"/>
      <c r="K482" s="456"/>
      <c r="L482" s="455"/>
      <c r="M482" s="455"/>
      <c r="N482" s="455"/>
      <c r="O482" s="455"/>
      <c r="P482" s="456"/>
      <c r="Q482" s="456"/>
      <c r="R482" s="457"/>
      <c r="S482" s="456"/>
      <c r="T482" s="455"/>
      <c r="U482" s="455"/>
      <c r="V482" s="455"/>
      <c r="W482" s="456"/>
      <c r="X482" s="455"/>
      <c r="Y482" s="455"/>
      <c r="Z482" s="455"/>
      <c r="AA482" s="455"/>
      <c r="AB482" s="456"/>
      <c r="AC482" s="455"/>
      <c r="AD482" s="455"/>
      <c r="AE482" s="455"/>
      <c r="AF482" s="455"/>
      <c r="AG482" s="455"/>
      <c r="AH482" s="455"/>
      <c r="AI482" s="455"/>
      <c r="AJ482" s="456"/>
      <c r="AK482" s="456"/>
      <c r="AL482" s="456"/>
      <c r="AM482" s="456"/>
      <c r="AN482" s="456"/>
      <c r="AO482" s="456"/>
      <c r="AP482" s="456"/>
      <c r="AQ482" s="456"/>
      <c r="AR482" s="458"/>
      <c r="AS482" s="459"/>
      <c r="AT482" s="459"/>
      <c r="AU482" s="459"/>
      <c r="AV482" s="478"/>
      <c r="AW482" s="456"/>
      <c r="AX482" s="456"/>
      <c r="AY482" s="456"/>
      <c r="AZ482" s="456"/>
      <c r="BA482" s="456"/>
      <c r="BB482" s="456"/>
      <c r="BC482" s="456"/>
    </row>
    <row r="483" spans="8:55">
      <c r="H483" s="455"/>
      <c r="I483" s="455"/>
      <c r="J483" s="455"/>
      <c r="K483" s="456"/>
      <c r="L483" s="455"/>
      <c r="M483" s="455"/>
      <c r="N483" s="455"/>
      <c r="O483" s="455"/>
      <c r="P483" s="456"/>
      <c r="Q483" s="456"/>
      <c r="R483" s="457"/>
      <c r="S483" s="456"/>
      <c r="T483" s="455"/>
      <c r="U483" s="455"/>
      <c r="V483" s="455"/>
      <c r="W483" s="456"/>
      <c r="X483" s="455"/>
      <c r="Y483" s="455"/>
      <c r="Z483" s="455"/>
      <c r="AA483" s="455"/>
      <c r="AB483" s="456"/>
      <c r="AC483" s="455"/>
      <c r="AD483" s="455"/>
      <c r="AE483" s="455"/>
      <c r="AF483" s="455"/>
      <c r="AG483" s="455"/>
      <c r="AH483" s="455"/>
      <c r="AI483" s="455"/>
      <c r="AJ483" s="456"/>
      <c r="AK483" s="456"/>
      <c r="AL483" s="456"/>
      <c r="AM483" s="456"/>
      <c r="AN483" s="456"/>
      <c r="AO483" s="456"/>
      <c r="AP483" s="456"/>
      <c r="AQ483" s="456"/>
      <c r="AR483" s="458"/>
      <c r="AS483" s="459"/>
      <c r="AT483" s="459"/>
      <c r="AU483" s="459"/>
      <c r="AV483" s="478"/>
      <c r="AW483" s="456"/>
      <c r="AX483" s="456"/>
      <c r="AY483" s="456"/>
      <c r="AZ483" s="456"/>
      <c r="BA483" s="456"/>
      <c r="BB483" s="456"/>
      <c r="BC483" s="456"/>
    </row>
    <row r="484" spans="8:55">
      <c r="H484" s="455"/>
      <c r="I484" s="455"/>
      <c r="J484" s="455"/>
      <c r="K484" s="456"/>
      <c r="L484" s="455"/>
      <c r="M484" s="455"/>
      <c r="N484" s="455"/>
      <c r="O484" s="455"/>
      <c r="P484" s="456"/>
      <c r="Q484" s="456"/>
      <c r="R484" s="457"/>
      <c r="S484" s="456"/>
      <c r="T484" s="455"/>
      <c r="U484" s="455"/>
      <c r="V484" s="455"/>
      <c r="W484" s="456"/>
      <c r="X484" s="455"/>
      <c r="Y484" s="455"/>
      <c r="Z484" s="455"/>
      <c r="AA484" s="455"/>
      <c r="AB484" s="456"/>
      <c r="AC484" s="455"/>
      <c r="AD484" s="455"/>
      <c r="AE484" s="455"/>
      <c r="AF484" s="455"/>
      <c r="AG484" s="455"/>
      <c r="AH484" s="455"/>
      <c r="AI484" s="455"/>
      <c r="AJ484" s="456"/>
      <c r="AK484" s="456"/>
      <c r="AL484" s="456"/>
      <c r="AM484" s="456"/>
      <c r="AN484" s="456"/>
      <c r="AO484" s="456"/>
      <c r="AP484" s="456"/>
      <c r="AQ484" s="456"/>
      <c r="AR484" s="458"/>
      <c r="AS484" s="459"/>
      <c r="AT484" s="459"/>
      <c r="AU484" s="459"/>
      <c r="AV484" s="478"/>
      <c r="AW484" s="456"/>
      <c r="AX484" s="456"/>
      <c r="AY484" s="456"/>
      <c r="AZ484" s="456"/>
      <c r="BA484" s="456"/>
      <c r="BB484" s="456"/>
      <c r="BC484" s="456"/>
    </row>
    <row r="485" spans="8:55">
      <c r="H485" s="455"/>
      <c r="I485" s="455"/>
      <c r="J485" s="455"/>
      <c r="K485" s="456"/>
      <c r="L485" s="455"/>
      <c r="M485" s="455"/>
      <c r="N485" s="455"/>
      <c r="O485" s="455"/>
      <c r="P485" s="456"/>
      <c r="Q485" s="456"/>
      <c r="R485" s="457"/>
      <c r="S485" s="456"/>
      <c r="T485" s="455"/>
      <c r="U485" s="455"/>
      <c r="V485" s="455"/>
      <c r="W485" s="456"/>
      <c r="X485" s="455"/>
      <c r="Y485" s="455"/>
      <c r="Z485" s="455"/>
      <c r="AA485" s="455"/>
      <c r="AB485" s="456"/>
      <c r="AC485" s="455"/>
      <c r="AD485" s="455"/>
      <c r="AE485" s="455"/>
      <c r="AF485" s="455"/>
      <c r="AG485" s="455"/>
      <c r="AH485" s="455"/>
      <c r="AI485" s="455"/>
      <c r="AJ485" s="456"/>
      <c r="AK485" s="456"/>
      <c r="AL485" s="456"/>
      <c r="AM485" s="456"/>
      <c r="AN485" s="456"/>
      <c r="AO485" s="456"/>
      <c r="AP485" s="456"/>
      <c r="AQ485" s="456"/>
      <c r="AR485" s="458"/>
      <c r="AS485" s="459"/>
      <c r="AT485" s="459"/>
      <c r="AU485" s="459"/>
      <c r="AV485" s="478"/>
      <c r="AW485" s="456"/>
      <c r="AX485" s="456"/>
      <c r="AY485" s="456"/>
      <c r="AZ485" s="456"/>
      <c r="BA485" s="456"/>
      <c r="BB485" s="456"/>
      <c r="BC485" s="456"/>
    </row>
    <row r="486" spans="8:55">
      <c r="H486" s="455"/>
      <c r="I486" s="455"/>
      <c r="J486" s="455"/>
      <c r="K486" s="456"/>
      <c r="L486" s="455"/>
      <c r="M486" s="455"/>
      <c r="N486" s="455"/>
      <c r="O486" s="455"/>
      <c r="P486" s="456"/>
      <c r="Q486" s="456"/>
      <c r="R486" s="457"/>
      <c r="S486" s="456"/>
      <c r="T486" s="455"/>
      <c r="U486" s="455"/>
      <c r="V486" s="455"/>
      <c r="W486" s="456"/>
      <c r="X486" s="455"/>
      <c r="Y486" s="455"/>
      <c r="Z486" s="455"/>
      <c r="AA486" s="455"/>
      <c r="AB486" s="456"/>
      <c r="AC486" s="455"/>
      <c r="AD486" s="455"/>
      <c r="AE486" s="455"/>
      <c r="AF486" s="455"/>
      <c r="AG486" s="455"/>
      <c r="AH486" s="455"/>
      <c r="AI486" s="455"/>
      <c r="AJ486" s="456"/>
      <c r="AK486" s="456"/>
      <c r="AL486" s="456"/>
      <c r="AM486" s="456"/>
      <c r="AN486" s="456"/>
      <c r="AO486" s="456"/>
      <c r="AP486" s="456"/>
      <c r="AQ486" s="456"/>
      <c r="AR486" s="458"/>
      <c r="AS486" s="459"/>
      <c r="AT486" s="459"/>
      <c r="AU486" s="459"/>
      <c r="AV486" s="478"/>
      <c r="AW486" s="456"/>
      <c r="AX486" s="456"/>
      <c r="AY486" s="456"/>
      <c r="AZ486" s="456"/>
      <c r="BA486" s="456"/>
      <c r="BB486" s="456"/>
      <c r="BC486" s="456"/>
    </row>
    <row r="487" spans="8:55">
      <c r="H487" s="455"/>
      <c r="I487" s="455"/>
      <c r="J487" s="455"/>
      <c r="K487" s="456"/>
      <c r="L487" s="455"/>
      <c r="M487" s="455"/>
      <c r="N487" s="455"/>
      <c r="O487" s="455"/>
      <c r="P487" s="456"/>
      <c r="Q487" s="456"/>
      <c r="R487" s="457"/>
      <c r="S487" s="456"/>
      <c r="T487" s="455"/>
      <c r="U487" s="455"/>
      <c r="V487" s="455"/>
      <c r="W487" s="456"/>
      <c r="X487" s="455"/>
      <c r="Y487" s="455"/>
      <c r="Z487" s="455"/>
      <c r="AA487" s="455"/>
      <c r="AB487" s="456"/>
      <c r="AC487" s="455"/>
      <c r="AD487" s="455"/>
      <c r="AE487" s="455"/>
      <c r="AF487" s="455"/>
      <c r="AG487" s="455"/>
      <c r="AH487" s="455"/>
      <c r="AI487" s="455"/>
      <c r="AJ487" s="456"/>
      <c r="AK487" s="456"/>
      <c r="AL487" s="456"/>
      <c r="AM487" s="456"/>
      <c r="AN487" s="456"/>
      <c r="AO487" s="456"/>
      <c r="AP487" s="456"/>
      <c r="AQ487" s="456"/>
      <c r="AR487" s="458"/>
      <c r="AS487" s="459"/>
      <c r="AT487" s="459"/>
      <c r="AU487" s="459"/>
      <c r="AV487" s="478"/>
      <c r="AW487" s="456"/>
      <c r="AX487" s="456"/>
      <c r="AY487" s="456"/>
      <c r="AZ487" s="456"/>
      <c r="BA487" s="456"/>
      <c r="BB487" s="456"/>
      <c r="BC487" s="456"/>
    </row>
    <row r="488" spans="8:55">
      <c r="H488" s="455"/>
      <c r="I488" s="455"/>
      <c r="J488" s="455"/>
      <c r="K488" s="456"/>
      <c r="L488" s="455"/>
      <c r="M488" s="455"/>
      <c r="N488" s="455"/>
      <c r="O488" s="455"/>
      <c r="P488" s="456"/>
      <c r="Q488" s="456"/>
      <c r="R488" s="457"/>
      <c r="S488" s="456"/>
      <c r="T488" s="455"/>
      <c r="U488" s="455"/>
      <c r="V488" s="455"/>
      <c r="W488" s="456"/>
      <c r="X488" s="455"/>
      <c r="Y488" s="455"/>
      <c r="Z488" s="455"/>
      <c r="AA488" s="455"/>
      <c r="AB488" s="456"/>
      <c r="AC488" s="455"/>
      <c r="AD488" s="455"/>
      <c r="AE488" s="455"/>
      <c r="AF488" s="455"/>
      <c r="AG488" s="455"/>
      <c r="AH488" s="455"/>
      <c r="AI488" s="455"/>
      <c r="AJ488" s="456"/>
      <c r="AK488" s="456"/>
      <c r="AL488" s="456"/>
      <c r="AM488" s="456"/>
      <c r="AN488" s="456"/>
      <c r="AO488" s="456"/>
      <c r="AP488" s="456"/>
      <c r="AQ488" s="456"/>
      <c r="AR488" s="458"/>
      <c r="AS488" s="459"/>
      <c r="AT488" s="459"/>
      <c r="AU488" s="459"/>
      <c r="AV488" s="478"/>
      <c r="AW488" s="456"/>
      <c r="AX488" s="456"/>
      <c r="AY488" s="456"/>
      <c r="AZ488" s="456"/>
      <c r="BA488" s="456"/>
      <c r="BB488" s="456"/>
      <c r="BC488" s="456"/>
    </row>
    <row r="489" spans="8:55">
      <c r="H489" s="455"/>
      <c r="I489" s="455"/>
      <c r="J489" s="455"/>
      <c r="K489" s="456"/>
      <c r="L489" s="455"/>
      <c r="M489" s="455"/>
      <c r="N489" s="455"/>
      <c r="O489" s="455"/>
      <c r="P489" s="456"/>
      <c r="Q489" s="456"/>
      <c r="R489" s="457"/>
      <c r="S489" s="456"/>
      <c r="T489" s="455"/>
      <c r="U489" s="455"/>
      <c r="V489" s="455"/>
      <c r="W489" s="456"/>
      <c r="X489" s="455"/>
      <c r="Y489" s="455"/>
      <c r="Z489" s="455"/>
      <c r="AA489" s="455"/>
      <c r="AB489" s="456"/>
      <c r="AC489" s="455"/>
      <c r="AD489" s="455"/>
      <c r="AE489" s="455"/>
      <c r="AF489" s="455"/>
      <c r="AG489" s="455"/>
      <c r="AH489" s="455"/>
      <c r="AI489" s="455"/>
      <c r="AJ489" s="456"/>
      <c r="AK489" s="456"/>
      <c r="AL489" s="456"/>
      <c r="AM489" s="456"/>
      <c r="AN489" s="456"/>
      <c r="AO489" s="456"/>
      <c r="AP489" s="456"/>
      <c r="AQ489" s="456"/>
      <c r="AR489" s="458"/>
      <c r="AS489" s="459"/>
      <c r="AT489" s="459"/>
      <c r="AU489" s="459"/>
      <c r="AV489" s="478"/>
      <c r="AW489" s="456"/>
      <c r="AX489" s="456"/>
      <c r="AY489" s="456"/>
      <c r="AZ489" s="456"/>
      <c r="BA489" s="456"/>
      <c r="BB489" s="456"/>
      <c r="BC489" s="456"/>
    </row>
    <row r="490" spans="8:55">
      <c r="H490" s="455"/>
      <c r="I490" s="455"/>
      <c r="J490" s="455"/>
      <c r="K490" s="456"/>
      <c r="L490" s="455"/>
      <c r="M490" s="455"/>
      <c r="N490" s="455"/>
      <c r="O490" s="455"/>
      <c r="P490" s="456"/>
      <c r="Q490" s="456"/>
      <c r="R490" s="457"/>
      <c r="S490" s="456"/>
      <c r="T490" s="455"/>
      <c r="U490" s="455"/>
      <c r="V490" s="455"/>
      <c r="W490" s="456"/>
      <c r="X490" s="455"/>
      <c r="Y490" s="455"/>
      <c r="Z490" s="455"/>
      <c r="AA490" s="455"/>
      <c r="AB490" s="456"/>
      <c r="AC490" s="455"/>
      <c r="AD490" s="455"/>
      <c r="AE490" s="455"/>
      <c r="AF490" s="455"/>
      <c r="AG490" s="455"/>
      <c r="AH490" s="455"/>
      <c r="AI490" s="455"/>
      <c r="AJ490" s="456"/>
      <c r="AK490" s="456"/>
      <c r="AL490" s="456"/>
      <c r="AM490" s="456"/>
      <c r="AN490" s="456"/>
      <c r="AO490" s="456"/>
      <c r="AP490" s="456"/>
      <c r="AQ490" s="456"/>
      <c r="AR490" s="458"/>
      <c r="AS490" s="459"/>
      <c r="AT490" s="459"/>
      <c r="AU490" s="459"/>
      <c r="AV490" s="478"/>
      <c r="AW490" s="456"/>
      <c r="AX490" s="456"/>
      <c r="AY490" s="456"/>
      <c r="AZ490" s="456"/>
      <c r="BA490" s="456"/>
      <c r="BB490" s="456"/>
      <c r="BC490" s="456"/>
    </row>
    <row r="491" spans="8:55">
      <c r="H491" s="455"/>
      <c r="I491" s="455"/>
      <c r="J491" s="455"/>
      <c r="K491" s="456"/>
      <c r="L491" s="455"/>
      <c r="M491" s="455"/>
      <c r="N491" s="455"/>
      <c r="O491" s="455"/>
      <c r="P491" s="456"/>
      <c r="Q491" s="456"/>
      <c r="R491" s="457"/>
      <c r="S491" s="456"/>
      <c r="T491" s="455"/>
      <c r="U491" s="455"/>
      <c r="V491" s="455"/>
      <c r="W491" s="456"/>
      <c r="X491" s="455"/>
      <c r="Y491" s="455"/>
      <c r="Z491" s="455"/>
      <c r="AA491" s="455"/>
      <c r="AB491" s="456"/>
      <c r="AC491" s="455"/>
      <c r="AD491" s="455"/>
      <c r="AE491" s="455"/>
      <c r="AF491" s="455"/>
      <c r="AG491" s="455"/>
      <c r="AH491" s="455"/>
      <c r="AI491" s="455"/>
      <c r="AJ491" s="456"/>
      <c r="AK491" s="456"/>
      <c r="AL491" s="456"/>
      <c r="AM491" s="456"/>
      <c r="AN491" s="456"/>
      <c r="AO491" s="456"/>
      <c r="AP491" s="456"/>
      <c r="AQ491" s="456"/>
      <c r="AR491" s="458"/>
      <c r="AS491" s="459"/>
      <c r="AT491" s="459"/>
      <c r="AU491" s="459"/>
      <c r="AV491" s="478"/>
      <c r="AW491" s="456"/>
      <c r="AX491" s="456"/>
      <c r="AY491" s="456"/>
      <c r="AZ491" s="456"/>
      <c r="BA491" s="456"/>
      <c r="BB491" s="456"/>
      <c r="BC491" s="456"/>
    </row>
    <row r="492" spans="8:55">
      <c r="H492" s="455"/>
      <c r="I492" s="455"/>
      <c r="J492" s="455"/>
      <c r="K492" s="456"/>
      <c r="L492" s="455"/>
      <c r="M492" s="455"/>
      <c r="N492" s="455"/>
      <c r="O492" s="455"/>
      <c r="P492" s="456"/>
      <c r="Q492" s="456"/>
      <c r="R492" s="457"/>
      <c r="S492" s="456"/>
      <c r="T492" s="455"/>
      <c r="U492" s="455"/>
      <c r="V492" s="455"/>
      <c r="W492" s="456"/>
      <c r="X492" s="455"/>
      <c r="Y492" s="455"/>
      <c r="Z492" s="455"/>
      <c r="AA492" s="455"/>
      <c r="AB492" s="456"/>
      <c r="AC492" s="455"/>
      <c r="AD492" s="455"/>
      <c r="AE492" s="455"/>
      <c r="AF492" s="455"/>
      <c r="AG492" s="455"/>
      <c r="AH492" s="455"/>
      <c r="AI492" s="455"/>
      <c r="AJ492" s="456"/>
      <c r="AK492" s="456"/>
      <c r="AL492" s="456"/>
      <c r="AM492" s="456"/>
      <c r="AN492" s="456"/>
      <c r="AO492" s="456"/>
      <c r="AP492" s="456"/>
      <c r="AQ492" s="456"/>
      <c r="AR492" s="458"/>
      <c r="AS492" s="459"/>
      <c r="AT492" s="459"/>
      <c r="AU492" s="459"/>
      <c r="AV492" s="478"/>
      <c r="AW492" s="456"/>
      <c r="AX492" s="456"/>
      <c r="AY492" s="456"/>
      <c r="AZ492" s="456"/>
      <c r="BA492" s="456"/>
      <c r="BB492" s="456"/>
      <c r="BC492" s="456"/>
    </row>
    <row r="493" spans="8:55">
      <c r="H493" s="455"/>
      <c r="I493" s="455"/>
      <c r="J493" s="455"/>
      <c r="K493" s="456"/>
      <c r="L493" s="455"/>
      <c r="M493" s="455"/>
      <c r="N493" s="455"/>
      <c r="O493" s="455"/>
      <c r="P493" s="456"/>
      <c r="Q493" s="456"/>
      <c r="R493" s="457"/>
      <c r="S493" s="456"/>
      <c r="T493" s="455"/>
      <c r="U493" s="455"/>
      <c r="V493" s="455"/>
      <c r="W493" s="456"/>
      <c r="X493" s="455"/>
      <c r="Y493" s="455"/>
      <c r="Z493" s="455"/>
      <c r="AA493" s="455"/>
      <c r="AB493" s="456"/>
      <c r="AC493" s="455"/>
      <c r="AD493" s="455"/>
      <c r="AE493" s="455"/>
      <c r="AF493" s="455"/>
      <c r="AG493" s="455"/>
      <c r="AH493" s="455"/>
      <c r="AI493" s="455"/>
      <c r="AJ493" s="456"/>
      <c r="AK493" s="456"/>
      <c r="AL493" s="456"/>
      <c r="AM493" s="456"/>
      <c r="AN493" s="456"/>
      <c r="AO493" s="456"/>
      <c r="AP493" s="456"/>
      <c r="AQ493" s="456"/>
      <c r="AR493" s="458"/>
      <c r="AS493" s="459"/>
      <c r="AT493" s="459"/>
      <c r="AU493" s="459"/>
      <c r="AV493" s="478"/>
      <c r="AW493" s="456"/>
      <c r="AX493" s="456"/>
      <c r="AY493" s="456"/>
      <c r="AZ493" s="456"/>
      <c r="BA493" s="456"/>
      <c r="BB493" s="456"/>
      <c r="BC493" s="456"/>
    </row>
    <row r="494" spans="8:55">
      <c r="H494" s="455"/>
      <c r="I494" s="455"/>
      <c r="J494" s="455"/>
      <c r="K494" s="456"/>
      <c r="L494" s="455"/>
      <c r="M494" s="455"/>
      <c r="N494" s="455"/>
      <c r="O494" s="455"/>
      <c r="P494" s="456"/>
      <c r="Q494" s="456"/>
      <c r="R494" s="457"/>
      <c r="S494" s="456"/>
      <c r="T494" s="455"/>
      <c r="U494" s="455"/>
      <c r="V494" s="455"/>
      <c r="W494" s="456"/>
      <c r="X494" s="455"/>
      <c r="Y494" s="455"/>
      <c r="Z494" s="455"/>
      <c r="AA494" s="455"/>
      <c r="AB494" s="456"/>
      <c r="AC494" s="455"/>
      <c r="AD494" s="455"/>
      <c r="AE494" s="455"/>
      <c r="AF494" s="455"/>
      <c r="AG494" s="455"/>
      <c r="AH494" s="455"/>
      <c r="AI494" s="455"/>
      <c r="AJ494" s="456"/>
      <c r="AK494" s="456"/>
      <c r="AL494" s="456"/>
      <c r="AM494" s="456"/>
      <c r="AN494" s="456"/>
      <c r="AO494" s="456"/>
      <c r="AP494" s="456"/>
      <c r="AQ494" s="456"/>
      <c r="AR494" s="458"/>
      <c r="AS494" s="459"/>
      <c r="AT494" s="459"/>
      <c r="AU494" s="459"/>
      <c r="AV494" s="478"/>
      <c r="AW494" s="456"/>
      <c r="AX494" s="456"/>
      <c r="AY494" s="456"/>
      <c r="AZ494" s="456"/>
      <c r="BA494" s="456"/>
      <c r="BB494" s="456"/>
      <c r="BC494" s="456"/>
    </row>
    <row r="495" spans="8:55">
      <c r="H495" s="455"/>
      <c r="I495" s="455"/>
      <c r="J495" s="455"/>
      <c r="K495" s="456"/>
      <c r="L495" s="455"/>
      <c r="M495" s="455"/>
      <c r="N495" s="455"/>
      <c r="O495" s="455"/>
      <c r="P495" s="456"/>
      <c r="Q495" s="456"/>
      <c r="R495" s="457"/>
      <c r="S495" s="456"/>
      <c r="T495" s="455"/>
      <c r="U495" s="455"/>
      <c r="V495" s="455"/>
      <c r="W495" s="456"/>
      <c r="X495" s="455"/>
      <c r="Y495" s="455"/>
      <c r="Z495" s="455"/>
      <c r="AA495" s="455"/>
      <c r="AB495" s="456"/>
      <c r="AC495" s="455"/>
      <c r="AD495" s="455"/>
      <c r="AE495" s="455"/>
      <c r="AF495" s="455"/>
      <c r="AG495" s="455"/>
      <c r="AH495" s="455"/>
      <c r="AI495" s="455"/>
      <c r="AJ495" s="456"/>
      <c r="AK495" s="456"/>
      <c r="AL495" s="456"/>
      <c r="AM495" s="456"/>
      <c r="AN495" s="456"/>
      <c r="AO495" s="456"/>
      <c r="AP495" s="456"/>
      <c r="AQ495" s="456"/>
      <c r="AR495" s="458"/>
      <c r="AS495" s="459"/>
      <c r="AT495" s="459"/>
      <c r="AU495" s="459"/>
      <c r="AV495" s="478"/>
      <c r="AW495" s="456"/>
      <c r="AX495" s="456"/>
      <c r="AY495" s="456"/>
      <c r="AZ495" s="456"/>
      <c r="BA495" s="456"/>
      <c r="BB495" s="456"/>
      <c r="BC495" s="456"/>
    </row>
    <row r="496" spans="8:55">
      <c r="H496" s="455"/>
      <c r="I496" s="455"/>
      <c r="J496" s="455"/>
      <c r="K496" s="456"/>
      <c r="L496" s="455"/>
      <c r="M496" s="455"/>
      <c r="N496" s="455"/>
      <c r="O496" s="455"/>
      <c r="P496" s="456"/>
      <c r="Q496" s="456"/>
      <c r="R496" s="457"/>
      <c r="S496" s="456"/>
      <c r="T496" s="455"/>
      <c r="U496" s="455"/>
      <c r="V496" s="455"/>
      <c r="W496" s="456"/>
      <c r="X496" s="455"/>
      <c r="Y496" s="455"/>
      <c r="Z496" s="455"/>
      <c r="AA496" s="455"/>
      <c r="AB496" s="456"/>
      <c r="AC496" s="455"/>
      <c r="AD496" s="455"/>
      <c r="AE496" s="455"/>
      <c r="AF496" s="455"/>
      <c r="AG496" s="455"/>
      <c r="AH496" s="455"/>
      <c r="AI496" s="455"/>
      <c r="AJ496" s="456"/>
      <c r="AK496" s="456"/>
      <c r="AL496" s="456"/>
      <c r="AM496" s="456"/>
      <c r="AN496" s="456"/>
      <c r="AO496" s="456"/>
      <c r="AP496" s="456"/>
      <c r="AQ496" s="456"/>
      <c r="AR496" s="458"/>
      <c r="AS496" s="459"/>
      <c r="AT496" s="459"/>
      <c r="AU496" s="459"/>
      <c r="AV496" s="478"/>
      <c r="AW496" s="456"/>
      <c r="AX496" s="456"/>
      <c r="AY496" s="456"/>
      <c r="AZ496" s="456"/>
      <c r="BA496" s="456"/>
      <c r="BB496" s="456"/>
      <c r="BC496" s="456"/>
    </row>
    <row r="497" spans="8:55">
      <c r="H497" s="455"/>
      <c r="I497" s="455"/>
      <c r="J497" s="455"/>
      <c r="K497" s="456"/>
      <c r="L497" s="455"/>
      <c r="M497" s="455"/>
      <c r="N497" s="455"/>
      <c r="O497" s="455"/>
      <c r="P497" s="456"/>
      <c r="Q497" s="456"/>
      <c r="R497" s="457"/>
      <c r="S497" s="456"/>
      <c r="T497" s="455"/>
      <c r="U497" s="455"/>
      <c r="V497" s="455"/>
      <c r="W497" s="456"/>
      <c r="X497" s="455"/>
      <c r="Y497" s="455"/>
      <c r="Z497" s="455"/>
      <c r="AA497" s="455"/>
      <c r="AB497" s="456"/>
      <c r="AC497" s="455"/>
      <c r="AD497" s="455"/>
      <c r="AE497" s="455"/>
      <c r="AF497" s="455"/>
      <c r="AG497" s="455"/>
      <c r="AH497" s="455"/>
      <c r="AI497" s="455"/>
      <c r="AJ497" s="456"/>
      <c r="AK497" s="456"/>
      <c r="AL497" s="456"/>
      <c r="AM497" s="456"/>
      <c r="AN497" s="456"/>
      <c r="AO497" s="456"/>
      <c r="AP497" s="456"/>
      <c r="AQ497" s="456"/>
      <c r="AR497" s="458"/>
      <c r="AS497" s="459"/>
      <c r="AT497" s="459"/>
      <c r="AU497" s="459"/>
      <c r="AV497" s="478"/>
      <c r="AW497" s="456"/>
      <c r="AX497" s="456"/>
      <c r="AY497" s="456"/>
      <c r="AZ497" s="456"/>
      <c r="BA497" s="456"/>
      <c r="BB497" s="456"/>
      <c r="BC497" s="456"/>
    </row>
    <row r="498" spans="8:55">
      <c r="H498" s="455"/>
      <c r="I498" s="455"/>
      <c r="J498" s="455"/>
      <c r="K498" s="456"/>
      <c r="L498" s="455"/>
      <c r="M498" s="455"/>
      <c r="N498" s="455"/>
      <c r="O498" s="455"/>
      <c r="P498" s="456"/>
      <c r="Q498" s="456"/>
      <c r="R498" s="457"/>
      <c r="S498" s="456"/>
      <c r="T498" s="455"/>
      <c r="U498" s="455"/>
      <c r="V498" s="455"/>
      <c r="W498" s="456"/>
      <c r="X498" s="455"/>
      <c r="Y498" s="455"/>
      <c r="Z498" s="455"/>
      <c r="AA498" s="455"/>
      <c r="AB498" s="456"/>
      <c r="AC498" s="455"/>
      <c r="AD498" s="455"/>
      <c r="AE498" s="455"/>
      <c r="AF498" s="455"/>
      <c r="AG498" s="455"/>
      <c r="AH498" s="455"/>
      <c r="AI498" s="455"/>
      <c r="AJ498" s="456"/>
      <c r="AK498" s="456"/>
      <c r="AL498" s="456"/>
      <c r="AM498" s="456"/>
      <c r="AN498" s="456"/>
      <c r="AO498" s="456"/>
      <c r="AP498" s="456"/>
      <c r="AQ498" s="456"/>
      <c r="AR498" s="458"/>
      <c r="AS498" s="459"/>
      <c r="AT498" s="459"/>
      <c r="AU498" s="459"/>
      <c r="AV498" s="478"/>
      <c r="AW498" s="456"/>
      <c r="AX498" s="456"/>
      <c r="AY498" s="456"/>
      <c r="AZ498" s="456"/>
      <c r="BA498" s="456"/>
      <c r="BB498" s="456"/>
      <c r="BC498" s="456"/>
    </row>
    <row r="499" spans="8:55">
      <c r="H499" s="455"/>
      <c r="I499" s="455"/>
      <c r="J499" s="455"/>
      <c r="K499" s="456"/>
      <c r="L499" s="455"/>
      <c r="M499" s="455"/>
      <c r="N499" s="455"/>
      <c r="O499" s="455"/>
      <c r="P499" s="456"/>
      <c r="Q499" s="456"/>
      <c r="R499" s="457"/>
      <c r="S499" s="456"/>
      <c r="T499" s="455"/>
      <c r="U499" s="455"/>
      <c r="V499" s="455"/>
      <c r="W499" s="456"/>
      <c r="X499" s="455"/>
      <c r="Y499" s="455"/>
      <c r="Z499" s="455"/>
      <c r="AA499" s="455"/>
      <c r="AB499" s="456"/>
      <c r="AC499" s="455"/>
      <c r="AD499" s="455"/>
      <c r="AE499" s="455"/>
      <c r="AF499" s="455"/>
      <c r="AG499" s="455"/>
      <c r="AH499" s="455"/>
      <c r="AI499" s="455"/>
      <c r="AJ499" s="456"/>
      <c r="AK499" s="456"/>
      <c r="AL499" s="456"/>
      <c r="AM499" s="456"/>
      <c r="AN499" s="456"/>
      <c r="AO499" s="456"/>
      <c r="AP499" s="456"/>
      <c r="AQ499" s="456"/>
      <c r="AR499" s="458"/>
      <c r="AS499" s="459"/>
      <c r="AT499" s="459"/>
      <c r="AU499" s="459"/>
      <c r="AV499" s="478"/>
      <c r="AW499" s="456"/>
      <c r="AX499" s="456"/>
      <c r="AY499" s="456"/>
      <c r="AZ499" s="456"/>
      <c r="BA499" s="456"/>
      <c r="BB499" s="456"/>
      <c r="BC499" s="456"/>
    </row>
    <row r="500" spans="8:55">
      <c r="H500" s="455"/>
      <c r="I500" s="455"/>
      <c r="J500" s="455"/>
      <c r="K500" s="456"/>
      <c r="L500" s="455"/>
      <c r="M500" s="455"/>
      <c r="N500" s="455"/>
      <c r="O500" s="455"/>
      <c r="P500" s="456"/>
      <c r="Q500" s="456"/>
      <c r="R500" s="457"/>
      <c r="S500" s="456"/>
      <c r="T500" s="455"/>
      <c r="U500" s="455"/>
      <c r="V500" s="455"/>
      <c r="W500" s="456"/>
      <c r="X500" s="455"/>
      <c r="Y500" s="455"/>
      <c r="Z500" s="455"/>
      <c r="AA500" s="455"/>
      <c r="AB500" s="456"/>
      <c r="AC500" s="455"/>
      <c r="AD500" s="455"/>
      <c r="AE500" s="455"/>
      <c r="AF500" s="455"/>
      <c r="AG500" s="455"/>
      <c r="AH500" s="455"/>
      <c r="AI500" s="455"/>
      <c r="AJ500" s="456"/>
      <c r="AK500" s="456"/>
      <c r="AL500" s="456"/>
      <c r="AM500" s="456"/>
      <c r="AN500" s="456"/>
      <c r="AO500" s="456"/>
      <c r="AP500" s="456"/>
      <c r="AQ500" s="456"/>
      <c r="AR500" s="458"/>
      <c r="AS500" s="459"/>
      <c r="AT500" s="459"/>
      <c r="AU500" s="459"/>
      <c r="AV500" s="478"/>
      <c r="AW500" s="456"/>
      <c r="AX500" s="456"/>
      <c r="AY500" s="456"/>
      <c r="AZ500" s="456"/>
      <c r="BA500" s="456"/>
      <c r="BB500" s="456"/>
      <c r="BC500" s="456"/>
    </row>
    <row r="501" spans="8:55">
      <c r="H501" s="455"/>
      <c r="I501" s="455"/>
      <c r="J501" s="455"/>
      <c r="K501" s="456"/>
      <c r="L501" s="455"/>
      <c r="M501" s="455"/>
      <c r="N501" s="455"/>
      <c r="O501" s="455"/>
      <c r="P501" s="456"/>
      <c r="Q501" s="456"/>
      <c r="R501" s="457"/>
      <c r="S501" s="456"/>
      <c r="T501" s="455"/>
      <c r="U501" s="455"/>
      <c r="V501" s="455"/>
      <c r="W501" s="456"/>
      <c r="X501" s="455"/>
      <c r="Y501" s="455"/>
      <c r="Z501" s="455"/>
      <c r="AA501" s="455"/>
      <c r="AB501" s="456"/>
      <c r="AC501" s="455"/>
      <c r="AD501" s="455"/>
      <c r="AE501" s="455"/>
      <c r="AF501" s="455"/>
      <c r="AG501" s="455"/>
      <c r="AH501" s="455"/>
      <c r="AI501" s="455"/>
      <c r="AJ501" s="456"/>
      <c r="AK501" s="456"/>
      <c r="AL501" s="456"/>
      <c r="AM501" s="456"/>
      <c r="AN501" s="456"/>
      <c r="AO501" s="456"/>
      <c r="AP501" s="456"/>
      <c r="AQ501" s="456"/>
      <c r="AR501" s="458"/>
      <c r="AS501" s="459"/>
      <c r="AT501" s="459"/>
      <c r="AU501" s="459"/>
      <c r="AV501" s="478"/>
      <c r="AW501" s="456"/>
      <c r="AX501" s="456"/>
      <c r="AY501" s="456"/>
      <c r="AZ501" s="456"/>
      <c r="BA501" s="456"/>
      <c r="BB501" s="456"/>
      <c r="BC501" s="456"/>
    </row>
    <row r="502" spans="8:55">
      <c r="H502" s="455"/>
      <c r="I502" s="455"/>
      <c r="J502" s="455"/>
      <c r="K502" s="456"/>
      <c r="L502" s="455"/>
      <c r="M502" s="455"/>
      <c r="N502" s="455"/>
      <c r="O502" s="455"/>
      <c r="P502" s="456"/>
      <c r="Q502" s="456"/>
      <c r="R502" s="457"/>
      <c r="S502" s="456"/>
      <c r="T502" s="455"/>
      <c r="U502" s="455"/>
      <c r="V502" s="455"/>
      <c r="W502" s="456"/>
      <c r="X502" s="455"/>
      <c r="Y502" s="455"/>
      <c r="Z502" s="455"/>
      <c r="AA502" s="455"/>
      <c r="AB502" s="456"/>
      <c r="AC502" s="455"/>
      <c r="AD502" s="455"/>
      <c r="AE502" s="455"/>
      <c r="AF502" s="455"/>
      <c r="AG502" s="455"/>
      <c r="AH502" s="455"/>
      <c r="AI502" s="455"/>
      <c r="AJ502" s="456"/>
      <c r="AK502" s="456"/>
      <c r="AL502" s="456"/>
      <c r="AM502" s="456"/>
      <c r="AN502" s="456"/>
      <c r="AO502" s="456"/>
      <c r="AP502" s="456"/>
      <c r="AQ502" s="456"/>
      <c r="AR502" s="458"/>
      <c r="AS502" s="459"/>
      <c r="AT502" s="459"/>
      <c r="AU502" s="459"/>
      <c r="AV502" s="478"/>
      <c r="AW502" s="456"/>
      <c r="AX502" s="456"/>
      <c r="AY502" s="456"/>
      <c r="AZ502" s="456"/>
      <c r="BA502" s="456"/>
      <c r="BB502" s="456"/>
      <c r="BC502" s="456"/>
    </row>
    <row r="503" spans="8:55">
      <c r="H503" s="455"/>
      <c r="I503" s="455"/>
      <c r="J503" s="455"/>
      <c r="K503" s="456"/>
      <c r="L503" s="455"/>
      <c r="M503" s="455"/>
      <c r="N503" s="455"/>
      <c r="O503" s="455"/>
      <c r="P503" s="456"/>
      <c r="Q503" s="456"/>
      <c r="R503" s="457"/>
      <c r="S503" s="456"/>
      <c r="T503" s="455"/>
      <c r="U503" s="455"/>
      <c r="V503" s="455"/>
      <c r="W503" s="456"/>
      <c r="X503" s="455"/>
      <c r="Y503" s="455"/>
      <c r="Z503" s="455"/>
      <c r="AA503" s="455"/>
      <c r="AB503" s="456"/>
      <c r="AC503" s="455"/>
      <c r="AD503" s="455"/>
      <c r="AE503" s="455"/>
      <c r="AF503" s="455"/>
      <c r="AG503" s="455"/>
      <c r="AH503" s="455"/>
      <c r="AI503" s="455"/>
      <c r="AJ503" s="456"/>
      <c r="AK503" s="456"/>
      <c r="AL503" s="456"/>
      <c r="AM503" s="456"/>
      <c r="AN503" s="456"/>
      <c r="AO503" s="456"/>
      <c r="AP503" s="456"/>
      <c r="AQ503" s="456"/>
      <c r="AR503" s="458"/>
      <c r="AS503" s="459"/>
      <c r="AT503" s="459"/>
      <c r="AU503" s="459"/>
      <c r="AV503" s="478"/>
      <c r="AW503" s="456"/>
      <c r="AX503" s="456"/>
      <c r="AY503" s="456"/>
      <c r="AZ503" s="456"/>
      <c r="BA503" s="456"/>
      <c r="BB503" s="456"/>
      <c r="BC503" s="456"/>
    </row>
    <row r="504" spans="8:55">
      <c r="H504" s="455"/>
      <c r="I504" s="455"/>
      <c r="J504" s="455"/>
      <c r="K504" s="456"/>
      <c r="L504" s="455"/>
      <c r="M504" s="455"/>
      <c r="N504" s="455"/>
      <c r="O504" s="455"/>
      <c r="P504" s="456"/>
      <c r="Q504" s="456"/>
      <c r="R504" s="457"/>
      <c r="S504" s="456"/>
      <c r="T504" s="455"/>
      <c r="U504" s="455"/>
      <c r="V504" s="455"/>
      <c r="W504" s="456"/>
      <c r="X504" s="455"/>
      <c r="Y504" s="455"/>
      <c r="Z504" s="455"/>
      <c r="AA504" s="455"/>
      <c r="AB504" s="456"/>
      <c r="AC504" s="455"/>
      <c r="AD504" s="455"/>
      <c r="AE504" s="455"/>
      <c r="AF504" s="455"/>
      <c r="AG504" s="455"/>
      <c r="AH504" s="455"/>
      <c r="AI504" s="455"/>
      <c r="AJ504" s="456"/>
      <c r="AK504" s="456"/>
      <c r="AL504" s="456"/>
      <c r="AM504" s="456"/>
      <c r="AN504" s="456"/>
      <c r="AO504" s="456"/>
      <c r="AP504" s="456"/>
      <c r="AQ504" s="456"/>
      <c r="AR504" s="458"/>
      <c r="AS504" s="459"/>
      <c r="AT504" s="459"/>
      <c r="AU504" s="459"/>
      <c r="AV504" s="478"/>
      <c r="AW504" s="456"/>
      <c r="AX504" s="456"/>
      <c r="AY504" s="456"/>
      <c r="AZ504" s="456"/>
      <c r="BA504" s="456"/>
      <c r="BB504" s="456"/>
      <c r="BC504" s="456"/>
    </row>
    <row r="505" spans="8:55">
      <c r="H505" s="455"/>
      <c r="I505" s="455"/>
      <c r="J505" s="455"/>
      <c r="K505" s="456"/>
      <c r="L505" s="455"/>
      <c r="M505" s="455"/>
      <c r="N505" s="455"/>
      <c r="O505" s="455"/>
      <c r="P505" s="456"/>
      <c r="Q505" s="456"/>
      <c r="R505" s="457"/>
      <c r="S505" s="456"/>
      <c r="T505" s="455"/>
      <c r="U505" s="455"/>
      <c r="V505" s="455"/>
      <c r="W505" s="456"/>
      <c r="X505" s="455"/>
      <c r="Y505" s="455"/>
      <c r="Z505" s="455"/>
      <c r="AA505" s="455"/>
      <c r="AB505" s="456"/>
      <c r="AC505" s="455"/>
      <c r="AD505" s="455"/>
      <c r="AE505" s="455"/>
      <c r="AF505" s="455"/>
      <c r="AG505" s="455"/>
      <c r="AH505" s="455"/>
      <c r="AI505" s="455"/>
      <c r="AJ505" s="456"/>
      <c r="AK505" s="456"/>
      <c r="AL505" s="456"/>
      <c r="AM505" s="456"/>
      <c r="AN505" s="456"/>
      <c r="AO505" s="456"/>
      <c r="AP505" s="456"/>
      <c r="AQ505" s="456"/>
      <c r="AR505" s="458"/>
      <c r="AS505" s="459"/>
      <c r="AT505" s="459"/>
      <c r="AU505" s="459"/>
      <c r="AV505" s="478"/>
      <c r="AW505" s="456"/>
      <c r="AX505" s="456"/>
      <c r="AY505" s="456"/>
      <c r="AZ505" s="456"/>
      <c r="BA505" s="456"/>
      <c r="BB505" s="456"/>
      <c r="BC505" s="456"/>
    </row>
    <row r="506" spans="8:55">
      <c r="H506" s="455"/>
      <c r="I506" s="455"/>
      <c r="J506" s="455"/>
      <c r="K506" s="456"/>
      <c r="L506" s="455"/>
      <c r="M506" s="455"/>
      <c r="N506" s="455"/>
      <c r="O506" s="455"/>
      <c r="P506" s="456"/>
      <c r="Q506" s="456"/>
      <c r="R506" s="457"/>
      <c r="S506" s="456"/>
      <c r="T506" s="455"/>
      <c r="U506" s="455"/>
      <c r="V506" s="455"/>
      <c r="W506" s="456"/>
      <c r="X506" s="455"/>
      <c r="Y506" s="455"/>
      <c r="Z506" s="455"/>
      <c r="AA506" s="455"/>
      <c r="AB506" s="456"/>
      <c r="AC506" s="455"/>
      <c r="AD506" s="455"/>
      <c r="AE506" s="455"/>
      <c r="AF506" s="455"/>
      <c r="AG506" s="455"/>
      <c r="AH506" s="455"/>
      <c r="AI506" s="455"/>
      <c r="AJ506" s="456"/>
      <c r="AK506" s="456"/>
      <c r="AL506" s="456"/>
      <c r="AM506" s="456"/>
      <c r="AN506" s="456"/>
      <c r="AO506" s="456"/>
      <c r="AP506" s="456"/>
      <c r="AQ506" s="456"/>
      <c r="AR506" s="458"/>
      <c r="AS506" s="459"/>
      <c r="AT506" s="459"/>
      <c r="AU506" s="459"/>
      <c r="AV506" s="478"/>
      <c r="AW506" s="456"/>
      <c r="AX506" s="456"/>
      <c r="AY506" s="456"/>
      <c r="AZ506" s="456"/>
      <c r="BA506" s="456"/>
      <c r="BB506" s="456"/>
      <c r="BC506" s="456"/>
    </row>
    <row r="507" spans="8:55">
      <c r="H507" s="455"/>
      <c r="I507" s="455"/>
      <c r="J507" s="455"/>
      <c r="K507" s="456"/>
      <c r="L507" s="455"/>
      <c r="M507" s="455"/>
      <c r="N507" s="455"/>
      <c r="O507" s="455"/>
      <c r="P507" s="456"/>
      <c r="Q507" s="456"/>
      <c r="R507" s="457"/>
      <c r="S507" s="456"/>
      <c r="T507" s="455"/>
      <c r="U507" s="455"/>
      <c r="V507" s="455"/>
      <c r="W507" s="456"/>
      <c r="X507" s="455"/>
      <c r="Y507" s="455"/>
      <c r="Z507" s="455"/>
      <c r="AA507" s="455"/>
      <c r="AB507" s="456"/>
      <c r="AC507" s="455"/>
      <c r="AD507" s="455"/>
      <c r="AE507" s="455"/>
      <c r="AF507" s="455"/>
      <c r="AG507" s="455"/>
      <c r="AH507" s="455"/>
      <c r="AI507" s="455"/>
      <c r="AJ507" s="456"/>
      <c r="AK507" s="456"/>
      <c r="AL507" s="456"/>
      <c r="AM507" s="456"/>
      <c r="AN507" s="456"/>
      <c r="AO507" s="456"/>
      <c r="AP507" s="456"/>
      <c r="AQ507" s="456"/>
      <c r="AR507" s="458"/>
      <c r="AS507" s="459"/>
      <c r="AT507" s="459"/>
      <c r="AU507" s="459"/>
      <c r="AV507" s="478"/>
      <c r="AW507" s="456"/>
      <c r="AX507" s="456"/>
      <c r="AY507" s="456"/>
      <c r="AZ507" s="456"/>
      <c r="BA507" s="456"/>
      <c r="BB507" s="456"/>
      <c r="BC507" s="456"/>
    </row>
    <row r="508" spans="8:55">
      <c r="H508" s="455"/>
      <c r="I508" s="455"/>
      <c r="J508" s="455"/>
      <c r="K508" s="456"/>
      <c r="L508" s="455"/>
      <c r="M508" s="455"/>
      <c r="N508" s="455"/>
      <c r="O508" s="455"/>
      <c r="P508" s="456"/>
      <c r="Q508" s="456"/>
      <c r="R508" s="457"/>
      <c r="S508" s="456"/>
      <c r="T508" s="455"/>
      <c r="U508" s="455"/>
      <c r="V508" s="455"/>
      <c r="W508" s="456"/>
      <c r="X508" s="455"/>
      <c r="Y508" s="455"/>
      <c r="Z508" s="455"/>
      <c r="AA508" s="455"/>
      <c r="AB508" s="456"/>
      <c r="AC508" s="455"/>
      <c r="AD508" s="455"/>
      <c r="AE508" s="455"/>
      <c r="AF508" s="455"/>
      <c r="AG508" s="455"/>
      <c r="AH508" s="455"/>
      <c r="AI508" s="455"/>
      <c r="AJ508" s="456"/>
      <c r="AK508" s="456"/>
      <c r="AL508" s="456"/>
      <c r="AM508" s="456"/>
      <c r="AN508" s="456"/>
      <c r="AO508" s="456"/>
      <c r="AP508" s="456"/>
      <c r="AQ508" s="456"/>
      <c r="AR508" s="458"/>
      <c r="AS508" s="459"/>
      <c r="AT508" s="459"/>
      <c r="AU508" s="459"/>
      <c r="AV508" s="478"/>
      <c r="AW508" s="456"/>
      <c r="AX508" s="456"/>
      <c r="AY508" s="456"/>
      <c r="AZ508" s="456"/>
      <c r="BA508" s="456"/>
      <c r="BB508" s="456"/>
      <c r="BC508" s="456"/>
    </row>
    <row r="509" spans="8:55">
      <c r="H509" s="455"/>
      <c r="I509" s="455"/>
      <c r="J509" s="455"/>
      <c r="K509" s="456"/>
      <c r="L509" s="455"/>
      <c r="M509" s="455"/>
      <c r="N509" s="455"/>
      <c r="O509" s="455"/>
      <c r="P509" s="456"/>
      <c r="Q509" s="456"/>
      <c r="R509" s="457"/>
      <c r="S509" s="456"/>
      <c r="T509" s="455"/>
      <c r="U509" s="455"/>
      <c r="V509" s="455"/>
      <c r="W509" s="456"/>
      <c r="X509" s="455"/>
      <c r="Y509" s="455"/>
      <c r="Z509" s="455"/>
      <c r="AA509" s="455"/>
      <c r="AB509" s="456"/>
      <c r="AC509" s="455"/>
      <c r="AD509" s="455"/>
      <c r="AE509" s="455"/>
      <c r="AF509" s="455"/>
      <c r="AG509" s="455"/>
      <c r="AH509" s="455"/>
      <c r="AI509" s="455"/>
      <c r="AJ509" s="456"/>
      <c r="AK509" s="456"/>
      <c r="AL509" s="456"/>
      <c r="AM509" s="456"/>
      <c r="AN509" s="456"/>
      <c r="AO509" s="456"/>
      <c r="AP509" s="456"/>
      <c r="AQ509" s="456"/>
      <c r="AR509" s="458"/>
      <c r="AS509" s="459"/>
      <c r="AT509" s="459"/>
      <c r="AU509" s="459"/>
      <c r="AV509" s="478"/>
      <c r="AW509" s="456"/>
      <c r="AX509" s="456"/>
      <c r="AY509" s="456"/>
      <c r="AZ509" s="456"/>
      <c r="BA509" s="456"/>
      <c r="BB509" s="456"/>
      <c r="BC509" s="456"/>
    </row>
    <row r="510" spans="8:55">
      <c r="H510" s="455"/>
      <c r="I510" s="455"/>
      <c r="J510" s="455"/>
      <c r="K510" s="456"/>
      <c r="L510" s="455"/>
      <c r="M510" s="455"/>
      <c r="N510" s="455"/>
      <c r="O510" s="455"/>
      <c r="P510" s="456"/>
      <c r="Q510" s="456"/>
      <c r="R510" s="457"/>
      <c r="S510" s="456"/>
      <c r="T510" s="455"/>
      <c r="U510" s="455"/>
      <c r="V510" s="455"/>
      <c r="W510" s="456"/>
      <c r="X510" s="455"/>
      <c r="Y510" s="455"/>
      <c r="Z510" s="455"/>
      <c r="AA510" s="455"/>
      <c r="AB510" s="456"/>
      <c r="AC510" s="455"/>
      <c r="AD510" s="455"/>
      <c r="AE510" s="455"/>
      <c r="AF510" s="455"/>
      <c r="AG510" s="455"/>
      <c r="AH510" s="455"/>
      <c r="AI510" s="455"/>
      <c r="AJ510" s="456"/>
      <c r="AK510" s="456"/>
      <c r="AL510" s="456"/>
      <c r="AM510" s="456"/>
      <c r="AN510" s="456"/>
      <c r="AO510" s="456"/>
      <c r="AP510" s="456"/>
      <c r="AQ510" s="456"/>
      <c r="AR510" s="458"/>
      <c r="AS510" s="459"/>
      <c r="AT510" s="459"/>
      <c r="AU510" s="459"/>
      <c r="AV510" s="478"/>
      <c r="AW510" s="456"/>
      <c r="AX510" s="456"/>
      <c r="AY510" s="456"/>
      <c r="AZ510" s="456"/>
      <c r="BA510" s="456"/>
      <c r="BB510" s="456"/>
      <c r="BC510" s="456"/>
    </row>
    <row r="511" spans="8:55">
      <c r="H511" s="455"/>
      <c r="I511" s="455"/>
      <c r="J511" s="455"/>
      <c r="K511" s="456"/>
      <c r="L511" s="455"/>
      <c r="M511" s="455"/>
      <c r="N511" s="455"/>
      <c r="O511" s="455"/>
      <c r="P511" s="456"/>
      <c r="Q511" s="456"/>
      <c r="R511" s="457"/>
      <c r="S511" s="456"/>
      <c r="T511" s="455"/>
      <c r="U511" s="455"/>
      <c r="V511" s="455"/>
      <c r="W511" s="456"/>
      <c r="X511" s="455"/>
      <c r="Y511" s="455"/>
      <c r="Z511" s="455"/>
      <c r="AA511" s="455"/>
      <c r="AB511" s="456"/>
      <c r="AC511" s="455"/>
      <c r="AD511" s="455"/>
      <c r="AE511" s="455"/>
      <c r="AF511" s="455"/>
      <c r="AG511" s="455"/>
      <c r="AH511" s="455"/>
      <c r="AI511" s="455"/>
      <c r="AJ511" s="456"/>
      <c r="AK511" s="456"/>
      <c r="AL511" s="456"/>
      <c r="AM511" s="456"/>
      <c r="AN511" s="456"/>
      <c r="AO511" s="456"/>
      <c r="AP511" s="456"/>
      <c r="AQ511" s="456"/>
      <c r="AR511" s="458"/>
      <c r="AS511" s="459"/>
      <c r="AT511" s="459"/>
      <c r="AU511" s="459"/>
      <c r="AV511" s="478"/>
      <c r="AW511" s="456"/>
      <c r="AX511" s="456"/>
      <c r="AY511" s="456"/>
      <c r="AZ511" s="456"/>
      <c r="BA511" s="456"/>
      <c r="BB511" s="456"/>
      <c r="BC511" s="456"/>
    </row>
    <row r="512" spans="8:55">
      <c r="H512" s="455"/>
      <c r="I512" s="455"/>
      <c r="J512" s="455"/>
      <c r="K512" s="456"/>
      <c r="L512" s="455"/>
      <c r="M512" s="455"/>
      <c r="N512" s="455"/>
      <c r="O512" s="455"/>
      <c r="P512" s="456"/>
      <c r="Q512" s="456"/>
      <c r="R512" s="457"/>
      <c r="S512" s="456"/>
      <c r="T512" s="455"/>
      <c r="U512" s="455"/>
      <c r="V512" s="455"/>
      <c r="W512" s="456"/>
      <c r="X512" s="455"/>
      <c r="Y512" s="455"/>
      <c r="Z512" s="455"/>
      <c r="AA512" s="455"/>
      <c r="AB512" s="456"/>
      <c r="AC512" s="455"/>
      <c r="AD512" s="455"/>
      <c r="AE512" s="455"/>
      <c r="AF512" s="455"/>
      <c r="AG512" s="455"/>
      <c r="AH512" s="455"/>
      <c r="AI512" s="455"/>
      <c r="AJ512" s="456"/>
      <c r="AK512" s="456"/>
      <c r="AL512" s="456"/>
      <c r="AM512" s="456"/>
      <c r="AN512" s="456"/>
      <c r="AO512" s="456"/>
      <c r="AP512" s="456"/>
      <c r="AQ512" s="456"/>
      <c r="AR512" s="458"/>
      <c r="AS512" s="459"/>
      <c r="AT512" s="459"/>
      <c r="AU512" s="459"/>
      <c r="AV512" s="478"/>
      <c r="AW512" s="456"/>
      <c r="AX512" s="456"/>
      <c r="AY512" s="456"/>
      <c r="AZ512" s="456"/>
      <c r="BA512" s="456"/>
      <c r="BB512" s="456"/>
      <c r="BC512" s="456"/>
    </row>
    <row r="513" spans="8:55">
      <c r="H513" s="455"/>
      <c r="I513" s="455"/>
      <c r="J513" s="455"/>
      <c r="K513" s="456"/>
      <c r="L513" s="455"/>
      <c r="M513" s="455"/>
      <c r="N513" s="455"/>
      <c r="O513" s="455"/>
      <c r="P513" s="456"/>
      <c r="Q513" s="456"/>
      <c r="R513" s="457"/>
      <c r="S513" s="456"/>
      <c r="T513" s="455"/>
      <c r="U513" s="455"/>
      <c r="V513" s="455"/>
      <c r="W513" s="456"/>
      <c r="X513" s="455"/>
      <c r="Y513" s="455"/>
      <c r="Z513" s="455"/>
      <c r="AA513" s="455"/>
      <c r="AB513" s="456"/>
      <c r="AC513" s="455"/>
      <c r="AD513" s="455"/>
      <c r="AE513" s="455"/>
      <c r="AF513" s="455"/>
      <c r="AG513" s="455"/>
      <c r="AH513" s="455"/>
      <c r="AI513" s="455"/>
      <c r="AJ513" s="456"/>
      <c r="AK513" s="456"/>
      <c r="AL513" s="456"/>
      <c r="AM513" s="456"/>
      <c r="AN513" s="456"/>
      <c r="AO513" s="456"/>
      <c r="AP513" s="456"/>
      <c r="AQ513" s="456"/>
      <c r="AR513" s="458"/>
      <c r="AS513" s="459"/>
      <c r="AT513" s="459"/>
      <c r="AU513" s="459"/>
      <c r="AV513" s="478"/>
      <c r="AW513" s="456"/>
      <c r="AX513" s="456"/>
      <c r="AY513" s="456"/>
      <c r="AZ513" s="456"/>
      <c r="BA513" s="456"/>
      <c r="BB513" s="456"/>
      <c r="BC513" s="456"/>
    </row>
    <row r="514" spans="8:55">
      <c r="H514" s="455"/>
      <c r="I514" s="455"/>
      <c r="J514" s="455"/>
      <c r="K514" s="456"/>
      <c r="L514" s="455"/>
      <c r="M514" s="455"/>
      <c r="N514" s="455"/>
      <c r="O514" s="455"/>
      <c r="P514" s="456"/>
      <c r="Q514" s="456"/>
      <c r="R514" s="457"/>
      <c r="S514" s="456"/>
      <c r="T514" s="455"/>
      <c r="U514" s="455"/>
      <c r="V514" s="455"/>
      <c r="W514" s="456"/>
      <c r="X514" s="455"/>
      <c r="Y514" s="455"/>
      <c r="Z514" s="455"/>
      <c r="AA514" s="455"/>
      <c r="AB514" s="456"/>
      <c r="AC514" s="455"/>
      <c r="AD514" s="455"/>
      <c r="AE514" s="455"/>
      <c r="AF514" s="455"/>
      <c r="AG514" s="455"/>
      <c r="AH514" s="455"/>
      <c r="AI514" s="455"/>
      <c r="AJ514" s="456"/>
      <c r="AK514" s="456"/>
      <c r="AL514" s="456"/>
      <c r="AM514" s="456"/>
      <c r="AN514" s="456"/>
      <c r="AO514" s="456"/>
      <c r="AP514" s="456"/>
      <c r="AQ514" s="456"/>
      <c r="AR514" s="458"/>
      <c r="AS514" s="459"/>
      <c r="AT514" s="459"/>
      <c r="AU514" s="459"/>
      <c r="AV514" s="478"/>
      <c r="AW514" s="456"/>
      <c r="AX514" s="456"/>
      <c r="AY514" s="456"/>
      <c r="AZ514" s="456"/>
      <c r="BA514" s="456"/>
      <c r="BB514" s="456"/>
      <c r="BC514" s="456"/>
    </row>
    <row r="515" spans="8:55">
      <c r="H515" s="455"/>
      <c r="I515" s="455"/>
      <c r="J515" s="455"/>
      <c r="K515" s="456"/>
      <c r="L515" s="455"/>
      <c r="M515" s="455"/>
      <c r="N515" s="455"/>
      <c r="O515" s="455"/>
      <c r="P515" s="456"/>
      <c r="Q515" s="456"/>
      <c r="R515" s="457"/>
      <c r="S515" s="456"/>
      <c r="T515" s="455"/>
      <c r="U515" s="455"/>
      <c r="V515" s="455"/>
      <c r="W515" s="456"/>
      <c r="X515" s="455"/>
      <c r="Y515" s="455"/>
      <c r="Z515" s="455"/>
      <c r="AA515" s="455"/>
      <c r="AB515" s="456"/>
      <c r="AC515" s="455"/>
      <c r="AD515" s="455"/>
      <c r="AE515" s="455"/>
      <c r="AF515" s="455"/>
      <c r="AG515" s="455"/>
      <c r="AH515" s="455"/>
      <c r="AI515" s="455"/>
      <c r="AJ515" s="456"/>
      <c r="AK515" s="456"/>
      <c r="AL515" s="456"/>
      <c r="AM515" s="456"/>
      <c r="AN515" s="456"/>
      <c r="AO515" s="456"/>
      <c r="AP515" s="456"/>
      <c r="AQ515" s="456"/>
      <c r="AR515" s="458"/>
      <c r="AS515" s="459"/>
      <c r="AT515" s="459"/>
      <c r="AU515" s="459"/>
      <c r="AV515" s="478"/>
      <c r="AW515" s="456"/>
      <c r="AX515" s="456"/>
      <c r="AY515" s="456"/>
      <c r="AZ515" s="456"/>
      <c r="BA515" s="456"/>
      <c r="BB515" s="456"/>
      <c r="BC515" s="456"/>
    </row>
    <row r="516" spans="8:55">
      <c r="H516" s="455"/>
      <c r="I516" s="455"/>
      <c r="J516" s="455"/>
      <c r="K516" s="456"/>
      <c r="L516" s="455"/>
      <c r="M516" s="455"/>
      <c r="N516" s="455"/>
      <c r="O516" s="455"/>
      <c r="P516" s="456"/>
      <c r="Q516" s="456"/>
      <c r="R516" s="457"/>
      <c r="S516" s="456"/>
      <c r="T516" s="455"/>
      <c r="U516" s="455"/>
      <c r="V516" s="455"/>
      <c r="W516" s="456"/>
      <c r="X516" s="455"/>
      <c r="Y516" s="455"/>
      <c r="Z516" s="455"/>
      <c r="AA516" s="455"/>
      <c r="AB516" s="456"/>
      <c r="AC516" s="455"/>
      <c r="AD516" s="455"/>
      <c r="AE516" s="455"/>
      <c r="AF516" s="455"/>
      <c r="AG516" s="455"/>
      <c r="AH516" s="455"/>
      <c r="AI516" s="455"/>
      <c r="AJ516" s="456"/>
      <c r="AK516" s="456"/>
      <c r="AL516" s="456"/>
      <c r="AM516" s="456"/>
      <c r="AN516" s="456"/>
      <c r="AO516" s="456"/>
      <c r="AP516" s="456"/>
      <c r="AQ516" s="456"/>
      <c r="AR516" s="458"/>
      <c r="AS516" s="459"/>
      <c r="AT516" s="459"/>
      <c r="AU516" s="459"/>
      <c r="AV516" s="478"/>
      <c r="AW516" s="456"/>
      <c r="AX516" s="456"/>
      <c r="AY516" s="456"/>
      <c r="AZ516" s="456"/>
      <c r="BA516" s="456"/>
      <c r="BB516" s="456"/>
      <c r="BC516" s="456"/>
    </row>
    <row r="517" spans="8:55">
      <c r="H517" s="455"/>
      <c r="I517" s="455"/>
      <c r="J517" s="455"/>
      <c r="K517" s="456"/>
      <c r="L517" s="455"/>
      <c r="M517" s="455"/>
      <c r="N517" s="455"/>
      <c r="O517" s="455"/>
      <c r="P517" s="456"/>
      <c r="Q517" s="456"/>
      <c r="R517" s="457"/>
      <c r="S517" s="456"/>
      <c r="T517" s="455"/>
      <c r="U517" s="455"/>
      <c r="V517" s="455"/>
      <c r="W517" s="456"/>
      <c r="X517" s="455"/>
      <c r="Y517" s="455"/>
      <c r="Z517" s="455"/>
      <c r="AA517" s="455"/>
      <c r="AB517" s="456"/>
      <c r="AC517" s="455"/>
      <c r="AD517" s="455"/>
      <c r="AE517" s="455"/>
      <c r="AF517" s="455"/>
      <c r="AG517" s="455"/>
      <c r="AH517" s="455"/>
      <c r="AI517" s="455"/>
      <c r="AJ517" s="456"/>
      <c r="AK517" s="456"/>
      <c r="AL517" s="456"/>
      <c r="AM517" s="456"/>
      <c r="AN517" s="456"/>
      <c r="AO517" s="456"/>
      <c r="AP517" s="456"/>
      <c r="AQ517" s="456"/>
      <c r="AR517" s="458"/>
      <c r="AS517" s="459"/>
      <c r="AT517" s="459"/>
      <c r="AU517" s="459"/>
      <c r="AV517" s="478"/>
      <c r="AW517" s="456"/>
      <c r="AX517" s="456"/>
      <c r="AY517" s="456"/>
      <c r="AZ517" s="456"/>
      <c r="BA517" s="456"/>
      <c r="BB517" s="456"/>
      <c r="BC517" s="456"/>
    </row>
    <row r="518" spans="8:55">
      <c r="H518" s="455"/>
      <c r="I518" s="455"/>
      <c r="J518" s="455"/>
      <c r="K518" s="456"/>
      <c r="L518" s="455"/>
      <c r="M518" s="455"/>
      <c r="N518" s="455"/>
      <c r="O518" s="455"/>
      <c r="P518" s="456"/>
      <c r="Q518" s="456"/>
      <c r="R518" s="457"/>
      <c r="S518" s="456"/>
      <c r="T518" s="455"/>
      <c r="U518" s="455"/>
      <c r="V518" s="455"/>
      <c r="W518" s="456"/>
      <c r="X518" s="455"/>
      <c r="Y518" s="455"/>
      <c r="Z518" s="455"/>
      <c r="AA518" s="455"/>
      <c r="AB518" s="456"/>
      <c r="AC518" s="455"/>
      <c r="AD518" s="455"/>
      <c r="AE518" s="455"/>
      <c r="AF518" s="455"/>
      <c r="AG518" s="455"/>
      <c r="AH518" s="455"/>
      <c r="AI518" s="455"/>
      <c r="AJ518" s="456"/>
      <c r="AK518" s="456"/>
      <c r="AL518" s="456"/>
      <c r="AM518" s="456"/>
      <c r="AN518" s="456"/>
      <c r="AO518" s="456"/>
      <c r="AP518" s="456"/>
      <c r="AQ518" s="456"/>
      <c r="AR518" s="458"/>
      <c r="AS518" s="459"/>
      <c r="AT518" s="459"/>
      <c r="AU518" s="459"/>
      <c r="AV518" s="478"/>
      <c r="AW518" s="456"/>
      <c r="AX518" s="456"/>
      <c r="AY518" s="456"/>
      <c r="AZ518" s="456"/>
      <c r="BA518" s="456"/>
      <c r="BB518" s="456"/>
      <c r="BC518" s="456"/>
    </row>
    <row r="519" spans="8:55">
      <c r="H519" s="455"/>
      <c r="I519" s="455"/>
      <c r="J519" s="455"/>
      <c r="K519" s="456"/>
      <c r="L519" s="455"/>
      <c r="M519" s="455"/>
      <c r="N519" s="455"/>
      <c r="O519" s="455"/>
      <c r="P519" s="456"/>
      <c r="Q519" s="456"/>
      <c r="R519" s="457"/>
      <c r="S519" s="456"/>
      <c r="T519" s="455"/>
      <c r="U519" s="455"/>
      <c r="V519" s="455"/>
      <c r="W519" s="456"/>
      <c r="X519" s="455"/>
      <c r="Y519" s="455"/>
      <c r="Z519" s="455"/>
      <c r="AA519" s="455"/>
      <c r="AB519" s="456"/>
      <c r="AC519" s="455"/>
      <c r="AD519" s="455"/>
      <c r="AE519" s="455"/>
      <c r="AF519" s="455"/>
      <c r="AG519" s="455"/>
      <c r="AH519" s="455"/>
      <c r="AI519" s="455"/>
      <c r="AJ519" s="456"/>
      <c r="AK519" s="456"/>
      <c r="AL519" s="456"/>
      <c r="AM519" s="456"/>
      <c r="AN519" s="456"/>
      <c r="AO519" s="456"/>
      <c r="AP519" s="456"/>
      <c r="AQ519" s="456"/>
      <c r="AR519" s="458"/>
      <c r="AS519" s="459"/>
      <c r="AT519" s="459"/>
      <c r="AU519" s="459"/>
      <c r="AV519" s="478"/>
      <c r="AW519" s="456"/>
      <c r="AX519" s="456"/>
      <c r="AY519" s="456"/>
      <c r="AZ519" s="456"/>
      <c r="BA519" s="456"/>
      <c r="BB519" s="456"/>
      <c r="BC519" s="456"/>
    </row>
    <row r="520" spans="8:55">
      <c r="H520" s="455"/>
      <c r="I520" s="455"/>
      <c r="J520" s="455"/>
      <c r="K520" s="456"/>
      <c r="L520" s="455"/>
      <c r="M520" s="455"/>
      <c r="N520" s="455"/>
      <c r="O520" s="455"/>
      <c r="P520" s="456"/>
      <c r="Q520" s="456"/>
      <c r="R520" s="457"/>
      <c r="S520" s="456"/>
      <c r="T520" s="455"/>
      <c r="U520" s="455"/>
      <c r="V520" s="455"/>
      <c r="W520" s="456"/>
      <c r="X520" s="455"/>
      <c r="Y520" s="455"/>
      <c r="Z520" s="455"/>
      <c r="AA520" s="455"/>
      <c r="AB520" s="456"/>
      <c r="AC520" s="455"/>
      <c r="AD520" s="455"/>
      <c r="AE520" s="455"/>
      <c r="AF520" s="455"/>
      <c r="AG520" s="455"/>
      <c r="AH520" s="455"/>
      <c r="AI520" s="455"/>
      <c r="AJ520" s="456"/>
      <c r="AK520" s="456"/>
      <c r="AL520" s="456"/>
      <c r="AM520" s="456"/>
      <c r="AN520" s="456"/>
      <c r="AO520" s="456"/>
      <c r="AP520" s="456"/>
      <c r="AQ520" s="456"/>
      <c r="AR520" s="458"/>
      <c r="AS520" s="459"/>
      <c r="AT520" s="459"/>
      <c r="AU520" s="459"/>
      <c r="AV520" s="478"/>
      <c r="AW520" s="456"/>
      <c r="AX520" s="456"/>
      <c r="AY520" s="456"/>
      <c r="AZ520" s="456"/>
      <c r="BA520" s="456"/>
      <c r="BB520" s="456"/>
      <c r="BC520" s="456"/>
    </row>
    <row r="521" spans="8:55">
      <c r="H521" s="455"/>
      <c r="I521" s="455"/>
      <c r="J521" s="455"/>
      <c r="K521" s="456"/>
      <c r="L521" s="455"/>
      <c r="M521" s="455"/>
      <c r="N521" s="455"/>
      <c r="O521" s="455"/>
      <c r="P521" s="456"/>
      <c r="Q521" s="456"/>
      <c r="R521" s="457"/>
      <c r="S521" s="456"/>
      <c r="T521" s="455"/>
      <c r="U521" s="455"/>
      <c r="V521" s="455"/>
      <c r="W521" s="456"/>
      <c r="X521" s="455"/>
      <c r="Y521" s="455"/>
      <c r="Z521" s="455"/>
      <c r="AA521" s="455"/>
      <c r="AB521" s="456"/>
      <c r="AC521" s="455"/>
      <c r="AD521" s="455"/>
      <c r="AE521" s="455"/>
      <c r="AF521" s="455"/>
      <c r="AG521" s="455"/>
      <c r="AH521" s="455"/>
      <c r="AI521" s="455"/>
      <c r="AJ521" s="456"/>
      <c r="AK521" s="456"/>
      <c r="AL521" s="456"/>
      <c r="AM521" s="456"/>
      <c r="AN521" s="456"/>
      <c r="AO521" s="456"/>
      <c r="AP521" s="456"/>
      <c r="AQ521" s="456"/>
      <c r="AR521" s="458"/>
      <c r="AS521" s="459"/>
      <c r="AT521" s="459"/>
      <c r="AU521" s="459"/>
      <c r="AV521" s="478"/>
      <c r="AW521" s="456"/>
      <c r="AX521" s="456"/>
      <c r="AY521" s="456"/>
      <c r="AZ521" s="456"/>
      <c r="BA521" s="456"/>
      <c r="BB521" s="456"/>
      <c r="BC521" s="456"/>
    </row>
    <row r="522" spans="8:55">
      <c r="H522" s="455"/>
      <c r="I522" s="455"/>
      <c r="J522" s="455"/>
      <c r="K522" s="456"/>
      <c r="L522" s="455"/>
      <c r="M522" s="455"/>
      <c r="N522" s="455"/>
      <c r="O522" s="455"/>
      <c r="P522" s="456"/>
      <c r="Q522" s="456"/>
      <c r="R522" s="457"/>
      <c r="S522" s="456"/>
      <c r="T522" s="455"/>
      <c r="U522" s="455"/>
      <c r="V522" s="455"/>
      <c r="W522" s="456"/>
      <c r="X522" s="455"/>
      <c r="Y522" s="455"/>
      <c r="Z522" s="455"/>
      <c r="AA522" s="455"/>
      <c r="AB522" s="456"/>
      <c r="AC522" s="455"/>
      <c r="AD522" s="455"/>
      <c r="AE522" s="455"/>
      <c r="AF522" s="455"/>
      <c r="AG522" s="455"/>
      <c r="AH522" s="455"/>
      <c r="AI522" s="455"/>
      <c r="AJ522" s="456"/>
      <c r="AK522" s="456"/>
      <c r="AL522" s="456"/>
      <c r="AM522" s="456"/>
      <c r="AN522" s="456"/>
      <c r="AO522" s="456"/>
      <c r="AP522" s="456"/>
      <c r="AQ522" s="456"/>
      <c r="AR522" s="458"/>
      <c r="AS522" s="459"/>
      <c r="AT522" s="459"/>
      <c r="AU522" s="459"/>
      <c r="AV522" s="478"/>
      <c r="AW522" s="456"/>
      <c r="AX522" s="456"/>
      <c r="AY522" s="456"/>
      <c r="AZ522" s="456"/>
      <c r="BA522" s="456"/>
      <c r="BB522" s="456"/>
      <c r="BC522" s="456"/>
    </row>
    <row r="523" spans="8:55">
      <c r="H523" s="455"/>
      <c r="I523" s="455"/>
      <c r="J523" s="455"/>
      <c r="K523" s="456"/>
      <c r="L523" s="455"/>
      <c r="M523" s="455"/>
      <c r="N523" s="455"/>
      <c r="O523" s="455"/>
      <c r="P523" s="456"/>
      <c r="Q523" s="456"/>
      <c r="R523" s="457"/>
      <c r="S523" s="456"/>
      <c r="T523" s="455"/>
      <c r="U523" s="455"/>
      <c r="V523" s="455"/>
      <c r="W523" s="456"/>
      <c r="X523" s="455"/>
      <c r="Y523" s="455"/>
      <c r="Z523" s="455"/>
      <c r="AA523" s="455"/>
      <c r="AB523" s="456"/>
      <c r="AC523" s="455"/>
      <c r="AD523" s="455"/>
      <c r="AE523" s="455"/>
      <c r="AF523" s="455"/>
      <c r="AG523" s="455"/>
      <c r="AH523" s="455"/>
      <c r="AI523" s="455"/>
      <c r="AJ523" s="456"/>
      <c r="AK523" s="456"/>
      <c r="AL523" s="456"/>
      <c r="AM523" s="456"/>
      <c r="AN523" s="456"/>
      <c r="AO523" s="456"/>
      <c r="AP523" s="456"/>
      <c r="AQ523" s="456"/>
      <c r="AR523" s="458"/>
      <c r="AS523" s="459"/>
      <c r="AT523" s="459"/>
      <c r="AU523" s="459"/>
      <c r="AV523" s="478"/>
      <c r="AW523" s="456"/>
      <c r="AX523" s="456"/>
      <c r="AY523" s="456"/>
      <c r="AZ523" s="456"/>
      <c r="BA523" s="456"/>
      <c r="BB523" s="456"/>
      <c r="BC523" s="456"/>
    </row>
    <row r="524" spans="8:55">
      <c r="H524" s="455"/>
      <c r="I524" s="455"/>
      <c r="J524" s="455"/>
      <c r="K524" s="456"/>
      <c r="L524" s="455"/>
      <c r="M524" s="455"/>
      <c r="N524" s="455"/>
      <c r="O524" s="455"/>
      <c r="P524" s="456"/>
      <c r="Q524" s="456"/>
      <c r="R524" s="457"/>
      <c r="S524" s="456"/>
      <c r="T524" s="455"/>
      <c r="U524" s="455"/>
      <c r="V524" s="455"/>
      <c r="W524" s="456"/>
      <c r="X524" s="455"/>
      <c r="Y524" s="455"/>
      <c r="Z524" s="455"/>
      <c r="AA524" s="455"/>
      <c r="AB524" s="456"/>
      <c r="AC524" s="455"/>
      <c r="AD524" s="455"/>
      <c r="AE524" s="455"/>
      <c r="AF524" s="455"/>
      <c r="AG524" s="455"/>
      <c r="AH524" s="455"/>
      <c r="AI524" s="455"/>
      <c r="AJ524" s="456"/>
      <c r="AK524" s="456"/>
      <c r="AL524" s="456"/>
      <c r="AM524" s="456"/>
      <c r="AN524" s="456"/>
      <c r="AO524" s="456"/>
      <c r="AP524" s="456"/>
      <c r="AQ524" s="456"/>
      <c r="AR524" s="458"/>
      <c r="AS524" s="459"/>
      <c r="AT524" s="459"/>
      <c r="AU524" s="459"/>
      <c r="AV524" s="478"/>
      <c r="AW524" s="456"/>
      <c r="AX524" s="456"/>
      <c r="AY524" s="456"/>
      <c r="AZ524" s="456"/>
      <c r="BA524" s="456"/>
      <c r="BB524" s="456"/>
      <c r="BC524" s="456"/>
    </row>
    <row r="525" spans="8:55">
      <c r="H525" s="455"/>
      <c r="I525" s="455"/>
      <c r="J525" s="455"/>
      <c r="K525" s="456"/>
      <c r="L525" s="455"/>
      <c r="M525" s="455"/>
      <c r="N525" s="455"/>
      <c r="O525" s="455"/>
      <c r="P525" s="456"/>
      <c r="Q525" s="456"/>
      <c r="R525" s="457"/>
      <c r="S525" s="456"/>
      <c r="T525" s="455"/>
      <c r="U525" s="455"/>
      <c r="V525" s="455"/>
      <c r="W525" s="456"/>
      <c r="X525" s="455"/>
      <c r="Y525" s="455"/>
      <c r="Z525" s="455"/>
      <c r="AA525" s="455"/>
      <c r="AB525" s="456"/>
      <c r="AC525" s="455"/>
      <c r="AD525" s="455"/>
      <c r="AE525" s="455"/>
      <c r="AF525" s="455"/>
      <c r="AG525" s="455"/>
      <c r="AH525" s="455"/>
      <c r="AI525" s="455"/>
      <c r="AJ525" s="456"/>
      <c r="AK525" s="456"/>
      <c r="AL525" s="456"/>
      <c r="AM525" s="456"/>
      <c r="AN525" s="456"/>
      <c r="AO525" s="456"/>
      <c r="AP525" s="456"/>
      <c r="AQ525" s="456"/>
      <c r="AR525" s="458"/>
      <c r="AS525" s="459"/>
      <c r="AT525" s="459"/>
      <c r="AU525" s="459"/>
      <c r="AV525" s="478"/>
      <c r="AW525" s="456"/>
      <c r="AX525" s="456"/>
      <c r="AY525" s="456"/>
      <c r="AZ525" s="456"/>
      <c r="BA525" s="456"/>
      <c r="BB525" s="456"/>
      <c r="BC525" s="456"/>
    </row>
    <row r="526" spans="8:55">
      <c r="H526" s="455"/>
      <c r="I526" s="455"/>
      <c r="J526" s="455"/>
      <c r="K526" s="456"/>
      <c r="L526" s="455"/>
      <c r="M526" s="455"/>
      <c r="N526" s="455"/>
      <c r="O526" s="455"/>
      <c r="P526" s="456"/>
      <c r="Q526" s="456"/>
      <c r="R526" s="457"/>
      <c r="S526" s="456"/>
      <c r="T526" s="455"/>
      <c r="U526" s="455"/>
      <c r="V526" s="455"/>
      <c r="W526" s="456"/>
      <c r="X526" s="455"/>
      <c r="Y526" s="455"/>
      <c r="Z526" s="455"/>
      <c r="AA526" s="455"/>
      <c r="AB526" s="456"/>
      <c r="AC526" s="455"/>
      <c r="AD526" s="455"/>
      <c r="AE526" s="455"/>
      <c r="AF526" s="455"/>
      <c r="AG526" s="455"/>
      <c r="AH526" s="455"/>
      <c r="AI526" s="455"/>
      <c r="AJ526" s="456"/>
      <c r="AK526" s="456"/>
      <c r="AL526" s="456"/>
      <c r="AM526" s="456"/>
      <c r="AN526" s="456"/>
      <c r="AO526" s="456"/>
      <c r="AP526" s="456"/>
      <c r="AQ526" s="456"/>
      <c r="AR526" s="458"/>
      <c r="AS526" s="459"/>
      <c r="AT526" s="459"/>
      <c r="AU526" s="459"/>
      <c r="AV526" s="478"/>
      <c r="AW526" s="456"/>
      <c r="AX526" s="456"/>
      <c r="AY526" s="456"/>
      <c r="AZ526" s="456"/>
      <c r="BA526" s="456"/>
      <c r="BB526" s="456"/>
      <c r="BC526" s="456"/>
    </row>
    <row r="527" spans="8:55">
      <c r="H527" s="455"/>
      <c r="I527" s="455"/>
      <c r="J527" s="455"/>
      <c r="K527" s="456"/>
      <c r="L527" s="455"/>
      <c r="M527" s="455"/>
      <c r="N527" s="455"/>
      <c r="O527" s="455"/>
      <c r="P527" s="456"/>
      <c r="Q527" s="456"/>
      <c r="R527" s="457"/>
      <c r="S527" s="456"/>
      <c r="T527" s="455"/>
      <c r="U527" s="455"/>
      <c r="V527" s="455"/>
      <c r="W527" s="456"/>
      <c r="X527" s="455"/>
      <c r="Y527" s="455"/>
      <c r="Z527" s="455"/>
      <c r="AA527" s="455"/>
      <c r="AB527" s="456"/>
      <c r="AC527" s="455"/>
      <c r="AD527" s="455"/>
      <c r="AE527" s="455"/>
      <c r="AF527" s="455"/>
      <c r="AG527" s="455"/>
      <c r="AH527" s="455"/>
      <c r="AI527" s="455"/>
      <c r="AJ527" s="456"/>
      <c r="AK527" s="456"/>
      <c r="AL527" s="456"/>
      <c r="AM527" s="456"/>
      <c r="AN527" s="456"/>
      <c r="AO527" s="456"/>
      <c r="AP527" s="456"/>
      <c r="AQ527" s="456"/>
      <c r="AR527" s="458"/>
      <c r="AS527" s="459"/>
      <c r="AT527" s="459"/>
      <c r="AU527" s="459"/>
      <c r="AV527" s="478"/>
      <c r="AW527" s="456"/>
      <c r="AX527" s="456"/>
      <c r="AY527" s="456"/>
      <c r="AZ527" s="456"/>
      <c r="BA527" s="456"/>
      <c r="BB527" s="456"/>
      <c r="BC527" s="456"/>
    </row>
    <row r="528" spans="8:55">
      <c r="H528" s="455"/>
      <c r="I528" s="455"/>
      <c r="J528" s="455"/>
      <c r="K528" s="456"/>
      <c r="L528" s="455"/>
      <c r="M528" s="455"/>
      <c r="N528" s="455"/>
      <c r="O528" s="455"/>
      <c r="P528" s="456"/>
      <c r="Q528" s="456"/>
      <c r="R528" s="457"/>
      <c r="S528" s="456"/>
      <c r="T528" s="455"/>
      <c r="U528" s="455"/>
      <c r="V528" s="455"/>
      <c r="W528" s="456"/>
      <c r="X528" s="455"/>
      <c r="Y528" s="455"/>
      <c r="Z528" s="455"/>
      <c r="AA528" s="455"/>
      <c r="AB528" s="456"/>
      <c r="AC528" s="455"/>
      <c r="AD528" s="455"/>
      <c r="AE528" s="455"/>
      <c r="AF528" s="455"/>
      <c r="AG528" s="455"/>
      <c r="AH528" s="455"/>
      <c r="AI528" s="455"/>
      <c r="AJ528" s="456"/>
      <c r="AK528" s="456"/>
      <c r="AL528" s="456"/>
      <c r="AM528" s="456"/>
      <c r="AN528" s="456"/>
      <c r="AO528" s="456"/>
      <c r="AP528" s="456"/>
      <c r="AQ528" s="456"/>
      <c r="AR528" s="458"/>
      <c r="AS528" s="459"/>
      <c r="AT528" s="459"/>
      <c r="AU528" s="459"/>
      <c r="AV528" s="478"/>
      <c r="AW528" s="456"/>
      <c r="AX528" s="456"/>
      <c r="AY528" s="456"/>
      <c r="AZ528" s="456"/>
      <c r="BA528" s="456"/>
      <c r="BB528" s="456"/>
      <c r="BC528" s="456"/>
    </row>
    <row r="529" spans="8:55">
      <c r="H529" s="455"/>
      <c r="I529" s="455"/>
      <c r="J529" s="455"/>
      <c r="K529" s="456"/>
      <c r="L529" s="455"/>
      <c r="M529" s="455"/>
      <c r="N529" s="455"/>
      <c r="O529" s="455"/>
      <c r="P529" s="456"/>
      <c r="Q529" s="456"/>
      <c r="R529" s="457"/>
      <c r="S529" s="456"/>
      <c r="T529" s="455"/>
      <c r="U529" s="455"/>
      <c r="V529" s="455"/>
      <c r="W529" s="456"/>
      <c r="X529" s="455"/>
      <c r="Y529" s="455"/>
      <c r="Z529" s="455"/>
      <c r="AA529" s="455"/>
      <c r="AB529" s="456"/>
      <c r="AC529" s="455"/>
      <c r="AD529" s="455"/>
      <c r="AE529" s="455"/>
      <c r="AF529" s="455"/>
      <c r="AG529" s="455"/>
      <c r="AH529" s="455"/>
      <c r="AI529" s="455"/>
      <c r="AJ529" s="456"/>
      <c r="AK529" s="456"/>
      <c r="AL529" s="456"/>
      <c r="AM529" s="456"/>
      <c r="AN529" s="456"/>
      <c r="AO529" s="456"/>
      <c r="AP529" s="456"/>
      <c r="AQ529" s="456"/>
      <c r="AR529" s="458"/>
      <c r="AS529" s="459"/>
      <c r="AT529" s="459"/>
      <c r="AU529" s="459"/>
      <c r="AV529" s="478"/>
      <c r="AW529" s="456"/>
      <c r="AX529" s="456"/>
      <c r="AY529" s="456"/>
      <c r="AZ529" s="456"/>
      <c r="BA529" s="456"/>
      <c r="BB529" s="456"/>
      <c r="BC529" s="456"/>
    </row>
    <row r="530" spans="8:55">
      <c r="H530" s="455"/>
      <c r="I530" s="455"/>
      <c r="J530" s="455"/>
      <c r="K530" s="456"/>
      <c r="L530" s="455"/>
      <c r="M530" s="455"/>
      <c r="N530" s="455"/>
      <c r="O530" s="455"/>
      <c r="P530" s="456"/>
      <c r="Q530" s="456"/>
      <c r="R530" s="457"/>
      <c r="S530" s="456"/>
      <c r="T530" s="455"/>
      <c r="U530" s="455"/>
      <c r="V530" s="455"/>
      <c r="W530" s="456"/>
      <c r="X530" s="455"/>
      <c r="Y530" s="455"/>
      <c r="Z530" s="455"/>
      <c r="AA530" s="455"/>
      <c r="AB530" s="456"/>
      <c r="AC530" s="455"/>
      <c r="AD530" s="455"/>
      <c r="AE530" s="455"/>
      <c r="AF530" s="455"/>
      <c r="AG530" s="455"/>
      <c r="AH530" s="455"/>
      <c r="AI530" s="455"/>
      <c r="AJ530" s="456"/>
      <c r="AK530" s="456"/>
      <c r="AL530" s="456"/>
      <c r="AM530" s="456"/>
      <c r="AN530" s="456"/>
      <c r="AO530" s="456"/>
      <c r="AP530" s="456"/>
      <c r="AQ530" s="456"/>
      <c r="AR530" s="458"/>
      <c r="AS530" s="459"/>
      <c r="AT530" s="459"/>
      <c r="AU530" s="459"/>
      <c r="AV530" s="478"/>
      <c r="AW530" s="456"/>
      <c r="AX530" s="456"/>
      <c r="AY530" s="456"/>
      <c r="AZ530" s="456"/>
      <c r="BA530" s="456"/>
      <c r="BB530" s="456"/>
      <c r="BC530" s="456"/>
    </row>
    <row r="531" spans="8:55">
      <c r="H531" s="455"/>
      <c r="I531" s="455"/>
      <c r="J531" s="455"/>
      <c r="K531" s="456"/>
      <c r="L531" s="455"/>
      <c r="M531" s="455"/>
      <c r="N531" s="455"/>
      <c r="O531" s="455"/>
      <c r="P531" s="456"/>
      <c r="Q531" s="456"/>
      <c r="R531" s="457"/>
      <c r="S531" s="456"/>
      <c r="T531" s="455"/>
      <c r="U531" s="455"/>
      <c r="V531" s="455"/>
      <c r="W531" s="456"/>
      <c r="X531" s="455"/>
      <c r="Y531" s="455"/>
      <c r="Z531" s="455"/>
      <c r="AA531" s="455"/>
      <c r="AB531" s="456"/>
      <c r="AC531" s="455"/>
      <c r="AD531" s="455"/>
      <c r="AE531" s="455"/>
      <c r="AF531" s="455"/>
      <c r="AG531" s="455"/>
      <c r="AH531" s="455"/>
      <c r="AI531" s="455"/>
      <c r="AJ531" s="456"/>
      <c r="AK531" s="456"/>
      <c r="AL531" s="456"/>
      <c r="AM531" s="456"/>
      <c r="AN531" s="456"/>
      <c r="AO531" s="456"/>
      <c r="AP531" s="456"/>
      <c r="AQ531" s="456"/>
      <c r="AR531" s="458"/>
      <c r="AS531" s="459"/>
      <c r="AT531" s="459"/>
      <c r="AU531" s="459"/>
      <c r="AV531" s="478"/>
      <c r="AW531" s="456"/>
      <c r="AX531" s="456"/>
      <c r="AY531" s="456"/>
      <c r="AZ531" s="456"/>
      <c r="BA531" s="456"/>
      <c r="BB531" s="456"/>
      <c r="BC531" s="456"/>
    </row>
    <row r="532" spans="8:55">
      <c r="H532" s="455"/>
      <c r="I532" s="455"/>
      <c r="J532" s="455"/>
      <c r="K532" s="456"/>
      <c r="L532" s="455"/>
      <c r="M532" s="455"/>
      <c r="N532" s="455"/>
      <c r="O532" s="455"/>
      <c r="P532" s="456"/>
      <c r="Q532" s="456"/>
      <c r="R532" s="457"/>
      <c r="S532" s="456"/>
      <c r="T532" s="455"/>
      <c r="U532" s="455"/>
      <c r="V532" s="455"/>
      <c r="W532" s="456"/>
      <c r="X532" s="455"/>
      <c r="Y532" s="455"/>
      <c r="Z532" s="455"/>
      <c r="AA532" s="455"/>
      <c r="AB532" s="456"/>
      <c r="AC532" s="455"/>
      <c r="AD532" s="455"/>
      <c r="AE532" s="455"/>
      <c r="AF532" s="455"/>
      <c r="AG532" s="455"/>
      <c r="AH532" s="455"/>
      <c r="AI532" s="455"/>
      <c r="AJ532" s="456"/>
      <c r="AK532" s="456"/>
      <c r="AL532" s="456"/>
      <c r="AM532" s="456"/>
      <c r="AN532" s="456"/>
      <c r="AO532" s="456"/>
      <c r="AP532" s="456"/>
      <c r="AQ532" s="456"/>
      <c r="AR532" s="458"/>
      <c r="AS532" s="459"/>
      <c r="AT532" s="459"/>
      <c r="AU532" s="459"/>
      <c r="AV532" s="478"/>
      <c r="AW532" s="456"/>
      <c r="AX532" s="456"/>
      <c r="AY532" s="456"/>
      <c r="AZ532" s="456"/>
      <c r="BA532" s="456"/>
      <c r="BB532" s="456"/>
      <c r="BC532" s="456"/>
    </row>
    <row r="533" spans="8:55">
      <c r="H533" s="455"/>
      <c r="I533" s="455"/>
      <c r="J533" s="455"/>
      <c r="K533" s="456"/>
      <c r="L533" s="455"/>
      <c r="M533" s="455"/>
      <c r="N533" s="455"/>
      <c r="O533" s="455"/>
      <c r="P533" s="456"/>
      <c r="Q533" s="456"/>
      <c r="R533" s="457"/>
      <c r="S533" s="456"/>
      <c r="T533" s="455"/>
      <c r="U533" s="455"/>
      <c r="V533" s="455"/>
      <c r="W533" s="456"/>
      <c r="X533" s="455"/>
      <c r="Y533" s="455"/>
      <c r="Z533" s="455"/>
      <c r="AA533" s="455"/>
      <c r="AB533" s="456"/>
      <c r="AC533" s="455"/>
      <c r="AD533" s="455"/>
      <c r="AE533" s="455"/>
      <c r="AF533" s="455"/>
      <c r="AG533" s="455"/>
      <c r="AH533" s="455"/>
      <c r="AI533" s="455"/>
      <c r="AJ533" s="456"/>
      <c r="AK533" s="456"/>
      <c r="AL533" s="456"/>
      <c r="AM533" s="456"/>
      <c r="AN533" s="456"/>
      <c r="AO533" s="456"/>
      <c r="AP533" s="456"/>
      <c r="AQ533" s="456"/>
      <c r="AR533" s="458"/>
      <c r="AS533" s="459"/>
      <c r="AT533" s="459"/>
      <c r="AU533" s="459"/>
      <c r="AV533" s="478"/>
      <c r="AW533" s="456"/>
      <c r="AX533" s="456"/>
      <c r="AY533" s="456"/>
      <c r="AZ533" s="456"/>
      <c r="BA533" s="456"/>
      <c r="BB533" s="456"/>
      <c r="BC533" s="456"/>
    </row>
    <row r="534" spans="8:55">
      <c r="H534" s="455"/>
      <c r="I534" s="455"/>
      <c r="J534" s="455"/>
      <c r="K534" s="456"/>
      <c r="L534" s="455"/>
      <c r="M534" s="455"/>
      <c r="N534" s="455"/>
      <c r="O534" s="455"/>
      <c r="P534" s="456"/>
      <c r="Q534" s="456"/>
      <c r="R534" s="457"/>
      <c r="S534" s="456"/>
      <c r="T534" s="455"/>
      <c r="U534" s="455"/>
      <c r="V534" s="455"/>
      <c r="W534" s="456"/>
      <c r="X534" s="455"/>
      <c r="Y534" s="455"/>
      <c r="Z534" s="455"/>
      <c r="AA534" s="455"/>
      <c r="AB534" s="456"/>
      <c r="AC534" s="455"/>
      <c r="AD534" s="455"/>
      <c r="AE534" s="455"/>
      <c r="AF534" s="455"/>
      <c r="AG534" s="455"/>
      <c r="AH534" s="455"/>
      <c r="AI534" s="455"/>
      <c r="AJ534" s="456"/>
      <c r="AK534" s="456"/>
      <c r="AL534" s="456"/>
      <c r="AM534" s="456"/>
      <c r="AN534" s="456"/>
      <c r="AO534" s="456"/>
      <c r="AP534" s="456"/>
      <c r="AQ534" s="456"/>
      <c r="AR534" s="458"/>
      <c r="AS534" s="459"/>
      <c r="AT534" s="459"/>
      <c r="AU534" s="459"/>
      <c r="AV534" s="478"/>
      <c r="AW534" s="456"/>
      <c r="AX534" s="456"/>
      <c r="AY534" s="456"/>
      <c r="AZ534" s="456"/>
      <c r="BA534" s="456"/>
      <c r="BB534" s="456"/>
      <c r="BC534" s="456"/>
    </row>
    <row r="535" spans="8:55">
      <c r="H535" s="455"/>
      <c r="I535" s="455"/>
      <c r="J535" s="455"/>
      <c r="K535" s="456"/>
      <c r="L535" s="455"/>
      <c r="M535" s="455"/>
      <c r="N535" s="455"/>
      <c r="O535" s="455"/>
      <c r="P535" s="456"/>
      <c r="Q535" s="456"/>
      <c r="R535" s="457"/>
      <c r="S535" s="456"/>
      <c r="T535" s="455"/>
      <c r="U535" s="455"/>
      <c r="V535" s="455"/>
      <c r="W535" s="456"/>
      <c r="X535" s="455"/>
      <c r="Y535" s="455"/>
      <c r="Z535" s="455"/>
      <c r="AA535" s="455"/>
      <c r="AB535" s="456"/>
      <c r="AC535" s="455"/>
      <c r="AD535" s="455"/>
      <c r="AE535" s="455"/>
      <c r="AF535" s="455"/>
      <c r="AG535" s="455"/>
      <c r="AH535" s="455"/>
      <c r="AI535" s="455"/>
      <c r="AJ535" s="456"/>
      <c r="AK535" s="456"/>
      <c r="AL535" s="456"/>
      <c r="AM535" s="456"/>
      <c r="AN535" s="456"/>
      <c r="AO535" s="456"/>
      <c r="AP535" s="456"/>
      <c r="AQ535" s="456"/>
      <c r="AR535" s="458"/>
      <c r="AS535" s="459"/>
      <c r="AT535" s="459"/>
      <c r="AU535" s="459"/>
      <c r="AV535" s="478"/>
      <c r="AW535" s="456"/>
      <c r="AX535" s="456"/>
      <c r="AY535" s="456"/>
      <c r="AZ535" s="456"/>
      <c r="BA535" s="456"/>
      <c r="BB535" s="456"/>
      <c r="BC535" s="456"/>
    </row>
    <row r="536" spans="8:55">
      <c r="H536" s="455"/>
      <c r="I536" s="455"/>
      <c r="J536" s="455"/>
      <c r="K536" s="456"/>
      <c r="L536" s="455"/>
      <c r="M536" s="455"/>
      <c r="N536" s="455"/>
      <c r="O536" s="455"/>
      <c r="P536" s="456"/>
      <c r="Q536" s="456"/>
      <c r="R536" s="457"/>
      <c r="S536" s="456"/>
      <c r="T536" s="455"/>
      <c r="U536" s="455"/>
      <c r="V536" s="455"/>
      <c r="W536" s="456"/>
      <c r="X536" s="455"/>
      <c r="Y536" s="455"/>
      <c r="Z536" s="455"/>
      <c r="AA536" s="455"/>
      <c r="AB536" s="456"/>
      <c r="AC536" s="455"/>
      <c r="AD536" s="455"/>
      <c r="AE536" s="455"/>
      <c r="AF536" s="455"/>
      <c r="AG536" s="455"/>
      <c r="AH536" s="455"/>
      <c r="AI536" s="455"/>
      <c r="AJ536" s="456"/>
      <c r="AK536" s="456"/>
      <c r="AL536" s="456"/>
      <c r="AM536" s="456"/>
      <c r="AN536" s="456"/>
      <c r="AO536" s="456"/>
      <c r="AP536" s="456"/>
      <c r="AQ536" s="456"/>
      <c r="AR536" s="458"/>
      <c r="AS536" s="459"/>
      <c r="AT536" s="459"/>
      <c r="AU536" s="459"/>
      <c r="AV536" s="478"/>
      <c r="AW536" s="456"/>
      <c r="AX536" s="456"/>
      <c r="AY536" s="456"/>
      <c r="AZ536" s="456"/>
      <c r="BA536" s="456"/>
      <c r="BB536" s="456"/>
      <c r="BC536" s="456"/>
    </row>
    <row r="537" spans="8:55">
      <c r="H537" s="455"/>
      <c r="I537" s="455"/>
      <c r="J537" s="455"/>
      <c r="K537" s="456"/>
      <c r="L537" s="455"/>
      <c r="M537" s="455"/>
      <c r="N537" s="455"/>
      <c r="O537" s="455"/>
      <c r="P537" s="456"/>
      <c r="Q537" s="456"/>
      <c r="R537" s="457"/>
      <c r="S537" s="456"/>
      <c r="T537" s="455"/>
      <c r="U537" s="455"/>
      <c r="V537" s="455"/>
      <c r="W537" s="456"/>
      <c r="X537" s="455"/>
      <c r="Y537" s="455"/>
      <c r="Z537" s="455"/>
      <c r="AA537" s="455"/>
      <c r="AB537" s="456"/>
      <c r="AC537" s="455"/>
      <c r="AD537" s="455"/>
      <c r="AE537" s="455"/>
      <c r="AF537" s="455"/>
      <c r="AG537" s="455"/>
      <c r="AH537" s="455"/>
      <c r="AI537" s="455"/>
      <c r="AJ537" s="456"/>
      <c r="AK537" s="456"/>
      <c r="AL537" s="456"/>
      <c r="AM537" s="456"/>
      <c r="AN537" s="456"/>
      <c r="AO537" s="456"/>
      <c r="AP537" s="456"/>
      <c r="AQ537" s="456"/>
      <c r="AR537" s="458"/>
      <c r="AS537" s="459"/>
      <c r="AT537" s="459"/>
      <c r="AU537" s="459"/>
      <c r="AV537" s="478"/>
      <c r="AW537" s="456"/>
      <c r="AX537" s="456"/>
      <c r="AY537" s="456"/>
      <c r="AZ537" s="456"/>
      <c r="BA537" s="456"/>
      <c r="BB537" s="456"/>
      <c r="BC537" s="456"/>
    </row>
    <row r="538" spans="8:55">
      <c r="H538" s="455"/>
      <c r="I538" s="455"/>
      <c r="J538" s="455"/>
      <c r="K538" s="456"/>
      <c r="L538" s="455"/>
      <c r="M538" s="455"/>
      <c r="N538" s="455"/>
      <c r="O538" s="455"/>
      <c r="P538" s="456"/>
      <c r="Q538" s="456"/>
      <c r="R538" s="457"/>
      <c r="S538" s="456"/>
      <c r="T538" s="455"/>
      <c r="U538" s="455"/>
      <c r="V538" s="455"/>
      <c r="W538" s="456"/>
      <c r="X538" s="455"/>
      <c r="Y538" s="455"/>
      <c r="Z538" s="455"/>
      <c r="AA538" s="455"/>
      <c r="AB538" s="456"/>
      <c r="AC538" s="455"/>
      <c r="AD538" s="455"/>
      <c r="AE538" s="455"/>
      <c r="AF538" s="455"/>
      <c r="AG538" s="455"/>
      <c r="AH538" s="455"/>
      <c r="AI538" s="455"/>
      <c r="AJ538" s="456"/>
      <c r="AK538" s="456"/>
      <c r="AL538" s="456"/>
      <c r="AM538" s="456"/>
      <c r="AN538" s="456"/>
      <c r="AO538" s="456"/>
      <c r="AP538" s="456"/>
      <c r="AQ538" s="456"/>
      <c r="AR538" s="458"/>
      <c r="AS538" s="459"/>
      <c r="AT538" s="459"/>
      <c r="AU538" s="459"/>
      <c r="AV538" s="478"/>
      <c r="AW538" s="456"/>
      <c r="AX538" s="456"/>
      <c r="AY538" s="456"/>
      <c r="AZ538" s="456"/>
      <c r="BA538" s="456"/>
      <c r="BB538" s="456"/>
      <c r="BC538" s="456"/>
    </row>
    <row r="539" spans="8:55">
      <c r="H539" s="455"/>
      <c r="I539" s="455"/>
      <c r="J539" s="455"/>
      <c r="K539" s="456"/>
      <c r="L539" s="455"/>
      <c r="M539" s="455"/>
      <c r="N539" s="455"/>
      <c r="O539" s="455"/>
      <c r="P539" s="456"/>
      <c r="Q539" s="456"/>
      <c r="R539" s="457"/>
      <c r="S539" s="456"/>
      <c r="T539" s="455"/>
      <c r="U539" s="455"/>
      <c r="V539" s="455"/>
      <c r="W539" s="456"/>
      <c r="X539" s="455"/>
      <c r="Y539" s="455"/>
      <c r="Z539" s="455"/>
      <c r="AA539" s="455"/>
      <c r="AB539" s="456"/>
      <c r="AC539" s="455"/>
      <c r="AD539" s="455"/>
      <c r="AE539" s="455"/>
      <c r="AF539" s="455"/>
      <c r="AG539" s="455"/>
      <c r="AH539" s="455"/>
      <c r="AI539" s="455"/>
      <c r="AJ539" s="456"/>
      <c r="AK539" s="456"/>
      <c r="AL539" s="456"/>
      <c r="AM539" s="456"/>
      <c r="AN539" s="456"/>
      <c r="AO539" s="456"/>
      <c r="AP539" s="456"/>
      <c r="AQ539" s="456"/>
      <c r="AR539" s="458"/>
      <c r="AS539" s="459"/>
      <c r="AT539" s="459"/>
      <c r="AU539" s="459"/>
      <c r="AV539" s="478"/>
      <c r="AW539" s="456"/>
      <c r="AX539" s="456"/>
      <c r="AY539" s="456"/>
      <c r="AZ539" s="456"/>
      <c r="BA539" s="456"/>
      <c r="BB539" s="456"/>
      <c r="BC539" s="456"/>
    </row>
    <row r="540" spans="8:55">
      <c r="H540" s="455"/>
      <c r="I540" s="455"/>
      <c r="J540" s="455"/>
      <c r="K540" s="456"/>
      <c r="L540" s="455"/>
      <c r="M540" s="455"/>
      <c r="N540" s="455"/>
      <c r="O540" s="455"/>
      <c r="P540" s="456"/>
      <c r="Q540" s="456"/>
      <c r="R540" s="457"/>
      <c r="S540" s="456"/>
      <c r="T540" s="455"/>
      <c r="U540" s="455"/>
      <c r="V540" s="455"/>
      <c r="W540" s="456"/>
      <c r="X540" s="455"/>
      <c r="Y540" s="455"/>
      <c r="Z540" s="455"/>
      <c r="AA540" s="455"/>
      <c r="AB540" s="456"/>
      <c r="AC540" s="455"/>
      <c r="AD540" s="455"/>
      <c r="AE540" s="455"/>
      <c r="AF540" s="455"/>
      <c r="AG540" s="455"/>
      <c r="AH540" s="455"/>
      <c r="AI540" s="455"/>
      <c r="AJ540" s="456"/>
      <c r="AK540" s="456"/>
      <c r="AL540" s="456"/>
      <c r="AM540" s="456"/>
      <c r="AN540" s="456"/>
      <c r="AO540" s="456"/>
      <c r="AP540" s="456"/>
      <c r="AQ540" s="456"/>
      <c r="AR540" s="458"/>
      <c r="AS540" s="459"/>
      <c r="AT540" s="459"/>
      <c r="AU540" s="459"/>
      <c r="AV540" s="478"/>
      <c r="AW540" s="456"/>
      <c r="AX540" s="456"/>
      <c r="AY540" s="456"/>
      <c r="AZ540" s="456"/>
      <c r="BA540" s="456"/>
      <c r="BB540" s="456"/>
      <c r="BC540" s="456"/>
    </row>
    <row r="541" spans="8:55">
      <c r="H541" s="455"/>
      <c r="I541" s="455"/>
      <c r="J541" s="455"/>
      <c r="K541" s="456"/>
      <c r="L541" s="455"/>
      <c r="M541" s="455"/>
      <c r="N541" s="455"/>
      <c r="O541" s="455"/>
      <c r="P541" s="456"/>
      <c r="Q541" s="456"/>
      <c r="R541" s="457"/>
      <c r="S541" s="456"/>
      <c r="T541" s="455"/>
      <c r="U541" s="455"/>
      <c r="V541" s="455"/>
      <c r="W541" s="456"/>
      <c r="X541" s="455"/>
      <c r="Y541" s="455"/>
      <c r="Z541" s="455"/>
      <c r="AA541" s="455"/>
      <c r="AB541" s="456"/>
      <c r="AC541" s="455"/>
      <c r="AD541" s="455"/>
      <c r="AE541" s="455"/>
      <c r="AF541" s="455"/>
      <c r="AG541" s="455"/>
      <c r="AH541" s="455"/>
      <c r="AI541" s="455"/>
      <c r="AJ541" s="456"/>
      <c r="AK541" s="456"/>
      <c r="AL541" s="456"/>
      <c r="AM541" s="456"/>
      <c r="AN541" s="456"/>
      <c r="AO541" s="456"/>
      <c r="AP541" s="456"/>
      <c r="AQ541" s="456"/>
      <c r="AR541" s="458"/>
      <c r="AS541" s="459"/>
      <c r="AT541" s="459"/>
      <c r="AU541" s="459"/>
      <c r="AV541" s="478"/>
      <c r="AW541" s="456"/>
      <c r="AX541" s="456"/>
      <c r="AY541" s="456"/>
      <c r="AZ541" s="456"/>
      <c r="BA541" s="456"/>
      <c r="BB541" s="456"/>
      <c r="BC541" s="456"/>
    </row>
    <row r="542" spans="8:55">
      <c r="H542" s="455"/>
      <c r="I542" s="455"/>
      <c r="J542" s="455"/>
      <c r="K542" s="456"/>
      <c r="L542" s="455"/>
      <c r="M542" s="455"/>
      <c r="N542" s="455"/>
      <c r="O542" s="455"/>
      <c r="P542" s="456"/>
      <c r="Q542" s="456"/>
      <c r="R542" s="457"/>
      <c r="S542" s="456"/>
      <c r="T542" s="455"/>
      <c r="U542" s="455"/>
      <c r="V542" s="455"/>
      <c r="W542" s="456"/>
      <c r="X542" s="455"/>
      <c r="Y542" s="455"/>
      <c r="Z542" s="455"/>
      <c r="AA542" s="455"/>
      <c r="AB542" s="456"/>
      <c r="AC542" s="455"/>
      <c r="AD542" s="455"/>
      <c r="AE542" s="455"/>
      <c r="AF542" s="455"/>
      <c r="AG542" s="455"/>
      <c r="AH542" s="455"/>
      <c r="AI542" s="455"/>
      <c r="AJ542" s="456"/>
      <c r="AK542" s="456"/>
      <c r="AL542" s="456"/>
      <c r="AM542" s="456"/>
      <c r="AN542" s="456"/>
      <c r="AO542" s="456"/>
      <c r="AP542" s="456"/>
      <c r="AQ542" s="456"/>
      <c r="AR542" s="458"/>
      <c r="AS542" s="459"/>
      <c r="AT542" s="459"/>
      <c r="AU542" s="459"/>
      <c r="AV542" s="478"/>
      <c r="AW542" s="456"/>
      <c r="AX542" s="456"/>
      <c r="AY542" s="456"/>
      <c r="AZ542" s="456"/>
      <c r="BA542" s="456"/>
      <c r="BB542" s="456"/>
      <c r="BC542" s="456"/>
    </row>
    <row r="543" spans="8:55">
      <c r="H543" s="455"/>
      <c r="I543" s="455"/>
      <c r="J543" s="455"/>
      <c r="K543" s="456"/>
      <c r="L543" s="455"/>
      <c r="M543" s="455"/>
      <c r="N543" s="455"/>
      <c r="O543" s="455"/>
      <c r="P543" s="456"/>
      <c r="Q543" s="456"/>
      <c r="R543" s="457"/>
      <c r="S543" s="456"/>
      <c r="T543" s="455"/>
      <c r="U543" s="455"/>
      <c r="V543" s="455"/>
      <c r="W543" s="456"/>
      <c r="X543" s="455"/>
      <c r="Y543" s="455"/>
      <c r="Z543" s="455"/>
      <c r="AA543" s="455"/>
      <c r="AB543" s="456"/>
      <c r="AC543" s="455"/>
      <c r="AD543" s="455"/>
      <c r="AE543" s="455"/>
      <c r="AF543" s="455"/>
      <c r="AG543" s="455"/>
      <c r="AH543" s="455"/>
      <c r="AI543" s="455"/>
      <c r="AJ543" s="456"/>
      <c r="AK543" s="456"/>
      <c r="AL543" s="456"/>
      <c r="AM543" s="456"/>
      <c r="AN543" s="456"/>
      <c r="AO543" s="456"/>
      <c r="AP543" s="456"/>
      <c r="AQ543" s="456"/>
      <c r="AR543" s="458"/>
      <c r="AS543" s="459"/>
      <c r="AT543" s="459"/>
      <c r="AU543" s="459"/>
      <c r="AV543" s="478"/>
      <c r="AW543" s="456"/>
      <c r="AX543" s="456"/>
      <c r="AY543" s="456"/>
      <c r="AZ543" s="456"/>
      <c r="BA543" s="456"/>
      <c r="BB543" s="456"/>
      <c r="BC543" s="456"/>
    </row>
    <row r="544" spans="8:55">
      <c r="H544" s="455"/>
      <c r="I544" s="455"/>
      <c r="J544" s="455"/>
      <c r="K544" s="456"/>
      <c r="L544" s="455"/>
      <c r="M544" s="455"/>
      <c r="N544" s="455"/>
      <c r="O544" s="455"/>
      <c r="P544" s="456"/>
      <c r="Q544" s="456"/>
      <c r="R544" s="457"/>
      <c r="S544" s="456"/>
      <c r="T544" s="455"/>
      <c r="U544" s="455"/>
      <c r="V544" s="455"/>
      <c r="W544" s="456"/>
      <c r="X544" s="455"/>
      <c r="Y544" s="455"/>
      <c r="Z544" s="455"/>
      <c r="AA544" s="455"/>
      <c r="AB544" s="456"/>
      <c r="AC544" s="455"/>
      <c r="AD544" s="455"/>
      <c r="AE544" s="455"/>
      <c r="AF544" s="455"/>
      <c r="AG544" s="455"/>
      <c r="AH544" s="455"/>
      <c r="AI544" s="455"/>
      <c r="AJ544" s="456"/>
      <c r="AK544" s="456"/>
      <c r="AL544" s="456"/>
      <c r="AM544" s="456"/>
      <c r="AN544" s="456"/>
      <c r="AO544" s="456"/>
      <c r="AP544" s="456"/>
      <c r="AQ544" s="456"/>
      <c r="AR544" s="458"/>
      <c r="AS544" s="459"/>
      <c r="AT544" s="459"/>
      <c r="AU544" s="459"/>
      <c r="AV544" s="478"/>
      <c r="AW544" s="456"/>
      <c r="AX544" s="456"/>
      <c r="AY544" s="456"/>
      <c r="AZ544" s="456"/>
      <c r="BA544" s="456"/>
      <c r="BB544" s="456"/>
      <c r="BC544" s="456"/>
    </row>
    <row r="545" spans="8:55">
      <c r="H545" s="455"/>
      <c r="I545" s="455"/>
      <c r="J545" s="455"/>
      <c r="K545" s="456"/>
      <c r="L545" s="455"/>
      <c r="M545" s="455"/>
      <c r="N545" s="455"/>
      <c r="O545" s="455"/>
      <c r="P545" s="456"/>
      <c r="Q545" s="456"/>
      <c r="R545" s="457"/>
      <c r="S545" s="456"/>
      <c r="T545" s="455"/>
      <c r="U545" s="455"/>
      <c r="V545" s="455"/>
      <c r="W545" s="456"/>
      <c r="X545" s="455"/>
      <c r="Y545" s="455"/>
      <c r="Z545" s="455"/>
      <c r="AA545" s="455"/>
      <c r="AB545" s="456"/>
      <c r="AC545" s="455"/>
      <c r="AD545" s="455"/>
      <c r="AE545" s="455"/>
      <c r="AF545" s="455"/>
      <c r="AG545" s="455"/>
      <c r="AH545" s="455"/>
      <c r="AI545" s="455"/>
      <c r="AJ545" s="456"/>
      <c r="AK545" s="456"/>
      <c r="AL545" s="456"/>
      <c r="AM545" s="456"/>
      <c r="AN545" s="456"/>
      <c r="AO545" s="456"/>
      <c r="AP545" s="456"/>
      <c r="AQ545" s="456"/>
      <c r="AR545" s="458"/>
      <c r="AS545" s="459"/>
      <c r="AT545" s="459"/>
      <c r="AU545" s="459"/>
      <c r="AV545" s="478"/>
      <c r="AW545" s="456"/>
      <c r="AX545" s="456"/>
      <c r="AY545" s="456"/>
      <c r="AZ545" s="456"/>
      <c r="BA545" s="456"/>
      <c r="BB545" s="456"/>
      <c r="BC545" s="456"/>
    </row>
    <row r="546" spans="8:55">
      <c r="H546" s="455"/>
      <c r="I546" s="455"/>
      <c r="J546" s="455"/>
      <c r="K546" s="456"/>
      <c r="L546" s="455"/>
      <c r="M546" s="455"/>
      <c r="N546" s="455"/>
      <c r="O546" s="455"/>
      <c r="P546" s="456"/>
      <c r="Q546" s="456"/>
      <c r="R546" s="457"/>
      <c r="S546" s="456"/>
      <c r="T546" s="455"/>
      <c r="U546" s="455"/>
      <c r="V546" s="455"/>
      <c r="W546" s="456"/>
      <c r="X546" s="455"/>
      <c r="Y546" s="455"/>
      <c r="Z546" s="455"/>
      <c r="AA546" s="455"/>
      <c r="AB546" s="456"/>
      <c r="AC546" s="455"/>
      <c r="AD546" s="455"/>
      <c r="AE546" s="455"/>
      <c r="AF546" s="455"/>
      <c r="AG546" s="455"/>
      <c r="AH546" s="455"/>
      <c r="AI546" s="455"/>
      <c r="AJ546" s="456"/>
      <c r="AK546" s="456"/>
      <c r="AL546" s="456"/>
      <c r="AM546" s="456"/>
      <c r="AN546" s="456"/>
      <c r="AO546" s="456"/>
      <c r="AP546" s="456"/>
      <c r="AQ546" s="456"/>
      <c r="AR546" s="458"/>
      <c r="AS546" s="459"/>
      <c r="AT546" s="459"/>
      <c r="AU546" s="459"/>
      <c r="AV546" s="478"/>
      <c r="AW546" s="456"/>
      <c r="AX546" s="456"/>
      <c r="AY546" s="456"/>
      <c r="AZ546" s="456"/>
      <c r="BA546" s="456"/>
      <c r="BB546" s="456"/>
      <c r="BC546" s="456"/>
    </row>
    <row r="547" spans="8:55">
      <c r="H547" s="455"/>
      <c r="I547" s="455"/>
      <c r="J547" s="455"/>
      <c r="K547" s="456"/>
      <c r="L547" s="455"/>
      <c r="M547" s="455"/>
      <c r="N547" s="455"/>
      <c r="O547" s="455"/>
      <c r="P547" s="456"/>
      <c r="Q547" s="456"/>
      <c r="R547" s="457"/>
      <c r="S547" s="456"/>
      <c r="T547" s="455"/>
      <c r="U547" s="455"/>
      <c r="V547" s="455"/>
      <c r="W547" s="456"/>
      <c r="X547" s="455"/>
      <c r="Y547" s="455"/>
      <c r="Z547" s="455"/>
      <c r="AA547" s="455"/>
      <c r="AB547" s="456"/>
      <c r="AC547" s="455"/>
      <c r="AD547" s="455"/>
      <c r="AE547" s="455"/>
      <c r="AF547" s="455"/>
      <c r="AG547" s="455"/>
      <c r="AH547" s="455"/>
      <c r="AI547" s="455"/>
      <c r="AJ547" s="456"/>
      <c r="AK547" s="456"/>
      <c r="AL547" s="456"/>
      <c r="AM547" s="456"/>
      <c r="AN547" s="456"/>
      <c r="AO547" s="456"/>
      <c r="AP547" s="456"/>
      <c r="AQ547" s="456"/>
      <c r="AR547" s="458"/>
      <c r="AS547" s="459"/>
      <c r="AT547" s="459"/>
      <c r="AU547" s="459"/>
      <c r="AV547" s="478"/>
      <c r="AW547" s="456"/>
      <c r="AX547" s="456"/>
      <c r="AY547" s="456"/>
      <c r="AZ547" s="456"/>
      <c r="BA547" s="456"/>
      <c r="BB547" s="456"/>
      <c r="BC547" s="456"/>
    </row>
    <row r="548" spans="8:55">
      <c r="H548" s="455"/>
      <c r="I548" s="455"/>
      <c r="J548" s="455"/>
      <c r="K548" s="456"/>
      <c r="L548" s="455"/>
      <c r="M548" s="455"/>
      <c r="N548" s="455"/>
      <c r="O548" s="455"/>
      <c r="P548" s="456"/>
      <c r="Q548" s="456"/>
      <c r="R548" s="457"/>
      <c r="S548" s="456"/>
      <c r="T548" s="455"/>
      <c r="U548" s="455"/>
      <c r="V548" s="455"/>
      <c r="W548" s="456"/>
      <c r="X548" s="455"/>
      <c r="Y548" s="455"/>
      <c r="Z548" s="455"/>
      <c r="AA548" s="455"/>
      <c r="AB548" s="456"/>
      <c r="AC548" s="455"/>
      <c r="AD548" s="455"/>
      <c r="AE548" s="455"/>
      <c r="AF548" s="455"/>
      <c r="AG548" s="455"/>
      <c r="AH548" s="455"/>
      <c r="AI548" s="455"/>
      <c r="AJ548" s="456"/>
      <c r="AK548" s="456"/>
      <c r="AL548" s="456"/>
      <c r="AM548" s="456"/>
      <c r="AN548" s="456"/>
      <c r="AO548" s="456"/>
      <c r="AP548" s="456"/>
      <c r="AQ548" s="456"/>
      <c r="AR548" s="458"/>
      <c r="AS548" s="459"/>
      <c r="AT548" s="459"/>
      <c r="AU548" s="459"/>
      <c r="AV548" s="478"/>
      <c r="AW548" s="456"/>
      <c r="AX548" s="456"/>
      <c r="AY548" s="456"/>
      <c r="AZ548" s="456"/>
      <c r="BA548" s="456"/>
      <c r="BB548" s="456"/>
      <c r="BC548" s="456"/>
    </row>
    <row r="549" spans="8:55">
      <c r="H549" s="455"/>
      <c r="I549" s="455"/>
      <c r="J549" s="455"/>
      <c r="K549" s="456"/>
      <c r="L549" s="455"/>
      <c r="M549" s="455"/>
      <c r="N549" s="455"/>
      <c r="O549" s="455"/>
      <c r="P549" s="456"/>
      <c r="Q549" s="456"/>
      <c r="R549" s="457"/>
      <c r="S549" s="456"/>
      <c r="T549" s="455"/>
      <c r="U549" s="455"/>
      <c r="V549" s="455"/>
      <c r="W549" s="456"/>
      <c r="X549" s="455"/>
      <c r="Y549" s="455"/>
      <c r="Z549" s="455"/>
      <c r="AA549" s="455"/>
      <c r="AB549" s="456"/>
      <c r="AC549" s="455"/>
      <c r="AD549" s="455"/>
      <c r="AE549" s="455"/>
      <c r="AF549" s="455"/>
      <c r="AG549" s="455"/>
      <c r="AH549" s="455"/>
      <c r="AI549" s="455"/>
      <c r="AJ549" s="456"/>
      <c r="AK549" s="456"/>
      <c r="AL549" s="456"/>
      <c r="AM549" s="456"/>
      <c r="AN549" s="456"/>
      <c r="AO549" s="456"/>
      <c r="AP549" s="456"/>
      <c r="AQ549" s="456"/>
      <c r="AR549" s="458"/>
      <c r="AS549" s="459"/>
      <c r="AT549" s="459"/>
      <c r="AU549" s="459"/>
      <c r="AV549" s="478"/>
      <c r="AW549" s="456"/>
      <c r="AX549" s="456"/>
      <c r="AY549" s="456"/>
      <c r="AZ549" s="456"/>
      <c r="BA549" s="456"/>
      <c r="BB549" s="456"/>
      <c r="BC549" s="456"/>
    </row>
    <row r="550" spans="8:55">
      <c r="H550" s="455"/>
      <c r="I550" s="455"/>
      <c r="J550" s="455"/>
      <c r="K550" s="456"/>
      <c r="L550" s="455"/>
      <c r="M550" s="455"/>
      <c r="N550" s="455"/>
      <c r="O550" s="455"/>
      <c r="P550" s="456"/>
      <c r="Q550" s="456"/>
      <c r="R550" s="457"/>
      <c r="S550" s="456"/>
      <c r="T550" s="455"/>
      <c r="U550" s="455"/>
      <c r="V550" s="455"/>
      <c r="W550" s="456"/>
      <c r="X550" s="455"/>
      <c r="Y550" s="455"/>
      <c r="Z550" s="455"/>
      <c r="AA550" s="455"/>
      <c r="AB550" s="456"/>
      <c r="AC550" s="455"/>
      <c r="AD550" s="455"/>
      <c r="AE550" s="455"/>
      <c r="AF550" s="455"/>
      <c r="AG550" s="455"/>
      <c r="AH550" s="455"/>
      <c r="AI550" s="455"/>
      <c r="AJ550" s="456"/>
      <c r="AK550" s="456"/>
      <c r="AL550" s="456"/>
      <c r="AM550" s="456"/>
      <c r="AN550" s="456"/>
      <c r="AO550" s="456"/>
      <c r="AP550" s="456"/>
      <c r="AQ550" s="456"/>
      <c r="AR550" s="458"/>
      <c r="AS550" s="459"/>
      <c r="AT550" s="459"/>
      <c r="AU550" s="459"/>
      <c r="AV550" s="478"/>
      <c r="AW550" s="456"/>
      <c r="AX550" s="456"/>
      <c r="AY550" s="456"/>
      <c r="AZ550" s="456"/>
      <c r="BA550" s="456"/>
      <c r="BB550" s="456"/>
      <c r="BC550" s="456"/>
    </row>
    <row r="551" spans="8:55">
      <c r="H551" s="455"/>
      <c r="I551" s="455"/>
      <c r="J551" s="455"/>
      <c r="K551" s="456"/>
      <c r="L551" s="455"/>
      <c r="M551" s="455"/>
      <c r="N551" s="455"/>
      <c r="O551" s="455"/>
      <c r="P551" s="456"/>
      <c r="Q551" s="456"/>
      <c r="R551" s="457"/>
      <c r="S551" s="456"/>
      <c r="T551" s="455"/>
      <c r="U551" s="455"/>
      <c r="V551" s="455"/>
      <c r="W551" s="456"/>
      <c r="X551" s="455"/>
      <c r="Y551" s="455"/>
      <c r="Z551" s="455"/>
      <c r="AA551" s="455"/>
      <c r="AB551" s="456"/>
      <c r="AC551" s="455"/>
      <c r="AD551" s="455"/>
      <c r="AE551" s="455"/>
      <c r="AF551" s="455"/>
      <c r="AG551" s="455"/>
      <c r="AH551" s="455"/>
      <c r="AI551" s="455"/>
      <c r="AJ551" s="456"/>
      <c r="AK551" s="456"/>
      <c r="AL551" s="456"/>
      <c r="AM551" s="456"/>
      <c r="AN551" s="456"/>
      <c r="AO551" s="456"/>
      <c r="AP551" s="456"/>
      <c r="AQ551" s="456"/>
      <c r="AR551" s="458"/>
      <c r="AS551" s="459"/>
      <c r="AT551" s="459"/>
      <c r="AU551" s="459"/>
      <c r="AV551" s="478"/>
      <c r="AW551" s="456"/>
      <c r="AX551" s="456"/>
      <c r="AY551" s="456"/>
      <c r="AZ551" s="456"/>
      <c r="BA551" s="456"/>
      <c r="BB551" s="456"/>
      <c r="BC551" s="456"/>
    </row>
    <row r="552" spans="8:55">
      <c r="H552" s="455"/>
      <c r="I552" s="455"/>
      <c r="J552" s="455"/>
      <c r="K552" s="456"/>
      <c r="L552" s="455"/>
      <c r="M552" s="455"/>
      <c r="N552" s="455"/>
      <c r="O552" s="455"/>
      <c r="P552" s="456"/>
      <c r="Q552" s="456"/>
      <c r="R552" s="457"/>
      <c r="S552" s="456"/>
      <c r="T552" s="455"/>
      <c r="U552" s="455"/>
      <c r="V552" s="455"/>
      <c r="W552" s="456"/>
      <c r="X552" s="455"/>
      <c r="Y552" s="455"/>
      <c r="Z552" s="455"/>
      <c r="AA552" s="455"/>
      <c r="AB552" s="456"/>
      <c r="AC552" s="455"/>
      <c r="AD552" s="455"/>
      <c r="AE552" s="455"/>
      <c r="AF552" s="455"/>
      <c r="AG552" s="455"/>
      <c r="AH552" s="455"/>
      <c r="AI552" s="455"/>
      <c r="AJ552" s="456"/>
      <c r="AK552" s="456"/>
      <c r="AL552" s="456"/>
      <c r="AM552" s="456"/>
      <c r="AN552" s="456"/>
      <c r="AO552" s="456"/>
      <c r="AP552" s="456"/>
      <c r="AQ552" s="456"/>
      <c r="AR552" s="458"/>
      <c r="AS552" s="459"/>
      <c r="AT552" s="459"/>
      <c r="AU552" s="459"/>
      <c r="AV552" s="478"/>
      <c r="AW552" s="456"/>
      <c r="AX552" s="456"/>
      <c r="AY552" s="456"/>
      <c r="AZ552" s="456"/>
      <c r="BA552" s="456"/>
      <c r="BB552" s="456"/>
      <c r="BC552" s="456"/>
    </row>
    <row r="553" spans="8:55">
      <c r="H553" s="455"/>
      <c r="I553" s="455"/>
      <c r="J553" s="455"/>
      <c r="K553" s="456"/>
      <c r="L553" s="455"/>
      <c r="M553" s="455"/>
      <c r="N553" s="455"/>
      <c r="O553" s="455"/>
      <c r="P553" s="456"/>
      <c r="Q553" s="456"/>
      <c r="R553" s="457"/>
      <c r="S553" s="456"/>
      <c r="T553" s="455"/>
      <c r="U553" s="455"/>
      <c r="V553" s="455"/>
      <c r="W553" s="456"/>
      <c r="X553" s="455"/>
      <c r="Y553" s="455"/>
      <c r="Z553" s="455"/>
      <c r="AA553" s="455"/>
      <c r="AB553" s="456"/>
      <c r="AC553" s="455"/>
      <c r="AD553" s="455"/>
      <c r="AE553" s="455"/>
      <c r="AF553" s="455"/>
      <c r="AG553" s="455"/>
      <c r="AH553" s="455"/>
      <c r="AI553" s="455"/>
      <c r="AJ553" s="456"/>
      <c r="AK553" s="456"/>
      <c r="AL553" s="456"/>
      <c r="AM553" s="456"/>
      <c r="AN553" s="456"/>
      <c r="AO553" s="456"/>
      <c r="AP553" s="456"/>
      <c r="AQ553" s="456"/>
      <c r="AR553" s="458"/>
      <c r="AS553" s="459"/>
      <c r="AT553" s="459"/>
      <c r="AU553" s="459"/>
      <c r="AV553" s="478"/>
      <c r="AW553" s="456"/>
      <c r="AX553" s="456"/>
      <c r="AY553" s="456"/>
      <c r="AZ553" s="456"/>
      <c r="BA553" s="456"/>
      <c r="BB553" s="456"/>
      <c r="BC553" s="456"/>
    </row>
    <row r="554" spans="8:55">
      <c r="H554" s="455"/>
      <c r="I554" s="455"/>
      <c r="J554" s="455"/>
      <c r="K554" s="456"/>
      <c r="L554" s="455"/>
      <c r="M554" s="455"/>
      <c r="N554" s="455"/>
      <c r="O554" s="455"/>
      <c r="P554" s="456"/>
      <c r="Q554" s="456"/>
      <c r="R554" s="457"/>
      <c r="S554" s="456"/>
      <c r="T554" s="455"/>
      <c r="U554" s="455"/>
      <c r="V554" s="455"/>
      <c r="W554" s="456"/>
      <c r="X554" s="455"/>
      <c r="Y554" s="455"/>
      <c r="Z554" s="455"/>
      <c r="AA554" s="455"/>
      <c r="AB554" s="456"/>
      <c r="AC554" s="455"/>
      <c r="AD554" s="455"/>
      <c r="AE554" s="455"/>
      <c r="AF554" s="455"/>
      <c r="AG554" s="455"/>
      <c r="AH554" s="455"/>
      <c r="AI554" s="455"/>
      <c r="AJ554" s="456"/>
      <c r="AK554" s="456"/>
      <c r="AL554" s="456"/>
      <c r="AM554" s="456"/>
      <c r="AN554" s="456"/>
      <c r="AO554" s="456"/>
      <c r="AP554" s="456"/>
      <c r="AQ554" s="456"/>
      <c r="AR554" s="458"/>
      <c r="AS554" s="459"/>
      <c r="AT554" s="459"/>
      <c r="AU554" s="459"/>
      <c r="AV554" s="478"/>
      <c r="AW554" s="456"/>
      <c r="AX554" s="456"/>
      <c r="AY554" s="456"/>
      <c r="AZ554" s="456"/>
      <c r="BA554" s="456"/>
      <c r="BB554" s="456"/>
      <c r="BC554" s="456"/>
    </row>
    <row r="555" spans="8:55">
      <c r="H555" s="455"/>
      <c r="I555" s="455"/>
      <c r="J555" s="455"/>
      <c r="K555" s="456"/>
      <c r="L555" s="455"/>
      <c r="M555" s="455"/>
      <c r="N555" s="455"/>
      <c r="O555" s="455"/>
      <c r="P555" s="456"/>
      <c r="Q555" s="456"/>
      <c r="R555" s="457"/>
      <c r="S555" s="456"/>
      <c r="T555" s="455"/>
      <c r="U555" s="455"/>
      <c r="V555" s="455"/>
      <c r="W555" s="456"/>
      <c r="X555" s="455"/>
      <c r="Y555" s="455"/>
      <c r="Z555" s="455"/>
      <c r="AA555" s="455"/>
      <c r="AB555" s="456"/>
      <c r="AC555" s="455"/>
      <c r="AD555" s="455"/>
      <c r="AE555" s="455"/>
      <c r="AF555" s="455"/>
      <c r="AG555" s="455"/>
      <c r="AH555" s="455"/>
      <c r="AI555" s="455"/>
      <c r="AJ555" s="456"/>
      <c r="AK555" s="456"/>
      <c r="AL555" s="456"/>
      <c r="AM555" s="456"/>
      <c r="AN555" s="456"/>
      <c r="AO555" s="456"/>
      <c r="AP555" s="456"/>
      <c r="AQ555" s="456"/>
      <c r="AR555" s="458"/>
      <c r="AS555" s="459"/>
      <c r="AT555" s="459"/>
      <c r="AU555" s="459"/>
      <c r="AV555" s="478"/>
      <c r="AW555" s="456"/>
      <c r="AX555" s="456"/>
      <c r="AY555" s="456"/>
      <c r="AZ555" s="456"/>
      <c r="BA555" s="456"/>
      <c r="BB555" s="456"/>
      <c r="BC555" s="456"/>
    </row>
    <row r="556" spans="8:55">
      <c r="H556" s="455"/>
      <c r="I556" s="455"/>
      <c r="J556" s="455"/>
      <c r="K556" s="456"/>
      <c r="L556" s="455"/>
      <c r="M556" s="455"/>
      <c r="N556" s="455"/>
      <c r="O556" s="455"/>
      <c r="P556" s="456"/>
      <c r="Q556" s="456"/>
      <c r="R556" s="457"/>
      <c r="S556" s="456"/>
      <c r="T556" s="455"/>
      <c r="U556" s="455"/>
      <c r="V556" s="455"/>
      <c r="W556" s="456"/>
      <c r="X556" s="455"/>
      <c r="Y556" s="455"/>
      <c r="Z556" s="455"/>
      <c r="AA556" s="455"/>
      <c r="AB556" s="456"/>
      <c r="AC556" s="455"/>
      <c r="AD556" s="455"/>
      <c r="AE556" s="455"/>
      <c r="AF556" s="455"/>
      <c r="AG556" s="455"/>
      <c r="AH556" s="455"/>
      <c r="AI556" s="455"/>
      <c r="AJ556" s="456"/>
      <c r="AK556" s="456"/>
      <c r="AL556" s="456"/>
      <c r="AM556" s="456"/>
      <c r="AN556" s="456"/>
      <c r="AO556" s="456"/>
      <c r="AP556" s="456"/>
      <c r="AQ556" s="456"/>
      <c r="AR556" s="458"/>
      <c r="AS556" s="459"/>
      <c r="AT556" s="459"/>
      <c r="AU556" s="459"/>
      <c r="AV556" s="478"/>
      <c r="AW556" s="456"/>
      <c r="AX556" s="456"/>
      <c r="AY556" s="456"/>
      <c r="AZ556" s="456"/>
      <c r="BA556" s="456"/>
      <c r="BB556" s="456"/>
      <c r="BC556" s="456"/>
    </row>
    <row r="557" spans="8:55">
      <c r="H557" s="455"/>
      <c r="I557" s="455"/>
      <c r="J557" s="455"/>
      <c r="K557" s="456"/>
      <c r="L557" s="455"/>
      <c r="M557" s="455"/>
      <c r="N557" s="455"/>
      <c r="O557" s="455"/>
      <c r="P557" s="456"/>
      <c r="Q557" s="456"/>
      <c r="R557" s="457"/>
      <c r="S557" s="456"/>
      <c r="T557" s="455"/>
      <c r="U557" s="455"/>
      <c r="V557" s="455"/>
      <c r="W557" s="456"/>
      <c r="X557" s="455"/>
      <c r="Y557" s="455"/>
      <c r="Z557" s="455"/>
      <c r="AA557" s="455"/>
      <c r="AB557" s="456"/>
      <c r="AC557" s="455"/>
      <c r="AD557" s="455"/>
      <c r="AE557" s="455"/>
      <c r="AF557" s="455"/>
      <c r="AG557" s="455"/>
      <c r="AH557" s="455"/>
      <c r="AI557" s="455"/>
      <c r="AJ557" s="456"/>
      <c r="AK557" s="456"/>
      <c r="AL557" s="456"/>
      <c r="AM557" s="456"/>
      <c r="AN557" s="456"/>
      <c r="AO557" s="456"/>
      <c r="AP557" s="456"/>
      <c r="AQ557" s="456"/>
      <c r="AR557" s="458"/>
      <c r="AS557" s="459"/>
      <c r="AT557" s="459"/>
      <c r="AU557" s="459"/>
      <c r="AV557" s="478"/>
      <c r="AW557" s="456"/>
      <c r="AX557" s="456"/>
      <c r="AY557" s="456"/>
      <c r="AZ557" s="456"/>
      <c r="BA557" s="456"/>
      <c r="BB557" s="456"/>
      <c r="BC557" s="456"/>
    </row>
    <row r="558" spans="8:55">
      <c r="H558" s="455"/>
      <c r="I558" s="455"/>
      <c r="J558" s="455"/>
      <c r="K558" s="456"/>
      <c r="L558" s="455"/>
      <c r="M558" s="455"/>
      <c r="N558" s="455"/>
      <c r="O558" s="455"/>
      <c r="P558" s="456"/>
      <c r="Q558" s="456"/>
      <c r="R558" s="457"/>
      <c r="S558" s="456"/>
      <c r="T558" s="455"/>
      <c r="U558" s="455"/>
      <c r="V558" s="455"/>
      <c r="W558" s="456"/>
      <c r="X558" s="455"/>
      <c r="Y558" s="455"/>
      <c r="Z558" s="455"/>
      <c r="AA558" s="455"/>
      <c r="AB558" s="456"/>
      <c r="AC558" s="455"/>
      <c r="AD558" s="455"/>
      <c r="AE558" s="455"/>
      <c r="AF558" s="455"/>
      <c r="AG558" s="455"/>
      <c r="AH558" s="455"/>
      <c r="AI558" s="455"/>
      <c r="AJ558" s="456"/>
      <c r="AK558" s="456"/>
      <c r="AL558" s="456"/>
      <c r="AM558" s="456"/>
      <c r="AN558" s="456"/>
      <c r="AO558" s="456"/>
      <c r="AP558" s="456"/>
      <c r="AQ558" s="456"/>
      <c r="AR558" s="458"/>
      <c r="AS558" s="459"/>
      <c r="AT558" s="459"/>
      <c r="AU558" s="459"/>
      <c r="AV558" s="478"/>
      <c r="AW558" s="456"/>
      <c r="AX558" s="456"/>
      <c r="AY558" s="456"/>
      <c r="AZ558" s="456"/>
      <c r="BA558" s="456"/>
      <c r="BB558" s="456"/>
      <c r="BC558" s="456"/>
    </row>
    <row r="559" spans="8:55">
      <c r="H559" s="455"/>
      <c r="I559" s="455"/>
      <c r="J559" s="455"/>
      <c r="K559" s="456"/>
      <c r="L559" s="455"/>
      <c r="M559" s="455"/>
      <c r="N559" s="455"/>
      <c r="O559" s="455"/>
      <c r="P559" s="456"/>
      <c r="Q559" s="456"/>
      <c r="R559" s="457"/>
      <c r="S559" s="456"/>
      <c r="T559" s="455"/>
      <c r="U559" s="455"/>
      <c r="V559" s="455"/>
      <c r="W559" s="456"/>
      <c r="X559" s="455"/>
      <c r="Y559" s="455"/>
      <c r="Z559" s="455"/>
      <c r="AA559" s="455"/>
      <c r="AB559" s="456"/>
      <c r="AC559" s="455"/>
      <c r="AD559" s="455"/>
      <c r="AE559" s="455"/>
      <c r="AF559" s="455"/>
      <c r="AG559" s="455"/>
      <c r="AH559" s="455"/>
      <c r="AI559" s="455"/>
      <c r="AJ559" s="456"/>
      <c r="AK559" s="456"/>
      <c r="AL559" s="456"/>
      <c r="AM559" s="456"/>
      <c r="AN559" s="456"/>
      <c r="AO559" s="456"/>
      <c r="AP559" s="456"/>
      <c r="AQ559" s="456"/>
      <c r="AR559" s="458"/>
      <c r="AS559" s="459"/>
      <c r="AT559" s="459"/>
      <c r="AU559" s="459"/>
      <c r="AV559" s="478"/>
      <c r="AW559" s="456"/>
      <c r="AX559" s="456"/>
      <c r="AY559" s="456"/>
      <c r="AZ559" s="456"/>
      <c r="BA559" s="456"/>
      <c r="BB559" s="456"/>
      <c r="BC559" s="456"/>
    </row>
    <row r="560" spans="8:55">
      <c r="H560" s="455"/>
      <c r="I560" s="455"/>
      <c r="J560" s="455"/>
      <c r="K560" s="456"/>
      <c r="L560" s="455"/>
      <c r="M560" s="455"/>
      <c r="N560" s="455"/>
      <c r="O560" s="455"/>
      <c r="P560" s="456"/>
      <c r="Q560" s="456"/>
      <c r="R560" s="457"/>
      <c r="S560" s="456"/>
      <c r="T560" s="455"/>
      <c r="U560" s="455"/>
      <c r="V560" s="455"/>
      <c r="W560" s="456"/>
      <c r="X560" s="455"/>
      <c r="Y560" s="455"/>
      <c r="Z560" s="455"/>
      <c r="AA560" s="455"/>
      <c r="AB560" s="456"/>
      <c r="AC560" s="455"/>
      <c r="AD560" s="455"/>
      <c r="AE560" s="455"/>
      <c r="AF560" s="455"/>
      <c r="AG560" s="455"/>
      <c r="AH560" s="455"/>
      <c r="AI560" s="455"/>
      <c r="AJ560" s="456"/>
      <c r="AK560" s="456"/>
      <c r="AL560" s="456"/>
      <c r="AM560" s="456"/>
      <c r="AN560" s="456"/>
      <c r="AO560" s="456"/>
      <c r="AP560" s="456"/>
      <c r="AQ560" s="456"/>
      <c r="AR560" s="458"/>
      <c r="AS560" s="459"/>
      <c r="AT560" s="459"/>
      <c r="AU560" s="459"/>
      <c r="AV560" s="478"/>
      <c r="AW560" s="456"/>
      <c r="AX560" s="456"/>
      <c r="AY560" s="456"/>
      <c r="AZ560" s="456"/>
      <c r="BA560" s="456"/>
      <c r="BB560" s="456"/>
      <c r="BC560" s="456"/>
    </row>
    <row r="561" spans="8:55">
      <c r="H561" s="455"/>
      <c r="I561" s="455"/>
      <c r="J561" s="455"/>
      <c r="K561" s="456"/>
      <c r="L561" s="455"/>
      <c r="M561" s="455"/>
      <c r="N561" s="455"/>
      <c r="O561" s="455"/>
      <c r="P561" s="456"/>
      <c r="Q561" s="456"/>
      <c r="R561" s="457"/>
      <c r="S561" s="456"/>
      <c r="T561" s="455"/>
      <c r="U561" s="455"/>
      <c r="V561" s="455"/>
      <c r="W561" s="456"/>
      <c r="X561" s="455"/>
      <c r="Y561" s="455"/>
      <c r="Z561" s="455"/>
      <c r="AA561" s="455"/>
      <c r="AB561" s="456"/>
      <c r="AC561" s="455"/>
      <c r="AD561" s="455"/>
      <c r="AE561" s="455"/>
      <c r="AF561" s="455"/>
      <c r="AG561" s="455"/>
      <c r="AH561" s="455"/>
      <c r="AI561" s="455"/>
      <c r="AJ561" s="456"/>
      <c r="AK561" s="456"/>
      <c r="AL561" s="456"/>
      <c r="AM561" s="456"/>
      <c r="AN561" s="456"/>
      <c r="AO561" s="456"/>
      <c r="AP561" s="456"/>
      <c r="AQ561" s="456"/>
      <c r="AR561" s="458"/>
      <c r="AS561" s="459"/>
      <c r="AT561" s="459"/>
      <c r="AU561" s="459"/>
      <c r="AV561" s="478"/>
      <c r="AW561" s="456"/>
      <c r="AX561" s="456"/>
      <c r="AY561" s="456"/>
      <c r="AZ561" s="456"/>
      <c r="BA561" s="456"/>
      <c r="BB561" s="456"/>
      <c r="BC561" s="456"/>
    </row>
    <row r="562" spans="8:55">
      <c r="H562" s="455"/>
      <c r="I562" s="455"/>
      <c r="J562" s="455"/>
      <c r="K562" s="456"/>
      <c r="L562" s="455"/>
      <c r="M562" s="455"/>
      <c r="N562" s="455"/>
      <c r="O562" s="455"/>
      <c r="P562" s="456"/>
      <c r="Q562" s="456"/>
      <c r="R562" s="457"/>
      <c r="S562" s="456"/>
      <c r="T562" s="455"/>
      <c r="U562" s="455"/>
      <c r="V562" s="455"/>
      <c r="W562" s="456"/>
      <c r="X562" s="455"/>
      <c r="Y562" s="455"/>
      <c r="Z562" s="455"/>
      <c r="AA562" s="455"/>
      <c r="AB562" s="456"/>
      <c r="AC562" s="455"/>
      <c r="AD562" s="455"/>
      <c r="AE562" s="455"/>
      <c r="AF562" s="455"/>
      <c r="AG562" s="455"/>
      <c r="AH562" s="455"/>
      <c r="AI562" s="455"/>
      <c r="AJ562" s="456"/>
      <c r="AK562" s="456"/>
      <c r="AL562" s="456"/>
      <c r="AM562" s="456"/>
      <c r="AN562" s="456"/>
      <c r="AO562" s="456"/>
      <c r="AP562" s="456"/>
      <c r="AQ562" s="456"/>
      <c r="AR562" s="458"/>
      <c r="AS562" s="459"/>
      <c r="AT562" s="459"/>
      <c r="AU562" s="459"/>
      <c r="AV562" s="478"/>
      <c r="AW562" s="456"/>
      <c r="AX562" s="456"/>
      <c r="AY562" s="456"/>
      <c r="AZ562" s="456"/>
      <c r="BA562" s="456"/>
      <c r="BB562" s="456"/>
      <c r="BC562" s="456"/>
    </row>
    <row r="563" spans="8:55">
      <c r="H563" s="455"/>
      <c r="I563" s="455"/>
      <c r="J563" s="455"/>
      <c r="K563" s="456"/>
      <c r="L563" s="455"/>
      <c r="M563" s="455"/>
      <c r="N563" s="455"/>
      <c r="O563" s="455"/>
      <c r="P563" s="456"/>
      <c r="Q563" s="456"/>
      <c r="R563" s="457"/>
      <c r="S563" s="456"/>
      <c r="T563" s="455"/>
      <c r="U563" s="455"/>
      <c r="V563" s="455"/>
      <c r="W563" s="456"/>
      <c r="X563" s="455"/>
      <c r="Y563" s="455"/>
      <c r="Z563" s="455"/>
      <c r="AA563" s="455"/>
      <c r="AB563" s="456"/>
      <c r="AC563" s="455"/>
      <c r="AD563" s="455"/>
      <c r="AE563" s="455"/>
      <c r="AF563" s="455"/>
      <c r="AG563" s="455"/>
      <c r="AH563" s="455"/>
      <c r="AI563" s="455"/>
      <c r="AJ563" s="456"/>
      <c r="AK563" s="456"/>
      <c r="AL563" s="456"/>
      <c r="AM563" s="456"/>
      <c r="AN563" s="456"/>
      <c r="AO563" s="456"/>
      <c r="AP563" s="456"/>
      <c r="AQ563" s="456"/>
      <c r="AR563" s="458"/>
      <c r="AS563" s="459"/>
      <c r="AT563" s="459"/>
      <c r="AU563" s="459"/>
      <c r="AV563" s="478"/>
      <c r="AW563" s="456"/>
      <c r="AX563" s="456"/>
      <c r="AY563" s="456"/>
      <c r="AZ563" s="456"/>
      <c r="BA563" s="456"/>
      <c r="BB563" s="456"/>
      <c r="BC563" s="456"/>
    </row>
    <row r="564" spans="8:55">
      <c r="H564" s="455"/>
      <c r="I564" s="455"/>
      <c r="J564" s="455"/>
      <c r="K564" s="456"/>
      <c r="L564" s="455"/>
      <c r="M564" s="455"/>
      <c r="N564" s="455"/>
      <c r="O564" s="455"/>
      <c r="P564" s="456"/>
      <c r="Q564" s="456"/>
      <c r="R564" s="457"/>
      <c r="S564" s="456"/>
      <c r="T564" s="455"/>
      <c r="U564" s="455"/>
      <c r="V564" s="455"/>
      <c r="W564" s="456"/>
      <c r="X564" s="455"/>
      <c r="Y564" s="455"/>
      <c r="Z564" s="455"/>
      <c r="AA564" s="455"/>
      <c r="AB564" s="456"/>
      <c r="AC564" s="455"/>
      <c r="AD564" s="455"/>
      <c r="AE564" s="455"/>
      <c r="AF564" s="455"/>
      <c r="AG564" s="455"/>
      <c r="AH564" s="455"/>
      <c r="AI564" s="455"/>
      <c r="AJ564" s="456"/>
      <c r="AK564" s="456"/>
      <c r="AL564" s="456"/>
      <c r="AM564" s="456"/>
      <c r="AN564" s="456"/>
      <c r="AO564" s="456"/>
      <c r="AP564" s="456"/>
      <c r="AQ564" s="456"/>
      <c r="AR564" s="458"/>
      <c r="AS564" s="459"/>
      <c r="AT564" s="459"/>
      <c r="AU564" s="459"/>
      <c r="AV564" s="478"/>
      <c r="AW564" s="456"/>
      <c r="AX564" s="456"/>
      <c r="AY564" s="456"/>
      <c r="AZ564" s="456"/>
      <c r="BA564" s="456"/>
      <c r="BB564" s="456"/>
      <c r="BC564" s="456"/>
    </row>
    <row r="565" spans="8:55">
      <c r="H565" s="455"/>
      <c r="I565" s="455"/>
      <c r="J565" s="455"/>
      <c r="K565" s="456"/>
      <c r="L565" s="455"/>
      <c r="M565" s="455"/>
      <c r="N565" s="455"/>
      <c r="O565" s="455"/>
      <c r="P565" s="456"/>
      <c r="Q565" s="456"/>
      <c r="R565" s="457"/>
      <c r="S565" s="456"/>
      <c r="T565" s="455"/>
      <c r="U565" s="455"/>
      <c r="V565" s="455"/>
      <c r="W565" s="456"/>
      <c r="X565" s="455"/>
      <c r="Y565" s="455"/>
      <c r="Z565" s="455"/>
      <c r="AA565" s="455"/>
      <c r="AB565" s="456"/>
      <c r="AC565" s="455"/>
      <c r="AD565" s="455"/>
      <c r="AE565" s="455"/>
      <c r="AF565" s="455"/>
      <c r="AG565" s="455"/>
      <c r="AH565" s="455"/>
      <c r="AI565" s="455"/>
      <c r="AJ565" s="456"/>
      <c r="AK565" s="456"/>
      <c r="AL565" s="456"/>
      <c r="AM565" s="456"/>
      <c r="AN565" s="456"/>
      <c r="AO565" s="456"/>
      <c r="AP565" s="456"/>
      <c r="AQ565" s="456"/>
      <c r="AR565" s="458"/>
      <c r="AS565" s="459"/>
      <c r="AT565" s="459"/>
      <c r="AU565" s="459"/>
      <c r="AV565" s="478"/>
      <c r="AW565" s="456"/>
      <c r="AX565" s="456"/>
      <c r="AY565" s="456"/>
      <c r="AZ565" s="456"/>
      <c r="BA565" s="456"/>
      <c r="BB565" s="456"/>
      <c r="BC565" s="456"/>
    </row>
    <row r="566" spans="8:55">
      <c r="H566" s="455"/>
      <c r="I566" s="455"/>
      <c r="J566" s="455"/>
      <c r="K566" s="456"/>
      <c r="L566" s="455"/>
      <c r="M566" s="455"/>
      <c r="N566" s="455"/>
      <c r="O566" s="455"/>
      <c r="P566" s="456"/>
      <c r="Q566" s="456"/>
      <c r="R566" s="457"/>
      <c r="S566" s="456"/>
      <c r="T566" s="455"/>
      <c r="U566" s="455"/>
      <c r="V566" s="455"/>
      <c r="W566" s="456"/>
      <c r="X566" s="455"/>
      <c r="Y566" s="455"/>
      <c r="Z566" s="455"/>
      <c r="AA566" s="455"/>
      <c r="AB566" s="456"/>
      <c r="AC566" s="455"/>
      <c r="AD566" s="455"/>
      <c r="AE566" s="455"/>
      <c r="AF566" s="455"/>
      <c r="AG566" s="455"/>
      <c r="AH566" s="455"/>
      <c r="AI566" s="455"/>
      <c r="AJ566" s="456"/>
      <c r="AK566" s="456"/>
      <c r="AL566" s="456"/>
      <c r="AM566" s="456"/>
      <c r="AN566" s="456"/>
      <c r="AO566" s="456"/>
      <c r="AP566" s="456"/>
      <c r="AQ566" s="456"/>
      <c r="AR566" s="458"/>
      <c r="AS566" s="459"/>
      <c r="AT566" s="459"/>
      <c r="AU566" s="459"/>
      <c r="AV566" s="478"/>
      <c r="AW566" s="456"/>
      <c r="AX566" s="456"/>
      <c r="AY566" s="456"/>
      <c r="AZ566" s="456"/>
      <c r="BA566" s="456"/>
      <c r="BB566" s="456"/>
      <c r="BC566" s="456"/>
    </row>
    <row r="567" spans="8:55">
      <c r="H567" s="455"/>
      <c r="I567" s="455"/>
      <c r="J567" s="455"/>
      <c r="K567" s="456"/>
      <c r="L567" s="455"/>
      <c r="M567" s="455"/>
      <c r="N567" s="455"/>
      <c r="O567" s="455"/>
      <c r="P567" s="456"/>
      <c r="Q567" s="456"/>
      <c r="R567" s="457"/>
      <c r="S567" s="456"/>
      <c r="T567" s="455"/>
      <c r="U567" s="455"/>
      <c r="V567" s="455"/>
      <c r="W567" s="456"/>
      <c r="X567" s="455"/>
      <c r="Y567" s="455"/>
      <c r="Z567" s="455"/>
      <c r="AA567" s="455"/>
      <c r="AB567" s="456"/>
      <c r="AC567" s="455"/>
      <c r="AD567" s="455"/>
      <c r="AE567" s="455"/>
      <c r="AF567" s="455"/>
      <c r="AG567" s="455"/>
      <c r="AH567" s="455"/>
      <c r="AI567" s="455"/>
      <c r="AJ567" s="456"/>
      <c r="AK567" s="456"/>
      <c r="AL567" s="456"/>
      <c r="AM567" s="456"/>
      <c r="AN567" s="456"/>
      <c r="AO567" s="456"/>
      <c r="AP567" s="456"/>
      <c r="AQ567" s="456"/>
      <c r="AR567" s="458"/>
      <c r="AS567" s="459"/>
      <c r="AT567" s="459"/>
      <c r="AU567" s="459"/>
      <c r="AV567" s="478"/>
      <c r="AW567" s="456"/>
      <c r="AX567" s="456"/>
      <c r="AY567" s="456"/>
      <c r="AZ567" s="456"/>
      <c r="BA567" s="456"/>
      <c r="BB567" s="456"/>
      <c r="BC567" s="456"/>
    </row>
    <row r="568" spans="8:55">
      <c r="H568" s="455"/>
      <c r="I568" s="455"/>
      <c r="J568" s="455"/>
      <c r="K568" s="456"/>
      <c r="L568" s="455"/>
      <c r="M568" s="455"/>
      <c r="N568" s="455"/>
      <c r="O568" s="455"/>
      <c r="P568" s="456"/>
      <c r="Q568" s="456"/>
      <c r="R568" s="457"/>
      <c r="S568" s="456"/>
      <c r="T568" s="455"/>
      <c r="U568" s="455"/>
      <c r="V568" s="455"/>
      <c r="W568" s="456"/>
      <c r="X568" s="455"/>
      <c r="Y568" s="455"/>
      <c r="Z568" s="455"/>
      <c r="AA568" s="455"/>
      <c r="AB568" s="456"/>
      <c r="AC568" s="455"/>
      <c r="AD568" s="455"/>
      <c r="AE568" s="455"/>
      <c r="AF568" s="455"/>
      <c r="AG568" s="455"/>
      <c r="AH568" s="455"/>
      <c r="AI568" s="455"/>
      <c r="AJ568" s="456"/>
      <c r="AK568" s="456"/>
      <c r="AL568" s="456"/>
      <c r="AM568" s="456"/>
      <c r="AN568" s="456"/>
      <c r="AO568" s="456"/>
      <c r="AP568" s="456"/>
      <c r="AQ568" s="456"/>
      <c r="AR568" s="458"/>
      <c r="AS568" s="459"/>
      <c r="AT568" s="459"/>
      <c r="AU568" s="459"/>
      <c r="AV568" s="478"/>
      <c r="AW568" s="456"/>
      <c r="AX568" s="456"/>
      <c r="AY568" s="456"/>
      <c r="AZ568" s="456"/>
      <c r="BA568" s="456"/>
      <c r="BB568" s="456"/>
      <c r="BC568" s="456"/>
    </row>
    <row r="569" spans="8:55">
      <c r="H569" s="455"/>
      <c r="I569" s="455"/>
      <c r="J569" s="455"/>
      <c r="K569" s="456"/>
      <c r="L569" s="455"/>
      <c r="M569" s="455"/>
      <c r="N569" s="455"/>
      <c r="O569" s="455"/>
      <c r="P569" s="456"/>
      <c r="Q569" s="456"/>
      <c r="R569" s="457"/>
      <c r="S569" s="456"/>
      <c r="T569" s="455"/>
      <c r="U569" s="455"/>
      <c r="V569" s="455"/>
      <c r="W569" s="456"/>
      <c r="X569" s="455"/>
      <c r="Y569" s="455"/>
      <c r="Z569" s="455"/>
      <c r="AA569" s="455"/>
      <c r="AB569" s="456"/>
      <c r="AC569" s="455"/>
      <c r="AD569" s="455"/>
      <c r="AE569" s="455"/>
      <c r="AF569" s="455"/>
      <c r="AG569" s="455"/>
      <c r="AH569" s="455"/>
      <c r="AI569" s="455"/>
      <c r="AJ569" s="456"/>
      <c r="AK569" s="456"/>
      <c r="AL569" s="456"/>
      <c r="AM569" s="456"/>
      <c r="AN569" s="456"/>
      <c r="AO569" s="456"/>
      <c r="AP569" s="456"/>
      <c r="AQ569" s="456"/>
      <c r="AR569" s="458"/>
      <c r="AS569" s="459"/>
      <c r="AT569" s="459"/>
      <c r="AU569" s="459"/>
      <c r="AV569" s="478"/>
      <c r="AW569" s="456"/>
      <c r="AX569" s="456"/>
      <c r="AY569" s="456"/>
      <c r="AZ569" s="456"/>
      <c r="BA569" s="456"/>
      <c r="BB569" s="456"/>
      <c r="BC569" s="456"/>
    </row>
    <row r="570" spans="8:55">
      <c r="H570" s="455"/>
      <c r="I570" s="455"/>
      <c r="J570" s="455"/>
      <c r="K570" s="456"/>
      <c r="L570" s="455"/>
      <c r="M570" s="455"/>
      <c r="N570" s="455"/>
      <c r="O570" s="455"/>
      <c r="P570" s="456"/>
      <c r="Q570" s="456"/>
      <c r="R570" s="457"/>
      <c r="S570" s="456"/>
      <c r="T570" s="455"/>
      <c r="U570" s="455"/>
      <c r="V570" s="455"/>
      <c r="W570" s="456"/>
      <c r="X570" s="455"/>
      <c r="Y570" s="455"/>
      <c r="Z570" s="455"/>
      <c r="AA570" s="455"/>
      <c r="AB570" s="456"/>
      <c r="AC570" s="455"/>
      <c r="AD570" s="455"/>
      <c r="AE570" s="455"/>
      <c r="AF570" s="455"/>
      <c r="AG570" s="455"/>
      <c r="AH570" s="455"/>
      <c r="AI570" s="455"/>
      <c r="AJ570" s="456"/>
      <c r="AK570" s="456"/>
      <c r="AL570" s="456"/>
      <c r="AM570" s="456"/>
      <c r="AN570" s="456"/>
      <c r="AO570" s="456"/>
      <c r="AP570" s="456"/>
      <c r="AQ570" s="456"/>
      <c r="AR570" s="458"/>
      <c r="AS570" s="459"/>
      <c r="AT570" s="459"/>
      <c r="AU570" s="459"/>
      <c r="AV570" s="478"/>
      <c r="AW570" s="456"/>
      <c r="AX570" s="456"/>
      <c r="AY570" s="456"/>
      <c r="AZ570" s="456"/>
      <c r="BA570" s="456"/>
      <c r="BB570" s="456"/>
      <c r="BC570" s="456"/>
    </row>
    <row r="571" spans="8:55">
      <c r="H571" s="455"/>
      <c r="I571" s="455"/>
      <c r="J571" s="455"/>
      <c r="K571" s="456"/>
      <c r="L571" s="455"/>
      <c r="M571" s="455"/>
      <c r="N571" s="455"/>
      <c r="O571" s="455"/>
      <c r="P571" s="456"/>
      <c r="Q571" s="456"/>
      <c r="R571" s="457"/>
      <c r="S571" s="456"/>
      <c r="T571" s="455"/>
      <c r="U571" s="455"/>
      <c r="V571" s="455"/>
      <c r="W571" s="456"/>
      <c r="X571" s="455"/>
      <c r="Y571" s="455"/>
      <c r="Z571" s="455"/>
      <c r="AA571" s="455"/>
      <c r="AB571" s="456"/>
      <c r="AC571" s="455"/>
      <c r="AD571" s="455"/>
      <c r="AE571" s="455"/>
      <c r="AF571" s="455"/>
      <c r="AG571" s="455"/>
      <c r="AH571" s="455"/>
      <c r="AI571" s="455"/>
      <c r="AJ571" s="456"/>
      <c r="AK571" s="456"/>
      <c r="AL571" s="456"/>
      <c r="AM571" s="456"/>
      <c r="AN571" s="456"/>
      <c r="AO571" s="456"/>
      <c r="AP571" s="456"/>
      <c r="AQ571" s="456"/>
      <c r="AR571" s="458"/>
      <c r="AS571" s="459"/>
      <c r="AT571" s="459"/>
      <c r="AU571" s="459"/>
      <c r="AV571" s="478"/>
      <c r="AW571" s="456"/>
      <c r="AX571" s="456"/>
      <c r="AY571" s="456"/>
      <c r="AZ571" s="456"/>
      <c r="BA571" s="456"/>
      <c r="BB571" s="456"/>
      <c r="BC571" s="456"/>
    </row>
    <row r="572" spans="8:55">
      <c r="H572" s="455"/>
      <c r="I572" s="455"/>
      <c r="J572" s="455"/>
      <c r="K572" s="456"/>
      <c r="L572" s="455"/>
      <c r="M572" s="455"/>
      <c r="N572" s="455"/>
      <c r="O572" s="455"/>
      <c r="P572" s="456"/>
      <c r="Q572" s="456"/>
      <c r="R572" s="457"/>
      <c r="S572" s="456"/>
      <c r="T572" s="455"/>
      <c r="U572" s="455"/>
      <c r="V572" s="455"/>
      <c r="W572" s="456"/>
      <c r="X572" s="455"/>
      <c r="Y572" s="455"/>
      <c r="Z572" s="455"/>
      <c r="AA572" s="455"/>
      <c r="AB572" s="456"/>
      <c r="AC572" s="455"/>
      <c r="AD572" s="455"/>
      <c r="AE572" s="455"/>
      <c r="AF572" s="455"/>
      <c r="AG572" s="455"/>
      <c r="AH572" s="455"/>
      <c r="AI572" s="455"/>
      <c r="AJ572" s="456"/>
      <c r="AK572" s="456"/>
      <c r="AL572" s="456"/>
      <c r="AM572" s="456"/>
      <c r="AN572" s="456"/>
      <c r="AO572" s="456"/>
      <c r="AP572" s="456"/>
      <c r="AQ572" s="456"/>
      <c r="AR572" s="458"/>
      <c r="AS572" s="459"/>
      <c r="AT572" s="459"/>
      <c r="AU572" s="459"/>
      <c r="AV572" s="478"/>
      <c r="AW572" s="456"/>
      <c r="AX572" s="456"/>
      <c r="AY572" s="456"/>
      <c r="AZ572" s="456"/>
      <c r="BA572" s="456"/>
      <c r="BB572" s="456"/>
      <c r="BC572" s="456"/>
    </row>
    <row r="573" spans="8:55">
      <c r="H573" s="455"/>
      <c r="I573" s="455"/>
      <c r="J573" s="455"/>
      <c r="K573" s="456"/>
      <c r="L573" s="455"/>
      <c r="M573" s="455"/>
      <c r="N573" s="455"/>
      <c r="O573" s="455"/>
      <c r="P573" s="456"/>
      <c r="Q573" s="456"/>
      <c r="R573" s="457"/>
      <c r="S573" s="456"/>
      <c r="T573" s="455"/>
      <c r="U573" s="455"/>
      <c r="V573" s="455"/>
      <c r="W573" s="456"/>
      <c r="X573" s="455"/>
      <c r="Y573" s="455"/>
      <c r="Z573" s="455"/>
      <c r="AA573" s="455"/>
      <c r="AB573" s="456"/>
      <c r="AC573" s="455"/>
      <c r="AD573" s="455"/>
      <c r="AE573" s="455"/>
      <c r="AF573" s="455"/>
      <c r="AG573" s="455"/>
      <c r="AH573" s="455"/>
      <c r="AI573" s="455"/>
      <c r="AJ573" s="456"/>
      <c r="AK573" s="456"/>
      <c r="AL573" s="456"/>
      <c r="AM573" s="456"/>
      <c r="AN573" s="456"/>
      <c r="AO573" s="456"/>
      <c r="AP573" s="456"/>
      <c r="AQ573" s="456"/>
      <c r="AR573" s="458"/>
      <c r="AS573" s="459"/>
      <c r="AT573" s="459"/>
      <c r="AU573" s="459"/>
      <c r="AV573" s="478"/>
      <c r="AW573" s="456"/>
      <c r="AX573" s="456"/>
      <c r="AY573" s="456"/>
      <c r="AZ573" s="456"/>
      <c r="BA573" s="456"/>
      <c r="BB573" s="456"/>
      <c r="BC573" s="456"/>
    </row>
    <row r="574" spans="8:55">
      <c r="H574" s="455"/>
      <c r="I574" s="455"/>
      <c r="J574" s="455"/>
      <c r="K574" s="456"/>
      <c r="L574" s="455"/>
      <c r="M574" s="455"/>
      <c r="N574" s="455"/>
      <c r="O574" s="455"/>
      <c r="P574" s="456"/>
      <c r="Q574" s="456"/>
      <c r="R574" s="457"/>
      <c r="S574" s="456"/>
      <c r="T574" s="455"/>
      <c r="U574" s="455"/>
      <c r="V574" s="455"/>
      <c r="W574" s="456"/>
      <c r="X574" s="455"/>
      <c r="Y574" s="455"/>
      <c r="Z574" s="455"/>
      <c r="AA574" s="455"/>
      <c r="AB574" s="456"/>
      <c r="AC574" s="455"/>
      <c r="AD574" s="455"/>
      <c r="AE574" s="455"/>
      <c r="AF574" s="455"/>
      <c r="AG574" s="455"/>
      <c r="AH574" s="455"/>
      <c r="AI574" s="455"/>
      <c r="AJ574" s="456"/>
      <c r="AK574" s="456"/>
      <c r="AL574" s="456"/>
      <c r="AM574" s="456"/>
      <c r="AN574" s="456"/>
      <c r="AO574" s="456"/>
      <c r="AP574" s="456"/>
      <c r="AQ574" s="456"/>
      <c r="AR574" s="458"/>
      <c r="AS574" s="459"/>
      <c r="AT574" s="459"/>
      <c r="AU574" s="459"/>
      <c r="AV574" s="478"/>
      <c r="AW574" s="456"/>
      <c r="AX574" s="456"/>
      <c r="AY574" s="456"/>
      <c r="AZ574" s="456"/>
      <c r="BA574" s="456"/>
      <c r="BB574" s="456"/>
      <c r="BC574" s="456"/>
    </row>
    <row r="575" spans="8:55">
      <c r="H575" s="455"/>
      <c r="I575" s="455"/>
      <c r="J575" s="455"/>
      <c r="K575" s="456"/>
      <c r="L575" s="455"/>
      <c r="M575" s="455"/>
      <c r="N575" s="455"/>
      <c r="O575" s="455"/>
      <c r="P575" s="456"/>
      <c r="Q575" s="456"/>
      <c r="R575" s="457"/>
      <c r="S575" s="456"/>
      <c r="T575" s="455"/>
      <c r="U575" s="455"/>
      <c r="V575" s="455"/>
      <c r="W575" s="456"/>
      <c r="X575" s="455"/>
      <c r="Y575" s="455"/>
      <c r="Z575" s="455"/>
      <c r="AA575" s="455"/>
      <c r="AB575" s="456"/>
      <c r="AC575" s="455"/>
      <c r="AD575" s="455"/>
      <c r="AE575" s="455"/>
      <c r="AF575" s="455"/>
      <c r="AG575" s="455"/>
      <c r="AH575" s="455"/>
      <c r="AI575" s="455"/>
      <c r="AJ575" s="456"/>
      <c r="AK575" s="456"/>
      <c r="AL575" s="456"/>
      <c r="AM575" s="456"/>
      <c r="AN575" s="456"/>
      <c r="AO575" s="456"/>
      <c r="AP575" s="456"/>
      <c r="AQ575" s="456"/>
      <c r="AR575" s="458"/>
      <c r="AS575" s="459"/>
      <c r="AT575" s="459"/>
      <c r="AU575" s="459"/>
      <c r="AV575" s="478"/>
      <c r="AW575" s="456"/>
      <c r="AX575" s="456"/>
      <c r="AY575" s="456"/>
      <c r="AZ575" s="456"/>
      <c r="BA575" s="456"/>
      <c r="BB575" s="456"/>
      <c r="BC575" s="456"/>
    </row>
    <row r="576" spans="8:55">
      <c r="H576" s="455"/>
      <c r="I576" s="455"/>
      <c r="J576" s="455"/>
      <c r="K576" s="456"/>
      <c r="L576" s="455"/>
      <c r="M576" s="455"/>
      <c r="N576" s="455"/>
      <c r="O576" s="455"/>
      <c r="P576" s="456"/>
      <c r="Q576" s="456"/>
      <c r="R576" s="457"/>
      <c r="S576" s="456"/>
      <c r="T576" s="455"/>
      <c r="U576" s="455"/>
      <c r="V576" s="455"/>
      <c r="W576" s="456"/>
      <c r="X576" s="455"/>
      <c r="Y576" s="455"/>
      <c r="Z576" s="455"/>
      <c r="AA576" s="455"/>
      <c r="AB576" s="456"/>
      <c r="AC576" s="455"/>
      <c r="AD576" s="455"/>
      <c r="AE576" s="455"/>
      <c r="AF576" s="455"/>
      <c r="AG576" s="455"/>
      <c r="AH576" s="455"/>
      <c r="AI576" s="455"/>
      <c r="AJ576" s="456"/>
      <c r="AK576" s="456"/>
      <c r="AL576" s="456"/>
      <c r="AM576" s="456"/>
      <c r="AN576" s="456"/>
      <c r="AO576" s="456"/>
      <c r="AP576" s="456"/>
      <c r="AQ576" s="456"/>
      <c r="AR576" s="458"/>
      <c r="AS576" s="459"/>
      <c r="AT576" s="459"/>
      <c r="AU576" s="459"/>
      <c r="AV576" s="478"/>
      <c r="AW576" s="456"/>
      <c r="AX576" s="456"/>
      <c r="AY576" s="456"/>
      <c r="AZ576" s="456"/>
      <c r="BA576" s="456"/>
      <c r="BB576" s="456"/>
      <c r="BC576" s="456"/>
    </row>
    <row r="577" spans="8:55">
      <c r="H577" s="455"/>
      <c r="I577" s="455"/>
      <c r="J577" s="455"/>
      <c r="K577" s="456"/>
      <c r="L577" s="455"/>
      <c r="M577" s="455"/>
      <c r="N577" s="455"/>
      <c r="O577" s="455"/>
      <c r="P577" s="456"/>
      <c r="Q577" s="456"/>
      <c r="R577" s="457"/>
      <c r="S577" s="456"/>
      <c r="T577" s="455"/>
      <c r="U577" s="455"/>
      <c r="V577" s="455"/>
      <c r="W577" s="456"/>
      <c r="X577" s="455"/>
      <c r="Y577" s="455"/>
      <c r="Z577" s="455"/>
      <c r="AA577" s="455"/>
      <c r="AB577" s="456"/>
      <c r="AC577" s="455"/>
      <c r="AD577" s="455"/>
      <c r="AE577" s="455"/>
      <c r="AF577" s="455"/>
      <c r="AG577" s="455"/>
      <c r="AH577" s="455"/>
      <c r="AI577" s="455"/>
      <c r="AJ577" s="456"/>
      <c r="AK577" s="456"/>
      <c r="AL577" s="456"/>
      <c r="AM577" s="456"/>
      <c r="AN577" s="456"/>
      <c r="AO577" s="456"/>
      <c r="AP577" s="456"/>
      <c r="AQ577" s="456"/>
      <c r="AR577" s="458"/>
      <c r="AS577" s="459"/>
      <c r="AT577" s="459"/>
      <c r="AU577" s="459"/>
      <c r="AV577" s="478"/>
      <c r="AW577" s="456"/>
      <c r="AX577" s="456"/>
      <c r="AY577" s="456"/>
      <c r="AZ577" s="456"/>
      <c r="BA577" s="456"/>
      <c r="BB577" s="456"/>
      <c r="BC577" s="456"/>
    </row>
    <row r="578" spans="8:55">
      <c r="H578" s="455"/>
      <c r="I578" s="455"/>
      <c r="J578" s="455"/>
      <c r="K578" s="456"/>
      <c r="L578" s="455"/>
      <c r="M578" s="455"/>
      <c r="N578" s="455"/>
      <c r="O578" s="455"/>
      <c r="P578" s="456"/>
      <c r="Q578" s="456"/>
      <c r="R578" s="457"/>
      <c r="S578" s="456"/>
      <c r="T578" s="455"/>
      <c r="U578" s="455"/>
      <c r="V578" s="455"/>
      <c r="W578" s="456"/>
      <c r="X578" s="455"/>
      <c r="Y578" s="455"/>
      <c r="Z578" s="455"/>
      <c r="AA578" s="455"/>
      <c r="AB578" s="456"/>
      <c r="AC578" s="455"/>
      <c r="AD578" s="455"/>
      <c r="AE578" s="455"/>
      <c r="AF578" s="455"/>
      <c r="AG578" s="455"/>
      <c r="AH578" s="455"/>
      <c r="AI578" s="455"/>
      <c r="AJ578" s="456"/>
      <c r="AK578" s="456"/>
      <c r="AL578" s="456"/>
      <c r="AM578" s="456"/>
      <c r="AN578" s="456"/>
      <c r="AO578" s="456"/>
      <c r="AP578" s="456"/>
      <c r="AQ578" s="456"/>
      <c r="AR578" s="458"/>
      <c r="AS578" s="459"/>
      <c r="AT578" s="459"/>
      <c r="AU578" s="459"/>
      <c r="AV578" s="478"/>
      <c r="AW578" s="456"/>
      <c r="AX578" s="456"/>
      <c r="AY578" s="456"/>
      <c r="AZ578" s="456"/>
      <c r="BA578" s="456"/>
      <c r="BB578" s="456"/>
      <c r="BC578" s="456"/>
    </row>
    <row r="579" spans="8:55">
      <c r="H579" s="455"/>
      <c r="I579" s="455"/>
      <c r="J579" s="455"/>
      <c r="K579" s="456"/>
      <c r="L579" s="455"/>
      <c r="M579" s="455"/>
      <c r="N579" s="455"/>
      <c r="O579" s="455"/>
      <c r="P579" s="456"/>
      <c r="Q579" s="456"/>
      <c r="R579" s="457"/>
      <c r="S579" s="456"/>
      <c r="T579" s="455"/>
      <c r="U579" s="455"/>
      <c r="V579" s="455"/>
      <c r="W579" s="456"/>
      <c r="X579" s="455"/>
      <c r="Y579" s="455"/>
      <c r="Z579" s="455"/>
      <c r="AA579" s="455"/>
      <c r="AB579" s="456"/>
      <c r="AC579" s="455"/>
      <c r="AD579" s="455"/>
      <c r="AE579" s="455"/>
      <c r="AF579" s="455"/>
      <c r="AG579" s="455"/>
      <c r="AH579" s="455"/>
      <c r="AI579" s="455"/>
      <c r="AJ579" s="456"/>
      <c r="AK579" s="456"/>
      <c r="AL579" s="456"/>
      <c r="AM579" s="456"/>
      <c r="AN579" s="456"/>
      <c r="AO579" s="456"/>
      <c r="AP579" s="456"/>
      <c r="AQ579" s="456"/>
      <c r="AR579" s="458"/>
      <c r="AS579" s="459"/>
      <c r="AT579" s="459"/>
      <c r="AU579" s="459"/>
      <c r="AV579" s="478"/>
      <c r="AW579" s="456"/>
      <c r="AX579" s="456"/>
      <c r="AY579" s="456"/>
      <c r="AZ579" s="456"/>
      <c r="BA579" s="456"/>
      <c r="BB579" s="456"/>
      <c r="BC579" s="456"/>
    </row>
    <row r="580" spans="8:55">
      <c r="H580" s="455"/>
      <c r="I580" s="455"/>
      <c r="J580" s="455"/>
      <c r="K580" s="456"/>
      <c r="L580" s="455"/>
      <c r="M580" s="455"/>
      <c r="N580" s="455"/>
      <c r="O580" s="455"/>
      <c r="P580" s="456"/>
      <c r="Q580" s="456"/>
      <c r="R580" s="457"/>
      <c r="S580" s="456"/>
      <c r="T580" s="455"/>
      <c r="U580" s="455"/>
      <c r="V580" s="455"/>
      <c r="W580" s="456"/>
      <c r="X580" s="455"/>
      <c r="Y580" s="455"/>
      <c r="Z580" s="455"/>
      <c r="AA580" s="455"/>
      <c r="AB580" s="456"/>
      <c r="AC580" s="455"/>
      <c r="AD580" s="455"/>
      <c r="AE580" s="455"/>
      <c r="AF580" s="455"/>
      <c r="AG580" s="455"/>
      <c r="AH580" s="455"/>
      <c r="AI580" s="455"/>
      <c r="AJ580" s="456"/>
      <c r="AK580" s="456"/>
      <c r="AL580" s="456"/>
      <c r="AM580" s="456"/>
      <c r="AN580" s="456"/>
      <c r="AO580" s="456"/>
      <c r="AP580" s="456"/>
      <c r="AQ580" s="456"/>
      <c r="AR580" s="458"/>
      <c r="AS580" s="459"/>
      <c r="AT580" s="459"/>
      <c r="AU580" s="459"/>
      <c r="AV580" s="478"/>
      <c r="AW580" s="456"/>
      <c r="AX580" s="456"/>
      <c r="AY580" s="456"/>
      <c r="AZ580" s="456"/>
      <c r="BA580" s="456"/>
      <c r="BB580" s="456"/>
      <c r="BC580" s="456"/>
    </row>
    <row r="581" spans="8:55">
      <c r="H581" s="455"/>
      <c r="I581" s="455"/>
      <c r="J581" s="455"/>
      <c r="K581" s="456"/>
      <c r="L581" s="455"/>
      <c r="M581" s="455"/>
      <c r="N581" s="455"/>
      <c r="O581" s="455"/>
      <c r="P581" s="456"/>
      <c r="Q581" s="456"/>
      <c r="R581" s="457"/>
      <c r="S581" s="456"/>
      <c r="T581" s="455"/>
      <c r="U581" s="455"/>
      <c r="V581" s="455"/>
      <c r="W581" s="456"/>
      <c r="X581" s="455"/>
      <c r="Y581" s="455"/>
      <c r="Z581" s="455"/>
      <c r="AA581" s="455"/>
      <c r="AB581" s="456"/>
      <c r="AC581" s="455"/>
      <c r="AD581" s="455"/>
      <c r="AE581" s="455"/>
      <c r="AF581" s="455"/>
      <c r="AG581" s="455"/>
      <c r="AH581" s="455"/>
      <c r="AI581" s="455"/>
      <c r="AJ581" s="456"/>
      <c r="AK581" s="456"/>
      <c r="AL581" s="456"/>
      <c r="AM581" s="456"/>
      <c r="AN581" s="456"/>
      <c r="AO581" s="456"/>
      <c r="AP581" s="456"/>
      <c r="AQ581" s="456"/>
      <c r="AR581" s="458"/>
      <c r="AS581" s="459"/>
      <c r="AT581" s="459"/>
      <c r="AU581" s="459"/>
      <c r="AV581" s="478"/>
      <c r="AW581" s="456"/>
      <c r="AX581" s="456"/>
      <c r="AY581" s="456"/>
      <c r="AZ581" s="456"/>
      <c r="BA581" s="456"/>
      <c r="BB581" s="456"/>
      <c r="BC581" s="456"/>
    </row>
    <row r="582" spans="8:55">
      <c r="H582" s="455"/>
      <c r="I582" s="455"/>
      <c r="J582" s="455"/>
      <c r="K582" s="456"/>
      <c r="L582" s="455"/>
      <c r="M582" s="455"/>
      <c r="N582" s="455"/>
      <c r="O582" s="455"/>
      <c r="P582" s="456"/>
      <c r="Q582" s="456"/>
      <c r="R582" s="457"/>
      <c r="S582" s="456"/>
      <c r="T582" s="455"/>
      <c r="U582" s="455"/>
      <c r="V582" s="455"/>
      <c r="W582" s="456"/>
      <c r="X582" s="455"/>
      <c r="Y582" s="455"/>
      <c r="Z582" s="455"/>
      <c r="AA582" s="455"/>
      <c r="AB582" s="456"/>
      <c r="AC582" s="455"/>
      <c r="AD582" s="455"/>
      <c r="AE582" s="455"/>
      <c r="AF582" s="455"/>
      <c r="AG582" s="455"/>
      <c r="AH582" s="455"/>
      <c r="AI582" s="455"/>
      <c r="AJ582" s="456"/>
      <c r="AK582" s="456"/>
      <c r="AL582" s="456"/>
      <c r="AM582" s="456"/>
      <c r="AN582" s="456"/>
      <c r="AO582" s="456"/>
      <c r="AP582" s="456"/>
      <c r="AQ582" s="456"/>
      <c r="AR582" s="458"/>
      <c r="AS582" s="459"/>
      <c r="AT582" s="459"/>
      <c r="AU582" s="459"/>
      <c r="AV582" s="478"/>
      <c r="AW582" s="456"/>
      <c r="AX582" s="456"/>
      <c r="AY582" s="456"/>
      <c r="AZ582" s="456"/>
      <c r="BA582" s="456"/>
      <c r="BB582" s="456"/>
      <c r="BC582" s="456"/>
    </row>
    <row r="583" spans="8:55">
      <c r="H583" s="455"/>
      <c r="I583" s="455"/>
      <c r="J583" s="455"/>
      <c r="K583" s="456"/>
      <c r="L583" s="455"/>
      <c r="M583" s="455"/>
      <c r="N583" s="455"/>
      <c r="O583" s="455"/>
      <c r="P583" s="456"/>
      <c r="Q583" s="456"/>
      <c r="R583" s="457"/>
      <c r="S583" s="456"/>
      <c r="T583" s="455"/>
      <c r="U583" s="455"/>
      <c r="V583" s="455"/>
      <c r="W583" s="456"/>
      <c r="X583" s="455"/>
      <c r="Y583" s="455"/>
      <c r="Z583" s="455"/>
      <c r="AA583" s="455"/>
      <c r="AB583" s="456"/>
      <c r="AC583" s="455"/>
      <c r="AD583" s="455"/>
      <c r="AE583" s="455"/>
      <c r="AF583" s="455"/>
      <c r="AG583" s="455"/>
      <c r="AH583" s="455"/>
      <c r="AI583" s="455"/>
      <c r="AJ583" s="456"/>
      <c r="AK583" s="456"/>
      <c r="AL583" s="456"/>
      <c r="AM583" s="456"/>
      <c r="AN583" s="456"/>
      <c r="AO583" s="456"/>
      <c r="AP583" s="456"/>
      <c r="AQ583" s="456"/>
      <c r="AR583" s="458"/>
      <c r="AS583" s="459"/>
      <c r="AT583" s="459"/>
      <c r="AU583" s="459"/>
      <c r="AV583" s="478"/>
      <c r="AW583" s="456"/>
      <c r="AX583" s="456"/>
      <c r="AY583" s="456"/>
      <c r="AZ583" s="456"/>
      <c r="BA583" s="456"/>
      <c r="BB583" s="456"/>
      <c r="BC583" s="456"/>
    </row>
    <row r="584" spans="8:55">
      <c r="H584" s="455"/>
      <c r="I584" s="455"/>
      <c r="J584" s="455"/>
      <c r="K584" s="456"/>
      <c r="L584" s="455"/>
      <c r="M584" s="455"/>
      <c r="N584" s="455"/>
      <c r="O584" s="455"/>
      <c r="P584" s="456"/>
      <c r="Q584" s="456"/>
      <c r="R584" s="457"/>
      <c r="S584" s="456"/>
      <c r="T584" s="455"/>
      <c r="U584" s="455"/>
      <c r="V584" s="455"/>
      <c r="W584" s="456"/>
      <c r="X584" s="455"/>
      <c r="Y584" s="455"/>
      <c r="Z584" s="455"/>
      <c r="AA584" s="455"/>
      <c r="AB584" s="456"/>
      <c r="AC584" s="455"/>
      <c r="AD584" s="455"/>
      <c r="AE584" s="455"/>
      <c r="AF584" s="455"/>
      <c r="AG584" s="455"/>
      <c r="AH584" s="455"/>
      <c r="AI584" s="455"/>
      <c r="AJ584" s="456"/>
      <c r="AK584" s="456"/>
      <c r="AL584" s="456"/>
      <c r="AM584" s="456"/>
      <c r="AN584" s="456"/>
      <c r="AO584" s="456"/>
      <c r="AP584" s="456"/>
      <c r="AQ584" s="456"/>
      <c r="AR584" s="458"/>
      <c r="AS584" s="459"/>
      <c r="AT584" s="459"/>
      <c r="AU584" s="459"/>
      <c r="AV584" s="478"/>
      <c r="AW584" s="456"/>
      <c r="AX584" s="456"/>
      <c r="AY584" s="456"/>
      <c r="AZ584" s="456"/>
      <c r="BA584" s="456"/>
      <c r="BB584" s="456"/>
      <c r="BC584" s="456"/>
    </row>
    <row r="585" spans="8:55">
      <c r="H585" s="455"/>
      <c r="I585" s="455"/>
      <c r="J585" s="455"/>
      <c r="K585" s="456"/>
      <c r="L585" s="455"/>
      <c r="M585" s="455"/>
      <c r="N585" s="455"/>
      <c r="O585" s="455"/>
      <c r="P585" s="456"/>
      <c r="Q585" s="456"/>
      <c r="R585" s="457"/>
      <c r="S585" s="456"/>
      <c r="T585" s="455"/>
      <c r="U585" s="455"/>
      <c r="V585" s="455"/>
      <c r="W585" s="456"/>
      <c r="X585" s="455"/>
      <c r="Y585" s="455"/>
      <c r="Z585" s="455"/>
      <c r="AA585" s="455"/>
      <c r="AB585" s="456"/>
      <c r="AC585" s="455"/>
      <c r="AD585" s="455"/>
      <c r="AE585" s="455"/>
      <c r="AF585" s="455"/>
      <c r="AG585" s="455"/>
      <c r="AH585" s="455"/>
      <c r="AI585" s="455"/>
      <c r="AJ585" s="456"/>
      <c r="AK585" s="456"/>
      <c r="AL585" s="456"/>
      <c r="AM585" s="456"/>
      <c r="AN585" s="456"/>
      <c r="AO585" s="456"/>
      <c r="AP585" s="456"/>
      <c r="AQ585" s="456"/>
      <c r="AR585" s="458"/>
      <c r="AS585" s="459"/>
      <c r="AT585" s="459"/>
      <c r="AU585" s="459"/>
      <c r="AV585" s="478"/>
      <c r="AW585" s="456"/>
      <c r="AX585" s="456"/>
      <c r="AY585" s="456"/>
      <c r="AZ585" s="456"/>
      <c r="BA585" s="456"/>
      <c r="BB585" s="456"/>
      <c r="BC585" s="456"/>
    </row>
    <row r="586" spans="8:55">
      <c r="H586" s="455"/>
      <c r="I586" s="455"/>
      <c r="J586" s="455"/>
      <c r="K586" s="456"/>
      <c r="L586" s="455"/>
      <c r="M586" s="455"/>
      <c r="N586" s="455"/>
      <c r="O586" s="455"/>
      <c r="P586" s="456"/>
      <c r="Q586" s="456"/>
      <c r="R586" s="457"/>
      <c r="S586" s="456"/>
      <c r="T586" s="455"/>
      <c r="U586" s="455"/>
      <c r="V586" s="455"/>
      <c r="W586" s="456"/>
      <c r="X586" s="455"/>
      <c r="Y586" s="455"/>
      <c r="Z586" s="455"/>
      <c r="AA586" s="455"/>
      <c r="AB586" s="456"/>
      <c r="AC586" s="455"/>
      <c r="AD586" s="455"/>
      <c r="AE586" s="455"/>
      <c r="AF586" s="455"/>
      <c r="AG586" s="455"/>
      <c r="AH586" s="455"/>
      <c r="AI586" s="455"/>
      <c r="AJ586" s="456"/>
      <c r="AK586" s="456"/>
      <c r="AL586" s="456"/>
      <c r="AM586" s="456"/>
      <c r="AN586" s="456"/>
      <c r="AO586" s="456"/>
      <c r="AP586" s="456"/>
      <c r="AQ586" s="456"/>
      <c r="AR586" s="458"/>
      <c r="AS586" s="459"/>
      <c r="AT586" s="459"/>
      <c r="AU586" s="459"/>
      <c r="AV586" s="478"/>
      <c r="AW586" s="456"/>
      <c r="AX586" s="456"/>
      <c r="AY586" s="456"/>
      <c r="AZ586" s="456"/>
      <c r="BA586" s="456"/>
      <c r="BB586" s="456"/>
      <c r="BC586" s="456"/>
    </row>
    <row r="587" spans="8:55">
      <c r="H587" s="455"/>
      <c r="I587" s="455"/>
      <c r="J587" s="455"/>
      <c r="K587" s="456"/>
      <c r="L587" s="455"/>
      <c r="M587" s="455"/>
      <c r="N587" s="455"/>
      <c r="O587" s="455"/>
      <c r="P587" s="456"/>
      <c r="Q587" s="456"/>
      <c r="R587" s="457"/>
      <c r="S587" s="456"/>
      <c r="T587" s="455"/>
      <c r="U587" s="455"/>
      <c r="V587" s="455"/>
      <c r="W587" s="456"/>
      <c r="X587" s="455"/>
      <c r="Y587" s="455"/>
      <c r="Z587" s="455"/>
      <c r="AA587" s="455"/>
      <c r="AB587" s="456"/>
      <c r="AC587" s="455"/>
      <c r="AD587" s="455"/>
      <c r="AE587" s="455"/>
      <c r="AF587" s="455"/>
      <c r="AG587" s="455"/>
      <c r="AH587" s="455"/>
      <c r="AI587" s="455"/>
      <c r="AJ587" s="456"/>
      <c r="AK587" s="456"/>
      <c r="AL587" s="456"/>
      <c r="AM587" s="456"/>
      <c r="AN587" s="456"/>
      <c r="AO587" s="456"/>
      <c r="AP587" s="456"/>
      <c r="AQ587" s="456"/>
      <c r="AR587" s="458"/>
      <c r="AS587" s="459"/>
      <c r="AT587" s="459"/>
      <c r="AU587" s="459"/>
      <c r="AV587" s="478"/>
      <c r="AW587" s="456"/>
      <c r="AX587" s="456"/>
      <c r="AY587" s="456"/>
      <c r="AZ587" s="456"/>
      <c r="BA587" s="456"/>
      <c r="BB587" s="456"/>
      <c r="BC587" s="456"/>
    </row>
    <row r="588" spans="8:55">
      <c r="H588" s="455"/>
      <c r="I588" s="455"/>
      <c r="J588" s="455"/>
      <c r="K588" s="456"/>
      <c r="L588" s="455"/>
      <c r="M588" s="455"/>
      <c r="N588" s="455"/>
      <c r="O588" s="455"/>
      <c r="P588" s="456"/>
      <c r="Q588" s="456"/>
      <c r="R588" s="457"/>
      <c r="S588" s="456"/>
      <c r="T588" s="455"/>
      <c r="U588" s="455"/>
      <c r="V588" s="455"/>
      <c r="W588" s="456"/>
      <c r="X588" s="455"/>
      <c r="Y588" s="455"/>
      <c r="Z588" s="455"/>
      <c r="AA588" s="455"/>
      <c r="AB588" s="456"/>
      <c r="AC588" s="455"/>
      <c r="AD588" s="455"/>
      <c r="AE588" s="455"/>
      <c r="AF588" s="455"/>
      <c r="AG588" s="455"/>
      <c r="AH588" s="455"/>
      <c r="AI588" s="455"/>
      <c r="AJ588" s="456"/>
      <c r="AK588" s="456"/>
      <c r="AL588" s="456"/>
      <c r="AM588" s="456"/>
      <c r="AN588" s="456"/>
      <c r="AO588" s="456"/>
      <c r="AP588" s="456"/>
      <c r="AQ588" s="456"/>
      <c r="AR588" s="458"/>
      <c r="AS588" s="459"/>
      <c r="AT588" s="459"/>
      <c r="AU588" s="459"/>
      <c r="AV588" s="478"/>
      <c r="AW588" s="456"/>
      <c r="AX588" s="456"/>
      <c r="AY588" s="456"/>
      <c r="AZ588" s="456"/>
      <c r="BA588" s="456"/>
      <c r="BB588" s="456"/>
      <c r="BC588" s="456"/>
    </row>
    <row r="589" spans="8:55">
      <c r="H589" s="455"/>
      <c r="I589" s="455"/>
      <c r="J589" s="455"/>
      <c r="K589" s="456"/>
      <c r="L589" s="455"/>
      <c r="M589" s="455"/>
      <c r="N589" s="455"/>
      <c r="O589" s="455"/>
      <c r="P589" s="456"/>
      <c r="Q589" s="456"/>
      <c r="R589" s="457"/>
      <c r="S589" s="456"/>
      <c r="T589" s="455"/>
      <c r="U589" s="455"/>
      <c r="V589" s="455"/>
      <c r="W589" s="456"/>
      <c r="X589" s="455"/>
      <c r="Y589" s="455"/>
      <c r="Z589" s="455"/>
      <c r="AA589" s="455"/>
      <c r="AB589" s="456"/>
      <c r="AC589" s="455"/>
      <c r="AD589" s="455"/>
      <c r="AE589" s="455"/>
      <c r="AF589" s="455"/>
      <c r="AG589" s="455"/>
      <c r="AH589" s="455"/>
      <c r="AI589" s="455"/>
      <c r="AJ589" s="456"/>
      <c r="AK589" s="456"/>
      <c r="AL589" s="456"/>
      <c r="AM589" s="456"/>
      <c r="AN589" s="456"/>
      <c r="AO589" s="456"/>
      <c r="AP589" s="456"/>
      <c r="AQ589" s="456"/>
      <c r="AR589" s="458"/>
      <c r="AS589" s="459"/>
      <c r="AT589" s="459"/>
      <c r="AU589" s="459"/>
      <c r="AV589" s="478"/>
      <c r="AW589" s="456"/>
      <c r="AX589" s="456"/>
      <c r="AY589" s="456"/>
      <c r="AZ589" s="456"/>
      <c r="BA589" s="456"/>
      <c r="BB589" s="456"/>
      <c r="BC589" s="456"/>
    </row>
    <row r="590" spans="8:55">
      <c r="H590" s="455"/>
      <c r="I590" s="455"/>
      <c r="J590" s="455"/>
      <c r="K590" s="456"/>
      <c r="L590" s="455"/>
      <c r="M590" s="455"/>
      <c r="N590" s="455"/>
      <c r="O590" s="455"/>
      <c r="P590" s="456"/>
      <c r="Q590" s="456"/>
      <c r="R590" s="457"/>
      <c r="S590" s="456"/>
      <c r="T590" s="455"/>
      <c r="U590" s="455"/>
      <c r="V590" s="455"/>
      <c r="W590" s="456"/>
      <c r="X590" s="455"/>
      <c r="Y590" s="455"/>
      <c r="Z590" s="455"/>
      <c r="AA590" s="455"/>
      <c r="AB590" s="456"/>
      <c r="AC590" s="455"/>
      <c r="AD590" s="455"/>
      <c r="AE590" s="455"/>
      <c r="AF590" s="455"/>
      <c r="AG590" s="455"/>
      <c r="AH590" s="455"/>
      <c r="AI590" s="455"/>
      <c r="AJ590" s="456"/>
      <c r="AK590" s="456"/>
      <c r="AL590" s="456"/>
      <c r="AM590" s="456"/>
      <c r="AN590" s="456"/>
      <c r="AO590" s="456"/>
      <c r="AP590" s="456"/>
      <c r="AQ590" s="456"/>
      <c r="AR590" s="458"/>
      <c r="AS590" s="459"/>
      <c r="AT590" s="459"/>
      <c r="AU590" s="459"/>
      <c r="AV590" s="478"/>
      <c r="AW590" s="456"/>
      <c r="AX590" s="456"/>
      <c r="AY590" s="456"/>
      <c r="AZ590" s="456"/>
      <c r="BA590" s="456"/>
      <c r="BB590" s="456"/>
      <c r="BC590" s="456"/>
    </row>
    <row r="591" spans="8:55">
      <c r="H591" s="455"/>
      <c r="I591" s="455"/>
      <c r="J591" s="455"/>
      <c r="K591" s="456"/>
      <c r="L591" s="455"/>
      <c r="M591" s="455"/>
      <c r="N591" s="455"/>
      <c r="O591" s="455"/>
      <c r="P591" s="456"/>
      <c r="Q591" s="456"/>
      <c r="R591" s="457"/>
      <c r="S591" s="456"/>
      <c r="T591" s="455"/>
      <c r="U591" s="455"/>
      <c r="V591" s="455"/>
      <c r="W591" s="456"/>
      <c r="X591" s="455"/>
      <c r="Y591" s="455"/>
      <c r="Z591" s="455"/>
      <c r="AA591" s="455"/>
      <c r="AB591" s="456"/>
      <c r="AC591" s="455"/>
      <c r="AD591" s="455"/>
      <c r="AE591" s="455"/>
      <c r="AF591" s="455"/>
      <c r="AG591" s="455"/>
      <c r="AH591" s="455"/>
      <c r="AI591" s="455"/>
      <c r="AJ591" s="456"/>
      <c r="AK591" s="456"/>
      <c r="AL591" s="456"/>
      <c r="AM591" s="456"/>
      <c r="AN591" s="456"/>
      <c r="AO591" s="456"/>
      <c r="AP591" s="456"/>
      <c r="AQ591" s="456"/>
      <c r="AR591" s="458"/>
      <c r="AS591" s="459"/>
      <c r="AT591" s="459"/>
      <c r="AU591" s="459"/>
      <c r="AV591" s="478"/>
      <c r="AW591" s="456"/>
      <c r="AX591" s="456"/>
      <c r="AY591" s="456"/>
      <c r="AZ591" s="456"/>
      <c r="BA591" s="456"/>
      <c r="BB591" s="456"/>
      <c r="BC591" s="456"/>
    </row>
    <row r="592" spans="8:55">
      <c r="H592" s="455"/>
      <c r="I592" s="455"/>
      <c r="J592" s="455"/>
      <c r="K592" s="456"/>
      <c r="L592" s="455"/>
      <c r="M592" s="455"/>
      <c r="N592" s="455"/>
      <c r="O592" s="455"/>
      <c r="P592" s="456"/>
      <c r="Q592" s="456"/>
      <c r="R592" s="457"/>
      <c r="S592" s="456"/>
      <c r="T592" s="455"/>
      <c r="U592" s="455"/>
      <c r="V592" s="455"/>
      <c r="W592" s="456"/>
      <c r="X592" s="455"/>
      <c r="Y592" s="455"/>
      <c r="Z592" s="455"/>
      <c r="AA592" s="455"/>
      <c r="AB592" s="456"/>
      <c r="AC592" s="455"/>
      <c r="AD592" s="455"/>
      <c r="AE592" s="455"/>
      <c r="AF592" s="455"/>
      <c r="AG592" s="455"/>
      <c r="AH592" s="455"/>
      <c r="AI592" s="455"/>
      <c r="AJ592" s="456"/>
      <c r="AK592" s="456"/>
      <c r="AL592" s="456"/>
      <c r="AM592" s="456"/>
      <c r="AN592" s="456"/>
      <c r="AO592" s="456"/>
      <c r="AP592" s="456"/>
      <c r="AQ592" s="456"/>
      <c r="AR592" s="458"/>
      <c r="AS592" s="459"/>
      <c r="AT592" s="459"/>
      <c r="AU592" s="459"/>
      <c r="AV592" s="478"/>
      <c r="AW592" s="456"/>
      <c r="AX592" s="456"/>
      <c r="AY592" s="456"/>
      <c r="AZ592" s="456"/>
      <c r="BA592" s="456"/>
      <c r="BB592" s="456"/>
      <c r="BC592" s="456"/>
    </row>
    <row r="593" spans="8:55">
      <c r="H593" s="455"/>
      <c r="I593" s="455"/>
      <c r="J593" s="455"/>
      <c r="K593" s="456"/>
      <c r="L593" s="455"/>
      <c r="M593" s="455"/>
      <c r="N593" s="455"/>
      <c r="O593" s="455"/>
      <c r="P593" s="456"/>
      <c r="Q593" s="456"/>
      <c r="R593" s="457"/>
      <c r="S593" s="456"/>
      <c r="T593" s="455"/>
      <c r="U593" s="455"/>
      <c r="V593" s="455"/>
      <c r="W593" s="456"/>
      <c r="X593" s="455"/>
      <c r="Y593" s="455"/>
      <c r="Z593" s="455"/>
      <c r="AA593" s="455"/>
      <c r="AB593" s="456"/>
      <c r="AC593" s="455"/>
      <c r="AD593" s="455"/>
      <c r="AE593" s="455"/>
      <c r="AF593" s="455"/>
      <c r="AG593" s="455"/>
      <c r="AH593" s="455"/>
      <c r="AI593" s="455"/>
      <c r="AJ593" s="456"/>
      <c r="AK593" s="456"/>
      <c r="AL593" s="456"/>
      <c r="AM593" s="456"/>
      <c r="AN593" s="456"/>
      <c r="AO593" s="456"/>
      <c r="AP593" s="456"/>
      <c r="AQ593" s="456"/>
      <c r="AR593" s="458"/>
      <c r="AS593" s="459"/>
      <c r="AT593" s="459"/>
      <c r="AU593" s="459"/>
      <c r="AV593" s="478"/>
      <c r="AW593" s="456"/>
      <c r="AX593" s="456"/>
      <c r="AY593" s="456"/>
      <c r="AZ593" s="456"/>
      <c r="BA593" s="456"/>
      <c r="BB593" s="456"/>
      <c r="BC593" s="456"/>
    </row>
    <row r="594" spans="8:55">
      <c r="H594" s="455"/>
      <c r="I594" s="455"/>
      <c r="J594" s="455"/>
      <c r="K594" s="456"/>
      <c r="L594" s="455"/>
      <c r="M594" s="455"/>
      <c r="N594" s="455"/>
      <c r="O594" s="455"/>
      <c r="P594" s="456"/>
      <c r="Q594" s="456"/>
      <c r="R594" s="457"/>
      <c r="S594" s="456"/>
      <c r="T594" s="455"/>
      <c r="U594" s="455"/>
      <c r="V594" s="455"/>
      <c r="W594" s="456"/>
      <c r="X594" s="455"/>
      <c r="Y594" s="455"/>
      <c r="Z594" s="455"/>
      <c r="AA594" s="455"/>
      <c r="AB594" s="456"/>
      <c r="AC594" s="455"/>
      <c r="AD594" s="455"/>
      <c r="AE594" s="455"/>
      <c r="AF594" s="455"/>
      <c r="AG594" s="455"/>
      <c r="AH594" s="455"/>
      <c r="AI594" s="455"/>
      <c r="AJ594" s="456"/>
      <c r="AK594" s="456"/>
      <c r="AL594" s="456"/>
      <c r="AM594" s="456"/>
      <c r="AN594" s="456"/>
      <c r="AO594" s="456"/>
      <c r="AP594" s="456"/>
      <c r="AQ594" s="456"/>
      <c r="AR594" s="458"/>
      <c r="AS594" s="459"/>
      <c r="AT594" s="459"/>
      <c r="AU594" s="459"/>
      <c r="AV594" s="478"/>
      <c r="AW594" s="456"/>
      <c r="AX594" s="456"/>
      <c r="AY594" s="456"/>
      <c r="AZ594" s="456"/>
      <c r="BA594" s="456"/>
      <c r="BB594" s="456"/>
      <c r="BC594" s="456"/>
    </row>
    <row r="595" spans="8:55">
      <c r="H595" s="455"/>
      <c r="I595" s="455"/>
      <c r="J595" s="455"/>
      <c r="K595" s="456"/>
      <c r="L595" s="455"/>
      <c r="M595" s="455"/>
      <c r="N595" s="455"/>
      <c r="O595" s="455"/>
      <c r="P595" s="456"/>
      <c r="Q595" s="456"/>
      <c r="R595" s="457"/>
      <c r="S595" s="456"/>
      <c r="T595" s="455"/>
      <c r="U595" s="455"/>
      <c r="V595" s="455"/>
      <c r="W595" s="456"/>
      <c r="X595" s="455"/>
      <c r="Y595" s="455"/>
      <c r="Z595" s="455"/>
      <c r="AA595" s="455"/>
      <c r="AB595" s="456"/>
      <c r="AC595" s="455"/>
      <c r="AD595" s="455"/>
      <c r="AE595" s="455"/>
      <c r="AF595" s="455"/>
      <c r="AG595" s="455"/>
      <c r="AH595" s="455"/>
      <c r="AI595" s="455"/>
      <c r="AJ595" s="456"/>
      <c r="AK595" s="456"/>
      <c r="AL595" s="456"/>
      <c r="AM595" s="456"/>
      <c r="AN595" s="456"/>
      <c r="AO595" s="456"/>
      <c r="AP595" s="456"/>
      <c r="AQ595" s="456"/>
      <c r="AR595" s="458"/>
      <c r="AS595" s="459"/>
      <c r="AT595" s="459"/>
      <c r="AU595" s="459"/>
      <c r="AV595" s="478"/>
      <c r="AW595" s="456"/>
      <c r="AX595" s="456"/>
      <c r="AY595" s="456"/>
      <c r="AZ595" s="456"/>
      <c r="BA595" s="456"/>
      <c r="BB595" s="456"/>
      <c r="BC595" s="456"/>
    </row>
    <row r="596" spans="8:55">
      <c r="H596" s="455"/>
      <c r="I596" s="455"/>
      <c r="J596" s="455"/>
      <c r="K596" s="456"/>
      <c r="L596" s="455"/>
      <c r="M596" s="455"/>
      <c r="N596" s="455"/>
      <c r="O596" s="455"/>
      <c r="P596" s="456"/>
      <c r="Q596" s="456"/>
      <c r="R596" s="457"/>
      <c r="S596" s="456"/>
      <c r="T596" s="455"/>
      <c r="U596" s="455"/>
      <c r="V596" s="455"/>
      <c r="W596" s="456"/>
      <c r="X596" s="455"/>
      <c r="Y596" s="455"/>
      <c r="Z596" s="455"/>
      <c r="AA596" s="455"/>
      <c r="AB596" s="456"/>
      <c r="AC596" s="455"/>
      <c r="AD596" s="455"/>
      <c r="AE596" s="455"/>
      <c r="AF596" s="455"/>
      <c r="AG596" s="455"/>
      <c r="AH596" s="455"/>
      <c r="AI596" s="455"/>
      <c r="AJ596" s="456"/>
      <c r="AK596" s="456"/>
      <c r="AL596" s="456"/>
      <c r="AM596" s="456"/>
      <c r="AN596" s="456"/>
      <c r="AO596" s="456"/>
      <c r="AP596" s="456"/>
      <c r="AQ596" s="456"/>
      <c r="AR596" s="458"/>
      <c r="AS596" s="459"/>
      <c r="AT596" s="459"/>
      <c r="AU596" s="459"/>
      <c r="AV596" s="478"/>
      <c r="AW596" s="456"/>
      <c r="AX596" s="456"/>
      <c r="AY596" s="456"/>
      <c r="AZ596" s="456"/>
      <c r="BA596" s="456"/>
      <c r="BB596" s="456"/>
      <c r="BC596" s="456"/>
    </row>
    <row r="597" spans="8:55">
      <c r="H597" s="455"/>
      <c r="I597" s="455"/>
      <c r="J597" s="455"/>
      <c r="K597" s="456"/>
      <c r="L597" s="455"/>
      <c r="M597" s="455"/>
      <c r="N597" s="455"/>
      <c r="O597" s="455"/>
      <c r="P597" s="456"/>
      <c r="Q597" s="456"/>
      <c r="R597" s="457"/>
      <c r="S597" s="456"/>
      <c r="T597" s="455"/>
      <c r="U597" s="455"/>
      <c r="V597" s="455"/>
      <c r="W597" s="456"/>
      <c r="X597" s="455"/>
      <c r="Y597" s="455"/>
      <c r="Z597" s="455"/>
      <c r="AA597" s="455"/>
      <c r="AB597" s="456"/>
      <c r="AC597" s="455"/>
      <c r="AD597" s="455"/>
      <c r="AE597" s="455"/>
      <c r="AF597" s="455"/>
      <c r="AG597" s="455"/>
      <c r="AH597" s="455"/>
      <c r="AI597" s="455"/>
      <c r="AJ597" s="456"/>
      <c r="AK597" s="456"/>
      <c r="AL597" s="456"/>
      <c r="AM597" s="456"/>
      <c r="AN597" s="456"/>
      <c r="AO597" s="456"/>
      <c r="AP597" s="456"/>
      <c r="AQ597" s="456"/>
      <c r="AR597" s="458"/>
      <c r="AS597" s="459"/>
      <c r="AT597" s="459"/>
      <c r="AU597" s="459"/>
      <c r="AV597" s="478"/>
      <c r="AW597" s="456"/>
      <c r="AX597" s="456"/>
      <c r="AY597" s="456"/>
      <c r="AZ597" s="456"/>
      <c r="BA597" s="456"/>
      <c r="BB597" s="456"/>
      <c r="BC597" s="456"/>
    </row>
    <row r="598" spans="8:55">
      <c r="H598" s="455"/>
      <c r="I598" s="455"/>
      <c r="J598" s="455"/>
      <c r="K598" s="456"/>
      <c r="L598" s="455"/>
      <c r="M598" s="455"/>
      <c r="N598" s="455"/>
      <c r="O598" s="455"/>
      <c r="P598" s="456"/>
      <c r="Q598" s="456"/>
      <c r="R598" s="457"/>
      <c r="S598" s="456"/>
      <c r="T598" s="455"/>
      <c r="U598" s="455"/>
      <c r="V598" s="455"/>
      <c r="W598" s="456"/>
      <c r="X598" s="455"/>
      <c r="Y598" s="455"/>
      <c r="Z598" s="455"/>
      <c r="AA598" s="455"/>
      <c r="AB598" s="456"/>
      <c r="AC598" s="455"/>
      <c r="AD598" s="455"/>
      <c r="AE598" s="455"/>
      <c r="AF598" s="455"/>
      <c r="AG598" s="455"/>
      <c r="AH598" s="455"/>
      <c r="AI598" s="455"/>
      <c r="AJ598" s="456"/>
      <c r="AK598" s="456"/>
      <c r="AL598" s="456"/>
      <c r="AM598" s="456"/>
      <c r="AN598" s="456"/>
      <c r="AO598" s="456"/>
      <c r="AP598" s="456"/>
      <c r="AQ598" s="456"/>
      <c r="AR598" s="458"/>
      <c r="AS598" s="459"/>
      <c r="AT598" s="459"/>
      <c r="AU598" s="459"/>
      <c r="AV598" s="478"/>
      <c r="AW598" s="456"/>
      <c r="AX598" s="456"/>
      <c r="AY598" s="456"/>
      <c r="AZ598" s="456"/>
      <c r="BA598" s="456"/>
      <c r="BB598" s="456"/>
      <c r="BC598" s="456"/>
    </row>
    <row r="599" spans="8:55">
      <c r="H599" s="455"/>
      <c r="I599" s="455"/>
      <c r="J599" s="455"/>
      <c r="K599" s="456"/>
      <c r="L599" s="455"/>
      <c r="M599" s="455"/>
      <c r="N599" s="455"/>
      <c r="O599" s="455"/>
      <c r="P599" s="456"/>
      <c r="Q599" s="456"/>
      <c r="R599" s="457"/>
      <c r="S599" s="456"/>
      <c r="T599" s="455"/>
      <c r="U599" s="455"/>
      <c r="V599" s="455"/>
      <c r="W599" s="456"/>
      <c r="X599" s="455"/>
      <c r="Y599" s="455"/>
      <c r="Z599" s="455"/>
      <c r="AA599" s="455"/>
      <c r="AB599" s="456"/>
      <c r="AC599" s="455"/>
      <c r="AD599" s="455"/>
      <c r="AE599" s="455"/>
      <c r="AF599" s="455"/>
      <c r="AG599" s="455"/>
      <c r="AH599" s="455"/>
      <c r="AI599" s="455"/>
      <c r="AJ599" s="456"/>
      <c r="AK599" s="456"/>
      <c r="AL599" s="456"/>
      <c r="AM599" s="456"/>
      <c r="AN599" s="456"/>
      <c r="AO599" s="456"/>
      <c r="AP599" s="456"/>
      <c r="AQ599" s="456"/>
      <c r="AR599" s="458"/>
      <c r="AS599" s="459"/>
      <c r="AT599" s="459"/>
      <c r="AU599" s="459"/>
      <c r="AV599" s="478"/>
      <c r="AW599" s="456"/>
      <c r="AX599" s="456"/>
      <c r="AY599" s="456"/>
      <c r="AZ599" s="456"/>
      <c r="BA599" s="456"/>
      <c r="BB599" s="456"/>
      <c r="BC599" s="456"/>
    </row>
    <row r="600" spans="8:55">
      <c r="H600" s="455"/>
      <c r="I600" s="455"/>
      <c r="J600" s="455"/>
      <c r="K600" s="456"/>
      <c r="L600" s="455"/>
      <c r="M600" s="455"/>
      <c r="N600" s="455"/>
      <c r="O600" s="455"/>
      <c r="P600" s="456"/>
      <c r="Q600" s="456"/>
      <c r="R600" s="457"/>
      <c r="S600" s="456"/>
      <c r="T600" s="455"/>
      <c r="U600" s="455"/>
      <c r="V600" s="455"/>
      <c r="W600" s="456"/>
      <c r="X600" s="455"/>
      <c r="Y600" s="455"/>
      <c r="Z600" s="455"/>
      <c r="AA600" s="455"/>
      <c r="AB600" s="456"/>
      <c r="AC600" s="455"/>
      <c r="AD600" s="455"/>
      <c r="AE600" s="455"/>
      <c r="AF600" s="455"/>
      <c r="AG600" s="455"/>
      <c r="AH600" s="455"/>
      <c r="AI600" s="455"/>
      <c r="AJ600" s="456"/>
      <c r="AK600" s="456"/>
      <c r="AL600" s="456"/>
      <c r="AM600" s="456"/>
      <c r="AN600" s="456"/>
      <c r="AO600" s="456"/>
      <c r="AP600" s="456"/>
      <c r="AQ600" s="456"/>
      <c r="AR600" s="458"/>
      <c r="AS600" s="459"/>
      <c r="AT600" s="459"/>
      <c r="AU600" s="459"/>
      <c r="AV600" s="478"/>
      <c r="AW600" s="456"/>
      <c r="AX600" s="456"/>
      <c r="AY600" s="456"/>
      <c r="AZ600" s="456"/>
      <c r="BA600" s="456"/>
      <c r="BB600" s="456"/>
      <c r="BC600" s="456"/>
    </row>
    <row r="601" spans="8:55">
      <c r="H601" s="455"/>
      <c r="I601" s="455"/>
      <c r="J601" s="455"/>
      <c r="K601" s="456"/>
      <c r="L601" s="455"/>
      <c r="M601" s="455"/>
      <c r="N601" s="455"/>
      <c r="O601" s="455"/>
      <c r="P601" s="456"/>
      <c r="Q601" s="456"/>
      <c r="R601" s="457"/>
      <c r="S601" s="456"/>
      <c r="T601" s="455"/>
      <c r="U601" s="455"/>
      <c r="V601" s="455"/>
      <c r="W601" s="456"/>
      <c r="X601" s="455"/>
      <c r="Y601" s="455"/>
      <c r="Z601" s="455"/>
      <c r="AA601" s="455"/>
      <c r="AB601" s="456"/>
      <c r="AC601" s="455"/>
      <c r="AD601" s="455"/>
      <c r="AE601" s="455"/>
      <c r="AF601" s="455"/>
      <c r="AG601" s="455"/>
      <c r="AH601" s="455"/>
      <c r="AI601" s="455"/>
      <c r="AJ601" s="456"/>
      <c r="AK601" s="456"/>
      <c r="AL601" s="456"/>
      <c r="AM601" s="456"/>
      <c r="AN601" s="456"/>
      <c r="AO601" s="456"/>
      <c r="AP601" s="456"/>
      <c r="AQ601" s="456"/>
      <c r="AR601" s="458"/>
      <c r="AS601" s="459"/>
      <c r="AT601" s="459"/>
      <c r="AU601" s="459"/>
      <c r="AV601" s="478"/>
      <c r="AW601" s="456"/>
      <c r="AX601" s="456"/>
      <c r="AY601" s="456"/>
      <c r="AZ601" s="456"/>
      <c r="BA601" s="456"/>
      <c r="BB601" s="456"/>
      <c r="BC601" s="456"/>
    </row>
    <row r="602" spans="8:55">
      <c r="H602" s="455"/>
      <c r="I602" s="455"/>
      <c r="J602" s="455"/>
      <c r="K602" s="456"/>
      <c r="L602" s="455"/>
      <c r="M602" s="455"/>
      <c r="N602" s="455"/>
      <c r="O602" s="455"/>
      <c r="P602" s="456"/>
      <c r="Q602" s="456"/>
      <c r="R602" s="457"/>
      <c r="S602" s="456"/>
      <c r="T602" s="455"/>
      <c r="U602" s="455"/>
      <c r="V602" s="455"/>
      <c r="W602" s="456"/>
      <c r="X602" s="455"/>
      <c r="Y602" s="455"/>
      <c r="Z602" s="455"/>
      <c r="AA602" s="455"/>
      <c r="AB602" s="456"/>
      <c r="AC602" s="455"/>
      <c r="AD602" s="455"/>
      <c r="AE602" s="455"/>
      <c r="AF602" s="455"/>
      <c r="AG602" s="455"/>
      <c r="AH602" s="455"/>
      <c r="AI602" s="455"/>
      <c r="AJ602" s="456"/>
      <c r="AK602" s="456"/>
      <c r="AL602" s="456"/>
      <c r="AM602" s="456"/>
      <c r="AN602" s="456"/>
      <c r="AO602" s="456"/>
      <c r="AP602" s="456"/>
      <c r="AQ602" s="456"/>
      <c r="AR602" s="458"/>
      <c r="AS602" s="459"/>
      <c r="AT602" s="459"/>
      <c r="AU602" s="459"/>
      <c r="AV602" s="478"/>
      <c r="AW602" s="456"/>
      <c r="AX602" s="456"/>
      <c r="AY602" s="456"/>
      <c r="AZ602" s="456"/>
      <c r="BA602" s="456"/>
      <c r="BB602" s="456"/>
      <c r="BC602" s="456"/>
    </row>
    <row r="603" spans="8:55">
      <c r="H603" s="455"/>
      <c r="I603" s="455"/>
      <c r="J603" s="455"/>
      <c r="K603" s="456"/>
      <c r="L603" s="455"/>
      <c r="M603" s="455"/>
      <c r="N603" s="455"/>
      <c r="O603" s="455"/>
      <c r="P603" s="456"/>
      <c r="Q603" s="456"/>
      <c r="R603" s="457"/>
      <c r="S603" s="456"/>
      <c r="T603" s="455"/>
      <c r="U603" s="455"/>
      <c r="V603" s="455"/>
      <c r="W603" s="456"/>
      <c r="X603" s="455"/>
      <c r="Y603" s="455"/>
      <c r="Z603" s="455"/>
      <c r="AA603" s="455"/>
      <c r="AB603" s="456"/>
      <c r="AC603" s="455"/>
      <c r="AD603" s="455"/>
      <c r="AE603" s="455"/>
      <c r="AF603" s="455"/>
      <c r="AG603" s="455"/>
      <c r="AH603" s="455"/>
      <c r="AI603" s="455"/>
      <c r="AJ603" s="456"/>
      <c r="AK603" s="456"/>
      <c r="AL603" s="456"/>
      <c r="AM603" s="456"/>
      <c r="AN603" s="456"/>
      <c r="AO603" s="456"/>
      <c r="AP603" s="456"/>
      <c r="AQ603" s="456"/>
      <c r="AR603" s="458"/>
      <c r="AS603" s="459"/>
      <c r="AT603" s="459"/>
      <c r="AU603" s="459"/>
      <c r="AV603" s="478"/>
      <c r="AW603" s="456"/>
      <c r="AX603" s="456"/>
      <c r="AY603" s="456"/>
      <c r="AZ603" s="456"/>
      <c r="BA603" s="456"/>
      <c r="BB603" s="456"/>
      <c r="BC603" s="456"/>
    </row>
    <row r="604" spans="8:55">
      <c r="H604" s="455"/>
      <c r="I604" s="455"/>
      <c r="J604" s="455"/>
      <c r="K604" s="456"/>
      <c r="L604" s="455"/>
      <c r="M604" s="455"/>
      <c r="N604" s="455"/>
      <c r="O604" s="455"/>
      <c r="P604" s="456"/>
      <c r="Q604" s="456"/>
      <c r="R604" s="457"/>
      <c r="S604" s="456"/>
      <c r="T604" s="455"/>
      <c r="U604" s="455"/>
      <c r="V604" s="455"/>
      <c r="W604" s="456"/>
      <c r="X604" s="455"/>
      <c r="Y604" s="455"/>
      <c r="Z604" s="455"/>
      <c r="AA604" s="455"/>
      <c r="AB604" s="456"/>
      <c r="AC604" s="455"/>
      <c r="AD604" s="455"/>
      <c r="AE604" s="455"/>
      <c r="AF604" s="455"/>
      <c r="AG604" s="455"/>
      <c r="AH604" s="455"/>
      <c r="AI604" s="455"/>
      <c r="AJ604" s="456"/>
      <c r="AK604" s="456"/>
      <c r="AL604" s="456"/>
      <c r="AM604" s="456"/>
      <c r="AN604" s="456"/>
      <c r="AO604" s="456"/>
      <c r="AP604" s="456"/>
      <c r="AQ604" s="456"/>
      <c r="AR604" s="458"/>
      <c r="AS604" s="459"/>
      <c r="AT604" s="459"/>
      <c r="AU604" s="459"/>
      <c r="AV604" s="478"/>
      <c r="AW604" s="456"/>
      <c r="AX604" s="456"/>
      <c r="AY604" s="456"/>
      <c r="AZ604" s="456"/>
      <c r="BA604" s="456"/>
      <c r="BB604" s="456"/>
      <c r="BC604" s="456"/>
    </row>
    <row r="605" spans="8:55">
      <c r="H605" s="455"/>
      <c r="I605" s="455"/>
      <c r="J605" s="455"/>
      <c r="K605" s="456"/>
      <c r="L605" s="455"/>
      <c r="M605" s="455"/>
      <c r="N605" s="455"/>
      <c r="O605" s="455"/>
      <c r="P605" s="456"/>
      <c r="Q605" s="456"/>
      <c r="R605" s="457"/>
      <c r="S605" s="456"/>
      <c r="T605" s="455"/>
      <c r="U605" s="455"/>
      <c r="V605" s="455"/>
      <c r="W605" s="456"/>
      <c r="X605" s="455"/>
      <c r="Y605" s="455"/>
      <c r="Z605" s="455"/>
      <c r="AA605" s="455"/>
      <c r="AB605" s="456"/>
      <c r="AC605" s="455"/>
      <c r="AD605" s="455"/>
      <c r="AE605" s="455"/>
      <c r="AF605" s="455"/>
      <c r="AG605" s="455"/>
      <c r="AH605" s="455"/>
      <c r="AI605" s="455"/>
      <c r="AJ605" s="456"/>
      <c r="AK605" s="456"/>
      <c r="AL605" s="456"/>
      <c r="AM605" s="456"/>
      <c r="AN605" s="456"/>
      <c r="AO605" s="456"/>
      <c r="AP605" s="456"/>
      <c r="AQ605" s="456"/>
      <c r="AR605" s="458"/>
      <c r="AS605" s="459"/>
      <c r="AT605" s="459"/>
      <c r="AU605" s="459"/>
      <c r="AV605" s="478"/>
      <c r="AW605" s="456"/>
      <c r="AX605" s="456"/>
      <c r="AY605" s="456"/>
      <c r="AZ605" s="456"/>
      <c r="BA605" s="456"/>
      <c r="BB605" s="456"/>
      <c r="BC605" s="456"/>
    </row>
    <row r="606" spans="8:55">
      <c r="H606" s="455"/>
      <c r="I606" s="455"/>
      <c r="J606" s="455"/>
      <c r="K606" s="456"/>
      <c r="L606" s="455"/>
      <c r="M606" s="455"/>
      <c r="N606" s="455"/>
      <c r="O606" s="455"/>
      <c r="P606" s="456"/>
      <c r="Q606" s="456"/>
      <c r="R606" s="457"/>
      <c r="S606" s="456"/>
      <c r="T606" s="455"/>
      <c r="U606" s="455"/>
      <c r="V606" s="455"/>
      <c r="W606" s="456"/>
      <c r="X606" s="455"/>
      <c r="Y606" s="455"/>
      <c r="Z606" s="455"/>
      <c r="AA606" s="455"/>
      <c r="AB606" s="456"/>
      <c r="AC606" s="455"/>
      <c r="AD606" s="455"/>
      <c r="AE606" s="455"/>
      <c r="AF606" s="455"/>
      <c r="AG606" s="455"/>
      <c r="AH606" s="455"/>
      <c r="AI606" s="455"/>
      <c r="AJ606" s="456"/>
      <c r="AK606" s="456"/>
      <c r="AL606" s="456"/>
      <c r="AM606" s="456"/>
      <c r="AN606" s="456"/>
      <c r="AO606" s="456"/>
      <c r="AP606" s="456"/>
      <c r="AQ606" s="456"/>
      <c r="AR606" s="458"/>
      <c r="AS606" s="459"/>
      <c r="AT606" s="459"/>
      <c r="AU606" s="459"/>
      <c r="AV606" s="478"/>
      <c r="AW606" s="456"/>
      <c r="AX606" s="456"/>
      <c r="AY606" s="456"/>
      <c r="AZ606" s="456"/>
      <c r="BA606" s="456"/>
      <c r="BB606" s="456"/>
      <c r="BC606" s="456"/>
    </row>
    <row r="607" spans="8:55">
      <c r="H607" s="455"/>
      <c r="I607" s="455"/>
      <c r="J607" s="455"/>
      <c r="K607" s="456"/>
      <c r="L607" s="455"/>
      <c r="M607" s="455"/>
      <c r="N607" s="455"/>
      <c r="O607" s="455"/>
      <c r="P607" s="456"/>
      <c r="Q607" s="456"/>
      <c r="R607" s="457"/>
      <c r="S607" s="456"/>
      <c r="T607" s="455"/>
      <c r="U607" s="455"/>
      <c r="V607" s="455"/>
      <c r="W607" s="456"/>
      <c r="X607" s="455"/>
      <c r="Y607" s="455"/>
      <c r="Z607" s="455"/>
      <c r="AA607" s="455"/>
      <c r="AB607" s="456"/>
      <c r="AC607" s="455"/>
      <c r="AD607" s="455"/>
      <c r="AE607" s="455"/>
      <c r="AF607" s="455"/>
      <c r="AG607" s="455"/>
      <c r="AH607" s="455"/>
      <c r="AI607" s="455"/>
      <c r="AJ607" s="456"/>
      <c r="AK607" s="456"/>
      <c r="AL607" s="456"/>
      <c r="AM607" s="456"/>
      <c r="AN607" s="456"/>
      <c r="AO607" s="456"/>
      <c r="AP607" s="456"/>
      <c r="AQ607" s="456"/>
      <c r="AR607" s="458"/>
      <c r="AS607" s="459"/>
      <c r="AT607" s="459"/>
      <c r="AU607" s="459"/>
      <c r="AV607" s="478"/>
      <c r="AW607" s="456"/>
      <c r="AX607" s="456"/>
      <c r="AY607" s="456"/>
      <c r="AZ607" s="456"/>
      <c r="BA607" s="456"/>
      <c r="BB607" s="456"/>
      <c r="BC607" s="456"/>
    </row>
    <row r="608" spans="8:55">
      <c r="H608" s="455"/>
      <c r="I608" s="455"/>
      <c r="J608" s="455"/>
      <c r="K608" s="456"/>
      <c r="L608" s="455"/>
      <c r="M608" s="455"/>
      <c r="N608" s="455"/>
      <c r="O608" s="455"/>
      <c r="P608" s="456"/>
      <c r="Q608" s="456"/>
      <c r="R608" s="457"/>
      <c r="S608" s="456"/>
      <c r="T608" s="455"/>
      <c r="U608" s="455"/>
      <c r="V608" s="455"/>
      <c r="W608" s="456"/>
      <c r="X608" s="455"/>
      <c r="Y608" s="455"/>
      <c r="Z608" s="455"/>
      <c r="AA608" s="455"/>
      <c r="AB608" s="456"/>
      <c r="AC608" s="455"/>
      <c r="AD608" s="455"/>
      <c r="AE608" s="455"/>
      <c r="AF608" s="455"/>
      <c r="AG608" s="455"/>
      <c r="AH608" s="455"/>
      <c r="AI608" s="455"/>
      <c r="AJ608" s="456"/>
      <c r="AK608" s="456"/>
      <c r="AL608" s="456"/>
      <c r="AM608" s="456"/>
      <c r="AN608" s="456"/>
      <c r="AO608" s="456"/>
      <c r="AP608" s="456"/>
      <c r="AQ608" s="456"/>
      <c r="AR608" s="458"/>
      <c r="AS608" s="459"/>
      <c r="AT608" s="459"/>
      <c r="AU608" s="459"/>
      <c r="AV608" s="478"/>
      <c r="AW608" s="456"/>
      <c r="AX608" s="456"/>
      <c r="AY608" s="456"/>
      <c r="AZ608" s="456"/>
      <c r="BA608" s="456"/>
      <c r="BB608" s="456"/>
      <c r="BC608" s="456"/>
    </row>
    <row r="609" spans="8:55">
      <c r="H609" s="455"/>
      <c r="I609" s="455"/>
      <c r="J609" s="455"/>
      <c r="K609" s="456"/>
      <c r="L609" s="455"/>
      <c r="M609" s="455"/>
      <c r="N609" s="455"/>
      <c r="O609" s="455"/>
      <c r="P609" s="456"/>
      <c r="Q609" s="456"/>
      <c r="R609" s="457"/>
      <c r="S609" s="456"/>
      <c r="T609" s="455"/>
      <c r="U609" s="455"/>
      <c r="V609" s="455"/>
      <c r="W609" s="456"/>
      <c r="X609" s="455"/>
      <c r="Y609" s="455"/>
      <c r="Z609" s="455"/>
      <c r="AA609" s="455"/>
      <c r="AB609" s="456"/>
      <c r="AC609" s="455"/>
      <c r="AD609" s="455"/>
      <c r="AE609" s="455"/>
      <c r="AF609" s="455"/>
      <c r="AG609" s="455"/>
      <c r="AH609" s="455"/>
      <c r="AI609" s="455"/>
      <c r="AJ609" s="456"/>
      <c r="AK609" s="456"/>
      <c r="AL609" s="456"/>
      <c r="AM609" s="456"/>
      <c r="AN609" s="456"/>
      <c r="AO609" s="456"/>
      <c r="AP609" s="456"/>
      <c r="AQ609" s="456"/>
      <c r="AR609" s="458"/>
      <c r="AS609" s="459"/>
      <c r="AT609" s="459"/>
      <c r="AU609" s="459"/>
      <c r="AV609" s="478"/>
      <c r="AW609" s="456"/>
      <c r="AX609" s="456"/>
      <c r="AY609" s="456"/>
      <c r="AZ609" s="456"/>
      <c r="BA609" s="456"/>
      <c r="BB609" s="456"/>
      <c r="BC609" s="456"/>
    </row>
    <row r="610" spans="8:55">
      <c r="H610" s="455"/>
      <c r="I610" s="455"/>
      <c r="J610" s="455"/>
      <c r="K610" s="456"/>
      <c r="L610" s="455"/>
      <c r="M610" s="455"/>
      <c r="N610" s="455"/>
      <c r="O610" s="455"/>
      <c r="P610" s="456"/>
      <c r="Q610" s="456"/>
      <c r="R610" s="457"/>
      <c r="S610" s="456"/>
      <c r="T610" s="455"/>
      <c r="U610" s="455"/>
      <c r="V610" s="455"/>
      <c r="W610" s="456"/>
      <c r="X610" s="455"/>
      <c r="Y610" s="455"/>
      <c r="Z610" s="455"/>
      <c r="AA610" s="455"/>
      <c r="AB610" s="456"/>
      <c r="AC610" s="455"/>
      <c r="AD610" s="455"/>
      <c r="AE610" s="455"/>
      <c r="AF610" s="455"/>
      <c r="AG610" s="455"/>
      <c r="AH610" s="455"/>
      <c r="AI610" s="455"/>
      <c r="AJ610" s="456"/>
      <c r="AK610" s="456"/>
      <c r="AL610" s="456"/>
      <c r="AM610" s="456"/>
      <c r="AN610" s="456"/>
      <c r="AO610" s="456"/>
      <c r="AP610" s="456"/>
      <c r="AQ610" s="456"/>
      <c r="AR610" s="458"/>
      <c r="AS610" s="459"/>
      <c r="AT610" s="459"/>
      <c r="AU610" s="459"/>
      <c r="AV610" s="478"/>
      <c r="AW610" s="456"/>
      <c r="AX610" s="456"/>
      <c r="AY610" s="456"/>
      <c r="AZ610" s="456"/>
      <c r="BA610" s="456"/>
      <c r="BB610" s="456"/>
      <c r="BC610" s="456"/>
    </row>
    <row r="611" spans="8:55">
      <c r="H611" s="455"/>
      <c r="I611" s="455"/>
      <c r="J611" s="455"/>
      <c r="K611" s="456"/>
      <c r="L611" s="455"/>
      <c r="M611" s="455"/>
      <c r="N611" s="455"/>
      <c r="O611" s="455"/>
      <c r="P611" s="456"/>
      <c r="Q611" s="456"/>
      <c r="R611" s="457"/>
      <c r="S611" s="456"/>
      <c r="T611" s="455"/>
      <c r="U611" s="455"/>
      <c r="V611" s="455"/>
      <c r="W611" s="456"/>
      <c r="X611" s="455"/>
      <c r="Y611" s="455"/>
      <c r="Z611" s="455"/>
      <c r="AA611" s="455"/>
      <c r="AB611" s="456"/>
      <c r="AC611" s="455"/>
      <c r="AD611" s="455"/>
      <c r="AE611" s="455"/>
      <c r="AF611" s="455"/>
      <c r="AG611" s="455"/>
      <c r="AH611" s="455"/>
      <c r="AI611" s="455"/>
      <c r="AJ611" s="456"/>
      <c r="AK611" s="456"/>
      <c r="AL611" s="456"/>
      <c r="AM611" s="456"/>
      <c r="AN611" s="456"/>
      <c r="AO611" s="456"/>
      <c r="AP611" s="456"/>
      <c r="AQ611" s="456"/>
      <c r="AR611" s="458"/>
      <c r="AS611" s="459"/>
      <c r="AT611" s="459"/>
      <c r="AU611" s="459"/>
      <c r="AV611" s="478"/>
      <c r="AW611" s="456"/>
      <c r="AX611" s="456"/>
      <c r="AY611" s="456"/>
      <c r="AZ611" s="456"/>
      <c r="BA611" s="456"/>
      <c r="BB611" s="456"/>
      <c r="BC611" s="456"/>
    </row>
    <row r="612" spans="8:55">
      <c r="H612" s="455"/>
      <c r="I612" s="455"/>
      <c r="J612" s="455"/>
      <c r="K612" s="456"/>
      <c r="L612" s="455"/>
      <c r="M612" s="455"/>
      <c r="N612" s="455"/>
      <c r="O612" s="455"/>
      <c r="P612" s="456"/>
      <c r="Q612" s="456"/>
      <c r="R612" s="457"/>
      <c r="S612" s="456"/>
      <c r="T612" s="455"/>
      <c r="U612" s="455"/>
      <c r="V612" s="455"/>
      <c r="W612" s="456"/>
      <c r="X612" s="455"/>
      <c r="Y612" s="455"/>
      <c r="Z612" s="455"/>
      <c r="AA612" s="455"/>
      <c r="AB612" s="456"/>
      <c r="AC612" s="455"/>
      <c r="AD612" s="455"/>
      <c r="AE612" s="455"/>
      <c r="AF612" s="455"/>
      <c r="AG612" s="455"/>
      <c r="AH612" s="455"/>
      <c r="AI612" s="455"/>
      <c r="AJ612" s="456"/>
      <c r="AK612" s="456"/>
      <c r="AL612" s="456"/>
      <c r="AM612" s="456"/>
      <c r="AN612" s="456"/>
      <c r="AO612" s="456"/>
      <c r="AP612" s="456"/>
      <c r="AQ612" s="456"/>
      <c r="AR612" s="458"/>
      <c r="AS612" s="459"/>
      <c r="AT612" s="459"/>
      <c r="AU612" s="459"/>
      <c r="AV612" s="478"/>
      <c r="AW612" s="456"/>
      <c r="AX612" s="456"/>
      <c r="AY612" s="456"/>
      <c r="AZ612" s="456"/>
      <c r="BA612" s="456"/>
      <c r="BB612" s="456"/>
      <c r="BC612" s="456"/>
    </row>
    <row r="613" spans="8:55">
      <c r="H613" s="455"/>
      <c r="I613" s="455"/>
      <c r="J613" s="455"/>
      <c r="K613" s="456"/>
      <c r="L613" s="455"/>
      <c r="M613" s="455"/>
      <c r="N613" s="455"/>
      <c r="O613" s="455"/>
      <c r="P613" s="456"/>
      <c r="Q613" s="456"/>
      <c r="R613" s="457"/>
      <c r="S613" s="456"/>
      <c r="T613" s="455"/>
      <c r="U613" s="455"/>
      <c r="V613" s="455"/>
      <c r="W613" s="456"/>
      <c r="X613" s="455"/>
      <c r="Y613" s="455"/>
      <c r="Z613" s="455"/>
      <c r="AA613" s="455"/>
      <c r="AB613" s="456"/>
      <c r="AC613" s="455"/>
      <c r="AD613" s="455"/>
      <c r="AE613" s="455"/>
      <c r="AF613" s="455"/>
      <c r="AG613" s="455"/>
      <c r="AH613" s="455"/>
      <c r="AI613" s="455"/>
      <c r="AJ613" s="456"/>
      <c r="AK613" s="456"/>
      <c r="AL613" s="456"/>
      <c r="AM613" s="456"/>
      <c r="AN613" s="456"/>
      <c r="AO613" s="456"/>
      <c r="AP613" s="456"/>
      <c r="AQ613" s="456"/>
      <c r="AR613" s="458"/>
      <c r="AS613" s="459"/>
      <c r="AT613" s="459"/>
      <c r="AU613" s="459"/>
      <c r="AV613" s="478"/>
      <c r="AW613" s="456"/>
      <c r="AX613" s="456"/>
      <c r="AY613" s="456"/>
      <c r="AZ613" s="456"/>
      <c r="BA613" s="456"/>
      <c r="BB613" s="456"/>
      <c r="BC613" s="456"/>
    </row>
    <row r="614" spans="8:55">
      <c r="H614" s="455"/>
      <c r="I614" s="455"/>
      <c r="J614" s="455"/>
      <c r="K614" s="456"/>
      <c r="L614" s="455"/>
      <c r="M614" s="455"/>
      <c r="N614" s="455"/>
      <c r="O614" s="455"/>
      <c r="P614" s="456"/>
      <c r="Q614" s="456"/>
      <c r="R614" s="457"/>
      <c r="S614" s="456"/>
      <c r="T614" s="455"/>
      <c r="U614" s="455"/>
      <c r="V614" s="455"/>
      <c r="W614" s="456"/>
      <c r="X614" s="455"/>
      <c r="Y614" s="455"/>
      <c r="Z614" s="455"/>
      <c r="AA614" s="455"/>
      <c r="AB614" s="456"/>
      <c r="AC614" s="455"/>
      <c r="AD614" s="455"/>
      <c r="AE614" s="455"/>
      <c r="AF614" s="455"/>
      <c r="AG614" s="455"/>
      <c r="AH614" s="455"/>
      <c r="AI614" s="455"/>
      <c r="AJ614" s="456"/>
      <c r="AK614" s="456"/>
      <c r="AL614" s="456"/>
      <c r="AM614" s="456"/>
      <c r="AN614" s="456"/>
      <c r="AO614" s="456"/>
      <c r="AP614" s="456"/>
      <c r="AQ614" s="456"/>
      <c r="AR614" s="458"/>
      <c r="AS614" s="459"/>
      <c r="AT614" s="459"/>
      <c r="AU614" s="459"/>
      <c r="AV614" s="478"/>
      <c r="AW614" s="456"/>
      <c r="AX614" s="456"/>
      <c r="AY614" s="456"/>
      <c r="AZ614" s="456"/>
      <c r="BA614" s="456"/>
      <c r="BB614" s="456"/>
      <c r="BC614" s="456"/>
    </row>
    <row r="615" spans="8:55">
      <c r="H615" s="455"/>
      <c r="I615" s="455"/>
      <c r="J615" s="455"/>
      <c r="K615" s="456"/>
      <c r="L615" s="455"/>
      <c r="M615" s="455"/>
      <c r="N615" s="455"/>
      <c r="O615" s="455"/>
      <c r="P615" s="456"/>
      <c r="Q615" s="456"/>
      <c r="R615" s="457"/>
      <c r="S615" s="456"/>
      <c r="T615" s="455"/>
      <c r="U615" s="455"/>
      <c r="V615" s="455"/>
      <c r="W615" s="456"/>
      <c r="X615" s="455"/>
      <c r="Y615" s="455"/>
      <c r="Z615" s="455"/>
      <c r="AA615" s="455"/>
      <c r="AB615" s="456"/>
      <c r="AC615" s="455"/>
      <c r="AD615" s="455"/>
      <c r="AE615" s="455"/>
      <c r="AF615" s="455"/>
      <c r="AG615" s="455"/>
      <c r="AH615" s="455"/>
      <c r="AI615" s="455"/>
      <c r="AJ615" s="456"/>
      <c r="AK615" s="456"/>
      <c r="AL615" s="456"/>
      <c r="AM615" s="456"/>
      <c r="AN615" s="456"/>
      <c r="AO615" s="456"/>
      <c r="AP615" s="456"/>
      <c r="AQ615" s="456"/>
      <c r="AR615" s="458"/>
      <c r="AS615" s="459"/>
      <c r="AT615" s="459"/>
      <c r="AU615" s="459"/>
      <c r="AV615" s="478"/>
      <c r="AW615" s="456"/>
      <c r="AX615" s="456"/>
      <c r="AY615" s="456"/>
      <c r="AZ615" s="456"/>
      <c r="BA615" s="456"/>
      <c r="BB615" s="456"/>
      <c r="BC615" s="456"/>
    </row>
    <row r="616" spans="8:55">
      <c r="H616" s="455"/>
      <c r="I616" s="455"/>
      <c r="J616" s="455"/>
      <c r="K616" s="456"/>
      <c r="L616" s="455"/>
      <c r="M616" s="455"/>
      <c r="N616" s="455"/>
      <c r="O616" s="455"/>
      <c r="P616" s="456"/>
      <c r="Q616" s="456"/>
      <c r="R616" s="457"/>
      <c r="S616" s="456"/>
      <c r="T616" s="455"/>
      <c r="U616" s="455"/>
      <c r="V616" s="455"/>
      <c r="W616" s="456"/>
      <c r="X616" s="455"/>
      <c r="Y616" s="455"/>
      <c r="Z616" s="455"/>
      <c r="AA616" s="455"/>
      <c r="AB616" s="456"/>
      <c r="AC616" s="455"/>
      <c r="AD616" s="455"/>
      <c r="AE616" s="455"/>
      <c r="AF616" s="455"/>
      <c r="AG616" s="455"/>
      <c r="AH616" s="455"/>
      <c r="AI616" s="455"/>
      <c r="AJ616" s="456"/>
      <c r="AK616" s="456"/>
      <c r="AL616" s="456"/>
      <c r="AM616" s="456"/>
      <c r="AN616" s="456"/>
      <c r="AO616" s="456"/>
      <c r="AP616" s="456"/>
      <c r="AQ616" s="456"/>
      <c r="AR616" s="458"/>
      <c r="AS616" s="459"/>
      <c r="AT616" s="459"/>
      <c r="AU616" s="459"/>
      <c r="AV616" s="478"/>
      <c r="AW616" s="456"/>
      <c r="AX616" s="456"/>
      <c r="AY616" s="456"/>
      <c r="AZ616" s="456"/>
      <c r="BA616" s="456"/>
      <c r="BB616" s="456"/>
      <c r="BC616" s="456"/>
    </row>
    <row r="617" spans="8:55">
      <c r="H617" s="455"/>
      <c r="I617" s="455"/>
      <c r="J617" s="455"/>
      <c r="K617" s="456"/>
      <c r="L617" s="455"/>
      <c r="M617" s="455"/>
      <c r="N617" s="455"/>
      <c r="O617" s="455"/>
      <c r="P617" s="456"/>
      <c r="Q617" s="456"/>
      <c r="R617" s="457"/>
      <c r="S617" s="456"/>
      <c r="T617" s="455"/>
      <c r="U617" s="455"/>
      <c r="V617" s="455"/>
      <c r="W617" s="456"/>
      <c r="X617" s="455"/>
      <c r="Y617" s="455"/>
      <c r="Z617" s="455"/>
      <c r="AA617" s="455"/>
      <c r="AB617" s="456"/>
      <c r="AC617" s="455"/>
      <c r="AD617" s="455"/>
      <c r="AE617" s="455"/>
      <c r="AF617" s="455"/>
      <c r="AG617" s="455"/>
      <c r="AH617" s="455"/>
      <c r="AI617" s="455"/>
      <c r="AJ617" s="456"/>
      <c r="AK617" s="456"/>
      <c r="AL617" s="456"/>
      <c r="AM617" s="456"/>
      <c r="AN617" s="456"/>
      <c r="AO617" s="456"/>
      <c r="AP617" s="456"/>
      <c r="AQ617" s="456"/>
      <c r="AR617" s="458"/>
      <c r="AS617" s="459"/>
      <c r="AT617" s="459"/>
      <c r="AU617" s="459"/>
      <c r="AV617" s="478"/>
      <c r="AW617" s="456"/>
      <c r="AX617" s="456"/>
      <c r="AY617" s="456"/>
      <c r="AZ617" s="456"/>
      <c r="BA617" s="456"/>
      <c r="BB617" s="456"/>
      <c r="BC617" s="456"/>
    </row>
    <row r="618" spans="8:55">
      <c r="H618" s="455"/>
      <c r="I618" s="455"/>
      <c r="J618" s="455"/>
      <c r="K618" s="456"/>
      <c r="L618" s="455"/>
      <c r="M618" s="455"/>
      <c r="N618" s="455"/>
      <c r="O618" s="455"/>
      <c r="P618" s="456"/>
      <c r="Q618" s="456"/>
      <c r="R618" s="457"/>
      <c r="S618" s="456"/>
      <c r="T618" s="455"/>
      <c r="U618" s="455"/>
      <c r="V618" s="455"/>
      <c r="W618" s="456"/>
      <c r="X618" s="455"/>
      <c r="Y618" s="455"/>
      <c r="Z618" s="455"/>
      <c r="AA618" s="455"/>
      <c r="AB618" s="456"/>
      <c r="AC618" s="455"/>
      <c r="AD618" s="455"/>
      <c r="AE618" s="455"/>
      <c r="AF618" s="455"/>
      <c r="AG618" s="455"/>
      <c r="AH618" s="455"/>
      <c r="AI618" s="455"/>
      <c r="AJ618" s="456"/>
      <c r="AK618" s="456"/>
      <c r="AL618" s="456"/>
      <c r="AM618" s="456"/>
      <c r="AN618" s="456"/>
      <c r="AO618" s="456"/>
      <c r="AP618" s="456"/>
      <c r="AQ618" s="456"/>
      <c r="AR618" s="458"/>
      <c r="AS618" s="459"/>
      <c r="AT618" s="459"/>
      <c r="AU618" s="459"/>
      <c r="AV618" s="478"/>
      <c r="AW618" s="456"/>
      <c r="AX618" s="456"/>
      <c r="AY618" s="456"/>
      <c r="AZ618" s="456"/>
      <c r="BA618" s="456"/>
      <c r="BB618" s="456"/>
      <c r="BC618" s="456"/>
    </row>
    <row r="619" spans="8:55">
      <c r="H619" s="455"/>
      <c r="I619" s="455"/>
      <c r="J619" s="455"/>
      <c r="K619" s="456"/>
      <c r="L619" s="455"/>
      <c r="M619" s="455"/>
      <c r="N619" s="455"/>
      <c r="O619" s="455"/>
      <c r="P619" s="456"/>
      <c r="Q619" s="456"/>
      <c r="R619" s="457"/>
      <c r="S619" s="456"/>
      <c r="T619" s="455"/>
      <c r="U619" s="455"/>
      <c r="V619" s="455"/>
      <c r="W619" s="456"/>
      <c r="X619" s="455"/>
      <c r="Y619" s="455"/>
      <c r="Z619" s="455"/>
      <c r="AA619" s="455"/>
      <c r="AB619" s="456"/>
      <c r="AC619" s="455"/>
      <c r="AD619" s="455"/>
      <c r="AE619" s="455"/>
      <c r="AF619" s="455"/>
      <c r="AG619" s="455"/>
      <c r="AH619" s="455"/>
      <c r="AI619" s="455"/>
      <c r="AJ619" s="456"/>
      <c r="AK619" s="456"/>
      <c r="AL619" s="456"/>
      <c r="AM619" s="456"/>
      <c r="AN619" s="456"/>
      <c r="AO619" s="456"/>
      <c r="AP619" s="456"/>
      <c r="AQ619" s="456"/>
      <c r="AR619" s="458"/>
      <c r="AS619" s="459"/>
      <c r="AT619" s="459"/>
      <c r="AU619" s="459"/>
      <c r="AV619" s="478"/>
      <c r="AW619" s="456"/>
      <c r="AX619" s="456"/>
      <c r="AY619" s="456"/>
      <c r="AZ619" s="456"/>
      <c r="BA619" s="456"/>
      <c r="BB619" s="456"/>
      <c r="BC619" s="456"/>
    </row>
    <row r="620" spans="8:55">
      <c r="H620" s="455"/>
      <c r="I620" s="455"/>
      <c r="J620" s="455"/>
      <c r="K620" s="456"/>
      <c r="L620" s="455"/>
      <c r="M620" s="455"/>
      <c r="N620" s="455"/>
      <c r="O620" s="455"/>
      <c r="P620" s="456"/>
      <c r="Q620" s="456"/>
      <c r="R620" s="457"/>
      <c r="S620" s="456"/>
      <c r="T620" s="455"/>
      <c r="U620" s="455"/>
      <c r="V620" s="455"/>
      <c r="W620" s="456"/>
      <c r="X620" s="455"/>
      <c r="Y620" s="455"/>
      <c r="Z620" s="455"/>
      <c r="AA620" s="455"/>
      <c r="AB620" s="456"/>
      <c r="AC620" s="455"/>
      <c r="AD620" s="455"/>
      <c r="AE620" s="455"/>
      <c r="AF620" s="455"/>
      <c r="AG620" s="455"/>
      <c r="AH620" s="455"/>
      <c r="AI620" s="455"/>
      <c r="AJ620" s="456"/>
      <c r="AK620" s="456"/>
      <c r="AL620" s="456"/>
      <c r="AM620" s="456"/>
      <c r="AN620" s="456"/>
      <c r="AO620" s="456"/>
      <c r="AP620" s="456"/>
      <c r="AQ620" s="456"/>
      <c r="AR620" s="458"/>
      <c r="AS620" s="459"/>
      <c r="AT620" s="459"/>
      <c r="AU620" s="459"/>
      <c r="AV620" s="478"/>
      <c r="AW620" s="456"/>
      <c r="AX620" s="456"/>
      <c r="AY620" s="456"/>
      <c r="AZ620" s="456"/>
      <c r="BA620" s="456"/>
      <c r="BB620" s="456"/>
      <c r="BC620" s="456"/>
    </row>
    <row r="621" spans="8:55">
      <c r="H621" s="455"/>
      <c r="I621" s="455"/>
      <c r="J621" s="455"/>
      <c r="K621" s="456"/>
      <c r="L621" s="455"/>
      <c r="M621" s="455"/>
      <c r="N621" s="455"/>
      <c r="O621" s="455"/>
      <c r="P621" s="456"/>
      <c r="Q621" s="456"/>
      <c r="R621" s="457"/>
      <c r="S621" s="456"/>
      <c r="T621" s="455"/>
      <c r="U621" s="455"/>
      <c r="V621" s="455"/>
      <c r="W621" s="456"/>
      <c r="X621" s="455"/>
      <c r="Y621" s="455"/>
      <c r="Z621" s="455"/>
      <c r="AA621" s="455"/>
      <c r="AB621" s="456"/>
      <c r="AC621" s="455"/>
      <c r="AD621" s="455"/>
      <c r="AE621" s="455"/>
      <c r="AF621" s="455"/>
      <c r="AG621" s="455"/>
      <c r="AH621" s="455"/>
      <c r="AI621" s="455"/>
      <c r="AJ621" s="456"/>
      <c r="AK621" s="456"/>
      <c r="AL621" s="456"/>
      <c r="AM621" s="456"/>
      <c r="AN621" s="456"/>
      <c r="AO621" s="456"/>
      <c r="AP621" s="456"/>
      <c r="AQ621" s="456"/>
      <c r="AR621" s="458"/>
      <c r="AS621" s="459"/>
      <c r="AT621" s="459"/>
      <c r="AU621" s="459"/>
      <c r="AV621" s="478"/>
      <c r="AW621" s="456"/>
      <c r="AX621" s="456"/>
      <c r="AY621" s="456"/>
      <c r="AZ621" s="456"/>
      <c r="BA621" s="456"/>
      <c r="BB621" s="456"/>
      <c r="BC621" s="456"/>
    </row>
    <row r="622" spans="8:55">
      <c r="H622" s="455"/>
      <c r="I622" s="455"/>
      <c r="J622" s="455"/>
      <c r="K622" s="456"/>
      <c r="L622" s="455"/>
      <c r="M622" s="455"/>
      <c r="N622" s="455"/>
      <c r="O622" s="455"/>
      <c r="P622" s="456"/>
      <c r="Q622" s="456"/>
      <c r="R622" s="457"/>
      <c r="S622" s="456"/>
      <c r="T622" s="455"/>
      <c r="U622" s="455"/>
      <c r="V622" s="455"/>
      <c r="W622" s="456"/>
      <c r="X622" s="455"/>
      <c r="Y622" s="455"/>
      <c r="Z622" s="455"/>
      <c r="AA622" s="455"/>
      <c r="AB622" s="456"/>
      <c r="AC622" s="455"/>
      <c r="AD622" s="455"/>
      <c r="AE622" s="455"/>
      <c r="AF622" s="455"/>
      <c r="AG622" s="455"/>
      <c r="AH622" s="455"/>
      <c r="AI622" s="455"/>
      <c r="AJ622" s="456"/>
      <c r="AK622" s="456"/>
      <c r="AL622" s="456"/>
      <c r="AM622" s="456"/>
      <c r="AN622" s="456"/>
      <c r="AO622" s="456"/>
      <c r="AP622" s="456"/>
      <c r="AQ622" s="456"/>
      <c r="AR622" s="458"/>
      <c r="AS622" s="459"/>
      <c r="AT622" s="459"/>
      <c r="AU622" s="459"/>
      <c r="AV622" s="478"/>
      <c r="AW622" s="456"/>
      <c r="AX622" s="456"/>
      <c r="AY622" s="456"/>
      <c r="AZ622" s="456"/>
      <c r="BA622" s="456"/>
      <c r="BB622" s="456"/>
      <c r="BC622" s="456"/>
    </row>
    <row r="623" spans="8:55">
      <c r="H623" s="455"/>
      <c r="I623" s="455"/>
      <c r="J623" s="455"/>
      <c r="K623" s="456"/>
      <c r="L623" s="455"/>
      <c r="M623" s="455"/>
      <c r="N623" s="455"/>
      <c r="O623" s="455"/>
      <c r="P623" s="456"/>
      <c r="Q623" s="456"/>
      <c r="R623" s="457"/>
      <c r="S623" s="456"/>
      <c r="T623" s="455"/>
      <c r="U623" s="455"/>
      <c r="V623" s="455"/>
      <c r="W623" s="456"/>
      <c r="X623" s="455"/>
      <c r="Y623" s="455"/>
      <c r="Z623" s="455"/>
      <c r="AA623" s="455"/>
      <c r="AB623" s="456"/>
      <c r="AC623" s="455"/>
      <c r="AD623" s="455"/>
      <c r="AE623" s="455"/>
      <c r="AF623" s="455"/>
      <c r="AG623" s="455"/>
      <c r="AH623" s="455"/>
      <c r="AI623" s="455"/>
      <c r="AJ623" s="456"/>
      <c r="AK623" s="456"/>
      <c r="AL623" s="456"/>
      <c r="AM623" s="456"/>
      <c r="AN623" s="456"/>
      <c r="AO623" s="456"/>
      <c r="AP623" s="456"/>
      <c r="AQ623" s="456"/>
      <c r="AR623" s="458"/>
      <c r="AS623" s="459"/>
      <c r="AT623" s="459"/>
      <c r="AU623" s="459"/>
      <c r="AV623" s="478"/>
      <c r="AW623" s="456"/>
      <c r="AX623" s="456"/>
      <c r="AY623" s="456"/>
      <c r="AZ623" s="456"/>
      <c r="BA623" s="456"/>
      <c r="BB623" s="456"/>
      <c r="BC623" s="456"/>
    </row>
    <row r="624" spans="8:55">
      <c r="H624" s="455"/>
      <c r="I624" s="455"/>
      <c r="J624" s="455"/>
      <c r="K624" s="456"/>
      <c r="L624" s="455"/>
      <c r="M624" s="455"/>
      <c r="N624" s="455"/>
      <c r="O624" s="455"/>
      <c r="P624" s="456"/>
      <c r="Q624" s="456"/>
      <c r="R624" s="457"/>
      <c r="S624" s="456"/>
      <c r="T624" s="455"/>
      <c r="U624" s="455"/>
      <c r="V624" s="455"/>
      <c r="W624" s="456"/>
      <c r="X624" s="455"/>
      <c r="Y624" s="455"/>
      <c r="Z624" s="455"/>
      <c r="AA624" s="455"/>
      <c r="AB624" s="456"/>
      <c r="AC624" s="455"/>
      <c r="AD624" s="455"/>
      <c r="AE624" s="455"/>
      <c r="AF624" s="455"/>
      <c r="AG624" s="455"/>
      <c r="AH624" s="455"/>
      <c r="AI624" s="455"/>
      <c r="AJ624" s="456"/>
      <c r="AK624" s="456"/>
      <c r="AL624" s="456"/>
      <c r="AM624" s="456"/>
      <c r="AN624" s="456"/>
      <c r="AO624" s="456"/>
      <c r="AP624" s="456"/>
      <c r="AQ624" s="456"/>
      <c r="AR624" s="458"/>
      <c r="AS624" s="459"/>
      <c r="AT624" s="459"/>
      <c r="AU624" s="459"/>
      <c r="AV624" s="478"/>
      <c r="AW624" s="456"/>
      <c r="AX624" s="456"/>
      <c r="AY624" s="456"/>
      <c r="AZ624" s="456"/>
      <c r="BA624" s="456"/>
      <c r="BB624" s="456"/>
      <c r="BC624" s="456"/>
    </row>
    <row r="625" spans="8:55">
      <c r="H625" s="455"/>
      <c r="I625" s="455"/>
      <c r="J625" s="455"/>
      <c r="K625" s="456"/>
      <c r="L625" s="455"/>
      <c r="M625" s="455"/>
      <c r="N625" s="455"/>
      <c r="O625" s="455"/>
      <c r="P625" s="456"/>
      <c r="Q625" s="456"/>
      <c r="R625" s="457"/>
      <c r="S625" s="456"/>
      <c r="T625" s="455"/>
      <c r="U625" s="455"/>
      <c r="V625" s="455"/>
      <c r="W625" s="456"/>
      <c r="X625" s="455"/>
      <c r="Y625" s="455"/>
      <c r="Z625" s="455"/>
      <c r="AA625" s="455"/>
      <c r="AB625" s="456"/>
      <c r="AC625" s="455"/>
      <c r="AD625" s="455"/>
      <c r="AE625" s="455"/>
      <c r="AF625" s="455"/>
      <c r="AG625" s="455"/>
      <c r="AH625" s="455"/>
      <c r="AI625" s="455"/>
      <c r="AJ625" s="456"/>
      <c r="AK625" s="456"/>
      <c r="AL625" s="456"/>
      <c r="AM625" s="456"/>
      <c r="AN625" s="456"/>
      <c r="AO625" s="456"/>
      <c r="AP625" s="456"/>
      <c r="AQ625" s="456"/>
      <c r="AR625" s="458"/>
      <c r="AS625" s="459"/>
      <c r="AT625" s="459"/>
      <c r="AU625" s="459"/>
      <c r="AV625" s="478"/>
      <c r="AW625" s="456"/>
      <c r="AX625" s="456"/>
      <c r="AY625" s="456"/>
      <c r="AZ625" s="456"/>
      <c r="BA625" s="456"/>
      <c r="BB625" s="456"/>
      <c r="BC625" s="456"/>
    </row>
    <row r="626" spans="8:55">
      <c r="H626" s="455"/>
      <c r="I626" s="455"/>
      <c r="J626" s="455"/>
      <c r="K626" s="456"/>
      <c r="L626" s="455"/>
      <c r="M626" s="455"/>
      <c r="N626" s="455"/>
      <c r="O626" s="455"/>
      <c r="P626" s="456"/>
      <c r="Q626" s="456"/>
      <c r="R626" s="457"/>
      <c r="S626" s="456"/>
      <c r="T626" s="455"/>
      <c r="U626" s="455"/>
      <c r="V626" s="455"/>
      <c r="W626" s="456"/>
      <c r="X626" s="455"/>
      <c r="Y626" s="455"/>
      <c r="Z626" s="455"/>
      <c r="AA626" s="455"/>
      <c r="AB626" s="456"/>
      <c r="AC626" s="455"/>
      <c r="AD626" s="455"/>
      <c r="AE626" s="455"/>
      <c r="AF626" s="455"/>
      <c r="AG626" s="455"/>
      <c r="AH626" s="455"/>
      <c r="AI626" s="455"/>
      <c r="AJ626" s="456"/>
      <c r="AK626" s="456"/>
      <c r="AL626" s="456"/>
      <c r="AM626" s="456"/>
      <c r="AN626" s="456"/>
      <c r="AO626" s="456"/>
      <c r="AP626" s="456"/>
      <c r="AQ626" s="456"/>
      <c r="AR626" s="458"/>
      <c r="AS626" s="459"/>
      <c r="AT626" s="459"/>
      <c r="AU626" s="459"/>
      <c r="AV626" s="478"/>
      <c r="AW626" s="456"/>
      <c r="AX626" s="456"/>
      <c r="AY626" s="456"/>
      <c r="AZ626" s="456"/>
      <c r="BA626" s="456"/>
      <c r="BB626" s="456"/>
      <c r="BC626" s="456"/>
    </row>
    <row r="627" spans="8:55">
      <c r="H627" s="455"/>
      <c r="I627" s="455"/>
      <c r="J627" s="455"/>
      <c r="K627" s="456"/>
      <c r="L627" s="455"/>
      <c r="M627" s="455"/>
      <c r="N627" s="455"/>
      <c r="O627" s="455"/>
      <c r="P627" s="456"/>
      <c r="Q627" s="456"/>
      <c r="R627" s="457"/>
      <c r="S627" s="456"/>
      <c r="T627" s="455"/>
      <c r="U627" s="455"/>
      <c r="V627" s="455"/>
      <c r="W627" s="456"/>
      <c r="X627" s="455"/>
      <c r="Y627" s="455"/>
      <c r="Z627" s="455"/>
      <c r="AA627" s="455"/>
      <c r="AB627" s="456"/>
      <c r="AC627" s="455"/>
      <c r="AD627" s="455"/>
      <c r="AE627" s="455"/>
      <c r="AF627" s="455"/>
      <c r="AG627" s="455"/>
      <c r="AH627" s="455"/>
      <c r="AI627" s="455"/>
      <c r="AJ627" s="456"/>
      <c r="AK627" s="456"/>
      <c r="AL627" s="456"/>
      <c r="AM627" s="456"/>
      <c r="AN627" s="456"/>
      <c r="AO627" s="456"/>
      <c r="AP627" s="456"/>
      <c r="AQ627" s="456"/>
      <c r="AR627" s="458"/>
      <c r="AS627" s="459"/>
      <c r="AT627" s="459"/>
      <c r="AU627" s="459"/>
      <c r="AV627" s="478"/>
      <c r="AW627" s="456"/>
      <c r="AX627" s="456"/>
      <c r="AY627" s="456"/>
      <c r="AZ627" s="456"/>
      <c r="BA627" s="456"/>
      <c r="BB627" s="456"/>
      <c r="BC627" s="456"/>
    </row>
    <row r="628" spans="8:55">
      <c r="H628" s="455"/>
      <c r="I628" s="455"/>
      <c r="J628" s="455"/>
      <c r="K628" s="456"/>
      <c r="L628" s="455"/>
      <c r="M628" s="455"/>
      <c r="N628" s="455"/>
      <c r="O628" s="455"/>
      <c r="P628" s="456"/>
      <c r="Q628" s="456"/>
      <c r="R628" s="457"/>
      <c r="S628" s="456"/>
      <c r="T628" s="455"/>
      <c r="U628" s="455"/>
      <c r="V628" s="455"/>
      <c r="W628" s="456"/>
      <c r="X628" s="455"/>
      <c r="Y628" s="455"/>
      <c r="Z628" s="455"/>
      <c r="AA628" s="455"/>
      <c r="AB628" s="456"/>
      <c r="AC628" s="455"/>
      <c r="AD628" s="455"/>
      <c r="AE628" s="455"/>
      <c r="AF628" s="455"/>
      <c r="AG628" s="455"/>
      <c r="AH628" s="455"/>
      <c r="AI628" s="455"/>
      <c r="AJ628" s="456"/>
      <c r="AK628" s="456"/>
      <c r="AL628" s="456"/>
      <c r="AM628" s="456"/>
      <c r="AN628" s="456"/>
      <c r="AO628" s="456"/>
      <c r="AP628" s="456"/>
      <c r="AQ628" s="456"/>
      <c r="AR628" s="458"/>
      <c r="AS628" s="459"/>
      <c r="AT628" s="459"/>
      <c r="AU628" s="459"/>
      <c r="AV628" s="478"/>
      <c r="AW628" s="456"/>
      <c r="AX628" s="456"/>
      <c r="AY628" s="456"/>
      <c r="AZ628" s="456"/>
      <c r="BA628" s="456"/>
      <c r="BB628" s="456"/>
      <c r="BC628" s="456"/>
    </row>
    <row r="629" spans="8:55">
      <c r="H629" s="455"/>
      <c r="I629" s="455"/>
      <c r="J629" s="455"/>
      <c r="K629" s="456"/>
      <c r="L629" s="455"/>
      <c r="M629" s="455"/>
      <c r="N629" s="455"/>
      <c r="O629" s="455"/>
      <c r="P629" s="456"/>
      <c r="Q629" s="456"/>
      <c r="R629" s="457"/>
      <c r="S629" s="456"/>
      <c r="T629" s="455"/>
      <c r="U629" s="455"/>
      <c r="V629" s="455"/>
      <c r="W629" s="456"/>
      <c r="X629" s="455"/>
      <c r="Y629" s="455"/>
      <c r="Z629" s="455"/>
      <c r="AA629" s="455"/>
      <c r="AB629" s="456"/>
      <c r="AC629" s="455"/>
      <c r="AD629" s="455"/>
      <c r="AE629" s="455"/>
      <c r="AF629" s="455"/>
      <c r="AG629" s="455"/>
      <c r="AH629" s="455"/>
      <c r="AI629" s="455"/>
      <c r="AJ629" s="456"/>
      <c r="AK629" s="456"/>
      <c r="AL629" s="456"/>
      <c r="AM629" s="456"/>
      <c r="AN629" s="456"/>
      <c r="AO629" s="456"/>
      <c r="AP629" s="456"/>
      <c r="AQ629" s="456"/>
      <c r="AR629" s="458"/>
      <c r="AS629" s="459"/>
      <c r="AT629" s="459"/>
      <c r="AU629" s="459"/>
      <c r="AV629" s="478"/>
      <c r="AW629" s="456"/>
      <c r="AX629" s="456"/>
      <c r="AY629" s="456"/>
      <c r="AZ629" s="456"/>
      <c r="BA629" s="456"/>
      <c r="BB629" s="456"/>
      <c r="BC629" s="456"/>
    </row>
    <row r="630" spans="8:55">
      <c r="H630" s="455"/>
      <c r="I630" s="455"/>
      <c r="J630" s="455"/>
      <c r="K630" s="456"/>
      <c r="L630" s="455"/>
      <c r="M630" s="455"/>
      <c r="N630" s="455"/>
      <c r="O630" s="455"/>
      <c r="P630" s="456"/>
      <c r="Q630" s="456"/>
      <c r="R630" s="457"/>
      <c r="S630" s="456"/>
      <c r="T630" s="455"/>
      <c r="U630" s="455"/>
      <c r="V630" s="455"/>
      <c r="W630" s="456"/>
      <c r="X630" s="455"/>
      <c r="Y630" s="455"/>
      <c r="Z630" s="455"/>
      <c r="AA630" s="455"/>
      <c r="AB630" s="456"/>
      <c r="AC630" s="455"/>
      <c r="AD630" s="455"/>
      <c r="AE630" s="455"/>
      <c r="AF630" s="455"/>
      <c r="AG630" s="455"/>
      <c r="AH630" s="455"/>
      <c r="AI630" s="455"/>
      <c r="AJ630" s="456"/>
      <c r="AK630" s="456"/>
      <c r="AL630" s="456"/>
      <c r="AM630" s="456"/>
      <c r="AN630" s="456"/>
      <c r="AO630" s="456"/>
      <c r="AP630" s="456"/>
      <c r="AQ630" s="456"/>
      <c r="AR630" s="458"/>
      <c r="AS630" s="459"/>
      <c r="AT630" s="459"/>
      <c r="AU630" s="459"/>
      <c r="AV630" s="478"/>
      <c r="AW630" s="456"/>
      <c r="AX630" s="456"/>
      <c r="AY630" s="456"/>
      <c r="AZ630" s="456"/>
      <c r="BA630" s="456"/>
      <c r="BB630" s="456"/>
      <c r="BC630" s="456"/>
    </row>
    <row r="631" spans="8:55">
      <c r="H631" s="455"/>
      <c r="I631" s="455"/>
      <c r="J631" s="455"/>
      <c r="K631" s="456"/>
      <c r="L631" s="455"/>
      <c r="M631" s="455"/>
      <c r="N631" s="455"/>
      <c r="O631" s="455"/>
      <c r="P631" s="456"/>
      <c r="Q631" s="456"/>
      <c r="R631" s="457"/>
      <c r="S631" s="456"/>
      <c r="T631" s="455"/>
      <c r="U631" s="455"/>
      <c r="V631" s="455"/>
      <c r="W631" s="456"/>
      <c r="X631" s="455"/>
      <c r="Y631" s="455"/>
      <c r="Z631" s="455"/>
      <c r="AA631" s="455"/>
      <c r="AB631" s="456"/>
      <c r="AC631" s="455"/>
      <c r="AD631" s="455"/>
      <c r="AE631" s="455"/>
      <c r="AF631" s="455"/>
      <c r="AG631" s="455"/>
      <c r="AH631" s="455"/>
      <c r="AI631" s="455"/>
      <c r="AJ631" s="456"/>
      <c r="AK631" s="456"/>
      <c r="AL631" s="456"/>
      <c r="AM631" s="456"/>
      <c r="AN631" s="456"/>
      <c r="AO631" s="456"/>
      <c r="AP631" s="456"/>
      <c r="AQ631" s="456"/>
      <c r="AR631" s="458"/>
      <c r="AS631" s="459"/>
      <c r="AT631" s="459"/>
      <c r="AU631" s="459"/>
      <c r="AV631" s="478"/>
      <c r="AW631" s="456"/>
      <c r="AX631" s="456"/>
      <c r="AY631" s="456"/>
      <c r="AZ631" s="456"/>
      <c r="BA631" s="456"/>
      <c r="BB631" s="456"/>
      <c r="BC631" s="456"/>
    </row>
    <row r="632" spans="8:55">
      <c r="H632" s="455"/>
      <c r="I632" s="455"/>
      <c r="J632" s="455"/>
      <c r="K632" s="456"/>
      <c r="L632" s="455"/>
      <c r="M632" s="455"/>
      <c r="N632" s="455"/>
      <c r="O632" s="455"/>
      <c r="P632" s="456"/>
      <c r="Q632" s="456"/>
      <c r="R632" s="457"/>
      <c r="S632" s="456"/>
      <c r="T632" s="455"/>
      <c r="U632" s="455"/>
      <c r="V632" s="455"/>
      <c r="W632" s="456"/>
      <c r="X632" s="455"/>
      <c r="Y632" s="455"/>
      <c r="Z632" s="455"/>
      <c r="AA632" s="455"/>
      <c r="AB632" s="456"/>
      <c r="AC632" s="455"/>
      <c r="AD632" s="455"/>
      <c r="AE632" s="455"/>
      <c r="AF632" s="455"/>
      <c r="AG632" s="455"/>
      <c r="AH632" s="455"/>
      <c r="AI632" s="455"/>
      <c r="AJ632" s="456"/>
      <c r="AK632" s="456"/>
      <c r="AL632" s="456"/>
      <c r="AM632" s="456"/>
      <c r="AN632" s="456"/>
      <c r="AO632" s="456"/>
      <c r="AP632" s="456"/>
      <c r="AQ632" s="456"/>
      <c r="AR632" s="458"/>
      <c r="AS632" s="459"/>
      <c r="AT632" s="459"/>
      <c r="AU632" s="459"/>
      <c r="AV632" s="478"/>
      <c r="AW632" s="456"/>
      <c r="AX632" s="456"/>
      <c r="AY632" s="456"/>
      <c r="AZ632" s="456"/>
      <c r="BA632" s="456"/>
      <c r="BB632" s="456"/>
      <c r="BC632" s="456"/>
    </row>
    <row r="633" spans="8:55">
      <c r="H633" s="455"/>
      <c r="I633" s="455"/>
      <c r="J633" s="455"/>
      <c r="K633" s="456"/>
      <c r="L633" s="455"/>
      <c r="M633" s="455"/>
      <c r="N633" s="455"/>
      <c r="O633" s="455"/>
      <c r="P633" s="456"/>
      <c r="Q633" s="456"/>
      <c r="R633" s="457"/>
      <c r="S633" s="456"/>
      <c r="T633" s="455"/>
      <c r="U633" s="455"/>
      <c r="V633" s="455"/>
      <c r="W633" s="456"/>
      <c r="X633" s="455"/>
      <c r="Y633" s="455"/>
      <c r="Z633" s="455"/>
      <c r="AA633" s="455"/>
      <c r="AB633" s="456"/>
      <c r="AC633" s="455"/>
      <c r="AD633" s="455"/>
      <c r="AE633" s="455"/>
      <c r="AF633" s="455"/>
      <c r="AG633" s="455"/>
      <c r="AH633" s="455"/>
      <c r="AI633" s="455"/>
      <c r="AJ633" s="456"/>
      <c r="AK633" s="456"/>
      <c r="AL633" s="456"/>
      <c r="AM633" s="456"/>
      <c r="AN633" s="456"/>
      <c r="AO633" s="456"/>
      <c r="AP633" s="456"/>
      <c r="AQ633" s="456"/>
      <c r="AR633" s="458"/>
      <c r="AS633" s="459"/>
      <c r="AT633" s="459"/>
      <c r="AU633" s="459"/>
      <c r="AV633" s="478"/>
      <c r="AW633" s="456"/>
      <c r="AX633" s="456"/>
      <c r="AY633" s="456"/>
      <c r="AZ633" s="456"/>
      <c r="BA633" s="456"/>
      <c r="BB633" s="456"/>
      <c r="BC633" s="456"/>
    </row>
    <row r="634" spans="8:55">
      <c r="H634" s="455"/>
      <c r="I634" s="455"/>
      <c r="J634" s="455"/>
      <c r="K634" s="456"/>
      <c r="L634" s="455"/>
      <c r="M634" s="455"/>
      <c r="N634" s="455"/>
      <c r="O634" s="455"/>
      <c r="P634" s="456"/>
      <c r="Q634" s="456"/>
      <c r="R634" s="457"/>
      <c r="S634" s="456"/>
      <c r="T634" s="455"/>
      <c r="U634" s="455"/>
      <c r="V634" s="455"/>
      <c r="W634" s="456"/>
      <c r="X634" s="455"/>
      <c r="Y634" s="455"/>
      <c r="Z634" s="455"/>
      <c r="AA634" s="455"/>
      <c r="AB634" s="456"/>
      <c r="AC634" s="455"/>
      <c r="AD634" s="455"/>
      <c r="AE634" s="455"/>
      <c r="AF634" s="455"/>
      <c r="AG634" s="455"/>
      <c r="AH634" s="455"/>
      <c r="AI634" s="455"/>
      <c r="AJ634" s="456"/>
      <c r="AK634" s="456"/>
      <c r="AL634" s="456"/>
      <c r="AM634" s="456"/>
      <c r="AN634" s="456"/>
      <c r="AO634" s="456"/>
      <c r="AP634" s="456"/>
      <c r="AQ634" s="456"/>
      <c r="AR634" s="458"/>
      <c r="AS634" s="459"/>
      <c r="AT634" s="459"/>
      <c r="AU634" s="459"/>
      <c r="AV634" s="478"/>
      <c r="AW634" s="456"/>
      <c r="AX634" s="456"/>
      <c r="AY634" s="456"/>
      <c r="AZ634" s="456"/>
      <c r="BA634" s="456"/>
      <c r="BB634" s="456"/>
      <c r="BC634" s="456"/>
    </row>
    <row r="635" spans="8:55">
      <c r="H635" s="455"/>
      <c r="I635" s="455"/>
      <c r="J635" s="455"/>
      <c r="K635" s="456"/>
      <c r="L635" s="455"/>
      <c r="M635" s="455"/>
      <c r="N635" s="455"/>
      <c r="O635" s="455"/>
      <c r="P635" s="456"/>
      <c r="Q635" s="456"/>
      <c r="R635" s="457"/>
      <c r="S635" s="456"/>
      <c r="T635" s="455"/>
      <c r="U635" s="455"/>
      <c r="V635" s="455"/>
      <c r="W635" s="456"/>
      <c r="X635" s="455"/>
      <c r="Y635" s="455"/>
      <c r="Z635" s="455"/>
      <c r="AA635" s="455"/>
      <c r="AB635" s="456"/>
      <c r="AC635" s="455"/>
      <c r="AD635" s="455"/>
      <c r="AE635" s="455"/>
      <c r="AF635" s="455"/>
      <c r="AG635" s="455"/>
      <c r="AH635" s="455"/>
      <c r="AI635" s="455"/>
      <c r="AJ635" s="456"/>
      <c r="AK635" s="456"/>
      <c r="AL635" s="456"/>
      <c r="AM635" s="456"/>
      <c r="AN635" s="456"/>
      <c r="AO635" s="456"/>
      <c r="AP635" s="456"/>
      <c r="AQ635" s="456"/>
      <c r="AR635" s="458"/>
      <c r="AS635" s="459"/>
      <c r="AT635" s="459"/>
      <c r="AU635" s="459"/>
      <c r="AV635" s="478"/>
      <c r="AW635" s="456"/>
      <c r="AX635" s="456"/>
      <c r="AY635" s="456"/>
      <c r="AZ635" s="456"/>
      <c r="BA635" s="456"/>
      <c r="BB635" s="456"/>
      <c r="BC635" s="456"/>
    </row>
    <row r="636" spans="8:55">
      <c r="H636" s="455"/>
      <c r="I636" s="455"/>
      <c r="J636" s="455"/>
      <c r="K636" s="456"/>
      <c r="L636" s="455"/>
      <c r="M636" s="455"/>
      <c r="N636" s="455"/>
      <c r="O636" s="455"/>
      <c r="P636" s="456"/>
      <c r="Q636" s="456"/>
      <c r="R636" s="457"/>
      <c r="S636" s="456"/>
      <c r="T636" s="455"/>
      <c r="U636" s="455"/>
      <c r="V636" s="455"/>
      <c r="W636" s="456"/>
      <c r="X636" s="455"/>
      <c r="Y636" s="455"/>
      <c r="Z636" s="455"/>
      <c r="AA636" s="455"/>
      <c r="AB636" s="456"/>
      <c r="AC636" s="455"/>
      <c r="AD636" s="455"/>
      <c r="AE636" s="455"/>
      <c r="AF636" s="455"/>
      <c r="AG636" s="455"/>
      <c r="AH636" s="455"/>
      <c r="AI636" s="455"/>
      <c r="AJ636" s="456"/>
      <c r="AK636" s="456"/>
      <c r="AL636" s="456"/>
      <c r="AM636" s="456"/>
      <c r="AN636" s="456"/>
      <c r="AO636" s="456"/>
      <c r="AP636" s="456"/>
      <c r="AQ636" s="456"/>
      <c r="AR636" s="458"/>
      <c r="AS636" s="459"/>
      <c r="AT636" s="459"/>
      <c r="AU636" s="459"/>
      <c r="AV636" s="478"/>
      <c r="AW636" s="456"/>
      <c r="AX636" s="456"/>
      <c r="AY636" s="456"/>
      <c r="AZ636" s="456"/>
      <c r="BA636" s="456"/>
      <c r="BB636" s="456"/>
      <c r="BC636" s="456"/>
    </row>
    <row r="637" spans="8:55">
      <c r="H637" s="455"/>
      <c r="I637" s="455"/>
      <c r="J637" s="455"/>
      <c r="K637" s="456"/>
      <c r="L637" s="455"/>
      <c r="M637" s="455"/>
      <c r="N637" s="455"/>
      <c r="O637" s="455"/>
      <c r="P637" s="456"/>
      <c r="Q637" s="456"/>
      <c r="R637" s="457"/>
      <c r="S637" s="456"/>
      <c r="T637" s="455"/>
      <c r="U637" s="455"/>
      <c r="V637" s="455"/>
      <c r="W637" s="456"/>
      <c r="X637" s="455"/>
      <c r="Y637" s="455"/>
      <c r="Z637" s="455"/>
      <c r="AA637" s="455"/>
      <c r="AB637" s="456"/>
      <c r="AC637" s="455"/>
      <c r="AD637" s="455"/>
      <c r="AE637" s="455"/>
      <c r="AF637" s="455"/>
      <c r="AG637" s="455"/>
      <c r="AH637" s="455"/>
      <c r="AI637" s="455"/>
      <c r="AJ637" s="456"/>
      <c r="AK637" s="456"/>
      <c r="AL637" s="456"/>
      <c r="AM637" s="456"/>
      <c r="AN637" s="456"/>
      <c r="AO637" s="456"/>
      <c r="AP637" s="456"/>
      <c r="AQ637" s="456"/>
      <c r="AR637" s="458"/>
      <c r="AS637" s="459"/>
      <c r="AT637" s="459"/>
      <c r="AU637" s="459"/>
      <c r="AV637" s="478"/>
      <c r="AW637" s="456"/>
      <c r="AX637" s="456"/>
      <c r="AY637" s="456"/>
      <c r="AZ637" s="456"/>
      <c r="BA637" s="456"/>
      <c r="BB637" s="456"/>
      <c r="BC637" s="456"/>
    </row>
    <row r="638" spans="8:55">
      <c r="H638" s="455"/>
      <c r="I638" s="455"/>
      <c r="J638" s="455"/>
      <c r="K638" s="456"/>
      <c r="L638" s="455"/>
      <c r="M638" s="455"/>
      <c r="N638" s="455"/>
      <c r="O638" s="455"/>
      <c r="P638" s="456"/>
      <c r="Q638" s="456"/>
      <c r="R638" s="457"/>
      <c r="S638" s="456"/>
      <c r="T638" s="455"/>
      <c r="U638" s="455"/>
      <c r="V638" s="455"/>
      <c r="W638" s="456"/>
      <c r="X638" s="455"/>
      <c r="Y638" s="455"/>
      <c r="Z638" s="455"/>
      <c r="AA638" s="455"/>
      <c r="AB638" s="456"/>
      <c r="AC638" s="455"/>
      <c r="AD638" s="455"/>
      <c r="AE638" s="455"/>
      <c r="AF638" s="455"/>
      <c r="AG638" s="455"/>
      <c r="AH638" s="455"/>
      <c r="AI638" s="455"/>
      <c r="AJ638" s="456"/>
      <c r="AK638" s="456"/>
      <c r="AL638" s="456"/>
      <c r="AM638" s="456"/>
      <c r="AN638" s="456"/>
      <c r="AO638" s="456"/>
      <c r="AP638" s="456"/>
      <c r="AQ638" s="456"/>
      <c r="AR638" s="458"/>
      <c r="AS638" s="459"/>
      <c r="AT638" s="459"/>
      <c r="AU638" s="459"/>
      <c r="AV638" s="478"/>
      <c r="AW638" s="456"/>
      <c r="AX638" s="456"/>
      <c r="AY638" s="456"/>
      <c r="AZ638" s="456"/>
      <c r="BA638" s="456"/>
      <c r="BB638" s="456"/>
      <c r="BC638" s="456"/>
    </row>
    <row r="639" spans="8:55">
      <c r="H639" s="455"/>
      <c r="I639" s="455"/>
      <c r="J639" s="455"/>
      <c r="K639" s="456"/>
      <c r="L639" s="455"/>
      <c r="M639" s="455"/>
      <c r="N639" s="455"/>
      <c r="O639" s="455"/>
      <c r="P639" s="456"/>
      <c r="Q639" s="456"/>
      <c r="R639" s="457"/>
      <c r="S639" s="456"/>
      <c r="T639" s="455"/>
      <c r="U639" s="455"/>
      <c r="V639" s="455"/>
      <c r="W639" s="456"/>
      <c r="X639" s="455"/>
      <c r="Y639" s="455"/>
      <c r="Z639" s="455"/>
      <c r="AA639" s="455"/>
      <c r="AB639" s="456"/>
      <c r="AC639" s="455"/>
      <c r="AD639" s="455"/>
      <c r="AE639" s="455"/>
      <c r="AF639" s="455"/>
      <c r="AG639" s="455"/>
      <c r="AH639" s="455"/>
      <c r="AI639" s="455"/>
      <c r="AJ639" s="456"/>
      <c r="AK639" s="456"/>
      <c r="AL639" s="456"/>
      <c r="AM639" s="456"/>
      <c r="AN639" s="456"/>
      <c r="AO639" s="456"/>
      <c r="AP639" s="456"/>
      <c r="AQ639" s="456"/>
      <c r="AR639" s="458"/>
      <c r="AS639" s="459"/>
      <c r="AT639" s="459"/>
      <c r="AU639" s="459"/>
      <c r="AV639" s="478"/>
      <c r="AW639" s="456"/>
      <c r="AX639" s="456"/>
      <c r="AY639" s="456"/>
      <c r="AZ639" s="456"/>
      <c r="BA639" s="456"/>
      <c r="BB639" s="456"/>
      <c r="BC639" s="456"/>
    </row>
    <row r="640" spans="8:55">
      <c r="H640" s="455"/>
      <c r="I640" s="455"/>
      <c r="J640" s="455"/>
      <c r="K640" s="456"/>
      <c r="L640" s="455"/>
      <c r="M640" s="455"/>
      <c r="N640" s="455"/>
      <c r="O640" s="455"/>
      <c r="P640" s="456"/>
      <c r="Q640" s="456"/>
      <c r="R640" s="457"/>
      <c r="S640" s="456"/>
      <c r="T640" s="455"/>
      <c r="U640" s="455"/>
      <c r="V640" s="455"/>
      <c r="W640" s="456"/>
      <c r="X640" s="455"/>
      <c r="Y640" s="455"/>
      <c r="Z640" s="455"/>
      <c r="AA640" s="455"/>
      <c r="AB640" s="456"/>
      <c r="AC640" s="455"/>
      <c r="AD640" s="455"/>
      <c r="AE640" s="455"/>
      <c r="AF640" s="455"/>
      <c r="AG640" s="455"/>
      <c r="AH640" s="455"/>
      <c r="AI640" s="455"/>
      <c r="AJ640" s="456"/>
      <c r="AK640" s="456"/>
      <c r="AL640" s="456"/>
      <c r="AM640" s="456"/>
      <c r="AN640" s="456"/>
      <c r="AO640" s="456"/>
      <c r="AP640" s="456"/>
      <c r="AQ640" s="456"/>
      <c r="AR640" s="458"/>
      <c r="AS640" s="459"/>
      <c r="AT640" s="459"/>
      <c r="AU640" s="459"/>
      <c r="AV640" s="478"/>
      <c r="AW640" s="456"/>
      <c r="AX640" s="456"/>
      <c r="AY640" s="456"/>
      <c r="AZ640" s="456"/>
      <c r="BA640" s="456"/>
      <c r="BB640" s="456"/>
      <c r="BC640" s="456"/>
    </row>
    <row r="641" spans="8:55">
      <c r="H641" s="455"/>
      <c r="I641" s="455"/>
      <c r="J641" s="455"/>
      <c r="K641" s="456"/>
      <c r="L641" s="455"/>
      <c r="M641" s="455"/>
      <c r="N641" s="455"/>
      <c r="O641" s="455"/>
      <c r="P641" s="456"/>
      <c r="Q641" s="456"/>
      <c r="R641" s="457"/>
      <c r="S641" s="456"/>
      <c r="T641" s="455"/>
      <c r="U641" s="455"/>
      <c r="V641" s="455"/>
      <c r="W641" s="456"/>
      <c r="X641" s="455"/>
      <c r="Y641" s="455"/>
      <c r="Z641" s="455"/>
      <c r="AA641" s="455"/>
      <c r="AB641" s="456"/>
      <c r="AC641" s="455"/>
      <c r="AD641" s="455"/>
      <c r="AE641" s="455"/>
      <c r="AF641" s="455"/>
      <c r="AG641" s="455"/>
      <c r="AH641" s="455"/>
      <c r="AI641" s="455"/>
      <c r="AJ641" s="456"/>
      <c r="AK641" s="456"/>
      <c r="AL641" s="456"/>
      <c r="AM641" s="456"/>
      <c r="AN641" s="456"/>
      <c r="AO641" s="456"/>
      <c r="AP641" s="456"/>
      <c r="AQ641" s="456"/>
      <c r="AR641" s="458"/>
      <c r="AS641" s="459"/>
      <c r="AT641" s="459"/>
      <c r="AU641" s="459"/>
      <c r="AV641" s="478"/>
      <c r="AW641" s="456"/>
      <c r="AX641" s="456"/>
      <c r="AY641" s="456"/>
      <c r="AZ641" s="456"/>
      <c r="BA641" s="456"/>
      <c r="BB641" s="456"/>
      <c r="BC641" s="456"/>
    </row>
    <row r="642" spans="8:55">
      <c r="H642" s="455"/>
      <c r="I642" s="455"/>
      <c r="J642" s="455"/>
      <c r="K642" s="456"/>
      <c r="L642" s="455"/>
      <c r="M642" s="455"/>
      <c r="N642" s="455"/>
      <c r="O642" s="455"/>
      <c r="P642" s="456"/>
      <c r="Q642" s="456"/>
      <c r="R642" s="457"/>
      <c r="S642" s="456"/>
      <c r="T642" s="455"/>
      <c r="U642" s="455"/>
      <c r="V642" s="455"/>
      <c r="W642" s="456"/>
      <c r="X642" s="455"/>
      <c r="Y642" s="455"/>
      <c r="Z642" s="455"/>
      <c r="AA642" s="455"/>
      <c r="AB642" s="456"/>
      <c r="AC642" s="455"/>
      <c r="AD642" s="455"/>
      <c r="AE642" s="455"/>
      <c r="AF642" s="455"/>
      <c r="AG642" s="455"/>
      <c r="AH642" s="455"/>
      <c r="AI642" s="455"/>
      <c r="AJ642" s="456"/>
      <c r="AK642" s="456"/>
      <c r="AL642" s="456"/>
      <c r="AM642" s="456"/>
      <c r="AN642" s="456"/>
      <c r="AO642" s="456"/>
      <c r="AP642" s="456"/>
      <c r="AQ642" s="456"/>
      <c r="AR642" s="458"/>
      <c r="AS642" s="459"/>
      <c r="AT642" s="459"/>
      <c r="AU642" s="459"/>
      <c r="AV642" s="478"/>
      <c r="AW642" s="456"/>
      <c r="AX642" s="456"/>
      <c r="AY642" s="456"/>
      <c r="AZ642" s="456"/>
      <c r="BA642" s="456"/>
      <c r="BB642" s="456"/>
      <c r="BC642" s="456"/>
    </row>
    <row r="643" spans="8:55">
      <c r="H643" s="455"/>
      <c r="I643" s="455"/>
      <c r="J643" s="455"/>
      <c r="K643" s="456"/>
      <c r="L643" s="455"/>
      <c r="M643" s="455"/>
      <c r="N643" s="455"/>
      <c r="O643" s="455"/>
      <c r="P643" s="456"/>
      <c r="Q643" s="456"/>
      <c r="R643" s="457"/>
      <c r="S643" s="456"/>
      <c r="T643" s="455"/>
      <c r="U643" s="455"/>
      <c r="V643" s="455"/>
      <c r="W643" s="456"/>
      <c r="X643" s="455"/>
      <c r="Y643" s="455"/>
      <c r="Z643" s="455"/>
      <c r="AA643" s="455"/>
      <c r="AB643" s="456"/>
      <c r="AC643" s="455"/>
      <c r="AD643" s="455"/>
      <c r="AE643" s="455"/>
      <c r="AF643" s="455"/>
      <c r="AG643" s="455"/>
      <c r="AH643" s="455"/>
      <c r="AI643" s="455"/>
      <c r="AJ643" s="456"/>
      <c r="AK643" s="456"/>
      <c r="AL643" s="456"/>
      <c r="AM643" s="456"/>
      <c r="AN643" s="456"/>
      <c r="AO643" s="456"/>
      <c r="AP643" s="456"/>
      <c r="AQ643" s="456"/>
      <c r="AR643" s="458"/>
      <c r="AS643" s="459"/>
      <c r="AT643" s="459"/>
      <c r="AU643" s="459"/>
      <c r="AV643" s="478"/>
      <c r="AW643" s="456"/>
      <c r="AX643" s="456"/>
      <c r="AY643" s="456"/>
      <c r="AZ643" s="456"/>
      <c r="BA643" s="456"/>
      <c r="BB643" s="456"/>
      <c r="BC643" s="456"/>
    </row>
    <row r="644" spans="8:55">
      <c r="H644" s="455"/>
      <c r="I644" s="455"/>
      <c r="J644" s="455"/>
      <c r="K644" s="456"/>
      <c r="L644" s="455"/>
      <c r="M644" s="455"/>
      <c r="N644" s="455"/>
      <c r="O644" s="455"/>
      <c r="P644" s="456"/>
      <c r="Q644" s="456"/>
      <c r="R644" s="457"/>
      <c r="S644" s="456"/>
      <c r="T644" s="455"/>
      <c r="U644" s="455"/>
      <c r="V644" s="455"/>
      <c r="W644" s="456"/>
      <c r="X644" s="455"/>
      <c r="Y644" s="455"/>
      <c r="Z644" s="455"/>
      <c r="AA644" s="455"/>
      <c r="AB644" s="456"/>
      <c r="AC644" s="455"/>
      <c r="AD644" s="455"/>
      <c r="AE644" s="455"/>
      <c r="AF644" s="455"/>
      <c r="AG644" s="455"/>
      <c r="AH644" s="455"/>
      <c r="AI644" s="455"/>
      <c r="AJ644" s="456"/>
      <c r="AK644" s="456"/>
      <c r="AL644" s="456"/>
      <c r="AM644" s="456"/>
      <c r="AN644" s="456"/>
      <c r="AO644" s="456"/>
      <c r="AP644" s="456"/>
      <c r="AQ644" s="456"/>
      <c r="AR644" s="458"/>
      <c r="AS644" s="459"/>
      <c r="AT644" s="459"/>
      <c r="AU644" s="459"/>
      <c r="AV644" s="478"/>
      <c r="AW644" s="456"/>
      <c r="AX644" s="456"/>
      <c r="AY644" s="456"/>
      <c r="AZ644" s="456"/>
      <c r="BA644" s="456"/>
      <c r="BB644" s="456"/>
      <c r="BC644" s="456"/>
    </row>
    <row r="645" spans="8:55">
      <c r="H645" s="455"/>
      <c r="I645" s="455"/>
      <c r="J645" s="455"/>
      <c r="K645" s="456"/>
      <c r="L645" s="455"/>
      <c r="M645" s="455"/>
      <c r="N645" s="455"/>
      <c r="O645" s="455"/>
      <c r="P645" s="456"/>
      <c r="Q645" s="456"/>
      <c r="R645" s="457"/>
      <c r="S645" s="456"/>
      <c r="T645" s="455"/>
      <c r="U645" s="455"/>
      <c r="V645" s="455"/>
      <c r="W645" s="456"/>
      <c r="X645" s="455"/>
      <c r="Y645" s="455"/>
      <c r="Z645" s="455"/>
      <c r="AA645" s="455"/>
      <c r="AB645" s="456"/>
      <c r="AC645" s="455"/>
      <c r="AD645" s="455"/>
      <c r="AE645" s="455"/>
      <c r="AF645" s="455"/>
      <c r="AG645" s="455"/>
      <c r="AH645" s="455"/>
      <c r="AI645" s="455"/>
      <c r="AJ645" s="456"/>
      <c r="AK645" s="456"/>
      <c r="AL645" s="456"/>
      <c r="AM645" s="456"/>
      <c r="AN645" s="456"/>
      <c r="AO645" s="456"/>
      <c r="AP645" s="456"/>
      <c r="AQ645" s="456"/>
      <c r="AR645" s="458"/>
      <c r="AS645" s="459"/>
      <c r="AT645" s="459"/>
      <c r="AU645" s="459"/>
      <c r="AV645" s="478"/>
      <c r="AW645" s="456"/>
      <c r="AX645" s="456"/>
      <c r="AY645" s="456"/>
      <c r="AZ645" s="456"/>
      <c r="BA645" s="456"/>
      <c r="BB645" s="456"/>
      <c r="BC645" s="456"/>
    </row>
    <row r="646" spans="8:55">
      <c r="H646" s="455"/>
      <c r="I646" s="455"/>
      <c r="J646" s="455"/>
      <c r="K646" s="456"/>
      <c r="L646" s="455"/>
      <c r="M646" s="455"/>
      <c r="N646" s="455"/>
      <c r="O646" s="455"/>
      <c r="P646" s="456"/>
      <c r="Q646" s="456"/>
      <c r="R646" s="457"/>
      <c r="S646" s="456"/>
      <c r="T646" s="455"/>
      <c r="U646" s="455"/>
      <c r="V646" s="455"/>
      <c r="W646" s="456"/>
      <c r="X646" s="455"/>
      <c r="Y646" s="455"/>
      <c r="Z646" s="455"/>
      <c r="AA646" s="455"/>
      <c r="AB646" s="456"/>
      <c r="AC646" s="455"/>
      <c r="AD646" s="455"/>
      <c r="AE646" s="455"/>
      <c r="AF646" s="455"/>
      <c r="AG646" s="455"/>
      <c r="AH646" s="455"/>
      <c r="AI646" s="455"/>
      <c r="AJ646" s="456"/>
      <c r="AK646" s="456"/>
      <c r="AL646" s="456"/>
      <c r="AM646" s="456"/>
      <c r="AN646" s="456"/>
      <c r="AO646" s="456"/>
      <c r="AP646" s="456"/>
      <c r="AQ646" s="456"/>
      <c r="AR646" s="458"/>
      <c r="AS646" s="459"/>
      <c r="AT646" s="459"/>
      <c r="AU646" s="459"/>
      <c r="AV646" s="478"/>
      <c r="AW646" s="456"/>
      <c r="AX646" s="456"/>
      <c r="AY646" s="456"/>
      <c r="AZ646" s="456"/>
      <c r="BA646" s="456"/>
      <c r="BB646" s="456"/>
      <c r="BC646" s="456"/>
    </row>
    <row r="647" spans="8:55">
      <c r="H647" s="455"/>
      <c r="I647" s="455"/>
      <c r="J647" s="455"/>
      <c r="K647" s="456"/>
      <c r="L647" s="455"/>
      <c r="M647" s="455"/>
      <c r="N647" s="455"/>
      <c r="O647" s="455"/>
      <c r="P647" s="456"/>
      <c r="Q647" s="456"/>
      <c r="R647" s="457"/>
      <c r="S647" s="456"/>
      <c r="T647" s="455"/>
      <c r="U647" s="455"/>
      <c r="V647" s="455"/>
      <c r="W647" s="456"/>
      <c r="X647" s="455"/>
      <c r="Y647" s="455"/>
      <c r="Z647" s="455"/>
      <c r="AA647" s="455"/>
      <c r="AB647" s="456"/>
      <c r="AC647" s="455"/>
      <c r="AD647" s="455"/>
      <c r="AE647" s="455"/>
      <c r="AF647" s="455"/>
      <c r="AG647" s="455"/>
      <c r="AH647" s="455"/>
      <c r="AI647" s="455"/>
      <c r="AJ647" s="456"/>
      <c r="AK647" s="456"/>
      <c r="AL647" s="456"/>
      <c r="AM647" s="456"/>
      <c r="AN647" s="456"/>
      <c r="AO647" s="456"/>
      <c r="AP647" s="456"/>
      <c r="AQ647" s="456"/>
      <c r="AR647" s="458"/>
      <c r="AS647" s="459"/>
      <c r="AT647" s="459"/>
      <c r="AU647" s="459"/>
      <c r="AV647" s="478"/>
      <c r="AW647" s="456"/>
      <c r="AX647" s="456"/>
      <c r="AY647" s="456"/>
      <c r="AZ647" s="456"/>
      <c r="BA647" s="456"/>
      <c r="BB647" s="456"/>
      <c r="BC647" s="456"/>
    </row>
    <row r="648" spans="8:55">
      <c r="H648" s="455"/>
      <c r="I648" s="455"/>
      <c r="J648" s="455"/>
      <c r="K648" s="456"/>
      <c r="L648" s="455"/>
      <c r="M648" s="455"/>
      <c r="N648" s="455"/>
      <c r="O648" s="455"/>
      <c r="P648" s="456"/>
      <c r="Q648" s="456"/>
      <c r="R648" s="457"/>
      <c r="S648" s="456"/>
      <c r="T648" s="455"/>
      <c r="U648" s="455"/>
      <c r="V648" s="455"/>
      <c r="W648" s="456"/>
      <c r="X648" s="455"/>
      <c r="Y648" s="455"/>
      <c r="Z648" s="455"/>
      <c r="AA648" s="455"/>
      <c r="AB648" s="456"/>
      <c r="AC648" s="455"/>
      <c r="AD648" s="455"/>
      <c r="AE648" s="455"/>
      <c r="AF648" s="455"/>
      <c r="AG648" s="455"/>
      <c r="AH648" s="455"/>
      <c r="AI648" s="455"/>
      <c r="AJ648" s="456"/>
      <c r="AK648" s="456"/>
      <c r="AL648" s="456"/>
      <c r="AM648" s="456"/>
      <c r="AN648" s="456"/>
      <c r="AO648" s="456"/>
      <c r="AP648" s="456"/>
      <c r="AQ648" s="456"/>
      <c r="AR648" s="458"/>
      <c r="AS648" s="459"/>
      <c r="AT648" s="459"/>
      <c r="AU648" s="459"/>
      <c r="AV648" s="478"/>
      <c r="AW648" s="456"/>
      <c r="AX648" s="456"/>
      <c r="AY648" s="456"/>
      <c r="AZ648" s="456"/>
      <c r="BA648" s="456"/>
      <c r="BB648" s="456"/>
      <c r="BC648" s="456"/>
    </row>
    <row r="649" spans="8:55">
      <c r="H649" s="455"/>
      <c r="I649" s="455"/>
      <c r="J649" s="455"/>
      <c r="K649" s="456"/>
      <c r="L649" s="455"/>
      <c r="M649" s="455"/>
      <c r="N649" s="455"/>
      <c r="O649" s="455"/>
      <c r="P649" s="456"/>
      <c r="Q649" s="456"/>
      <c r="R649" s="457"/>
      <c r="S649" s="456"/>
      <c r="T649" s="455"/>
      <c r="U649" s="455"/>
      <c r="V649" s="455"/>
      <c r="W649" s="456"/>
      <c r="X649" s="455"/>
      <c r="Y649" s="455"/>
      <c r="Z649" s="455"/>
      <c r="AA649" s="455"/>
      <c r="AB649" s="456"/>
      <c r="AC649" s="455"/>
      <c r="AD649" s="455"/>
      <c r="AE649" s="455"/>
      <c r="AF649" s="455"/>
      <c r="AG649" s="455"/>
      <c r="AH649" s="455"/>
      <c r="AI649" s="455"/>
      <c r="AJ649" s="456"/>
      <c r="AK649" s="456"/>
      <c r="AL649" s="456"/>
      <c r="AM649" s="456"/>
      <c r="AN649" s="456"/>
      <c r="AO649" s="456"/>
      <c r="AP649" s="456"/>
      <c r="AQ649" s="456"/>
      <c r="AR649" s="458"/>
      <c r="AS649" s="459"/>
      <c r="AT649" s="459"/>
      <c r="AU649" s="459"/>
      <c r="AV649" s="478"/>
      <c r="AW649" s="456"/>
      <c r="AX649" s="456"/>
      <c r="AY649" s="456"/>
      <c r="AZ649" s="456"/>
      <c r="BA649" s="456"/>
      <c r="BB649" s="456"/>
      <c r="BC649" s="456"/>
    </row>
    <row r="650" spans="8:55">
      <c r="H650" s="455"/>
      <c r="I650" s="455"/>
      <c r="J650" s="455"/>
      <c r="K650" s="456"/>
      <c r="L650" s="455"/>
      <c r="M650" s="455"/>
      <c r="N650" s="455"/>
      <c r="O650" s="455"/>
      <c r="P650" s="456"/>
      <c r="Q650" s="456"/>
      <c r="R650" s="457"/>
      <c r="S650" s="456"/>
      <c r="T650" s="455"/>
      <c r="U650" s="455"/>
      <c r="V650" s="455"/>
      <c r="W650" s="456"/>
      <c r="X650" s="455"/>
      <c r="Y650" s="455"/>
      <c r="Z650" s="455"/>
      <c r="AA650" s="455"/>
      <c r="AB650" s="456"/>
      <c r="AC650" s="455"/>
      <c r="AD650" s="455"/>
      <c r="AE650" s="455"/>
      <c r="AF650" s="455"/>
      <c r="AG650" s="455"/>
      <c r="AH650" s="455"/>
      <c r="AI650" s="455"/>
      <c r="AJ650" s="456"/>
      <c r="AK650" s="456"/>
      <c r="AL650" s="456"/>
      <c r="AM650" s="456"/>
      <c r="AN650" s="456"/>
      <c r="AO650" s="456"/>
      <c r="AP650" s="456"/>
      <c r="AQ650" s="456"/>
      <c r="AR650" s="458"/>
      <c r="AS650" s="459"/>
      <c r="AT650" s="459"/>
      <c r="AU650" s="459"/>
      <c r="AV650" s="478"/>
      <c r="AW650" s="456"/>
      <c r="AX650" s="456"/>
      <c r="AY650" s="456"/>
      <c r="AZ650" s="456"/>
      <c r="BA650" s="456"/>
      <c r="BB650" s="456"/>
      <c r="BC650" s="456"/>
    </row>
    <row r="651" spans="8:55">
      <c r="H651" s="455"/>
      <c r="I651" s="455"/>
      <c r="J651" s="455"/>
      <c r="K651" s="456"/>
      <c r="L651" s="455"/>
      <c r="M651" s="455"/>
      <c r="N651" s="455"/>
      <c r="O651" s="455"/>
      <c r="P651" s="456"/>
      <c r="Q651" s="456"/>
      <c r="R651" s="457"/>
      <c r="S651" s="456"/>
      <c r="T651" s="455"/>
      <c r="U651" s="455"/>
      <c r="V651" s="455"/>
      <c r="W651" s="456"/>
      <c r="X651" s="455"/>
      <c r="Y651" s="455"/>
      <c r="Z651" s="455"/>
      <c r="AA651" s="455"/>
      <c r="AB651" s="456"/>
      <c r="AC651" s="455"/>
      <c r="AD651" s="455"/>
      <c r="AE651" s="455"/>
      <c r="AF651" s="455"/>
      <c r="AG651" s="455"/>
      <c r="AH651" s="455"/>
      <c r="AI651" s="455"/>
      <c r="AJ651" s="456"/>
      <c r="AK651" s="456"/>
      <c r="AL651" s="456"/>
      <c r="AM651" s="456"/>
      <c r="AN651" s="456"/>
      <c r="AO651" s="456"/>
      <c r="AP651" s="456"/>
      <c r="AQ651" s="456"/>
      <c r="AR651" s="458"/>
      <c r="AS651" s="459"/>
      <c r="AT651" s="459"/>
      <c r="AU651" s="459"/>
      <c r="AV651" s="478"/>
      <c r="AW651" s="456"/>
      <c r="AX651" s="456"/>
      <c r="AY651" s="456"/>
      <c r="AZ651" s="456"/>
      <c r="BA651" s="456"/>
      <c r="BB651" s="456"/>
      <c r="BC651" s="456"/>
    </row>
    <row r="652" spans="8:55">
      <c r="H652" s="455"/>
      <c r="I652" s="455"/>
      <c r="J652" s="455"/>
      <c r="K652" s="456"/>
      <c r="L652" s="455"/>
      <c r="M652" s="455"/>
      <c r="N652" s="455"/>
      <c r="O652" s="455"/>
      <c r="P652" s="456"/>
      <c r="Q652" s="456"/>
      <c r="R652" s="457"/>
      <c r="S652" s="456"/>
      <c r="T652" s="455"/>
      <c r="U652" s="455"/>
      <c r="V652" s="455"/>
      <c r="W652" s="456"/>
      <c r="X652" s="455"/>
      <c r="Y652" s="455"/>
      <c r="Z652" s="455"/>
      <c r="AA652" s="455"/>
      <c r="AB652" s="456"/>
      <c r="AC652" s="455"/>
      <c r="AD652" s="455"/>
      <c r="AE652" s="455"/>
      <c r="AF652" s="455"/>
      <c r="AG652" s="455"/>
      <c r="AH652" s="455"/>
      <c r="AI652" s="455"/>
      <c r="AJ652" s="456"/>
      <c r="AK652" s="456"/>
      <c r="AL652" s="456"/>
      <c r="AM652" s="456"/>
      <c r="AN652" s="456"/>
      <c r="AO652" s="456"/>
      <c r="AP652" s="456"/>
      <c r="AQ652" s="456"/>
      <c r="AR652" s="458"/>
      <c r="AS652" s="459"/>
      <c r="AT652" s="459"/>
      <c r="AU652" s="459"/>
      <c r="AV652" s="478"/>
      <c r="AW652" s="456"/>
      <c r="AX652" s="456"/>
      <c r="AY652" s="456"/>
      <c r="AZ652" s="456"/>
      <c r="BA652" s="456"/>
      <c r="BB652" s="456"/>
      <c r="BC652" s="456"/>
    </row>
    <row r="653" spans="8:55">
      <c r="H653" s="455"/>
      <c r="I653" s="455"/>
      <c r="J653" s="455"/>
      <c r="K653" s="456"/>
      <c r="L653" s="455"/>
      <c r="M653" s="455"/>
      <c r="N653" s="455"/>
      <c r="O653" s="455"/>
      <c r="P653" s="456"/>
      <c r="Q653" s="456"/>
      <c r="R653" s="457"/>
      <c r="S653" s="456"/>
      <c r="T653" s="455"/>
      <c r="U653" s="455"/>
      <c r="V653" s="455"/>
      <c r="W653" s="456"/>
      <c r="X653" s="455"/>
      <c r="Y653" s="455"/>
      <c r="Z653" s="455"/>
      <c r="AA653" s="455"/>
      <c r="AB653" s="456"/>
      <c r="AC653" s="455"/>
      <c r="AD653" s="455"/>
      <c r="AE653" s="455"/>
      <c r="AF653" s="455"/>
      <c r="AG653" s="455"/>
      <c r="AH653" s="455"/>
      <c r="AI653" s="455"/>
      <c r="AJ653" s="456"/>
      <c r="AK653" s="456"/>
      <c r="AL653" s="456"/>
      <c r="AM653" s="456"/>
      <c r="AN653" s="456"/>
      <c r="AO653" s="456"/>
      <c r="AP653" s="456"/>
      <c r="AQ653" s="456"/>
      <c r="AR653" s="458"/>
      <c r="AS653" s="459"/>
      <c r="AT653" s="459"/>
      <c r="AU653" s="459"/>
      <c r="AV653" s="478"/>
      <c r="AW653" s="456"/>
      <c r="AX653" s="456"/>
      <c r="AY653" s="456"/>
      <c r="AZ653" s="456"/>
      <c r="BA653" s="456"/>
      <c r="BB653" s="456"/>
      <c r="BC653" s="456"/>
    </row>
    <row r="654" spans="8:55">
      <c r="H654" s="455"/>
      <c r="I654" s="455"/>
      <c r="J654" s="455"/>
      <c r="K654" s="456"/>
      <c r="L654" s="455"/>
      <c r="M654" s="455"/>
      <c r="N654" s="455"/>
      <c r="O654" s="455"/>
      <c r="P654" s="456"/>
      <c r="Q654" s="456"/>
      <c r="R654" s="457"/>
      <c r="S654" s="456"/>
      <c r="T654" s="455"/>
      <c r="U654" s="455"/>
      <c r="V654" s="455"/>
      <c r="W654" s="456"/>
      <c r="X654" s="455"/>
      <c r="Y654" s="455"/>
      <c r="Z654" s="455"/>
      <c r="AA654" s="455"/>
      <c r="AB654" s="456"/>
      <c r="AC654" s="455"/>
      <c r="AD654" s="455"/>
      <c r="AE654" s="455"/>
      <c r="AF654" s="455"/>
      <c r="AG654" s="455"/>
      <c r="AH654" s="455"/>
      <c r="AI654" s="455"/>
      <c r="AJ654" s="456"/>
      <c r="AK654" s="456"/>
      <c r="AL654" s="456"/>
      <c r="AM654" s="456"/>
      <c r="AN654" s="456"/>
      <c r="AO654" s="456"/>
      <c r="AP654" s="456"/>
      <c r="AQ654" s="456"/>
      <c r="AR654" s="458"/>
      <c r="AS654" s="459"/>
      <c r="AT654" s="459"/>
      <c r="AU654" s="459"/>
      <c r="AV654" s="478"/>
      <c r="AW654" s="456"/>
      <c r="AX654" s="456"/>
      <c r="AY654" s="456"/>
      <c r="AZ654" s="456"/>
      <c r="BA654" s="456"/>
      <c r="BB654" s="456"/>
      <c r="BC654" s="456"/>
    </row>
    <row r="655" spans="8:55">
      <c r="H655" s="455"/>
      <c r="I655" s="455"/>
      <c r="J655" s="455"/>
      <c r="K655" s="456"/>
      <c r="L655" s="455"/>
      <c r="M655" s="455"/>
      <c r="N655" s="455"/>
      <c r="O655" s="455"/>
      <c r="P655" s="456"/>
      <c r="Q655" s="456"/>
      <c r="R655" s="457"/>
      <c r="S655" s="456"/>
      <c r="T655" s="455"/>
      <c r="U655" s="455"/>
      <c r="V655" s="455"/>
      <c r="W655" s="456"/>
      <c r="X655" s="455"/>
      <c r="Y655" s="455"/>
      <c r="Z655" s="455"/>
      <c r="AA655" s="455"/>
      <c r="AB655" s="456"/>
      <c r="AC655" s="455"/>
      <c r="AD655" s="455"/>
      <c r="AE655" s="455"/>
      <c r="AF655" s="455"/>
      <c r="AG655" s="455"/>
      <c r="AH655" s="455"/>
      <c r="AI655" s="455"/>
      <c r="AJ655" s="456"/>
      <c r="AK655" s="456"/>
      <c r="AL655" s="456"/>
      <c r="AM655" s="456"/>
      <c r="AN655" s="456"/>
      <c r="AO655" s="456"/>
      <c r="AP655" s="456"/>
      <c r="AQ655" s="456"/>
      <c r="AR655" s="458"/>
      <c r="AS655" s="459"/>
      <c r="AT655" s="459"/>
      <c r="AU655" s="459"/>
      <c r="AV655" s="478"/>
      <c r="AW655" s="456"/>
      <c r="AX655" s="456"/>
      <c r="AY655" s="456"/>
      <c r="AZ655" s="456"/>
      <c r="BA655" s="456"/>
      <c r="BB655" s="456"/>
      <c r="BC655" s="456"/>
    </row>
    <row r="656" spans="8:55">
      <c r="H656" s="455"/>
      <c r="I656" s="455"/>
      <c r="J656" s="455"/>
      <c r="K656" s="456"/>
      <c r="L656" s="455"/>
      <c r="M656" s="455"/>
      <c r="N656" s="455"/>
      <c r="O656" s="455"/>
      <c r="P656" s="456"/>
      <c r="Q656" s="456"/>
      <c r="R656" s="457"/>
      <c r="S656" s="456"/>
      <c r="T656" s="455"/>
      <c r="U656" s="455"/>
      <c r="V656" s="455"/>
      <c r="W656" s="456"/>
      <c r="X656" s="455"/>
      <c r="Y656" s="455"/>
      <c r="Z656" s="455"/>
      <c r="AA656" s="455"/>
      <c r="AB656" s="456"/>
      <c r="AC656" s="455"/>
      <c r="AD656" s="455"/>
      <c r="AE656" s="455"/>
      <c r="AF656" s="455"/>
      <c r="AG656" s="455"/>
      <c r="AH656" s="455"/>
      <c r="AI656" s="455"/>
      <c r="AJ656" s="456"/>
      <c r="AK656" s="456"/>
      <c r="AL656" s="456"/>
      <c r="AM656" s="456"/>
      <c r="AN656" s="456"/>
      <c r="AO656" s="456"/>
      <c r="AP656" s="456"/>
      <c r="AQ656" s="456"/>
      <c r="AR656" s="458"/>
      <c r="AS656" s="459"/>
      <c r="AT656" s="459"/>
      <c r="AU656" s="459"/>
      <c r="AV656" s="478"/>
      <c r="AW656" s="456"/>
      <c r="AX656" s="456"/>
      <c r="AY656" s="456"/>
      <c r="AZ656" s="456"/>
      <c r="BA656" s="456"/>
      <c r="BB656" s="456"/>
      <c r="BC656" s="456"/>
    </row>
    <row r="657" spans="8:55">
      <c r="H657" s="455"/>
      <c r="I657" s="455"/>
      <c r="J657" s="455"/>
      <c r="K657" s="456"/>
      <c r="L657" s="455"/>
      <c r="M657" s="455"/>
      <c r="N657" s="455"/>
      <c r="O657" s="455"/>
      <c r="P657" s="456"/>
      <c r="Q657" s="456"/>
      <c r="R657" s="457"/>
      <c r="S657" s="456"/>
      <c r="T657" s="455"/>
      <c r="U657" s="455"/>
      <c r="V657" s="455"/>
      <c r="W657" s="456"/>
      <c r="X657" s="455"/>
      <c r="Y657" s="455"/>
      <c r="Z657" s="455"/>
      <c r="AA657" s="455"/>
      <c r="AB657" s="456"/>
      <c r="AC657" s="455"/>
      <c r="AD657" s="455"/>
      <c r="AE657" s="455"/>
      <c r="AF657" s="455"/>
      <c r="AG657" s="455"/>
      <c r="AH657" s="455"/>
      <c r="AI657" s="455"/>
      <c r="AJ657" s="456"/>
      <c r="AK657" s="456"/>
      <c r="AL657" s="456"/>
      <c r="AM657" s="456"/>
      <c r="AN657" s="456"/>
      <c r="AO657" s="456"/>
      <c r="AP657" s="456"/>
      <c r="AQ657" s="456"/>
      <c r="AR657" s="458"/>
      <c r="AS657" s="459"/>
      <c r="AT657" s="459"/>
      <c r="AU657" s="459"/>
      <c r="AV657" s="478"/>
      <c r="AW657" s="456"/>
      <c r="AX657" s="456"/>
      <c r="AY657" s="456"/>
      <c r="AZ657" s="456"/>
      <c r="BA657" s="456"/>
      <c r="BB657" s="456"/>
      <c r="BC657" s="456"/>
    </row>
    <row r="658" spans="8:55">
      <c r="H658" s="455"/>
      <c r="I658" s="455"/>
      <c r="J658" s="455"/>
      <c r="K658" s="456"/>
      <c r="L658" s="455"/>
      <c r="M658" s="455"/>
      <c r="N658" s="455"/>
      <c r="O658" s="455"/>
      <c r="P658" s="456"/>
      <c r="Q658" s="456"/>
      <c r="R658" s="457"/>
      <c r="S658" s="456"/>
      <c r="T658" s="455"/>
      <c r="U658" s="455"/>
      <c r="V658" s="455"/>
      <c r="W658" s="456"/>
      <c r="X658" s="455"/>
      <c r="Y658" s="455"/>
      <c r="Z658" s="455"/>
      <c r="AA658" s="455"/>
      <c r="AB658" s="456"/>
      <c r="AC658" s="455"/>
      <c r="AD658" s="455"/>
      <c r="AE658" s="455"/>
      <c r="AF658" s="455"/>
      <c r="AG658" s="455"/>
      <c r="AH658" s="455"/>
      <c r="AI658" s="455"/>
      <c r="AJ658" s="456"/>
      <c r="AK658" s="456"/>
      <c r="AL658" s="456"/>
      <c r="AM658" s="456"/>
      <c r="AN658" s="456"/>
      <c r="AO658" s="456"/>
      <c r="AP658" s="456"/>
      <c r="AQ658" s="456"/>
      <c r="AR658" s="458"/>
      <c r="AS658" s="459"/>
      <c r="AT658" s="459"/>
      <c r="AU658" s="459"/>
      <c r="AV658" s="478"/>
      <c r="AW658" s="456"/>
      <c r="AX658" s="456"/>
      <c r="AY658" s="456"/>
      <c r="AZ658" s="456"/>
      <c r="BA658" s="456"/>
      <c r="BB658" s="456"/>
      <c r="BC658" s="456"/>
    </row>
    <row r="659" spans="8:55">
      <c r="H659" s="455"/>
      <c r="I659" s="455"/>
      <c r="J659" s="455"/>
      <c r="K659" s="456"/>
      <c r="L659" s="455"/>
      <c r="M659" s="455"/>
      <c r="N659" s="455"/>
      <c r="O659" s="455"/>
      <c r="P659" s="456"/>
      <c r="Q659" s="456"/>
      <c r="R659" s="457"/>
      <c r="S659" s="456"/>
      <c r="T659" s="455"/>
      <c r="U659" s="455"/>
      <c r="V659" s="455"/>
      <c r="W659" s="456"/>
      <c r="X659" s="455"/>
      <c r="Y659" s="455"/>
      <c r="Z659" s="455"/>
      <c r="AA659" s="455"/>
      <c r="AB659" s="456"/>
      <c r="AC659" s="455"/>
      <c r="AD659" s="455"/>
      <c r="AE659" s="455"/>
      <c r="AF659" s="455"/>
      <c r="AG659" s="455"/>
      <c r="AH659" s="455"/>
      <c r="AI659" s="455"/>
      <c r="AJ659" s="456"/>
      <c r="AK659" s="456"/>
      <c r="AL659" s="456"/>
      <c r="AM659" s="456"/>
      <c r="AN659" s="456"/>
      <c r="AO659" s="456"/>
      <c r="AP659" s="456"/>
      <c r="AQ659" s="456"/>
      <c r="AR659" s="458"/>
      <c r="AS659" s="459"/>
      <c r="AT659" s="459"/>
      <c r="AU659" s="459"/>
      <c r="AV659" s="478"/>
      <c r="AW659" s="456"/>
      <c r="AX659" s="456"/>
      <c r="AY659" s="456"/>
      <c r="AZ659" s="456"/>
      <c r="BA659" s="456"/>
      <c r="BB659" s="456"/>
      <c r="BC659" s="456"/>
    </row>
    <row r="660" spans="8:55">
      <c r="H660" s="455"/>
      <c r="I660" s="455"/>
      <c r="J660" s="455"/>
      <c r="K660" s="456"/>
      <c r="L660" s="455"/>
      <c r="M660" s="455"/>
      <c r="N660" s="455"/>
      <c r="O660" s="455"/>
      <c r="P660" s="456"/>
      <c r="Q660" s="456"/>
      <c r="R660" s="457"/>
      <c r="S660" s="456"/>
      <c r="T660" s="455"/>
      <c r="U660" s="455"/>
      <c r="V660" s="455"/>
      <c r="W660" s="456"/>
      <c r="X660" s="455"/>
      <c r="Y660" s="455"/>
      <c r="Z660" s="455"/>
      <c r="AA660" s="455"/>
      <c r="AB660" s="456"/>
      <c r="AC660" s="455"/>
      <c r="AD660" s="455"/>
      <c r="AE660" s="455"/>
      <c r="AF660" s="455"/>
      <c r="AG660" s="455"/>
      <c r="AH660" s="455"/>
      <c r="AI660" s="455"/>
      <c r="AJ660" s="456"/>
      <c r="AK660" s="456"/>
      <c r="AL660" s="456"/>
      <c r="AM660" s="456"/>
      <c r="AN660" s="456"/>
      <c r="AO660" s="456"/>
      <c r="AP660" s="456"/>
      <c r="AQ660" s="456"/>
      <c r="AR660" s="458"/>
      <c r="AS660" s="459"/>
      <c r="AT660" s="459"/>
      <c r="AU660" s="459"/>
      <c r="AV660" s="478"/>
      <c r="AW660" s="456"/>
      <c r="AX660" s="456"/>
      <c r="AY660" s="456"/>
      <c r="AZ660" s="456"/>
      <c r="BA660" s="456"/>
      <c r="BB660" s="456"/>
      <c r="BC660" s="456"/>
    </row>
    <row r="661" spans="8:55">
      <c r="H661" s="455"/>
      <c r="I661" s="455"/>
      <c r="J661" s="455"/>
      <c r="K661" s="456"/>
      <c r="L661" s="455"/>
      <c r="M661" s="455"/>
      <c r="N661" s="455"/>
      <c r="O661" s="455"/>
      <c r="P661" s="456"/>
      <c r="Q661" s="456"/>
      <c r="R661" s="457"/>
      <c r="S661" s="456"/>
      <c r="T661" s="455"/>
      <c r="U661" s="455"/>
      <c r="V661" s="455"/>
      <c r="W661" s="456"/>
      <c r="X661" s="455"/>
      <c r="Y661" s="455"/>
      <c r="Z661" s="455"/>
      <c r="AA661" s="455"/>
      <c r="AB661" s="456"/>
      <c r="AC661" s="455"/>
      <c r="AD661" s="455"/>
      <c r="AE661" s="455"/>
      <c r="AF661" s="455"/>
      <c r="AG661" s="455"/>
      <c r="AH661" s="455"/>
      <c r="AI661" s="455"/>
      <c r="AJ661" s="456"/>
      <c r="AK661" s="456"/>
      <c r="AL661" s="456"/>
      <c r="AM661" s="456"/>
      <c r="AN661" s="456"/>
      <c r="AO661" s="456"/>
      <c r="AP661" s="456"/>
      <c r="AQ661" s="456"/>
      <c r="AR661" s="458"/>
      <c r="AS661" s="459"/>
      <c r="AT661" s="459"/>
      <c r="AU661" s="459"/>
      <c r="AV661" s="478"/>
      <c r="AW661" s="456"/>
      <c r="AX661" s="456"/>
      <c r="AY661" s="456"/>
      <c r="AZ661" s="456"/>
      <c r="BA661" s="456"/>
      <c r="BB661" s="456"/>
      <c r="BC661" s="456"/>
    </row>
    <row r="662" spans="8:55">
      <c r="H662" s="455"/>
      <c r="I662" s="455"/>
      <c r="J662" s="455"/>
      <c r="K662" s="456"/>
      <c r="L662" s="455"/>
      <c r="M662" s="455"/>
      <c r="N662" s="455"/>
      <c r="O662" s="455"/>
      <c r="P662" s="456"/>
      <c r="Q662" s="456"/>
      <c r="R662" s="457"/>
      <c r="S662" s="456"/>
      <c r="T662" s="455"/>
      <c r="U662" s="455"/>
      <c r="V662" s="455"/>
      <c r="W662" s="456"/>
      <c r="X662" s="455"/>
      <c r="Y662" s="455"/>
      <c r="Z662" s="455"/>
      <c r="AA662" s="455"/>
      <c r="AB662" s="456"/>
      <c r="AC662" s="455"/>
      <c r="AD662" s="455"/>
      <c r="AE662" s="455"/>
      <c r="AF662" s="455"/>
      <c r="AG662" s="455"/>
      <c r="AH662" s="455"/>
      <c r="AI662" s="455"/>
      <c r="AJ662" s="456"/>
      <c r="AK662" s="456"/>
      <c r="AL662" s="456"/>
      <c r="AM662" s="456"/>
      <c r="AN662" s="456"/>
      <c r="AO662" s="456"/>
      <c r="AP662" s="456"/>
      <c r="AQ662" s="456"/>
      <c r="AR662" s="458"/>
      <c r="AS662" s="459"/>
      <c r="AT662" s="459"/>
      <c r="AU662" s="459"/>
      <c r="AV662" s="478"/>
      <c r="AW662" s="456"/>
      <c r="AX662" s="456"/>
      <c r="AY662" s="456"/>
      <c r="AZ662" s="456"/>
      <c r="BA662" s="456"/>
      <c r="BB662" s="456"/>
      <c r="BC662" s="456"/>
    </row>
    <row r="663" spans="8:55">
      <c r="H663" s="455"/>
      <c r="I663" s="455"/>
      <c r="J663" s="455"/>
      <c r="K663" s="456"/>
      <c r="L663" s="455"/>
      <c r="M663" s="455"/>
      <c r="N663" s="455"/>
      <c r="O663" s="455"/>
      <c r="P663" s="456"/>
      <c r="Q663" s="456"/>
      <c r="R663" s="457"/>
      <c r="S663" s="456"/>
      <c r="T663" s="455"/>
      <c r="U663" s="455"/>
      <c r="V663" s="455"/>
      <c r="W663" s="456"/>
      <c r="X663" s="455"/>
      <c r="Y663" s="455"/>
      <c r="Z663" s="455"/>
      <c r="AA663" s="455"/>
      <c r="AB663" s="456"/>
      <c r="AC663" s="455"/>
      <c r="AD663" s="455"/>
      <c r="AE663" s="455"/>
      <c r="AF663" s="455"/>
      <c r="AG663" s="455"/>
      <c r="AH663" s="455"/>
      <c r="AI663" s="455"/>
      <c r="AJ663" s="456"/>
      <c r="AK663" s="456"/>
      <c r="AL663" s="456"/>
      <c r="AM663" s="456"/>
      <c r="AN663" s="456"/>
      <c r="AO663" s="456"/>
      <c r="AP663" s="456"/>
      <c r="AQ663" s="456"/>
      <c r="AR663" s="458"/>
      <c r="AS663" s="459"/>
      <c r="AT663" s="459"/>
      <c r="AU663" s="459"/>
      <c r="AV663" s="478"/>
      <c r="AW663" s="456"/>
      <c r="AX663" s="456"/>
      <c r="AY663" s="456"/>
      <c r="AZ663" s="456"/>
      <c r="BA663" s="456"/>
      <c r="BB663" s="456"/>
      <c r="BC663" s="456"/>
    </row>
    <row r="664" spans="8:55">
      <c r="H664" s="455"/>
      <c r="I664" s="455"/>
      <c r="J664" s="455"/>
      <c r="K664" s="456"/>
      <c r="L664" s="455"/>
      <c r="M664" s="455"/>
      <c r="N664" s="455"/>
      <c r="O664" s="455"/>
      <c r="P664" s="456"/>
      <c r="Q664" s="456"/>
      <c r="R664" s="457"/>
      <c r="S664" s="456"/>
      <c r="T664" s="455"/>
      <c r="U664" s="455"/>
      <c r="V664" s="455"/>
      <c r="W664" s="456"/>
      <c r="X664" s="455"/>
      <c r="Y664" s="455"/>
      <c r="Z664" s="455"/>
      <c r="AA664" s="455"/>
      <c r="AB664" s="456"/>
      <c r="AC664" s="455"/>
      <c r="AD664" s="455"/>
      <c r="AE664" s="455"/>
      <c r="AF664" s="455"/>
      <c r="AG664" s="455"/>
      <c r="AH664" s="455"/>
      <c r="AI664" s="455"/>
      <c r="AJ664" s="456"/>
      <c r="AK664" s="456"/>
      <c r="AL664" s="456"/>
      <c r="AM664" s="456"/>
      <c r="AN664" s="456"/>
      <c r="AO664" s="456"/>
      <c r="AP664" s="456"/>
      <c r="AQ664" s="456"/>
      <c r="AR664" s="458"/>
      <c r="AS664" s="459"/>
      <c r="AT664" s="459"/>
      <c r="AU664" s="459"/>
      <c r="AV664" s="478"/>
      <c r="AW664" s="456"/>
      <c r="AX664" s="456"/>
      <c r="AY664" s="456"/>
      <c r="AZ664" s="456"/>
      <c r="BA664" s="456"/>
      <c r="BB664" s="456"/>
      <c r="BC664" s="456"/>
    </row>
    <row r="665" spans="8:55">
      <c r="H665" s="455"/>
      <c r="I665" s="455"/>
      <c r="J665" s="455"/>
      <c r="K665" s="456"/>
      <c r="L665" s="455"/>
      <c r="M665" s="455"/>
      <c r="N665" s="455"/>
      <c r="O665" s="455"/>
      <c r="P665" s="456"/>
      <c r="Q665" s="456"/>
      <c r="R665" s="457"/>
      <c r="S665" s="456"/>
      <c r="T665" s="455"/>
      <c r="U665" s="455"/>
      <c r="V665" s="455"/>
      <c r="W665" s="456"/>
      <c r="X665" s="455"/>
      <c r="Y665" s="455"/>
      <c r="Z665" s="455"/>
      <c r="AA665" s="455"/>
      <c r="AB665" s="456"/>
      <c r="AC665" s="455"/>
      <c r="AD665" s="455"/>
      <c r="AE665" s="455"/>
      <c r="AF665" s="455"/>
      <c r="AG665" s="455"/>
      <c r="AH665" s="455"/>
      <c r="AI665" s="455"/>
      <c r="AJ665" s="456"/>
      <c r="AK665" s="456"/>
      <c r="AL665" s="456"/>
      <c r="AM665" s="456"/>
      <c r="AN665" s="456"/>
      <c r="AO665" s="456"/>
      <c r="AP665" s="456"/>
      <c r="AQ665" s="456"/>
      <c r="AR665" s="458"/>
      <c r="AS665" s="459"/>
      <c r="AT665" s="459"/>
      <c r="AU665" s="459"/>
      <c r="AV665" s="478"/>
      <c r="AW665" s="456"/>
      <c r="AX665" s="456"/>
      <c r="AY665" s="456"/>
      <c r="AZ665" s="456"/>
      <c r="BA665" s="456"/>
      <c r="BB665" s="456"/>
      <c r="BC665" s="456"/>
    </row>
    <row r="666" spans="8:55">
      <c r="H666" s="455"/>
      <c r="I666" s="455"/>
      <c r="J666" s="455"/>
      <c r="K666" s="456"/>
      <c r="L666" s="455"/>
      <c r="M666" s="455"/>
      <c r="N666" s="455"/>
      <c r="O666" s="455"/>
      <c r="P666" s="456"/>
      <c r="Q666" s="456"/>
      <c r="R666" s="457"/>
      <c r="S666" s="456"/>
      <c r="T666" s="455"/>
      <c r="U666" s="455"/>
      <c r="V666" s="455"/>
      <c r="W666" s="456"/>
      <c r="X666" s="455"/>
      <c r="Y666" s="455"/>
      <c r="Z666" s="455"/>
      <c r="AA666" s="455"/>
      <c r="AB666" s="456"/>
      <c r="AC666" s="455"/>
      <c r="AD666" s="455"/>
      <c r="AE666" s="455"/>
      <c r="AF666" s="455"/>
      <c r="AG666" s="455"/>
      <c r="AH666" s="455"/>
      <c r="AI666" s="455"/>
      <c r="AJ666" s="456"/>
      <c r="AK666" s="456"/>
      <c r="AL666" s="456"/>
      <c r="AM666" s="456"/>
      <c r="AN666" s="456"/>
      <c r="AO666" s="456"/>
      <c r="AP666" s="456"/>
      <c r="AQ666" s="456"/>
      <c r="AR666" s="458"/>
      <c r="AS666" s="459"/>
      <c r="AT666" s="459"/>
      <c r="AU666" s="459"/>
      <c r="AV666" s="478"/>
      <c r="AW666" s="456"/>
      <c r="AX666" s="456"/>
      <c r="AY666" s="456"/>
      <c r="AZ666" s="456"/>
      <c r="BA666" s="456"/>
      <c r="BB666" s="456"/>
      <c r="BC666" s="456"/>
    </row>
    <row r="667" spans="8:55">
      <c r="H667" s="455"/>
      <c r="I667" s="455"/>
      <c r="J667" s="455"/>
      <c r="K667" s="456"/>
      <c r="L667" s="455"/>
      <c r="M667" s="455"/>
      <c r="N667" s="455"/>
      <c r="O667" s="455"/>
      <c r="P667" s="456"/>
      <c r="Q667" s="456"/>
      <c r="R667" s="457"/>
      <c r="S667" s="456"/>
      <c r="T667" s="455"/>
      <c r="U667" s="455"/>
      <c r="V667" s="455"/>
      <c r="W667" s="456"/>
      <c r="X667" s="455"/>
      <c r="Y667" s="455"/>
      <c r="Z667" s="455"/>
      <c r="AA667" s="455"/>
      <c r="AB667" s="456"/>
      <c r="AC667" s="455"/>
      <c r="AD667" s="455"/>
      <c r="AE667" s="455"/>
      <c r="AF667" s="455"/>
      <c r="AG667" s="455"/>
      <c r="AH667" s="455"/>
      <c r="AI667" s="455"/>
      <c r="AJ667" s="456"/>
      <c r="AK667" s="456"/>
      <c r="AL667" s="456"/>
      <c r="AM667" s="456"/>
      <c r="AN667" s="456"/>
      <c r="AO667" s="456"/>
      <c r="AP667" s="456"/>
      <c r="AQ667" s="456"/>
      <c r="AR667" s="458"/>
      <c r="AS667" s="459"/>
      <c r="AT667" s="459"/>
      <c r="AU667" s="459"/>
      <c r="AV667" s="478"/>
      <c r="AW667" s="456"/>
      <c r="AX667" s="456"/>
      <c r="AY667" s="456"/>
      <c r="AZ667" s="456"/>
      <c r="BA667" s="456"/>
      <c r="BB667" s="456"/>
      <c r="BC667" s="456"/>
    </row>
    <row r="668" spans="8:55">
      <c r="H668" s="455"/>
      <c r="I668" s="455"/>
      <c r="J668" s="455"/>
      <c r="K668" s="456"/>
      <c r="L668" s="455"/>
      <c r="M668" s="455"/>
      <c r="N668" s="455"/>
      <c r="O668" s="455"/>
      <c r="P668" s="456"/>
      <c r="Q668" s="456"/>
      <c r="R668" s="457"/>
      <c r="S668" s="456"/>
      <c r="T668" s="455"/>
      <c r="U668" s="455"/>
      <c r="V668" s="455"/>
      <c r="W668" s="456"/>
      <c r="X668" s="455"/>
      <c r="Y668" s="455"/>
      <c r="Z668" s="455"/>
      <c r="AA668" s="455"/>
      <c r="AB668" s="456"/>
      <c r="AC668" s="455"/>
      <c r="AD668" s="455"/>
      <c r="AE668" s="455"/>
      <c r="AF668" s="455"/>
      <c r="AG668" s="455"/>
      <c r="AH668" s="455"/>
      <c r="AI668" s="455"/>
      <c r="AJ668" s="456"/>
      <c r="AK668" s="456"/>
      <c r="AL668" s="456"/>
      <c r="AM668" s="456"/>
      <c r="AN668" s="456"/>
      <c r="AO668" s="456"/>
      <c r="AP668" s="456"/>
      <c r="AQ668" s="456"/>
      <c r="AR668" s="458"/>
      <c r="AS668" s="459"/>
      <c r="AT668" s="459"/>
      <c r="AU668" s="459"/>
      <c r="AV668" s="478"/>
      <c r="AW668" s="456"/>
      <c r="AX668" s="456"/>
      <c r="AY668" s="456"/>
      <c r="AZ668" s="456"/>
      <c r="BA668" s="456"/>
      <c r="BB668" s="456"/>
      <c r="BC668" s="456"/>
    </row>
    <row r="669" spans="8:55">
      <c r="H669" s="455"/>
      <c r="I669" s="455"/>
      <c r="J669" s="455"/>
      <c r="K669" s="456"/>
      <c r="L669" s="455"/>
      <c r="M669" s="455"/>
      <c r="N669" s="455"/>
      <c r="O669" s="455"/>
      <c r="P669" s="456"/>
      <c r="Q669" s="456"/>
      <c r="R669" s="457"/>
      <c r="S669" s="456"/>
      <c r="T669" s="455"/>
      <c r="U669" s="455"/>
      <c r="V669" s="455"/>
      <c r="W669" s="456"/>
      <c r="X669" s="455"/>
      <c r="Y669" s="455"/>
      <c r="Z669" s="455"/>
      <c r="AA669" s="455"/>
      <c r="AB669" s="456"/>
      <c r="AC669" s="455"/>
      <c r="AD669" s="455"/>
      <c r="AE669" s="455"/>
      <c r="AF669" s="455"/>
      <c r="AG669" s="455"/>
      <c r="AH669" s="455"/>
      <c r="AI669" s="455"/>
      <c r="AJ669" s="456"/>
      <c r="AK669" s="456"/>
      <c r="AL669" s="456"/>
      <c r="AM669" s="456"/>
      <c r="AN669" s="456"/>
      <c r="AO669" s="456"/>
      <c r="AP669" s="456"/>
      <c r="AQ669" s="456"/>
      <c r="AR669" s="458"/>
      <c r="AS669" s="459"/>
      <c r="AT669" s="459"/>
      <c r="AU669" s="459"/>
      <c r="AV669" s="478"/>
      <c r="AW669" s="456"/>
      <c r="AX669" s="456"/>
      <c r="AY669" s="456"/>
      <c r="AZ669" s="456"/>
      <c r="BA669" s="456"/>
      <c r="BB669" s="456"/>
      <c r="BC669" s="456"/>
    </row>
    <row r="670" spans="8:55">
      <c r="H670" s="455"/>
      <c r="I670" s="455"/>
      <c r="J670" s="455"/>
      <c r="K670" s="456"/>
      <c r="L670" s="455"/>
      <c r="M670" s="455"/>
      <c r="N670" s="455"/>
      <c r="O670" s="455"/>
      <c r="P670" s="456"/>
      <c r="Q670" s="456"/>
      <c r="R670" s="457"/>
      <c r="S670" s="456"/>
      <c r="T670" s="455"/>
      <c r="U670" s="455"/>
      <c r="V670" s="455"/>
      <c r="W670" s="456"/>
      <c r="X670" s="455"/>
      <c r="Y670" s="455"/>
      <c r="Z670" s="455"/>
      <c r="AA670" s="455"/>
      <c r="AB670" s="456"/>
      <c r="AC670" s="455"/>
      <c r="AD670" s="455"/>
      <c r="AE670" s="455"/>
      <c r="AF670" s="455"/>
      <c r="AG670" s="455"/>
      <c r="AH670" s="455"/>
      <c r="AI670" s="455"/>
      <c r="AJ670" s="456"/>
      <c r="AK670" s="456"/>
      <c r="AL670" s="456"/>
      <c r="AM670" s="456"/>
      <c r="AN670" s="456"/>
      <c r="AO670" s="456"/>
      <c r="AP670" s="456"/>
      <c r="AQ670" s="456"/>
      <c r="AR670" s="458"/>
      <c r="AS670" s="459"/>
      <c r="AT670" s="459"/>
      <c r="AU670" s="459"/>
      <c r="AV670" s="478"/>
      <c r="AW670" s="456"/>
      <c r="AX670" s="456"/>
      <c r="AY670" s="456"/>
      <c r="AZ670" s="456"/>
      <c r="BA670" s="456"/>
      <c r="BB670" s="456"/>
      <c r="BC670" s="456"/>
    </row>
    <row r="671" spans="8:55">
      <c r="H671" s="455"/>
      <c r="I671" s="455"/>
      <c r="J671" s="455"/>
      <c r="K671" s="456"/>
      <c r="L671" s="455"/>
      <c r="M671" s="455"/>
      <c r="N671" s="455"/>
      <c r="O671" s="455"/>
      <c r="P671" s="456"/>
      <c r="Q671" s="456"/>
      <c r="R671" s="457"/>
      <c r="S671" s="456"/>
      <c r="T671" s="455"/>
      <c r="U671" s="455"/>
      <c r="V671" s="455"/>
      <c r="W671" s="456"/>
      <c r="X671" s="455"/>
      <c r="Y671" s="455"/>
      <c r="Z671" s="455"/>
      <c r="AA671" s="455"/>
      <c r="AB671" s="456"/>
      <c r="AC671" s="455"/>
      <c r="AD671" s="455"/>
      <c r="AE671" s="455"/>
      <c r="AF671" s="455"/>
      <c r="AG671" s="455"/>
      <c r="AH671" s="455"/>
      <c r="AI671" s="455"/>
      <c r="AJ671" s="456"/>
      <c r="AK671" s="456"/>
      <c r="AL671" s="456"/>
      <c r="AM671" s="456"/>
      <c r="AN671" s="456"/>
      <c r="AO671" s="456"/>
      <c r="AP671" s="456"/>
      <c r="AQ671" s="456"/>
      <c r="AR671" s="458"/>
      <c r="AS671" s="459"/>
      <c r="AT671" s="459"/>
      <c r="AU671" s="459"/>
      <c r="AV671" s="478"/>
      <c r="AW671" s="456"/>
      <c r="AX671" s="456"/>
      <c r="AY671" s="456"/>
      <c r="AZ671" s="456"/>
      <c r="BA671" s="456"/>
      <c r="BB671" s="456"/>
      <c r="BC671" s="456"/>
    </row>
    <row r="672" spans="8:55">
      <c r="H672" s="455"/>
      <c r="I672" s="455"/>
      <c r="J672" s="455"/>
      <c r="K672" s="456"/>
      <c r="L672" s="455"/>
      <c r="M672" s="455"/>
      <c r="N672" s="455"/>
      <c r="O672" s="455"/>
      <c r="P672" s="456"/>
      <c r="Q672" s="456"/>
      <c r="R672" s="457"/>
      <c r="S672" s="456"/>
      <c r="T672" s="455"/>
      <c r="U672" s="455"/>
      <c r="V672" s="455"/>
      <c r="W672" s="456"/>
      <c r="X672" s="455"/>
      <c r="Y672" s="455"/>
      <c r="Z672" s="455"/>
      <c r="AA672" s="455"/>
      <c r="AB672" s="456"/>
      <c r="AC672" s="455"/>
      <c r="AD672" s="455"/>
      <c r="AE672" s="455"/>
      <c r="AF672" s="455"/>
      <c r="AG672" s="455"/>
      <c r="AH672" s="455"/>
      <c r="AI672" s="455"/>
      <c r="AJ672" s="456"/>
      <c r="AK672" s="456"/>
      <c r="AL672" s="456"/>
      <c r="AM672" s="456"/>
      <c r="AN672" s="456"/>
      <c r="AO672" s="456"/>
      <c r="AP672" s="456"/>
      <c r="AQ672" s="456"/>
      <c r="AR672" s="458"/>
      <c r="AS672" s="459"/>
      <c r="AT672" s="459"/>
      <c r="AU672" s="459"/>
      <c r="AV672" s="478"/>
      <c r="AW672" s="456"/>
      <c r="AX672" s="456"/>
      <c r="AY672" s="456"/>
      <c r="AZ672" s="456"/>
      <c r="BA672" s="456"/>
      <c r="BB672" s="456"/>
      <c r="BC672" s="456"/>
    </row>
    <row r="673" spans="8:55">
      <c r="H673" s="455"/>
      <c r="I673" s="455"/>
      <c r="J673" s="455"/>
      <c r="K673" s="456"/>
      <c r="L673" s="455"/>
      <c r="M673" s="455"/>
      <c r="N673" s="455"/>
      <c r="O673" s="455"/>
      <c r="P673" s="456"/>
      <c r="Q673" s="456"/>
      <c r="R673" s="457"/>
      <c r="S673" s="456"/>
      <c r="T673" s="455"/>
      <c r="U673" s="455"/>
      <c r="V673" s="455"/>
      <c r="W673" s="456"/>
      <c r="X673" s="455"/>
      <c r="Y673" s="455"/>
      <c r="Z673" s="455"/>
      <c r="AA673" s="455"/>
      <c r="AB673" s="456"/>
      <c r="AC673" s="455"/>
      <c r="AD673" s="455"/>
      <c r="AE673" s="455"/>
      <c r="AF673" s="455"/>
      <c r="AG673" s="455"/>
      <c r="AH673" s="455"/>
      <c r="AI673" s="455"/>
      <c r="AJ673" s="456"/>
      <c r="AK673" s="456"/>
      <c r="AL673" s="456"/>
      <c r="AM673" s="456"/>
      <c r="AN673" s="456"/>
      <c r="AO673" s="456"/>
      <c r="AP673" s="456"/>
      <c r="AQ673" s="456"/>
      <c r="AR673" s="458"/>
      <c r="AS673" s="459"/>
      <c r="AT673" s="459"/>
      <c r="AU673" s="459"/>
      <c r="AV673" s="478"/>
      <c r="AW673" s="456"/>
      <c r="AX673" s="456"/>
      <c r="AY673" s="456"/>
      <c r="AZ673" s="456"/>
      <c r="BA673" s="456"/>
      <c r="BB673" s="456"/>
      <c r="BC673" s="456"/>
    </row>
    <row r="674" spans="8:55">
      <c r="H674" s="455"/>
      <c r="I674" s="455"/>
      <c r="J674" s="455"/>
      <c r="K674" s="456"/>
      <c r="L674" s="455"/>
      <c r="M674" s="455"/>
      <c r="N674" s="455"/>
      <c r="O674" s="455"/>
      <c r="P674" s="456"/>
      <c r="Q674" s="456"/>
      <c r="R674" s="457"/>
      <c r="S674" s="456"/>
      <c r="T674" s="455"/>
      <c r="U674" s="455"/>
      <c r="V674" s="455"/>
      <c r="W674" s="456"/>
      <c r="X674" s="455"/>
      <c r="Y674" s="455"/>
      <c r="Z674" s="455"/>
      <c r="AA674" s="455"/>
      <c r="AB674" s="456"/>
      <c r="AC674" s="455"/>
      <c r="AD674" s="455"/>
      <c r="AE674" s="455"/>
      <c r="AF674" s="455"/>
      <c r="AG674" s="455"/>
      <c r="AH674" s="455"/>
      <c r="AI674" s="455"/>
      <c r="AJ674" s="456"/>
      <c r="AK674" s="456"/>
      <c r="AL674" s="456"/>
      <c r="AM674" s="456"/>
      <c r="AN674" s="456"/>
      <c r="AO674" s="456"/>
      <c r="AP674" s="456"/>
      <c r="AQ674" s="456"/>
      <c r="AR674" s="458"/>
      <c r="AS674" s="459"/>
      <c r="AT674" s="459"/>
      <c r="AU674" s="459"/>
      <c r="AV674" s="478"/>
      <c r="AW674" s="456"/>
      <c r="AX674" s="456"/>
      <c r="AY674" s="456"/>
      <c r="AZ674" s="456"/>
      <c r="BA674" s="456"/>
      <c r="BB674" s="456"/>
      <c r="BC674" s="456"/>
    </row>
    <row r="675" spans="8:55">
      <c r="H675" s="455"/>
      <c r="I675" s="455"/>
      <c r="J675" s="455"/>
      <c r="K675" s="456"/>
      <c r="L675" s="455"/>
      <c r="M675" s="455"/>
      <c r="N675" s="455"/>
      <c r="O675" s="455"/>
      <c r="P675" s="456"/>
      <c r="Q675" s="456"/>
      <c r="R675" s="457"/>
      <c r="S675" s="456"/>
      <c r="T675" s="455"/>
      <c r="U675" s="455"/>
      <c r="V675" s="455"/>
      <c r="W675" s="456"/>
      <c r="X675" s="455"/>
      <c r="Y675" s="455"/>
      <c r="Z675" s="455"/>
      <c r="AA675" s="455"/>
      <c r="AB675" s="456"/>
      <c r="AC675" s="455"/>
      <c r="AD675" s="455"/>
      <c r="AE675" s="455"/>
      <c r="AF675" s="455"/>
      <c r="AG675" s="455"/>
      <c r="AH675" s="455"/>
      <c r="AI675" s="455"/>
      <c r="AJ675" s="456"/>
      <c r="AK675" s="456"/>
      <c r="AL675" s="456"/>
      <c r="AM675" s="456"/>
      <c r="AN675" s="456"/>
      <c r="AO675" s="456"/>
      <c r="AP675" s="456"/>
      <c r="AQ675" s="456"/>
      <c r="AR675" s="458"/>
      <c r="AS675" s="459"/>
      <c r="AT675" s="459"/>
      <c r="AU675" s="459"/>
      <c r="AV675" s="478"/>
      <c r="AW675" s="456"/>
      <c r="AX675" s="456"/>
      <c r="AY675" s="456"/>
      <c r="AZ675" s="456"/>
      <c r="BA675" s="456"/>
      <c r="BB675" s="456"/>
      <c r="BC675" s="456"/>
    </row>
    <row r="676" spans="8:55">
      <c r="H676" s="455"/>
      <c r="I676" s="455"/>
      <c r="J676" s="455"/>
      <c r="K676" s="456"/>
      <c r="L676" s="455"/>
      <c r="M676" s="455"/>
      <c r="N676" s="455"/>
      <c r="O676" s="455"/>
      <c r="P676" s="456"/>
      <c r="Q676" s="456"/>
      <c r="R676" s="457"/>
      <c r="S676" s="456"/>
      <c r="T676" s="455"/>
      <c r="U676" s="455"/>
      <c r="V676" s="455"/>
      <c r="W676" s="456"/>
      <c r="X676" s="455"/>
      <c r="Y676" s="455"/>
      <c r="Z676" s="455"/>
      <c r="AA676" s="455"/>
      <c r="AB676" s="456"/>
      <c r="AC676" s="455"/>
      <c r="AD676" s="455"/>
      <c r="AE676" s="455"/>
      <c r="AF676" s="455"/>
      <c r="AG676" s="455"/>
      <c r="AH676" s="455"/>
      <c r="AI676" s="455"/>
      <c r="AJ676" s="456"/>
      <c r="AK676" s="456"/>
      <c r="AL676" s="456"/>
      <c r="AM676" s="456"/>
      <c r="AN676" s="456"/>
      <c r="AO676" s="456"/>
      <c r="AP676" s="456"/>
      <c r="AQ676" s="456"/>
      <c r="AR676" s="458"/>
      <c r="AS676" s="459"/>
      <c r="AT676" s="459"/>
      <c r="AU676" s="459"/>
      <c r="AV676" s="478"/>
      <c r="AW676" s="456"/>
      <c r="AX676" s="456"/>
      <c r="AY676" s="456"/>
      <c r="AZ676" s="456"/>
      <c r="BA676" s="456"/>
      <c r="BB676" s="456"/>
      <c r="BC676" s="456"/>
    </row>
    <row r="677" spans="8:55">
      <c r="H677" s="455"/>
      <c r="I677" s="455"/>
      <c r="J677" s="455"/>
      <c r="K677" s="456"/>
      <c r="L677" s="455"/>
      <c r="M677" s="455"/>
      <c r="N677" s="455"/>
      <c r="O677" s="455"/>
      <c r="P677" s="456"/>
      <c r="Q677" s="456"/>
      <c r="R677" s="457"/>
      <c r="S677" s="456"/>
      <c r="T677" s="455"/>
      <c r="U677" s="455"/>
      <c r="V677" s="455"/>
      <c r="W677" s="456"/>
      <c r="X677" s="455"/>
      <c r="Y677" s="455"/>
      <c r="Z677" s="455"/>
      <c r="AA677" s="455"/>
      <c r="AB677" s="456"/>
      <c r="AC677" s="455"/>
      <c r="AD677" s="455"/>
      <c r="AE677" s="455"/>
      <c r="AF677" s="455"/>
      <c r="AG677" s="455"/>
      <c r="AH677" s="455"/>
      <c r="AI677" s="455"/>
      <c r="AJ677" s="456"/>
      <c r="AK677" s="456"/>
      <c r="AL677" s="456"/>
      <c r="AM677" s="456"/>
      <c r="AN677" s="456"/>
      <c r="AO677" s="456"/>
      <c r="AP677" s="456"/>
      <c r="AQ677" s="456"/>
      <c r="AR677" s="458"/>
      <c r="AS677" s="459"/>
      <c r="AT677" s="459"/>
      <c r="AU677" s="459"/>
      <c r="AV677" s="478"/>
      <c r="AW677" s="456"/>
      <c r="AX677" s="456"/>
      <c r="AY677" s="456"/>
      <c r="AZ677" s="456"/>
      <c r="BA677" s="456"/>
      <c r="BB677" s="456"/>
      <c r="BC677" s="456"/>
    </row>
    <row r="678" spans="8:55">
      <c r="H678" s="455"/>
      <c r="I678" s="455"/>
      <c r="J678" s="455"/>
      <c r="K678" s="456"/>
      <c r="L678" s="455"/>
      <c r="M678" s="455"/>
      <c r="N678" s="455"/>
      <c r="O678" s="455"/>
      <c r="P678" s="456"/>
      <c r="Q678" s="456"/>
      <c r="R678" s="457"/>
      <c r="S678" s="456"/>
      <c r="T678" s="455"/>
      <c r="U678" s="455"/>
      <c r="V678" s="455"/>
      <c r="W678" s="456"/>
      <c r="X678" s="455"/>
      <c r="Y678" s="455"/>
      <c r="Z678" s="455"/>
      <c r="AA678" s="455"/>
      <c r="AB678" s="456"/>
      <c r="AC678" s="455"/>
      <c r="AD678" s="455"/>
      <c r="AE678" s="455"/>
      <c r="AF678" s="455"/>
      <c r="AG678" s="455"/>
      <c r="AH678" s="455"/>
      <c r="AI678" s="455"/>
      <c r="AJ678" s="456"/>
      <c r="AK678" s="456"/>
      <c r="AL678" s="456"/>
      <c r="AM678" s="456"/>
      <c r="AN678" s="456"/>
      <c r="AO678" s="456"/>
      <c r="AP678" s="456"/>
      <c r="AQ678" s="456"/>
      <c r="AR678" s="458"/>
      <c r="AS678" s="459"/>
      <c r="AT678" s="459"/>
      <c r="AU678" s="459"/>
      <c r="AV678" s="478"/>
      <c r="AW678" s="456"/>
      <c r="AX678" s="456"/>
      <c r="AY678" s="456"/>
      <c r="AZ678" s="456"/>
      <c r="BA678" s="456"/>
      <c r="BB678" s="456"/>
      <c r="BC678" s="456"/>
    </row>
    <row r="679" spans="8:55">
      <c r="H679" s="455"/>
      <c r="I679" s="455"/>
      <c r="J679" s="455"/>
      <c r="K679" s="456"/>
      <c r="L679" s="455"/>
      <c r="M679" s="455"/>
      <c r="N679" s="455"/>
      <c r="O679" s="455"/>
      <c r="P679" s="456"/>
      <c r="Q679" s="456"/>
      <c r="R679" s="457"/>
      <c r="S679" s="456"/>
      <c r="T679" s="455"/>
      <c r="U679" s="455"/>
      <c r="V679" s="455"/>
      <c r="W679" s="456"/>
      <c r="X679" s="455"/>
      <c r="Y679" s="455"/>
      <c r="Z679" s="455"/>
      <c r="AA679" s="455"/>
      <c r="AB679" s="456"/>
      <c r="AC679" s="455"/>
      <c r="AD679" s="455"/>
      <c r="AE679" s="455"/>
      <c r="AF679" s="455"/>
      <c r="AG679" s="455"/>
      <c r="AH679" s="455"/>
      <c r="AI679" s="455"/>
      <c r="AJ679" s="456"/>
      <c r="AK679" s="456"/>
      <c r="AL679" s="456"/>
      <c r="AM679" s="456"/>
      <c r="AN679" s="456"/>
      <c r="AO679" s="456"/>
      <c r="AP679" s="456"/>
      <c r="AQ679" s="456"/>
      <c r="AR679" s="458"/>
      <c r="AS679" s="459"/>
      <c r="AT679" s="459"/>
      <c r="AU679" s="459"/>
      <c r="AV679" s="478"/>
      <c r="AW679" s="456"/>
      <c r="AX679" s="456"/>
      <c r="AY679" s="456"/>
      <c r="AZ679" s="456"/>
      <c r="BA679" s="456"/>
      <c r="BB679" s="456"/>
      <c r="BC679" s="456"/>
    </row>
    <row r="680" spans="8:55">
      <c r="H680" s="455"/>
      <c r="I680" s="455"/>
      <c r="J680" s="455"/>
      <c r="K680" s="456"/>
      <c r="L680" s="455"/>
      <c r="M680" s="455"/>
      <c r="N680" s="455"/>
      <c r="O680" s="455"/>
      <c r="P680" s="456"/>
      <c r="Q680" s="456"/>
      <c r="R680" s="457"/>
      <c r="S680" s="456"/>
      <c r="T680" s="455"/>
      <c r="U680" s="455"/>
      <c r="V680" s="455"/>
      <c r="W680" s="456"/>
      <c r="X680" s="455"/>
      <c r="Y680" s="455"/>
      <c r="Z680" s="455"/>
      <c r="AA680" s="455"/>
      <c r="AB680" s="456"/>
      <c r="AC680" s="455"/>
      <c r="AD680" s="455"/>
      <c r="AE680" s="455"/>
      <c r="AF680" s="455"/>
      <c r="AG680" s="455"/>
      <c r="AH680" s="455"/>
      <c r="AI680" s="455"/>
      <c r="AJ680" s="456"/>
      <c r="AK680" s="456"/>
      <c r="AL680" s="456"/>
      <c r="AM680" s="456"/>
      <c r="AN680" s="456"/>
      <c r="AO680" s="456"/>
      <c r="AP680" s="456"/>
      <c r="AQ680" s="456"/>
      <c r="AR680" s="458"/>
      <c r="AS680" s="459"/>
      <c r="AT680" s="459"/>
      <c r="AU680" s="459"/>
      <c r="AV680" s="478"/>
      <c r="AW680" s="456"/>
      <c r="AX680" s="456"/>
      <c r="AY680" s="456"/>
      <c r="AZ680" s="456"/>
      <c r="BA680" s="456"/>
      <c r="BB680" s="456"/>
      <c r="BC680" s="456"/>
    </row>
    <row r="681" spans="8:55">
      <c r="H681" s="455"/>
      <c r="I681" s="455"/>
      <c r="J681" s="455"/>
      <c r="K681" s="456"/>
      <c r="L681" s="455"/>
      <c r="M681" s="455"/>
      <c r="N681" s="455"/>
      <c r="O681" s="455"/>
      <c r="P681" s="456"/>
      <c r="Q681" s="456"/>
      <c r="R681" s="457"/>
      <c r="S681" s="456"/>
      <c r="T681" s="455"/>
      <c r="U681" s="455"/>
      <c r="V681" s="455"/>
      <c r="W681" s="456"/>
      <c r="X681" s="455"/>
      <c r="Y681" s="455"/>
      <c r="Z681" s="455"/>
      <c r="AA681" s="455"/>
      <c r="AB681" s="456"/>
      <c r="AC681" s="455"/>
      <c r="AD681" s="455"/>
      <c r="AE681" s="455"/>
      <c r="AF681" s="455"/>
      <c r="AG681" s="455"/>
      <c r="AH681" s="455"/>
      <c r="AI681" s="455"/>
      <c r="AJ681" s="456"/>
      <c r="AK681" s="456"/>
      <c r="AL681" s="456"/>
      <c r="AM681" s="456"/>
      <c r="AN681" s="456"/>
      <c r="AO681" s="456"/>
      <c r="AP681" s="456"/>
      <c r="AQ681" s="456"/>
      <c r="AR681" s="458"/>
      <c r="AS681" s="459"/>
      <c r="AT681" s="459"/>
      <c r="AU681" s="459"/>
      <c r="AV681" s="478"/>
      <c r="AW681" s="456"/>
      <c r="AX681" s="456"/>
      <c r="AY681" s="456"/>
      <c r="AZ681" s="456"/>
      <c r="BA681" s="456"/>
      <c r="BB681" s="456"/>
      <c r="BC681" s="456"/>
    </row>
    <row r="682" spans="8:55">
      <c r="H682" s="455"/>
      <c r="I682" s="455"/>
      <c r="J682" s="455"/>
      <c r="K682" s="456"/>
      <c r="L682" s="455"/>
      <c r="M682" s="455"/>
      <c r="N682" s="455"/>
      <c r="O682" s="455"/>
      <c r="P682" s="456"/>
      <c r="Q682" s="456"/>
      <c r="R682" s="457"/>
      <c r="S682" s="456"/>
      <c r="T682" s="455"/>
      <c r="U682" s="455"/>
      <c r="V682" s="455"/>
      <c r="W682" s="456"/>
      <c r="X682" s="455"/>
      <c r="Y682" s="455"/>
      <c r="Z682" s="455"/>
      <c r="AA682" s="455"/>
      <c r="AB682" s="456"/>
      <c r="AC682" s="455"/>
      <c r="AD682" s="455"/>
      <c r="AE682" s="455"/>
      <c r="AF682" s="455"/>
      <c r="AG682" s="455"/>
      <c r="AH682" s="455"/>
      <c r="AI682" s="455"/>
      <c r="AJ682" s="456"/>
      <c r="AK682" s="456"/>
      <c r="AL682" s="456"/>
      <c r="AM682" s="456"/>
      <c r="AN682" s="456"/>
      <c r="AO682" s="456"/>
      <c r="AP682" s="456"/>
      <c r="AQ682" s="456"/>
      <c r="AR682" s="458"/>
      <c r="AS682" s="459"/>
      <c r="AT682" s="459"/>
      <c r="AU682" s="459"/>
      <c r="AV682" s="478"/>
      <c r="AW682" s="456"/>
      <c r="AX682" s="456"/>
      <c r="AY682" s="456"/>
      <c r="AZ682" s="456"/>
      <c r="BA682" s="456"/>
      <c r="BB682" s="456"/>
      <c r="BC682" s="456"/>
    </row>
    <row r="683" spans="8:55">
      <c r="H683" s="455"/>
      <c r="I683" s="455"/>
      <c r="J683" s="455"/>
      <c r="K683" s="456"/>
      <c r="L683" s="455"/>
      <c r="M683" s="455"/>
      <c r="N683" s="455"/>
      <c r="O683" s="455"/>
      <c r="P683" s="456"/>
      <c r="Q683" s="456"/>
      <c r="R683" s="457"/>
      <c r="S683" s="456"/>
      <c r="T683" s="455"/>
      <c r="U683" s="455"/>
      <c r="V683" s="455"/>
      <c r="W683" s="456"/>
      <c r="X683" s="455"/>
      <c r="Y683" s="455"/>
      <c r="Z683" s="455"/>
      <c r="AA683" s="455"/>
      <c r="AB683" s="456"/>
      <c r="AC683" s="455"/>
      <c r="AD683" s="455"/>
      <c r="AE683" s="455"/>
      <c r="AF683" s="455"/>
      <c r="AG683" s="455"/>
      <c r="AH683" s="455"/>
      <c r="AI683" s="455"/>
      <c r="AJ683" s="456"/>
      <c r="AK683" s="456"/>
      <c r="AL683" s="456"/>
      <c r="AM683" s="456"/>
      <c r="AN683" s="456"/>
      <c r="AO683" s="456"/>
      <c r="AP683" s="456"/>
      <c r="AQ683" s="456"/>
      <c r="AR683" s="458"/>
      <c r="AS683" s="459"/>
      <c r="AT683" s="459"/>
      <c r="AU683" s="459"/>
      <c r="AV683" s="478"/>
      <c r="AW683" s="456"/>
      <c r="AX683" s="456"/>
      <c r="AY683" s="456"/>
      <c r="AZ683" s="456"/>
      <c r="BA683" s="456"/>
      <c r="BB683" s="456"/>
      <c r="BC683" s="456"/>
    </row>
    <row r="684" spans="8:55">
      <c r="H684" s="455"/>
      <c r="I684" s="455"/>
      <c r="J684" s="455"/>
      <c r="K684" s="456"/>
      <c r="L684" s="455"/>
      <c r="M684" s="455"/>
      <c r="N684" s="455"/>
      <c r="O684" s="455"/>
      <c r="P684" s="456"/>
      <c r="Q684" s="456"/>
      <c r="R684" s="457"/>
      <c r="S684" s="456"/>
      <c r="T684" s="455"/>
      <c r="U684" s="455"/>
      <c r="V684" s="455"/>
      <c r="W684" s="456"/>
      <c r="X684" s="455"/>
      <c r="Y684" s="455"/>
      <c r="Z684" s="455"/>
      <c r="AA684" s="455"/>
      <c r="AB684" s="456"/>
      <c r="AC684" s="455"/>
      <c r="AD684" s="455"/>
      <c r="AE684" s="455"/>
      <c r="AF684" s="455"/>
      <c r="AG684" s="455"/>
      <c r="AH684" s="455"/>
      <c r="AI684" s="455"/>
      <c r="AJ684" s="456"/>
      <c r="AK684" s="456"/>
      <c r="AL684" s="456"/>
      <c r="AM684" s="456"/>
      <c r="AN684" s="456"/>
      <c r="AO684" s="456"/>
      <c r="AP684" s="456"/>
      <c r="AQ684" s="456"/>
      <c r="AR684" s="458"/>
      <c r="AS684" s="459"/>
      <c r="AT684" s="459"/>
      <c r="AU684" s="459"/>
      <c r="AV684" s="478"/>
      <c r="AW684" s="456"/>
      <c r="AX684" s="456"/>
      <c r="AY684" s="456"/>
      <c r="AZ684" s="456"/>
      <c r="BA684" s="456"/>
      <c r="BB684" s="456"/>
      <c r="BC684" s="456"/>
    </row>
    <row r="685" spans="8:55">
      <c r="H685" s="455"/>
      <c r="I685" s="455"/>
      <c r="J685" s="455"/>
      <c r="K685" s="456"/>
      <c r="L685" s="455"/>
      <c r="M685" s="455"/>
      <c r="N685" s="455"/>
      <c r="O685" s="455"/>
      <c r="P685" s="456"/>
      <c r="Q685" s="456"/>
      <c r="R685" s="457"/>
      <c r="S685" s="456"/>
      <c r="T685" s="455"/>
      <c r="U685" s="455"/>
      <c r="V685" s="455"/>
      <c r="W685" s="456"/>
      <c r="X685" s="455"/>
      <c r="Y685" s="455"/>
      <c r="Z685" s="455"/>
      <c r="AA685" s="455"/>
      <c r="AB685" s="456"/>
      <c r="AC685" s="455"/>
      <c r="AD685" s="455"/>
      <c r="AE685" s="455"/>
      <c r="AF685" s="455"/>
      <c r="AG685" s="455"/>
      <c r="AH685" s="455"/>
      <c r="AI685" s="455"/>
      <c r="AJ685" s="456"/>
      <c r="AK685" s="456"/>
      <c r="AL685" s="456"/>
      <c r="AM685" s="456"/>
      <c r="AN685" s="456"/>
      <c r="AO685" s="456"/>
      <c r="AP685" s="456"/>
      <c r="AQ685" s="456"/>
      <c r="AR685" s="458"/>
      <c r="AS685" s="459"/>
      <c r="AT685" s="459"/>
      <c r="AU685" s="459"/>
      <c r="AV685" s="478"/>
      <c r="AW685" s="456"/>
      <c r="AX685" s="456"/>
      <c r="AY685" s="456"/>
      <c r="AZ685" s="456"/>
      <c r="BA685" s="456"/>
      <c r="BB685" s="456"/>
      <c r="BC685" s="456"/>
    </row>
    <row r="686" spans="8:55">
      <c r="H686" s="455"/>
      <c r="I686" s="455"/>
      <c r="J686" s="455"/>
      <c r="K686" s="456"/>
      <c r="L686" s="455"/>
      <c r="M686" s="455"/>
      <c r="N686" s="455"/>
      <c r="O686" s="455"/>
      <c r="P686" s="456"/>
      <c r="Q686" s="456"/>
      <c r="R686" s="457"/>
      <c r="S686" s="456"/>
      <c r="T686" s="455"/>
      <c r="U686" s="455"/>
      <c r="V686" s="455"/>
      <c r="W686" s="456"/>
      <c r="X686" s="455"/>
      <c r="Y686" s="455"/>
      <c r="Z686" s="455"/>
      <c r="AA686" s="455"/>
      <c r="AB686" s="456"/>
      <c r="AC686" s="455"/>
      <c r="AD686" s="455"/>
      <c r="AE686" s="455"/>
      <c r="AF686" s="455"/>
      <c r="AG686" s="455"/>
      <c r="AH686" s="455"/>
      <c r="AI686" s="455"/>
      <c r="AJ686" s="456"/>
      <c r="AK686" s="456"/>
      <c r="AL686" s="456"/>
      <c r="AM686" s="456"/>
      <c r="AN686" s="456"/>
      <c r="AO686" s="456"/>
      <c r="AP686" s="456"/>
      <c r="AQ686" s="456"/>
      <c r="AR686" s="458"/>
      <c r="AS686" s="459"/>
      <c r="AT686" s="459"/>
      <c r="AU686" s="459"/>
      <c r="AV686" s="478"/>
      <c r="AW686" s="456"/>
      <c r="AX686" s="456"/>
      <c r="AY686" s="456"/>
      <c r="AZ686" s="456"/>
      <c r="BA686" s="456"/>
      <c r="BB686" s="456"/>
      <c r="BC686" s="456"/>
    </row>
    <row r="687" spans="8:55">
      <c r="H687" s="455"/>
      <c r="I687" s="455"/>
      <c r="J687" s="455"/>
      <c r="K687" s="456"/>
      <c r="L687" s="455"/>
      <c r="M687" s="455"/>
      <c r="N687" s="455"/>
      <c r="O687" s="455"/>
      <c r="P687" s="456"/>
      <c r="Q687" s="456"/>
      <c r="R687" s="457"/>
      <c r="S687" s="456"/>
      <c r="T687" s="455"/>
      <c r="U687" s="455"/>
      <c r="V687" s="455"/>
      <c r="W687" s="456"/>
      <c r="X687" s="455"/>
      <c r="Y687" s="455"/>
      <c r="Z687" s="455"/>
      <c r="AA687" s="455"/>
      <c r="AB687" s="456"/>
      <c r="AC687" s="455"/>
      <c r="AD687" s="455"/>
      <c r="AE687" s="455"/>
      <c r="AF687" s="455"/>
      <c r="AG687" s="455"/>
      <c r="AH687" s="455"/>
      <c r="AI687" s="455"/>
      <c r="AJ687" s="456"/>
      <c r="AK687" s="456"/>
      <c r="AL687" s="456"/>
      <c r="AM687" s="456"/>
      <c r="AN687" s="456"/>
      <c r="AO687" s="456"/>
      <c r="AP687" s="456"/>
      <c r="AQ687" s="456"/>
      <c r="AR687" s="458"/>
      <c r="AS687" s="459"/>
      <c r="AT687" s="459"/>
      <c r="AU687" s="459"/>
      <c r="AV687" s="478"/>
      <c r="AW687" s="456"/>
      <c r="AX687" s="456"/>
      <c r="AY687" s="456"/>
      <c r="AZ687" s="456"/>
      <c r="BA687" s="456"/>
      <c r="BB687" s="456"/>
      <c r="BC687" s="456"/>
    </row>
    <row r="688" spans="8:55">
      <c r="H688" s="455"/>
      <c r="I688" s="455"/>
      <c r="J688" s="455"/>
      <c r="K688" s="456"/>
      <c r="L688" s="455"/>
      <c r="M688" s="455"/>
      <c r="N688" s="455"/>
      <c r="O688" s="455"/>
      <c r="P688" s="456"/>
      <c r="Q688" s="456"/>
      <c r="R688" s="457"/>
      <c r="S688" s="456"/>
      <c r="T688" s="455"/>
      <c r="U688" s="455"/>
      <c r="V688" s="455"/>
      <c r="W688" s="456"/>
      <c r="X688" s="455"/>
      <c r="Y688" s="455"/>
      <c r="Z688" s="455"/>
      <c r="AA688" s="455"/>
      <c r="AB688" s="456"/>
      <c r="AC688" s="455"/>
      <c r="AD688" s="455"/>
      <c r="AE688" s="455"/>
      <c r="AF688" s="455"/>
      <c r="AG688" s="455"/>
      <c r="AH688" s="455"/>
      <c r="AI688" s="455"/>
      <c r="AJ688" s="456"/>
      <c r="AK688" s="456"/>
      <c r="AL688" s="456"/>
      <c r="AM688" s="456"/>
      <c r="AN688" s="456"/>
      <c r="AO688" s="456"/>
      <c r="AP688" s="456"/>
      <c r="AQ688" s="456"/>
      <c r="AR688" s="458"/>
      <c r="AS688" s="459"/>
      <c r="AT688" s="459"/>
      <c r="AU688" s="459"/>
      <c r="AV688" s="478"/>
      <c r="AW688" s="456"/>
      <c r="AX688" s="456"/>
      <c r="AY688" s="456"/>
      <c r="AZ688" s="456"/>
      <c r="BA688" s="456"/>
      <c r="BB688" s="456"/>
      <c r="BC688" s="456"/>
    </row>
    <row r="689" spans="8:55">
      <c r="H689" s="455"/>
      <c r="I689" s="455"/>
      <c r="J689" s="455"/>
      <c r="K689" s="456"/>
      <c r="L689" s="455"/>
      <c r="M689" s="455"/>
      <c r="N689" s="455"/>
      <c r="O689" s="455"/>
      <c r="P689" s="456"/>
      <c r="Q689" s="456"/>
      <c r="R689" s="457"/>
      <c r="S689" s="456"/>
      <c r="T689" s="455"/>
      <c r="U689" s="455"/>
      <c r="V689" s="455"/>
      <c r="W689" s="456"/>
      <c r="X689" s="455"/>
      <c r="Y689" s="455"/>
      <c r="Z689" s="455"/>
      <c r="AA689" s="455"/>
      <c r="AB689" s="456"/>
      <c r="AC689" s="455"/>
      <c r="AD689" s="455"/>
      <c r="AE689" s="455"/>
      <c r="AF689" s="455"/>
      <c r="AG689" s="455"/>
      <c r="AH689" s="455"/>
      <c r="AI689" s="455"/>
      <c r="AJ689" s="456"/>
      <c r="AK689" s="456"/>
      <c r="AL689" s="456"/>
      <c r="AM689" s="456"/>
      <c r="AN689" s="456"/>
      <c r="AO689" s="456"/>
      <c r="AP689" s="456"/>
      <c r="AQ689" s="456"/>
      <c r="AR689" s="458"/>
      <c r="AS689" s="459"/>
      <c r="AT689" s="459"/>
      <c r="AU689" s="459"/>
      <c r="AV689" s="478"/>
      <c r="AW689" s="456"/>
      <c r="AX689" s="456"/>
      <c r="AY689" s="456"/>
      <c r="AZ689" s="456"/>
      <c r="BA689" s="456"/>
      <c r="BB689" s="456"/>
      <c r="BC689" s="456"/>
    </row>
    <row r="690" spans="8:55">
      <c r="H690" s="455"/>
      <c r="I690" s="455"/>
      <c r="J690" s="455"/>
      <c r="K690" s="456"/>
      <c r="L690" s="455"/>
      <c r="M690" s="455"/>
      <c r="N690" s="455"/>
      <c r="O690" s="455"/>
      <c r="P690" s="456"/>
      <c r="Q690" s="456"/>
      <c r="R690" s="457"/>
      <c r="S690" s="456"/>
      <c r="T690" s="455"/>
      <c r="U690" s="455"/>
      <c r="V690" s="455"/>
      <c r="W690" s="456"/>
      <c r="X690" s="455"/>
      <c r="Y690" s="455"/>
      <c r="Z690" s="455"/>
      <c r="AA690" s="455"/>
      <c r="AB690" s="456"/>
      <c r="AC690" s="455"/>
      <c r="AD690" s="455"/>
      <c r="AE690" s="455"/>
      <c r="AF690" s="455"/>
      <c r="AG690" s="455"/>
      <c r="AH690" s="455"/>
      <c r="AI690" s="455"/>
      <c r="AJ690" s="456"/>
      <c r="AK690" s="456"/>
      <c r="AL690" s="456"/>
      <c r="AM690" s="456"/>
      <c r="AN690" s="456"/>
      <c r="AO690" s="456"/>
      <c r="AP690" s="456"/>
      <c r="AQ690" s="456"/>
      <c r="AR690" s="458"/>
      <c r="AS690" s="459"/>
      <c r="AT690" s="459"/>
      <c r="AU690" s="459"/>
      <c r="AV690" s="478"/>
      <c r="AW690" s="456"/>
      <c r="AX690" s="456"/>
      <c r="AY690" s="456"/>
      <c r="AZ690" s="456"/>
      <c r="BA690" s="456"/>
      <c r="BB690" s="456"/>
      <c r="BC690" s="456"/>
    </row>
    <row r="691" spans="8:55">
      <c r="H691" s="455"/>
      <c r="I691" s="455"/>
      <c r="J691" s="455"/>
      <c r="K691" s="456"/>
      <c r="L691" s="455"/>
      <c r="M691" s="455"/>
      <c r="N691" s="455"/>
      <c r="O691" s="455"/>
      <c r="P691" s="456"/>
      <c r="Q691" s="456"/>
      <c r="R691" s="457"/>
      <c r="S691" s="456"/>
      <c r="T691" s="455"/>
      <c r="U691" s="455"/>
      <c r="V691" s="455"/>
      <c r="W691" s="456"/>
      <c r="X691" s="455"/>
      <c r="Y691" s="455"/>
      <c r="Z691" s="455"/>
      <c r="AA691" s="455"/>
      <c r="AB691" s="456"/>
      <c r="AC691" s="455"/>
      <c r="AD691" s="455"/>
      <c r="AE691" s="455"/>
      <c r="AF691" s="455"/>
      <c r="AG691" s="455"/>
      <c r="AH691" s="455"/>
      <c r="AI691" s="455"/>
      <c r="AJ691" s="456"/>
      <c r="AK691" s="456"/>
      <c r="AL691" s="456"/>
      <c r="AM691" s="456"/>
      <c r="AN691" s="456"/>
      <c r="AO691" s="456"/>
      <c r="AP691" s="456"/>
      <c r="AQ691" s="456"/>
      <c r="AR691" s="458"/>
      <c r="AS691" s="459"/>
      <c r="AT691" s="459"/>
      <c r="AU691" s="459"/>
      <c r="AV691" s="478"/>
      <c r="AW691" s="456"/>
      <c r="AX691" s="456"/>
      <c r="AY691" s="456"/>
      <c r="AZ691" s="456"/>
      <c r="BA691" s="456"/>
      <c r="BB691" s="456"/>
      <c r="BC691" s="456"/>
    </row>
    <row r="692" spans="8:55">
      <c r="H692" s="455"/>
      <c r="I692" s="455"/>
      <c r="J692" s="455"/>
      <c r="K692" s="456"/>
      <c r="L692" s="455"/>
      <c r="M692" s="455"/>
      <c r="N692" s="455"/>
      <c r="O692" s="455"/>
      <c r="P692" s="456"/>
      <c r="Q692" s="456"/>
      <c r="R692" s="457"/>
      <c r="S692" s="456"/>
      <c r="T692" s="455"/>
      <c r="U692" s="455"/>
      <c r="V692" s="455"/>
      <c r="W692" s="456"/>
      <c r="X692" s="455"/>
      <c r="Y692" s="455"/>
      <c r="Z692" s="455"/>
      <c r="AA692" s="455"/>
      <c r="AB692" s="456"/>
      <c r="AC692" s="455"/>
      <c r="AD692" s="455"/>
      <c r="AE692" s="455"/>
      <c r="AF692" s="455"/>
      <c r="AG692" s="455"/>
      <c r="AH692" s="455"/>
      <c r="AI692" s="455"/>
      <c r="AJ692" s="456"/>
      <c r="AK692" s="456"/>
      <c r="AL692" s="456"/>
      <c r="AM692" s="456"/>
      <c r="AN692" s="456"/>
      <c r="AO692" s="456"/>
      <c r="AP692" s="456"/>
      <c r="AQ692" s="456"/>
      <c r="AR692" s="458"/>
      <c r="AS692" s="459"/>
      <c r="AT692" s="459"/>
      <c r="AU692" s="459"/>
      <c r="AV692" s="478"/>
      <c r="AW692" s="456"/>
      <c r="AX692" s="456"/>
      <c r="AY692" s="456"/>
      <c r="AZ692" s="456"/>
      <c r="BA692" s="456"/>
      <c r="BB692" s="456"/>
      <c r="BC692" s="456"/>
    </row>
    <row r="693" spans="8:55">
      <c r="H693" s="455"/>
      <c r="I693" s="455"/>
      <c r="J693" s="455"/>
      <c r="K693" s="456"/>
      <c r="L693" s="455"/>
      <c r="M693" s="455"/>
      <c r="N693" s="455"/>
      <c r="O693" s="455"/>
      <c r="P693" s="456"/>
      <c r="Q693" s="456"/>
      <c r="R693" s="457"/>
      <c r="S693" s="456"/>
      <c r="T693" s="455"/>
      <c r="U693" s="455"/>
      <c r="V693" s="455"/>
      <c r="W693" s="456"/>
      <c r="X693" s="455"/>
      <c r="Y693" s="455"/>
      <c r="Z693" s="455"/>
      <c r="AA693" s="455"/>
      <c r="AB693" s="456"/>
      <c r="AC693" s="455"/>
      <c r="AD693" s="455"/>
      <c r="AE693" s="455"/>
      <c r="AF693" s="455"/>
      <c r="AG693" s="455"/>
      <c r="AH693" s="455"/>
      <c r="AI693" s="455"/>
      <c r="AJ693" s="456"/>
      <c r="AK693" s="456"/>
      <c r="AL693" s="456"/>
      <c r="AM693" s="456"/>
      <c r="AN693" s="456"/>
      <c r="AO693" s="456"/>
      <c r="AP693" s="456"/>
      <c r="AQ693" s="456"/>
      <c r="AR693" s="458"/>
      <c r="AS693" s="459"/>
      <c r="AT693" s="459"/>
      <c r="AU693" s="459"/>
      <c r="AV693" s="478"/>
      <c r="AW693" s="456"/>
      <c r="AX693" s="456"/>
      <c r="AY693" s="456"/>
      <c r="AZ693" s="456"/>
      <c r="BA693" s="456"/>
      <c r="BB693" s="456"/>
      <c r="BC693" s="456"/>
    </row>
    <row r="694" spans="8:55">
      <c r="H694" s="455"/>
      <c r="I694" s="455"/>
      <c r="J694" s="455"/>
      <c r="K694" s="456"/>
      <c r="L694" s="455"/>
      <c r="M694" s="455"/>
      <c r="N694" s="455"/>
      <c r="O694" s="455"/>
      <c r="P694" s="456"/>
      <c r="Q694" s="456"/>
      <c r="R694" s="457"/>
      <c r="S694" s="456"/>
      <c r="T694" s="455"/>
      <c r="U694" s="455"/>
      <c r="V694" s="455"/>
      <c r="W694" s="456"/>
      <c r="X694" s="455"/>
      <c r="Y694" s="455"/>
      <c r="Z694" s="455"/>
      <c r="AA694" s="455"/>
      <c r="AB694" s="456"/>
      <c r="AC694" s="455"/>
      <c r="AD694" s="455"/>
      <c r="AE694" s="455"/>
      <c r="AF694" s="455"/>
      <c r="AG694" s="455"/>
      <c r="AH694" s="455"/>
      <c r="AI694" s="455"/>
      <c r="AJ694" s="456"/>
      <c r="AK694" s="456"/>
      <c r="AL694" s="456"/>
      <c r="AM694" s="456"/>
      <c r="AN694" s="456"/>
      <c r="AO694" s="456"/>
      <c r="AP694" s="456"/>
      <c r="AQ694" s="456"/>
      <c r="AR694" s="458"/>
      <c r="AS694" s="459"/>
      <c r="AT694" s="459"/>
      <c r="AU694" s="459"/>
      <c r="AV694" s="478"/>
      <c r="AW694" s="456"/>
      <c r="AX694" s="456"/>
      <c r="AY694" s="456"/>
      <c r="AZ694" s="456"/>
      <c r="BA694" s="456"/>
      <c r="BB694" s="456"/>
      <c r="BC694" s="456"/>
    </row>
    <row r="695" spans="8:55">
      <c r="H695" s="455"/>
      <c r="I695" s="455"/>
      <c r="J695" s="455"/>
      <c r="K695" s="456"/>
      <c r="L695" s="455"/>
      <c r="M695" s="455"/>
      <c r="N695" s="455"/>
      <c r="O695" s="455"/>
      <c r="P695" s="456"/>
      <c r="Q695" s="456"/>
      <c r="R695" s="457"/>
      <c r="S695" s="456"/>
      <c r="T695" s="455"/>
      <c r="U695" s="455"/>
      <c r="V695" s="455"/>
      <c r="W695" s="456"/>
      <c r="X695" s="455"/>
      <c r="Y695" s="455"/>
      <c r="Z695" s="455"/>
      <c r="AA695" s="455"/>
      <c r="AB695" s="456"/>
      <c r="AC695" s="455"/>
      <c r="AD695" s="455"/>
      <c r="AE695" s="455"/>
      <c r="AF695" s="455"/>
      <c r="AG695" s="455"/>
      <c r="AH695" s="455"/>
      <c r="AI695" s="455"/>
      <c r="AJ695" s="456"/>
      <c r="AK695" s="456"/>
      <c r="AL695" s="456"/>
      <c r="AM695" s="456"/>
      <c r="AN695" s="456"/>
      <c r="AO695" s="456"/>
      <c r="AP695" s="456"/>
      <c r="AQ695" s="456"/>
      <c r="AR695" s="458"/>
      <c r="AS695" s="459"/>
      <c r="AT695" s="459"/>
      <c r="AU695" s="459"/>
      <c r="AV695" s="478"/>
      <c r="AW695" s="456"/>
      <c r="AX695" s="456"/>
      <c r="AY695" s="456"/>
      <c r="AZ695" s="456"/>
      <c r="BA695" s="456"/>
      <c r="BB695" s="456"/>
      <c r="BC695" s="456"/>
    </row>
    <row r="696" spans="8:55">
      <c r="H696" s="455"/>
      <c r="I696" s="455"/>
      <c r="J696" s="455"/>
      <c r="K696" s="456"/>
      <c r="L696" s="455"/>
      <c r="M696" s="455"/>
      <c r="N696" s="455"/>
      <c r="O696" s="455"/>
      <c r="P696" s="456"/>
      <c r="Q696" s="456"/>
      <c r="R696" s="457"/>
      <c r="S696" s="456"/>
      <c r="T696" s="455"/>
      <c r="U696" s="455"/>
      <c r="V696" s="455"/>
      <c r="W696" s="456"/>
      <c r="X696" s="455"/>
      <c r="Y696" s="455"/>
      <c r="Z696" s="455"/>
      <c r="AA696" s="455"/>
      <c r="AB696" s="456"/>
      <c r="AC696" s="455"/>
      <c r="AD696" s="455"/>
      <c r="AE696" s="455"/>
      <c r="AF696" s="455"/>
      <c r="AG696" s="455"/>
      <c r="AH696" s="455"/>
      <c r="AI696" s="455"/>
      <c r="AJ696" s="456"/>
      <c r="AK696" s="456"/>
      <c r="AL696" s="456"/>
      <c r="AM696" s="456"/>
      <c r="AN696" s="456"/>
      <c r="AO696" s="456"/>
      <c r="AP696" s="456"/>
      <c r="AQ696" s="456"/>
      <c r="AR696" s="458"/>
      <c r="AS696" s="459"/>
      <c r="AT696" s="459"/>
      <c r="AU696" s="459"/>
      <c r="AV696" s="478"/>
      <c r="AW696" s="456"/>
      <c r="AX696" s="456"/>
      <c r="AY696" s="456"/>
      <c r="AZ696" s="456"/>
      <c r="BA696" s="456"/>
      <c r="BB696" s="456"/>
      <c r="BC696" s="456"/>
    </row>
    <row r="697" spans="8:55">
      <c r="H697" s="455"/>
      <c r="I697" s="455"/>
      <c r="J697" s="455"/>
      <c r="K697" s="456"/>
      <c r="L697" s="455"/>
      <c r="M697" s="455"/>
      <c r="N697" s="455"/>
      <c r="O697" s="455"/>
      <c r="P697" s="456"/>
      <c r="Q697" s="456"/>
      <c r="R697" s="457"/>
      <c r="S697" s="456"/>
      <c r="T697" s="455"/>
      <c r="U697" s="455"/>
      <c r="V697" s="455"/>
      <c r="W697" s="456"/>
      <c r="X697" s="455"/>
      <c r="Y697" s="455"/>
      <c r="Z697" s="455"/>
      <c r="AA697" s="455"/>
      <c r="AB697" s="456"/>
      <c r="AC697" s="455"/>
      <c r="AD697" s="455"/>
      <c r="AE697" s="455"/>
      <c r="AF697" s="455"/>
      <c r="AG697" s="455"/>
      <c r="AH697" s="455"/>
      <c r="AI697" s="455"/>
      <c r="AJ697" s="456"/>
      <c r="AK697" s="456"/>
      <c r="AL697" s="456"/>
      <c r="AM697" s="456"/>
      <c r="AN697" s="456"/>
      <c r="AO697" s="456"/>
      <c r="AP697" s="456"/>
      <c r="AQ697" s="456"/>
      <c r="AR697" s="458"/>
      <c r="AS697" s="459"/>
      <c r="AT697" s="459"/>
      <c r="AU697" s="459"/>
      <c r="AV697" s="478"/>
      <c r="AW697" s="456"/>
      <c r="AX697" s="456"/>
      <c r="AY697" s="456"/>
      <c r="AZ697" s="456"/>
      <c r="BA697" s="456"/>
      <c r="BB697" s="456"/>
      <c r="BC697" s="456"/>
    </row>
    <row r="698" spans="8:55">
      <c r="H698" s="455"/>
      <c r="I698" s="455"/>
      <c r="J698" s="455"/>
      <c r="K698" s="456"/>
      <c r="L698" s="455"/>
      <c r="M698" s="455"/>
      <c r="N698" s="455"/>
      <c r="O698" s="455"/>
      <c r="P698" s="456"/>
      <c r="Q698" s="456"/>
      <c r="R698" s="457"/>
      <c r="S698" s="456"/>
      <c r="T698" s="455"/>
      <c r="U698" s="455"/>
      <c r="V698" s="455"/>
      <c r="W698" s="456"/>
      <c r="X698" s="455"/>
      <c r="Y698" s="455"/>
      <c r="Z698" s="455"/>
      <c r="AA698" s="455"/>
      <c r="AB698" s="456"/>
      <c r="AC698" s="455"/>
      <c r="AD698" s="455"/>
      <c r="AE698" s="455"/>
      <c r="AF698" s="455"/>
      <c r="AG698" s="455"/>
      <c r="AH698" s="455"/>
      <c r="AI698" s="455"/>
      <c r="AJ698" s="456"/>
      <c r="AK698" s="456"/>
      <c r="AL698" s="456"/>
      <c r="AM698" s="456"/>
      <c r="AN698" s="456"/>
      <c r="AO698" s="456"/>
      <c r="AP698" s="456"/>
      <c r="AQ698" s="456"/>
      <c r="AR698" s="458"/>
      <c r="AS698" s="459"/>
      <c r="AT698" s="459"/>
      <c r="AU698" s="459"/>
      <c r="AV698" s="478"/>
      <c r="AW698" s="456"/>
      <c r="AX698" s="456"/>
      <c r="AY698" s="456"/>
      <c r="AZ698" s="456"/>
      <c r="BA698" s="456"/>
      <c r="BB698" s="456"/>
      <c r="BC698" s="456"/>
    </row>
    <row r="699" spans="8:55">
      <c r="H699" s="455"/>
      <c r="I699" s="455"/>
      <c r="J699" s="455"/>
      <c r="K699" s="456"/>
      <c r="L699" s="455"/>
      <c r="M699" s="455"/>
      <c r="N699" s="455"/>
      <c r="O699" s="455"/>
      <c r="P699" s="456"/>
      <c r="Q699" s="456"/>
      <c r="R699" s="457"/>
      <c r="S699" s="456"/>
      <c r="T699" s="455"/>
      <c r="U699" s="455"/>
      <c r="V699" s="455"/>
      <c r="W699" s="456"/>
      <c r="X699" s="455"/>
      <c r="Y699" s="455"/>
      <c r="Z699" s="455"/>
      <c r="AA699" s="455"/>
      <c r="AB699" s="456"/>
      <c r="AC699" s="455"/>
      <c r="AD699" s="455"/>
      <c r="AE699" s="455"/>
      <c r="AF699" s="455"/>
      <c r="AG699" s="455"/>
      <c r="AH699" s="455"/>
      <c r="AI699" s="455"/>
      <c r="AJ699" s="456"/>
      <c r="AK699" s="456"/>
      <c r="AL699" s="456"/>
      <c r="AM699" s="456"/>
      <c r="AN699" s="456"/>
      <c r="AO699" s="456"/>
      <c r="AP699" s="456"/>
      <c r="AQ699" s="456"/>
      <c r="AR699" s="458"/>
      <c r="AS699" s="459"/>
      <c r="AT699" s="459"/>
      <c r="AU699" s="459"/>
      <c r="AV699" s="478"/>
      <c r="AW699" s="456"/>
      <c r="AX699" s="456"/>
      <c r="AY699" s="456"/>
      <c r="AZ699" s="456"/>
      <c r="BA699" s="456"/>
      <c r="BB699" s="456"/>
      <c r="BC699" s="456"/>
    </row>
    <row r="700" spans="8:55">
      <c r="H700" s="455"/>
      <c r="I700" s="455"/>
      <c r="J700" s="455"/>
      <c r="K700" s="456"/>
      <c r="L700" s="455"/>
      <c r="M700" s="455"/>
      <c r="N700" s="455"/>
      <c r="O700" s="455"/>
      <c r="P700" s="456"/>
      <c r="Q700" s="456"/>
      <c r="R700" s="457"/>
      <c r="S700" s="456"/>
      <c r="T700" s="455"/>
      <c r="U700" s="455"/>
      <c r="V700" s="455"/>
      <c r="W700" s="456"/>
      <c r="X700" s="455"/>
      <c r="Y700" s="455"/>
      <c r="Z700" s="455"/>
      <c r="AA700" s="455"/>
      <c r="AB700" s="456"/>
      <c r="AC700" s="455"/>
      <c r="AD700" s="455"/>
      <c r="AE700" s="455"/>
      <c r="AF700" s="455"/>
      <c r="AG700" s="455"/>
      <c r="AH700" s="455"/>
      <c r="AI700" s="455"/>
      <c r="AJ700" s="456"/>
      <c r="AK700" s="456"/>
      <c r="AL700" s="456"/>
      <c r="AM700" s="456"/>
      <c r="AN700" s="456"/>
      <c r="AO700" s="456"/>
      <c r="AP700" s="456"/>
      <c r="AQ700" s="456"/>
      <c r="AR700" s="458"/>
      <c r="AS700" s="459"/>
      <c r="AT700" s="459"/>
      <c r="AU700" s="459"/>
      <c r="AV700" s="478"/>
      <c r="AW700" s="456"/>
      <c r="AX700" s="456"/>
      <c r="AY700" s="456"/>
      <c r="AZ700" s="456"/>
      <c r="BA700" s="456"/>
      <c r="BB700" s="456"/>
      <c r="BC700" s="456"/>
    </row>
    <row r="701" spans="8:55">
      <c r="H701" s="455"/>
      <c r="I701" s="455"/>
      <c r="J701" s="455"/>
      <c r="K701" s="456"/>
      <c r="L701" s="455"/>
      <c r="M701" s="455"/>
      <c r="N701" s="455"/>
      <c r="O701" s="455"/>
      <c r="P701" s="456"/>
      <c r="Q701" s="456"/>
      <c r="R701" s="457"/>
      <c r="S701" s="456"/>
      <c r="T701" s="455"/>
      <c r="U701" s="455"/>
      <c r="V701" s="455"/>
      <c r="W701" s="456"/>
      <c r="X701" s="455"/>
      <c r="Y701" s="455"/>
      <c r="Z701" s="455"/>
      <c r="AA701" s="455"/>
      <c r="AB701" s="456"/>
      <c r="AC701" s="455"/>
      <c r="AD701" s="455"/>
      <c r="AE701" s="455"/>
      <c r="AF701" s="455"/>
      <c r="AG701" s="455"/>
      <c r="AH701" s="455"/>
      <c r="AI701" s="455"/>
      <c r="AJ701" s="456"/>
      <c r="AK701" s="456"/>
      <c r="AL701" s="456"/>
      <c r="AM701" s="456"/>
      <c r="AN701" s="456"/>
      <c r="AO701" s="456"/>
      <c r="AP701" s="456"/>
      <c r="AQ701" s="456"/>
      <c r="AR701" s="458"/>
      <c r="AS701" s="459"/>
      <c r="AT701" s="459"/>
      <c r="AU701" s="459"/>
      <c r="AV701" s="478"/>
      <c r="AW701" s="456"/>
      <c r="AX701" s="456"/>
      <c r="AY701" s="456"/>
      <c r="AZ701" s="456"/>
      <c r="BA701" s="456"/>
      <c r="BB701" s="456"/>
      <c r="BC701" s="456"/>
    </row>
    <row r="702" spans="8:55">
      <c r="H702" s="455"/>
      <c r="I702" s="455"/>
      <c r="J702" s="455"/>
      <c r="K702" s="456"/>
      <c r="L702" s="455"/>
      <c r="M702" s="455"/>
      <c r="N702" s="455"/>
      <c r="O702" s="455"/>
      <c r="P702" s="456"/>
      <c r="Q702" s="456"/>
      <c r="R702" s="457"/>
      <c r="S702" s="456"/>
      <c r="T702" s="455"/>
      <c r="U702" s="455"/>
      <c r="V702" s="455"/>
      <c r="W702" s="456"/>
      <c r="X702" s="455"/>
      <c r="Y702" s="455"/>
      <c r="Z702" s="455"/>
      <c r="AA702" s="455"/>
      <c r="AB702" s="456"/>
      <c r="AC702" s="455"/>
      <c r="AD702" s="455"/>
      <c r="AE702" s="455"/>
      <c r="AF702" s="455"/>
      <c r="AG702" s="455"/>
      <c r="AH702" s="455"/>
      <c r="AI702" s="455"/>
      <c r="AJ702" s="456"/>
      <c r="AK702" s="456"/>
      <c r="AL702" s="456"/>
      <c r="AM702" s="456"/>
      <c r="AN702" s="456"/>
      <c r="AO702" s="456"/>
      <c r="AP702" s="456"/>
      <c r="AQ702" s="456"/>
      <c r="AR702" s="458"/>
      <c r="AS702" s="459"/>
      <c r="AT702" s="459"/>
      <c r="AU702" s="459"/>
      <c r="AV702" s="478"/>
      <c r="AW702" s="456"/>
      <c r="AX702" s="456"/>
      <c r="AY702" s="456"/>
      <c r="AZ702" s="456"/>
      <c r="BA702" s="456"/>
      <c r="BB702" s="456"/>
      <c r="BC702" s="456"/>
    </row>
    <row r="703" spans="8:55">
      <c r="H703" s="455"/>
      <c r="I703" s="455"/>
      <c r="J703" s="455"/>
      <c r="K703" s="456"/>
      <c r="L703" s="455"/>
      <c r="M703" s="455"/>
      <c r="N703" s="455"/>
      <c r="O703" s="455"/>
      <c r="P703" s="456"/>
      <c r="Q703" s="456"/>
      <c r="R703" s="457"/>
      <c r="S703" s="456"/>
      <c r="T703" s="455"/>
      <c r="U703" s="455"/>
      <c r="V703" s="455"/>
      <c r="W703" s="456"/>
      <c r="X703" s="455"/>
      <c r="Y703" s="455"/>
      <c r="Z703" s="455"/>
      <c r="AA703" s="455"/>
      <c r="AB703" s="456"/>
      <c r="AC703" s="455"/>
      <c r="AD703" s="455"/>
      <c r="AE703" s="455"/>
      <c r="AF703" s="455"/>
      <c r="AG703" s="455"/>
      <c r="AH703" s="455"/>
      <c r="AI703" s="455"/>
      <c r="AJ703" s="456"/>
      <c r="AK703" s="456"/>
      <c r="AL703" s="456"/>
      <c r="AM703" s="456"/>
      <c r="AN703" s="456"/>
      <c r="AO703" s="456"/>
      <c r="AP703" s="456"/>
      <c r="AQ703" s="456"/>
      <c r="AR703" s="458"/>
      <c r="AS703" s="459"/>
      <c r="AT703" s="459"/>
      <c r="AU703" s="459"/>
      <c r="AV703" s="478"/>
      <c r="AW703" s="456"/>
      <c r="AX703" s="456"/>
      <c r="AY703" s="456"/>
      <c r="AZ703" s="456"/>
      <c r="BA703" s="456"/>
      <c r="BB703" s="456"/>
      <c r="BC703" s="456"/>
    </row>
    <row r="704" spans="8:55">
      <c r="H704" s="455"/>
      <c r="I704" s="455"/>
      <c r="J704" s="455"/>
      <c r="K704" s="456"/>
      <c r="L704" s="455"/>
      <c r="M704" s="455"/>
      <c r="N704" s="455"/>
      <c r="O704" s="455"/>
      <c r="P704" s="456"/>
      <c r="Q704" s="456"/>
      <c r="R704" s="457"/>
      <c r="S704" s="456"/>
      <c r="T704" s="455"/>
      <c r="U704" s="455"/>
      <c r="V704" s="455"/>
      <c r="W704" s="456"/>
      <c r="X704" s="455"/>
      <c r="Y704" s="455"/>
      <c r="Z704" s="455"/>
      <c r="AA704" s="455"/>
      <c r="AB704" s="456"/>
      <c r="AC704" s="455"/>
      <c r="AD704" s="455"/>
      <c r="AE704" s="455"/>
      <c r="AF704" s="455"/>
      <c r="AG704" s="455"/>
      <c r="AH704" s="455"/>
      <c r="AI704" s="455"/>
      <c r="AJ704" s="456"/>
      <c r="AK704" s="456"/>
      <c r="AL704" s="456"/>
      <c r="AM704" s="456"/>
      <c r="AN704" s="456"/>
      <c r="AO704" s="456"/>
      <c r="AP704" s="456"/>
      <c r="AQ704" s="456"/>
      <c r="AR704" s="458"/>
      <c r="AS704" s="459"/>
      <c r="AT704" s="459"/>
      <c r="AU704" s="459"/>
      <c r="AV704" s="478"/>
      <c r="AW704" s="456"/>
      <c r="AX704" s="456"/>
      <c r="AY704" s="456"/>
      <c r="AZ704" s="456"/>
      <c r="BA704" s="456"/>
      <c r="BB704" s="456"/>
      <c r="BC704" s="456"/>
    </row>
    <row r="705" spans="8:55">
      <c r="H705" s="455"/>
      <c r="I705" s="455"/>
      <c r="J705" s="455"/>
      <c r="K705" s="456"/>
      <c r="L705" s="455"/>
      <c r="M705" s="455"/>
      <c r="N705" s="455"/>
      <c r="O705" s="455"/>
      <c r="P705" s="456"/>
      <c r="Q705" s="456"/>
      <c r="R705" s="457"/>
      <c r="S705" s="456"/>
      <c r="T705" s="455"/>
      <c r="U705" s="455"/>
      <c r="V705" s="455"/>
      <c r="W705" s="456"/>
      <c r="X705" s="455"/>
      <c r="Y705" s="455"/>
      <c r="Z705" s="455"/>
      <c r="AA705" s="455"/>
      <c r="AB705" s="456"/>
      <c r="AC705" s="455"/>
      <c r="AD705" s="455"/>
      <c r="AE705" s="455"/>
      <c r="AF705" s="455"/>
      <c r="AG705" s="455"/>
      <c r="AH705" s="455"/>
      <c r="AI705" s="455"/>
      <c r="AJ705" s="456"/>
      <c r="AK705" s="456"/>
      <c r="AL705" s="456"/>
      <c r="AM705" s="456"/>
      <c r="AN705" s="456"/>
      <c r="AO705" s="456"/>
      <c r="AP705" s="456"/>
      <c r="AQ705" s="456"/>
      <c r="AR705" s="458"/>
      <c r="AS705" s="459"/>
      <c r="AT705" s="459"/>
      <c r="AU705" s="459"/>
      <c r="AV705" s="478"/>
      <c r="AW705" s="456"/>
      <c r="AX705" s="456"/>
      <c r="AY705" s="456"/>
      <c r="AZ705" s="456"/>
      <c r="BA705" s="456"/>
      <c r="BB705" s="456"/>
      <c r="BC705" s="456"/>
    </row>
    <row r="706" spans="8:55">
      <c r="H706" s="455"/>
      <c r="I706" s="455"/>
      <c r="J706" s="455"/>
      <c r="K706" s="456"/>
      <c r="L706" s="455"/>
      <c r="M706" s="455"/>
      <c r="N706" s="455"/>
      <c r="O706" s="455"/>
      <c r="P706" s="456"/>
      <c r="Q706" s="456"/>
      <c r="R706" s="457"/>
      <c r="S706" s="456"/>
      <c r="T706" s="455"/>
      <c r="U706" s="455"/>
      <c r="V706" s="455"/>
      <c r="W706" s="456"/>
      <c r="X706" s="455"/>
      <c r="Y706" s="455"/>
      <c r="Z706" s="455"/>
      <c r="AA706" s="455"/>
      <c r="AB706" s="456"/>
      <c r="AC706" s="455"/>
      <c r="AD706" s="455"/>
      <c r="AE706" s="455"/>
      <c r="AF706" s="455"/>
      <c r="AG706" s="455"/>
      <c r="AH706" s="455"/>
      <c r="AI706" s="455"/>
      <c r="AJ706" s="456"/>
      <c r="AK706" s="456"/>
      <c r="AL706" s="456"/>
      <c r="AM706" s="456"/>
      <c r="AN706" s="456"/>
      <c r="AO706" s="456"/>
      <c r="AP706" s="456"/>
      <c r="AQ706" s="456"/>
      <c r="AR706" s="458"/>
      <c r="AS706" s="459"/>
      <c r="AT706" s="459"/>
      <c r="AU706" s="459"/>
      <c r="AV706" s="478"/>
      <c r="AW706" s="456"/>
      <c r="AX706" s="456"/>
      <c r="AY706" s="456"/>
      <c r="AZ706" s="456"/>
      <c r="BA706" s="456"/>
      <c r="BB706" s="456"/>
      <c r="BC706" s="456"/>
    </row>
    <row r="707" spans="8:55">
      <c r="H707" s="455"/>
      <c r="I707" s="455"/>
      <c r="J707" s="455"/>
      <c r="K707" s="456"/>
      <c r="L707" s="455"/>
      <c r="M707" s="455"/>
      <c r="N707" s="455"/>
      <c r="O707" s="455"/>
      <c r="P707" s="456"/>
      <c r="Q707" s="456"/>
      <c r="R707" s="457"/>
      <c r="S707" s="456"/>
      <c r="T707" s="455"/>
      <c r="U707" s="455"/>
      <c r="V707" s="455"/>
      <c r="W707" s="456"/>
      <c r="X707" s="455"/>
      <c r="Y707" s="455"/>
      <c r="Z707" s="455"/>
      <c r="AA707" s="455"/>
      <c r="AB707" s="456"/>
      <c r="AC707" s="455"/>
      <c r="AD707" s="455"/>
      <c r="AE707" s="455"/>
      <c r="AF707" s="455"/>
      <c r="AG707" s="455"/>
      <c r="AH707" s="455"/>
      <c r="AI707" s="455"/>
      <c r="AJ707" s="456"/>
      <c r="AK707" s="456"/>
      <c r="AL707" s="456"/>
      <c r="AM707" s="456"/>
      <c r="AN707" s="456"/>
      <c r="AO707" s="456"/>
      <c r="AP707" s="456"/>
      <c r="AQ707" s="456"/>
      <c r="AR707" s="458"/>
      <c r="AS707" s="459"/>
      <c r="AT707" s="459"/>
      <c r="AU707" s="459"/>
      <c r="AV707" s="478"/>
      <c r="AW707" s="456"/>
      <c r="AX707" s="456"/>
      <c r="AY707" s="456"/>
      <c r="AZ707" s="456"/>
      <c r="BA707" s="456"/>
      <c r="BB707" s="456"/>
      <c r="BC707" s="456"/>
    </row>
    <row r="708" spans="8:55">
      <c r="H708" s="455"/>
      <c r="I708" s="455"/>
      <c r="J708" s="455"/>
      <c r="K708" s="456"/>
      <c r="L708" s="455"/>
      <c r="M708" s="455"/>
      <c r="N708" s="455"/>
      <c r="O708" s="455"/>
      <c r="P708" s="456"/>
      <c r="Q708" s="456"/>
      <c r="R708" s="457"/>
      <c r="S708" s="456"/>
      <c r="T708" s="455"/>
      <c r="U708" s="455"/>
      <c r="V708" s="455"/>
      <c r="W708" s="456"/>
      <c r="X708" s="455"/>
      <c r="Y708" s="455"/>
      <c r="Z708" s="455"/>
      <c r="AA708" s="455"/>
      <c r="AB708" s="456"/>
      <c r="AC708" s="455"/>
      <c r="AD708" s="455"/>
      <c r="AE708" s="455"/>
      <c r="AF708" s="455"/>
      <c r="AG708" s="455"/>
      <c r="AH708" s="455"/>
      <c r="AI708" s="455"/>
      <c r="AJ708" s="456"/>
      <c r="AK708" s="456"/>
      <c r="AL708" s="456"/>
      <c r="AM708" s="456"/>
      <c r="AN708" s="456"/>
      <c r="AO708" s="456"/>
      <c r="AP708" s="456"/>
      <c r="AQ708" s="456"/>
      <c r="AR708" s="458"/>
      <c r="AS708" s="459"/>
      <c r="AT708" s="459"/>
      <c r="AU708" s="459"/>
      <c r="AV708" s="478"/>
      <c r="AW708" s="456"/>
      <c r="AX708" s="456"/>
      <c r="AY708" s="456"/>
      <c r="AZ708" s="456"/>
      <c r="BA708" s="456"/>
      <c r="BB708" s="456"/>
      <c r="BC708" s="456"/>
    </row>
    <row r="709" spans="8:55">
      <c r="H709" s="455"/>
      <c r="I709" s="455"/>
      <c r="J709" s="455"/>
      <c r="K709" s="456"/>
      <c r="L709" s="455"/>
      <c r="M709" s="455"/>
      <c r="N709" s="455"/>
      <c r="O709" s="455"/>
      <c r="P709" s="456"/>
      <c r="Q709" s="456"/>
      <c r="R709" s="457"/>
      <c r="S709" s="456"/>
      <c r="T709" s="455"/>
      <c r="U709" s="455"/>
      <c r="V709" s="455"/>
      <c r="W709" s="456"/>
      <c r="X709" s="455"/>
      <c r="Y709" s="455"/>
      <c r="Z709" s="455"/>
      <c r="AA709" s="455"/>
      <c r="AB709" s="456"/>
      <c r="AC709" s="455"/>
      <c r="AD709" s="455"/>
      <c r="AE709" s="455"/>
      <c r="AF709" s="455"/>
      <c r="AG709" s="455"/>
      <c r="AH709" s="455"/>
      <c r="AI709" s="455"/>
      <c r="AJ709" s="456"/>
      <c r="AK709" s="456"/>
      <c r="AL709" s="456"/>
      <c r="AM709" s="456"/>
      <c r="AN709" s="456"/>
      <c r="AO709" s="456"/>
      <c r="AP709" s="456"/>
      <c r="AQ709" s="456"/>
      <c r="AR709" s="458"/>
      <c r="AS709" s="459"/>
      <c r="AT709" s="459"/>
      <c r="AU709" s="459"/>
      <c r="AV709" s="478"/>
      <c r="AW709" s="456"/>
      <c r="AX709" s="456"/>
      <c r="AY709" s="456"/>
      <c r="AZ709" s="456"/>
      <c r="BA709" s="456"/>
      <c r="BB709" s="456"/>
      <c r="BC709" s="456"/>
    </row>
    <row r="710" spans="8:55">
      <c r="H710" s="455"/>
      <c r="I710" s="455"/>
      <c r="J710" s="455"/>
      <c r="K710" s="456"/>
      <c r="L710" s="455"/>
      <c r="M710" s="455"/>
      <c r="N710" s="455"/>
      <c r="O710" s="455"/>
      <c r="P710" s="456"/>
      <c r="Q710" s="456"/>
      <c r="R710" s="457"/>
      <c r="S710" s="456"/>
      <c r="T710" s="455"/>
      <c r="U710" s="455"/>
      <c r="V710" s="455"/>
      <c r="W710" s="456"/>
      <c r="X710" s="455"/>
      <c r="Y710" s="455"/>
      <c r="Z710" s="455"/>
      <c r="AA710" s="455"/>
      <c r="AB710" s="456"/>
      <c r="AC710" s="455"/>
      <c r="AD710" s="455"/>
      <c r="AE710" s="455"/>
      <c r="AF710" s="455"/>
      <c r="AG710" s="455"/>
      <c r="AH710" s="455"/>
      <c r="AI710" s="455"/>
      <c r="AJ710" s="456"/>
      <c r="AK710" s="456"/>
      <c r="AL710" s="456"/>
      <c r="AM710" s="456"/>
      <c r="AN710" s="456"/>
      <c r="AO710" s="456"/>
      <c r="AP710" s="456"/>
      <c r="AQ710" s="456"/>
      <c r="AR710" s="458"/>
      <c r="AS710" s="459"/>
      <c r="AT710" s="459"/>
      <c r="AU710" s="459"/>
      <c r="AV710" s="478"/>
      <c r="AW710" s="456"/>
      <c r="AX710" s="456"/>
      <c r="AY710" s="456"/>
      <c r="AZ710" s="456"/>
      <c r="BA710" s="456"/>
      <c r="BB710" s="456"/>
      <c r="BC710" s="456"/>
    </row>
    <row r="711" spans="8:55">
      <c r="H711" s="455"/>
      <c r="I711" s="455"/>
      <c r="J711" s="455"/>
      <c r="K711" s="456"/>
      <c r="L711" s="455"/>
      <c r="M711" s="455"/>
      <c r="N711" s="455"/>
      <c r="O711" s="455"/>
      <c r="P711" s="456"/>
      <c r="Q711" s="456"/>
      <c r="R711" s="457"/>
      <c r="S711" s="456"/>
      <c r="T711" s="455"/>
      <c r="U711" s="455"/>
      <c r="V711" s="455"/>
      <c r="W711" s="456"/>
      <c r="X711" s="455"/>
      <c r="Y711" s="455"/>
      <c r="Z711" s="455"/>
      <c r="AA711" s="455"/>
      <c r="AB711" s="456"/>
      <c r="AC711" s="455"/>
      <c r="AD711" s="455"/>
      <c r="AE711" s="455"/>
      <c r="AF711" s="455"/>
      <c r="AG711" s="455"/>
      <c r="AH711" s="455"/>
      <c r="AI711" s="455"/>
      <c r="AJ711" s="456"/>
      <c r="AK711" s="456"/>
      <c r="AL711" s="456"/>
      <c r="AM711" s="456"/>
      <c r="AN711" s="456"/>
      <c r="AO711" s="456"/>
      <c r="AP711" s="456"/>
      <c r="AQ711" s="456"/>
      <c r="AR711" s="458"/>
      <c r="AS711" s="459"/>
      <c r="AT711" s="459"/>
      <c r="AU711" s="459"/>
      <c r="AV711" s="478"/>
      <c r="AW711" s="456"/>
      <c r="AX711" s="456"/>
      <c r="AY711" s="456"/>
      <c r="AZ711" s="456"/>
      <c r="BA711" s="456"/>
      <c r="BB711" s="456"/>
      <c r="BC711" s="456"/>
    </row>
    <row r="712" spans="8:55">
      <c r="H712" s="455"/>
      <c r="I712" s="455"/>
      <c r="J712" s="455"/>
      <c r="K712" s="456"/>
      <c r="L712" s="455"/>
      <c r="M712" s="455"/>
      <c r="N712" s="455"/>
      <c r="O712" s="455"/>
      <c r="P712" s="456"/>
      <c r="Q712" s="456"/>
      <c r="R712" s="457"/>
      <c r="S712" s="456"/>
      <c r="T712" s="455"/>
      <c r="U712" s="455"/>
      <c r="V712" s="455"/>
      <c r="W712" s="456"/>
      <c r="X712" s="455"/>
      <c r="Y712" s="455"/>
      <c r="Z712" s="455"/>
      <c r="AA712" s="455"/>
      <c r="AB712" s="456"/>
      <c r="AC712" s="455"/>
      <c r="AD712" s="455"/>
      <c r="AE712" s="455"/>
      <c r="AF712" s="455"/>
      <c r="AG712" s="455"/>
      <c r="AH712" s="455"/>
      <c r="AI712" s="455"/>
      <c r="AJ712" s="456"/>
      <c r="AK712" s="456"/>
      <c r="AL712" s="456"/>
      <c r="AM712" s="456"/>
      <c r="AN712" s="456"/>
      <c r="AO712" s="456"/>
      <c r="AP712" s="456"/>
      <c r="AQ712" s="456"/>
      <c r="AR712" s="458"/>
      <c r="AS712" s="459"/>
      <c r="AT712" s="459"/>
      <c r="AU712" s="459"/>
      <c r="AV712" s="478"/>
      <c r="AW712" s="456"/>
      <c r="AX712" s="456"/>
      <c r="AY712" s="456"/>
      <c r="AZ712" s="456"/>
      <c r="BA712" s="456"/>
      <c r="BB712" s="456"/>
      <c r="BC712" s="456"/>
    </row>
    <row r="713" spans="8:55">
      <c r="H713" s="455"/>
      <c r="I713" s="455"/>
      <c r="J713" s="455"/>
      <c r="K713" s="456"/>
      <c r="L713" s="455"/>
      <c r="M713" s="455"/>
      <c r="N713" s="455"/>
      <c r="O713" s="455"/>
      <c r="P713" s="456"/>
      <c r="Q713" s="456"/>
      <c r="R713" s="457"/>
      <c r="S713" s="456"/>
      <c r="T713" s="455"/>
      <c r="U713" s="455"/>
      <c r="V713" s="455"/>
      <c r="W713" s="456"/>
      <c r="X713" s="455"/>
      <c r="Y713" s="455"/>
      <c r="Z713" s="455"/>
      <c r="AA713" s="455"/>
      <c r="AB713" s="456"/>
      <c r="AC713" s="455"/>
      <c r="AD713" s="455"/>
      <c r="AE713" s="455"/>
      <c r="AF713" s="455"/>
      <c r="AG713" s="455"/>
      <c r="AH713" s="455"/>
      <c r="AI713" s="455"/>
      <c r="AJ713" s="456"/>
      <c r="AK713" s="456"/>
      <c r="AL713" s="456"/>
      <c r="AM713" s="456"/>
      <c r="AN713" s="456"/>
      <c r="AO713" s="456"/>
      <c r="AP713" s="456"/>
      <c r="AQ713" s="456"/>
      <c r="AR713" s="458"/>
      <c r="AS713" s="459"/>
      <c r="AT713" s="459"/>
      <c r="AU713" s="459"/>
      <c r="AV713" s="478"/>
      <c r="AW713" s="456"/>
      <c r="AX713" s="456"/>
      <c r="AY713" s="456"/>
      <c r="AZ713" s="456"/>
      <c r="BA713" s="456"/>
      <c r="BB713" s="456"/>
      <c r="BC713" s="456"/>
    </row>
    <row r="714" spans="8:55">
      <c r="H714" s="455"/>
      <c r="I714" s="455"/>
      <c r="J714" s="455"/>
      <c r="K714" s="456"/>
      <c r="L714" s="455"/>
      <c r="M714" s="455"/>
      <c r="N714" s="455"/>
      <c r="O714" s="455"/>
      <c r="P714" s="456"/>
      <c r="Q714" s="456"/>
      <c r="R714" s="457"/>
      <c r="S714" s="456"/>
      <c r="T714" s="455"/>
      <c r="U714" s="455"/>
      <c r="V714" s="455"/>
      <c r="W714" s="456"/>
      <c r="X714" s="455"/>
      <c r="Y714" s="455"/>
      <c r="Z714" s="455"/>
      <c r="AA714" s="455"/>
      <c r="AB714" s="456"/>
      <c r="AC714" s="455"/>
      <c r="AD714" s="455"/>
      <c r="AE714" s="455"/>
      <c r="AF714" s="455"/>
      <c r="AG714" s="455"/>
      <c r="AH714" s="455"/>
      <c r="AI714" s="455"/>
      <c r="AJ714" s="456"/>
      <c r="AK714" s="456"/>
      <c r="AL714" s="456"/>
      <c r="AM714" s="456"/>
      <c r="AN714" s="456"/>
      <c r="AO714" s="456"/>
      <c r="AP714" s="456"/>
      <c r="AQ714" s="456"/>
      <c r="AR714" s="458"/>
      <c r="AS714" s="459"/>
      <c r="AT714" s="459"/>
      <c r="AU714" s="459"/>
      <c r="AV714" s="478"/>
      <c r="AW714" s="456"/>
      <c r="AX714" s="456"/>
      <c r="AY714" s="456"/>
      <c r="AZ714" s="456"/>
      <c r="BA714" s="456"/>
      <c r="BB714" s="456"/>
      <c r="BC714" s="456"/>
    </row>
    <row r="715" spans="8:55">
      <c r="H715" s="455"/>
      <c r="I715" s="455"/>
      <c r="J715" s="455"/>
      <c r="K715" s="456"/>
      <c r="L715" s="455"/>
      <c r="M715" s="455"/>
      <c r="N715" s="455"/>
      <c r="O715" s="455"/>
      <c r="P715" s="456"/>
      <c r="Q715" s="456"/>
      <c r="R715" s="457"/>
      <c r="S715" s="456"/>
      <c r="T715" s="455"/>
      <c r="U715" s="455"/>
      <c r="V715" s="455"/>
      <c r="W715" s="456"/>
      <c r="X715" s="455"/>
      <c r="Y715" s="455"/>
      <c r="Z715" s="455"/>
      <c r="AA715" s="455"/>
      <c r="AB715" s="456"/>
      <c r="AC715" s="455"/>
      <c r="AD715" s="455"/>
      <c r="AE715" s="455"/>
      <c r="AF715" s="455"/>
      <c r="AG715" s="455"/>
      <c r="AH715" s="455"/>
      <c r="AI715" s="455"/>
      <c r="AJ715" s="456"/>
      <c r="AK715" s="456"/>
      <c r="AL715" s="456"/>
      <c r="AM715" s="456"/>
      <c r="AN715" s="456"/>
      <c r="AO715" s="456"/>
      <c r="AP715" s="456"/>
      <c r="AQ715" s="456"/>
      <c r="AR715" s="458"/>
      <c r="AS715" s="459"/>
      <c r="AT715" s="459"/>
      <c r="AU715" s="459"/>
      <c r="AV715" s="478"/>
      <c r="AW715" s="456"/>
      <c r="AX715" s="456"/>
      <c r="AY715" s="456"/>
      <c r="AZ715" s="456"/>
      <c r="BA715" s="456"/>
      <c r="BB715" s="456"/>
      <c r="BC715" s="456"/>
    </row>
    <row r="716" spans="8:55">
      <c r="H716" s="455"/>
      <c r="I716" s="455"/>
      <c r="J716" s="455"/>
      <c r="K716" s="456"/>
      <c r="L716" s="455"/>
      <c r="M716" s="455"/>
      <c r="N716" s="455"/>
      <c r="O716" s="455"/>
      <c r="P716" s="456"/>
      <c r="Q716" s="456"/>
      <c r="R716" s="457"/>
      <c r="S716" s="456"/>
      <c r="T716" s="455"/>
      <c r="U716" s="455"/>
      <c r="V716" s="455"/>
      <c r="W716" s="456"/>
      <c r="X716" s="455"/>
      <c r="Y716" s="455"/>
      <c r="Z716" s="455"/>
      <c r="AA716" s="455"/>
      <c r="AB716" s="456"/>
      <c r="AC716" s="455"/>
      <c r="AD716" s="455"/>
      <c r="AE716" s="455"/>
      <c r="AF716" s="455"/>
      <c r="AG716" s="455"/>
      <c r="AH716" s="455"/>
      <c r="AI716" s="455"/>
      <c r="AJ716" s="456"/>
      <c r="AK716" s="456"/>
      <c r="AL716" s="456"/>
      <c r="AM716" s="456"/>
      <c r="AN716" s="456"/>
      <c r="AO716" s="456"/>
      <c r="AP716" s="456"/>
      <c r="AQ716" s="456"/>
      <c r="AR716" s="458"/>
      <c r="AS716" s="459"/>
      <c r="AT716" s="459"/>
      <c r="AU716" s="459"/>
      <c r="AV716" s="478"/>
      <c r="AW716" s="456"/>
      <c r="AX716" s="456"/>
      <c r="AY716" s="456"/>
      <c r="AZ716" s="456"/>
      <c r="BA716" s="456"/>
      <c r="BB716" s="456"/>
      <c r="BC716" s="456"/>
    </row>
    <row r="717" spans="8:55">
      <c r="H717" s="455"/>
      <c r="I717" s="455"/>
      <c r="J717" s="455"/>
      <c r="K717" s="456"/>
      <c r="L717" s="455"/>
      <c r="M717" s="455"/>
      <c r="N717" s="455"/>
      <c r="O717" s="455"/>
      <c r="P717" s="456"/>
      <c r="Q717" s="456"/>
      <c r="R717" s="457"/>
      <c r="S717" s="456"/>
      <c r="T717" s="455"/>
      <c r="U717" s="455"/>
      <c r="V717" s="455"/>
      <c r="W717" s="456"/>
      <c r="X717" s="455"/>
      <c r="Y717" s="455"/>
      <c r="Z717" s="455"/>
      <c r="AA717" s="455"/>
      <c r="AB717" s="456"/>
      <c r="AC717" s="455"/>
      <c r="AD717" s="455"/>
      <c r="AE717" s="455"/>
      <c r="AF717" s="455"/>
      <c r="AG717" s="455"/>
      <c r="AH717" s="455"/>
      <c r="AI717" s="455"/>
      <c r="AJ717" s="456"/>
      <c r="AK717" s="456"/>
      <c r="AL717" s="456"/>
      <c r="AM717" s="456"/>
      <c r="AN717" s="456"/>
      <c r="AO717" s="456"/>
      <c r="AP717" s="456"/>
      <c r="AQ717" s="456"/>
      <c r="AR717" s="458"/>
      <c r="AS717" s="459"/>
      <c r="AT717" s="459"/>
      <c r="AU717" s="459"/>
      <c r="AV717" s="478"/>
      <c r="AW717" s="456"/>
      <c r="AX717" s="456"/>
      <c r="AY717" s="456"/>
      <c r="AZ717" s="456"/>
      <c r="BA717" s="456"/>
      <c r="BB717" s="456"/>
      <c r="BC717" s="456"/>
    </row>
    <row r="718" spans="8:55">
      <c r="H718" s="455"/>
      <c r="I718" s="455"/>
      <c r="J718" s="455"/>
      <c r="K718" s="456"/>
      <c r="L718" s="455"/>
      <c r="M718" s="455"/>
      <c r="N718" s="455"/>
      <c r="O718" s="455"/>
      <c r="P718" s="456"/>
      <c r="Q718" s="456"/>
      <c r="R718" s="457"/>
      <c r="S718" s="456"/>
      <c r="T718" s="455"/>
      <c r="U718" s="455"/>
      <c r="V718" s="455"/>
      <c r="W718" s="456"/>
      <c r="X718" s="455"/>
      <c r="Y718" s="455"/>
      <c r="Z718" s="455"/>
      <c r="AA718" s="455"/>
      <c r="AB718" s="456"/>
      <c r="AC718" s="455"/>
      <c r="AD718" s="455"/>
      <c r="AE718" s="455"/>
      <c r="AF718" s="455"/>
      <c r="AG718" s="455"/>
      <c r="AH718" s="455"/>
      <c r="AI718" s="455"/>
      <c r="AJ718" s="456"/>
      <c r="AK718" s="456"/>
      <c r="AL718" s="456"/>
      <c r="AM718" s="456"/>
      <c r="AN718" s="456"/>
      <c r="AO718" s="456"/>
      <c r="AP718" s="456"/>
      <c r="AQ718" s="456"/>
      <c r="AR718" s="458"/>
      <c r="AS718" s="459"/>
      <c r="AT718" s="459"/>
      <c r="AU718" s="459"/>
      <c r="AV718" s="478"/>
      <c r="AW718" s="456"/>
      <c r="AX718" s="456"/>
      <c r="AY718" s="456"/>
      <c r="AZ718" s="456"/>
      <c r="BA718" s="456"/>
      <c r="BB718" s="456"/>
      <c r="BC718" s="456"/>
    </row>
  </sheetData>
  <phoneticPr fontId="5"/>
  <conditionalFormatting sqref="E4">
    <cfRule type="duplicateValues" dxfId="170" priority="7"/>
  </conditionalFormatting>
  <conditionalFormatting sqref="E5:E9">
    <cfRule type="duplicateValues" dxfId="169" priority="40"/>
  </conditionalFormatting>
  <conditionalFormatting sqref="E10">
    <cfRule type="duplicateValues" dxfId="168" priority="35"/>
  </conditionalFormatting>
  <conditionalFormatting sqref="E11:E12">
    <cfRule type="duplicateValues" dxfId="167" priority="8"/>
  </conditionalFormatting>
  <conditionalFormatting sqref="E13">
    <cfRule type="duplicateValues" dxfId="166" priority="29"/>
  </conditionalFormatting>
  <conditionalFormatting sqref="E15">
    <cfRule type="duplicateValues" dxfId="165" priority="6"/>
  </conditionalFormatting>
  <conditionalFormatting sqref="E16">
    <cfRule type="duplicateValues" dxfId="164" priority="38"/>
  </conditionalFormatting>
  <conditionalFormatting sqref="E17">
    <cfRule type="duplicateValues" dxfId="163" priority="23"/>
  </conditionalFormatting>
  <conditionalFormatting sqref="E18">
    <cfRule type="duplicateValues" dxfId="162" priority="11"/>
  </conditionalFormatting>
  <conditionalFormatting sqref="E19">
    <cfRule type="duplicateValues" dxfId="161" priority="22"/>
  </conditionalFormatting>
  <conditionalFormatting sqref="E20">
    <cfRule type="duplicateValues" dxfId="160" priority="34"/>
  </conditionalFormatting>
  <conditionalFormatting sqref="E21:E32">
    <cfRule type="duplicateValues" dxfId="159" priority="39"/>
  </conditionalFormatting>
  <conditionalFormatting sqref="E33:E39">
    <cfRule type="duplicateValues" dxfId="158" priority="33"/>
  </conditionalFormatting>
  <conditionalFormatting sqref="E40">
    <cfRule type="duplicateValues" dxfId="157" priority="19"/>
  </conditionalFormatting>
  <conditionalFormatting sqref="E76">
    <cfRule type="duplicateValues" dxfId="156" priority="3"/>
  </conditionalFormatting>
  <conditionalFormatting sqref="E77:E88 E41:E75">
    <cfRule type="duplicateValues" dxfId="155" priority="32"/>
  </conditionalFormatting>
  <conditionalFormatting sqref="E89">
    <cfRule type="duplicateValues" dxfId="154" priority="37"/>
  </conditionalFormatting>
  <conditionalFormatting sqref="E90:E102">
    <cfRule type="duplicateValues" dxfId="153" priority="123"/>
  </conditionalFormatting>
  <conditionalFormatting sqref="E103">
    <cfRule type="duplicateValues" dxfId="152" priority="20"/>
  </conditionalFormatting>
  <conditionalFormatting sqref="E104:E105">
    <cfRule type="duplicateValues" dxfId="151" priority="25"/>
  </conditionalFormatting>
  <conditionalFormatting sqref="E106:E107">
    <cfRule type="duplicateValues" dxfId="150" priority="15"/>
  </conditionalFormatting>
  <conditionalFormatting sqref="E108:E110">
    <cfRule type="duplicateValues" dxfId="149" priority="53"/>
  </conditionalFormatting>
  <conditionalFormatting sqref="E111">
    <cfRule type="duplicateValues" dxfId="148" priority="2"/>
  </conditionalFormatting>
  <conditionalFormatting sqref="E112">
    <cfRule type="duplicateValues" dxfId="147" priority="27"/>
  </conditionalFormatting>
  <conditionalFormatting sqref="E113">
    <cfRule type="duplicateValues" dxfId="146" priority="28"/>
  </conditionalFormatting>
  <conditionalFormatting sqref="E114:E115">
    <cfRule type="duplicateValues" dxfId="145" priority="14"/>
  </conditionalFormatting>
  <conditionalFormatting sqref="E116">
    <cfRule type="duplicateValues" dxfId="144" priority="5"/>
  </conditionalFormatting>
  <conditionalFormatting sqref="E117">
    <cfRule type="duplicateValues" dxfId="143" priority="49"/>
  </conditionalFormatting>
  <conditionalFormatting sqref="E123:E139">
    <cfRule type="duplicateValues" dxfId="142" priority="10"/>
  </conditionalFormatting>
  <conditionalFormatting sqref="E140:E156">
    <cfRule type="duplicateValues" dxfId="141" priority="26"/>
  </conditionalFormatting>
  <conditionalFormatting sqref="E157:E164">
    <cfRule type="duplicateValues" dxfId="140" priority="9"/>
  </conditionalFormatting>
  <conditionalFormatting sqref="E165">
    <cfRule type="duplicateValues" dxfId="139" priority="43"/>
  </conditionalFormatting>
  <conditionalFormatting sqref="E167">
    <cfRule type="duplicateValues" dxfId="138" priority="42"/>
  </conditionalFormatting>
  <conditionalFormatting sqref="E168">
    <cfRule type="duplicateValues" dxfId="137" priority="41"/>
  </conditionalFormatting>
  <conditionalFormatting sqref="E169:E182">
    <cfRule type="duplicateValues" dxfId="136" priority="54"/>
  </conditionalFormatting>
  <conditionalFormatting sqref="E183">
    <cfRule type="duplicateValues" dxfId="135" priority="47"/>
  </conditionalFormatting>
  <conditionalFormatting sqref="E184">
    <cfRule type="duplicateValues" dxfId="134" priority="1"/>
  </conditionalFormatting>
  <conditionalFormatting sqref="E189">
    <cfRule type="duplicateValues" dxfId="133" priority="36"/>
  </conditionalFormatting>
  <conditionalFormatting sqref="E190:E191">
    <cfRule type="duplicateValues" dxfId="132" priority="30"/>
  </conditionalFormatting>
  <conditionalFormatting sqref="E192">
    <cfRule type="duplicateValues" dxfId="131" priority="50"/>
  </conditionalFormatting>
  <conditionalFormatting sqref="E193:E218">
    <cfRule type="duplicateValues" dxfId="130" priority="13"/>
  </conditionalFormatting>
  <conditionalFormatting sqref="E219:E225">
    <cfRule type="duplicateValues" dxfId="129" priority="18"/>
  </conditionalFormatting>
  <conditionalFormatting sqref="E226">
    <cfRule type="duplicateValues" dxfId="128" priority="44"/>
  </conditionalFormatting>
  <conditionalFormatting sqref="E227:E230">
    <cfRule type="duplicateValues" dxfId="127" priority="4"/>
  </conditionalFormatting>
  <conditionalFormatting sqref="E231:E243">
    <cfRule type="duplicateValues" dxfId="126" priority="17"/>
  </conditionalFormatting>
  <conditionalFormatting sqref="E244">
    <cfRule type="duplicateValues" dxfId="125" priority="46"/>
  </conditionalFormatting>
  <conditionalFormatting sqref="E245">
    <cfRule type="duplicateValues" dxfId="124" priority="16"/>
  </conditionalFormatting>
  <conditionalFormatting sqref="E246">
    <cfRule type="duplicateValues" dxfId="123" priority="45"/>
  </conditionalFormatting>
  <conditionalFormatting sqref="E247">
    <cfRule type="duplicateValues" dxfId="122" priority="24"/>
  </conditionalFormatting>
  <conditionalFormatting sqref="E248">
    <cfRule type="duplicateValues" dxfId="121" priority="21"/>
  </conditionalFormatting>
  <conditionalFormatting sqref="E249">
    <cfRule type="duplicateValues" dxfId="120" priority="48"/>
  </conditionalFormatting>
  <conditionalFormatting sqref="E250">
    <cfRule type="duplicateValues" dxfId="119" priority="12"/>
  </conditionalFormatting>
  <conditionalFormatting sqref="E251:E259 E1:E3 E118:E122 E166 E185:E188 E14">
    <cfRule type="duplicateValues" dxfId="118" priority="52"/>
  </conditionalFormatting>
  <conditionalFormatting sqref="E260:E263">
    <cfRule type="duplicateValues" dxfId="117" priority="51"/>
  </conditionalFormatting>
  <dataValidations xWindow="1110" yWindow="413" count="1">
    <dataValidation allowBlank="1" showErrorMessage="1" sqref="A1:XFD1048576" xr:uid="{00000000-0002-0000-0200-000000000000}"/>
  </dataValidations>
  <pageMargins left="0.70866141732283472" right="0.70866141732283472" top="0.74803149606299213" bottom="0.74803149606299213" header="0.31496062992125984" footer="0.31496062992125984"/>
  <pageSetup paperSize="8" scale="65" fitToWidth="2" fitToHeight="0" orientation="landscape" r:id="rId1"/>
  <headerFooter>
    <oddHeader>&amp;L&amp;A&amp;R&amp;F</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D263"/>
  <sheetViews>
    <sheetView zoomScale="115" zoomScaleNormal="115" workbookViewId="0">
      <pane xSplit="5" ySplit="3" topLeftCell="K169" activePane="bottomRight" state="frozen"/>
      <selection activeCell="P119" sqref="P119"/>
      <selection pane="topRight" activeCell="P119" sqref="P119"/>
      <selection pane="bottomLeft" activeCell="P119" sqref="P119"/>
      <selection pane="bottomRight" activeCell="V11" sqref="V11"/>
    </sheetView>
    <sheetView workbookViewId="1"/>
  </sheetViews>
  <sheetFormatPr defaultColWidth="9" defaultRowHeight="12"/>
  <cols>
    <col min="1" max="1" width="5.5" style="247" customWidth="1"/>
    <col min="2" max="2" width="3.875" style="244" customWidth="1"/>
    <col min="3" max="4" width="4.125" style="245" customWidth="1"/>
    <col min="5" max="5" width="13.875" style="538" customWidth="1"/>
    <col min="6" max="6" width="7.375" style="538" customWidth="1"/>
    <col min="7" max="7" width="22.875" style="538" customWidth="1"/>
    <col min="8" max="8" width="11.25" style="163" customWidth="1"/>
    <col min="9" max="11" width="6.75" style="163" customWidth="1"/>
    <col min="12" max="15" width="6.875" style="163" customWidth="1"/>
    <col min="16" max="16" width="15.375" style="163" bestFit="1" customWidth="1"/>
    <col min="17" max="17" width="14.125" style="163" bestFit="1" customWidth="1"/>
    <col min="18" max="18" width="10" style="377" customWidth="1"/>
    <col min="19" max="19" width="10.75" style="163" bestFit="1" customWidth="1"/>
    <col min="20" max="21" width="6.875" style="163" customWidth="1"/>
    <col min="22" max="22" width="7.5" style="163" customWidth="1"/>
    <col min="23" max="23" width="6.875" style="163" customWidth="1"/>
    <col min="24" max="35" width="7.5" style="163" customWidth="1"/>
    <col min="36" max="36" width="8.5" style="163" customWidth="1"/>
    <col min="37" max="43" width="7.375" style="163" customWidth="1"/>
    <col min="44" max="44" width="7.375" style="539" customWidth="1"/>
    <col min="45" max="47" width="8.625" style="540" customWidth="1"/>
    <col min="48" max="48" width="11.125" style="246" customWidth="1"/>
    <col min="49" max="53" width="11.125" style="163" customWidth="1"/>
    <col min="54" max="56" width="8.625" style="163" customWidth="1"/>
    <col min="57" max="57" width="18.75" style="163" bestFit="1" customWidth="1"/>
    <col min="58" max="16384" width="9" style="163"/>
  </cols>
  <sheetData>
    <row r="1" spans="1:56" s="90" customFormat="1" ht="13.5">
      <c r="A1" s="76" t="s">
        <v>1803</v>
      </c>
      <c r="B1" s="77"/>
      <c r="C1" s="78"/>
      <c r="D1" s="78"/>
      <c r="E1" s="79"/>
      <c r="F1" s="79"/>
      <c r="G1" s="79"/>
      <c r="H1" s="80" t="s">
        <v>2431</v>
      </c>
      <c r="I1" s="81"/>
      <c r="J1" s="81"/>
      <c r="K1" s="82"/>
      <c r="L1" s="225" t="s">
        <v>2432</v>
      </c>
      <c r="M1" s="81"/>
      <c r="N1" s="81"/>
      <c r="O1" s="81"/>
      <c r="P1" s="84"/>
      <c r="Q1" s="84"/>
      <c r="R1" s="85"/>
      <c r="S1" s="84"/>
      <c r="T1" s="81"/>
      <c r="U1" s="81"/>
      <c r="V1" s="84"/>
      <c r="W1" s="82"/>
      <c r="X1" s="80" t="s">
        <v>2433</v>
      </c>
      <c r="Y1" s="81"/>
      <c r="Z1" s="81"/>
      <c r="AA1" s="81"/>
      <c r="AB1" s="82"/>
      <c r="AC1" s="80" t="s">
        <v>2434</v>
      </c>
      <c r="AD1" s="81"/>
      <c r="AE1" s="81"/>
      <c r="AF1" s="81"/>
      <c r="AG1" s="81"/>
      <c r="AH1" s="81"/>
      <c r="AI1" s="81"/>
      <c r="AJ1" s="82"/>
      <c r="AK1" s="481" t="s">
        <v>1987</v>
      </c>
      <c r="AL1" s="81"/>
      <c r="AM1" s="81"/>
      <c r="AN1" s="81"/>
      <c r="AO1" s="81"/>
      <c r="AP1" s="81" t="s">
        <v>1988</v>
      </c>
      <c r="AQ1" s="81" t="s">
        <v>1991</v>
      </c>
      <c r="AR1" s="87" t="s">
        <v>1804</v>
      </c>
      <c r="AS1" s="88"/>
      <c r="AT1" s="88"/>
      <c r="AU1" s="89"/>
      <c r="AV1" s="382" t="s">
        <v>1952</v>
      </c>
      <c r="AW1" s="380"/>
      <c r="AX1" s="380"/>
      <c r="AY1" s="380"/>
      <c r="AZ1" s="380"/>
      <c r="BA1" s="379"/>
      <c r="BB1" s="225" t="s">
        <v>2422</v>
      </c>
      <c r="BC1" s="84"/>
      <c r="BD1" s="226"/>
    </row>
    <row r="2" spans="1:56" s="90" customFormat="1" ht="13.5">
      <c r="A2" s="76"/>
      <c r="B2" s="77"/>
      <c r="C2" s="78"/>
      <c r="D2" s="78"/>
      <c r="E2" s="79"/>
      <c r="F2" s="79"/>
      <c r="G2" s="79"/>
      <c r="H2" s="80" t="s">
        <v>1820</v>
      </c>
      <c r="I2" s="81" t="s">
        <v>1821</v>
      </c>
      <c r="J2" s="81" t="s">
        <v>1822</v>
      </c>
      <c r="K2" s="82" t="s">
        <v>1823</v>
      </c>
      <c r="L2" s="81" t="s">
        <v>1824</v>
      </c>
      <c r="M2" s="81" t="s">
        <v>1825</v>
      </c>
      <c r="N2" s="81" t="s">
        <v>1826</v>
      </c>
      <c r="O2" s="81" t="s">
        <v>1827</v>
      </c>
      <c r="P2" s="83" t="s">
        <v>1819</v>
      </c>
      <c r="Q2" s="84"/>
      <c r="R2" s="85"/>
      <c r="S2" s="84" t="s">
        <v>1828</v>
      </c>
      <c r="T2" s="81" t="s">
        <v>1829</v>
      </c>
      <c r="U2" s="81" t="s">
        <v>1830</v>
      </c>
      <c r="V2" s="84" t="s">
        <v>1831</v>
      </c>
      <c r="W2" s="82" t="s">
        <v>1832</v>
      </c>
      <c r="X2" s="81" t="s">
        <v>1833</v>
      </c>
      <c r="Y2" s="81" t="s">
        <v>1834</v>
      </c>
      <c r="Z2" s="81" t="s">
        <v>1835</v>
      </c>
      <c r="AA2" s="81" t="s">
        <v>1836</v>
      </c>
      <c r="AB2" s="82" t="s">
        <v>1837</v>
      </c>
      <c r="AC2" s="81" t="s">
        <v>1838</v>
      </c>
      <c r="AD2" s="81" t="s">
        <v>1839</v>
      </c>
      <c r="AE2" s="81" t="s">
        <v>1840</v>
      </c>
      <c r="AF2" s="81" t="s">
        <v>1841</v>
      </c>
      <c r="AG2" s="84" t="s">
        <v>1842</v>
      </c>
      <c r="AH2" s="81" t="s">
        <v>1843</v>
      </c>
      <c r="AI2" s="81" t="s">
        <v>1844</v>
      </c>
      <c r="AJ2" s="82" t="s">
        <v>1845</v>
      </c>
      <c r="AK2" s="81"/>
      <c r="AL2" s="81"/>
      <c r="AM2" s="81"/>
      <c r="AN2" s="81"/>
      <c r="AO2" s="81"/>
      <c r="AP2" s="81" t="s">
        <v>1989</v>
      </c>
      <c r="AQ2" s="81" t="s">
        <v>1989</v>
      </c>
      <c r="AR2" s="87"/>
      <c r="AS2" s="88"/>
      <c r="AT2" s="88"/>
      <c r="AU2" s="89"/>
      <c r="AV2" s="381"/>
      <c r="AW2" s="380"/>
      <c r="AX2" s="380"/>
      <c r="AY2" s="380"/>
      <c r="AZ2" s="380"/>
      <c r="BA2" s="379"/>
      <c r="BB2" s="225"/>
      <c r="BC2" s="84"/>
      <c r="BD2" s="226"/>
    </row>
    <row r="3" spans="1:56" s="103" customFormat="1" ht="33" customHeight="1">
      <c r="A3" s="91" t="s">
        <v>1805</v>
      </c>
      <c r="B3" s="92" t="s">
        <v>0</v>
      </c>
      <c r="C3" s="93" t="s">
        <v>1</v>
      </c>
      <c r="D3" s="93" t="s">
        <v>2417</v>
      </c>
      <c r="E3" s="94" t="s">
        <v>2414</v>
      </c>
      <c r="F3" s="94" t="s">
        <v>1806</v>
      </c>
      <c r="G3" s="94" t="s">
        <v>1807</v>
      </c>
      <c r="H3" s="91" t="s">
        <v>2391</v>
      </c>
      <c r="I3" s="96" t="s">
        <v>2392</v>
      </c>
      <c r="J3" s="96" t="s">
        <v>2393</v>
      </c>
      <c r="K3" s="97" t="s">
        <v>2394</v>
      </c>
      <c r="L3" s="96" t="s">
        <v>2396</v>
      </c>
      <c r="M3" s="96" t="s">
        <v>2398</v>
      </c>
      <c r="N3" s="96" t="s">
        <v>2399</v>
      </c>
      <c r="O3" s="96" t="s">
        <v>2397</v>
      </c>
      <c r="P3" s="96" t="s">
        <v>1818</v>
      </c>
      <c r="Q3" s="96" t="s">
        <v>1817</v>
      </c>
      <c r="R3" s="98" t="s">
        <v>2440</v>
      </c>
      <c r="S3" s="96" t="s">
        <v>2395</v>
      </c>
      <c r="T3" s="96" t="s">
        <v>2400</v>
      </c>
      <c r="U3" s="99" t="s">
        <v>2401</v>
      </c>
      <c r="V3" s="96" t="s">
        <v>2404</v>
      </c>
      <c r="W3" s="97" t="s">
        <v>2394</v>
      </c>
      <c r="X3" s="96" t="s">
        <v>2403</v>
      </c>
      <c r="Y3" s="96" t="s">
        <v>2392</v>
      </c>
      <c r="Z3" s="99" t="s">
        <v>2393</v>
      </c>
      <c r="AA3" s="96" t="s">
        <v>2402</v>
      </c>
      <c r="AB3" s="97" t="s">
        <v>2394</v>
      </c>
      <c r="AC3" s="96" t="s">
        <v>2396</v>
      </c>
      <c r="AD3" s="96" t="s">
        <v>2398</v>
      </c>
      <c r="AE3" s="96" t="s">
        <v>2399</v>
      </c>
      <c r="AF3" s="99" t="s">
        <v>2397</v>
      </c>
      <c r="AG3" s="96" t="s">
        <v>2395</v>
      </c>
      <c r="AH3" s="96" t="s">
        <v>2400</v>
      </c>
      <c r="AI3" s="96" t="s">
        <v>2401</v>
      </c>
      <c r="AJ3" s="97" t="s">
        <v>2394</v>
      </c>
      <c r="AK3" s="96" t="s">
        <v>1948</v>
      </c>
      <c r="AL3" s="189" t="s">
        <v>1949</v>
      </c>
      <c r="AM3" s="189" t="s">
        <v>1950</v>
      </c>
      <c r="AN3" s="189" t="s">
        <v>1954</v>
      </c>
      <c r="AO3" s="189" t="s">
        <v>1951</v>
      </c>
      <c r="AP3" s="189" t="s">
        <v>1990</v>
      </c>
      <c r="AQ3" s="189" t="s">
        <v>1992</v>
      </c>
      <c r="AR3" s="100" t="s">
        <v>1808</v>
      </c>
      <c r="AS3" s="101" t="s">
        <v>1809</v>
      </c>
      <c r="AT3" s="101" t="s">
        <v>1810</v>
      </c>
      <c r="AU3" s="102" t="s">
        <v>1811</v>
      </c>
      <c r="AV3" s="99" t="s">
        <v>1953</v>
      </c>
      <c r="AW3" s="96" t="s">
        <v>1948</v>
      </c>
      <c r="AX3" s="189" t="s">
        <v>1949</v>
      </c>
      <c r="AY3" s="189" t="s">
        <v>1950</v>
      </c>
      <c r="AZ3" s="189" t="s">
        <v>1954</v>
      </c>
      <c r="BA3" s="190" t="s">
        <v>1951</v>
      </c>
      <c r="BB3" s="227" t="s">
        <v>2423</v>
      </c>
      <c r="BC3" s="228" t="s">
        <v>2424</v>
      </c>
      <c r="BD3" s="229" t="s">
        <v>2425</v>
      </c>
    </row>
    <row r="4" spans="1:56" s="121" customFormat="1" ht="14.25" customHeight="1">
      <c r="A4" s="319" t="s">
        <v>2578</v>
      </c>
      <c r="B4" s="320" t="s">
        <v>51</v>
      </c>
      <c r="C4" s="321" t="s">
        <v>52</v>
      </c>
      <c r="D4" s="322" t="s">
        <v>2415</v>
      </c>
      <c r="E4" s="498" t="s">
        <v>53</v>
      </c>
      <c r="F4" s="499" t="s">
        <v>54</v>
      </c>
      <c r="G4" s="500" t="s">
        <v>2426</v>
      </c>
      <c r="H4" s="501"/>
      <c r="I4" s="324"/>
      <c r="J4" s="502"/>
      <c r="K4" s="323"/>
      <c r="L4" s="324"/>
      <c r="M4" s="324"/>
      <c r="N4" s="502"/>
      <c r="O4" s="324"/>
      <c r="P4" s="503"/>
      <c r="Q4" s="324"/>
      <c r="R4" s="504"/>
      <c r="S4" s="324"/>
      <c r="T4" s="502"/>
      <c r="U4" s="505"/>
      <c r="V4" s="324"/>
      <c r="W4" s="323"/>
      <c r="X4" s="324"/>
      <c r="Y4" s="324"/>
      <c r="Z4" s="505"/>
      <c r="AA4" s="324"/>
      <c r="AB4" s="323"/>
      <c r="AC4" s="324"/>
      <c r="AD4" s="324"/>
      <c r="AE4" s="502"/>
      <c r="AF4" s="506"/>
      <c r="AG4" s="324"/>
      <c r="AH4" s="502"/>
      <c r="AI4" s="502"/>
      <c r="AJ4" s="323">
        <f t="shared" ref="AJ4:AJ14" si="0">SUBTOTAL(9,AC4:AI4)</f>
        <v>0</v>
      </c>
      <c r="AK4" s="502"/>
      <c r="AL4" s="502"/>
      <c r="AM4" s="502"/>
      <c r="AN4" s="502"/>
      <c r="AO4" s="507"/>
      <c r="AP4" s="508"/>
      <c r="AQ4" s="508"/>
      <c r="AR4" s="509"/>
      <c r="AS4" s="510"/>
      <c r="AT4" s="510"/>
      <c r="AU4" s="511"/>
      <c r="AV4" s="512"/>
      <c r="AW4" s="502">
        <v>9633256584</v>
      </c>
      <c r="AX4" s="513">
        <v>0</v>
      </c>
      <c r="AY4" s="513">
        <v>9633256584</v>
      </c>
      <c r="AZ4" s="513">
        <v>0</v>
      </c>
      <c r="BA4" s="514">
        <f t="shared" ref="BA4:BA9" si="1">AX4/AW4</f>
        <v>0</v>
      </c>
      <c r="BB4" s="515"/>
      <c r="BC4" s="504"/>
      <c r="BD4" s="332"/>
    </row>
    <row r="5" spans="1:56" s="121" customFormat="1" ht="14.25" customHeight="1">
      <c r="A5" s="104" t="s">
        <v>2578</v>
      </c>
      <c r="B5" s="105" t="s">
        <v>75</v>
      </c>
      <c r="C5" s="106" t="s">
        <v>76</v>
      </c>
      <c r="D5" s="106" t="s">
        <v>2415</v>
      </c>
      <c r="E5" s="71" t="s">
        <v>77</v>
      </c>
      <c r="F5" s="71" t="s">
        <v>78</v>
      </c>
      <c r="G5" s="68" t="s">
        <v>2582</v>
      </c>
      <c r="H5" s="110"/>
      <c r="I5" s="112">
        <v>1024</v>
      </c>
      <c r="J5" s="112"/>
      <c r="K5" s="113">
        <f t="shared" ref="K5:K37" si="2">SUBTOTAL(9,H5:J5)</f>
        <v>1024</v>
      </c>
      <c r="L5" s="112"/>
      <c r="M5" s="111"/>
      <c r="N5" s="112"/>
      <c r="O5" s="112"/>
      <c r="P5" s="114">
        <v>2</v>
      </c>
      <c r="Q5" s="111">
        <v>8477</v>
      </c>
      <c r="R5" s="115">
        <v>3123</v>
      </c>
      <c r="S5" s="111">
        <f>ROUND(P5*Q5,0)+R5</f>
        <v>20077</v>
      </c>
      <c r="T5" s="112">
        <v>770</v>
      </c>
      <c r="U5" s="116">
        <v>373</v>
      </c>
      <c r="V5" s="111"/>
      <c r="W5" s="113">
        <f t="shared" ref="W5:W37" si="3">SUBTOTAL(9,L5:O5,S5:V5)</f>
        <v>21220</v>
      </c>
      <c r="X5" s="111"/>
      <c r="Y5" s="111"/>
      <c r="Z5" s="116"/>
      <c r="AA5" s="111"/>
      <c r="AB5" s="113">
        <f t="shared" ref="AB5:AB37" si="4">SUBTOTAL(9,X5:AA5)</f>
        <v>0</v>
      </c>
      <c r="AC5" s="111"/>
      <c r="AD5" s="111"/>
      <c r="AE5" s="112"/>
      <c r="AF5" s="117"/>
      <c r="AG5" s="111"/>
      <c r="AH5" s="112"/>
      <c r="AI5" s="112"/>
      <c r="AJ5" s="113">
        <f t="shared" si="0"/>
        <v>0</v>
      </c>
      <c r="AK5" s="112">
        <f t="shared" ref="AK5:AN20" si="5">AW5/1000</f>
        <v>31661.760758283028</v>
      </c>
      <c r="AL5" s="112">
        <f t="shared" si="5"/>
        <v>9610.253036649714</v>
      </c>
      <c r="AM5" s="112">
        <f t="shared" si="5"/>
        <v>22051.507721633316</v>
      </c>
      <c r="AN5" s="112">
        <f t="shared" si="5"/>
        <v>1148.5518250701143</v>
      </c>
      <c r="AO5" s="192">
        <f t="shared" ref="AO5:AO68" si="6">BA5</f>
        <v>0.30352869854641856</v>
      </c>
      <c r="AP5" s="193">
        <f t="shared" ref="AP5:AP68" si="7">W5+AN5</f>
        <v>22368.551825070113</v>
      </c>
      <c r="AQ5" s="193">
        <f>K5-AP5</f>
        <v>-21344.551825070113</v>
      </c>
      <c r="AR5" s="118" t="s">
        <v>2613</v>
      </c>
      <c r="AS5" s="119" t="s">
        <v>2616</v>
      </c>
      <c r="AT5" s="119"/>
      <c r="AU5" s="120"/>
      <c r="AV5" s="161"/>
      <c r="AW5" s="112">
        <v>31661760.758283027</v>
      </c>
      <c r="AX5" s="162">
        <v>9610253.0366497133</v>
      </c>
      <c r="AY5" s="162">
        <v>22051507.721633315</v>
      </c>
      <c r="AZ5" s="162">
        <v>1148551.8250701143</v>
      </c>
      <c r="BA5" s="196">
        <f t="shared" si="1"/>
        <v>0.30352869854641856</v>
      </c>
      <c r="BB5" s="210">
        <v>50634.241245136189</v>
      </c>
      <c r="BC5" s="115">
        <v>13464.332036316471</v>
      </c>
      <c r="BD5" s="236">
        <v>0</v>
      </c>
    </row>
    <row r="6" spans="1:56" s="121" customFormat="1" ht="14.25" customHeight="1">
      <c r="A6" s="104" t="s">
        <v>2578</v>
      </c>
      <c r="B6" s="105" t="s">
        <v>88</v>
      </c>
      <c r="C6" s="106" t="s">
        <v>89</v>
      </c>
      <c r="D6" s="106" t="s">
        <v>2415</v>
      </c>
      <c r="E6" s="71" t="s">
        <v>90</v>
      </c>
      <c r="F6" s="71" t="s">
        <v>78</v>
      </c>
      <c r="G6" s="68" t="s">
        <v>2582</v>
      </c>
      <c r="H6" s="110"/>
      <c r="I6" s="112">
        <v>2923</v>
      </c>
      <c r="J6" s="112"/>
      <c r="K6" s="113">
        <f t="shared" si="2"/>
        <v>2923</v>
      </c>
      <c r="L6" s="112"/>
      <c r="M6" s="112"/>
      <c r="N6" s="112"/>
      <c r="O6" s="112"/>
      <c r="P6" s="114">
        <v>2</v>
      </c>
      <c r="Q6" s="111">
        <v>8477</v>
      </c>
      <c r="R6" s="115">
        <v>4755</v>
      </c>
      <c r="S6" s="111">
        <f t="shared" ref="S6:S68" si="8">ROUND(P6*Q6,0)+R6</f>
        <v>21709</v>
      </c>
      <c r="T6" s="112">
        <v>2636</v>
      </c>
      <c r="U6" s="116">
        <v>63</v>
      </c>
      <c r="V6" s="111"/>
      <c r="W6" s="113">
        <f t="shared" si="3"/>
        <v>24408</v>
      </c>
      <c r="X6" s="111"/>
      <c r="Y6" s="111"/>
      <c r="Z6" s="116"/>
      <c r="AA6" s="111"/>
      <c r="AB6" s="113">
        <f t="shared" si="4"/>
        <v>0</v>
      </c>
      <c r="AC6" s="111"/>
      <c r="AD6" s="111"/>
      <c r="AE6" s="112"/>
      <c r="AF6" s="117"/>
      <c r="AG6" s="111"/>
      <c r="AH6" s="112"/>
      <c r="AI6" s="112"/>
      <c r="AJ6" s="113">
        <f t="shared" si="0"/>
        <v>0</v>
      </c>
      <c r="AK6" s="112">
        <f t="shared" si="5"/>
        <v>5310.6810005198849</v>
      </c>
      <c r="AL6" s="112">
        <f t="shared" si="5"/>
        <v>3104.9037456211267</v>
      </c>
      <c r="AM6" s="112">
        <f t="shared" si="5"/>
        <v>2205.7772548987587</v>
      </c>
      <c r="AN6" s="112">
        <f t="shared" si="5"/>
        <v>77.06229955307478</v>
      </c>
      <c r="AO6" s="192">
        <f t="shared" si="6"/>
        <v>0.58465265477575745</v>
      </c>
      <c r="AP6" s="193">
        <f t="shared" si="7"/>
        <v>24485.062299553076</v>
      </c>
      <c r="AQ6" s="193">
        <f t="shared" ref="AQ6:AQ69" si="9">K6-AP6</f>
        <v>-21562.062299553076</v>
      </c>
      <c r="AR6" s="118" t="s">
        <v>2613</v>
      </c>
      <c r="AS6" s="119" t="s">
        <v>2616</v>
      </c>
      <c r="AT6" s="119"/>
      <c r="AU6" s="120"/>
      <c r="AV6" s="161"/>
      <c r="AW6" s="112">
        <v>5310681.0005198848</v>
      </c>
      <c r="AX6" s="162">
        <v>3104903.7456211266</v>
      </c>
      <c r="AY6" s="162">
        <v>2205777.2548987586</v>
      </c>
      <c r="AZ6" s="162">
        <v>77062.299553074787</v>
      </c>
      <c r="BA6" s="196">
        <f t="shared" si="1"/>
        <v>0.58465265477575745</v>
      </c>
      <c r="BB6" s="210">
        <v>0</v>
      </c>
      <c r="BC6" s="115">
        <v>0</v>
      </c>
      <c r="BD6" s="236">
        <v>0</v>
      </c>
    </row>
    <row r="7" spans="1:56" s="121" customFormat="1" ht="14.25" customHeight="1">
      <c r="A7" s="104" t="s">
        <v>2577</v>
      </c>
      <c r="B7" s="105" t="s">
        <v>96</v>
      </c>
      <c r="C7" s="106" t="s">
        <v>97</v>
      </c>
      <c r="D7" s="106" t="s">
        <v>2415</v>
      </c>
      <c r="E7" s="71" t="s">
        <v>98</v>
      </c>
      <c r="F7" s="71" t="s">
        <v>78</v>
      </c>
      <c r="G7" s="68" t="s">
        <v>2582</v>
      </c>
      <c r="H7" s="110"/>
      <c r="I7" s="112">
        <v>2060</v>
      </c>
      <c r="J7" s="112"/>
      <c r="K7" s="113">
        <f t="shared" si="2"/>
        <v>2060</v>
      </c>
      <c r="L7" s="111">
        <v>209</v>
      </c>
      <c r="M7" s="111">
        <v>141</v>
      </c>
      <c r="N7" s="112"/>
      <c r="O7" s="111"/>
      <c r="P7" s="114">
        <v>2</v>
      </c>
      <c r="Q7" s="111">
        <v>8477</v>
      </c>
      <c r="R7" s="115">
        <v>3924</v>
      </c>
      <c r="S7" s="111">
        <f t="shared" si="8"/>
        <v>20878</v>
      </c>
      <c r="T7" s="112">
        <v>1708</v>
      </c>
      <c r="U7" s="116">
        <v>891</v>
      </c>
      <c r="V7" s="111"/>
      <c r="W7" s="113">
        <f t="shared" si="3"/>
        <v>23827</v>
      </c>
      <c r="X7" s="111"/>
      <c r="Y7" s="111"/>
      <c r="Z7" s="116"/>
      <c r="AA7" s="111"/>
      <c r="AB7" s="113">
        <f t="shared" si="4"/>
        <v>0</v>
      </c>
      <c r="AC7" s="111"/>
      <c r="AD7" s="111"/>
      <c r="AE7" s="112"/>
      <c r="AF7" s="117"/>
      <c r="AG7" s="111"/>
      <c r="AH7" s="112"/>
      <c r="AI7" s="112"/>
      <c r="AJ7" s="113">
        <f t="shared" si="0"/>
        <v>0</v>
      </c>
      <c r="AK7" s="112">
        <f t="shared" si="5"/>
        <v>5586</v>
      </c>
      <c r="AL7" s="112">
        <f t="shared" si="5"/>
        <v>1340.64</v>
      </c>
      <c r="AM7" s="112">
        <f t="shared" si="5"/>
        <v>4245.3599999999997</v>
      </c>
      <c r="AN7" s="112">
        <f t="shared" si="5"/>
        <v>111.72</v>
      </c>
      <c r="AO7" s="192">
        <f t="shared" si="6"/>
        <v>0.24</v>
      </c>
      <c r="AP7" s="193">
        <f t="shared" si="7"/>
        <v>23938.720000000001</v>
      </c>
      <c r="AQ7" s="193">
        <f t="shared" si="9"/>
        <v>-21878.720000000001</v>
      </c>
      <c r="AR7" s="118" t="s">
        <v>2613</v>
      </c>
      <c r="AS7" s="119" t="s">
        <v>2615</v>
      </c>
      <c r="AT7" s="119"/>
      <c r="AU7" s="120"/>
      <c r="AV7" s="161"/>
      <c r="AW7" s="112">
        <v>5586000</v>
      </c>
      <c r="AX7" s="162">
        <v>1340640</v>
      </c>
      <c r="AY7" s="162">
        <v>4245360</v>
      </c>
      <c r="AZ7" s="162">
        <v>111720</v>
      </c>
      <c r="BA7" s="196">
        <f t="shared" si="1"/>
        <v>0.24</v>
      </c>
      <c r="BB7" s="210">
        <v>28721.153846153848</v>
      </c>
      <c r="BC7" s="115">
        <v>0</v>
      </c>
      <c r="BD7" s="236">
        <v>0</v>
      </c>
    </row>
    <row r="8" spans="1:56" s="121" customFormat="1" ht="14.25" customHeight="1">
      <c r="A8" s="104" t="s">
        <v>2577</v>
      </c>
      <c r="B8" s="105" t="s">
        <v>102</v>
      </c>
      <c r="C8" s="106" t="s">
        <v>103</v>
      </c>
      <c r="D8" s="106" t="s">
        <v>2415</v>
      </c>
      <c r="E8" s="71" t="s">
        <v>104</v>
      </c>
      <c r="F8" s="71" t="s">
        <v>78</v>
      </c>
      <c r="G8" s="68" t="s">
        <v>2582</v>
      </c>
      <c r="H8" s="110"/>
      <c r="I8" s="112">
        <v>2594</v>
      </c>
      <c r="J8" s="112"/>
      <c r="K8" s="113">
        <f t="shared" si="2"/>
        <v>2594</v>
      </c>
      <c r="L8" s="112"/>
      <c r="M8" s="111">
        <v>172</v>
      </c>
      <c r="N8" s="112"/>
      <c r="O8" s="112"/>
      <c r="P8" s="114">
        <v>1</v>
      </c>
      <c r="Q8" s="111">
        <v>8477</v>
      </c>
      <c r="R8" s="115">
        <v>7022</v>
      </c>
      <c r="S8" s="111">
        <f t="shared" si="8"/>
        <v>15499</v>
      </c>
      <c r="T8" s="112">
        <v>2075</v>
      </c>
      <c r="U8" s="116"/>
      <c r="V8" s="111"/>
      <c r="W8" s="113">
        <f t="shared" si="3"/>
        <v>17746</v>
      </c>
      <c r="X8" s="111"/>
      <c r="Y8" s="111"/>
      <c r="Z8" s="116"/>
      <c r="AA8" s="111"/>
      <c r="AB8" s="113">
        <f t="shared" si="4"/>
        <v>0</v>
      </c>
      <c r="AC8" s="111"/>
      <c r="AD8" s="111"/>
      <c r="AE8" s="112"/>
      <c r="AF8" s="117"/>
      <c r="AG8" s="111"/>
      <c r="AH8" s="112"/>
      <c r="AI8" s="112"/>
      <c r="AJ8" s="113">
        <f t="shared" si="0"/>
        <v>0</v>
      </c>
      <c r="AK8" s="112">
        <f t="shared" si="5"/>
        <v>5794.1324177556662</v>
      </c>
      <c r="AL8" s="112">
        <f t="shared" si="5"/>
        <v>5138.8391637178984</v>
      </c>
      <c r="AM8" s="112">
        <f t="shared" si="5"/>
        <v>655.2932540377675</v>
      </c>
      <c r="AN8" s="112">
        <f t="shared" si="5"/>
        <v>15.103622604491468</v>
      </c>
      <c r="AO8" s="192">
        <f t="shared" si="6"/>
        <v>0.88690399065964165</v>
      </c>
      <c r="AP8" s="193">
        <f t="shared" si="7"/>
        <v>17761.103622604493</v>
      </c>
      <c r="AQ8" s="193">
        <f t="shared" si="9"/>
        <v>-15167.103622604493</v>
      </c>
      <c r="AR8" s="118" t="s">
        <v>2613</v>
      </c>
      <c r="AS8" s="119" t="s">
        <v>2614</v>
      </c>
      <c r="AT8" s="119"/>
      <c r="AU8" s="120"/>
      <c r="AV8" s="161"/>
      <c r="AW8" s="112">
        <v>5794132.4177556662</v>
      </c>
      <c r="AX8" s="162">
        <v>5138839.1637178985</v>
      </c>
      <c r="AY8" s="162">
        <v>655293.25403776753</v>
      </c>
      <c r="AZ8" s="162">
        <v>15103.622604491467</v>
      </c>
      <c r="BA8" s="196">
        <f t="shared" si="1"/>
        <v>0.88690399065964165</v>
      </c>
      <c r="BB8" s="210">
        <v>21941</v>
      </c>
      <c r="BC8" s="115">
        <v>0</v>
      </c>
      <c r="BD8" s="236">
        <v>14.3</v>
      </c>
    </row>
    <row r="9" spans="1:56" s="121" customFormat="1" ht="14.25" customHeight="1">
      <c r="A9" s="104" t="s">
        <v>2577</v>
      </c>
      <c r="B9" s="105" t="s">
        <v>113</v>
      </c>
      <c r="C9" s="106" t="s">
        <v>114</v>
      </c>
      <c r="D9" s="106" t="s">
        <v>2415</v>
      </c>
      <c r="E9" s="71" t="s">
        <v>115</v>
      </c>
      <c r="F9" s="71" t="s">
        <v>78</v>
      </c>
      <c r="G9" s="68" t="s">
        <v>2582</v>
      </c>
      <c r="H9" s="110"/>
      <c r="I9" s="112">
        <v>1724</v>
      </c>
      <c r="J9" s="112"/>
      <c r="K9" s="113">
        <f t="shared" si="2"/>
        <v>1724</v>
      </c>
      <c r="L9" s="112"/>
      <c r="M9" s="111">
        <v>271</v>
      </c>
      <c r="N9" s="112"/>
      <c r="O9" s="112">
        <v>26</v>
      </c>
      <c r="P9" s="114">
        <v>1</v>
      </c>
      <c r="Q9" s="111">
        <v>8477</v>
      </c>
      <c r="R9" s="115">
        <v>6177</v>
      </c>
      <c r="S9" s="111">
        <f t="shared" si="8"/>
        <v>14654</v>
      </c>
      <c r="T9" s="112">
        <v>1448</v>
      </c>
      <c r="U9" s="116"/>
      <c r="V9" s="111"/>
      <c r="W9" s="113">
        <f t="shared" si="3"/>
        <v>16399</v>
      </c>
      <c r="X9" s="111"/>
      <c r="Y9" s="111"/>
      <c r="Z9" s="116"/>
      <c r="AA9" s="111"/>
      <c r="AB9" s="113">
        <f t="shared" si="4"/>
        <v>0</v>
      </c>
      <c r="AC9" s="111"/>
      <c r="AD9" s="111"/>
      <c r="AE9" s="112"/>
      <c r="AF9" s="117"/>
      <c r="AG9" s="111"/>
      <c r="AH9" s="112"/>
      <c r="AI9" s="112"/>
      <c r="AJ9" s="113">
        <f t="shared" si="0"/>
        <v>0</v>
      </c>
      <c r="AK9" s="112">
        <f t="shared" si="5"/>
        <v>6250.5530611588329</v>
      </c>
      <c r="AL9" s="112">
        <f t="shared" si="5"/>
        <v>5411.2746999967831</v>
      </c>
      <c r="AM9" s="112">
        <f t="shared" si="5"/>
        <v>839.27836116205003</v>
      </c>
      <c r="AN9" s="112">
        <f t="shared" si="5"/>
        <v>149.72398738860474</v>
      </c>
      <c r="AO9" s="192">
        <f t="shared" si="6"/>
        <v>0.86572734397259077</v>
      </c>
      <c r="AP9" s="193">
        <f t="shared" si="7"/>
        <v>16548.723987388606</v>
      </c>
      <c r="AQ9" s="193">
        <f t="shared" si="9"/>
        <v>-14824.723987388606</v>
      </c>
      <c r="AR9" s="118" t="s">
        <v>2613</v>
      </c>
      <c r="AS9" s="119" t="s">
        <v>2612</v>
      </c>
      <c r="AT9" s="119"/>
      <c r="AU9" s="120"/>
      <c r="AV9" s="161"/>
      <c r="AW9" s="112">
        <v>6250553.0611588331</v>
      </c>
      <c r="AX9" s="162">
        <v>5411274.6999967834</v>
      </c>
      <c r="AY9" s="162">
        <v>839278.36116205005</v>
      </c>
      <c r="AZ9" s="162">
        <v>149723.98738860473</v>
      </c>
      <c r="BA9" s="196">
        <f t="shared" si="1"/>
        <v>0.86572734397259077</v>
      </c>
      <c r="BB9" s="210">
        <v>12075</v>
      </c>
      <c r="BC9" s="115">
        <v>50</v>
      </c>
      <c r="BD9" s="236">
        <v>0</v>
      </c>
    </row>
    <row r="10" spans="1:56" s="121" customFormat="1" ht="14.25" customHeight="1">
      <c r="A10" s="104" t="s">
        <v>2577</v>
      </c>
      <c r="B10" s="105" t="s">
        <v>122</v>
      </c>
      <c r="C10" s="106" t="s">
        <v>123</v>
      </c>
      <c r="D10" s="106" t="s">
        <v>2606</v>
      </c>
      <c r="E10" s="71" t="s">
        <v>124</v>
      </c>
      <c r="F10" s="71" t="s">
        <v>78</v>
      </c>
      <c r="G10" s="68" t="s">
        <v>2611</v>
      </c>
      <c r="H10" s="110"/>
      <c r="I10" s="111"/>
      <c r="J10" s="112"/>
      <c r="K10" s="113">
        <f t="shared" si="2"/>
        <v>0</v>
      </c>
      <c r="L10" s="112"/>
      <c r="M10" s="111"/>
      <c r="N10" s="112"/>
      <c r="O10" s="112"/>
      <c r="P10" s="114">
        <v>6</v>
      </c>
      <c r="Q10" s="111">
        <v>8477</v>
      </c>
      <c r="R10" s="115">
        <v>13931</v>
      </c>
      <c r="S10" s="111">
        <f t="shared" si="8"/>
        <v>64793</v>
      </c>
      <c r="T10" s="112">
        <v>8012</v>
      </c>
      <c r="U10" s="116">
        <v>5234</v>
      </c>
      <c r="V10" s="111"/>
      <c r="W10" s="113">
        <f t="shared" si="3"/>
        <v>78039</v>
      </c>
      <c r="X10" s="111"/>
      <c r="Y10" s="111"/>
      <c r="Z10" s="116"/>
      <c r="AA10" s="111"/>
      <c r="AB10" s="113">
        <f t="shared" si="4"/>
        <v>0</v>
      </c>
      <c r="AC10" s="111"/>
      <c r="AD10" s="111"/>
      <c r="AE10" s="112"/>
      <c r="AF10" s="117"/>
      <c r="AG10" s="111"/>
      <c r="AH10" s="112"/>
      <c r="AI10" s="112"/>
      <c r="AJ10" s="113">
        <f t="shared" si="0"/>
        <v>0</v>
      </c>
      <c r="AK10" s="112">
        <f t="shared" si="5"/>
        <v>166390.70477956321</v>
      </c>
      <c r="AL10" s="112">
        <f t="shared" si="5"/>
        <v>65676.458434281973</v>
      </c>
      <c r="AM10" s="112">
        <f t="shared" si="5"/>
        <v>100714.24634528127</v>
      </c>
      <c r="AN10" s="112">
        <f t="shared" si="5"/>
        <v>0</v>
      </c>
      <c r="AO10" s="192">
        <f t="shared" si="6"/>
        <v>0</v>
      </c>
      <c r="AP10" s="193">
        <f t="shared" si="7"/>
        <v>78039</v>
      </c>
      <c r="AQ10" s="193">
        <f t="shared" si="9"/>
        <v>-78039</v>
      </c>
      <c r="AR10" s="118"/>
      <c r="AS10" s="119"/>
      <c r="AT10" s="119"/>
      <c r="AU10" s="120"/>
      <c r="AV10" s="161"/>
      <c r="AW10" s="112">
        <v>166390704.77956322</v>
      </c>
      <c r="AX10" s="162">
        <v>65676458.434281968</v>
      </c>
      <c r="AY10" s="162">
        <v>100714246.34528127</v>
      </c>
      <c r="AZ10" s="162"/>
      <c r="BA10" s="196"/>
      <c r="BB10" s="210">
        <v>29727</v>
      </c>
      <c r="BC10" s="115">
        <v>0</v>
      </c>
      <c r="BD10" s="236">
        <v>0</v>
      </c>
    </row>
    <row r="11" spans="1:56" s="121" customFormat="1" ht="14.25" customHeight="1">
      <c r="A11" s="319" t="s">
        <v>2577</v>
      </c>
      <c r="B11" s="320" t="s">
        <v>136</v>
      </c>
      <c r="C11" s="321" t="s">
        <v>137</v>
      </c>
      <c r="D11" s="321" t="s">
        <v>2415</v>
      </c>
      <c r="E11" s="499" t="s">
        <v>138</v>
      </c>
      <c r="F11" s="499" t="s">
        <v>139</v>
      </c>
      <c r="G11" s="500" t="s">
        <v>140</v>
      </c>
      <c r="H11" s="501"/>
      <c r="I11" s="324"/>
      <c r="J11" s="502"/>
      <c r="K11" s="323"/>
      <c r="L11" s="324"/>
      <c r="M11" s="324"/>
      <c r="N11" s="502"/>
      <c r="O11" s="324"/>
      <c r="P11" s="503"/>
      <c r="Q11" s="324"/>
      <c r="R11" s="504"/>
      <c r="S11" s="324"/>
      <c r="T11" s="502"/>
      <c r="U11" s="505"/>
      <c r="V11" s="324"/>
      <c r="W11" s="323"/>
      <c r="X11" s="324"/>
      <c r="Y11" s="324"/>
      <c r="Z11" s="505"/>
      <c r="AA11" s="324"/>
      <c r="AB11" s="323"/>
      <c r="AC11" s="324"/>
      <c r="AD11" s="324"/>
      <c r="AE11" s="502"/>
      <c r="AF11" s="506"/>
      <c r="AG11" s="324"/>
      <c r="AH11" s="502"/>
      <c r="AI11" s="502"/>
      <c r="AJ11" s="323"/>
      <c r="AK11" s="502"/>
      <c r="AL11" s="502"/>
      <c r="AM11" s="502"/>
      <c r="AN11" s="502"/>
      <c r="AO11" s="507"/>
      <c r="AP11" s="508"/>
      <c r="AQ11" s="508"/>
      <c r="AR11" s="509"/>
      <c r="AS11" s="510"/>
      <c r="AT11" s="510"/>
      <c r="AU11" s="511"/>
      <c r="AV11" s="512"/>
      <c r="AW11" s="502"/>
      <c r="AX11" s="513"/>
      <c r="AY11" s="513"/>
      <c r="AZ11" s="513"/>
      <c r="BA11" s="514"/>
      <c r="BB11" s="515"/>
      <c r="BC11" s="504"/>
      <c r="BD11" s="332"/>
    </row>
    <row r="12" spans="1:56" s="121" customFormat="1" ht="14.25" customHeight="1">
      <c r="A12" s="104" t="s">
        <v>2577</v>
      </c>
      <c r="B12" s="105" t="s">
        <v>153</v>
      </c>
      <c r="C12" s="106" t="s">
        <v>2289</v>
      </c>
      <c r="D12" s="106" t="s">
        <v>2415</v>
      </c>
      <c r="E12" s="71" t="s">
        <v>2163</v>
      </c>
      <c r="F12" s="71" t="s">
        <v>170</v>
      </c>
      <c r="G12" s="68" t="s">
        <v>2157</v>
      </c>
      <c r="H12" s="110"/>
      <c r="I12" s="111"/>
      <c r="J12" s="112"/>
      <c r="K12" s="113">
        <f t="shared" si="2"/>
        <v>0</v>
      </c>
      <c r="L12" s="111"/>
      <c r="M12" s="111"/>
      <c r="N12" s="112"/>
      <c r="O12" s="111"/>
      <c r="P12" s="114"/>
      <c r="Q12" s="111">
        <v>8477</v>
      </c>
      <c r="R12" s="115"/>
      <c r="S12" s="111">
        <f t="shared" si="8"/>
        <v>0</v>
      </c>
      <c r="T12" s="112"/>
      <c r="U12" s="116"/>
      <c r="V12" s="111"/>
      <c r="W12" s="113">
        <f t="shared" si="3"/>
        <v>0</v>
      </c>
      <c r="X12" s="111"/>
      <c r="Y12" s="111"/>
      <c r="Z12" s="116"/>
      <c r="AA12" s="111"/>
      <c r="AB12" s="113">
        <f t="shared" si="4"/>
        <v>0</v>
      </c>
      <c r="AC12" s="111"/>
      <c r="AD12" s="111"/>
      <c r="AE12" s="112"/>
      <c r="AF12" s="117"/>
      <c r="AG12" s="111"/>
      <c r="AH12" s="112"/>
      <c r="AI12" s="112"/>
      <c r="AJ12" s="113">
        <f t="shared" si="0"/>
        <v>0</v>
      </c>
      <c r="AK12" s="112">
        <f t="shared" ref="AK12:AN75" si="10">AW12/1000</f>
        <v>429007.22899999999</v>
      </c>
      <c r="AL12" s="112">
        <f t="shared" si="5"/>
        <v>25599.973999999998</v>
      </c>
      <c r="AM12" s="112">
        <f t="shared" si="5"/>
        <v>403407.255</v>
      </c>
      <c r="AN12" s="112">
        <f t="shared" si="5"/>
        <v>11386.83</v>
      </c>
      <c r="AO12" s="192">
        <f t="shared" si="6"/>
        <v>5.9672593535714059E-2</v>
      </c>
      <c r="AP12" s="193">
        <f t="shared" si="7"/>
        <v>11386.83</v>
      </c>
      <c r="AQ12" s="193">
        <f t="shared" si="9"/>
        <v>-11386.83</v>
      </c>
      <c r="AR12" s="118"/>
      <c r="AS12" s="119"/>
      <c r="AT12" s="119"/>
      <c r="AU12" s="120"/>
      <c r="AV12" s="161"/>
      <c r="AW12" s="112">
        <v>429007229</v>
      </c>
      <c r="AX12" s="162">
        <v>25599974</v>
      </c>
      <c r="AY12" s="162">
        <v>403407255</v>
      </c>
      <c r="AZ12" s="162">
        <v>11386830</v>
      </c>
      <c r="BA12" s="196">
        <f>AX12/AW12</f>
        <v>5.9672593535714059E-2</v>
      </c>
      <c r="BB12" s="210">
        <v>34253</v>
      </c>
      <c r="BC12" s="115">
        <v>6444</v>
      </c>
      <c r="BD12" s="236">
        <v>0</v>
      </c>
    </row>
    <row r="13" spans="1:56" s="121" customFormat="1" ht="14.25" customHeight="1">
      <c r="A13" s="104" t="s">
        <v>2577</v>
      </c>
      <c r="B13" s="105" t="s">
        <v>167</v>
      </c>
      <c r="C13" s="106" t="s">
        <v>2291</v>
      </c>
      <c r="D13" s="106" t="s">
        <v>2415</v>
      </c>
      <c r="E13" s="71" t="s">
        <v>2428</v>
      </c>
      <c r="F13" s="71" t="s">
        <v>78</v>
      </c>
      <c r="G13" s="69" t="s">
        <v>2523</v>
      </c>
      <c r="H13" s="110">
        <v>169</v>
      </c>
      <c r="I13" s="111"/>
      <c r="J13" s="112"/>
      <c r="K13" s="113">
        <v>169</v>
      </c>
      <c r="L13" s="111"/>
      <c r="M13" s="111"/>
      <c r="N13" s="111"/>
      <c r="O13" s="111"/>
      <c r="P13" s="122"/>
      <c r="Q13" s="111">
        <v>8477</v>
      </c>
      <c r="R13" s="111"/>
      <c r="S13" s="111">
        <f t="shared" si="8"/>
        <v>0</v>
      </c>
      <c r="T13" s="111"/>
      <c r="U13" s="117"/>
      <c r="V13" s="111">
        <v>39323</v>
      </c>
      <c r="W13" s="113">
        <v>39323</v>
      </c>
      <c r="X13" s="111"/>
      <c r="Y13" s="111"/>
      <c r="Z13" s="116">
        <v>27</v>
      </c>
      <c r="AA13" s="111">
        <v>39323</v>
      </c>
      <c r="AB13" s="113">
        <v>39350</v>
      </c>
      <c r="AC13" s="111">
        <v>1568</v>
      </c>
      <c r="AD13" s="111">
        <v>2135</v>
      </c>
      <c r="AE13" s="112"/>
      <c r="AF13" s="117"/>
      <c r="AG13" s="111">
        <v>23560</v>
      </c>
      <c r="AH13" s="112">
        <v>5602</v>
      </c>
      <c r="AI13" s="112">
        <v>5785</v>
      </c>
      <c r="AJ13" s="113">
        <v>38650</v>
      </c>
      <c r="AK13" s="112">
        <f t="shared" si="10"/>
        <v>390077.478723159</v>
      </c>
      <c r="AL13" s="112">
        <f t="shared" si="5"/>
        <v>159838.90023353416</v>
      </c>
      <c r="AM13" s="112">
        <f t="shared" si="5"/>
        <v>230238.57848962484</v>
      </c>
      <c r="AN13" s="112">
        <f t="shared" si="5"/>
        <v>0</v>
      </c>
      <c r="AO13" s="192">
        <f t="shared" si="6"/>
        <v>0</v>
      </c>
      <c r="AP13" s="193">
        <f t="shared" si="7"/>
        <v>39323</v>
      </c>
      <c r="AQ13" s="193">
        <f t="shared" si="9"/>
        <v>-39154</v>
      </c>
      <c r="AR13" s="118" t="s">
        <v>2610</v>
      </c>
      <c r="AS13" s="119" t="s">
        <v>2243</v>
      </c>
      <c r="AT13" s="119" t="s">
        <v>2487</v>
      </c>
      <c r="AU13" s="120" t="s">
        <v>2245</v>
      </c>
      <c r="AV13" s="161"/>
      <c r="AW13" s="112">
        <v>390077478.72315902</v>
      </c>
      <c r="AX13" s="162">
        <v>159838900.23353416</v>
      </c>
      <c r="AY13" s="162">
        <v>230238578.48962483</v>
      </c>
      <c r="AZ13" s="162"/>
      <c r="BA13" s="196"/>
      <c r="BB13" s="210">
        <v>19158</v>
      </c>
      <c r="BC13" s="115">
        <v>0</v>
      </c>
      <c r="BD13" s="236">
        <v>0</v>
      </c>
    </row>
    <row r="14" spans="1:56" s="121" customFormat="1" ht="14.25" customHeight="1">
      <c r="A14" s="104" t="s">
        <v>2577</v>
      </c>
      <c r="B14" s="105" t="s">
        <v>177</v>
      </c>
      <c r="C14" s="106" t="s">
        <v>154</v>
      </c>
      <c r="D14" s="106" t="s">
        <v>2415</v>
      </c>
      <c r="E14" s="71" t="s">
        <v>155</v>
      </c>
      <c r="F14" s="71" t="s">
        <v>78</v>
      </c>
      <c r="G14" s="68" t="s">
        <v>156</v>
      </c>
      <c r="H14" s="110"/>
      <c r="I14" s="111"/>
      <c r="J14" s="112"/>
      <c r="K14" s="113">
        <f t="shared" si="2"/>
        <v>0</v>
      </c>
      <c r="L14" s="111"/>
      <c r="M14" s="111"/>
      <c r="N14" s="112"/>
      <c r="O14" s="111"/>
      <c r="P14" s="114"/>
      <c r="Q14" s="111">
        <v>8477</v>
      </c>
      <c r="R14" s="115"/>
      <c r="S14" s="111">
        <f t="shared" si="8"/>
        <v>0</v>
      </c>
      <c r="T14" s="112"/>
      <c r="U14" s="116"/>
      <c r="V14" s="112"/>
      <c r="W14" s="113">
        <f t="shared" si="3"/>
        <v>0</v>
      </c>
      <c r="X14" s="111"/>
      <c r="Y14" s="111"/>
      <c r="Z14" s="116"/>
      <c r="AA14" s="111"/>
      <c r="AB14" s="113">
        <f t="shared" si="4"/>
        <v>0</v>
      </c>
      <c r="AC14" s="111"/>
      <c r="AD14" s="111"/>
      <c r="AE14" s="112"/>
      <c r="AF14" s="117"/>
      <c r="AG14" s="111"/>
      <c r="AH14" s="112"/>
      <c r="AI14" s="112"/>
      <c r="AJ14" s="113">
        <f t="shared" si="0"/>
        <v>0</v>
      </c>
      <c r="AK14" s="112">
        <f t="shared" si="10"/>
        <v>508476.06</v>
      </c>
      <c r="AL14" s="112">
        <f t="shared" si="5"/>
        <v>364245.03700000001</v>
      </c>
      <c r="AM14" s="112">
        <f t="shared" si="5"/>
        <v>144231.02299999999</v>
      </c>
      <c r="AN14" s="112">
        <f t="shared" si="5"/>
        <v>10984.317999999999</v>
      </c>
      <c r="AO14" s="192">
        <f t="shared" si="6"/>
        <v>0.71634648246763077</v>
      </c>
      <c r="AP14" s="193">
        <f t="shared" si="7"/>
        <v>10984.317999999999</v>
      </c>
      <c r="AQ14" s="193">
        <f t="shared" si="9"/>
        <v>-10984.317999999999</v>
      </c>
      <c r="AR14" s="118"/>
      <c r="AS14" s="119"/>
      <c r="AT14" s="119"/>
      <c r="AU14" s="120"/>
      <c r="AV14" s="161"/>
      <c r="AW14" s="112">
        <v>508476060</v>
      </c>
      <c r="AX14" s="162">
        <v>364245037</v>
      </c>
      <c r="AY14" s="162">
        <v>144231023</v>
      </c>
      <c r="AZ14" s="162">
        <v>10984318</v>
      </c>
      <c r="BA14" s="196">
        <f>AX14/AW14</f>
        <v>0.71634648246763077</v>
      </c>
      <c r="BB14" s="210">
        <v>75599</v>
      </c>
      <c r="BC14" s="115">
        <v>0</v>
      </c>
      <c r="BD14" s="236">
        <v>0</v>
      </c>
    </row>
    <row r="15" spans="1:56" s="121" customFormat="1" ht="14.25" customHeight="1">
      <c r="A15" s="104" t="s">
        <v>2577</v>
      </c>
      <c r="B15" s="105" t="s">
        <v>185</v>
      </c>
      <c r="C15" s="106" t="s">
        <v>168</v>
      </c>
      <c r="D15" s="106" t="s">
        <v>2415</v>
      </c>
      <c r="E15" s="71" t="s">
        <v>169</v>
      </c>
      <c r="F15" s="71" t="s">
        <v>170</v>
      </c>
      <c r="G15" s="68" t="s">
        <v>171</v>
      </c>
      <c r="H15" s="110">
        <v>31</v>
      </c>
      <c r="I15" s="111">
        <v>20</v>
      </c>
      <c r="J15" s="112">
        <v>41</v>
      </c>
      <c r="K15" s="113">
        <v>92</v>
      </c>
      <c r="L15" s="111">
        <v>4672</v>
      </c>
      <c r="M15" s="111">
        <v>4961</v>
      </c>
      <c r="N15" s="112">
        <v>0</v>
      </c>
      <c r="O15" s="111">
        <v>1618</v>
      </c>
      <c r="P15" s="114">
        <v>9</v>
      </c>
      <c r="Q15" s="111">
        <v>8477</v>
      </c>
      <c r="R15" s="115">
        <v>50959</v>
      </c>
      <c r="S15" s="111">
        <f t="shared" si="8"/>
        <v>127252</v>
      </c>
      <c r="T15" s="112"/>
      <c r="U15" s="116"/>
      <c r="V15" s="111"/>
      <c r="W15" s="113">
        <v>62210</v>
      </c>
      <c r="X15" s="111"/>
      <c r="Y15" s="111"/>
      <c r="Z15" s="116"/>
      <c r="AA15" s="111"/>
      <c r="AB15" s="113">
        <v>0</v>
      </c>
      <c r="AC15" s="111"/>
      <c r="AD15" s="111"/>
      <c r="AE15" s="112"/>
      <c r="AF15" s="117"/>
      <c r="AG15" s="111"/>
      <c r="AH15" s="112"/>
      <c r="AI15" s="112"/>
      <c r="AJ15" s="113">
        <v>0</v>
      </c>
      <c r="AK15" s="112">
        <f t="shared" si="10"/>
        <v>1510366.8106297867</v>
      </c>
      <c r="AL15" s="112">
        <f t="shared" si="5"/>
        <v>796281.26328273327</v>
      </c>
      <c r="AM15" s="112">
        <f t="shared" si="5"/>
        <v>714085.54734705342</v>
      </c>
      <c r="AN15" s="112">
        <f t="shared" si="5"/>
        <v>0</v>
      </c>
      <c r="AO15" s="192">
        <f t="shared" si="6"/>
        <v>0</v>
      </c>
      <c r="AP15" s="193">
        <f t="shared" si="7"/>
        <v>62210</v>
      </c>
      <c r="AQ15" s="193">
        <f t="shared" si="9"/>
        <v>-62118</v>
      </c>
      <c r="AR15" s="118"/>
      <c r="AS15" s="119"/>
      <c r="AT15" s="119"/>
      <c r="AU15" s="120"/>
      <c r="AV15" s="161"/>
      <c r="AW15" s="112">
        <v>1510366810.6297867</v>
      </c>
      <c r="AX15" s="162">
        <v>796281263.28273332</v>
      </c>
      <c r="AY15" s="162">
        <v>714085547.34705341</v>
      </c>
      <c r="AZ15" s="162"/>
      <c r="BA15" s="196"/>
      <c r="BB15" s="210">
        <v>170519</v>
      </c>
      <c r="BC15" s="115">
        <v>1</v>
      </c>
      <c r="BD15" s="236">
        <v>0</v>
      </c>
    </row>
    <row r="16" spans="1:56" s="121" customFormat="1" ht="14.25" customHeight="1">
      <c r="A16" s="104" t="s">
        <v>2577</v>
      </c>
      <c r="B16" s="105" t="s">
        <v>195</v>
      </c>
      <c r="C16" s="106" t="s">
        <v>2135</v>
      </c>
      <c r="D16" s="106" t="s">
        <v>2415</v>
      </c>
      <c r="E16" s="71" t="s">
        <v>2152</v>
      </c>
      <c r="F16" s="71" t="s">
        <v>2085</v>
      </c>
      <c r="G16" s="68" t="s">
        <v>2153</v>
      </c>
      <c r="H16" s="110"/>
      <c r="I16" s="111"/>
      <c r="J16" s="112"/>
      <c r="K16" s="113">
        <v>0</v>
      </c>
      <c r="L16" s="111"/>
      <c r="M16" s="111"/>
      <c r="N16" s="112"/>
      <c r="O16" s="111"/>
      <c r="P16" s="115"/>
      <c r="Q16" s="111">
        <v>8477</v>
      </c>
      <c r="R16" s="115"/>
      <c r="S16" s="111">
        <f t="shared" si="8"/>
        <v>0</v>
      </c>
      <c r="T16" s="111">
        <v>2053</v>
      </c>
      <c r="U16" s="116"/>
      <c r="V16" s="111"/>
      <c r="W16" s="113">
        <v>2053</v>
      </c>
      <c r="X16" s="111"/>
      <c r="Y16" s="111"/>
      <c r="Z16" s="116"/>
      <c r="AA16" s="111"/>
      <c r="AB16" s="113">
        <v>0</v>
      </c>
      <c r="AC16" s="111"/>
      <c r="AD16" s="111"/>
      <c r="AE16" s="112"/>
      <c r="AF16" s="117"/>
      <c r="AG16" s="111"/>
      <c r="AH16" s="112"/>
      <c r="AI16" s="112"/>
      <c r="AJ16" s="113">
        <v>0</v>
      </c>
      <c r="AK16" s="112">
        <f t="shared" si="10"/>
        <v>89416.943370213252</v>
      </c>
      <c r="AL16" s="112">
        <f t="shared" si="5"/>
        <v>47141.552717266677</v>
      </c>
      <c r="AM16" s="112">
        <f t="shared" si="5"/>
        <v>42275.390652946568</v>
      </c>
      <c r="AN16" s="112">
        <f t="shared" si="5"/>
        <v>0</v>
      </c>
      <c r="AO16" s="192">
        <f t="shared" si="6"/>
        <v>0</v>
      </c>
      <c r="AP16" s="193">
        <f t="shared" si="7"/>
        <v>2053</v>
      </c>
      <c r="AQ16" s="193">
        <f t="shared" si="9"/>
        <v>-2053</v>
      </c>
      <c r="AR16" s="118"/>
      <c r="AS16" s="119"/>
      <c r="AT16" s="119"/>
      <c r="AU16" s="120"/>
      <c r="AV16" s="111"/>
      <c r="AW16" s="111">
        <v>89416943.370213255</v>
      </c>
      <c r="AX16" s="111">
        <v>47141552.717266679</v>
      </c>
      <c r="AY16" s="121">
        <v>42275390.652946569</v>
      </c>
      <c r="BB16" s="516" t="s">
        <v>825</v>
      </c>
      <c r="BC16" s="516" t="s">
        <v>825</v>
      </c>
      <c r="BD16" s="517" t="s">
        <v>825</v>
      </c>
    </row>
    <row r="17" spans="1:56" s="121" customFormat="1" ht="14.25" customHeight="1">
      <c r="A17" s="104" t="s">
        <v>2577</v>
      </c>
      <c r="B17" s="105" t="s">
        <v>203</v>
      </c>
      <c r="C17" s="106" t="s">
        <v>2294</v>
      </c>
      <c r="D17" s="106" t="s">
        <v>2415</v>
      </c>
      <c r="E17" s="71" t="s">
        <v>2231</v>
      </c>
      <c r="F17" s="71" t="s">
        <v>170</v>
      </c>
      <c r="G17" s="68" t="s">
        <v>171</v>
      </c>
      <c r="H17" s="110">
        <v>0</v>
      </c>
      <c r="I17" s="111">
        <v>0</v>
      </c>
      <c r="J17" s="112">
        <v>0</v>
      </c>
      <c r="K17" s="113">
        <v>0</v>
      </c>
      <c r="L17" s="111">
        <v>412</v>
      </c>
      <c r="M17" s="111">
        <v>187</v>
      </c>
      <c r="N17" s="112">
        <v>0</v>
      </c>
      <c r="O17" s="111">
        <v>92</v>
      </c>
      <c r="P17" s="114">
        <v>0</v>
      </c>
      <c r="Q17" s="111">
        <v>8477</v>
      </c>
      <c r="R17" s="115">
        <v>8018</v>
      </c>
      <c r="S17" s="111">
        <f t="shared" si="8"/>
        <v>8018</v>
      </c>
      <c r="T17" s="112"/>
      <c r="U17" s="116"/>
      <c r="V17" s="111"/>
      <c r="W17" s="113">
        <v>8709</v>
      </c>
      <c r="X17" s="111"/>
      <c r="Y17" s="111"/>
      <c r="Z17" s="116"/>
      <c r="AA17" s="111"/>
      <c r="AB17" s="113">
        <v>0</v>
      </c>
      <c r="AC17" s="111"/>
      <c r="AD17" s="111"/>
      <c r="AE17" s="112"/>
      <c r="AF17" s="117"/>
      <c r="AG17" s="111"/>
      <c r="AH17" s="112"/>
      <c r="AI17" s="112"/>
      <c r="AJ17" s="113">
        <v>0</v>
      </c>
      <c r="AK17" s="112">
        <f t="shared" si="10"/>
        <v>14838.505279537512</v>
      </c>
      <c r="AL17" s="112">
        <f t="shared" si="5"/>
        <v>533.30399803115404</v>
      </c>
      <c r="AM17" s="112">
        <f t="shared" si="5"/>
        <v>14305.201281506357</v>
      </c>
      <c r="AN17" s="112">
        <f t="shared" si="5"/>
        <v>0</v>
      </c>
      <c r="AO17" s="192">
        <f t="shared" si="6"/>
        <v>0</v>
      </c>
      <c r="AP17" s="193">
        <f t="shared" si="7"/>
        <v>8709</v>
      </c>
      <c r="AQ17" s="193">
        <f t="shared" si="9"/>
        <v>-8709</v>
      </c>
      <c r="AR17" s="118"/>
      <c r="AS17" s="119"/>
      <c r="AT17" s="119"/>
      <c r="AU17" s="120"/>
      <c r="AV17" s="161"/>
      <c r="AW17" s="112">
        <v>14838505.279537512</v>
      </c>
      <c r="AX17" s="162">
        <v>533303.99803115404</v>
      </c>
      <c r="AY17" s="162">
        <v>14305201.281506358</v>
      </c>
      <c r="AZ17" s="162"/>
      <c r="BA17" s="196"/>
      <c r="BB17" s="210">
        <v>8814</v>
      </c>
      <c r="BC17" s="115">
        <v>0</v>
      </c>
      <c r="BD17" s="236">
        <v>0</v>
      </c>
    </row>
    <row r="18" spans="1:56" s="121" customFormat="1" ht="14.25" customHeight="1">
      <c r="A18" s="104" t="s">
        <v>2577</v>
      </c>
      <c r="B18" s="105" t="s">
        <v>209</v>
      </c>
      <c r="C18" s="106" t="s">
        <v>178</v>
      </c>
      <c r="D18" s="106" t="s">
        <v>2415</v>
      </c>
      <c r="E18" s="71" t="s">
        <v>179</v>
      </c>
      <c r="F18" s="71" t="s">
        <v>78</v>
      </c>
      <c r="G18" s="68" t="s">
        <v>180</v>
      </c>
      <c r="H18" s="110">
        <v>0</v>
      </c>
      <c r="I18" s="112">
        <v>0</v>
      </c>
      <c r="J18" s="112">
        <v>0</v>
      </c>
      <c r="K18" s="113">
        <f t="shared" ref="K18" si="11">SUBTOTAL(9,H18:J18)</f>
        <v>0</v>
      </c>
      <c r="L18" s="112">
        <v>0</v>
      </c>
      <c r="M18" s="111">
        <v>0</v>
      </c>
      <c r="N18" s="112">
        <v>0</v>
      </c>
      <c r="O18" s="111">
        <v>0</v>
      </c>
      <c r="P18" s="114">
        <v>1.1000000000000001</v>
      </c>
      <c r="Q18" s="111">
        <v>8477</v>
      </c>
      <c r="R18" s="112"/>
      <c r="S18" s="111">
        <f t="shared" si="8"/>
        <v>9325</v>
      </c>
      <c r="T18" s="112"/>
      <c r="U18" s="116">
        <v>29</v>
      </c>
      <c r="V18" s="111">
        <v>7453</v>
      </c>
      <c r="W18" s="113">
        <f t="shared" ref="W18" si="12">SUBTOTAL(9,L18:O18,S18:V18)</f>
        <v>16807</v>
      </c>
      <c r="X18" s="111"/>
      <c r="Y18" s="111"/>
      <c r="Z18" s="116"/>
      <c r="AA18" s="111">
        <v>7453</v>
      </c>
      <c r="AB18" s="113">
        <f t="shared" ref="AB18" si="13">SUBTOTAL(9,X18:AA18)</f>
        <v>7453</v>
      </c>
      <c r="AC18" s="111">
        <v>0</v>
      </c>
      <c r="AD18" s="111">
        <v>0</v>
      </c>
      <c r="AE18" s="112">
        <v>0</v>
      </c>
      <c r="AF18" s="117">
        <v>13</v>
      </c>
      <c r="AG18" s="111">
        <v>6463</v>
      </c>
      <c r="AH18" s="112">
        <v>989</v>
      </c>
      <c r="AI18" s="112">
        <v>0</v>
      </c>
      <c r="AJ18" s="113">
        <f t="shared" ref="AJ18:AJ37" si="14">SUBTOTAL(9,AC18:AI18)</f>
        <v>7465</v>
      </c>
      <c r="AK18" s="112">
        <f t="shared" si="10"/>
        <v>0</v>
      </c>
      <c r="AL18" s="112">
        <f t="shared" si="5"/>
        <v>0</v>
      </c>
      <c r="AM18" s="112">
        <f t="shared" si="5"/>
        <v>0</v>
      </c>
      <c r="AN18" s="112">
        <f t="shared" si="5"/>
        <v>0</v>
      </c>
      <c r="AO18" s="192" t="str">
        <f t="shared" si="6"/>
        <v>-</v>
      </c>
      <c r="AP18" s="193">
        <f t="shared" si="7"/>
        <v>16807</v>
      </c>
      <c r="AQ18" s="193">
        <f t="shared" si="9"/>
        <v>-16807</v>
      </c>
      <c r="AR18" s="118"/>
      <c r="AS18" s="119"/>
      <c r="AT18" s="119"/>
      <c r="AU18" s="120"/>
      <c r="AV18" s="161"/>
      <c r="AW18" s="112">
        <v>0</v>
      </c>
      <c r="AX18" s="162">
        <v>0</v>
      </c>
      <c r="AY18" s="162">
        <v>0</v>
      </c>
      <c r="AZ18" s="162">
        <v>0</v>
      </c>
      <c r="BA18" s="196" t="s">
        <v>1966</v>
      </c>
      <c r="BB18" s="210" t="s">
        <v>825</v>
      </c>
      <c r="BC18" s="115" t="s">
        <v>825</v>
      </c>
      <c r="BD18" s="236" t="s">
        <v>825</v>
      </c>
    </row>
    <row r="19" spans="1:56" s="121" customFormat="1" ht="14.25" customHeight="1">
      <c r="A19" s="104" t="s">
        <v>2577</v>
      </c>
      <c r="B19" s="105" t="s">
        <v>213</v>
      </c>
      <c r="C19" s="106" t="s">
        <v>186</v>
      </c>
      <c r="D19" s="106" t="s">
        <v>2415</v>
      </c>
      <c r="E19" s="71" t="s">
        <v>2057</v>
      </c>
      <c r="F19" s="71" t="s">
        <v>187</v>
      </c>
      <c r="G19" s="68" t="s">
        <v>2058</v>
      </c>
      <c r="H19" s="123"/>
      <c r="I19" s="124"/>
      <c r="J19" s="124"/>
      <c r="K19" s="113">
        <f t="shared" si="2"/>
        <v>0</v>
      </c>
      <c r="L19" s="111"/>
      <c r="M19" s="111"/>
      <c r="N19" s="112"/>
      <c r="O19" s="111"/>
      <c r="P19" s="114"/>
      <c r="Q19" s="111">
        <v>8477</v>
      </c>
      <c r="R19" s="124"/>
      <c r="S19" s="111">
        <f t="shared" si="8"/>
        <v>0</v>
      </c>
      <c r="T19" s="112"/>
      <c r="U19" s="116"/>
      <c r="V19" s="124"/>
      <c r="W19" s="113">
        <f t="shared" si="3"/>
        <v>0</v>
      </c>
      <c r="X19" s="125"/>
      <c r="Y19" s="125"/>
      <c r="Z19" s="126"/>
      <c r="AA19" s="125"/>
      <c r="AB19" s="113">
        <f t="shared" si="4"/>
        <v>0</v>
      </c>
      <c r="AC19" s="125"/>
      <c r="AD19" s="125"/>
      <c r="AE19" s="124"/>
      <c r="AF19" s="197"/>
      <c r="AG19" s="125"/>
      <c r="AH19" s="124"/>
      <c r="AI19" s="124"/>
      <c r="AJ19" s="113">
        <f t="shared" si="14"/>
        <v>0</v>
      </c>
      <c r="AK19" s="112">
        <f t="shared" si="10"/>
        <v>990831.76300000004</v>
      </c>
      <c r="AL19" s="112">
        <f t="shared" si="5"/>
        <v>734945.652</v>
      </c>
      <c r="AM19" s="112">
        <f t="shared" si="5"/>
        <v>255886.111</v>
      </c>
      <c r="AN19" s="112">
        <f t="shared" si="5"/>
        <v>22115.317999999999</v>
      </c>
      <c r="AO19" s="192">
        <f t="shared" si="6"/>
        <v>0.74174615655715515</v>
      </c>
      <c r="AP19" s="193">
        <f t="shared" si="7"/>
        <v>22115.317999999999</v>
      </c>
      <c r="AQ19" s="193">
        <f t="shared" si="9"/>
        <v>-22115.317999999999</v>
      </c>
      <c r="AR19" s="127"/>
      <c r="AS19" s="128"/>
      <c r="AT19" s="128"/>
      <c r="AU19" s="129"/>
      <c r="AV19" s="518"/>
      <c r="AW19" s="112">
        <v>990831763</v>
      </c>
      <c r="AX19" s="162">
        <v>734945652</v>
      </c>
      <c r="AY19" s="162">
        <v>255886111</v>
      </c>
      <c r="AZ19" s="162">
        <v>22115318</v>
      </c>
      <c r="BA19" s="196">
        <f t="shared" ref="BA19:BA82" si="15">AX19/AW19</f>
        <v>0.74174615655715515</v>
      </c>
      <c r="BB19" s="210">
        <v>464835</v>
      </c>
      <c r="BC19" s="115">
        <v>13500</v>
      </c>
      <c r="BD19" s="236">
        <v>397.3</v>
      </c>
    </row>
    <row r="20" spans="1:56" s="121" customFormat="1" ht="14.25" customHeight="1">
      <c r="A20" s="104" t="s">
        <v>2577</v>
      </c>
      <c r="B20" s="105" t="s">
        <v>218</v>
      </c>
      <c r="C20" s="106" t="s">
        <v>196</v>
      </c>
      <c r="D20" s="106" t="s">
        <v>2415</v>
      </c>
      <c r="E20" s="71" t="s">
        <v>197</v>
      </c>
      <c r="F20" s="71" t="s">
        <v>187</v>
      </c>
      <c r="G20" s="290" t="s">
        <v>2058</v>
      </c>
      <c r="H20" s="325"/>
      <c r="I20" s="124"/>
      <c r="J20" s="124"/>
      <c r="K20" s="113">
        <f t="shared" si="2"/>
        <v>0</v>
      </c>
      <c r="L20" s="111"/>
      <c r="M20" s="111"/>
      <c r="N20" s="112"/>
      <c r="O20" s="111"/>
      <c r="P20" s="114"/>
      <c r="Q20" s="111">
        <v>8477</v>
      </c>
      <c r="R20" s="124"/>
      <c r="S20" s="111">
        <f t="shared" si="8"/>
        <v>0</v>
      </c>
      <c r="T20" s="112"/>
      <c r="U20" s="116"/>
      <c r="V20" s="124"/>
      <c r="W20" s="113">
        <f t="shared" si="3"/>
        <v>0</v>
      </c>
      <c r="X20" s="125"/>
      <c r="Y20" s="125"/>
      <c r="Z20" s="126"/>
      <c r="AA20" s="125"/>
      <c r="AB20" s="113">
        <f t="shared" si="4"/>
        <v>0</v>
      </c>
      <c r="AC20" s="125"/>
      <c r="AD20" s="125"/>
      <c r="AE20" s="124"/>
      <c r="AF20" s="197"/>
      <c r="AG20" s="125"/>
      <c r="AH20" s="124"/>
      <c r="AI20" s="124"/>
      <c r="AJ20" s="113">
        <f t="shared" si="14"/>
        <v>0</v>
      </c>
      <c r="AK20" s="112">
        <f t="shared" si="10"/>
        <v>290921.22100000002</v>
      </c>
      <c r="AL20" s="112">
        <f t="shared" si="5"/>
        <v>180737.07399999999</v>
      </c>
      <c r="AM20" s="112">
        <f t="shared" si="5"/>
        <v>110184.147</v>
      </c>
      <c r="AN20" s="112">
        <f t="shared" si="5"/>
        <v>9661.8760000000002</v>
      </c>
      <c r="AO20" s="192">
        <f t="shared" si="6"/>
        <v>0.62125778717256241</v>
      </c>
      <c r="AP20" s="193">
        <f t="shared" si="7"/>
        <v>9661.8760000000002</v>
      </c>
      <c r="AQ20" s="193">
        <f t="shared" si="9"/>
        <v>-9661.8760000000002</v>
      </c>
      <c r="AR20" s="127"/>
      <c r="AS20" s="128"/>
      <c r="AT20" s="128"/>
      <c r="AU20" s="129"/>
      <c r="AV20" s="518"/>
      <c r="AW20" s="112">
        <v>290921221</v>
      </c>
      <c r="AX20" s="162">
        <v>180737074</v>
      </c>
      <c r="AY20" s="162">
        <v>110184147</v>
      </c>
      <c r="AZ20" s="162">
        <v>9661876</v>
      </c>
      <c r="BA20" s="196">
        <f t="shared" si="15"/>
        <v>0.62125778717256241</v>
      </c>
      <c r="BB20" s="210" t="s">
        <v>825</v>
      </c>
      <c r="BC20" s="115" t="s">
        <v>825</v>
      </c>
      <c r="BD20" s="236" t="s">
        <v>825</v>
      </c>
    </row>
    <row r="21" spans="1:56" s="121" customFormat="1" ht="14.25" customHeight="1">
      <c r="A21" s="104" t="s">
        <v>2577</v>
      </c>
      <c r="B21" s="105" t="s">
        <v>223</v>
      </c>
      <c r="C21" s="106" t="s">
        <v>210</v>
      </c>
      <c r="D21" s="106" t="s">
        <v>2415</v>
      </c>
      <c r="E21" s="71" t="s">
        <v>2381</v>
      </c>
      <c r="F21" s="71" t="s">
        <v>187</v>
      </c>
      <c r="G21" s="290" t="s">
        <v>2058</v>
      </c>
      <c r="H21" s="326"/>
      <c r="I21" s="124"/>
      <c r="J21" s="124"/>
      <c r="K21" s="113">
        <f t="shared" si="2"/>
        <v>0</v>
      </c>
      <c r="L21" s="111"/>
      <c r="M21" s="111"/>
      <c r="N21" s="112"/>
      <c r="O21" s="111"/>
      <c r="P21" s="114"/>
      <c r="Q21" s="111">
        <v>8477</v>
      </c>
      <c r="R21" s="124"/>
      <c r="S21" s="111">
        <f t="shared" si="8"/>
        <v>0</v>
      </c>
      <c r="T21" s="112"/>
      <c r="U21" s="116"/>
      <c r="V21" s="124"/>
      <c r="W21" s="113">
        <f t="shared" si="3"/>
        <v>0</v>
      </c>
      <c r="X21" s="125"/>
      <c r="Y21" s="125"/>
      <c r="Z21" s="126"/>
      <c r="AA21" s="125"/>
      <c r="AB21" s="113">
        <f t="shared" si="4"/>
        <v>0</v>
      </c>
      <c r="AC21" s="125"/>
      <c r="AD21" s="125"/>
      <c r="AE21" s="124"/>
      <c r="AF21" s="197"/>
      <c r="AG21" s="125"/>
      <c r="AH21" s="124"/>
      <c r="AI21" s="124"/>
      <c r="AJ21" s="113">
        <f t="shared" si="14"/>
        <v>0</v>
      </c>
      <c r="AK21" s="112">
        <f t="shared" si="10"/>
        <v>63509.696000000004</v>
      </c>
      <c r="AL21" s="112">
        <f t="shared" si="10"/>
        <v>40283.811999999998</v>
      </c>
      <c r="AM21" s="112">
        <f t="shared" si="10"/>
        <v>23225.883999999998</v>
      </c>
      <c r="AN21" s="112">
        <f t="shared" si="10"/>
        <v>2071.9050000000002</v>
      </c>
      <c r="AO21" s="192">
        <f t="shared" si="6"/>
        <v>0.63429388797578246</v>
      </c>
      <c r="AP21" s="193">
        <f t="shared" si="7"/>
        <v>2071.9050000000002</v>
      </c>
      <c r="AQ21" s="193">
        <f t="shared" si="9"/>
        <v>-2071.9050000000002</v>
      </c>
      <c r="AR21" s="127"/>
      <c r="AS21" s="128"/>
      <c r="AT21" s="128"/>
      <c r="AU21" s="129"/>
      <c r="AV21" s="518"/>
      <c r="AW21" s="112">
        <v>63509696</v>
      </c>
      <c r="AX21" s="162">
        <v>40283812</v>
      </c>
      <c r="AY21" s="162">
        <v>23225884</v>
      </c>
      <c r="AZ21" s="162">
        <v>2071905</v>
      </c>
      <c r="BA21" s="196">
        <f t="shared" si="15"/>
        <v>0.63429388797578246</v>
      </c>
      <c r="BB21" s="210">
        <v>0</v>
      </c>
      <c r="BC21" s="115">
        <v>0</v>
      </c>
      <c r="BD21" s="236">
        <v>0</v>
      </c>
    </row>
    <row r="22" spans="1:56" s="121" customFormat="1" ht="14.25" customHeight="1">
      <c r="A22" s="104" t="s">
        <v>2577</v>
      </c>
      <c r="B22" s="105" t="s">
        <v>231</v>
      </c>
      <c r="C22" s="106" t="s">
        <v>214</v>
      </c>
      <c r="D22" s="106" t="s">
        <v>2415</v>
      </c>
      <c r="E22" s="71" t="s">
        <v>215</v>
      </c>
      <c r="F22" s="71" t="s">
        <v>187</v>
      </c>
      <c r="G22" s="290" t="s">
        <v>2058</v>
      </c>
      <c r="H22" s="326"/>
      <c r="I22" s="124"/>
      <c r="J22" s="124"/>
      <c r="K22" s="113">
        <f t="shared" si="2"/>
        <v>0</v>
      </c>
      <c r="L22" s="111"/>
      <c r="M22" s="111"/>
      <c r="N22" s="112"/>
      <c r="O22" s="111"/>
      <c r="P22" s="114"/>
      <c r="Q22" s="111">
        <v>8477</v>
      </c>
      <c r="R22" s="124"/>
      <c r="S22" s="111">
        <f t="shared" si="8"/>
        <v>0</v>
      </c>
      <c r="T22" s="112"/>
      <c r="U22" s="116"/>
      <c r="V22" s="124"/>
      <c r="W22" s="113">
        <f t="shared" si="3"/>
        <v>0</v>
      </c>
      <c r="X22" s="125"/>
      <c r="Y22" s="125"/>
      <c r="Z22" s="126"/>
      <c r="AA22" s="125"/>
      <c r="AB22" s="113">
        <f t="shared" si="4"/>
        <v>0</v>
      </c>
      <c r="AC22" s="125"/>
      <c r="AD22" s="125"/>
      <c r="AE22" s="124"/>
      <c r="AF22" s="197"/>
      <c r="AG22" s="125"/>
      <c r="AH22" s="124"/>
      <c r="AI22" s="124"/>
      <c r="AJ22" s="113">
        <f t="shared" si="14"/>
        <v>0</v>
      </c>
      <c r="AK22" s="112">
        <f t="shared" si="10"/>
        <v>91275</v>
      </c>
      <c r="AL22" s="112">
        <f t="shared" si="10"/>
        <v>57874.148999999998</v>
      </c>
      <c r="AM22" s="112">
        <f t="shared" si="10"/>
        <v>33400.851000000002</v>
      </c>
      <c r="AN22" s="112">
        <f t="shared" si="10"/>
        <v>2164.1129999999998</v>
      </c>
      <c r="AO22" s="192">
        <f t="shared" si="6"/>
        <v>0.6340635332785538</v>
      </c>
      <c r="AP22" s="193">
        <f t="shared" si="7"/>
        <v>2164.1129999999998</v>
      </c>
      <c r="AQ22" s="193">
        <f t="shared" si="9"/>
        <v>-2164.1129999999998</v>
      </c>
      <c r="AR22" s="127"/>
      <c r="AS22" s="128"/>
      <c r="AT22" s="128"/>
      <c r="AU22" s="129"/>
      <c r="AV22" s="518"/>
      <c r="AW22" s="112">
        <v>91275000</v>
      </c>
      <c r="AX22" s="162">
        <v>57874149</v>
      </c>
      <c r="AY22" s="162">
        <v>33400851</v>
      </c>
      <c r="AZ22" s="162">
        <v>2164113</v>
      </c>
      <c r="BA22" s="196">
        <f t="shared" si="15"/>
        <v>0.6340635332785538</v>
      </c>
      <c r="BB22" s="210">
        <v>0</v>
      </c>
      <c r="BC22" s="115">
        <v>0</v>
      </c>
      <c r="BD22" s="236">
        <v>0</v>
      </c>
    </row>
    <row r="23" spans="1:56" s="121" customFormat="1" ht="14.25" customHeight="1">
      <c r="A23" s="104" t="s">
        <v>2577</v>
      </c>
      <c r="B23" s="105" t="s">
        <v>236</v>
      </c>
      <c r="C23" s="106" t="s">
        <v>204</v>
      </c>
      <c r="D23" s="106" t="s">
        <v>2415</v>
      </c>
      <c r="E23" s="71" t="s">
        <v>205</v>
      </c>
      <c r="F23" s="71" t="s">
        <v>187</v>
      </c>
      <c r="G23" s="290" t="s">
        <v>2058</v>
      </c>
      <c r="H23" s="326"/>
      <c r="I23" s="124"/>
      <c r="J23" s="124"/>
      <c r="K23" s="113">
        <f t="shared" si="2"/>
        <v>0</v>
      </c>
      <c r="L23" s="111"/>
      <c r="M23" s="111"/>
      <c r="N23" s="112"/>
      <c r="O23" s="111"/>
      <c r="P23" s="114"/>
      <c r="Q23" s="111">
        <v>8477</v>
      </c>
      <c r="R23" s="124"/>
      <c r="S23" s="111">
        <f t="shared" si="8"/>
        <v>0</v>
      </c>
      <c r="T23" s="112"/>
      <c r="U23" s="116"/>
      <c r="V23" s="124"/>
      <c r="W23" s="113">
        <f t="shared" si="3"/>
        <v>0</v>
      </c>
      <c r="X23" s="125"/>
      <c r="Y23" s="125"/>
      <c r="Z23" s="126"/>
      <c r="AA23" s="125"/>
      <c r="AB23" s="113">
        <f t="shared" si="4"/>
        <v>0</v>
      </c>
      <c r="AC23" s="125"/>
      <c r="AD23" s="125"/>
      <c r="AE23" s="124"/>
      <c r="AF23" s="197"/>
      <c r="AG23" s="125"/>
      <c r="AH23" s="124"/>
      <c r="AI23" s="124"/>
      <c r="AJ23" s="113">
        <f t="shared" si="14"/>
        <v>0</v>
      </c>
      <c r="AK23" s="112">
        <f t="shared" si="10"/>
        <v>44173.84</v>
      </c>
      <c r="AL23" s="112">
        <f t="shared" si="10"/>
        <v>27824.081999999999</v>
      </c>
      <c r="AM23" s="112">
        <f t="shared" si="10"/>
        <v>16349.758</v>
      </c>
      <c r="AN23" s="112">
        <f t="shared" si="10"/>
        <v>860.42</v>
      </c>
      <c r="AO23" s="192">
        <f t="shared" si="6"/>
        <v>0.62987691357599884</v>
      </c>
      <c r="AP23" s="193">
        <f t="shared" si="7"/>
        <v>860.42</v>
      </c>
      <c r="AQ23" s="193">
        <f t="shared" si="9"/>
        <v>-860.42</v>
      </c>
      <c r="AR23" s="127"/>
      <c r="AS23" s="128"/>
      <c r="AT23" s="128"/>
      <c r="AU23" s="129"/>
      <c r="AV23" s="518"/>
      <c r="AW23" s="112">
        <v>44173840</v>
      </c>
      <c r="AX23" s="162">
        <v>27824082</v>
      </c>
      <c r="AY23" s="162">
        <v>16349758</v>
      </c>
      <c r="AZ23" s="162">
        <v>860420</v>
      </c>
      <c r="BA23" s="196">
        <f t="shared" si="15"/>
        <v>0.62987691357599884</v>
      </c>
      <c r="BB23" s="210">
        <v>0</v>
      </c>
      <c r="BC23" s="115">
        <v>0</v>
      </c>
      <c r="BD23" s="236">
        <v>0</v>
      </c>
    </row>
    <row r="24" spans="1:56" s="121" customFormat="1" ht="14.25" customHeight="1">
      <c r="A24" s="104" t="s">
        <v>2577</v>
      </c>
      <c r="B24" s="105" t="s">
        <v>241</v>
      </c>
      <c r="C24" s="106" t="s">
        <v>219</v>
      </c>
      <c r="D24" s="106" t="s">
        <v>2415</v>
      </c>
      <c r="E24" s="71" t="s">
        <v>220</v>
      </c>
      <c r="F24" s="71" t="s">
        <v>187</v>
      </c>
      <c r="G24" s="290" t="s">
        <v>2058</v>
      </c>
      <c r="H24" s="326"/>
      <c r="I24" s="124"/>
      <c r="J24" s="124"/>
      <c r="K24" s="113">
        <f t="shared" si="2"/>
        <v>0</v>
      </c>
      <c r="L24" s="111"/>
      <c r="M24" s="111"/>
      <c r="N24" s="112"/>
      <c r="O24" s="111"/>
      <c r="P24" s="114"/>
      <c r="Q24" s="111">
        <v>8477</v>
      </c>
      <c r="R24" s="124"/>
      <c r="S24" s="111">
        <f t="shared" si="8"/>
        <v>0</v>
      </c>
      <c r="T24" s="112"/>
      <c r="U24" s="116"/>
      <c r="V24" s="124"/>
      <c r="W24" s="113">
        <f t="shared" si="3"/>
        <v>0</v>
      </c>
      <c r="X24" s="125"/>
      <c r="Y24" s="125"/>
      <c r="Z24" s="126"/>
      <c r="AA24" s="125"/>
      <c r="AB24" s="113">
        <f t="shared" si="4"/>
        <v>0</v>
      </c>
      <c r="AC24" s="125"/>
      <c r="AD24" s="125"/>
      <c r="AE24" s="124"/>
      <c r="AF24" s="197"/>
      <c r="AG24" s="125"/>
      <c r="AH24" s="124"/>
      <c r="AI24" s="124"/>
      <c r="AJ24" s="113">
        <f t="shared" si="14"/>
        <v>0</v>
      </c>
      <c r="AK24" s="112">
        <f t="shared" si="10"/>
        <v>108122.963</v>
      </c>
      <c r="AL24" s="112">
        <f t="shared" si="10"/>
        <v>55626.646999999997</v>
      </c>
      <c r="AM24" s="112">
        <f t="shared" si="10"/>
        <v>52496.315999999999</v>
      </c>
      <c r="AN24" s="112">
        <f t="shared" si="10"/>
        <v>2427.7649999999999</v>
      </c>
      <c r="AO24" s="192">
        <f t="shared" si="6"/>
        <v>0.51447579178902081</v>
      </c>
      <c r="AP24" s="193">
        <f t="shared" si="7"/>
        <v>2427.7649999999999</v>
      </c>
      <c r="AQ24" s="193">
        <f t="shared" si="9"/>
        <v>-2427.7649999999999</v>
      </c>
      <c r="AR24" s="127"/>
      <c r="AS24" s="128"/>
      <c r="AT24" s="128"/>
      <c r="AU24" s="129"/>
      <c r="AV24" s="518"/>
      <c r="AW24" s="112">
        <v>108122963</v>
      </c>
      <c r="AX24" s="162">
        <v>55626647</v>
      </c>
      <c r="AY24" s="162">
        <v>52496316</v>
      </c>
      <c r="AZ24" s="162">
        <v>2427765</v>
      </c>
      <c r="BA24" s="196">
        <f t="shared" si="15"/>
        <v>0.51447579178902081</v>
      </c>
      <c r="BB24" s="210">
        <v>0</v>
      </c>
      <c r="BC24" s="115">
        <v>0</v>
      </c>
      <c r="BD24" s="236">
        <v>0</v>
      </c>
    </row>
    <row r="25" spans="1:56" s="121" customFormat="1" ht="14.25" customHeight="1">
      <c r="A25" s="104" t="s">
        <v>2577</v>
      </c>
      <c r="B25" s="105" t="s">
        <v>246</v>
      </c>
      <c r="C25" s="106" t="s">
        <v>224</v>
      </c>
      <c r="D25" s="106" t="s">
        <v>2415</v>
      </c>
      <c r="E25" s="71" t="s">
        <v>225</v>
      </c>
      <c r="F25" s="71" t="s">
        <v>187</v>
      </c>
      <c r="G25" s="290" t="s">
        <v>2058</v>
      </c>
      <c r="H25" s="326"/>
      <c r="I25" s="124"/>
      <c r="J25" s="124"/>
      <c r="K25" s="113">
        <f t="shared" si="2"/>
        <v>0</v>
      </c>
      <c r="L25" s="111"/>
      <c r="M25" s="112"/>
      <c r="N25" s="112"/>
      <c r="O25" s="112"/>
      <c r="P25" s="114"/>
      <c r="Q25" s="111">
        <v>8477</v>
      </c>
      <c r="R25" s="124"/>
      <c r="S25" s="111">
        <f t="shared" si="8"/>
        <v>0</v>
      </c>
      <c r="T25" s="124"/>
      <c r="U25" s="126"/>
      <c r="V25" s="124"/>
      <c r="W25" s="113">
        <f t="shared" si="3"/>
        <v>0</v>
      </c>
      <c r="X25" s="125"/>
      <c r="Y25" s="125"/>
      <c r="Z25" s="126"/>
      <c r="AA25" s="125"/>
      <c r="AB25" s="113">
        <f t="shared" si="4"/>
        <v>0</v>
      </c>
      <c r="AC25" s="125"/>
      <c r="AD25" s="125"/>
      <c r="AE25" s="124"/>
      <c r="AF25" s="197"/>
      <c r="AG25" s="125"/>
      <c r="AH25" s="124"/>
      <c r="AI25" s="124"/>
      <c r="AJ25" s="113">
        <f t="shared" si="14"/>
        <v>0</v>
      </c>
      <c r="AK25" s="112">
        <f t="shared" si="10"/>
        <v>4767.6000000000004</v>
      </c>
      <c r="AL25" s="112">
        <f t="shared" si="10"/>
        <v>1573.3</v>
      </c>
      <c r="AM25" s="112">
        <f t="shared" si="10"/>
        <v>3194.3</v>
      </c>
      <c r="AN25" s="112">
        <f t="shared" si="10"/>
        <v>157.33000000000001</v>
      </c>
      <c r="AO25" s="192">
        <f t="shared" si="6"/>
        <v>0.32999832200687979</v>
      </c>
      <c r="AP25" s="193">
        <f t="shared" si="7"/>
        <v>157.33000000000001</v>
      </c>
      <c r="AQ25" s="193">
        <f t="shared" si="9"/>
        <v>-157.33000000000001</v>
      </c>
      <c r="AR25" s="127"/>
      <c r="AS25" s="128"/>
      <c r="AT25" s="128"/>
      <c r="AU25" s="129"/>
      <c r="AV25" s="518"/>
      <c r="AW25" s="112">
        <v>4767600</v>
      </c>
      <c r="AX25" s="162">
        <v>1573300</v>
      </c>
      <c r="AY25" s="162">
        <v>3194300</v>
      </c>
      <c r="AZ25" s="162">
        <v>157330</v>
      </c>
      <c r="BA25" s="196">
        <f t="shared" si="15"/>
        <v>0.32999832200687979</v>
      </c>
      <c r="BB25" s="210" t="s">
        <v>825</v>
      </c>
      <c r="BC25" s="115" t="s">
        <v>825</v>
      </c>
      <c r="BD25" s="236" t="s">
        <v>825</v>
      </c>
    </row>
    <row r="26" spans="1:56" s="121" customFormat="1" ht="14.25" customHeight="1">
      <c r="A26" s="104" t="s">
        <v>2577</v>
      </c>
      <c r="B26" s="105" t="s">
        <v>253</v>
      </c>
      <c r="C26" s="106" t="s">
        <v>247</v>
      </c>
      <c r="D26" s="106" t="s">
        <v>2415</v>
      </c>
      <c r="E26" s="71" t="s">
        <v>248</v>
      </c>
      <c r="F26" s="71" t="s">
        <v>187</v>
      </c>
      <c r="G26" s="290" t="s">
        <v>2058</v>
      </c>
      <c r="H26" s="326"/>
      <c r="I26" s="124"/>
      <c r="J26" s="124"/>
      <c r="K26" s="113">
        <f t="shared" si="2"/>
        <v>0</v>
      </c>
      <c r="L26" s="112"/>
      <c r="M26" s="112"/>
      <c r="N26" s="112"/>
      <c r="O26" s="112"/>
      <c r="P26" s="114"/>
      <c r="Q26" s="111">
        <v>8477</v>
      </c>
      <c r="R26" s="124"/>
      <c r="S26" s="111">
        <f t="shared" si="8"/>
        <v>0</v>
      </c>
      <c r="T26" s="124"/>
      <c r="U26" s="126"/>
      <c r="V26" s="124"/>
      <c r="W26" s="113">
        <f t="shared" si="3"/>
        <v>0</v>
      </c>
      <c r="X26" s="125"/>
      <c r="Y26" s="125"/>
      <c r="Z26" s="126"/>
      <c r="AA26" s="125"/>
      <c r="AB26" s="113">
        <f t="shared" si="4"/>
        <v>0</v>
      </c>
      <c r="AC26" s="125"/>
      <c r="AD26" s="125"/>
      <c r="AE26" s="124"/>
      <c r="AF26" s="197"/>
      <c r="AG26" s="125"/>
      <c r="AH26" s="124"/>
      <c r="AI26" s="124"/>
      <c r="AJ26" s="113">
        <f t="shared" si="14"/>
        <v>0</v>
      </c>
      <c r="AK26" s="112">
        <f t="shared" si="10"/>
        <v>10833.9</v>
      </c>
      <c r="AL26" s="112">
        <f t="shared" si="10"/>
        <v>10833.898999999999</v>
      </c>
      <c r="AM26" s="112">
        <f t="shared" si="10"/>
        <v>1E-3</v>
      </c>
      <c r="AN26" s="112">
        <f t="shared" si="10"/>
        <v>606.69899999999996</v>
      </c>
      <c r="AO26" s="192">
        <f t="shared" si="6"/>
        <v>0.99999990769713587</v>
      </c>
      <c r="AP26" s="193">
        <f t="shared" si="7"/>
        <v>606.69899999999996</v>
      </c>
      <c r="AQ26" s="193">
        <f t="shared" si="9"/>
        <v>-606.69899999999996</v>
      </c>
      <c r="AR26" s="127"/>
      <c r="AS26" s="128"/>
      <c r="AT26" s="128"/>
      <c r="AU26" s="129"/>
      <c r="AV26" s="518"/>
      <c r="AW26" s="112">
        <v>10833900</v>
      </c>
      <c r="AX26" s="162">
        <v>10833899</v>
      </c>
      <c r="AY26" s="162">
        <v>1</v>
      </c>
      <c r="AZ26" s="162">
        <v>606699</v>
      </c>
      <c r="BA26" s="196">
        <f t="shared" si="15"/>
        <v>0.99999990769713587</v>
      </c>
      <c r="BB26" s="210" t="s">
        <v>825</v>
      </c>
      <c r="BC26" s="115" t="s">
        <v>825</v>
      </c>
      <c r="BD26" s="236" t="s">
        <v>825</v>
      </c>
    </row>
    <row r="27" spans="1:56" s="121" customFormat="1" ht="14.25" customHeight="1">
      <c r="A27" s="104" t="s">
        <v>2577</v>
      </c>
      <c r="B27" s="105" t="s">
        <v>259</v>
      </c>
      <c r="C27" s="106" t="s">
        <v>254</v>
      </c>
      <c r="D27" s="106" t="s">
        <v>2415</v>
      </c>
      <c r="E27" s="71" t="s">
        <v>255</v>
      </c>
      <c r="F27" s="71" t="s">
        <v>187</v>
      </c>
      <c r="G27" s="290" t="s">
        <v>2058</v>
      </c>
      <c r="H27" s="326"/>
      <c r="I27" s="124"/>
      <c r="J27" s="124"/>
      <c r="K27" s="113">
        <f t="shared" si="2"/>
        <v>0</v>
      </c>
      <c r="L27" s="111"/>
      <c r="M27" s="112"/>
      <c r="N27" s="112"/>
      <c r="O27" s="111"/>
      <c r="P27" s="114"/>
      <c r="Q27" s="111">
        <v>8477</v>
      </c>
      <c r="R27" s="124"/>
      <c r="S27" s="111">
        <f t="shared" si="8"/>
        <v>0</v>
      </c>
      <c r="T27" s="124"/>
      <c r="U27" s="126"/>
      <c r="V27" s="124"/>
      <c r="W27" s="113">
        <f t="shared" si="3"/>
        <v>0</v>
      </c>
      <c r="X27" s="125"/>
      <c r="Y27" s="125"/>
      <c r="Z27" s="126"/>
      <c r="AA27" s="125"/>
      <c r="AB27" s="113">
        <f t="shared" si="4"/>
        <v>0</v>
      </c>
      <c r="AC27" s="125"/>
      <c r="AD27" s="125"/>
      <c r="AE27" s="124"/>
      <c r="AF27" s="197"/>
      <c r="AG27" s="125"/>
      <c r="AH27" s="124"/>
      <c r="AI27" s="124"/>
      <c r="AJ27" s="113">
        <f t="shared" si="14"/>
        <v>0</v>
      </c>
      <c r="AK27" s="112">
        <f t="shared" si="10"/>
        <v>15750</v>
      </c>
      <c r="AL27" s="112">
        <f t="shared" si="10"/>
        <v>7796.25</v>
      </c>
      <c r="AM27" s="112">
        <f t="shared" si="10"/>
        <v>7953.75</v>
      </c>
      <c r="AN27" s="112">
        <f t="shared" si="10"/>
        <v>519.75</v>
      </c>
      <c r="AO27" s="192">
        <f t="shared" si="6"/>
        <v>0.495</v>
      </c>
      <c r="AP27" s="193">
        <f t="shared" si="7"/>
        <v>519.75</v>
      </c>
      <c r="AQ27" s="193">
        <f t="shared" si="9"/>
        <v>-519.75</v>
      </c>
      <c r="AR27" s="127"/>
      <c r="AS27" s="128"/>
      <c r="AT27" s="128"/>
      <c r="AU27" s="129"/>
      <c r="AV27" s="518"/>
      <c r="AW27" s="112">
        <v>15750000</v>
      </c>
      <c r="AX27" s="162">
        <v>7796250</v>
      </c>
      <c r="AY27" s="162">
        <v>7953750</v>
      </c>
      <c r="AZ27" s="162">
        <v>519750</v>
      </c>
      <c r="BA27" s="196">
        <f t="shared" si="15"/>
        <v>0.495</v>
      </c>
      <c r="BB27" s="210" t="s">
        <v>825</v>
      </c>
      <c r="BC27" s="115" t="s">
        <v>825</v>
      </c>
      <c r="BD27" s="236" t="s">
        <v>825</v>
      </c>
    </row>
    <row r="28" spans="1:56" s="121" customFormat="1" ht="14.25" customHeight="1">
      <c r="A28" s="104" t="s">
        <v>2577</v>
      </c>
      <c r="B28" s="105" t="s">
        <v>272</v>
      </c>
      <c r="C28" s="106" t="s">
        <v>237</v>
      </c>
      <c r="D28" s="106" t="s">
        <v>2415</v>
      </c>
      <c r="E28" s="71" t="s">
        <v>238</v>
      </c>
      <c r="F28" s="71" t="s">
        <v>187</v>
      </c>
      <c r="G28" s="290" t="s">
        <v>2058</v>
      </c>
      <c r="H28" s="326"/>
      <c r="I28" s="124"/>
      <c r="J28" s="124"/>
      <c r="K28" s="113">
        <f t="shared" si="2"/>
        <v>0</v>
      </c>
      <c r="L28" s="111"/>
      <c r="M28" s="112"/>
      <c r="N28" s="112"/>
      <c r="O28" s="112"/>
      <c r="P28" s="114"/>
      <c r="Q28" s="111">
        <v>8477</v>
      </c>
      <c r="R28" s="124"/>
      <c r="S28" s="111">
        <f t="shared" si="8"/>
        <v>0</v>
      </c>
      <c r="T28" s="124"/>
      <c r="U28" s="126"/>
      <c r="V28" s="124"/>
      <c r="W28" s="113">
        <f t="shared" si="3"/>
        <v>0</v>
      </c>
      <c r="X28" s="125"/>
      <c r="Y28" s="125"/>
      <c r="Z28" s="126"/>
      <c r="AA28" s="125"/>
      <c r="AB28" s="113">
        <f t="shared" si="4"/>
        <v>0</v>
      </c>
      <c r="AC28" s="125"/>
      <c r="AD28" s="125"/>
      <c r="AE28" s="124"/>
      <c r="AF28" s="197"/>
      <c r="AG28" s="125"/>
      <c r="AH28" s="124"/>
      <c r="AI28" s="124"/>
      <c r="AJ28" s="113">
        <f t="shared" si="14"/>
        <v>0</v>
      </c>
      <c r="AK28" s="112">
        <f t="shared" si="10"/>
        <v>29116</v>
      </c>
      <c r="AL28" s="112">
        <f t="shared" si="10"/>
        <v>16508.772000000001</v>
      </c>
      <c r="AM28" s="112">
        <f t="shared" si="10"/>
        <v>12607.227999999999</v>
      </c>
      <c r="AN28" s="112">
        <f t="shared" si="10"/>
        <v>786.13199999999995</v>
      </c>
      <c r="AO28" s="192">
        <f t="shared" si="6"/>
        <v>0.56699999999999995</v>
      </c>
      <c r="AP28" s="193">
        <f t="shared" si="7"/>
        <v>786.13199999999995</v>
      </c>
      <c r="AQ28" s="193">
        <f t="shared" si="9"/>
        <v>-786.13199999999995</v>
      </c>
      <c r="AR28" s="127"/>
      <c r="AS28" s="128"/>
      <c r="AT28" s="128"/>
      <c r="AU28" s="129"/>
      <c r="AV28" s="518"/>
      <c r="AW28" s="112">
        <v>29116000</v>
      </c>
      <c r="AX28" s="162">
        <v>16508772</v>
      </c>
      <c r="AY28" s="162">
        <v>12607228</v>
      </c>
      <c r="AZ28" s="162">
        <v>786132</v>
      </c>
      <c r="BA28" s="196">
        <f t="shared" si="15"/>
        <v>0.56699999999999995</v>
      </c>
      <c r="BB28" s="210" t="s">
        <v>825</v>
      </c>
      <c r="BC28" s="115" t="s">
        <v>825</v>
      </c>
      <c r="BD28" s="236" t="s">
        <v>825</v>
      </c>
    </row>
    <row r="29" spans="1:56" s="121" customFormat="1" ht="14.25" customHeight="1">
      <c r="A29" s="104" t="s">
        <v>2577</v>
      </c>
      <c r="B29" s="105" t="s">
        <v>277</v>
      </c>
      <c r="C29" s="106" t="s">
        <v>232</v>
      </c>
      <c r="D29" s="106" t="s">
        <v>2415</v>
      </c>
      <c r="E29" s="71" t="s">
        <v>233</v>
      </c>
      <c r="F29" s="71" t="s">
        <v>187</v>
      </c>
      <c r="G29" s="290" t="s">
        <v>2058</v>
      </c>
      <c r="H29" s="326"/>
      <c r="I29" s="124"/>
      <c r="J29" s="124"/>
      <c r="K29" s="113">
        <f t="shared" si="2"/>
        <v>0</v>
      </c>
      <c r="L29" s="111"/>
      <c r="M29" s="112"/>
      <c r="N29" s="112"/>
      <c r="O29" s="112"/>
      <c r="P29" s="114"/>
      <c r="Q29" s="111">
        <v>8477</v>
      </c>
      <c r="R29" s="124"/>
      <c r="S29" s="111">
        <f t="shared" si="8"/>
        <v>0</v>
      </c>
      <c r="T29" s="124"/>
      <c r="U29" s="126"/>
      <c r="V29" s="124"/>
      <c r="W29" s="113">
        <f t="shared" si="3"/>
        <v>0</v>
      </c>
      <c r="X29" s="125"/>
      <c r="Y29" s="125"/>
      <c r="Z29" s="126"/>
      <c r="AA29" s="125"/>
      <c r="AB29" s="113">
        <f t="shared" si="4"/>
        <v>0</v>
      </c>
      <c r="AC29" s="125"/>
      <c r="AD29" s="125"/>
      <c r="AE29" s="124"/>
      <c r="AF29" s="197"/>
      <c r="AG29" s="125"/>
      <c r="AH29" s="124"/>
      <c r="AI29" s="124"/>
      <c r="AJ29" s="113">
        <f t="shared" si="14"/>
        <v>0</v>
      </c>
      <c r="AK29" s="112">
        <f t="shared" si="10"/>
        <v>21840</v>
      </c>
      <c r="AL29" s="112">
        <f t="shared" si="10"/>
        <v>13562.64</v>
      </c>
      <c r="AM29" s="112">
        <f t="shared" si="10"/>
        <v>8277.36</v>
      </c>
      <c r="AN29" s="112">
        <f t="shared" si="10"/>
        <v>589.67999999999995</v>
      </c>
      <c r="AO29" s="192">
        <f t="shared" si="6"/>
        <v>0.621</v>
      </c>
      <c r="AP29" s="193">
        <f t="shared" si="7"/>
        <v>589.67999999999995</v>
      </c>
      <c r="AQ29" s="193">
        <f t="shared" si="9"/>
        <v>-589.67999999999995</v>
      </c>
      <c r="AR29" s="127"/>
      <c r="AS29" s="128"/>
      <c r="AT29" s="128"/>
      <c r="AU29" s="129"/>
      <c r="AV29" s="518"/>
      <c r="AW29" s="112">
        <v>21840000</v>
      </c>
      <c r="AX29" s="162">
        <v>13562640</v>
      </c>
      <c r="AY29" s="162">
        <v>8277360</v>
      </c>
      <c r="AZ29" s="162">
        <v>589680</v>
      </c>
      <c r="BA29" s="196">
        <f t="shared" si="15"/>
        <v>0.621</v>
      </c>
      <c r="BB29" s="210" t="s">
        <v>825</v>
      </c>
      <c r="BC29" s="115" t="s">
        <v>825</v>
      </c>
      <c r="BD29" s="236" t="s">
        <v>825</v>
      </c>
    </row>
    <row r="30" spans="1:56" s="121" customFormat="1" ht="14.25" customHeight="1">
      <c r="A30" s="104" t="s">
        <v>2577</v>
      </c>
      <c r="B30" s="105" t="s">
        <v>282</v>
      </c>
      <c r="C30" s="106" t="s">
        <v>242</v>
      </c>
      <c r="D30" s="106" t="s">
        <v>2415</v>
      </c>
      <c r="E30" s="71" t="s">
        <v>243</v>
      </c>
      <c r="F30" s="71" t="s">
        <v>187</v>
      </c>
      <c r="G30" s="290" t="s">
        <v>2058</v>
      </c>
      <c r="H30" s="326"/>
      <c r="I30" s="124"/>
      <c r="J30" s="124"/>
      <c r="K30" s="113">
        <f t="shared" si="2"/>
        <v>0</v>
      </c>
      <c r="L30" s="111"/>
      <c r="M30" s="112"/>
      <c r="N30" s="112"/>
      <c r="O30" s="112"/>
      <c r="P30" s="114"/>
      <c r="Q30" s="111">
        <v>8477</v>
      </c>
      <c r="R30" s="124"/>
      <c r="S30" s="111">
        <f t="shared" si="8"/>
        <v>0</v>
      </c>
      <c r="T30" s="124"/>
      <c r="U30" s="126"/>
      <c r="V30" s="124"/>
      <c r="W30" s="113">
        <f t="shared" si="3"/>
        <v>0</v>
      </c>
      <c r="X30" s="200"/>
      <c r="Y30" s="200"/>
      <c r="Z30" s="201"/>
      <c r="AA30" s="200"/>
      <c r="AB30" s="113">
        <f t="shared" si="4"/>
        <v>0</v>
      </c>
      <c r="AC30" s="200"/>
      <c r="AD30" s="200"/>
      <c r="AE30" s="202"/>
      <c r="AF30" s="203"/>
      <c r="AG30" s="200"/>
      <c r="AH30" s="202"/>
      <c r="AI30" s="202"/>
      <c r="AJ30" s="113">
        <f t="shared" si="14"/>
        <v>0</v>
      </c>
      <c r="AK30" s="112">
        <f t="shared" si="10"/>
        <v>14595</v>
      </c>
      <c r="AL30" s="112">
        <f t="shared" si="10"/>
        <v>6261.2550000000001</v>
      </c>
      <c r="AM30" s="112">
        <f t="shared" si="10"/>
        <v>8333.7450000000008</v>
      </c>
      <c r="AN30" s="112">
        <f t="shared" si="10"/>
        <v>481.63499999999999</v>
      </c>
      <c r="AO30" s="192">
        <f t="shared" si="6"/>
        <v>0.42899999999999999</v>
      </c>
      <c r="AP30" s="193">
        <f t="shared" si="7"/>
        <v>481.63499999999999</v>
      </c>
      <c r="AQ30" s="193">
        <f t="shared" si="9"/>
        <v>-481.63499999999999</v>
      </c>
      <c r="AR30" s="204"/>
      <c r="AS30" s="205"/>
      <c r="AT30" s="205"/>
      <c r="AU30" s="206"/>
      <c r="AV30" s="519"/>
      <c r="AW30" s="112">
        <v>14595000</v>
      </c>
      <c r="AX30" s="162">
        <v>6261255</v>
      </c>
      <c r="AY30" s="162">
        <v>8333745</v>
      </c>
      <c r="AZ30" s="162">
        <v>481635</v>
      </c>
      <c r="BA30" s="196">
        <f t="shared" si="15"/>
        <v>0.42899999999999999</v>
      </c>
      <c r="BB30" s="210" t="s">
        <v>825</v>
      </c>
      <c r="BC30" s="115" t="s">
        <v>825</v>
      </c>
      <c r="BD30" s="236" t="s">
        <v>825</v>
      </c>
    </row>
    <row r="31" spans="1:56" s="121" customFormat="1" ht="14.25" customHeight="1">
      <c r="A31" s="104" t="s">
        <v>2577</v>
      </c>
      <c r="B31" s="105" t="s">
        <v>289</v>
      </c>
      <c r="C31" s="107" t="s">
        <v>260</v>
      </c>
      <c r="D31" s="106" t="s">
        <v>2415</v>
      </c>
      <c r="E31" s="71" t="s">
        <v>261</v>
      </c>
      <c r="F31" s="131" t="s">
        <v>78</v>
      </c>
      <c r="G31" s="327" t="s">
        <v>180</v>
      </c>
      <c r="H31" s="133"/>
      <c r="I31" s="112"/>
      <c r="J31" s="333">
        <v>0</v>
      </c>
      <c r="K31" s="113">
        <f t="shared" si="2"/>
        <v>0</v>
      </c>
      <c r="L31" s="135">
        <v>232.70400000000001</v>
      </c>
      <c r="M31" s="135">
        <v>69.105999999999995</v>
      </c>
      <c r="N31" s="134">
        <v>0</v>
      </c>
      <c r="O31" s="135">
        <v>20.350000000000001</v>
      </c>
      <c r="P31" s="136">
        <v>2.4E-2</v>
      </c>
      <c r="Q31" s="111">
        <v>8477</v>
      </c>
      <c r="R31" s="134"/>
      <c r="S31" s="111">
        <f t="shared" si="8"/>
        <v>203</v>
      </c>
      <c r="T31" s="134">
        <v>139.69999999999999</v>
      </c>
      <c r="U31" s="137">
        <v>125.828</v>
      </c>
      <c r="V31" s="135">
        <v>100.22199999999999</v>
      </c>
      <c r="W31" s="113">
        <f t="shared" si="3"/>
        <v>890.91000000000008</v>
      </c>
      <c r="X31" s="135">
        <v>0</v>
      </c>
      <c r="Y31" s="135">
        <v>0</v>
      </c>
      <c r="Z31" s="137">
        <v>0.06</v>
      </c>
      <c r="AA31" s="135">
        <v>100.22199999999999</v>
      </c>
      <c r="AB31" s="113">
        <f t="shared" si="4"/>
        <v>100.282</v>
      </c>
      <c r="AC31" s="135">
        <v>0</v>
      </c>
      <c r="AD31" s="135">
        <v>0</v>
      </c>
      <c r="AE31" s="134">
        <v>0</v>
      </c>
      <c r="AF31" s="138">
        <v>0</v>
      </c>
      <c r="AG31" s="135">
        <v>0</v>
      </c>
      <c r="AH31" s="134">
        <v>0</v>
      </c>
      <c r="AI31" s="134">
        <v>6.1150000000000002</v>
      </c>
      <c r="AJ31" s="113">
        <f t="shared" si="14"/>
        <v>6.1150000000000002</v>
      </c>
      <c r="AK31" s="112">
        <f t="shared" si="10"/>
        <v>45186.3</v>
      </c>
      <c r="AL31" s="112">
        <f t="shared" si="10"/>
        <v>39798.648999999998</v>
      </c>
      <c r="AM31" s="112">
        <f t="shared" si="10"/>
        <v>5387.6509999999998</v>
      </c>
      <c r="AN31" s="112">
        <f t="shared" si="10"/>
        <v>412.49200000000002</v>
      </c>
      <c r="AO31" s="192">
        <f t="shared" si="6"/>
        <v>0.88076804252616392</v>
      </c>
      <c r="AP31" s="193">
        <f t="shared" si="7"/>
        <v>1303.402</v>
      </c>
      <c r="AQ31" s="193">
        <f t="shared" si="9"/>
        <v>-1303.402</v>
      </c>
      <c r="AR31" s="139"/>
      <c r="AS31" s="140"/>
      <c r="AT31" s="140"/>
      <c r="AU31" s="141"/>
      <c r="AV31" s="520"/>
      <c r="AW31" s="112">
        <v>45186300</v>
      </c>
      <c r="AX31" s="162">
        <v>39798649</v>
      </c>
      <c r="AY31" s="162">
        <v>5387651</v>
      </c>
      <c r="AZ31" s="162">
        <v>412492</v>
      </c>
      <c r="BA31" s="196">
        <f t="shared" si="15"/>
        <v>0.88076804252616392</v>
      </c>
      <c r="BB31" s="210">
        <v>4891</v>
      </c>
      <c r="BC31" s="115">
        <v>0</v>
      </c>
      <c r="BD31" s="236">
        <v>0</v>
      </c>
    </row>
    <row r="32" spans="1:56" s="121" customFormat="1" ht="14.25" customHeight="1">
      <c r="A32" s="104" t="s">
        <v>2577</v>
      </c>
      <c r="B32" s="105" t="s">
        <v>294</v>
      </c>
      <c r="C32" s="106" t="s">
        <v>273</v>
      </c>
      <c r="D32" s="106" t="s">
        <v>2415</v>
      </c>
      <c r="E32" s="71" t="s">
        <v>274</v>
      </c>
      <c r="F32" s="71" t="s">
        <v>78</v>
      </c>
      <c r="G32" s="68" t="s">
        <v>180</v>
      </c>
      <c r="H32" s="133"/>
      <c r="I32" s="134"/>
      <c r="J32" s="330">
        <v>59</v>
      </c>
      <c r="K32" s="113">
        <f t="shared" si="2"/>
        <v>59</v>
      </c>
      <c r="L32" s="111">
        <v>260.49299999999999</v>
      </c>
      <c r="M32" s="135">
        <v>23.456</v>
      </c>
      <c r="N32" s="134">
        <v>0</v>
      </c>
      <c r="O32" s="111">
        <v>0</v>
      </c>
      <c r="P32" s="136">
        <v>2.4E-2</v>
      </c>
      <c r="Q32" s="111">
        <v>8477</v>
      </c>
      <c r="R32" s="134"/>
      <c r="S32" s="111">
        <f t="shared" si="8"/>
        <v>203</v>
      </c>
      <c r="T32" s="112">
        <v>0</v>
      </c>
      <c r="U32" s="116">
        <v>36.768999999999998</v>
      </c>
      <c r="V32" s="135">
        <v>100.22199999999999</v>
      </c>
      <c r="W32" s="113">
        <f t="shared" si="3"/>
        <v>623.93999999999994</v>
      </c>
      <c r="X32" s="135">
        <v>0</v>
      </c>
      <c r="Y32" s="135">
        <v>0</v>
      </c>
      <c r="Z32" s="116">
        <v>133</v>
      </c>
      <c r="AA32" s="135">
        <v>100.22199999999999</v>
      </c>
      <c r="AB32" s="113">
        <f t="shared" si="4"/>
        <v>233.22199999999998</v>
      </c>
      <c r="AC32" s="111">
        <v>0</v>
      </c>
      <c r="AD32" s="111">
        <v>38.020000000000003</v>
      </c>
      <c r="AE32" s="112">
        <v>0</v>
      </c>
      <c r="AF32" s="117">
        <v>0</v>
      </c>
      <c r="AG32" s="111">
        <v>60.491</v>
      </c>
      <c r="AH32" s="112">
        <v>0</v>
      </c>
      <c r="AI32" s="112">
        <v>9.1310000000000002</v>
      </c>
      <c r="AJ32" s="113">
        <f t="shared" si="14"/>
        <v>107.642</v>
      </c>
      <c r="AK32" s="112">
        <f t="shared" si="10"/>
        <v>33622.199999999997</v>
      </c>
      <c r="AL32" s="112">
        <f t="shared" si="10"/>
        <v>32244.697</v>
      </c>
      <c r="AM32" s="112">
        <f t="shared" si="10"/>
        <v>1377.5029999999999</v>
      </c>
      <c r="AN32" s="112">
        <f t="shared" si="10"/>
        <v>88.734999999999999</v>
      </c>
      <c r="AO32" s="192">
        <f t="shared" si="6"/>
        <v>0.95902995639785615</v>
      </c>
      <c r="AP32" s="193">
        <f t="shared" si="7"/>
        <v>712.67499999999995</v>
      </c>
      <c r="AQ32" s="193">
        <f t="shared" si="9"/>
        <v>-653.67499999999995</v>
      </c>
      <c r="AR32" s="118"/>
      <c r="AS32" s="119"/>
      <c r="AT32" s="119"/>
      <c r="AU32" s="120"/>
      <c r="AV32" s="161"/>
      <c r="AW32" s="112">
        <v>33622200</v>
      </c>
      <c r="AX32" s="162">
        <v>32244697</v>
      </c>
      <c r="AY32" s="162">
        <v>1377503</v>
      </c>
      <c r="AZ32" s="162">
        <v>88735</v>
      </c>
      <c r="BA32" s="196">
        <f t="shared" si="15"/>
        <v>0.95902995639785615</v>
      </c>
      <c r="BB32" s="210">
        <v>4175</v>
      </c>
      <c r="BC32" s="115">
        <v>0</v>
      </c>
      <c r="BD32" s="236">
        <v>0</v>
      </c>
    </row>
    <row r="33" spans="1:56" s="121" customFormat="1" ht="14.25" customHeight="1">
      <c r="A33" s="104" t="s">
        <v>2577</v>
      </c>
      <c r="B33" s="105" t="s">
        <v>297</v>
      </c>
      <c r="C33" s="106" t="s">
        <v>278</v>
      </c>
      <c r="D33" s="106" t="s">
        <v>2415</v>
      </c>
      <c r="E33" s="71" t="s">
        <v>279</v>
      </c>
      <c r="F33" s="71" t="s">
        <v>78</v>
      </c>
      <c r="G33" s="68" t="s">
        <v>180</v>
      </c>
      <c r="H33" s="133"/>
      <c r="I33" s="134"/>
      <c r="J33" s="330">
        <v>111</v>
      </c>
      <c r="K33" s="113">
        <f t="shared" si="2"/>
        <v>111</v>
      </c>
      <c r="L33" s="111">
        <v>501.24700000000001</v>
      </c>
      <c r="M33" s="135">
        <v>23.456</v>
      </c>
      <c r="N33" s="134">
        <v>0</v>
      </c>
      <c r="O33" s="111">
        <v>80.849999999999994</v>
      </c>
      <c r="P33" s="136">
        <v>2.4E-2</v>
      </c>
      <c r="Q33" s="111">
        <v>8477</v>
      </c>
      <c r="R33" s="134"/>
      <c r="S33" s="111">
        <f t="shared" si="8"/>
        <v>203</v>
      </c>
      <c r="T33" s="112">
        <v>0</v>
      </c>
      <c r="U33" s="116">
        <v>28.768999999999998</v>
      </c>
      <c r="V33" s="135">
        <v>100.22199999999999</v>
      </c>
      <c r="W33" s="113">
        <f t="shared" si="3"/>
        <v>937.54399999999998</v>
      </c>
      <c r="X33" s="135">
        <v>0</v>
      </c>
      <c r="Y33" s="135">
        <v>0</v>
      </c>
      <c r="Z33" s="116">
        <v>233</v>
      </c>
      <c r="AA33" s="135">
        <v>100.22199999999999</v>
      </c>
      <c r="AB33" s="113">
        <f t="shared" si="4"/>
        <v>333.22199999999998</v>
      </c>
      <c r="AC33" s="111">
        <v>0</v>
      </c>
      <c r="AD33" s="111">
        <v>120</v>
      </c>
      <c r="AE33" s="112">
        <v>0</v>
      </c>
      <c r="AF33" s="117">
        <v>0</v>
      </c>
      <c r="AG33" s="111">
        <v>64</v>
      </c>
      <c r="AH33" s="112">
        <v>0</v>
      </c>
      <c r="AI33" s="112">
        <v>96.161000000000001</v>
      </c>
      <c r="AJ33" s="113">
        <f t="shared" si="14"/>
        <v>280.161</v>
      </c>
      <c r="AK33" s="112">
        <f t="shared" si="10"/>
        <v>89133.1</v>
      </c>
      <c r="AL33" s="112">
        <f t="shared" si="10"/>
        <v>82048.926000000007</v>
      </c>
      <c r="AM33" s="112">
        <f t="shared" si="10"/>
        <v>7084.174</v>
      </c>
      <c r="AN33" s="112">
        <f t="shared" si="10"/>
        <v>1143.902</v>
      </c>
      <c r="AO33" s="192">
        <f t="shared" si="6"/>
        <v>0.92052140001862381</v>
      </c>
      <c r="AP33" s="193">
        <f t="shared" si="7"/>
        <v>2081.4459999999999</v>
      </c>
      <c r="AQ33" s="193">
        <f t="shared" si="9"/>
        <v>-1970.4459999999999</v>
      </c>
      <c r="AR33" s="118"/>
      <c r="AS33" s="119"/>
      <c r="AT33" s="119"/>
      <c r="AU33" s="120"/>
      <c r="AV33" s="161"/>
      <c r="AW33" s="112">
        <v>89133100</v>
      </c>
      <c r="AX33" s="162">
        <v>82048926</v>
      </c>
      <c r="AY33" s="162">
        <v>7084174</v>
      </c>
      <c r="AZ33" s="162">
        <v>1143902</v>
      </c>
      <c r="BA33" s="196">
        <f t="shared" si="15"/>
        <v>0.92052140001862381</v>
      </c>
      <c r="BB33" s="210">
        <v>8840</v>
      </c>
      <c r="BC33" s="115">
        <v>0</v>
      </c>
      <c r="BD33" s="236">
        <v>0</v>
      </c>
    </row>
    <row r="34" spans="1:56" s="121" customFormat="1" ht="14.25" customHeight="1">
      <c r="A34" s="104" t="s">
        <v>2577</v>
      </c>
      <c r="B34" s="105" t="s">
        <v>301</v>
      </c>
      <c r="C34" s="106" t="s">
        <v>283</v>
      </c>
      <c r="D34" s="106" t="s">
        <v>2415</v>
      </c>
      <c r="E34" s="71" t="s">
        <v>284</v>
      </c>
      <c r="F34" s="71" t="s">
        <v>78</v>
      </c>
      <c r="G34" s="68" t="s">
        <v>180</v>
      </c>
      <c r="H34" s="133"/>
      <c r="I34" s="134"/>
      <c r="J34" s="330">
        <v>0</v>
      </c>
      <c r="K34" s="113">
        <f t="shared" si="2"/>
        <v>0</v>
      </c>
      <c r="L34" s="111">
        <v>140.81200000000001</v>
      </c>
      <c r="M34" s="135">
        <v>23.456</v>
      </c>
      <c r="N34" s="134">
        <v>0</v>
      </c>
      <c r="O34" s="111">
        <v>127.6</v>
      </c>
      <c r="P34" s="136">
        <v>2.4E-2</v>
      </c>
      <c r="Q34" s="111">
        <v>8477</v>
      </c>
      <c r="R34" s="134"/>
      <c r="S34" s="111">
        <f t="shared" si="8"/>
        <v>203</v>
      </c>
      <c r="T34" s="112">
        <v>13.2</v>
      </c>
      <c r="U34" s="116">
        <v>77.299000000000007</v>
      </c>
      <c r="V34" s="135">
        <v>100.22199999999999</v>
      </c>
      <c r="W34" s="113">
        <f t="shared" si="3"/>
        <v>685.58899999999994</v>
      </c>
      <c r="X34" s="135">
        <v>0</v>
      </c>
      <c r="Y34" s="135">
        <v>0</v>
      </c>
      <c r="Z34" s="116">
        <v>3.0000000000000001E-3</v>
      </c>
      <c r="AA34" s="135">
        <v>100.22199999999999</v>
      </c>
      <c r="AB34" s="113">
        <f t="shared" si="4"/>
        <v>100.22499999999999</v>
      </c>
      <c r="AC34" s="111">
        <v>0</v>
      </c>
      <c r="AD34" s="111">
        <v>0</v>
      </c>
      <c r="AE34" s="112">
        <v>0</v>
      </c>
      <c r="AF34" s="117">
        <v>0</v>
      </c>
      <c r="AG34" s="111">
        <v>0</v>
      </c>
      <c r="AH34" s="112">
        <v>0</v>
      </c>
      <c r="AI34" s="112">
        <v>61.146999999999998</v>
      </c>
      <c r="AJ34" s="113">
        <f t="shared" si="14"/>
        <v>61.146999999999998</v>
      </c>
      <c r="AK34" s="112">
        <f t="shared" si="10"/>
        <v>48817.7</v>
      </c>
      <c r="AL34" s="112">
        <f t="shared" si="10"/>
        <v>38859.101000000002</v>
      </c>
      <c r="AM34" s="112">
        <f t="shared" si="10"/>
        <v>9958.5990000000002</v>
      </c>
      <c r="AN34" s="112">
        <f t="shared" si="10"/>
        <v>1112.7090000000001</v>
      </c>
      <c r="AO34" s="192">
        <f t="shared" si="6"/>
        <v>0.79600433859030639</v>
      </c>
      <c r="AP34" s="193">
        <f t="shared" si="7"/>
        <v>1798.298</v>
      </c>
      <c r="AQ34" s="193">
        <f t="shared" si="9"/>
        <v>-1798.298</v>
      </c>
      <c r="AR34" s="118"/>
      <c r="AS34" s="119"/>
      <c r="AT34" s="119"/>
      <c r="AU34" s="120"/>
      <c r="AV34" s="161"/>
      <c r="AW34" s="112">
        <v>48817700</v>
      </c>
      <c r="AX34" s="162">
        <v>38859101</v>
      </c>
      <c r="AY34" s="162">
        <v>9958599</v>
      </c>
      <c r="AZ34" s="162">
        <v>1112709</v>
      </c>
      <c r="BA34" s="196">
        <f t="shared" si="15"/>
        <v>0.79600433859030639</v>
      </c>
      <c r="BB34" s="210">
        <v>3310</v>
      </c>
      <c r="BC34" s="115">
        <v>0</v>
      </c>
      <c r="BD34" s="236">
        <v>0</v>
      </c>
    </row>
    <row r="35" spans="1:56" s="121" customFormat="1" ht="14.25" customHeight="1">
      <c r="A35" s="104" t="s">
        <v>2577</v>
      </c>
      <c r="B35" s="105" t="s">
        <v>310</v>
      </c>
      <c r="C35" s="106" t="s">
        <v>290</v>
      </c>
      <c r="D35" s="106" t="s">
        <v>2415</v>
      </c>
      <c r="E35" s="71" t="s">
        <v>291</v>
      </c>
      <c r="F35" s="71" t="s">
        <v>78</v>
      </c>
      <c r="G35" s="68" t="s">
        <v>180</v>
      </c>
      <c r="H35" s="133"/>
      <c r="I35" s="134"/>
      <c r="J35" s="330">
        <v>302</v>
      </c>
      <c r="K35" s="113">
        <f t="shared" si="2"/>
        <v>302</v>
      </c>
      <c r="L35" s="111">
        <v>878.48900000000003</v>
      </c>
      <c r="M35" s="135">
        <v>23.454999999999998</v>
      </c>
      <c r="N35" s="134">
        <v>1692.2840000000001</v>
      </c>
      <c r="O35" s="111">
        <v>81.400000000000006</v>
      </c>
      <c r="P35" s="136">
        <v>2.4E-2</v>
      </c>
      <c r="Q35" s="111">
        <v>8477</v>
      </c>
      <c r="R35" s="134"/>
      <c r="S35" s="111">
        <f t="shared" si="8"/>
        <v>203</v>
      </c>
      <c r="T35" s="112">
        <v>147.4</v>
      </c>
      <c r="U35" s="116">
        <v>125.828</v>
      </c>
      <c r="V35" s="135">
        <v>100.22199999999999</v>
      </c>
      <c r="W35" s="113">
        <f t="shared" si="3"/>
        <v>3252.0780000000004</v>
      </c>
      <c r="X35" s="135">
        <v>0</v>
      </c>
      <c r="Y35" s="135">
        <v>0</v>
      </c>
      <c r="Z35" s="116">
        <v>674</v>
      </c>
      <c r="AA35" s="135">
        <v>100.22199999999999</v>
      </c>
      <c r="AB35" s="113">
        <f t="shared" si="4"/>
        <v>774.22199999999998</v>
      </c>
      <c r="AC35" s="111">
        <v>0</v>
      </c>
      <c r="AD35" s="111">
        <v>84</v>
      </c>
      <c r="AE35" s="112">
        <v>0</v>
      </c>
      <c r="AF35" s="117">
        <v>0</v>
      </c>
      <c r="AG35" s="111">
        <v>279</v>
      </c>
      <c r="AH35" s="112">
        <v>0</v>
      </c>
      <c r="AI35" s="112">
        <v>185.017</v>
      </c>
      <c r="AJ35" s="113">
        <f t="shared" si="14"/>
        <v>548.01700000000005</v>
      </c>
      <c r="AK35" s="112">
        <f t="shared" si="10"/>
        <v>86574.281000000003</v>
      </c>
      <c r="AL35" s="112">
        <f t="shared" si="10"/>
        <v>73939.495999999999</v>
      </c>
      <c r="AM35" s="112">
        <f t="shared" si="10"/>
        <v>12634.785</v>
      </c>
      <c r="AN35" s="112">
        <f t="shared" si="10"/>
        <v>2058.7159999999999</v>
      </c>
      <c r="AO35" s="192">
        <f t="shared" si="6"/>
        <v>0.85405844721944613</v>
      </c>
      <c r="AP35" s="193">
        <f t="shared" si="7"/>
        <v>5310.7939999999999</v>
      </c>
      <c r="AQ35" s="193">
        <f t="shared" si="9"/>
        <v>-5008.7939999999999</v>
      </c>
      <c r="AR35" s="118"/>
      <c r="AS35" s="119"/>
      <c r="AT35" s="119"/>
      <c r="AU35" s="120"/>
      <c r="AV35" s="161"/>
      <c r="AW35" s="112">
        <v>86574281</v>
      </c>
      <c r="AX35" s="162">
        <v>73939496</v>
      </c>
      <c r="AY35" s="162">
        <v>12634785</v>
      </c>
      <c r="AZ35" s="162">
        <v>2058716</v>
      </c>
      <c r="BA35" s="196">
        <f t="shared" si="15"/>
        <v>0.85405844721944613</v>
      </c>
      <c r="BB35" s="210">
        <v>28675</v>
      </c>
      <c r="BC35" s="115">
        <v>0</v>
      </c>
      <c r="BD35" s="236">
        <v>0</v>
      </c>
    </row>
    <row r="36" spans="1:56" s="121" customFormat="1" ht="14.25" customHeight="1">
      <c r="A36" s="104" t="s">
        <v>2577</v>
      </c>
      <c r="B36" s="105" t="s">
        <v>317</v>
      </c>
      <c r="C36" s="106" t="s">
        <v>295</v>
      </c>
      <c r="D36" s="106" t="s">
        <v>2415</v>
      </c>
      <c r="E36" s="71" t="s">
        <v>296</v>
      </c>
      <c r="F36" s="71" t="s">
        <v>78</v>
      </c>
      <c r="G36" s="68" t="s">
        <v>180</v>
      </c>
      <c r="H36" s="133"/>
      <c r="I36" s="134"/>
      <c r="J36" s="330">
        <v>310</v>
      </c>
      <c r="K36" s="113">
        <f t="shared" si="2"/>
        <v>310</v>
      </c>
      <c r="L36" s="111">
        <v>688.03599999999994</v>
      </c>
      <c r="M36" s="135">
        <v>23.456</v>
      </c>
      <c r="N36" s="134">
        <v>0</v>
      </c>
      <c r="O36" s="111">
        <v>143</v>
      </c>
      <c r="P36" s="136">
        <v>2.4E-2</v>
      </c>
      <c r="Q36" s="111">
        <v>8477</v>
      </c>
      <c r="R36" s="134"/>
      <c r="S36" s="111">
        <f t="shared" si="8"/>
        <v>203</v>
      </c>
      <c r="T36" s="112">
        <v>0</v>
      </c>
      <c r="U36" s="116">
        <v>29.577000000000002</v>
      </c>
      <c r="V36" s="135">
        <v>100.22199999999999</v>
      </c>
      <c r="W36" s="113">
        <f t="shared" si="3"/>
        <v>1187.2909999999999</v>
      </c>
      <c r="X36" s="135">
        <v>0</v>
      </c>
      <c r="Y36" s="135">
        <v>0</v>
      </c>
      <c r="Z36" s="116">
        <v>534</v>
      </c>
      <c r="AA36" s="135">
        <v>100.22199999999999</v>
      </c>
      <c r="AB36" s="113">
        <f t="shared" si="4"/>
        <v>634.22199999999998</v>
      </c>
      <c r="AC36" s="111">
        <v>0</v>
      </c>
      <c r="AD36" s="111">
        <v>0</v>
      </c>
      <c r="AE36" s="112">
        <v>0</v>
      </c>
      <c r="AF36" s="117">
        <v>52.713999999999999</v>
      </c>
      <c r="AG36" s="111">
        <v>89.5</v>
      </c>
      <c r="AH36" s="112">
        <v>0</v>
      </c>
      <c r="AI36" s="112">
        <v>155.61799999999999</v>
      </c>
      <c r="AJ36" s="113">
        <f t="shared" si="14"/>
        <v>297.83199999999999</v>
      </c>
      <c r="AK36" s="112">
        <f t="shared" si="10"/>
        <v>82423.199999999997</v>
      </c>
      <c r="AL36" s="112">
        <f t="shared" si="10"/>
        <v>62817.127</v>
      </c>
      <c r="AM36" s="112">
        <f t="shared" si="10"/>
        <v>19606.073</v>
      </c>
      <c r="AN36" s="112">
        <f t="shared" si="10"/>
        <v>2059.0100000000002</v>
      </c>
      <c r="AO36" s="192">
        <f t="shared" si="6"/>
        <v>0.76212919420745617</v>
      </c>
      <c r="AP36" s="193">
        <f t="shared" si="7"/>
        <v>3246.3010000000004</v>
      </c>
      <c r="AQ36" s="193">
        <f t="shared" si="9"/>
        <v>-2936.3010000000004</v>
      </c>
      <c r="AR36" s="118"/>
      <c r="AS36" s="119"/>
      <c r="AT36" s="119"/>
      <c r="AU36" s="120"/>
      <c r="AV36" s="161"/>
      <c r="AW36" s="112">
        <v>82423200</v>
      </c>
      <c r="AX36" s="162">
        <v>62817127</v>
      </c>
      <c r="AY36" s="162">
        <v>19606073</v>
      </c>
      <c r="AZ36" s="162">
        <v>2059010</v>
      </c>
      <c r="BA36" s="196">
        <f t="shared" si="15"/>
        <v>0.76212919420745617</v>
      </c>
      <c r="BB36" s="210">
        <v>19633</v>
      </c>
      <c r="BC36" s="115">
        <v>0</v>
      </c>
      <c r="BD36" s="236">
        <v>0</v>
      </c>
    </row>
    <row r="37" spans="1:56" s="121" customFormat="1" ht="14.25" customHeight="1">
      <c r="A37" s="104" t="s">
        <v>2577</v>
      </c>
      <c r="B37" s="105" t="s">
        <v>322</v>
      </c>
      <c r="C37" s="106" t="s">
        <v>298</v>
      </c>
      <c r="D37" s="106" t="s">
        <v>2415</v>
      </c>
      <c r="E37" s="71" t="s">
        <v>2165</v>
      </c>
      <c r="F37" s="71" t="s">
        <v>78</v>
      </c>
      <c r="G37" s="68" t="s">
        <v>180</v>
      </c>
      <c r="H37" s="133"/>
      <c r="I37" s="134"/>
      <c r="J37" s="330">
        <v>39</v>
      </c>
      <c r="K37" s="113">
        <f t="shared" si="2"/>
        <v>39</v>
      </c>
      <c r="L37" s="111">
        <v>283.54000000000002</v>
      </c>
      <c r="M37" s="135">
        <v>23.456</v>
      </c>
      <c r="N37" s="134">
        <v>0</v>
      </c>
      <c r="O37" s="111">
        <v>0</v>
      </c>
      <c r="P37" s="136">
        <v>2.4E-2</v>
      </c>
      <c r="Q37" s="111">
        <v>8477</v>
      </c>
      <c r="R37" s="134"/>
      <c r="S37" s="111">
        <f t="shared" si="8"/>
        <v>203</v>
      </c>
      <c r="T37" s="112">
        <v>0</v>
      </c>
      <c r="U37" s="116">
        <v>28.768999999999998</v>
      </c>
      <c r="V37" s="135">
        <v>100.22199999999999</v>
      </c>
      <c r="W37" s="113">
        <f t="shared" si="3"/>
        <v>638.98699999999997</v>
      </c>
      <c r="X37" s="135">
        <v>0</v>
      </c>
      <c r="Y37" s="135">
        <v>0</v>
      </c>
      <c r="Z37" s="116">
        <v>134</v>
      </c>
      <c r="AA37" s="135">
        <v>100.22199999999999</v>
      </c>
      <c r="AB37" s="113">
        <f t="shared" si="4"/>
        <v>234.22199999999998</v>
      </c>
      <c r="AC37" s="111">
        <v>0</v>
      </c>
      <c r="AD37" s="111">
        <v>30</v>
      </c>
      <c r="AE37" s="112">
        <v>0</v>
      </c>
      <c r="AF37" s="117">
        <v>2.0070000000000001</v>
      </c>
      <c r="AG37" s="111">
        <v>90</v>
      </c>
      <c r="AH37" s="112">
        <v>0</v>
      </c>
      <c r="AI37" s="112">
        <v>29.265999999999998</v>
      </c>
      <c r="AJ37" s="113">
        <f t="shared" si="14"/>
        <v>151.273</v>
      </c>
      <c r="AK37" s="112">
        <f t="shared" si="10"/>
        <v>61779.5</v>
      </c>
      <c r="AL37" s="112">
        <f t="shared" si="10"/>
        <v>44917.4</v>
      </c>
      <c r="AM37" s="112">
        <f t="shared" si="10"/>
        <v>16862.099999999999</v>
      </c>
      <c r="AN37" s="112">
        <f t="shared" si="10"/>
        <v>1627.056</v>
      </c>
      <c r="AO37" s="192">
        <f t="shared" si="6"/>
        <v>0.72705994706982091</v>
      </c>
      <c r="AP37" s="193">
        <f t="shared" si="7"/>
        <v>2266.0430000000001</v>
      </c>
      <c r="AQ37" s="193">
        <f t="shared" si="9"/>
        <v>-2227.0430000000001</v>
      </c>
      <c r="AR37" s="118"/>
      <c r="AS37" s="119"/>
      <c r="AT37" s="119"/>
      <c r="AU37" s="120"/>
      <c r="AV37" s="161"/>
      <c r="AW37" s="112">
        <v>61779500</v>
      </c>
      <c r="AX37" s="162">
        <v>44917400</v>
      </c>
      <c r="AY37" s="162">
        <v>16862100</v>
      </c>
      <c r="AZ37" s="162">
        <v>1627056</v>
      </c>
      <c r="BA37" s="196">
        <f t="shared" si="15"/>
        <v>0.72705994706982091</v>
      </c>
      <c r="BB37" s="210">
        <v>5939</v>
      </c>
      <c r="BC37" s="115">
        <v>0</v>
      </c>
      <c r="BD37" s="236">
        <v>0</v>
      </c>
    </row>
    <row r="38" spans="1:56" s="121" customFormat="1" ht="14.25" customHeight="1">
      <c r="A38" s="521" t="s">
        <v>2577</v>
      </c>
      <c r="B38" s="105" t="s">
        <v>326</v>
      </c>
      <c r="C38" s="106" t="s">
        <v>302</v>
      </c>
      <c r="D38" s="106" t="s">
        <v>2415</v>
      </c>
      <c r="E38" s="71" t="s">
        <v>303</v>
      </c>
      <c r="F38" s="71" t="s">
        <v>2103</v>
      </c>
      <c r="G38" s="290" t="s">
        <v>2467</v>
      </c>
      <c r="H38" s="162"/>
      <c r="I38" s="112"/>
      <c r="J38" s="162"/>
      <c r="K38" s="113">
        <v>0</v>
      </c>
      <c r="L38" s="111">
        <v>3618</v>
      </c>
      <c r="M38" s="111">
        <v>5543</v>
      </c>
      <c r="N38" s="112"/>
      <c r="O38" s="111">
        <v>12</v>
      </c>
      <c r="P38" s="142"/>
      <c r="Q38" s="111">
        <v>8477</v>
      </c>
      <c r="R38" s="112"/>
      <c r="S38" s="111">
        <f t="shared" si="8"/>
        <v>0</v>
      </c>
      <c r="T38" s="112">
        <v>100</v>
      </c>
      <c r="U38" s="116"/>
      <c r="V38" s="112"/>
      <c r="W38" s="113">
        <v>9273</v>
      </c>
      <c r="X38" s="111"/>
      <c r="Y38" s="111"/>
      <c r="Z38" s="111"/>
      <c r="AA38" s="111"/>
      <c r="AB38" s="113">
        <v>0</v>
      </c>
      <c r="AC38" s="111"/>
      <c r="AD38" s="111"/>
      <c r="AE38" s="111"/>
      <c r="AF38" s="111"/>
      <c r="AG38" s="111"/>
      <c r="AH38" s="111"/>
      <c r="AI38" s="111"/>
      <c r="AJ38" s="113">
        <v>0</v>
      </c>
      <c r="AK38" s="112">
        <f t="shared" si="10"/>
        <v>118440</v>
      </c>
      <c r="AL38" s="112">
        <f t="shared" si="10"/>
        <v>114649.92</v>
      </c>
      <c r="AM38" s="112">
        <f t="shared" si="10"/>
        <v>3790.08</v>
      </c>
      <c r="AN38" s="112">
        <f t="shared" si="10"/>
        <v>2605.6799999999998</v>
      </c>
      <c r="AO38" s="192">
        <f t="shared" si="6"/>
        <v>0.96799999999999997</v>
      </c>
      <c r="AP38" s="193">
        <f t="shared" si="7"/>
        <v>11878.68</v>
      </c>
      <c r="AQ38" s="193">
        <f t="shared" si="9"/>
        <v>-11878.68</v>
      </c>
      <c r="AR38" s="118"/>
      <c r="AS38" s="119"/>
      <c r="AT38" s="119"/>
      <c r="AU38" s="120"/>
      <c r="AV38" s="522"/>
      <c r="AW38" s="145">
        <v>118440000</v>
      </c>
      <c r="AX38" s="523">
        <v>114649920</v>
      </c>
      <c r="AY38" s="162">
        <v>3790080</v>
      </c>
      <c r="AZ38" s="162">
        <v>2605680</v>
      </c>
      <c r="BA38" s="196">
        <f t="shared" si="15"/>
        <v>0.96799999999999997</v>
      </c>
      <c r="BB38" s="210">
        <v>0</v>
      </c>
      <c r="BC38" s="115">
        <v>0</v>
      </c>
      <c r="BD38" s="236">
        <v>0</v>
      </c>
    </row>
    <row r="39" spans="1:56" s="121" customFormat="1" ht="14.25" customHeight="1">
      <c r="A39" s="104" t="s">
        <v>2577</v>
      </c>
      <c r="B39" s="105" t="s">
        <v>329</v>
      </c>
      <c r="C39" s="106" t="s">
        <v>311</v>
      </c>
      <c r="D39" s="106" t="s">
        <v>2415</v>
      </c>
      <c r="E39" s="71" t="s">
        <v>312</v>
      </c>
      <c r="F39" s="71" t="s">
        <v>78</v>
      </c>
      <c r="G39" s="68" t="s">
        <v>180</v>
      </c>
      <c r="H39" s="133"/>
      <c r="I39" s="134"/>
      <c r="J39" s="330">
        <v>129</v>
      </c>
      <c r="K39" s="113">
        <f t="shared" ref="K39:K102" si="16">SUBTOTAL(9,H39:J39)</f>
        <v>129</v>
      </c>
      <c r="L39" s="111">
        <v>636.53700000000003</v>
      </c>
      <c r="M39" s="135">
        <v>81.204999999999998</v>
      </c>
      <c r="N39" s="134">
        <v>1740.67</v>
      </c>
      <c r="O39" s="111">
        <v>872.3</v>
      </c>
      <c r="P39" s="136">
        <v>2.4E-2</v>
      </c>
      <c r="Q39" s="111">
        <v>8477</v>
      </c>
      <c r="R39" s="134"/>
      <c r="S39" s="111">
        <f t="shared" si="8"/>
        <v>203</v>
      </c>
      <c r="T39" s="115">
        <v>13.2</v>
      </c>
      <c r="U39" s="144">
        <v>63.648000000000003</v>
      </c>
      <c r="V39" s="135">
        <v>100.22199999999999</v>
      </c>
      <c r="W39" s="113">
        <f t="shared" ref="W39:W102" si="17">SUBTOTAL(9,L39:O39,S39:V39)</f>
        <v>3710.7820000000006</v>
      </c>
      <c r="X39" s="135">
        <v>0</v>
      </c>
      <c r="Y39" s="135">
        <v>0</v>
      </c>
      <c r="Z39" s="116">
        <v>405</v>
      </c>
      <c r="AA39" s="135">
        <v>100.22199999999999</v>
      </c>
      <c r="AB39" s="113">
        <f t="shared" ref="AB39:AB102" si="18">SUBTOTAL(9,X39:AA39)</f>
        <v>505.22199999999998</v>
      </c>
      <c r="AC39" s="111">
        <v>0</v>
      </c>
      <c r="AD39" s="111">
        <v>107.2</v>
      </c>
      <c r="AE39" s="112">
        <v>0</v>
      </c>
      <c r="AF39" s="117">
        <v>4.75</v>
      </c>
      <c r="AG39" s="111">
        <v>293.60000000000002</v>
      </c>
      <c r="AH39" s="112">
        <v>0</v>
      </c>
      <c r="AI39" s="112">
        <v>48.466000000000001</v>
      </c>
      <c r="AJ39" s="113">
        <f t="shared" ref="AJ39:AJ102" si="19">SUBTOTAL(9,AC39:AI39)</f>
        <v>454.01600000000002</v>
      </c>
      <c r="AK39" s="112">
        <f t="shared" si="10"/>
        <v>100630.9</v>
      </c>
      <c r="AL39" s="112">
        <f t="shared" si="10"/>
        <v>78742.308999999994</v>
      </c>
      <c r="AM39" s="112">
        <f t="shared" si="10"/>
        <v>21888.591</v>
      </c>
      <c r="AN39" s="112">
        <f t="shared" si="10"/>
        <v>2213.8789999999999</v>
      </c>
      <c r="AO39" s="192">
        <f t="shared" si="6"/>
        <v>0.78248638340708465</v>
      </c>
      <c r="AP39" s="193">
        <f t="shared" si="7"/>
        <v>5924.6610000000001</v>
      </c>
      <c r="AQ39" s="193">
        <f t="shared" si="9"/>
        <v>-5795.6610000000001</v>
      </c>
      <c r="AR39" s="118"/>
      <c r="AS39" s="119"/>
      <c r="AT39" s="119"/>
      <c r="AU39" s="120"/>
      <c r="AV39" s="161"/>
      <c r="AW39" s="112">
        <v>100630900</v>
      </c>
      <c r="AX39" s="162">
        <v>78742309</v>
      </c>
      <c r="AY39" s="162">
        <v>21888591</v>
      </c>
      <c r="AZ39" s="162">
        <v>2213879</v>
      </c>
      <c r="BA39" s="196">
        <f t="shared" si="15"/>
        <v>0.78248638340708465</v>
      </c>
      <c r="BB39" s="210">
        <v>14604</v>
      </c>
      <c r="BC39" s="115">
        <v>0</v>
      </c>
      <c r="BD39" s="236">
        <v>0</v>
      </c>
    </row>
    <row r="40" spans="1:56" s="121" customFormat="1" ht="14.25" customHeight="1">
      <c r="A40" s="104" t="s">
        <v>2577</v>
      </c>
      <c r="B40" s="105" t="s">
        <v>334</v>
      </c>
      <c r="C40" s="106" t="s">
        <v>318</v>
      </c>
      <c r="D40" s="106" t="s">
        <v>2415</v>
      </c>
      <c r="E40" s="71" t="s">
        <v>319</v>
      </c>
      <c r="F40" s="71" t="s">
        <v>78</v>
      </c>
      <c r="G40" s="68" t="s">
        <v>180</v>
      </c>
      <c r="H40" s="133"/>
      <c r="I40" s="134"/>
      <c r="J40" s="330">
        <v>16</v>
      </c>
      <c r="K40" s="113">
        <f t="shared" si="16"/>
        <v>16</v>
      </c>
      <c r="L40" s="111">
        <v>252.01</v>
      </c>
      <c r="M40" s="135">
        <v>23.456</v>
      </c>
      <c r="N40" s="134">
        <v>0</v>
      </c>
      <c r="O40" s="111">
        <v>164.45</v>
      </c>
      <c r="P40" s="136">
        <v>2.4E-2</v>
      </c>
      <c r="Q40" s="111">
        <v>8477</v>
      </c>
      <c r="R40" s="134"/>
      <c r="S40" s="111">
        <f t="shared" si="8"/>
        <v>203</v>
      </c>
      <c r="T40" s="115">
        <v>13.2</v>
      </c>
      <c r="U40" s="144">
        <v>77.298000000000002</v>
      </c>
      <c r="V40" s="135">
        <v>100.22199999999999</v>
      </c>
      <c r="W40" s="113">
        <f t="shared" si="17"/>
        <v>833.63599999999997</v>
      </c>
      <c r="X40" s="135">
        <v>0</v>
      </c>
      <c r="Y40" s="135">
        <v>0</v>
      </c>
      <c r="Z40" s="116">
        <v>79</v>
      </c>
      <c r="AA40" s="135">
        <v>100.22199999999999</v>
      </c>
      <c r="AB40" s="113">
        <f t="shared" si="18"/>
        <v>179.22199999999998</v>
      </c>
      <c r="AC40" s="111">
        <v>0</v>
      </c>
      <c r="AD40" s="111">
        <v>42.216000000000001</v>
      </c>
      <c r="AE40" s="112">
        <v>0</v>
      </c>
      <c r="AF40" s="117">
        <v>0</v>
      </c>
      <c r="AG40" s="111">
        <v>36</v>
      </c>
      <c r="AH40" s="112">
        <v>0</v>
      </c>
      <c r="AI40" s="112">
        <v>38.402999999999999</v>
      </c>
      <c r="AJ40" s="113">
        <f t="shared" si="19"/>
        <v>116.619</v>
      </c>
      <c r="AK40" s="112">
        <f t="shared" si="10"/>
        <v>39086.974999999999</v>
      </c>
      <c r="AL40" s="112">
        <f t="shared" si="10"/>
        <v>27841.828000000001</v>
      </c>
      <c r="AM40" s="112">
        <f t="shared" si="10"/>
        <v>11245.147000000001</v>
      </c>
      <c r="AN40" s="112">
        <f t="shared" si="10"/>
        <v>1175.6400000000001</v>
      </c>
      <c r="AO40" s="192">
        <f t="shared" si="6"/>
        <v>0.71230449529542772</v>
      </c>
      <c r="AP40" s="193">
        <f t="shared" si="7"/>
        <v>2009.2760000000001</v>
      </c>
      <c r="AQ40" s="193">
        <f t="shared" si="9"/>
        <v>-1993.2760000000001</v>
      </c>
      <c r="AR40" s="118"/>
      <c r="AS40" s="119"/>
      <c r="AT40" s="119"/>
      <c r="AU40" s="120"/>
      <c r="AV40" s="161"/>
      <c r="AW40" s="112">
        <v>39086975</v>
      </c>
      <c r="AX40" s="162">
        <v>27841828</v>
      </c>
      <c r="AY40" s="162">
        <v>11245147</v>
      </c>
      <c r="AZ40" s="162">
        <v>1175640</v>
      </c>
      <c r="BA40" s="196">
        <f t="shared" si="15"/>
        <v>0.71230449529542772</v>
      </c>
      <c r="BB40" s="210">
        <v>3261</v>
      </c>
      <c r="BC40" s="115">
        <v>0</v>
      </c>
      <c r="BD40" s="236">
        <v>0</v>
      </c>
    </row>
    <row r="41" spans="1:56" s="121" customFormat="1" ht="14.25" customHeight="1">
      <c r="A41" s="104" t="s">
        <v>2577</v>
      </c>
      <c r="B41" s="105" t="s">
        <v>340</v>
      </c>
      <c r="C41" s="106" t="s">
        <v>323</v>
      </c>
      <c r="D41" s="106" t="s">
        <v>2415</v>
      </c>
      <c r="E41" s="71" t="s">
        <v>2166</v>
      </c>
      <c r="F41" s="71" t="s">
        <v>78</v>
      </c>
      <c r="G41" s="68" t="s">
        <v>180</v>
      </c>
      <c r="H41" s="133"/>
      <c r="I41" s="134"/>
      <c r="J41" s="330">
        <v>21</v>
      </c>
      <c r="K41" s="113">
        <f t="shared" si="16"/>
        <v>21</v>
      </c>
      <c r="L41" s="111">
        <v>242.684</v>
      </c>
      <c r="M41" s="135">
        <v>23.456</v>
      </c>
      <c r="N41" s="134">
        <v>0</v>
      </c>
      <c r="O41" s="111">
        <v>0</v>
      </c>
      <c r="P41" s="136">
        <v>2.4E-2</v>
      </c>
      <c r="Q41" s="111">
        <v>8477</v>
      </c>
      <c r="R41" s="134"/>
      <c r="S41" s="111">
        <f t="shared" si="8"/>
        <v>203</v>
      </c>
      <c r="T41" s="115">
        <v>8947.4</v>
      </c>
      <c r="U41" s="144">
        <v>77.299000000000007</v>
      </c>
      <c r="V41" s="135">
        <v>100.22199999999999</v>
      </c>
      <c r="W41" s="113">
        <f t="shared" si="17"/>
        <v>9594.0609999999997</v>
      </c>
      <c r="X41" s="135">
        <v>0</v>
      </c>
      <c r="Y41" s="135">
        <v>0</v>
      </c>
      <c r="Z41" s="116">
        <v>54</v>
      </c>
      <c r="AA41" s="135">
        <v>100.22199999999999</v>
      </c>
      <c r="AB41" s="113">
        <f t="shared" si="18"/>
        <v>154.22199999999998</v>
      </c>
      <c r="AC41" s="111">
        <v>0</v>
      </c>
      <c r="AD41" s="111">
        <v>48</v>
      </c>
      <c r="AE41" s="112">
        <v>0</v>
      </c>
      <c r="AF41" s="117">
        <v>0</v>
      </c>
      <c r="AG41" s="111">
        <v>10</v>
      </c>
      <c r="AH41" s="112">
        <v>0</v>
      </c>
      <c r="AI41" s="112">
        <v>70.375</v>
      </c>
      <c r="AJ41" s="113">
        <f t="shared" si="19"/>
        <v>128.375</v>
      </c>
      <c r="AK41" s="112">
        <f t="shared" si="10"/>
        <v>47207.273000000001</v>
      </c>
      <c r="AL41" s="112">
        <f t="shared" si="10"/>
        <v>31550.339</v>
      </c>
      <c r="AM41" s="112">
        <f t="shared" si="10"/>
        <v>15656.933999999999</v>
      </c>
      <c r="AN41" s="112">
        <f t="shared" si="10"/>
        <v>706.38499999999999</v>
      </c>
      <c r="AO41" s="192">
        <f t="shared" si="6"/>
        <v>0.66833640231665148</v>
      </c>
      <c r="AP41" s="193">
        <f t="shared" si="7"/>
        <v>10300.446</v>
      </c>
      <c r="AQ41" s="193">
        <f t="shared" si="9"/>
        <v>-10279.446</v>
      </c>
      <c r="AR41" s="118"/>
      <c r="AS41" s="119"/>
      <c r="AT41" s="119"/>
      <c r="AU41" s="120"/>
      <c r="AV41" s="161"/>
      <c r="AW41" s="112">
        <v>47207273</v>
      </c>
      <c r="AX41" s="162">
        <v>31550339</v>
      </c>
      <c r="AY41" s="162">
        <v>15656934</v>
      </c>
      <c r="AZ41" s="162">
        <v>706385</v>
      </c>
      <c r="BA41" s="196">
        <f t="shared" si="15"/>
        <v>0.66833640231665148</v>
      </c>
      <c r="BB41" s="210">
        <v>5520</v>
      </c>
      <c r="BC41" s="115">
        <v>0</v>
      </c>
      <c r="BD41" s="236">
        <v>0</v>
      </c>
    </row>
    <row r="42" spans="1:56" s="121" customFormat="1" ht="14.25" customHeight="1">
      <c r="A42" s="104" t="s">
        <v>2577</v>
      </c>
      <c r="B42" s="105" t="s">
        <v>346</v>
      </c>
      <c r="C42" s="106" t="s">
        <v>327</v>
      </c>
      <c r="D42" s="106" t="s">
        <v>2415</v>
      </c>
      <c r="E42" s="71" t="s">
        <v>108</v>
      </c>
      <c r="F42" s="71" t="s">
        <v>78</v>
      </c>
      <c r="G42" s="68" t="s">
        <v>180</v>
      </c>
      <c r="H42" s="133"/>
      <c r="I42" s="134"/>
      <c r="J42" s="330">
        <v>39</v>
      </c>
      <c r="K42" s="113">
        <f t="shared" si="16"/>
        <v>39</v>
      </c>
      <c r="L42" s="112">
        <v>975.96600000000001</v>
      </c>
      <c r="M42" s="135">
        <v>1040.4269999999999</v>
      </c>
      <c r="N42" s="112">
        <v>1701.116</v>
      </c>
      <c r="O42" s="111">
        <v>203.8</v>
      </c>
      <c r="P42" s="136">
        <v>2.4E-2</v>
      </c>
      <c r="Q42" s="111">
        <v>8477</v>
      </c>
      <c r="R42" s="134">
        <v>1666</v>
      </c>
      <c r="S42" s="111">
        <f t="shared" si="8"/>
        <v>1869</v>
      </c>
      <c r="T42" s="115">
        <v>0</v>
      </c>
      <c r="U42" s="144">
        <v>46.369</v>
      </c>
      <c r="V42" s="135">
        <v>0</v>
      </c>
      <c r="W42" s="113">
        <f t="shared" si="17"/>
        <v>5836.6779999999999</v>
      </c>
      <c r="X42" s="135"/>
      <c r="Y42" s="135"/>
      <c r="Z42" s="116"/>
      <c r="AA42" s="135">
        <v>0</v>
      </c>
      <c r="AB42" s="113">
        <f t="shared" si="18"/>
        <v>0</v>
      </c>
      <c r="AC42" s="111">
        <v>0</v>
      </c>
      <c r="AD42" s="111"/>
      <c r="AE42" s="112">
        <v>0</v>
      </c>
      <c r="AF42" s="117">
        <v>0</v>
      </c>
      <c r="AG42" s="111"/>
      <c r="AH42" s="112">
        <v>0</v>
      </c>
      <c r="AI42" s="112"/>
      <c r="AJ42" s="113">
        <f t="shared" si="19"/>
        <v>0</v>
      </c>
      <c r="AK42" s="112">
        <f t="shared" si="10"/>
        <v>151712.45958224434</v>
      </c>
      <c r="AL42" s="112">
        <f t="shared" si="10"/>
        <v>134554.3858362821</v>
      </c>
      <c r="AM42" s="112">
        <f t="shared" si="10"/>
        <v>17158.073745962232</v>
      </c>
      <c r="AN42" s="112">
        <f t="shared" si="10"/>
        <v>395.47037739550854</v>
      </c>
      <c r="AO42" s="192">
        <f t="shared" si="6"/>
        <v>0.88690399065964176</v>
      </c>
      <c r="AP42" s="193">
        <f t="shared" si="7"/>
        <v>6232.1483773955088</v>
      </c>
      <c r="AQ42" s="193">
        <f t="shared" si="9"/>
        <v>-6193.1483773955088</v>
      </c>
      <c r="AR42" s="118"/>
      <c r="AS42" s="119"/>
      <c r="AT42" s="119"/>
      <c r="AU42" s="120"/>
      <c r="AV42" s="161"/>
      <c r="AW42" s="112">
        <v>151712459.58224434</v>
      </c>
      <c r="AX42" s="162">
        <v>134554385.8362821</v>
      </c>
      <c r="AY42" s="162">
        <v>17158073.745962232</v>
      </c>
      <c r="AZ42" s="162">
        <v>395470.37739550852</v>
      </c>
      <c r="BA42" s="196">
        <f t="shared" si="15"/>
        <v>0.88690399065964176</v>
      </c>
      <c r="BB42" s="210" t="s">
        <v>825</v>
      </c>
      <c r="BC42" s="115" t="s">
        <v>825</v>
      </c>
      <c r="BD42" s="236" t="s">
        <v>825</v>
      </c>
    </row>
    <row r="43" spans="1:56" s="121" customFormat="1" ht="14.25" customHeight="1">
      <c r="A43" s="104" t="s">
        <v>2577</v>
      </c>
      <c r="B43" s="105" t="s">
        <v>352</v>
      </c>
      <c r="C43" s="106" t="s">
        <v>330</v>
      </c>
      <c r="D43" s="106" t="s">
        <v>2415</v>
      </c>
      <c r="E43" s="71" t="s">
        <v>331</v>
      </c>
      <c r="F43" s="71" t="s">
        <v>78</v>
      </c>
      <c r="G43" s="68" t="s">
        <v>180</v>
      </c>
      <c r="H43" s="133"/>
      <c r="I43" s="134"/>
      <c r="J43" s="330">
        <v>0</v>
      </c>
      <c r="K43" s="113">
        <f t="shared" si="16"/>
        <v>0</v>
      </c>
      <c r="L43" s="111">
        <v>223.113</v>
      </c>
      <c r="M43" s="135">
        <v>23.456</v>
      </c>
      <c r="N43" s="115">
        <v>0</v>
      </c>
      <c r="O43" s="111">
        <v>77</v>
      </c>
      <c r="P43" s="136">
        <v>2.4E-2</v>
      </c>
      <c r="Q43" s="111">
        <v>8477</v>
      </c>
      <c r="R43" s="134"/>
      <c r="S43" s="111">
        <f t="shared" si="8"/>
        <v>203</v>
      </c>
      <c r="T43" s="115">
        <v>13.2</v>
      </c>
      <c r="U43" s="144">
        <v>77.299000000000007</v>
      </c>
      <c r="V43" s="135">
        <v>100.22199999999999</v>
      </c>
      <c r="W43" s="113">
        <f t="shared" si="17"/>
        <v>717.29</v>
      </c>
      <c r="X43" s="135"/>
      <c r="Y43" s="135"/>
      <c r="Z43" s="116"/>
      <c r="AA43" s="135">
        <v>100.22199999999999</v>
      </c>
      <c r="AB43" s="113">
        <f t="shared" si="18"/>
        <v>100.22199999999999</v>
      </c>
      <c r="AC43" s="111">
        <v>0</v>
      </c>
      <c r="AD43" s="111">
        <v>0</v>
      </c>
      <c r="AE43" s="112">
        <v>0</v>
      </c>
      <c r="AF43" s="117">
        <v>0</v>
      </c>
      <c r="AG43" s="111">
        <v>0</v>
      </c>
      <c r="AH43" s="112">
        <v>0</v>
      </c>
      <c r="AI43" s="112">
        <v>0</v>
      </c>
      <c r="AJ43" s="113">
        <f t="shared" si="19"/>
        <v>0</v>
      </c>
      <c r="AK43" s="112">
        <f t="shared" si="10"/>
        <v>36705.199999999997</v>
      </c>
      <c r="AL43" s="112">
        <f t="shared" si="10"/>
        <v>34678.474000000002</v>
      </c>
      <c r="AM43" s="112">
        <f t="shared" si="10"/>
        <v>2026.7260000000001</v>
      </c>
      <c r="AN43" s="112">
        <f t="shared" si="10"/>
        <v>125.816</v>
      </c>
      <c r="AO43" s="192">
        <f t="shared" si="6"/>
        <v>0.94478368187613748</v>
      </c>
      <c r="AP43" s="193">
        <f t="shared" si="7"/>
        <v>843.10599999999999</v>
      </c>
      <c r="AQ43" s="193">
        <f t="shared" si="9"/>
        <v>-843.10599999999999</v>
      </c>
      <c r="AR43" s="118"/>
      <c r="AS43" s="119"/>
      <c r="AT43" s="119"/>
      <c r="AU43" s="120"/>
      <c r="AV43" s="161"/>
      <c r="AW43" s="112">
        <v>36705200</v>
      </c>
      <c r="AX43" s="162">
        <v>34678474</v>
      </c>
      <c r="AY43" s="162">
        <v>2026726</v>
      </c>
      <c r="AZ43" s="162">
        <v>125816</v>
      </c>
      <c r="BA43" s="196">
        <f t="shared" si="15"/>
        <v>0.94478368187613748</v>
      </c>
      <c r="BB43" s="210">
        <v>3722</v>
      </c>
      <c r="BC43" s="115">
        <v>0</v>
      </c>
      <c r="BD43" s="236">
        <v>0</v>
      </c>
    </row>
    <row r="44" spans="1:56" s="121" customFormat="1" ht="14.25" customHeight="1">
      <c r="A44" s="104" t="s">
        <v>2577</v>
      </c>
      <c r="B44" s="105" t="s">
        <v>359</v>
      </c>
      <c r="C44" s="106" t="s">
        <v>335</v>
      </c>
      <c r="D44" s="106" t="s">
        <v>2415</v>
      </c>
      <c r="E44" s="71" t="s">
        <v>336</v>
      </c>
      <c r="F44" s="71" t="s">
        <v>78</v>
      </c>
      <c r="G44" s="68" t="s">
        <v>180</v>
      </c>
      <c r="H44" s="133"/>
      <c r="I44" s="134"/>
      <c r="J44" s="330">
        <v>20</v>
      </c>
      <c r="K44" s="113">
        <f t="shared" si="16"/>
        <v>20</v>
      </c>
      <c r="L44" s="111">
        <v>568.19000000000005</v>
      </c>
      <c r="M44" s="135">
        <v>23.456</v>
      </c>
      <c r="N44" s="115">
        <v>0</v>
      </c>
      <c r="O44" s="111">
        <v>245.3</v>
      </c>
      <c r="P44" s="136">
        <v>2.4E-2</v>
      </c>
      <c r="Q44" s="111">
        <v>8477</v>
      </c>
      <c r="R44" s="134"/>
      <c r="S44" s="111">
        <f t="shared" si="8"/>
        <v>203</v>
      </c>
      <c r="T44" s="115">
        <v>13.2</v>
      </c>
      <c r="U44" s="144">
        <v>77.298000000000002</v>
      </c>
      <c r="V44" s="135">
        <v>100.22199999999999</v>
      </c>
      <c r="W44" s="113">
        <f t="shared" si="17"/>
        <v>1230.6660000000002</v>
      </c>
      <c r="X44" s="135">
        <v>0</v>
      </c>
      <c r="Y44" s="135">
        <v>0</v>
      </c>
      <c r="Z44" s="116">
        <v>153</v>
      </c>
      <c r="AA44" s="135">
        <v>100.22199999999999</v>
      </c>
      <c r="AB44" s="113">
        <f t="shared" si="18"/>
        <v>253.22199999999998</v>
      </c>
      <c r="AC44" s="111">
        <v>0</v>
      </c>
      <c r="AD44" s="111">
        <v>132.30000000000001</v>
      </c>
      <c r="AE44" s="112">
        <v>0</v>
      </c>
      <c r="AF44" s="117">
        <v>0</v>
      </c>
      <c r="AG44" s="111">
        <v>0</v>
      </c>
      <c r="AH44" s="112">
        <v>0</v>
      </c>
      <c r="AI44" s="112">
        <v>120</v>
      </c>
      <c r="AJ44" s="113">
        <f t="shared" si="19"/>
        <v>252.3</v>
      </c>
      <c r="AK44" s="112">
        <f t="shared" si="10"/>
        <v>81048.448999999993</v>
      </c>
      <c r="AL44" s="112">
        <f t="shared" si="10"/>
        <v>66682.474000000002</v>
      </c>
      <c r="AM44" s="112">
        <f t="shared" si="10"/>
        <v>14365.975</v>
      </c>
      <c r="AN44" s="112">
        <f t="shared" si="10"/>
        <v>1944.1669999999999</v>
      </c>
      <c r="AO44" s="192">
        <f t="shared" si="6"/>
        <v>0.82274830453572279</v>
      </c>
      <c r="AP44" s="193">
        <f t="shared" si="7"/>
        <v>3174.8330000000001</v>
      </c>
      <c r="AQ44" s="193">
        <f t="shared" si="9"/>
        <v>-3154.8330000000001</v>
      </c>
      <c r="AR44" s="118"/>
      <c r="AS44" s="119"/>
      <c r="AT44" s="119"/>
      <c r="AU44" s="120"/>
      <c r="AV44" s="161"/>
      <c r="AW44" s="112">
        <v>81048449</v>
      </c>
      <c r="AX44" s="162">
        <v>66682474</v>
      </c>
      <c r="AY44" s="162">
        <v>14365975</v>
      </c>
      <c r="AZ44" s="162">
        <v>1944167</v>
      </c>
      <c r="BA44" s="196">
        <f t="shared" si="15"/>
        <v>0.82274830453572279</v>
      </c>
      <c r="BB44" s="210">
        <v>11726</v>
      </c>
      <c r="BC44" s="115">
        <v>0</v>
      </c>
      <c r="BD44" s="236">
        <v>0</v>
      </c>
    </row>
    <row r="45" spans="1:56" s="121" customFormat="1" ht="14.25" customHeight="1">
      <c r="A45" s="104" t="s">
        <v>2577</v>
      </c>
      <c r="B45" s="105" t="s">
        <v>365</v>
      </c>
      <c r="C45" s="106" t="s">
        <v>341</v>
      </c>
      <c r="D45" s="106" t="s">
        <v>2415</v>
      </c>
      <c r="E45" s="71" t="s">
        <v>342</v>
      </c>
      <c r="F45" s="71" t="s">
        <v>78</v>
      </c>
      <c r="G45" s="68" t="s">
        <v>180</v>
      </c>
      <c r="H45" s="133"/>
      <c r="I45" s="134"/>
      <c r="J45" s="330">
        <v>39</v>
      </c>
      <c r="K45" s="113">
        <f t="shared" si="16"/>
        <v>39</v>
      </c>
      <c r="L45" s="111">
        <v>566.48099999999999</v>
      </c>
      <c r="M45" s="135">
        <v>81.206000000000003</v>
      </c>
      <c r="N45" s="115">
        <v>0</v>
      </c>
      <c r="O45" s="111">
        <v>311.89999999999998</v>
      </c>
      <c r="P45" s="136">
        <v>2.4E-2</v>
      </c>
      <c r="Q45" s="111">
        <v>8477</v>
      </c>
      <c r="R45" s="134"/>
      <c r="S45" s="111">
        <f t="shared" si="8"/>
        <v>203</v>
      </c>
      <c r="T45" s="115">
        <v>26.4</v>
      </c>
      <c r="U45" s="144">
        <v>125.828</v>
      </c>
      <c r="V45" s="135">
        <v>100.22199999999999</v>
      </c>
      <c r="W45" s="113">
        <f t="shared" si="17"/>
        <v>1415.037</v>
      </c>
      <c r="X45" s="135">
        <v>0</v>
      </c>
      <c r="Y45" s="135">
        <v>0</v>
      </c>
      <c r="Z45" s="116">
        <v>58</v>
      </c>
      <c r="AA45" s="135">
        <v>100.22199999999999</v>
      </c>
      <c r="AB45" s="113">
        <f t="shared" si="18"/>
        <v>158.22199999999998</v>
      </c>
      <c r="AC45" s="111">
        <v>0</v>
      </c>
      <c r="AD45" s="111">
        <v>15</v>
      </c>
      <c r="AE45" s="112">
        <v>0</v>
      </c>
      <c r="AF45" s="117">
        <v>0</v>
      </c>
      <c r="AG45" s="111">
        <v>108</v>
      </c>
      <c r="AH45" s="112">
        <v>0</v>
      </c>
      <c r="AI45" s="112">
        <v>70.930999999999997</v>
      </c>
      <c r="AJ45" s="113">
        <f t="shared" si="19"/>
        <v>193.93099999999998</v>
      </c>
      <c r="AK45" s="112">
        <f t="shared" si="10"/>
        <v>88379.782999999996</v>
      </c>
      <c r="AL45" s="112">
        <f t="shared" si="10"/>
        <v>74058.118000000002</v>
      </c>
      <c r="AM45" s="112">
        <f t="shared" si="10"/>
        <v>14321.665000000001</v>
      </c>
      <c r="AN45" s="112">
        <f t="shared" si="10"/>
        <v>2807.7150000000001</v>
      </c>
      <c r="AO45" s="192">
        <f t="shared" si="6"/>
        <v>0.83795315496531597</v>
      </c>
      <c r="AP45" s="193">
        <f t="shared" si="7"/>
        <v>4222.7520000000004</v>
      </c>
      <c r="AQ45" s="193">
        <f t="shared" si="9"/>
        <v>-4183.7520000000004</v>
      </c>
      <c r="AR45" s="118"/>
      <c r="AS45" s="119"/>
      <c r="AT45" s="119"/>
      <c r="AU45" s="120"/>
      <c r="AV45" s="161"/>
      <c r="AW45" s="112">
        <v>88379783</v>
      </c>
      <c r="AX45" s="162">
        <v>74058118</v>
      </c>
      <c r="AY45" s="162">
        <v>14321665</v>
      </c>
      <c r="AZ45" s="162">
        <v>2807715</v>
      </c>
      <c r="BA45" s="196">
        <f t="shared" si="15"/>
        <v>0.83795315496531597</v>
      </c>
      <c r="BB45" s="210">
        <v>8809</v>
      </c>
      <c r="BC45" s="115">
        <v>0</v>
      </c>
      <c r="BD45" s="236">
        <v>0</v>
      </c>
    </row>
    <row r="46" spans="1:56" s="121" customFormat="1" ht="14.25" customHeight="1">
      <c r="A46" s="104" t="s">
        <v>2577</v>
      </c>
      <c r="B46" s="105" t="s">
        <v>372</v>
      </c>
      <c r="C46" s="106" t="s">
        <v>347</v>
      </c>
      <c r="D46" s="106" t="s">
        <v>2415</v>
      </c>
      <c r="E46" s="71" t="s">
        <v>348</v>
      </c>
      <c r="F46" s="71" t="s">
        <v>78</v>
      </c>
      <c r="G46" s="68" t="s">
        <v>180</v>
      </c>
      <c r="H46" s="133"/>
      <c r="I46" s="134"/>
      <c r="J46" s="330">
        <v>122</v>
      </c>
      <c r="K46" s="113">
        <f t="shared" si="16"/>
        <v>122</v>
      </c>
      <c r="L46" s="111">
        <v>171.03899999999999</v>
      </c>
      <c r="M46" s="135">
        <v>23.456</v>
      </c>
      <c r="N46" s="115">
        <v>0</v>
      </c>
      <c r="O46" s="111">
        <v>131.34</v>
      </c>
      <c r="P46" s="136">
        <v>2.4E-2</v>
      </c>
      <c r="Q46" s="111">
        <v>8477</v>
      </c>
      <c r="R46" s="134"/>
      <c r="S46" s="111">
        <f t="shared" si="8"/>
        <v>203</v>
      </c>
      <c r="T46" s="115">
        <v>147.4</v>
      </c>
      <c r="U46" s="144">
        <v>125.82899999999999</v>
      </c>
      <c r="V46" s="135">
        <v>100.22199999999999</v>
      </c>
      <c r="W46" s="113">
        <f t="shared" si="17"/>
        <v>902.28599999999994</v>
      </c>
      <c r="X46" s="135">
        <v>0</v>
      </c>
      <c r="Y46" s="135">
        <v>0</v>
      </c>
      <c r="Z46" s="116">
        <v>17</v>
      </c>
      <c r="AA46" s="135">
        <v>100.22199999999999</v>
      </c>
      <c r="AB46" s="113">
        <f t="shared" si="18"/>
        <v>117.22199999999999</v>
      </c>
      <c r="AC46" s="111">
        <v>0</v>
      </c>
      <c r="AD46" s="111">
        <v>150.98599999999999</v>
      </c>
      <c r="AE46" s="112">
        <v>0</v>
      </c>
      <c r="AF46" s="117">
        <v>0</v>
      </c>
      <c r="AG46" s="111">
        <v>170</v>
      </c>
      <c r="AH46" s="112">
        <v>0</v>
      </c>
      <c r="AI46" s="112">
        <v>167.059</v>
      </c>
      <c r="AJ46" s="113">
        <f t="shared" si="19"/>
        <v>488.04499999999996</v>
      </c>
      <c r="AK46" s="112">
        <f t="shared" si="10"/>
        <v>30221.545999999998</v>
      </c>
      <c r="AL46" s="112">
        <f t="shared" si="10"/>
        <v>21289.577000000001</v>
      </c>
      <c r="AM46" s="112">
        <f t="shared" si="10"/>
        <v>8931.9689999999991</v>
      </c>
      <c r="AN46" s="112">
        <f t="shared" si="10"/>
        <v>755.66300000000001</v>
      </c>
      <c r="AO46" s="192">
        <f t="shared" si="6"/>
        <v>0.70445029516358959</v>
      </c>
      <c r="AP46" s="193">
        <f t="shared" si="7"/>
        <v>1657.9490000000001</v>
      </c>
      <c r="AQ46" s="193">
        <f t="shared" si="9"/>
        <v>-1535.9490000000001</v>
      </c>
      <c r="AR46" s="118"/>
      <c r="AS46" s="119"/>
      <c r="AT46" s="119"/>
      <c r="AU46" s="120"/>
      <c r="AV46" s="161"/>
      <c r="AW46" s="112">
        <v>30221546</v>
      </c>
      <c r="AX46" s="162">
        <v>21289577</v>
      </c>
      <c r="AY46" s="162">
        <v>8931969</v>
      </c>
      <c r="AZ46" s="162">
        <v>755663</v>
      </c>
      <c r="BA46" s="196">
        <f t="shared" si="15"/>
        <v>0.70445029516358959</v>
      </c>
      <c r="BB46" s="210">
        <v>5223</v>
      </c>
      <c r="BC46" s="115">
        <v>0</v>
      </c>
      <c r="BD46" s="236">
        <v>0</v>
      </c>
    </row>
    <row r="47" spans="1:56" s="121" customFormat="1" ht="14.25" customHeight="1">
      <c r="A47" s="104" t="s">
        <v>2577</v>
      </c>
      <c r="B47" s="105" t="s">
        <v>379</v>
      </c>
      <c r="C47" s="106" t="s">
        <v>353</v>
      </c>
      <c r="D47" s="106" t="s">
        <v>2415</v>
      </c>
      <c r="E47" s="71" t="s">
        <v>354</v>
      </c>
      <c r="F47" s="71" t="s">
        <v>78</v>
      </c>
      <c r="G47" s="68" t="s">
        <v>180</v>
      </c>
      <c r="H47" s="133"/>
      <c r="I47" s="134"/>
      <c r="J47" s="330">
        <v>131</v>
      </c>
      <c r="K47" s="113">
        <f t="shared" si="16"/>
        <v>131</v>
      </c>
      <c r="L47" s="111">
        <v>314.26499999999999</v>
      </c>
      <c r="M47" s="135">
        <v>112.974</v>
      </c>
      <c r="N47" s="115">
        <v>0</v>
      </c>
      <c r="O47" s="111">
        <v>76.45</v>
      </c>
      <c r="P47" s="136">
        <v>2.4E-2</v>
      </c>
      <c r="Q47" s="111">
        <v>8477</v>
      </c>
      <c r="R47" s="134"/>
      <c r="S47" s="111">
        <f t="shared" si="8"/>
        <v>203</v>
      </c>
      <c r="T47" s="115">
        <v>13.2</v>
      </c>
      <c r="U47" s="144">
        <v>77.298000000000002</v>
      </c>
      <c r="V47" s="135">
        <v>100.22199999999999</v>
      </c>
      <c r="W47" s="113">
        <f t="shared" si="17"/>
        <v>897.40899999999999</v>
      </c>
      <c r="X47" s="135">
        <v>0</v>
      </c>
      <c r="Y47" s="135">
        <v>0</v>
      </c>
      <c r="Z47" s="116">
        <v>31</v>
      </c>
      <c r="AA47" s="135">
        <v>100.22199999999999</v>
      </c>
      <c r="AB47" s="113">
        <f t="shared" si="18"/>
        <v>131.22199999999998</v>
      </c>
      <c r="AC47" s="111">
        <v>0</v>
      </c>
      <c r="AD47" s="111">
        <v>0</v>
      </c>
      <c r="AE47" s="112">
        <v>0</v>
      </c>
      <c r="AF47" s="117">
        <v>31.02</v>
      </c>
      <c r="AG47" s="111">
        <v>0</v>
      </c>
      <c r="AH47" s="112">
        <v>0</v>
      </c>
      <c r="AI47" s="112">
        <v>16.015000000000001</v>
      </c>
      <c r="AJ47" s="113">
        <f t="shared" si="19"/>
        <v>47.034999999999997</v>
      </c>
      <c r="AK47" s="112">
        <f t="shared" si="10"/>
        <v>49620.92</v>
      </c>
      <c r="AL47" s="112">
        <f t="shared" si="10"/>
        <v>38016.777000000002</v>
      </c>
      <c r="AM47" s="112">
        <f t="shared" si="10"/>
        <v>11604.143</v>
      </c>
      <c r="AN47" s="112">
        <f t="shared" si="10"/>
        <v>1266.9570000000001</v>
      </c>
      <c r="AO47" s="192">
        <f t="shared" si="6"/>
        <v>0.76614413839969109</v>
      </c>
      <c r="AP47" s="193">
        <f t="shared" si="7"/>
        <v>2164.366</v>
      </c>
      <c r="AQ47" s="193">
        <f t="shared" si="9"/>
        <v>-2033.366</v>
      </c>
      <c r="AR47" s="118"/>
      <c r="AS47" s="119"/>
      <c r="AT47" s="119"/>
      <c r="AU47" s="120"/>
      <c r="AV47" s="161"/>
      <c r="AW47" s="112">
        <v>49620920</v>
      </c>
      <c r="AX47" s="162">
        <v>38016777</v>
      </c>
      <c r="AY47" s="162">
        <v>11604143</v>
      </c>
      <c r="AZ47" s="162">
        <v>1266957</v>
      </c>
      <c r="BA47" s="196">
        <f t="shared" si="15"/>
        <v>0.76614413839969109</v>
      </c>
      <c r="BB47" s="210">
        <v>6551</v>
      </c>
      <c r="BC47" s="115">
        <v>0</v>
      </c>
      <c r="BD47" s="236">
        <v>0</v>
      </c>
    </row>
    <row r="48" spans="1:56" s="121" customFormat="1" ht="14.25" customHeight="1">
      <c r="A48" s="104" t="s">
        <v>2577</v>
      </c>
      <c r="B48" s="105" t="s">
        <v>385</v>
      </c>
      <c r="C48" s="106" t="s">
        <v>360</v>
      </c>
      <c r="D48" s="106" t="s">
        <v>2415</v>
      </c>
      <c r="E48" s="71" t="s">
        <v>361</v>
      </c>
      <c r="F48" s="71" t="s">
        <v>78</v>
      </c>
      <c r="G48" s="68" t="s">
        <v>180</v>
      </c>
      <c r="H48" s="133"/>
      <c r="I48" s="134"/>
      <c r="J48" s="330">
        <v>51</v>
      </c>
      <c r="K48" s="113">
        <f t="shared" si="16"/>
        <v>51</v>
      </c>
      <c r="L48" s="111">
        <v>0</v>
      </c>
      <c r="M48" s="135">
        <v>0</v>
      </c>
      <c r="N48" s="115">
        <v>0</v>
      </c>
      <c r="O48" s="111">
        <v>243.43</v>
      </c>
      <c r="P48" s="136">
        <v>2.4E-2</v>
      </c>
      <c r="Q48" s="111">
        <v>8477</v>
      </c>
      <c r="R48" s="134"/>
      <c r="S48" s="111">
        <f t="shared" si="8"/>
        <v>203</v>
      </c>
      <c r="T48" s="115">
        <v>0</v>
      </c>
      <c r="U48" s="144">
        <v>15.119</v>
      </c>
      <c r="V48" s="135">
        <v>16815.952000000001</v>
      </c>
      <c r="W48" s="113">
        <f t="shared" si="17"/>
        <v>17277.501</v>
      </c>
      <c r="X48" s="135">
        <v>0</v>
      </c>
      <c r="Y48" s="135">
        <v>0</v>
      </c>
      <c r="Z48" s="116">
        <v>1663</v>
      </c>
      <c r="AA48" s="135">
        <v>16815.952000000001</v>
      </c>
      <c r="AB48" s="113">
        <f t="shared" si="18"/>
        <v>18478.952000000001</v>
      </c>
      <c r="AC48" s="111">
        <v>3782</v>
      </c>
      <c r="AD48" s="111">
        <v>1441</v>
      </c>
      <c r="AE48" s="112">
        <v>0</v>
      </c>
      <c r="AF48" s="117">
        <v>52</v>
      </c>
      <c r="AG48" s="111">
        <v>13029</v>
      </c>
      <c r="AH48" s="112">
        <v>854</v>
      </c>
      <c r="AI48" s="112">
        <v>809</v>
      </c>
      <c r="AJ48" s="113">
        <f t="shared" si="19"/>
        <v>19967</v>
      </c>
      <c r="AK48" s="112">
        <f t="shared" si="10"/>
        <v>332843.78937453061</v>
      </c>
      <c r="AL48" s="112">
        <f t="shared" si="10"/>
        <v>101027.64220810952</v>
      </c>
      <c r="AM48" s="112">
        <f t="shared" si="10"/>
        <v>231816.14716642108</v>
      </c>
      <c r="AN48" s="112">
        <f t="shared" si="10"/>
        <v>12074.133989827445</v>
      </c>
      <c r="AO48" s="192">
        <f t="shared" si="6"/>
        <v>0.30352869854641856</v>
      </c>
      <c r="AP48" s="193">
        <f t="shared" si="7"/>
        <v>29351.634989827446</v>
      </c>
      <c r="AQ48" s="193">
        <f t="shared" si="9"/>
        <v>-29300.634989827446</v>
      </c>
      <c r="AR48" s="118"/>
      <c r="AS48" s="119"/>
      <c r="AT48" s="119"/>
      <c r="AU48" s="120"/>
      <c r="AV48" s="161"/>
      <c r="AW48" s="112">
        <v>332843789.37453061</v>
      </c>
      <c r="AX48" s="162">
        <v>101027642.20810953</v>
      </c>
      <c r="AY48" s="162">
        <v>231816147.16642109</v>
      </c>
      <c r="AZ48" s="162">
        <v>12074133.989827445</v>
      </c>
      <c r="BA48" s="196">
        <f t="shared" si="15"/>
        <v>0.30352869854641856</v>
      </c>
      <c r="BB48" s="210" t="s">
        <v>825</v>
      </c>
      <c r="BC48" s="115" t="s">
        <v>825</v>
      </c>
      <c r="BD48" s="236" t="s">
        <v>825</v>
      </c>
    </row>
    <row r="49" spans="1:56" s="121" customFormat="1" ht="14.25" customHeight="1">
      <c r="A49" s="104" t="s">
        <v>2577</v>
      </c>
      <c r="B49" s="105" t="s">
        <v>392</v>
      </c>
      <c r="C49" s="106" t="s">
        <v>366</v>
      </c>
      <c r="D49" s="106" t="s">
        <v>2415</v>
      </c>
      <c r="E49" s="71" t="s">
        <v>367</v>
      </c>
      <c r="F49" s="71" t="s">
        <v>78</v>
      </c>
      <c r="G49" s="68" t="s">
        <v>180</v>
      </c>
      <c r="H49" s="133"/>
      <c r="I49" s="134"/>
      <c r="J49" s="330">
        <v>0</v>
      </c>
      <c r="K49" s="113">
        <f t="shared" si="16"/>
        <v>0</v>
      </c>
      <c r="L49" s="111">
        <v>330.113</v>
      </c>
      <c r="M49" s="135">
        <v>23.456</v>
      </c>
      <c r="N49" s="115">
        <v>0</v>
      </c>
      <c r="O49" s="111">
        <v>113.85</v>
      </c>
      <c r="P49" s="136">
        <v>2.4E-2</v>
      </c>
      <c r="Q49" s="111">
        <v>8477</v>
      </c>
      <c r="R49" s="134"/>
      <c r="S49" s="111">
        <f t="shared" si="8"/>
        <v>203</v>
      </c>
      <c r="T49" s="115">
        <v>13.2</v>
      </c>
      <c r="U49" s="144">
        <v>77.299000000000007</v>
      </c>
      <c r="V49" s="135">
        <v>100.22199999999999</v>
      </c>
      <c r="W49" s="113">
        <f t="shared" si="17"/>
        <v>861.14</v>
      </c>
      <c r="X49" s="135">
        <v>0</v>
      </c>
      <c r="Y49" s="135">
        <v>0</v>
      </c>
      <c r="Z49" s="116">
        <v>0</v>
      </c>
      <c r="AA49" s="135">
        <v>100.22199999999999</v>
      </c>
      <c r="AB49" s="113">
        <f t="shared" si="18"/>
        <v>100.22199999999999</v>
      </c>
      <c r="AC49" s="111">
        <v>0</v>
      </c>
      <c r="AD49" s="111">
        <v>100</v>
      </c>
      <c r="AE49" s="112">
        <v>0</v>
      </c>
      <c r="AF49" s="117">
        <v>0</v>
      </c>
      <c r="AG49" s="111">
        <v>0</v>
      </c>
      <c r="AH49" s="112">
        <v>0</v>
      </c>
      <c r="AI49" s="112">
        <v>0</v>
      </c>
      <c r="AJ49" s="113">
        <f t="shared" si="19"/>
        <v>100</v>
      </c>
      <c r="AK49" s="112">
        <f t="shared" si="10"/>
        <v>60679.3</v>
      </c>
      <c r="AL49" s="112">
        <f t="shared" si="10"/>
        <v>51508.891000000003</v>
      </c>
      <c r="AM49" s="112">
        <f t="shared" si="10"/>
        <v>9170.4089999999997</v>
      </c>
      <c r="AN49" s="112">
        <f t="shared" si="10"/>
        <v>827.096</v>
      </c>
      <c r="AO49" s="192">
        <f t="shared" si="6"/>
        <v>0.8488708834808576</v>
      </c>
      <c r="AP49" s="193">
        <f t="shared" si="7"/>
        <v>1688.2359999999999</v>
      </c>
      <c r="AQ49" s="193">
        <f t="shared" si="9"/>
        <v>-1688.2359999999999</v>
      </c>
      <c r="AR49" s="118"/>
      <c r="AS49" s="119"/>
      <c r="AT49" s="119"/>
      <c r="AU49" s="120"/>
      <c r="AV49" s="161"/>
      <c r="AW49" s="112">
        <v>60679300</v>
      </c>
      <c r="AX49" s="162">
        <v>51508891</v>
      </c>
      <c r="AY49" s="162">
        <v>9170409</v>
      </c>
      <c r="AZ49" s="162">
        <v>827096</v>
      </c>
      <c r="BA49" s="196">
        <f t="shared" si="15"/>
        <v>0.8488708834808576</v>
      </c>
      <c r="BB49" s="210">
        <v>4302</v>
      </c>
      <c r="BC49" s="115">
        <v>0</v>
      </c>
      <c r="BD49" s="236">
        <v>0</v>
      </c>
    </row>
    <row r="50" spans="1:56" s="121" customFormat="1" ht="14.25" customHeight="1">
      <c r="A50" s="104" t="s">
        <v>2577</v>
      </c>
      <c r="B50" s="105" t="s">
        <v>399</v>
      </c>
      <c r="C50" s="106" t="s">
        <v>373</v>
      </c>
      <c r="D50" s="106" t="s">
        <v>2415</v>
      </c>
      <c r="E50" s="71" t="s">
        <v>374</v>
      </c>
      <c r="F50" s="71" t="s">
        <v>78</v>
      </c>
      <c r="G50" s="68" t="s">
        <v>180</v>
      </c>
      <c r="H50" s="133"/>
      <c r="I50" s="134"/>
      <c r="J50" s="330">
        <v>0</v>
      </c>
      <c r="K50" s="113">
        <f t="shared" si="16"/>
        <v>0</v>
      </c>
      <c r="L50" s="111">
        <v>312.35300000000001</v>
      </c>
      <c r="M50" s="135">
        <v>23.457000000000001</v>
      </c>
      <c r="N50" s="115">
        <v>0</v>
      </c>
      <c r="O50" s="111">
        <v>281.70999999999998</v>
      </c>
      <c r="P50" s="136">
        <v>2.4E-2</v>
      </c>
      <c r="Q50" s="111">
        <v>8477</v>
      </c>
      <c r="R50" s="134"/>
      <c r="S50" s="111">
        <f t="shared" si="8"/>
        <v>203</v>
      </c>
      <c r="T50" s="115">
        <v>13.2</v>
      </c>
      <c r="U50" s="144">
        <v>77.299000000000007</v>
      </c>
      <c r="V50" s="135">
        <v>100.22199999999999</v>
      </c>
      <c r="W50" s="113">
        <f t="shared" si="17"/>
        <v>1011.241</v>
      </c>
      <c r="X50" s="135">
        <v>0</v>
      </c>
      <c r="Y50" s="135">
        <v>0</v>
      </c>
      <c r="Z50" s="116">
        <v>0</v>
      </c>
      <c r="AA50" s="135">
        <v>100.22199999999999</v>
      </c>
      <c r="AB50" s="113">
        <f t="shared" si="18"/>
        <v>100.22199999999999</v>
      </c>
      <c r="AC50" s="111">
        <v>0</v>
      </c>
      <c r="AD50" s="111">
        <v>0</v>
      </c>
      <c r="AE50" s="112">
        <v>0</v>
      </c>
      <c r="AF50" s="117">
        <v>0</v>
      </c>
      <c r="AG50" s="111">
        <v>0</v>
      </c>
      <c r="AH50" s="112">
        <v>0</v>
      </c>
      <c r="AI50" s="112">
        <v>76.117000000000004</v>
      </c>
      <c r="AJ50" s="113">
        <f t="shared" si="19"/>
        <v>76.117000000000004</v>
      </c>
      <c r="AK50" s="112">
        <f t="shared" si="10"/>
        <v>90775.05</v>
      </c>
      <c r="AL50" s="112">
        <f t="shared" si="10"/>
        <v>81044.808999999994</v>
      </c>
      <c r="AM50" s="112">
        <f t="shared" si="10"/>
        <v>9730.241</v>
      </c>
      <c r="AN50" s="112">
        <f t="shared" si="10"/>
        <v>363.17599999999999</v>
      </c>
      <c r="AO50" s="192">
        <f t="shared" si="6"/>
        <v>0.89280930167485451</v>
      </c>
      <c r="AP50" s="193">
        <f t="shared" si="7"/>
        <v>1374.4169999999999</v>
      </c>
      <c r="AQ50" s="193">
        <f t="shared" si="9"/>
        <v>-1374.4169999999999</v>
      </c>
      <c r="AR50" s="118"/>
      <c r="AS50" s="119"/>
      <c r="AT50" s="119"/>
      <c r="AU50" s="120"/>
      <c r="AV50" s="161"/>
      <c r="AW50" s="112">
        <v>90775050</v>
      </c>
      <c r="AX50" s="162">
        <v>81044809</v>
      </c>
      <c r="AY50" s="162">
        <v>9730241</v>
      </c>
      <c r="AZ50" s="162">
        <v>363176</v>
      </c>
      <c r="BA50" s="196">
        <f t="shared" si="15"/>
        <v>0.89280930167485451</v>
      </c>
      <c r="BB50" s="210">
        <v>4802</v>
      </c>
      <c r="BC50" s="115">
        <v>0</v>
      </c>
      <c r="BD50" s="236">
        <v>0</v>
      </c>
    </row>
    <row r="51" spans="1:56" s="121" customFormat="1" ht="14.25" customHeight="1">
      <c r="A51" s="104" t="s">
        <v>2577</v>
      </c>
      <c r="B51" s="105" t="s">
        <v>405</v>
      </c>
      <c r="C51" s="106" t="s">
        <v>380</v>
      </c>
      <c r="D51" s="106" t="s">
        <v>2415</v>
      </c>
      <c r="E51" s="71" t="s">
        <v>381</v>
      </c>
      <c r="F51" s="71" t="s">
        <v>78</v>
      </c>
      <c r="G51" s="68" t="s">
        <v>180</v>
      </c>
      <c r="H51" s="133"/>
      <c r="I51" s="134"/>
      <c r="J51" s="330">
        <v>5</v>
      </c>
      <c r="K51" s="113">
        <f t="shared" si="16"/>
        <v>5</v>
      </c>
      <c r="L51" s="111">
        <v>243.90299999999999</v>
      </c>
      <c r="M51" s="135">
        <v>23.456</v>
      </c>
      <c r="N51" s="115">
        <v>0</v>
      </c>
      <c r="O51" s="111">
        <v>31.35</v>
      </c>
      <c r="P51" s="136">
        <v>2.4E-2</v>
      </c>
      <c r="Q51" s="111">
        <v>8477</v>
      </c>
      <c r="R51" s="134"/>
      <c r="S51" s="111">
        <f t="shared" si="8"/>
        <v>203</v>
      </c>
      <c r="T51" s="115">
        <v>13.2</v>
      </c>
      <c r="U51" s="144">
        <v>77.299000000000007</v>
      </c>
      <c r="V51" s="135">
        <v>100.22199999999999</v>
      </c>
      <c r="W51" s="113">
        <f t="shared" si="17"/>
        <v>692.43</v>
      </c>
      <c r="X51" s="135">
        <v>0</v>
      </c>
      <c r="Y51" s="135">
        <v>0</v>
      </c>
      <c r="Z51" s="116">
        <v>980.00300000000004</v>
      </c>
      <c r="AA51" s="135">
        <v>100.22199999999999</v>
      </c>
      <c r="AB51" s="113">
        <f t="shared" si="18"/>
        <v>1080.2250000000001</v>
      </c>
      <c r="AC51" s="111">
        <v>0</v>
      </c>
      <c r="AD51" s="111">
        <v>0</v>
      </c>
      <c r="AE51" s="112">
        <v>0</v>
      </c>
      <c r="AF51" s="117">
        <v>0</v>
      </c>
      <c r="AG51" s="111">
        <v>660</v>
      </c>
      <c r="AH51" s="112">
        <v>0</v>
      </c>
      <c r="AI51" s="112">
        <v>120.22499999999999</v>
      </c>
      <c r="AJ51" s="113">
        <f t="shared" si="19"/>
        <v>780.22500000000002</v>
      </c>
      <c r="AK51" s="112">
        <f t="shared" si="10"/>
        <v>50943.9</v>
      </c>
      <c r="AL51" s="112">
        <f t="shared" si="10"/>
        <v>46233.171999999999</v>
      </c>
      <c r="AM51" s="112">
        <f t="shared" si="10"/>
        <v>4710.7280000000001</v>
      </c>
      <c r="AN51" s="112">
        <f t="shared" si="10"/>
        <v>165.143</v>
      </c>
      <c r="AO51" s="192">
        <f t="shared" si="6"/>
        <v>0.90753106848906351</v>
      </c>
      <c r="AP51" s="193">
        <f t="shared" si="7"/>
        <v>857.57299999999998</v>
      </c>
      <c r="AQ51" s="193">
        <f t="shared" si="9"/>
        <v>-852.57299999999998</v>
      </c>
      <c r="AR51" s="118"/>
      <c r="AS51" s="119"/>
      <c r="AT51" s="119"/>
      <c r="AU51" s="120"/>
      <c r="AV51" s="161"/>
      <c r="AW51" s="112">
        <v>50943900</v>
      </c>
      <c r="AX51" s="162">
        <v>46233172</v>
      </c>
      <c r="AY51" s="162">
        <v>4710728</v>
      </c>
      <c r="AZ51" s="162">
        <v>165143</v>
      </c>
      <c r="BA51" s="196">
        <f t="shared" si="15"/>
        <v>0.90753106848906351</v>
      </c>
      <c r="BB51" s="210">
        <v>6714</v>
      </c>
      <c r="BC51" s="115">
        <v>0</v>
      </c>
      <c r="BD51" s="236">
        <v>0</v>
      </c>
    </row>
    <row r="52" spans="1:56" s="121" customFormat="1" ht="14.25" customHeight="1">
      <c r="A52" s="104" t="s">
        <v>2577</v>
      </c>
      <c r="B52" s="105" t="s">
        <v>410</v>
      </c>
      <c r="C52" s="106" t="s">
        <v>386</v>
      </c>
      <c r="D52" s="106" t="s">
        <v>2415</v>
      </c>
      <c r="E52" s="71" t="s">
        <v>387</v>
      </c>
      <c r="F52" s="71" t="s">
        <v>78</v>
      </c>
      <c r="G52" s="68" t="s">
        <v>180</v>
      </c>
      <c r="H52" s="133"/>
      <c r="I52" s="134"/>
      <c r="J52" s="330">
        <v>5</v>
      </c>
      <c r="K52" s="113">
        <f t="shared" si="16"/>
        <v>5</v>
      </c>
      <c r="L52" s="111">
        <v>461.92700000000002</v>
      </c>
      <c r="M52" s="135">
        <v>23.456</v>
      </c>
      <c r="N52" s="115">
        <v>0</v>
      </c>
      <c r="O52" s="111">
        <v>257.95</v>
      </c>
      <c r="P52" s="136">
        <v>2.4E-2</v>
      </c>
      <c r="Q52" s="111">
        <v>8477</v>
      </c>
      <c r="R52" s="134"/>
      <c r="S52" s="111">
        <f t="shared" si="8"/>
        <v>203</v>
      </c>
      <c r="T52" s="115">
        <v>13.2</v>
      </c>
      <c r="U52" s="144">
        <v>79.299000000000007</v>
      </c>
      <c r="V52" s="135">
        <v>100.22199999999999</v>
      </c>
      <c r="W52" s="113">
        <f t="shared" si="17"/>
        <v>1139.0540000000001</v>
      </c>
      <c r="X52" s="135">
        <v>0</v>
      </c>
      <c r="Y52" s="135">
        <v>0</v>
      </c>
      <c r="Z52" s="116">
        <v>7</v>
      </c>
      <c r="AA52" s="135">
        <v>100.22199999999999</v>
      </c>
      <c r="AB52" s="113">
        <f t="shared" si="18"/>
        <v>107.22199999999999</v>
      </c>
      <c r="AC52" s="111">
        <v>0</v>
      </c>
      <c r="AD52" s="111">
        <v>48</v>
      </c>
      <c r="AE52" s="112">
        <v>0</v>
      </c>
      <c r="AF52" s="117">
        <v>0</v>
      </c>
      <c r="AG52" s="111">
        <v>0</v>
      </c>
      <c r="AH52" s="112">
        <v>0</v>
      </c>
      <c r="AI52" s="112">
        <v>68.820999999999998</v>
      </c>
      <c r="AJ52" s="113">
        <f t="shared" si="19"/>
        <v>116.821</v>
      </c>
      <c r="AK52" s="112">
        <f t="shared" si="10"/>
        <v>90704.207999999999</v>
      </c>
      <c r="AL52" s="112">
        <f t="shared" si="10"/>
        <v>85416.701000000001</v>
      </c>
      <c r="AM52" s="112">
        <f t="shared" si="10"/>
        <v>5287.5069999999996</v>
      </c>
      <c r="AN52" s="112">
        <f t="shared" si="10"/>
        <v>330.24099999999999</v>
      </c>
      <c r="AO52" s="192">
        <f t="shared" si="6"/>
        <v>0.94170604521457257</v>
      </c>
      <c r="AP52" s="193">
        <f t="shared" si="7"/>
        <v>1469.2950000000001</v>
      </c>
      <c r="AQ52" s="193">
        <f t="shared" si="9"/>
        <v>-1464.2950000000001</v>
      </c>
      <c r="AR52" s="118"/>
      <c r="AS52" s="119"/>
      <c r="AT52" s="119"/>
      <c r="AU52" s="120"/>
      <c r="AV52" s="161"/>
      <c r="AW52" s="112">
        <v>90704208</v>
      </c>
      <c r="AX52" s="162">
        <v>85416701</v>
      </c>
      <c r="AY52" s="162">
        <v>5287507</v>
      </c>
      <c r="AZ52" s="162">
        <v>330241</v>
      </c>
      <c r="BA52" s="196">
        <f t="shared" si="15"/>
        <v>0.94170604521457257</v>
      </c>
      <c r="BB52" s="210">
        <v>10073</v>
      </c>
      <c r="BC52" s="115">
        <v>0</v>
      </c>
      <c r="BD52" s="236">
        <v>0</v>
      </c>
    </row>
    <row r="53" spans="1:56" s="121" customFormat="1" ht="14.25" customHeight="1">
      <c r="A53" s="104" t="s">
        <v>2577</v>
      </c>
      <c r="B53" s="105" t="s">
        <v>416</v>
      </c>
      <c r="C53" s="106" t="s">
        <v>393</v>
      </c>
      <c r="D53" s="106" t="s">
        <v>2415</v>
      </c>
      <c r="E53" s="71" t="s">
        <v>394</v>
      </c>
      <c r="F53" s="71" t="s">
        <v>78</v>
      </c>
      <c r="G53" s="68" t="s">
        <v>180</v>
      </c>
      <c r="H53" s="133"/>
      <c r="I53" s="134"/>
      <c r="J53" s="330">
        <v>38</v>
      </c>
      <c r="K53" s="113">
        <f t="shared" si="16"/>
        <v>38</v>
      </c>
      <c r="L53" s="111">
        <v>391.60199999999998</v>
      </c>
      <c r="M53" s="135">
        <v>23.454999999999998</v>
      </c>
      <c r="N53" s="115">
        <v>0</v>
      </c>
      <c r="O53" s="111">
        <v>265.10000000000002</v>
      </c>
      <c r="P53" s="136">
        <v>2.4E-2</v>
      </c>
      <c r="Q53" s="111">
        <v>8477</v>
      </c>
      <c r="R53" s="134"/>
      <c r="S53" s="111">
        <f t="shared" si="8"/>
        <v>203</v>
      </c>
      <c r="T53" s="144">
        <v>5832.2</v>
      </c>
      <c r="U53" s="144">
        <v>77.298000000000002</v>
      </c>
      <c r="V53" s="135">
        <v>100.22199999999999</v>
      </c>
      <c r="W53" s="113">
        <f t="shared" si="17"/>
        <v>6892.8769999999995</v>
      </c>
      <c r="X53" s="135">
        <v>0</v>
      </c>
      <c r="Y53" s="135">
        <v>0</v>
      </c>
      <c r="Z53" s="116">
        <v>141</v>
      </c>
      <c r="AA53" s="135">
        <v>100.22199999999999</v>
      </c>
      <c r="AB53" s="113">
        <f t="shared" si="18"/>
        <v>241.22199999999998</v>
      </c>
      <c r="AC53" s="111">
        <v>0</v>
      </c>
      <c r="AD53" s="111">
        <v>50</v>
      </c>
      <c r="AE53" s="112">
        <v>0</v>
      </c>
      <c r="AF53" s="117">
        <v>7.04</v>
      </c>
      <c r="AG53" s="111">
        <v>60</v>
      </c>
      <c r="AH53" s="112">
        <v>0</v>
      </c>
      <c r="AI53" s="112">
        <v>72.429000000000002</v>
      </c>
      <c r="AJ53" s="113">
        <f t="shared" si="19"/>
        <v>189.46899999999999</v>
      </c>
      <c r="AK53" s="112">
        <f t="shared" si="10"/>
        <v>89325.722999999998</v>
      </c>
      <c r="AL53" s="112">
        <f t="shared" si="10"/>
        <v>67500.834000000003</v>
      </c>
      <c r="AM53" s="112">
        <f t="shared" si="10"/>
        <v>21824.888999999999</v>
      </c>
      <c r="AN53" s="112">
        <f t="shared" si="10"/>
        <v>2075.7829999999999</v>
      </c>
      <c r="AO53" s="192">
        <f t="shared" si="6"/>
        <v>0.75567072656103773</v>
      </c>
      <c r="AP53" s="193">
        <f t="shared" si="7"/>
        <v>8968.66</v>
      </c>
      <c r="AQ53" s="193">
        <f t="shared" si="9"/>
        <v>-8930.66</v>
      </c>
      <c r="AR53" s="118"/>
      <c r="AS53" s="119"/>
      <c r="AT53" s="119"/>
      <c r="AU53" s="120"/>
      <c r="AV53" s="161"/>
      <c r="AW53" s="112">
        <v>89325723</v>
      </c>
      <c r="AX53" s="162">
        <v>67500834</v>
      </c>
      <c r="AY53" s="162">
        <v>21824889</v>
      </c>
      <c r="AZ53" s="162">
        <v>2075783</v>
      </c>
      <c r="BA53" s="196">
        <f t="shared" si="15"/>
        <v>0.75567072656103773</v>
      </c>
      <c r="BB53" s="210">
        <v>7939</v>
      </c>
      <c r="BC53" s="115">
        <v>0</v>
      </c>
      <c r="BD53" s="236">
        <v>0</v>
      </c>
    </row>
    <row r="54" spans="1:56" s="121" customFormat="1" ht="14.25" customHeight="1">
      <c r="A54" s="104" t="s">
        <v>2577</v>
      </c>
      <c r="B54" s="105" t="s">
        <v>423</v>
      </c>
      <c r="C54" s="106" t="s">
        <v>400</v>
      </c>
      <c r="D54" s="106" t="s">
        <v>2415</v>
      </c>
      <c r="E54" s="71" t="s">
        <v>401</v>
      </c>
      <c r="F54" s="71" t="s">
        <v>78</v>
      </c>
      <c r="G54" s="68" t="s">
        <v>180</v>
      </c>
      <c r="H54" s="133"/>
      <c r="I54" s="134"/>
      <c r="J54" s="330">
        <v>0</v>
      </c>
      <c r="K54" s="113">
        <f t="shared" si="16"/>
        <v>0</v>
      </c>
      <c r="L54" s="111">
        <v>115.61799999999999</v>
      </c>
      <c r="M54" s="135">
        <v>23.456</v>
      </c>
      <c r="N54" s="115">
        <v>0</v>
      </c>
      <c r="O54" s="111">
        <v>0</v>
      </c>
      <c r="P54" s="136">
        <v>2.4E-2</v>
      </c>
      <c r="Q54" s="111">
        <v>8477</v>
      </c>
      <c r="R54" s="134"/>
      <c r="S54" s="111">
        <f t="shared" si="8"/>
        <v>203</v>
      </c>
      <c r="T54" s="115">
        <v>13.2</v>
      </c>
      <c r="U54" s="144">
        <v>77.298000000000002</v>
      </c>
      <c r="V54" s="135">
        <v>100.22199999999999</v>
      </c>
      <c r="W54" s="113">
        <f t="shared" si="17"/>
        <v>532.79399999999998</v>
      </c>
      <c r="X54" s="135">
        <v>0</v>
      </c>
      <c r="Y54" s="135">
        <v>0</v>
      </c>
      <c r="Z54" s="116">
        <v>6.0000000000000001E-3</v>
      </c>
      <c r="AA54" s="135">
        <v>100.22199999999999</v>
      </c>
      <c r="AB54" s="113">
        <f t="shared" si="18"/>
        <v>100.22799999999999</v>
      </c>
      <c r="AC54" s="111">
        <v>0</v>
      </c>
      <c r="AD54" s="111">
        <v>0</v>
      </c>
      <c r="AE54" s="112">
        <v>0</v>
      </c>
      <c r="AF54" s="117">
        <v>0</v>
      </c>
      <c r="AG54" s="111">
        <v>0</v>
      </c>
      <c r="AH54" s="112">
        <v>0</v>
      </c>
      <c r="AI54" s="112">
        <v>63.793999999999997</v>
      </c>
      <c r="AJ54" s="113">
        <f t="shared" si="19"/>
        <v>63.793999999999997</v>
      </c>
      <c r="AK54" s="112">
        <f t="shared" si="10"/>
        <v>45154.667999999998</v>
      </c>
      <c r="AL54" s="112">
        <f t="shared" si="10"/>
        <v>23561.446</v>
      </c>
      <c r="AM54" s="112">
        <f t="shared" si="10"/>
        <v>21593.222000000002</v>
      </c>
      <c r="AN54" s="112">
        <f t="shared" si="10"/>
        <v>900.73500000000001</v>
      </c>
      <c r="AO54" s="192">
        <f t="shared" si="6"/>
        <v>0.52179424727472257</v>
      </c>
      <c r="AP54" s="193">
        <f t="shared" si="7"/>
        <v>1433.529</v>
      </c>
      <c r="AQ54" s="193">
        <f t="shared" si="9"/>
        <v>-1433.529</v>
      </c>
      <c r="AR54" s="118"/>
      <c r="AS54" s="119"/>
      <c r="AT54" s="119"/>
      <c r="AU54" s="120"/>
      <c r="AV54" s="161"/>
      <c r="AW54" s="112">
        <v>45154668</v>
      </c>
      <c r="AX54" s="162">
        <v>23561446</v>
      </c>
      <c r="AY54" s="162">
        <v>21593222</v>
      </c>
      <c r="AZ54" s="162">
        <v>900735</v>
      </c>
      <c r="BA54" s="196">
        <f t="shared" si="15"/>
        <v>0.52179424727472257</v>
      </c>
      <c r="BB54" s="210">
        <v>2053</v>
      </c>
      <c r="BC54" s="115">
        <v>0</v>
      </c>
      <c r="BD54" s="236">
        <v>0</v>
      </c>
    </row>
    <row r="55" spans="1:56" s="121" customFormat="1" ht="14.25" customHeight="1">
      <c r="A55" s="104" t="s">
        <v>2577</v>
      </c>
      <c r="B55" s="105" t="s">
        <v>429</v>
      </c>
      <c r="C55" s="106" t="s">
        <v>406</v>
      </c>
      <c r="D55" s="106" t="s">
        <v>2415</v>
      </c>
      <c r="E55" s="71" t="s">
        <v>407</v>
      </c>
      <c r="F55" s="71" t="s">
        <v>78</v>
      </c>
      <c r="G55" s="68" t="s">
        <v>180</v>
      </c>
      <c r="H55" s="133"/>
      <c r="I55" s="134"/>
      <c r="J55" s="330">
        <v>0</v>
      </c>
      <c r="K55" s="113">
        <f t="shared" si="16"/>
        <v>0</v>
      </c>
      <c r="L55" s="111">
        <v>141.86000000000001</v>
      </c>
      <c r="M55" s="135">
        <v>23.456</v>
      </c>
      <c r="N55" s="115">
        <v>0</v>
      </c>
      <c r="O55" s="111">
        <v>66</v>
      </c>
      <c r="P55" s="136">
        <v>2.4E-2</v>
      </c>
      <c r="Q55" s="111">
        <v>8477</v>
      </c>
      <c r="R55" s="134"/>
      <c r="S55" s="111">
        <f t="shared" si="8"/>
        <v>203</v>
      </c>
      <c r="T55" s="115">
        <v>13.2</v>
      </c>
      <c r="U55" s="144">
        <v>77.298000000000002</v>
      </c>
      <c r="V55" s="135">
        <v>100.22199999999999</v>
      </c>
      <c r="W55" s="113">
        <f t="shared" si="17"/>
        <v>625.03600000000006</v>
      </c>
      <c r="X55" s="135">
        <v>0</v>
      </c>
      <c r="Y55" s="135">
        <v>0</v>
      </c>
      <c r="Z55" s="116">
        <v>1.002</v>
      </c>
      <c r="AA55" s="135">
        <v>100.22199999999999</v>
      </c>
      <c r="AB55" s="113">
        <f t="shared" si="18"/>
        <v>101.22399999999999</v>
      </c>
      <c r="AC55" s="111">
        <v>0</v>
      </c>
      <c r="AD55" s="111">
        <v>24.469000000000001</v>
      </c>
      <c r="AE55" s="112">
        <v>0</v>
      </c>
      <c r="AF55" s="117">
        <v>0</v>
      </c>
      <c r="AG55" s="111">
        <v>0</v>
      </c>
      <c r="AH55" s="112">
        <v>0</v>
      </c>
      <c r="AI55" s="112">
        <v>48.988999999999997</v>
      </c>
      <c r="AJ55" s="113">
        <f t="shared" si="19"/>
        <v>73.457999999999998</v>
      </c>
      <c r="AK55" s="112">
        <f t="shared" si="10"/>
        <v>38747</v>
      </c>
      <c r="AL55" s="112">
        <f t="shared" si="10"/>
        <v>21834.109</v>
      </c>
      <c r="AM55" s="112">
        <f t="shared" si="10"/>
        <v>16912.891</v>
      </c>
      <c r="AN55" s="112">
        <f t="shared" si="10"/>
        <v>852.43399999999997</v>
      </c>
      <c r="AO55" s="192">
        <f t="shared" si="6"/>
        <v>0.56350450357447024</v>
      </c>
      <c r="AP55" s="193">
        <f t="shared" si="7"/>
        <v>1477.47</v>
      </c>
      <c r="AQ55" s="193">
        <f t="shared" si="9"/>
        <v>-1477.47</v>
      </c>
      <c r="AR55" s="118"/>
      <c r="AS55" s="119"/>
      <c r="AT55" s="119"/>
      <c r="AU55" s="120"/>
      <c r="AV55" s="161"/>
      <c r="AW55" s="112">
        <v>38747000</v>
      </c>
      <c r="AX55" s="162">
        <v>21834109</v>
      </c>
      <c r="AY55" s="162">
        <v>16912891</v>
      </c>
      <c r="AZ55" s="162">
        <v>852434</v>
      </c>
      <c r="BA55" s="196">
        <f t="shared" si="15"/>
        <v>0.56350450357447024</v>
      </c>
      <c r="BB55" s="210">
        <v>2204</v>
      </c>
      <c r="BC55" s="115">
        <v>0</v>
      </c>
      <c r="BD55" s="236">
        <v>0</v>
      </c>
    </row>
    <row r="56" spans="1:56" s="121" customFormat="1" ht="14.25" customHeight="1">
      <c r="A56" s="104" t="s">
        <v>2577</v>
      </c>
      <c r="B56" s="105" t="s">
        <v>438</v>
      </c>
      <c r="C56" s="106" t="s">
        <v>411</v>
      </c>
      <c r="D56" s="106" t="s">
        <v>2415</v>
      </c>
      <c r="E56" s="71" t="s">
        <v>412</v>
      </c>
      <c r="F56" s="71" t="s">
        <v>78</v>
      </c>
      <c r="G56" s="68" t="s">
        <v>180</v>
      </c>
      <c r="H56" s="133"/>
      <c r="I56" s="134"/>
      <c r="J56" s="330">
        <v>0</v>
      </c>
      <c r="K56" s="113">
        <f t="shared" si="16"/>
        <v>0</v>
      </c>
      <c r="L56" s="111">
        <v>340.16199999999998</v>
      </c>
      <c r="M56" s="135">
        <v>23.456</v>
      </c>
      <c r="N56" s="115">
        <v>0</v>
      </c>
      <c r="O56" s="111">
        <v>181.5</v>
      </c>
      <c r="P56" s="136">
        <v>2.4E-2</v>
      </c>
      <c r="Q56" s="111">
        <v>8477</v>
      </c>
      <c r="R56" s="134"/>
      <c r="S56" s="111">
        <f t="shared" si="8"/>
        <v>203</v>
      </c>
      <c r="T56" s="115">
        <v>13.2</v>
      </c>
      <c r="U56" s="144">
        <v>77.299000000000007</v>
      </c>
      <c r="V56" s="135">
        <v>100.22199999999999</v>
      </c>
      <c r="W56" s="113">
        <f t="shared" si="17"/>
        <v>938.83899999999994</v>
      </c>
      <c r="X56" s="135">
        <v>0</v>
      </c>
      <c r="Y56" s="135">
        <v>0</v>
      </c>
      <c r="Z56" s="116">
        <v>2E-3</v>
      </c>
      <c r="AA56" s="135">
        <v>100.22199999999999</v>
      </c>
      <c r="AB56" s="113">
        <f t="shared" si="18"/>
        <v>100.22399999999999</v>
      </c>
      <c r="AC56" s="111">
        <v>0</v>
      </c>
      <c r="AD56" s="111">
        <v>24</v>
      </c>
      <c r="AE56" s="112">
        <v>0</v>
      </c>
      <c r="AF56" s="117">
        <v>0</v>
      </c>
      <c r="AG56" s="111">
        <v>0</v>
      </c>
      <c r="AH56" s="112">
        <v>0</v>
      </c>
      <c r="AI56" s="112">
        <v>5.3760000000000003</v>
      </c>
      <c r="AJ56" s="113">
        <f t="shared" si="19"/>
        <v>29.376000000000001</v>
      </c>
      <c r="AK56" s="112">
        <f t="shared" si="10"/>
        <v>48869.25</v>
      </c>
      <c r="AL56" s="112">
        <f t="shared" si="10"/>
        <v>39954.925000000003</v>
      </c>
      <c r="AM56" s="112">
        <f t="shared" si="10"/>
        <v>8914.3250000000007</v>
      </c>
      <c r="AN56" s="112">
        <f t="shared" si="10"/>
        <v>412.346</v>
      </c>
      <c r="AO56" s="192">
        <f t="shared" si="6"/>
        <v>0.81758825846519023</v>
      </c>
      <c r="AP56" s="193">
        <f t="shared" si="7"/>
        <v>1351.1849999999999</v>
      </c>
      <c r="AQ56" s="193">
        <f t="shared" si="9"/>
        <v>-1351.1849999999999</v>
      </c>
      <c r="AR56" s="118"/>
      <c r="AS56" s="119"/>
      <c r="AT56" s="119"/>
      <c r="AU56" s="120"/>
      <c r="AV56" s="161"/>
      <c r="AW56" s="112">
        <v>48869250</v>
      </c>
      <c r="AX56" s="162">
        <v>39954925</v>
      </c>
      <c r="AY56" s="162">
        <v>8914325</v>
      </c>
      <c r="AZ56" s="162">
        <v>412346</v>
      </c>
      <c r="BA56" s="196">
        <f t="shared" si="15"/>
        <v>0.81758825846519023</v>
      </c>
      <c r="BB56" s="210">
        <v>3805</v>
      </c>
      <c r="BC56" s="115">
        <v>0</v>
      </c>
      <c r="BD56" s="236">
        <v>0</v>
      </c>
    </row>
    <row r="57" spans="1:56" s="121" customFormat="1" ht="14.25" customHeight="1">
      <c r="A57" s="104" t="s">
        <v>2577</v>
      </c>
      <c r="B57" s="105" t="s">
        <v>446</v>
      </c>
      <c r="C57" s="106" t="s">
        <v>417</v>
      </c>
      <c r="D57" s="106" t="s">
        <v>2415</v>
      </c>
      <c r="E57" s="71" t="s">
        <v>418</v>
      </c>
      <c r="F57" s="71" t="s">
        <v>78</v>
      </c>
      <c r="G57" s="68" t="s">
        <v>180</v>
      </c>
      <c r="H57" s="133"/>
      <c r="I57" s="134"/>
      <c r="J57" s="330">
        <v>0</v>
      </c>
      <c r="K57" s="113">
        <f t="shared" si="16"/>
        <v>0</v>
      </c>
      <c r="L57" s="111">
        <v>261.24400000000003</v>
      </c>
      <c r="M57" s="135">
        <v>23.456</v>
      </c>
      <c r="N57" s="115">
        <v>0</v>
      </c>
      <c r="O57" s="111">
        <v>134.75</v>
      </c>
      <c r="P57" s="136">
        <v>2.4E-2</v>
      </c>
      <c r="Q57" s="111">
        <v>8477</v>
      </c>
      <c r="R57" s="134"/>
      <c r="S57" s="111">
        <f t="shared" si="8"/>
        <v>203</v>
      </c>
      <c r="T57" s="115">
        <v>13.2</v>
      </c>
      <c r="U57" s="144">
        <v>77.298000000000002</v>
      </c>
      <c r="V57" s="135">
        <v>100.22199999999999</v>
      </c>
      <c r="W57" s="113">
        <f t="shared" si="17"/>
        <v>813.17000000000007</v>
      </c>
      <c r="X57" s="135">
        <v>0</v>
      </c>
      <c r="Y57" s="135">
        <v>0</v>
      </c>
      <c r="Z57" s="116">
        <v>123</v>
      </c>
      <c r="AA57" s="135">
        <v>100.22199999999999</v>
      </c>
      <c r="AB57" s="113">
        <f t="shared" si="18"/>
        <v>223.22199999999998</v>
      </c>
      <c r="AC57" s="111">
        <v>0</v>
      </c>
      <c r="AD57" s="111">
        <v>60</v>
      </c>
      <c r="AE57" s="112">
        <v>0</v>
      </c>
      <c r="AF57" s="117">
        <v>95.054000000000002</v>
      </c>
      <c r="AG57" s="111">
        <v>0</v>
      </c>
      <c r="AH57" s="112">
        <v>0</v>
      </c>
      <c r="AI57" s="112">
        <v>203.66800000000001</v>
      </c>
      <c r="AJ57" s="113">
        <f t="shared" si="19"/>
        <v>358.72199999999998</v>
      </c>
      <c r="AK57" s="112">
        <f t="shared" si="10"/>
        <v>41307</v>
      </c>
      <c r="AL57" s="112">
        <f t="shared" si="10"/>
        <v>14540.064</v>
      </c>
      <c r="AM57" s="112">
        <f t="shared" si="10"/>
        <v>26766.936000000002</v>
      </c>
      <c r="AN57" s="112">
        <f t="shared" si="10"/>
        <v>908.75400000000002</v>
      </c>
      <c r="AO57" s="192">
        <f t="shared" si="6"/>
        <v>0.35199999999999998</v>
      </c>
      <c r="AP57" s="193">
        <f t="shared" si="7"/>
        <v>1721.924</v>
      </c>
      <c r="AQ57" s="193">
        <f t="shared" si="9"/>
        <v>-1721.924</v>
      </c>
      <c r="AR57" s="118"/>
      <c r="AS57" s="119"/>
      <c r="AT57" s="119"/>
      <c r="AU57" s="120"/>
      <c r="AV57" s="161"/>
      <c r="AW57" s="112">
        <v>41307000</v>
      </c>
      <c r="AX57" s="162">
        <v>14540064</v>
      </c>
      <c r="AY57" s="162">
        <v>26766936</v>
      </c>
      <c r="AZ57" s="162">
        <v>908754</v>
      </c>
      <c r="BA57" s="196">
        <f t="shared" si="15"/>
        <v>0.35199999999999998</v>
      </c>
      <c r="BB57" s="210">
        <v>5294</v>
      </c>
      <c r="BC57" s="115">
        <v>0</v>
      </c>
      <c r="BD57" s="236">
        <v>0</v>
      </c>
    </row>
    <row r="58" spans="1:56" s="121" customFormat="1" ht="14.25" customHeight="1">
      <c r="A58" s="104" t="s">
        <v>2577</v>
      </c>
      <c r="B58" s="105" t="s">
        <v>452</v>
      </c>
      <c r="C58" s="106" t="s">
        <v>424</v>
      </c>
      <c r="D58" s="106" t="s">
        <v>2415</v>
      </c>
      <c r="E58" s="71" t="s">
        <v>425</v>
      </c>
      <c r="F58" s="71" t="s">
        <v>78</v>
      </c>
      <c r="G58" s="68" t="s">
        <v>180</v>
      </c>
      <c r="H58" s="133"/>
      <c r="I58" s="134"/>
      <c r="J58" s="330">
        <v>37</v>
      </c>
      <c r="K58" s="113">
        <f t="shared" si="16"/>
        <v>37</v>
      </c>
      <c r="L58" s="111">
        <v>214.66300000000001</v>
      </c>
      <c r="M58" s="135">
        <v>23.456</v>
      </c>
      <c r="N58" s="115">
        <v>0</v>
      </c>
      <c r="O58" s="111">
        <v>58.85</v>
      </c>
      <c r="P58" s="136">
        <v>2.4E-2</v>
      </c>
      <c r="Q58" s="111">
        <v>8477</v>
      </c>
      <c r="R58" s="134"/>
      <c r="S58" s="111">
        <f t="shared" si="8"/>
        <v>203</v>
      </c>
      <c r="T58" s="115">
        <v>13.2</v>
      </c>
      <c r="U58" s="144">
        <v>77.298000000000002</v>
      </c>
      <c r="V58" s="135">
        <v>100.22199999999999</v>
      </c>
      <c r="W58" s="113">
        <f t="shared" si="17"/>
        <v>690.68899999999996</v>
      </c>
      <c r="X58" s="135">
        <v>0</v>
      </c>
      <c r="Y58" s="135">
        <v>0</v>
      </c>
      <c r="Z58" s="116">
        <v>62</v>
      </c>
      <c r="AA58" s="135">
        <v>100.22199999999999</v>
      </c>
      <c r="AB58" s="113">
        <f t="shared" si="18"/>
        <v>162.22199999999998</v>
      </c>
      <c r="AC58" s="111">
        <v>0</v>
      </c>
      <c r="AD58" s="111">
        <v>0</v>
      </c>
      <c r="AE58" s="112">
        <v>0</v>
      </c>
      <c r="AF58" s="117">
        <v>0</v>
      </c>
      <c r="AG58" s="111">
        <v>125</v>
      </c>
      <c r="AH58" s="112">
        <v>0</v>
      </c>
      <c r="AI58" s="112">
        <v>14.862</v>
      </c>
      <c r="AJ58" s="113">
        <f t="shared" si="19"/>
        <v>139.86199999999999</v>
      </c>
      <c r="AK58" s="112">
        <f t="shared" si="10"/>
        <v>52504</v>
      </c>
      <c r="AL58" s="112">
        <f t="shared" si="10"/>
        <v>35095.180999999997</v>
      </c>
      <c r="AM58" s="112">
        <f t="shared" si="10"/>
        <v>17408.819</v>
      </c>
      <c r="AN58" s="112">
        <f t="shared" si="10"/>
        <v>1155.088</v>
      </c>
      <c r="AO58" s="192">
        <f t="shared" si="6"/>
        <v>0.66842871019350902</v>
      </c>
      <c r="AP58" s="193">
        <f t="shared" si="7"/>
        <v>1845.777</v>
      </c>
      <c r="AQ58" s="193">
        <f t="shared" si="9"/>
        <v>-1808.777</v>
      </c>
      <c r="AR58" s="118"/>
      <c r="AS58" s="119"/>
      <c r="AT58" s="119"/>
      <c r="AU58" s="120"/>
      <c r="AV58" s="161"/>
      <c r="AW58" s="112">
        <v>52504000</v>
      </c>
      <c r="AX58" s="162">
        <v>35095181</v>
      </c>
      <c r="AY58" s="162">
        <v>17408819</v>
      </c>
      <c r="AZ58" s="162">
        <v>1155088</v>
      </c>
      <c r="BA58" s="196">
        <f t="shared" si="15"/>
        <v>0.66842871019350902</v>
      </c>
      <c r="BB58" s="210">
        <v>3852</v>
      </c>
      <c r="BC58" s="115">
        <v>0</v>
      </c>
      <c r="BD58" s="236">
        <v>0</v>
      </c>
    </row>
    <row r="59" spans="1:56" s="121" customFormat="1" ht="14.25" customHeight="1">
      <c r="A59" s="104" t="s">
        <v>2577</v>
      </c>
      <c r="B59" s="105" t="s">
        <v>453</v>
      </c>
      <c r="C59" s="106" t="s">
        <v>430</v>
      </c>
      <c r="D59" s="106" t="s">
        <v>2415</v>
      </c>
      <c r="E59" s="71" t="s">
        <v>431</v>
      </c>
      <c r="F59" s="71" t="s">
        <v>78</v>
      </c>
      <c r="G59" s="68" t="s">
        <v>180</v>
      </c>
      <c r="H59" s="133"/>
      <c r="I59" s="134"/>
      <c r="J59" s="330">
        <v>74</v>
      </c>
      <c r="K59" s="113">
        <f t="shared" si="16"/>
        <v>74</v>
      </c>
      <c r="L59" s="111">
        <v>151.25700000000001</v>
      </c>
      <c r="M59" s="135">
        <v>39.313000000000002</v>
      </c>
      <c r="N59" s="115">
        <v>0</v>
      </c>
      <c r="O59" s="111">
        <v>44</v>
      </c>
      <c r="P59" s="136">
        <v>2.4E-2</v>
      </c>
      <c r="Q59" s="111">
        <v>8477</v>
      </c>
      <c r="R59" s="134"/>
      <c r="S59" s="111">
        <f t="shared" si="8"/>
        <v>203</v>
      </c>
      <c r="T59" s="115">
        <v>1648.4880000000001</v>
      </c>
      <c r="U59" s="144">
        <v>28.768999999999998</v>
      </c>
      <c r="V59" s="135">
        <v>100.22199999999999</v>
      </c>
      <c r="W59" s="113">
        <f t="shared" si="17"/>
        <v>2215.049</v>
      </c>
      <c r="X59" s="135">
        <v>0</v>
      </c>
      <c r="Y59" s="135">
        <v>0</v>
      </c>
      <c r="Z59" s="116">
        <v>144</v>
      </c>
      <c r="AA59" s="135">
        <v>100.22199999999999</v>
      </c>
      <c r="AB59" s="113">
        <f t="shared" si="18"/>
        <v>244.22199999999998</v>
      </c>
      <c r="AC59" s="111">
        <v>0</v>
      </c>
      <c r="AD59" s="111">
        <v>0</v>
      </c>
      <c r="AE59" s="112">
        <v>0</v>
      </c>
      <c r="AF59" s="117">
        <v>0</v>
      </c>
      <c r="AG59" s="111">
        <v>175</v>
      </c>
      <c r="AH59" s="112">
        <v>0</v>
      </c>
      <c r="AI59" s="112">
        <v>0</v>
      </c>
      <c r="AJ59" s="113">
        <f t="shared" si="19"/>
        <v>175</v>
      </c>
      <c r="AK59" s="112">
        <f t="shared" si="10"/>
        <v>96280</v>
      </c>
      <c r="AL59" s="112">
        <f t="shared" si="10"/>
        <v>79852.620999999999</v>
      </c>
      <c r="AM59" s="112">
        <f t="shared" si="10"/>
        <v>16427.379000000001</v>
      </c>
      <c r="AN59" s="112">
        <f t="shared" si="10"/>
        <v>1644.874</v>
      </c>
      <c r="AO59" s="192">
        <f t="shared" si="6"/>
        <v>0.82937911300373912</v>
      </c>
      <c r="AP59" s="193">
        <f t="shared" si="7"/>
        <v>3859.9229999999998</v>
      </c>
      <c r="AQ59" s="193">
        <f t="shared" si="9"/>
        <v>-3785.9229999999998</v>
      </c>
      <c r="AR59" s="118"/>
      <c r="AS59" s="119"/>
      <c r="AT59" s="119"/>
      <c r="AU59" s="120"/>
      <c r="AV59" s="161"/>
      <c r="AW59" s="112">
        <v>96280000</v>
      </c>
      <c r="AX59" s="162">
        <v>79852621</v>
      </c>
      <c r="AY59" s="162">
        <v>16427379</v>
      </c>
      <c r="AZ59" s="162">
        <v>1644874</v>
      </c>
      <c r="BA59" s="196">
        <f t="shared" si="15"/>
        <v>0.82937911300373912</v>
      </c>
      <c r="BB59" s="210">
        <v>0</v>
      </c>
      <c r="BC59" s="115">
        <v>0</v>
      </c>
      <c r="BD59" s="236">
        <v>0</v>
      </c>
    </row>
    <row r="60" spans="1:56" s="121" customFormat="1" ht="14.25" customHeight="1">
      <c r="A60" s="104" t="s">
        <v>2577</v>
      </c>
      <c r="B60" s="105" t="s">
        <v>460</v>
      </c>
      <c r="C60" s="106" t="s">
        <v>439</v>
      </c>
      <c r="D60" s="106" t="s">
        <v>2415</v>
      </c>
      <c r="E60" s="71" t="s">
        <v>440</v>
      </c>
      <c r="F60" s="71" t="s">
        <v>78</v>
      </c>
      <c r="G60" s="68" t="s">
        <v>180</v>
      </c>
      <c r="H60" s="133"/>
      <c r="I60" s="134"/>
      <c r="J60" s="330">
        <v>71</v>
      </c>
      <c r="K60" s="113">
        <f t="shared" si="16"/>
        <v>71</v>
      </c>
      <c r="L60" s="111">
        <v>0</v>
      </c>
      <c r="M60" s="135">
        <v>90.662999999999997</v>
      </c>
      <c r="N60" s="115">
        <v>0</v>
      </c>
      <c r="O60" s="111">
        <v>52.8</v>
      </c>
      <c r="P60" s="136">
        <v>2.4E-2</v>
      </c>
      <c r="Q60" s="111">
        <v>8477</v>
      </c>
      <c r="R60" s="134"/>
      <c r="S60" s="111">
        <f t="shared" si="8"/>
        <v>203</v>
      </c>
      <c r="T60" s="115">
        <v>1648.4880000000001</v>
      </c>
      <c r="U60" s="144">
        <v>15.119</v>
      </c>
      <c r="V60" s="135">
        <v>100.22199999999999</v>
      </c>
      <c r="W60" s="113">
        <f t="shared" si="17"/>
        <v>2110.2919999999999</v>
      </c>
      <c r="X60" s="135">
        <v>0</v>
      </c>
      <c r="Y60" s="135">
        <v>0</v>
      </c>
      <c r="Z60" s="116">
        <v>137</v>
      </c>
      <c r="AA60" s="135">
        <v>100.22199999999999</v>
      </c>
      <c r="AB60" s="113">
        <f t="shared" si="18"/>
        <v>237.22199999999998</v>
      </c>
      <c r="AC60" s="111">
        <v>0</v>
      </c>
      <c r="AD60" s="111">
        <v>0</v>
      </c>
      <c r="AE60" s="112">
        <v>0</v>
      </c>
      <c r="AF60" s="117">
        <v>0</v>
      </c>
      <c r="AG60" s="111">
        <v>120</v>
      </c>
      <c r="AH60" s="112">
        <v>0</v>
      </c>
      <c r="AI60" s="112">
        <v>0</v>
      </c>
      <c r="AJ60" s="113">
        <f t="shared" si="19"/>
        <v>120</v>
      </c>
      <c r="AK60" s="112">
        <f t="shared" si="10"/>
        <v>158400.9</v>
      </c>
      <c r="AL60" s="112">
        <f t="shared" si="10"/>
        <v>76666.017999999996</v>
      </c>
      <c r="AM60" s="112">
        <f t="shared" si="10"/>
        <v>81734.881999999998</v>
      </c>
      <c r="AN60" s="112">
        <f t="shared" si="10"/>
        <v>3484.819</v>
      </c>
      <c r="AO60" s="192">
        <f t="shared" si="6"/>
        <v>0.48399988888952022</v>
      </c>
      <c r="AP60" s="193">
        <f t="shared" si="7"/>
        <v>5595.1109999999999</v>
      </c>
      <c r="AQ60" s="193">
        <f t="shared" si="9"/>
        <v>-5524.1109999999999</v>
      </c>
      <c r="AR60" s="118"/>
      <c r="AS60" s="119"/>
      <c r="AT60" s="119"/>
      <c r="AU60" s="120"/>
      <c r="AV60" s="161"/>
      <c r="AW60" s="112">
        <v>158400900</v>
      </c>
      <c r="AX60" s="162">
        <v>76666018</v>
      </c>
      <c r="AY60" s="162">
        <v>81734882</v>
      </c>
      <c r="AZ60" s="162">
        <v>3484819</v>
      </c>
      <c r="BA60" s="196">
        <f t="shared" si="15"/>
        <v>0.48399988888952022</v>
      </c>
      <c r="BB60" s="210">
        <v>0</v>
      </c>
      <c r="BC60" s="115">
        <v>0</v>
      </c>
      <c r="BD60" s="236">
        <v>0</v>
      </c>
    </row>
    <row r="61" spans="1:56" s="121" customFormat="1" ht="14.25" customHeight="1">
      <c r="A61" s="104" t="s">
        <v>2577</v>
      </c>
      <c r="B61" s="105" t="s">
        <v>466</v>
      </c>
      <c r="C61" s="106" t="s">
        <v>447</v>
      </c>
      <c r="D61" s="106" t="s">
        <v>2415</v>
      </c>
      <c r="E61" s="71" t="s">
        <v>252</v>
      </c>
      <c r="F61" s="71" t="s">
        <v>78</v>
      </c>
      <c r="G61" s="68" t="s">
        <v>180</v>
      </c>
      <c r="H61" s="133"/>
      <c r="I61" s="134"/>
      <c r="J61" s="330">
        <v>21</v>
      </c>
      <c r="K61" s="113">
        <f t="shared" si="16"/>
        <v>21</v>
      </c>
      <c r="L61" s="111">
        <v>676.96199999999999</v>
      </c>
      <c r="M61" s="135">
        <v>48.204999999999998</v>
      </c>
      <c r="N61" s="115">
        <v>0</v>
      </c>
      <c r="O61" s="111">
        <v>383.9</v>
      </c>
      <c r="P61" s="136">
        <v>2.4E-2</v>
      </c>
      <c r="Q61" s="111">
        <v>8477</v>
      </c>
      <c r="R61" s="134"/>
      <c r="S61" s="111">
        <f t="shared" si="8"/>
        <v>203</v>
      </c>
      <c r="T61" s="115">
        <v>13.2</v>
      </c>
      <c r="U61" s="144">
        <v>77.298000000000002</v>
      </c>
      <c r="V61" s="135">
        <v>100.22199999999999</v>
      </c>
      <c r="W61" s="113">
        <f t="shared" si="17"/>
        <v>1502.787</v>
      </c>
      <c r="X61" s="135">
        <v>0</v>
      </c>
      <c r="Y61" s="135">
        <v>0</v>
      </c>
      <c r="Z61" s="135">
        <v>68</v>
      </c>
      <c r="AA61" s="135">
        <v>100.22199999999999</v>
      </c>
      <c r="AB61" s="113">
        <f t="shared" si="18"/>
        <v>168.22199999999998</v>
      </c>
      <c r="AC61" s="111">
        <v>0</v>
      </c>
      <c r="AD61" s="111">
        <v>0</v>
      </c>
      <c r="AE61" s="112">
        <v>0</v>
      </c>
      <c r="AF61" s="117">
        <v>0</v>
      </c>
      <c r="AG61" s="111">
        <v>100.22199999999999</v>
      </c>
      <c r="AH61" s="112">
        <v>0</v>
      </c>
      <c r="AI61" s="112">
        <v>109.86499999999999</v>
      </c>
      <c r="AJ61" s="113">
        <f t="shared" si="19"/>
        <v>210.08699999999999</v>
      </c>
      <c r="AK61" s="112">
        <f t="shared" si="10"/>
        <v>100815.75</v>
      </c>
      <c r="AL61" s="112">
        <f t="shared" si="10"/>
        <v>83475.432000000001</v>
      </c>
      <c r="AM61" s="112">
        <f t="shared" si="10"/>
        <v>17340.317999999999</v>
      </c>
      <c r="AN61" s="112">
        <f t="shared" si="10"/>
        <v>4637.5240000000003</v>
      </c>
      <c r="AO61" s="192">
        <f t="shared" si="6"/>
        <v>0.82799991072823442</v>
      </c>
      <c r="AP61" s="193">
        <f t="shared" si="7"/>
        <v>6140.3110000000006</v>
      </c>
      <c r="AQ61" s="193">
        <f t="shared" si="9"/>
        <v>-6119.3110000000006</v>
      </c>
      <c r="AR61" s="118"/>
      <c r="AS61" s="119"/>
      <c r="AT61" s="119"/>
      <c r="AU61" s="120"/>
      <c r="AV61" s="161"/>
      <c r="AW61" s="112">
        <v>100815750</v>
      </c>
      <c r="AX61" s="162">
        <v>83475432</v>
      </c>
      <c r="AY61" s="162">
        <v>17340318</v>
      </c>
      <c r="AZ61" s="162">
        <v>4637524</v>
      </c>
      <c r="BA61" s="196">
        <f t="shared" si="15"/>
        <v>0.82799991072823442</v>
      </c>
      <c r="BB61" s="210">
        <v>10208</v>
      </c>
      <c r="BC61" s="115">
        <v>0</v>
      </c>
      <c r="BD61" s="236">
        <v>0</v>
      </c>
    </row>
    <row r="62" spans="1:56" s="121" customFormat="1" ht="14.25" customHeight="1">
      <c r="A62" s="104" t="s">
        <v>2577</v>
      </c>
      <c r="B62" s="105" t="s">
        <v>56</v>
      </c>
      <c r="C62" s="106" t="s">
        <v>454</v>
      </c>
      <c r="D62" s="106" t="s">
        <v>2415</v>
      </c>
      <c r="E62" s="71" t="s">
        <v>455</v>
      </c>
      <c r="F62" s="71" t="s">
        <v>78</v>
      </c>
      <c r="G62" s="68" t="s">
        <v>180</v>
      </c>
      <c r="H62" s="133"/>
      <c r="I62" s="134"/>
      <c r="J62" s="330">
        <v>7</v>
      </c>
      <c r="K62" s="113">
        <f t="shared" si="16"/>
        <v>7</v>
      </c>
      <c r="L62" s="111">
        <v>240.48500000000001</v>
      </c>
      <c r="M62" s="135">
        <v>23.456</v>
      </c>
      <c r="N62" s="115">
        <v>0</v>
      </c>
      <c r="O62" s="111">
        <v>75.349999999999994</v>
      </c>
      <c r="P62" s="136">
        <v>2.4E-2</v>
      </c>
      <c r="Q62" s="111">
        <v>8477</v>
      </c>
      <c r="R62" s="134"/>
      <c r="S62" s="111">
        <f t="shared" si="8"/>
        <v>203</v>
      </c>
      <c r="T62" s="115">
        <v>147.4</v>
      </c>
      <c r="U62" s="144">
        <v>125.828</v>
      </c>
      <c r="V62" s="135">
        <v>100.22199999999999</v>
      </c>
      <c r="W62" s="113">
        <f t="shared" si="17"/>
        <v>915.74099999999999</v>
      </c>
      <c r="X62" s="135">
        <v>0</v>
      </c>
      <c r="Y62" s="135">
        <v>0</v>
      </c>
      <c r="Z62" s="116">
        <v>0</v>
      </c>
      <c r="AA62" s="135">
        <v>100.22199999999999</v>
      </c>
      <c r="AB62" s="113">
        <f t="shared" si="18"/>
        <v>100.22199999999999</v>
      </c>
      <c r="AC62" s="111">
        <v>0</v>
      </c>
      <c r="AD62" s="111">
        <v>60</v>
      </c>
      <c r="AE62" s="112">
        <v>0</v>
      </c>
      <c r="AF62" s="117">
        <v>0</v>
      </c>
      <c r="AG62" s="111">
        <v>0</v>
      </c>
      <c r="AH62" s="112">
        <v>0</v>
      </c>
      <c r="AI62" s="112">
        <v>33.784999999999997</v>
      </c>
      <c r="AJ62" s="113">
        <f t="shared" si="19"/>
        <v>93.784999999999997</v>
      </c>
      <c r="AK62" s="112">
        <f t="shared" si="10"/>
        <v>42144.9</v>
      </c>
      <c r="AL62" s="112">
        <f t="shared" si="10"/>
        <v>37087.480000000003</v>
      </c>
      <c r="AM62" s="112">
        <f t="shared" si="10"/>
        <v>5057.42</v>
      </c>
      <c r="AN62" s="112">
        <f t="shared" si="10"/>
        <v>927.18700000000001</v>
      </c>
      <c r="AO62" s="192">
        <f t="shared" si="6"/>
        <v>0.87999924071477209</v>
      </c>
      <c r="AP62" s="193">
        <f t="shared" si="7"/>
        <v>1842.9279999999999</v>
      </c>
      <c r="AQ62" s="193">
        <f t="shared" si="9"/>
        <v>-1835.9279999999999</v>
      </c>
      <c r="AR62" s="118"/>
      <c r="AS62" s="119"/>
      <c r="AT62" s="119"/>
      <c r="AU62" s="120"/>
      <c r="AV62" s="161"/>
      <c r="AW62" s="112">
        <v>42144900</v>
      </c>
      <c r="AX62" s="162">
        <v>37087480</v>
      </c>
      <c r="AY62" s="162">
        <v>5057420</v>
      </c>
      <c r="AZ62" s="162">
        <v>927187</v>
      </c>
      <c r="BA62" s="196">
        <f t="shared" si="15"/>
        <v>0.87999924071477209</v>
      </c>
      <c r="BB62" s="210">
        <v>2690</v>
      </c>
      <c r="BC62" s="115">
        <v>0</v>
      </c>
      <c r="BD62" s="236">
        <v>0</v>
      </c>
    </row>
    <row r="63" spans="1:56" s="121" customFormat="1" ht="14.25" customHeight="1">
      <c r="A63" s="104" t="s">
        <v>2577</v>
      </c>
      <c r="B63" s="105" t="s">
        <v>475</v>
      </c>
      <c r="C63" s="106" t="s">
        <v>461</v>
      </c>
      <c r="D63" s="106" t="s">
        <v>2415</v>
      </c>
      <c r="E63" s="71" t="s">
        <v>462</v>
      </c>
      <c r="F63" s="71" t="s">
        <v>78</v>
      </c>
      <c r="G63" s="68" t="s">
        <v>180</v>
      </c>
      <c r="H63" s="133"/>
      <c r="I63" s="134"/>
      <c r="J63" s="330">
        <v>88</v>
      </c>
      <c r="K63" s="113">
        <f t="shared" si="16"/>
        <v>88</v>
      </c>
      <c r="L63" s="111">
        <v>153.375</v>
      </c>
      <c r="M63" s="135">
        <v>23.456</v>
      </c>
      <c r="N63" s="115">
        <v>0</v>
      </c>
      <c r="O63" s="111">
        <v>119.35</v>
      </c>
      <c r="P63" s="136">
        <v>2.4E-2</v>
      </c>
      <c r="Q63" s="111">
        <v>8477</v>
      </c>
      <c r="R63" s="134"/>
      <c r="S63" s="111">
        <f t="shared" si="8"/>
        <v>203</v>
      </c>
      <c r="T63" s="115">
        <v>13.2</v>
      </c>
      <c r="U63" s="144">
        <v>77.298000000000002</v>
      </c>
      <c r="V63" s="135">
        <v>100.22199999999999</v>
      </c>
      <c r="W63" s="113">
        <f t="shared" si="17"/>
        <v>689.90099999999995</v>
      </c>
      <c r="X63" s="135">
        <v>0</v>
      </c>
      <c r="Y63" s="135">
        <v>0</v>
      </c>
      <c r="Z63" s="135">
        <v>64</v>
      </c>
      <c r="AA63" s="135">
        <v>100.22199999999999</v>
      </c>
      <c r="AB63" s="113">
        <f t="shared" si="18"/>
        <v>164.22199999999998</v>
      </c>
      <c r="AC63" s="111">
        <v>0</v>
      </c>
      <c r="AD63" s="111">
        <v>70</v>
      </c>
      <c r="AE63" s="112">
        <v>0</v>
      </c>
      <c r="AF63" s="117">
        <v>0</v>
      </c>
      <c r="AG63" s="111">
        <v>100</v>
      </c>
      <c r="AH63" s="112">
        <v>0</v>
      </c>
      <c r="AI63" s="112">
        <v>1.804</v>
      </c>
      <c r="AJ63" s="113">
        <f t="shared" si="19"/>
        <v>171.804</v>
      </c>
      <c r="AK63" s="112">
        <f t="shared" si="10"/>
        <v>55003.383000000002</v>
      </c>
      <c r="AL63" s="112">
        <f t="shared" si="10"/>
        <v>35322.777000000002</v>
      </c>
      <c r="AM63" s="112">
        <f t="shared" si="10"/>
        <v>19680.606</v>
      </c>
      <c r="AN63" s="112">
        <f t="shared" si="10"/>
        <v>1459.171</v>
      </c>
      <c r="AO63" s="192">
        <f t="shared" si="6"/>
        <v>0.64219280839507631</v>
      </c>
      <c r="AP63" s="193">
        <f t="shared" si="7"/>
        <v>2149.0720000000001</v>
      </c>
      <c r="AQ63" s="193">
        <f t="shared" si="9"/>
        <v>-2061.0720000000001</v>
      </c>
      <c r="AR63" s="118"/>
      <c r="AS63" s="119"/>
      <c r="AT63" s="119"/>
      <c r="AU63" s="120"/>
      <c r="AV63" s="161"/>
      <c r="AW63" s="112">
        <v>55003383</v>
      </c>
      <c r="AX63" s="162">
        <v>35322777</v>
      </c>
      <c r="AY63" s="162">
        <v>19680606</v>
      </c>
      <c r="AZ63" s="162">
        <v>1459171</v>
      </c>
      <c r="BA63" s="196">
        <f t="shared" si="15"/>
        <v>0.64219280839507631</v>
      </c>
      <c r="BB63" s="210">
        <v>1026</v>
      </c>
      <c r="BC63" s="115">
        <v>0</v>
      </c>
      <c r="BD63" s="236">
        <v>0</v>
      </c>
    </row>
    <row r="64" spans="1:56" s="121" customFormat="1" ht="14.25" customHeight="1">
      <c r="A64" s="104" t="s">
        <v>2577</v>
      </c>
      <c r="B64" s="105" t="s">
        <v>481</v>
      </c>
      <c r="C64" s="106" t="s">
        <v>467</v>
      </c>
      <c r="D64" s="106" t="s">
        <v>2415</v>
      </c>
      <c r="E64" s="71" t="s">
        <v>468</v>
      </c>
      <c r="F64" s="71" t="s">
        <v>78</v>
      </c>
      <c r="G64" s="68" t="s">
        <v>180</v>
      </c>
      <c r="H64" s="133"/>
      <c r="I64" s="134"/>
      <c r="J64" s="330">
        <v>0</v>
      </c>
      <c r="K64" s="113">
        <f t="shared" si="16"/>
        <v>0</v>
      </c>
      <c r="L64" s="111">
        <v>171.46299999999999</v>
      </c>
      <c r="M64" s="135">
        <v>23.456</v>
      </c>
      <c r="N64" s="115">
        <v>0</v>
      </c>
      <c r="O64" s="111">
        <v>33</v>
      </c>
      <c r="P64" s="136">
        <v>2.4E-2</v>
      </c>
      <c r="Q64" s="111">
        <v>8477</v>
      </c>
      <c r="R64" s="134"/>
      <c r="S64" s="111">
        <f t="shared" si="8"/>
        <v>203</v>
      </c>
      <c r="T64" s="115">
        <v>13.2</v>
      </c>
      <c r="U64" s="144">
        <v>77.298000000000002</v>
      </c>
      <c r="V64" s="135">
        <v>0</v>
      </c>
      <c r="W64" s="113">
        <f t="shared" si="17"/>
        <v>521.41699999999992</v>
      </c>
      <c r="X64" s="135"/>
      <c r="Y64" s="135"/>
      <c r="Z64" s="116"/>
      <c r="AA64" s="135">
        <v>0</v>
      </c>
      <c r="AB64" s="113">
        <f t="shared" si="18"/>
        <v>0</v>
      </c>
      <c r="AC64" s="111">
        <v>0</v>
      </c>
      <c r="AD64" s="111">
        <v>0</v>
      </c>
      <c r="AE64" s="112">
        <v>0</v>
      </c>
      <c r="AF64" s="117">
        <v>0</v>
      </c>
      <c r="AG64" s="111">
        <v>0</v>
      </c>
      <c r="AH64" s="112">
        <v>0</v>
      </c>
      <c r="AI64" s="112">
        <v>0</v>
      </c>
      <c r="AJ64" s="113">
        <f t="shared" si="19"/>
        <v>0</v>
      </c>
      <c r="AK64" s="112">
        <f t="shared" si="10"/>
        <v>48356.453000000001</v>
      </c>
      <c r="AL64" s="112">
        <f t="shared" si="10"/>
        <v>28626.838</v>
      </c>
      <c r="AM64" s="112">
        <f t="shared" si="10"/>
        <v>19729.615000000002</v>
      </c>
      <c r="AN64" s="112">
        <f t="shared" si="10"/>
        <v>974.56299999999999</v>
      </c>
      <c r="AO64" s="192">
        <f t="shared" si="6"/>
        <v>0.59199623264344881</v>
      </c>
      <c r="AP64" s="193">
        <f t="shared" si="7"/>
        <v>1495.98</v>
      </c>
      <c r="AQ64" s="193">
        <f t="shared" si="9"/>
        <v>-1495.98</v>
      </c>
      <c r="AR64" s="118"/>
      <c r="AS64" s="119"/>
      <c r="AT64" s="119"/>
      <c r="AU64" s="120"/>
      <c r="AV64" s="161"/>
      <c r="AW64" s="112">
        <v>48356453</v>
      </c>
      <c r="AX64" s="162">
        <v>28626838</v>
      </c>
      <c r="AY64" s="162">
        <v>19729615</v>
      </c>
      <c r="AZ64" s="162">
        <v>974563</v>
      </c>
      <c r="BA64" s="196">
        <f t="shared" si="15"/>
        <v>0.59199623264344881</v>
      </c>
      <c r="BB64" s="210">
        <v>3936</v>
      </c>
      <c r="BC64" s="115">
        <v>0</v>
      </c>
      <c r="BD64" s="236">
        <v>0</v>
      </c>
    </row>
    <row r="65" spans="1:56" s="121" customFormat="1" ht="14.25" customHeight="1">
      <c r="A65" s="104" t="s">
        <v>2577</v>
      </c>
      <c r="B65" s="105" t="s">
        <v>486</v>
      </c>
      <c r="C65" s="106" t="s">
        <v>471</v>
      </c>
      <c r="D65" s="106" t="s">
        <v>2415</v>
      </c>
      <c r="E65" s="71" t="s">
        <v>472</v>
      </c>
      <c r="F65" s="71" t="s">
        <v>78</v>
      </c>
      <c r="G65" s="68" t="s">
        <v>180</v>
      </c>
      <c r="H65" s="133"/>
      <c r="I65" s="134"/>
      <c r="J65" s="330">
        <v>0</v>
      </c>
      <c r="K65" s="113">
        <f t="shared" si="16"/>
        <v>0</v>
      </c>
      <c r="L65" s="111">
        <v>722.70899999999995</v>
      </c>
      <c r="M65" s="135">
        <v>131.233</v>
      </c>
      <c r="N65" s="115">
        <v>0</v>
      </c>
      <c r="O65" s="111">
        <v>409.31</v>
      </c>
      <c r="P65" s="136">
        <v>2.4E-2</v>
      </c>
      <c r="Q65" s="111">
        <v>8477</v>
      </c>
      <c r="R65" s="134"/>
      <c r="S65" s="111">
        <f t="shared" si="8"/>
        <v>203</v>
      </c>
      <c r="T65" s="115">
        <v>26.4</v>
      </c>
      <c r="U65" s="144">
        <v>133.828</v>
      </c>
      <c r="V65" s="135">
        <v>200.44399999999999</v>
      </c>
      <c r="W65" s="113">
        <f t="shared" si="17"/>
        <v>1826.924</v>
      </c>
      <c r="X65" s="135">
        <v>0</v>
      </c>
      <c r="Y65" s="135">
        <v>0</v>
      </c>
      <c r="Z65" s="135">
        <v>398</v>
      </c>
      <c r="AA65" s="135">
        <v>200.44399999999999</v>
      </c>
      <c r="AB65" s="113">
        <f t="shared" si="18"/>
        <v>598.44399999999996</v>
      </c>
      <c r="AC65" s="111">
        <v>0</v>
      </c>
      <c r="AD65" s="111">
        <v>36.036000000000001</v>
      </c>
      <c r="AE65" s="112">
        <v>0</v>
      </c>
      <c r="AF65" s="117">
        <v>0</v>
      </c>
      <c r="AG65" s="111">
        <v>360</v>
      </c>
      <c r="AH65" s="112">
        <v>0</v>
      </c>
      <c r="AI65" s="112">
        <v>220.215</v>
      </c>
      <c r="AJ65" s="113">
        <f t="shared" si="19"/>
        <v>616.25099999999998</v>
      </c>
      <c r="AK65" s="112">
        <f t="shared" si="10"/>
        <v>218508.77600000001</v>
      </c>
      <c r="AL65" s="112">
        <f t="shared" si="10"/>
        <v>194485.41099999999</v>
      </c>
      <c r="AM65" s="112">
        <f t="shared" si="10"/>
        <v>24023.365000000002</v>
      </c>
      <c r="AN65" s="112">
        <f t="shared" si="10"/>
        <v>718.09400000000005</v>
      </c>
      <c r="AO65" s="192">
        <f t="shared" si="6"/>
        <v>0.8900576652353771</v>
      </c>
      <c r="AP65" s="193">
        <f t="shared" si="7"/>
        <v>2545.018</v>
      </c>
      <c r="AQ65" s="193">
        <f t="shared" si="9"/>
        <v>-2545.018</v>
      </c>
      <c r="AR65" s="118"/>
      <c r="AS65" s="119"/>
      <c r="AT65" s="119"/>
      <c r="AU65" s="120"/>
      <c r="AV65" s="161"/>
      <c r="AW65" s="112">
        <v>218508776</v>
      </c>
      <c r="AX65" s="162">
        <v>194485411</v>
      </c>
      <c r="AY65" s="162">
        <v>24023365</v>
      </c>
      <c r="AZ65" s="162">
        <v>718094</v>
      </c>
      <c r="BA65" s="196">
        <f t="shared" si="15"/>
        <v>0.8900576652353771</v>
      </c>
      <c r="BB65" s="210">
        <v>14741</v>
      </c>
      <c r="BC65" s="115">
        <v>0</v>
      </c>
      <c r="BD65" s="236">
        <v>0</v>
      </c>
    </row>
    <row r="66" spans="1:56" s="121" customFormat="1" ht="14.25" customHeight="1">
      <c r="A66" s="104" t="s">
        <v>2577</v>
      </c>
      <c r="B66" s="105" t="s">
        <v>492</v>
      </c>
      <c r="C66" s="106" t="s">
        <v>476</v>
      </c>
      <c r="D66" s="106" t="s">
        <v>2415</v>
      </c>
      <c r="E66" s="71" t="s">
        <v>477</v>
      </c>
      <c r="F66" s="71" t="s">
        <v>78</v>
      </c>
      <c r="G66" s="68" t="s">
        <v>180</v>
      </c>
      <c r="H66" s="133"/>
      <c r="I66" s="134"/>
      <c r="J66" s="330">
        <v>4</v>
      </c>
      <c r="K66" s="113">
        <f t="shared" si="16"/>
        <v>4</v>
      </c>
      <c r="L66" s="111">
        <v>422.68299999999999</v>
      </c>
      <c r="M66" s="135">
        <v>78.456999999999994</v>
      </c>
      <c r="N66" s="115">
        <v>0</v>
      </c>
      <c r="O66" s="111">
        <v>597.85</v>
      </c>
      <c r="P66" s="136">
        <v>2.4E-2</v>
      </c>
      <c r="Q66" s="111">
        <v>8477</v>
      </c>
      <c r="R66" s="134"/>
      <c r="S66" s="111">
        <f t="shared" si="8"/>
        <v>203</v>
      </c>
      <c r="T66" s="115">
        <v>13.2</v>
      </c>
      <c r="U66" s="144">
        <v>77.299000000000007</v>
      </c>
      <c r="V66" s="135">
        <v>100.22199999999999</v>
      </c>
      <c r="W66" s="113">
        <f t="shared" si="17"/>
        <v>1492.711</v>
      </c>
      <c r="X66" s="135">
        <v>0</v>
      </c>
      <c r="Y66" s="135">
        <v>0</v>
      </c>
      <c r="Z66" s="135">
        <v>41</v>
      </c>
      <c r="AA66" s="135">
        <v>100.22199999999999</v>
      </c>
      <c r="AB66" s="113">
        <f t="shared" si="18"/>
        <v>141.22199999999998</v>
      </c>
      <c r="AC66" s="111">
        <v>0</v>
      </c>
      <c r="AD66" s="111">
        <v>10</v>
      </c>
      <c r="AE66" s="112">
        <v>0</v>
      </c>
      <c r="AF66" s="117">
        <v>0</v>
      </c>
      <c r="AG66" s="111">
        <v>36</v>
      </c>
      <c r="AH66" s="112">
        <v>0</v>
      </c>
      <c r="AI66" s="112">
        <v>94.033000000000001</v>
      </c>
      <c r="AJ66" s="113">
        <f t="shared" si="19"/>
        <v>140.03300000000002</v>
      </c>
      <c r="AK66" s="112">
        <f t="shared" si="10"/>
        <v>88557.5</v>
      </c>
      <c r="AL66" s="112">
        <f t="shared" si="10"/>
        <v>80607.592000000004</v>
      </c>
      <c r="AM66" s="112">
        <f t="shared" si="10"/>
        <v>7949.9080000000004</v>
      </c>
      <c r="AN66" s="112">
        <f t="shared" si="10"/>
        <v>321.78300000000002</v>
      </c>
      <c r="AO66" s="192">
        <f t="shared" si="6"/>
        <v>0.91022885695734412</v>
      </c>
      <c r="AP66" s="193">
        <f t="shared" si="7"/>
        <v>1814.4940000000001</v>
      </c>
      <c r="AQ66" s="193">
        <f t="shared" si="9"/>
        <v>-1810.4940000000001</v>
      </c>
      <c r="AR66" s="118"/>
      <c r="AS66" s="119"/>
      <c r="AT66" s="119"/>
      <c r="AU66" s="120"/>
      <c r="AV66" s="161"/>
      <c r="AW66" s="112">
        <v>88557500</v>
      </c>
      <c r="AX66" s="162">
        <v>80607592</v>
      </c>
      <c r="AY66" s="162">
        <v>7949908</v>
      </c>
      <c r="AZ66" s="162">
        <v>321783</v>
      </c>
      <c r="BA66" s="196">
        <f t="shared" si="15"/>
        <v>0.91022885695734412</v>
      </c>
      <c r="BB66" s="210">
        <v>9853</v>
      </c>
      <c r="BC66" s="115">
        <v>0</v>
      </c>
      <c r="BD66" s="236">
        <v>0</v>
      </c>
    </row>
    <row r="67" spans="1:56" s="121" customFormat="1" ht="14.25" customHeight="1">
      <c r="A67" s="104" t="s">
        <v>2577</v>
      </c>
      <c r="B67" s="105" t="s">
        <v>499</v>
      </c>
      <c r="C67" s="106" t="s">
        <v>482</v>
      </c>
      <c r="D67" s="106" t="s">
        <v>2415</v>
      </c>
      <c r="E67" s="71" t="s">
        <v>483</v>
      </c>
      <c r="F67" s="71" t="s">
        <v>78</v>
      </c>
      <c r="G67" s="68" t="s">
        <v>180</v>
      </c>
      <c r="H67" s="133"/>
      <c r="I67" s="134"/>
      <c r="J67" s="330">
        <v>0</v>
      </c>
      <c r="K67" s="113">
        <f t="shared" si="16"/>
        <v>0</v>
      </c>
      <c r="L67" s="111">
        <v>116.011</v>
      </c>
      <c r="M67" s="135">
        <v>23.456</v>
      </c>
      <c r="N67" s="115">
        <v>0</v>
      </c>
      <c r="O67" s="111">
        <v>100.1</v>
      </c>
      <c r="P67" s="136">
        <v>2.4E-2</v>
      </c>
      <c r="Q67" s="111">
        <v>8477</v>
      </c>
      <c r="R67" s="134"/>
      <c r="S67" s="111">
        <f t="shared" si="8"/>
        <v>203</v>
      </c>
      <c r="T67" s="115">
        <v>13.2</v>
      </c>
      <c r="U67" s="144">
        <v>77.299000000000007</v>
      </c>
      <c r="V67" s="135">
        <v>100.22199999999999</v>
      </c>
      <c r="W67" s="113">
        <f t="shared" si="17"/>
        <v>633.28800000000001</v>
      </c>
      <c r="X67" s="135">
        <v>0</v>
      </c>
      <c r="Y67" s="135">
        <v>0</v>
      </c>
      <c r="Z67" s="135">
        <v>2E-3</v>
      </c>
      <c r="AA67" s="135">
        <v>100.22199999999999</v>
      </c>
      <c r="AB67" s="113">
        <f t="shared" si="18"/>
        <v>100.22399999999999</v>
      </c>
      <c r="AC67" s="111">
        <v>0</v>
      </c>
      <c r="AD67" s="111">
        <v>0</v>
      </c>
      <c r="AE67" s="112">
        <v>0</v>
      </c>
      <c r="AF67" s="117">
        <v>0</v>
      </c>
      <c r="AG67" s="111">
        <v>10</v>
      </c>
      <c r="AH67" s="112">
        <v>0</v>
      </c>
      <c r="AI67" s="112">
        <v>59.481999999999999</v>
      </c>
      <c r="AJ67" s="113">
        <f t="shared" si="19"/>
        <v>69.481999999999999</v>
      </c>
      <c r="AK67" s="112">
        <f t="shared" si="10"/>
        <v>37489.5</v>
      </c>
      <c r="AL67" s="112">
        <f t="shared" si="10"/>
        <v>30152.924999999999</v>
      </c>
      <c r="AM67" s="112">
        <f t="shared" si="10"/>
        <v>7336.5749999999998</v>
      </c>
      <c r="AN67" s="112">
        <f t="shared" si="10"/>
        <v>824.76900000000001</v>
      </c>
      <c r="AO67" s="192">
        <f t="shared" si="6"/>
        <v>0.80430320489737128</v>
      </c>
      <c r="AP67" s="193">
        <f t="shared" si="7"/>
        <v>1458.057</v>
      </c>
      <c r="AQ67" s="193">
        <f t="shared" si="9"/>
        <v>-1458.057</v>
      </c>
      <c r="AR67" s="118"/>
      <c r="AS67" s="119"/>
      <c r="AT67" s="119"/>
      <c r="AU67" s="120"/>
      <c r="AV67" s="161"/>
      <c r="AW67" s="112">
        <v>37489500</v>
      </c>
      <c r="AX67" s="162">
        <v>30152925</v>
      </c>
      <c r="AY67" s="162">
        <v>7336575</v>
      </c>
      <c r="AZ67" s="162">
        <v>824769</v>
      </c>
      <c r="BA67" s="196">
        <f t="shared" si="15"/>
        <v>0.80430320489737128</v>
      </c>
      <c r="BB67" s="210">
        <v>2214</v>
      </c>
      <c r="BC67" s="115">
        <v>0</v>
      </c>
      <c r="BD67" s="236">
        <v>0</v>
      </c>
    </row>
    <row r="68" spans="1:56" s="121" customFormat="1" ht="14.25" customHeight="1">
      <c r="A68" s="104" t="s">
        <v>2577</v>
      </c>
      <c r="B68" s="105" t="s">
        <v>505</v>
      </c>
      <c r="C68" s="106" t="s">
        <v>487</v>
      </c>
      <c r="D68" s="106" t="s">
        <v>2415</v>
      </c>
      <c r="E68" s="71" t="s">
        <v>488</v>
      </c>
      <c r="F68" s="71" t="s">
        <v>78</v>
      </c>
      <c r="G68" s="68" t="s">
        <v>180</v>
      </c>
      <c r="H68" s="133"/>
      <c r="I68" s="134"/>
      <c r="J68" s="330">
        <v>5</v>
      </c>
      <c r="K68" s="113">
        <f t="shared" si="16"/>
        <v>5</v>
      </c>
      <c r="L68" s="111">
        <v>429.35500000000002</v>
      </c>
      <c r="M68" s="135">
        <v>23.456</v>
      </c>
      <c r="N68" s="115">
        <v>0</v>
      </c>
      <c r="O68" s="111">
        <v>481.36</v>
      </c>
      <c r="P68" s="136">
        <v>2.4E-2</v>
      </c>
      <c r="Q68" s="111">
        <v>8477</v>
      </c>
      <c r="R68" s="134"/>
      <c r="S68" s="111">
        <f t="shared" si="8"/>
        <v>203</v>
      </c>
      <c r="T68" s="115">
        <v>13.2</v>
      </c>
      <c r="U68" s="144">
        <v>85.299000000000007</v>
      </c>
      <c r="V68" s="135">
        <v>100.22199999999999</v>
      </c>
      <c r="W68" s="113">
        <f t="shared" si="17"/>
        <v>1335.8920000000001</v>
      </c>
      <c r="X68" s="135">
        <v>0</v>
      </c>
      <c r="Y68" s="135">
        <v>0</v>
      </c>
      <c r="Z68" s="116">
        <v>270.00400000000002</v>
      </c>
      <c r="AA68" s="135">
        <v>100.22199999999999</v>
      </c>
      <c r="AB68" s="113">
        <f t="shared" si="18"/>
        <v>370.226</v>
      </c>
      <c r="AC68" s="111">
        <v>0</v>
      </c>
      <c r="AD68" s="111">
        <v>150</v>
      </c>
      <c r="AE68" s="112">
        <v>0</v>
      </c>
      <c r="AF68" s="117">
        <v>0</v>
      </c>
      <c r="AG68" s="111">
        <v>0</v>
      </c>
      <c r="AH68" s="112">
        <v>0</v>
      </c>
      <c r="AI68" s="112">
        <v>98.94</v>
      </c>
      <c r="AJ68" s="113">
        <f t="shared" si="19"/>
        <v>248.94</v>
      </c>
      <c r="AK68" s="112">
        <f t="shared" si="10"/>
        <v>83334.100000000006</v>
      </c>
      <c r="AL68" s="112">
        <f t="shared" si="10"/>
        <v>80111.649000000005</v>
      </c>
      <c r="AM68" s="112">
        <f t="shared" si="10"/>
        <v>3222.451</v>
      </c>
      <c r="AN68" s="112">
        <f t="shared" si="10"/>
        <v>2272.7750000000001</v>
      </c>
      <c r="AO68" s="192">
        <f t="shared" si="6"/>
        <v>0.96133094375531747</v>
      </c>
      <c r="AP68" s="193">
        <f t="shared" si="7"/>
        <v>3608.6670000000004</v>
      </c>
      <c r="AQ68" s="193">
        <f t="shared" si="9"/>
        <v>-3603.6670000000004</v>
      </c>
      <c r="AR68" s="118"/>
      <c r="AS68" s="119"/>
      <c r="AT68" s="119"/>
      <c r="AU68" s="120"/>
      <c r="AV68" s="161"/>
      <c r="AW68" s="112">
        <v>83334100</v>
      </c>
      <c r="AX68" s="162">
        <v>80111649</v>
      </c>
      <c r="AY68" s="162">
        <v>3222451</v>
      </c>
      <c r="AZ68" s="162">
        <v>2272775</v>
      </c>
      <c r="BA68" s="196">
        <f t="shared" si="15"/>
        <v>0.96133094375531747</v>
      </c>
      <c r="BB68" s="210">
        <v>7194</v>
      </c>
      <c r="BC68" s="115">
        <v>0</v>
      </c>
      <c r="BD68" s="236">
        <v>0</v>
      </c>
    </row>
    <row r="69" spans="1:56" s="121" customFormat="1" ht="14.25" customHeight="1">
      <c r="A69" s="104" t="s">
        <v>2577</v>
      </c>
      <c r="B69" s="105" t="s">
        <v>513</v>
      </c>
      <c r="C69" s="106" t="s">
        <v>493</v>
      </c>
      <c r="D69" s="106" t="s">
        <v>2415</v>
      </c>
      <c r="E69" s="71" t="s">
        <v>494</v>
      </c>
      <c r="F69" s="71" t="s">
        <v>78</v>
      </c>
      <c r="G69" s="68" t="s">
        <v>180</v>
      </c>
      <c r="H69" s="133"/>
      <c r="I69" s="134"/>
      <c r="J69" s="330">
        <v>0</v>
      </c>
      <c r="K69" s="113">
        <f t="shared" si="16"/>
        <v>0</v>
      </c>
      <c r="L69" s="111">
        <v>404.53100000000001</v>
      </c>
      <c r="M69" s="135">
        <v>23.454999999999998</v>
      </c>
      <c r="N69" s="115">
        <v>0</v>
      </c>
      <c r="O69" s="111">
        <v>602.79999999999995</v>
      </c>
      <c r="P69" s="136">
        <v>2.4E-2</v>
      </c>
      <c r="Q69" s="111">
        <v>8477</v>
      </c>
      <c r="R69" s="134"/>
      <c r="S69" s="111">
        <f t="shared" ref="S69:S132" si="20">ROUND(P69*Q69,0)+R69</f>
        <v>203</v>
      </c>
      <c r="T69" s="115">
        <v>13.2</v>
      </c>
      <c r="U69" s="144">
        <v>85.298000000000002</v>
      </c>
      <c r="V69" s="135">
        <v>100.22199999999999</v>
      </c>
      <c r="W69" s="113">
        <f t="shared" si="17"/>
        <v>1432.5060000000001</v>
      </c>
      <c r="X69" s="135">
        <v>0</v>
      </c>
      <c r="Y69" s="135">
        <v>0</v>
      </c>
      <c r="Z69" s="116">
        <v>13</v>
      </c>
      <c r="AA69" s="135">
        <v>100.22199999999999</v>
      </c>
      <c r="AB69" s="113">
        <f t="shared" si="18"/>
        <v>113.22199999999999</v>
      </c>
      <c r="AC69" s="111">
        <v>0</v>
      </c>
      <c r="AD69" s="111">
        <v>0</v>
      </c>
      <c r="AE69" s="112">
        <v>0</v>
      </c>
      <c r="AF69" s="117">
        <v>0</v>
      </c>
      <c r="AG69" s="111">
        <v>80</v>
      </c>
      <c r="AH69" s="112">
        <v>0</v>
      </c>
      <c r="AI69" s="112">
        <v>16.131</v>
      </c>
      <c r="AJ69" s="113">
        <f t="shared" si="19"/>
        <v>96.131</v>
      </c>
      <c r="AK69" s="112">
        <f t="shared" si="10"/>
        <v>100172.7</v>
      </c>
      <c r="AL69" s="112">
        <f t="shared" si="10"/>
        <v>81088.743000000002</v>
      </c>
      <c r="AM69" s="112">
        <f t="shared" si="10"/>
        <v>19083.956999999999</v>
      </c>
      <c r="AN69" s="112">
        <f t="shared" si="10"/>
        <v>1862.3810000000001</v>
      </c>
      <c r="AO69" s="192">
        <f t="shared" ref="AO69:AO132" si="21">BA69</f>
        <v>0.80948944173412518</v>
      </c>
      <c r="AP69" s="193">
        <f t="shared" ref="AP69:AP132" si="22">W69+AN69</f>
        <v>3294.8870000000002</v>
      </c>
      <c r="AQ69" s="193">
        <f t="shared" si="9"/>
        <v>-3294.8870000000002</v>
      </c>
      <c r="AR69" s="118"/>
      <c r="AS69" s="119"/>
      <c r="AT69" s="119"/>
      <c r="AU69" s="120"/>
      <c r="AV69" s="161"/>
      <c r="AW69" s="112">
        <v>100172700</v>
      </c>
      <c r="AX69" s="162">
        <v>81088743</v>
      </c>
      <c r="AY69" s="162">
        <v>19083957</v>
      </c>
      <c r="AZ69" s="162">
        <v>1862381</v>
      </c>
      <c r="BA69" s="196">
        <f t="shared" si="15"/>
        <v>0.80948944173412518</v>
      </c>
      <c r="BB69" s="210">
        <v>20447</v>
      </c>
      <c r="BC69" s="115">
        <v>0</v>
      </c>
      <c r="BD69" s="236">
        <v>0</v>
      </c>
    </row>
    <row r="70" spans="1:56" s="121" customFormat="1" ht="14.25" customHeight="1">
      <c r="A70" s="104" t="s">
        <v>2577</v>
      </c>
      <c r="B70" s="105" t="s">
        <v>518</v>
      </c>
      <c r="C70" s="106" t="s">
        <v>500</v>
      </c>
      <c r="D70" s="106" t="s">
        <v>2415</v>
      </c>
      <c r="E70" s="71" t="s">
        <v>501</v>
      </c>
      <c r="F70" s="71" t="s">
        <v>78</v>
      </c>
      <c r="G70" s="68" t="s">
        <v>180</v>
      </c>
      <c r="H70" s="133"/>
      <c r="I70" s="134"/>
      <c r="J70" s="330">
        <v>84</v>
      </c>
      <c r="K70" s="113">
        <f t="shared" si="16"/>
        <v>84</v>
      </c>
      <c r="L70" s="111">
        <v>223.96</v>
      </c>
      <c r="M70" s="135">
        <v>23.456</v>
      </c>
      <c r="N70" s="115">
        <v>0</v>
      </c>
      <c r="O70" s="111">
        <v>197.45</v>
      </c>
      <c r="P70" s="136">
        <v>2.4E-2</v>
      </c>
      <c r="Q70" s="111">
        <v>8477</v>
      </c>
      <c r="R70" s="134"/>
      <c r="S70" s="111">
        <f t="shared" si="20"/>
        <v>203</v>
      </c>
      <c r="T70" s="115">
        <v>13.2</v>
      </c>
      <c r="U70" s="144">
        <v>77.299000000000007</v>
      </c>
      <c r="V70" s="135">
        <v>100.22199999999999</v>
      </c>
      <c r="W70" s="113">
        <f t="shared" si="17"/>
        <v>838.58699999999999</v>
      </c>
      <c r="X70" s="135">
        <v>0</v>
      </c>
      <c r="Y70" s="135">
        <v>0</v>
      </c>
      <c r="Z70" s="116">
        <v>563</v>
      </c>
      <c r="AA70" s="135">
        <v>100.22199999999999</v>
      </c>
      <c r="AB70" s="113">
        <f t="shared" si="18"/>
        <v>663.22199999999998</v>
      </c>
      <c r="AC70" s="111">
        <v>0</v>
      </c>
      <c r="AD70" s="111">
        <v>60</v>
      </c>
      <c r="AE70" s="112">
        <v>0</v>
      </c>
      <c r="AF70" s="117">
        <v>2.5819999999999999</v>
      </c>
      <c r="AG70" s="111">
        <v>76.63</v>
      </c>
      <c r="AH70" s="112">
        <v>0</v>
      </c>
      <c r="AI70" s="112">
        <v>97.936000000000007</v>
      </c>
      <c r="AJ70" s="113">
        <f t="shared" si="19"/>
        <v>237.148</v>
      </c>
      <c r="AK70" s="112">
        <f t="shared" si="10"/>
        <v>38725.5</v>
      </c>
      <c r="AL70" s="112">
        <f t="shared" si="10"/>
        <v>33826.43</v>
      </c>
      <c r="AM70" s="112">
        <f t="shared" si="10"/>
        <v>4899.07</v>
      </c>
      <c r="AN70" s="112">
        <f t="shared" si="10"/>
        <v>185.03100000000001</v>
      </c>
      <c r="AO70" s="192">
        <f t="shared" si="21"/>
        <v>0.8734924016474932</v>
      </c>
      <c r="AP70" s="193">
        <f t="shared" si="22"/>
        <v>1023.6179999999999</v>
      </c>
      <c r="AQ70" s="193">
        <f t="shared" ref="AQ70:AQ133" si="23">K70-AP70</f>
        <v>-939.61799999999994</v>
      </c>
      <c r="AR70" s="118"/>
      <c r="AS70" s="119"/>
      <c r="AT70" s="119"/>
      <c r="AU70" s="120"/>
      <c r="AV70" s="161"/>
      <c r="AW70" s="112">
        <v>38725500</v>
      </c>
      <c r="AX70" s="162">
        <v>33826430</v>
      </c>
      <c r="AY70" s="162">
        <v>4899070</v>
      </c>
      <c r="AZ70" s="162">
        <v>185031</v>
      </c>
      <c r="BA70" s="196">
        <f t="shared" si="15"/>
        <v>0.8734924016474932</v>
      </c>
      <c r="BB70" s="210">
        <v>5391</v>
      </c>
      <c r="BC70" s="115">
        <v>0</v>
      </c>
      <c r="BD70" s="236">
        <v>0</v>
      </c>
    </row>
    <row r="71" spans="1:56" s="121" customFormat="1" ht="14.25" customHeight="1">
      <c r="A71" s="104" t="s">
        <v>2577</v>
      </c>
      <c r="B71" s="105" t="s">
        <v>523</v>
      </c>
      <c r="C71" s="106" t="s">
        <v>506</v>
      </c>
      <c r="D71" s="106" t="s">
        <v>2415</v>
      </c>
      <c r="E71" s="71" t="s">
        <v>507</v>
      </c>
      <c r="F71" s="71" t="s">
        <v>78</v>
      </c>
      <c r="G71" s="68" t="s">
        <v>180</v>
      </c>
      <c r="H71" s="133"/>
      <c r="I71" s="134"/>
      <c r="J71" s="330">
        <v>58</v>
      </c>
      <c r="K71" s="113">
        <f t="shared" si="16"/>
        <v>58</v>
      </c>
      <c r="L71" s="111">
        <v>315.79599999999999</v>
      </c>
      <c r="M71" s="135">
        <v>23.456</v>
      </c>
      <c r="N71" s="115">
        <v>0</v>
      </c>
      <c r="O71" s="111">
        <v>120.45</v>
      </c>
      <c r="P71" s="136">
        <v>2.4E-2</v>
      </c>
      <c r="Q71" s="111">
        <v>8477</v>
      </c>
      <c r="R71" s="134"/>
      <c r="S71" s="111">
        <f t="shared" si="20"/>
        <v>203</v>
      </c>
      <c r="T71" s="115">
        <v>13.2</v>
      </c>
      <c r="U71" s="144">
        <v>77.298000000000002</v>
      </c>
      <c r="V71" s="135">
        <v>100.22199999999999</v>
      </c>
      <c r="W71" s="113">
        <f t="shared" si="17"/>
        <v>853.42200000000003</v>
      </c>
      <c r="X71" s="135">
        <v>0</v>
      </c>
      <c r="Y71" s="135">
        <v>0</v>
      </c>
      <c r="Z71" s="135">
        <v>149</v>
      </c>
      <c r="AA71" s="135">
        <v>100.22199999999999</v>
      </c>
      <c r="AB71" s="113">
        <f t="shared" si="18"/>
        <v>249.22199999999998</v>
      </c>
      <c r="AC71" s="111">
        <v>0</v>
      </c>
      <c r="AD71" s="111">
        <v>59.363999999999997</v>
      </c>
      <c r="AE71" s="112">
        <v>0</v>
      </c>
      <c r="AF71" s="117">
        <v>35.575000000000003</v>
      </c>
      <c r="AG71" s="111">
        <v>112</v>
      </c>
      <c r="AH71" s="112">
        <v>0</v>
      </c>
      <c r="AI71" s="112">
        <v>194.64099999999999</v>
      </c>
      <c r="AJ71" s="113">
        <f t="shared" si="19"/>
        <v>401.58</v>
      </c>
      <c r="AK71" s="112">
        <f t="shared" si="10"/>
        <v>83945.3</v>
      </c>
      <c r="AL71" s="112">
        <f t="shared" si="10"/>
        <v>73336.928</v>
      </c>
      <c r="AM71" s="112">
        <f t="shared" si="10"/>
        <v>10608.371999999999</v>
      </c>
      <c r="AN71" s="112">
        <f t="shared" si="10"/>
        <v>1846.796</v>
      </c>
      <c r="AO71" s="192">
        <f t="shared" si="21"/>
        <v>0.87362756461648239</v>
      </c>
      <c r="AP71" s="193">
        <f t="shared" si="22"/>
        <v>2700.2179999999998</v>
      </c>
      <c r="AQ71" s="193">
        <f t="shared" si="23"/>
        <v>-2642.2179999999998</v>
      </c>
      <c r="AR71" s="118"/>
      <c r="AS71" s="119"/>
      <c r="AT71" s="119"/>
      <c r="AU71" s="120"/>
      <c r="AV71" s="161"/>
      <c r="AW71" s="112">
        <v>83945300</v>
      </c>
      <c r="AX71" s="162">
        <v>73336928</v>
      </c>
      <c r="AY71" s="162">
        <v>10608372</v>
      </c>
      <c r="AZ71" s="162">
        <v>1846796</v>
      </c>
      <c r="BA71" s="196">
        <f t="shared" si="15"/>
        <v>0.87362756461648239</v>
      </c>
      <c r="BB71" s="210">
        <v>8483</v>
      </c>
      <c r="BC71" s="115">
        <v>0</v>
      </c>
      <c r="BD71" s="236">
        <v>0</v>
      </c>
    </row>
    <row r="72" spans="1:56" s="121" customFormat="1" ht="14.25" customHeight="1">
      <c r="A72" s="104" t="s">
        <v>2577</v>
      </c>
      <c r="B72" s="105" t="s">
        <v>526</v>
      </c>
      <c r="C72" s="106" t="s">
        <v>514</v>
      </c>
      <c r="D72" s="106" t="s">
        <v>2415</v>
      </c>
      <c r="E72" s="71" t="s">
        <v>515</v>
      </c>
      <c r="F72" s="71" t="s">
        <v>78</v>
      </c>
      <c r="G72" s="68" t="s">
        <v>180</v>
      </c>
      <c r="H72" s="133"/>
      <c r="I72" s="134"/>
      <c r="J72" s="330">
        <v>78</v>
      </c>
      <c r="K72" s="113">
        <f t="shared" si="16"/>
        <v>78</v>
      </c>
      <c r="L72" s="111">
        <v>298.56700000000001</v>
      </c>
      <c r="M72" s="135">
        <v>23.454999999999998</v>
      </c>
      <c r="N72" s="115">
        <v>0</v>
      </c>
      <c r="O72" s="111">
        <v>124.85</v>
      </c>
      <c r="P72" s="136">
        <v>2.4E-2</v>
      </c>
      <c r="Q72" s="111">
        <v>8477</v>
      </c>
      <c r="R72" s="134"/>
      <c r="S72" s="111">
        <f t="shared" si="20"/>
        <v>203</v>
      </c>
      <c r="T72" s="115">
        <v>13.2</v>
      </c>
      <c r="U72" s="144">
        <v>63.648000000000003</v>
      </c>
      <c r="V72" s="135">
        <v>100.22199999999999</v>
      </c>
      <c r="W72" s="113">
        <f t="shared" si="17"/>
        <v>826.94200000000001</v>
      </c>
      <c r="X72" s="135">
        <v>0</v>
      </c>
      <c r="Y72" s="135">
        <v>0</v>
      </c>
      <c r="Z72" s="135">
        <v>110</v>
      </c>
      <c r="AA72" s="135">
        <v>100.22199999999999</v>
      </c>
      <c r="AB72" s="113">
        <f t="shared" si="18"/>
        <v>210.22199999999998</v>
      </c>
      <c r="AC72" s="111">
        <v>0</v>
      </c>
      <c r="AD72" s="111">
        <v>53.55</v>
      </c>
      <c r="AE72" s="112">
        <v>0</v>
      </c>
      <c r="AF72" s="117">
        <v>0</v>
      </c>
      <c r="AG72" s="111">
        <v>0</v>
      </c>
      <c r="AH72" s="112">
        <v>0</v>
      </c>
      <c r="AI72" s="112">
        <v>90.974000000000004</v>
      </c>
      <c r="AJ72" s="113">
        <f t="shared" si="19"/>
        <v>144.524</v>
      </c>
      <c r="AK72" s="112">
        <f t="shared" si="10"/>
        <v>96887</v>
      </c>
      <c r="AL72" s="112">
        <f t="shared" si="10"/>
        <v>74774.832999999999</v>
      </c>
      <c r="AM72" s="112">
        <f t="shared" si="10"/>
        <v>22112.167000000001</v>
      </c>
      <c r="AN72" s="112">
        <f t="shared" si="10"/>
        <v>2573.9340000000002</v>
      </c>
      <c r="AO72" s="192">
        <f t="shared" si="21"/>
        <v>0.77177364352286681</v>
      </c>
      <c r="AP72" s="193">
        <f t="shared" si="22"/>
        <v>3400.8760000000002</v>
      </c>
      <c r="AQ72" s="193">
        <f t="shared" si="23"/>
        <v>-3322.8760000000002</v>
      </c>
      <c r="AR72" s="118"/>
      <c r="AS72" s="119"/>
      <c r="AT72" s="119"/>
      <c r="AU72" s="120"/>
      <c r="AV72" s="161"/>
      <c r="AW72" s="112">
        <v>96887000</v>
      </c>
      <c r="AX72" s="162">
        <v>74774833</v>
      </c>
      <c r="AY72" s="162">
        <v>22112167</v>
      </c>
      <c r="AZ72" s="162">
        <v>2573934</v>
      </c>
      <c r="BA72" s="196">
        <f t="shared" si="15"/>
        <v>0.77177364352286681</v>
      </c>
      <c r="BB72" s="210">
        <v>7215</v>
      </c>
      <c r="BC72" s="115">
        <v>0</v>
      </c>
      <c r="BD72" s="236">
        <v>0</v>
      </c>
    </row>
    <row r="73" spans="1:56" s="121" customFormat="1" ht="14.25" customHeight="1">
      <c r="A73" s="104" t="s">
        <v>2577</v>
      </c>
      <c r="B73" s="105" t="s">
        <v>528</v>
      </c>
      <c r="C73" s="106" t="s">
        <v>519</v>
      </c>
      <c r="D73" s="106" t="s">
        <v>2415</v>
      </c>
      <c r="E73" s="71" t="s">
        <v>520</v>
      </c>
      <c r="F73" s="71" t="s">
        <v>78</v>
      </c>
      <c r="G73" s="68" t="s">
        <v>180</v>
      </c>
      <c r="H73" s="133"/>
      <c r="I73" s="134"/>
      <c r="J73" s="330">
        <v>89</v>
      </c>
      <c r="K73" s="113">
        <f t="shared" si="16"/>
        <v>89</v>
      </c>
      <c r="L73" s="111">
        <v>251.738</v>
      </c>
      <c r="M73" s="135">
        <v>23.456</v>
      </c>
      <c r="N73" s="115">
        <v>0</v>
      </c>
      <c r="O73" s="111">
        <v>275</v>
      </c>
      <c r="P73" s="136">
        <v>2.4E-2</v>
      </c>
      <c r="Q73" s="111">
        <v>8477</v>
      </c>
      <c r="R73" s="134"/>
      <c r="S73" s="111">
        <f t="shared" si="20"/>
        <v>203</v>
      </c>
      <c r="T73" s="115">
        <v>4458.28</v>
      </c>
      <c r="U73" s="144">
        <v>77.298000000000002</v>
      </c>
      <c r="V73" s="135">
        <v>100.22199999999999</v>
      </c>
      <c r="W73" s="113">
        <f t="shared" si="17"/>
        <v>5388.9939999999997</v>
      </c>
      <c r="X73" s="135">
        <v>0</v>
      </c>
      <c r="Y73" s="135">
        <v>0</v>
      </c>
      <c r="Z73" s="135">
        <v>212</v>
      </c>
      <c r="AA73" s="135">
        <v>100.22199999999999</v>
      </c>
      <c r="AB73" s="113">
        <f t="shared" si="18"/>
        <v>312.22199999999998</v>
      </c>
      <c r="AC73" s="111">
        <v>0</v>
      </c>
      <c r="AD73" s="111">
        <v>150</v>
      </c>
      <c r="AE73" s="112">
        <v>0</v>
      </c>
      <c r="AF73" s="117">
        <v>0</v>
      </c>
      <c r="AG73" s="111">
        <v>100.22199999999999</v>
      </c>
      <c r="AH73" s="112">
        <v>0</v>
      </c>
      <c r="AI73" s="112">
        <v>38.506999999999998</v>
      </c>
      <c r="AJ73" s="113">
        <f t="shared" si="19"/>
        <v>288.72899999999998</v>
      </c>
      <c r="AK73" s="112">
        <f t="shared" si="10"/>
        <v>58401.885000000002</v>
      </c>
      <c r="AL73" s="112">
        <f t="shared" si="10"/>
        <v>36897.766000000003</v>
      </c>
      <c r="AM73" s="112">
        <f t="shared" si="10"/>
        <v>21504.118999999999</v>
      </c>
      <c r="AN73" s="112">
        <f t="shared" si="10"/>
        <v>1209.575</v>
      </c>
      <c r="AO73" s="192">
        <f t="shared" si="21"/>
        <v>0.63179066908542425</v>
      </c>
      <c r="AP73" s="193">
        <f t="shared" si="22"/>
        <v>6598.5689999999995</v>
      </c>
      <c r="AQ73" s="193">
        <f t="shared" si="23"/>
        <v>-6509.5689999999995</v>
      </c>
      <c r="AR73" s="118"/>
      <c r="AS73" s="119"/>
      <c r="AT73" s="119"/>
      <c r="AU73" s="120"/>
      <c r="AV73" s="161"/>
      <c r="AW73" s="112">
        <v>58401885</v>
      </c>
      <c r="AX73" s="162">
        <v>36897766</v>
      </c>
      <c r="AY73" s="162">
        <v>21504119</v>
      </c>
      <c r="AZ73" s="162">
        <v>1209575</v>
      </c>
      <c r="BA73" s="196">
        <f t="shared" si="15"/>
        <v>0.63179066908542425</v>
      </c>
      <c r="BB73" s="210">
        <v>9882</v>
      </c>
      <c r="BC73" s="115">
        <v>0</v>
      </c>
      <c r="BD73" s="236">
        <v>0</v>
      </c>
    </row>
    <row r="74" spans="1:56" s="121" customFormat="1" ht="14.25" customHeight="1">
      <c r="A74" s="104" t="s">
        <v>2577</v>
      </c>
      <c r="B74" s="105" t="s">
        <v>2545</v>
      </c>
      <c r="C74" s="106" t="s">
        <v>2542</v>
      </c>
      <c r="D74" s="106" t="s">
        <v>2415</v>
      </c>
      <c r="E74" s="71" t="s">
        <v>2587</v>
      </c>
      <c r="F74" s="71" t="s">
        <v>78</v>
      </c>
      <c r="G74" s="68" t="s">
        <v>180</v>
      </c>
      <c r="H74" s="133"/>
      <c r="I74" s="134"/>
      <c r="J74" s="330">
        <v>243</v>
      </c>
      <c r="K74" s="113">
        <f t="shared" si="16"/>
        <v>243</v>
      </c>
      <c r="L74" s="111">
        <v>655.25099999999998</v>
      </c>
      <c r="M74" s="135">
        <v>101.804</v>
      </c>
      <c r="N74" s="115">
        <v>0</v>
      </c>
      <c r="O74" s="111">
        <v>60.94</v>
      </c>
      <c r="P74" s="136">
        <v>2.4E-2</v>
      </c>
      <c r="Q74" s="111">
        <v>8477</v>
      </c>
      <c r="R74" s="134"/>
      <c r="S74" s="111">
        <f t="shared" si="20"/>
        <v>203</v>
      </c>
      <c r="T74" s="115">
        <v>13.2</v>
      </c>
      <c r="U74" s="144">
        <v>79.221999999999994</v>
      </c>
      <c r="V74" s="135">
        <v>200.44399999999999</v>
      </c>
      <c r="W74" s="113">
        <f>SUBTOTAL(9,L74:O74,T74:V74)</f>
        <v>1110.8609999999999</v>
      </c>
      <c r="X74" s="135">
        <v>0</v>
      </c>
      <c r="Y74" s="135">
        <v>0</v>
      </c>
      <c r="Z74" s="135">
        <v>35</v>
      </c>
      <c r="AA74" s="135">
        <v>200.44399999999999</v>
      </c>
      <c r="AB74" s="113">
        <f t="shared" si="18"/>
        <v>235.44399999999999</v>
      </c>
      <c r="AC74" s="111">
        <v>0</v>
      </c>
      <c r="AD74" s="111">
        <v>155.15799999999999</v>
      </c>
      <c r="AE74" s="112">
        <v>0</v>
      </c>
      <c r="AF74" s="117">
        <v>13.2</v>
      </c>
      <c r="AG74" s="111">
        <v>220</v>
      </c>
      <c r="AH74" s="112">
        <v>0</v>
      </c>
      <c r="AI74" s="112">
        <v>169.59</v>
      </c>
      <c r="AJ74" s="113">
        <f t="shared" si="19"/>
        <v>557.94799999999998</v>
      </c>
      <c r="AK74" s="112">
        <f t="shared" si="10"/>
        <v>260265.54500000001</v>
      </c>
      <c r="AL74" s="112">
        <f t="shared" si="10"/>
        <v>9335.8680000000004</v>
      </c>
      <c r="AM74" s="112">
        <f t="shared" si="10"/>
        <v>250929.677</v>
      </c>
      <c r="AN74" s="112">
        <f t="shared" si="10"/>
        <v>0</v>
      </c>
      <c r="AO74" s="192">
        <f t="shared" si="21"/>
        <v>3.5870549057886246E-2</v>
      </c>
      <c r="AP74" s="193">
        <f t="shared" si="22"/>
        <v>1110.8609999999999</v>
      </c>
      <c r="AQ74" s="193">
        <f t="shared" si="23"/>
        <v>-867.86099999999988</v>
      </c>
      <c r="AR74" s="118"/>
      <c r="AS74" s="119"/>
      <c r="AT74" s="119"/>
      <c r="AU74" s="120"/>
      <c r="AV74" s="161"/>
      <c r="AW74" s="112">
        <v>260265545</v>
      </c>
      <c r="AX74" s="162">
        <v>9335868</v>
      </c>
      <c r="AY74" s="162">
        <v>250929677</v>
      </c>
      <c r="AZ74" s="162">
        <v>0</v>
      </c>
      <c r="BA74" s="196">
        <f t="shared" si="15"/>
        <v>3.5870549057886246E-2</v>
      </c>
      <c r="BB74" s="210" t="s">
        <v>825</v>
      </c>
      <c r="BC74" s="115" t="s">
        <v>825</v>
      </c>
      <c r="BD74" s="236" t="s">
        <v>825</v>
      </c>
    </row>
    <row r="75" spans="1:56" s="121" customFormat="1" ht="14.25" customHeight="1">
      <c r="A75" s="104" t="s">
        <v>2577</v>
      </c>
      <c r="B75" s="105" t="s">
        <v>539</v>
      </c>
      <c r="C75" s="106" t="s">
        <v>529</v>
      </c>
      <c r="D75" s="106" t="s">
        <v>2415</v>
      </c>
      <c r="E75" s="71" t="s">
        <v>530</v>
      </c>
      <c r="F75" s="71" t="s">
        <v>78</v>
      </c>
      <c r="G75" s="68" t="s">
        <v>180</v>
      </c>
      <c r="H75" s="133"/>
      <c r="I75" s="134"/>
      <c r="J75" s="330">
        <v>59.35</v>
      </c>
      <c r="K75" s="113">
        <f t="shared" si="16"/>
        <v>59.35</v>
      </c>
      <c r="L75" s="111">
        <v>413.99400000000003</v>
      </c>
      <c r="M75" s="135">
        <v>23.456</v>
      </c>
      <c r="N75" s="115">
        <v>0</v>
      </c>
      <c r="O75" s="111">
        <v>229.13</v>
      </c>
      <c r="P75" s="136">
        <v>2.4E-2</v>
      </c>
      <c r="Q75" s="111">
        <v>8477</v>
      </c>
      <c r="R75" s="134"/>
      <c r="S75" s="111">
        <f t="shared" si="20"/>
        <v>203</v>
      </c>
      <c r="T75" s="115">
        <v>1536.7</v>
      </c>
      <c r="U75" s="144">
        <v>79.299000000000007</v>
      </c>
      <c r="V75" s="135">
        <v>100.22199999999999</v>
      </c>
      <c r="W75" s="113">
        <f t="shared" si="17"/>
        <v>2585.8010000000004</v>
      </c>
      <c r="X75" s="135">
        <v>0</v>
      </c>
      <c r="Y75" s="135">
        <v>0</v>
      </c>
      <c r="Z75" s="135">
        <v>211</v>
      </c>
      <c r="AA75" s="135">
        <v>100.22199999999999</v>
      </c>
      <c r="AB75" s="113">
        <f t="shared" si="18"/>
        <v>311.22199999999998</v>
      </c>
      <c r="AC75" s="111">
        <v>0</v>
      </c>
      <c r="AD75" s="111">
        <v>37.4</v>
      </c>
      <c r="AE75" s="112">
        <v>0</v>
      </c>
      <c r="AF75" s="117">
        <v>0</v>
      </c>
      <c r="AG75" s="111">
        <v>30</v>
      </c>
      <c r="AH75" s="112">
        <v>0</v>
      </c>
      <c r="AI75" s="112">
        <v>836.60900000000004</v>
      </c>
      <c r="AJ75" s="113">
        <f t="shared" si="19"/>
        <v>904.00900000000001</v>
      </c>
      <c r="AK75" s="112">
        <f t="shared" si="10"/>
        <v>91010.2</v>
      </c>
      <c r="AL75" s="112">
        <f t="shared" si="10"/>
        <v>84364.615000000005</v>
      </c>
      <c r="AM75" s="112">
        <f t="shared" si="10"/>
        <v>6645.585</v>
      </c>
      <c r="AN75" s="112">
        <f t="shared" si="10"/>
        <v>301.53199999999998</v>
      </c>
      <c r="AO75" s="192">
        <f t="shared" si="21"/>
        <v>0.92697977809080745</v>
      </c>
      <c r="AP75" s="193">
        <f t="shared" si="22"/>
        <v>2887.3330000000005</v>
      </c>
      <c r="AQ75" s="193">
        <f t="shared" si="23"/>
        <v>-2827.9830000000006</v>
      </c>
      <c r="AR75" s="118"/>
      <c r="AS75" s="119"/>
      <c r="AT75" s="119"/>
      <c r="AU75" s="120"/>
      <c r="AV75" s="161"/>
      <c r="AW75" s="112">
        <v>91010200</v>
      </c>
      <c r="AX75" s="162">
        <v>84364615</v>
      </c>
      <c r="AY75" s="162">
        <v>6645585</v>
      </c>
      <c r="AZ75" s="162">
        <v>301532</v>
      </c>
      <c r="BA75" s="196">
        <f t="shared" si="15"/>
        <v>0.92697977809080745</v>
      </c>
      <c r="BB75" s="210">
        <v>8970</v>
      </c>
      <c r="BC75" s="115">
        <v>0</v>
      </c>
      <c r="BD75" s="236">
        <v>0</v>
      </c>
    </row>
    <row r="76" spans="1:56" s="121" customFormat="1" ht="14.25" customHeight="1">
      <c r="A76" s="104" t="s">
        <v>2577</v>
      </c>
      <c r="B76" s="105" t="s">
        <v>544</v>
      </c>
      <c r="C76" s="106" t="s">
        <v>534</v>
      </c>
      <c r="D76" s="106" t="s">
        <v>2415</v>
      </c>
      <c r="E76" s="71" t="s">
        <v>535</v>
      </c>
      <c r="F76" s="71" t="s">
        <v>78</v>
      </c>
      <c r="G76" s="68" t="s">
        <v>180</v>
      </c>
      <c r="H76" s="133"/>
      <c r="I76" s="134"/>
      <c r="J76" s="330">
        <v>17.100000000000001</v>
      </c>
      <c r="K76" s="113">
        <f t="shared" si="16"/>
        <v>17.100000000000001</v>
      </c>
      <c r="L76" s="111">
        <v>415.35399999999998</v>
      </c>
      <c r="M76" s="135">
        <v>81.206000000000003</v>
      </c>
      <c r="N76" s="115">
        <v>0</v>
      </c>
      <c r="O76" s="111">
        <v>267.57499999999999</v>
      </c>
      <c r="P76" s="136">
        <v>2.4E-2</v>
      </c>
      <c r="Q76" s="111">
        <v>8477</v>
      </c>
      <c r="R76" s="134"/>
      <c r="S76" s="111">
        <f t="shared" si="20"/>
        <v>203</v>
      </c>
      <c r="T76" s="115">
        <v>13.2</v>
      </c>
      <c r="U76" s="144">
        <v>79.299000000000007</v>
      </c>
      <c r="V76" s="135">
        <v>100.22199999999999</v>
      </c>
      <c r="W76" s="113">
        <f t="shared" si="17"/>
        <v>1159.856</v>
      </c>
      <c r="X76" s="135">
        <v>0</v>
      </c>
      <c r="Y76" s="135">
        <v>0</v>
      </c>
      <c r="Z76" s="116">
        <v>30</v>
      </c>
      <c r="AA76" s="135">
        <v>100.22199999999999</v>
      </c>
      <c r="AB76" s="113">
        <f t="shared" si="18"/>
        <v>130.22199999999998</v>
      </c>
      <c r="AC76" s="111">
        <v>0</v>
      </c>
      <c r="AD76" s="111">
        <v>58.555999999999997</v>
      </c>
      <c r="AE76" s="112">
        <v>0</v>
      </c>
      <c r="AF76" s="117">
        <v>0</v>
      </c>
      <c r="AG76" s="111">
        <v>48</v>
      </c>
      <c r="AH76" s="112">
        <v>0</v>
      </c>
      <c r="AI76" s="112">
        <v>12.15</v>
      </c>
      <c r="AJ76" s="113">
        <f t="shared" si="19"/>
        <v>118.706</v>
      </c>
      <c r="AK76" s="112">
        <f t="shared" ref="AK76:AN139" si="24">AW76/1000</f>
        <v>81662.3</v>
      </c>
      <c r="AL76" s="112">
        <f t="shared" si="24"/>
        <v>76152.044999999998</v>
      </c>
      <c r="AM76" s="112">
        <f t="shared" si="24"/>
        <v>5510.2550000000001</v>
      </c>
      <c r="AN76" s="112">
        <f t="shared" si="24"/>
        <v>137.67599999999999</v>
      </c>
      <c r="AO76" s="192">
        <f t="shared" si="21"/>
        <v>0.93252388188919488</v>
      </c>
      <c r="AP76" s="193">
        <f t="shared" si="22"/>
        <v>1297.5319999999999</v>
      </c>
      <c r="AQ76" s="193">
        <f t="shared" si="23"/>
        <v>-1280.432</v>
      </c>
      <c r="AR76" s="118"/>
      <c r="AS76" s="119"/>
      <c r="AT76" s="119"/>
      <c r="AU76" s="120"/>
      <c r="AV76" s="161"/>
      <c r="AW76" s="112">
        <v>81662300</v>
      </c>
      <c r="AX76" s="162">
        <v>76152045</v>
      </c>
      <c r="AY76" s="162">
        <v>5510255</v>
      </c>
      <c r="AZ76" s="162">
        <v>137676</v>
      </c>
      <c r="BA76" s="196">
        <f t="shared" si="15"/>
        <v>0.93252388188919488</v>
      </c>
      <c r="BB76" s="210">
        <v>9041</v>
      </c>
      <c r="BC76" s="115">
        <v>0</v>
      </c>
      <c r="BD76" s="236">
        <v>0</v>
      </c>
    </row>
    <row r="77" spans="1:56" s="121" customFormat="1" ht="14.25" customHeight="1">
      <c r="A77" s="104" t="s">
        <v>2577</v>
      </c>
      <c r="B77" s="105" t="s">
        <v>551</v>
      </c>
      <c r="C77" s="106" t="s">
        <v>540</v>
      </c>
      <c r="D77" s="106" t="s">
        <v>2415</v>
      </c>
      <c r="E77" s="71" t="s">
        <v>541</v>
      </c>
      <c r="F77" s="71" t="s">
        <v>78</v>
      </c>
      <c r="G77" s="68" t="s">
        <v>180</v>
      </c>
      <c r="H77" s="133"/>
      <c r="I77" s="134"/>
      <c r="J77" s="330">
        <v>18.100000000000001</v>
      </c>
      <c r="K77" s="113">
        <f t="shared" si="16"/>
        <v>18.100000000000001</v>
      </c>
      <c r="L77" s="111">
        <v>107.36199999999999</v>
      </c>
      <c r="M77" s="135">
        <v>23.456</v>
      </c>
      <c r="N77" s="115">
        <v>0</v>
      </c>
      <c r="O77" s="111">
        <v>44</v>
      </c>
      <c r="P77" s="136">
        <v>2.4E-2</v>
      </c>
      <c r="Q77" s="111">
        <v>8477</v>
      </c>
      <c r="R77" s="134"/>
      <c r="S77" s="111">
        <f t="shared" si="20"/>
        <v>203</v>
      </c>
      <c r="T77" s="115">
        <v>13.2</v>
      </c>
      <c r="U77" s="144">
        <v>77.299000000000007</v>
      </c>
      <c r="V77" s="135">
        <v>100.22199999999999</v>
      </c>
      <c r="W77" s="113">
        <f t="shared" si="17"/>
        <v>568.53899999999999</v>
      </c>
      <c r="X77" s="135">
        <v>0</v>
      </c>
      <c r="Y77" s="135">
        <v>0</v>
      </c>
      <c r="Z77" s="116">
        <v>42</v>
      </c>
      <c r="AA77" s="135">
        <v>100.22199999999999</v>
      </c>
      <c r="AB77" s="113">
        <f t="shared" si="18"/>
        <v>142.22199999999998</v>
      </c>
      <c r="AC77" s="111">
        <v>0</v>
      </c>
      <c r="AD77" s="111">
        <v>13.552</v>
      </c>
      <c r="AE77" s="112">
        <v>0</v>
      </c>
      <c r="AF77" s="117">
        <v>0</v>
      </c>
      <c r="AG77" s="111">
        <v>74</v>
      </c>
      <c r="AH77" s="112">
        <v>0</v>
      </c>
      <c r="AI77" s="112">
        <v>42.796999999999997</v>
      </c>
      <c r="AJ77" s="113">
        <f t="shared" si="19"/>
        <v>130.34899999999999</v>
      </c>
      <c r="AK77" s="112">
        <f t="shared" si="24"/>
        <v>47066.334000000003</v>
      </c>
      <c r="AL77" s="112">
        <f t="shared" si="24"/>
        <v>33214.673000000003</v>
      </c>
      <c r="AM77" s="112">
        <f t="shared" si="24"/>
        <v>13851.661</v>
      </c>
      <c r="AN77" s="112">
        <f t="shared" si="24"/>
        <v>1085.8879999999999</v>
      </c>
      <c r="AO77" s="192">
        <f t="shared" si="21"/>
        <v>0.70569917342616917</v>
      </c>
      <c r="AP77" s="193">
        <f t="shared" si="22"/>
        <v>1654.4269999999999</v>
      </c>
      <c r="AQ77" s="193">
        <f t="shared" si="23"/>
        <v>-1636.327</v>
      </c>
      <c r="AR77" s="118"/>
      <c r="AS77" s="119"/>
      <c r="AT77" s="119"/>
      <c r="AU77" s="120"/>
      <c r="AV77" s="161"/>
      <c r="AW77" s="112">
        <v>47066334</v>
      </c>
      <c r="AX77" s="162">
        <v>33214673</v>
      </c>
      <c r="AY77" s="162">
        <v>13851661</v>
      </c>
      <c r="AZ77" s="162">
        <v>1085888</v>
      </c>
      <c r="BA77" s="196">
        <f t="shared" si="15"/>
        <v>0.70569917342616917</v>
      </c>
      <c r="BB77" s="210">
        <v>3194</v>
      </c>
      <c r="BC77" s="115">
        <v>0</v>
      </c>
      <c r="BD77" s="236">
        <v>0</v>
      </c>
    </row>
    <row r="78" spans="1:56" s="121" customFormat="1" ht="14.25" customHeight="1">
      <c r="A78" s="104" t="s">
        <v>2577</v>
      </c>
      <c r="B78" s="105" t="s">
        <v>556</v>
      </c>
      <c r="C78" s="106" t="s">
        <v>545</v>
      </c>
      <c r="D78" s="106" t="s">
        <v>2415</v>
      </c>
      <c r="E78" s="71" t="s">
        <v>546</v>
      </c>
      <c r="F78" s="71" t="s">
        <v>78</v>
      </c>
      <c r="G78" s="68" t="s">
        <v>180</v>
      </c>
      <c r="H78" s="133"/>
      <c r="I78" s="134"/>
      <c r="J78" s="330">
        <v>525.6</v>
      </c>
      <c r="K78" s="113">
        <f t="shared" si="16"/>
        <v>525.6</v>
      </c>
      <c r="L78" s="111">
        <v>621.69500000000005</v>
      </c>
      <c r="M78" s="135">
        <v>23.456</v>
      </c>
      <c r="N78" s="115">
        <v>0</v>
      </c>
      <c r="O78" s="111">
        <v>159.5</v>
      </c>
      <c r="P78" s="136">
        <v>2.4E-2</v>
      </c>
      <c r="Q78" s="111">
        <v>8477</v>
      </c>
      <c r="R78" s="134"/>
      <c r="S78" s="111">
        <f t="shared" si="20"/>
        <v>203</v>
      </c>
      <c r="T78" s="115">
        <v>13.2</v>
      </c>
      <c r="U78" s="144">
        <v>77.299000000000007</v>
      </c>
      <c r="V78" s="135">
        <v>100.22199999999999</v>
      </c>
      <c r="W78" s="113">
        <f t="shared" si="17"/>
        <v>1198.3720000000001</v>
      </c>
      <c r="X78" s="135">
        <v>0</v>
      </c>
      <c r="Y78" s="135">
        <v>0</v>
      </c>
      <c r="Z78" s="116">
        <v>1036</v>
      </c>
      <c r="AA78" s="135">
        <v>100.22199999999999</v>
      </c>
      <c r="AB78" s="113">
        <f t="shared" si="18"/>
        <v>1136.222</v>
      </c>
      <c r="AC78" s="111">
        <v>0</v>
      </c>
      <c r="AD78" s="111">
        <v>60</v>
      </c>
      <c r="AE78" s="112">
        <v>0</v>
      </c>
      <c r="AF78" s="117">
        <v>1.3109999999999999</v>
      </c>
      <c r="AG78" s="111">
        <v>780</v>
      </c>
      <c r="AH78" s="112">
        <v>0</v>
      </c>
      <c r="AI78" s="112">
        <v>239.40199999999999</v>
      </c>
      <c r="AJ78" s="113">
        <f t="shared" si="19"/>
        <v>1080.713</v>
      </c>
      <c r="AK78" s="112">
        <f t="shared" si="24"/>
        <v>85390.55</v>
      </c>
      <c r="AL78" s="112">
        <f t="shared" si="24"/>
        <v>80170.808999999994</v>
      </c>
      <c r="AM78" s="112">
        <f t="shared" si="24"/>
        <v>5219.741</v>
      </c>
      <c r="AN78" s="112">
        <f t="shared" si="24"/>
        <v>190.69</v>
      </c>
      <c r="AO78" s="192">
        <f t="shared" si="21"/>
        <v>0.93887214685934217</v>
      </c>
      <c r="AP78" s="193">
        <f t="shared" si="22"/>
        <v>1389.0620000000001</v>
      </c>
      <c r="AQ78" s="193">
        <f t="shared" si="23"/>
        <v>-863.4620000000001</v>
      </c>
      <c r="AR78" s="118"/>
      <c r="AS78" s="119"/>
      <c r="AT78" s="119"/>
      <c r="AU78" s="120"/>
      <c r="AV78" s="161"/>
      <c r="AW78" s="112">
        <v>85390550</v>
      </c>
      <c r="AX78" s="162">
        <v>80170809</v>
      </c>
      <c r="AY78" s="162">
        <v>5219741</v>
      </c>
      <c r="AZ78" s="162">
        <v>190690</v>
      </c>
      <c r="BA78" s="196">
        <f t="shared" si="15"/>
        <v>0.93887214685934217</v>
      </c>
      <c r="BB78" s="210">
        <v>13004</v>
      </c>
      <c r="BC78" s="115">
        <v>0</v>
      </c>
      <c r="BD78" s="236">
        <v>0</v>
      </c>
    </row>
    <row r="79" spans="1:56" s="121" customFormat="1" ht="14.25" customHeight="1">
      <c r="A79" s="104" t="s">
        <v>2577</v>
      </c>
      <c r="B79" s="105" t="s">
        <v>562</v>
      </c>
      <c r="C79" s="106" t="s">
        <v>552</v>
      </c>
      <c r="D79" s="106" t="s">
        <v>2415</v>
      </c>
      <c r="E79" s="71" t="s">
        <v>553</v>
      </c>
      <c r="F79" s="71" t="s">
        <v>78</v>
      </c>
      <c r="G79" s="68" t="s">
        <v>180</v>
      </c>
      <c r="H79" s="133"/>
      <c r="I79" s="134"/>
      <c r="J79" s="330">
        <v>32.1</v>
      </c>
      <c r="K79" s="113">
        <f t="shared" si="16"/>
        <v>32.1</v>
      </c>
      <c r="L79" s="111">
        <v>203.84700000000001</v>
      </c>
      <c r="M79" s="135">
        <v>23.456</v>
      </c>
      <c r="N79" s="115">
        <v>0</v>
      </c>
      <c r="O79" s="111">
        <v>141.9</v>
      </c>
      <c r="P79" s="136">
        <v>2.4E-2</v>
      </c>
      <c r="Q79" s="111">
        <v>8477</v>
      </c>
      <c r="R79" s="134"/>
      <c r="S79" s="111">
        <f t="shared" si="20"/>
        <v>203</v>
      </c>
      <c r="T79" s="115">
        <v>13.2</v>
      </c>
      <c r="U79" s="144">
        <v>77.298000000000002</v>
      </c>
      <c r="V79" s="135">
        <v>100.22199999999999</v>
      </c>
      <c r="W79" s="113">
        <f t="shared" si="17"/>
        <v>762.923</v>
      </c>
      <c r="X79" s="135">
        <v>0</v>
      </c>
      <c r="Y79" s="135">
        <v>0</v>
      </c>
      <c r="Z79" s="135">
        <v>83</v>
      </c>
      <c r="AA79" s="135">
        <v>100.22199999999999</v>
      </c>
      <c r="AB79" s="113">
        <f t="shared" si="18"/>
        <v>183.22199999999998</v>
      </c>
      <c r="AC79" s="111">
        <v>0</v>
      </c>
      <c r="AD79" s="111">
        <v>0</v>
      </c>
      <c r="AE79" s="112">
        <v>0</v>
      </c>
      <c r="AF79" s="117">
        <v>0</v>
      </c>
      <c r="AG79" s="111">
        <v>56</v>
      </c>
      <c r="AH79" s="112">
        <v>0</v>
      </c>
      <c r="AI79" s="112">
        <v>95.938000000000002</v>
      </c>
      <c r="AJ79" s="113">
        <f t="shared" si="19"/>
        <v>151.93799999999999</v>
      </c>
      <c r="AK79" s="112">
        <f t="shared" si="24"/>
        <v>29554.5</v>
      </c>
      <c r="AL79" s="112">
        <f t="shared" si="24"/>
        <v>27034.788</v>
      </c>
      <c r="AM79" s="112">
        <f t="shared" si="24"/>
        <v>2519.712</v>
      </c>
      <c r="AN79" s="112">
        <f t="shared" si="24"/>
        <v>650.19899999999996</v>
      </c>
      <c r="AO79" s="192">
        <f t="shared" si="21"/>
        <v>0.91474354159265081</v>
      </c>
      <c r="AP79" s="193">
        <f t="shared" si="22"/>
        <v>1413.1219999999998</v>
      </c>
      <c r="AQ79" s="193">
        <f t="shared" si="23"/>
        <v>-1381.0219999999999</v>
      </c>
      <c r="AR79" s="118"/>
      <c r="AS79" s="119"/>
      <c r="AT79" s="119"/>
      <c r="AU79" s="120"/>
      <c r="AV79" s="161"/>
      <c r="AW79" s="112">
        <v>29554500</v>
      </c>
      <c r="AX79" s="162">
        <v>27034788</v>
      </c>
      <c r="AY79" s="162">
        <v>2519712</v>
      </c>
      <c r="AZ79" s="162">
        <v>650199</v>
      </c>
      <c r="BA79" s="196">
        <f t="shared" si="15"/>
        <v>0.91474354159265081</v>
      </c>
      <c r="BB79" s="210">
        <v>4911</v>
      </c>
      <c r="BC79" s="115">
        <v>0</v>
      </c>
      <c r="BD79" s="236">
        <v>0</v>
      </c>
    </row>
    <row r="80" spans="1:56" s="121" customFormat="1" ht="14.25" customHeight="1">
      <c r="A80" s="104" t="s">
        <v>2577</v>
      </c>
      <c r="B80" s="105" t="s">
        <v>568</v>
      </c>
      <c r="C80" s="106" t="s">
        <v>557</v>
      </c>
      <c r="D80" s="106" t="s">
        <v>2415</v>
      </c>
      <c r="E80" s="71" t="s">
        <v>558</v>
      </c>
      <c r="F80" s="71" t="s">
        <v>78</v>
      </c>
      <c r="G80" s="68" t="s">
        <v>180</v>
      </c>
      <c r="H80" s="133"/>
      <c r="I80" s="134"/>
      <c r="J80" s="330">
        <v>45.3</v>
      </c>
      <c r="K80" s="113">
        <f t="shared" si="16"/>
        <v>45.3</v>
      </c>
      <c r="L80" s="111">
        <v>248.77699999999999</v>
      </c>
      <c r="M80" s="135">
        <v>23.456</v>
      </c>
      <c r="N80" s="115">
        <v>623.678</v>
      </c>
      <c r="O80" s="111">
        <v>124</v>
      </c>
      <c r="P80" s="136">
        <v>2.4E-2</v>
      </c>
      <c r="Q80" s="111">
        <v>8477</v>
      </c>
      <c r="R80" s="134"/>
      <c r="S80" s="111">
        <f t="shared" si="20"/>
        <v>203</v>
      </c>
      <c r="T80" s="115">
        <v>13.2</v>
      </c>
      <c r="U80" s="144">
        <v>77.298000000000002</v>
      </c>
      <c r="V80" s="135">
        <v>100.22199999999999</v>
      </c>
      <c r="W80" s="113">
        <f t="shared" si="17"/>
        <v>1413.6310000000001</v>
      </c>
      <c r="X80" s="135">
        <v>0</v>
      </c>
      <c r="Y80" s="135">
        <v>0</v>
      </c>
      <c r="Z80" s="135">
        <v>133</v>
      </c>
      <c r="AA80" s="135">
        <v>100.22199999999999</v>
      </c>
      <c r="AB80" s="113">
        <f t="shared" si="18"/>
        <v>233.22199999999998</v>
      </c>
      <c r="AC80" s="111">
        <v>0</v>
      </c>
      <c r="AD80" s="111">
        <v>30</v>
      </c>
      <c r="AE80" s="112">
        <v>0</v>
      </c>
      <c r="AF80" s="117">
        <v>2.5099999999999998</v>
      </c>
      <c r="AG80" s="111">
        <v>100.22199999999999</v>
      </c>
      <c r="AH80" s="112">
        <v>0</v>
      </c>
      <c r="AI80" s="112">
        <v>31.981000000000002</v>
      </c>
      <c r="AJ80" s="113">
        <f t="shared" si="19"/>
        <v>164.71299999999999</v>
      </c>
      <c r="AK80" s="112">
        <f t="shared" si="24"/>
        <v>38229.800000000003</v>
      </c>
      <c r="AL80" s="112">
        <f t="shared" si="24"/>
        <v>34483.254999999997</v>
      </c>
      <c r="AM80" s="112">
        <f t="shared" si="24"/>
        <v>3746.5450000000001</v>
      </c>
      <c r="AN80" s="112">
        <f t="shared" si="24"/>
        <v>841.05499999999995</v>
      </c>
      <c r="AO80" s="192">
        <f t="shared" si="21"/>
        <v>0.90199935652292196</v>
      </c>
      <c r="AP80" s="193">
        <f t="shared" si="22"/>
        <v>2254.6860000000001</v>
      </c>
      <c r="AQ80" s="193">
        <f t="shared" si="23"/>
        <v>-2209.386</v>
      </c>
      <c r="AR80" s="118"/>
      <c r="AS80" s="119"/>
      <c r="AT80" s="119"/>
      <c r="AU80" s="120"/>
      <c r="AV80" s="161"/>
      <c r="AW80" s="112">
        <v>38229800</v>
      </c>
      <c r="AX80" s="162">
        <v>34483255</v>
      </c>
      <c r="AY80" s="162">
        <v>3746545</v>
      </c>
      <c r="AZ80" s="162">
        <v>841055</v>
      </c>
      <c r="BA80" s="196">
        <f t="shared" si="15"/>
        <v>0.90199935652292196</v>
      </c>
      <c r="BB80" s="210">
        <v>3879</v>
      </c>
      <c r="BC80" s="115">
        <v>0</v>
      </c>
      <c r="BD80" s="236">
        <v>0</v>
      </c>
    </row>
    <row r="81" spans="1:56" s="121" customFormat="1" ht="14.25" customHeight="1">
      <c r="A81" s="104" t="s">
        <v>2577</v>
      </c>
      <c r="B81" s="105" t="s">
        <v>574</v>
      </c>
      <c r="C81" s="106" t="s">
        <v>563</v>
      </c>
      <c r="D81" s="106" t="s">
        <v>2415</v>
      </c>
      <c r="E81" s="71" t="s">
        <v>564</v>
      </c>
      <c r="F81" s="71" t="s">
        <v>78</v>
      </c>
      <c r="G81" s="68" t="s">
        <v>180</v>
      </c>
      <c r="H81" s="133"/>
      <c r="I81" s="134"/>
      <c r="J81" s="330">
        <v>19.8</v>
      </c>
      <c r="K81" s="113">
        <f t="shared" si="16"/>
        <v>19.8</v>
      </c>
      <c r="L81" s="111">
        <v>312.73</v>
      </c>
      <c r="M81" s="135">
        <v>23.456</v>
      </c>
      <c r="N81" s="115">
        <v>0</v>
      </c>
      <c r="O81" s="111">
        <v>279.51</v>
      </c>
      <c r="P81" s="136">
        <v>2.4E-2</v>
      </c>
      <c r="Q81" s="111">
        <v>8477</v>
      </c>
      <c r="R81" s="134"/>
      <c r="S81" s="111">
        <f t="shared" si="20"/>
        <v>203</v>
      </c>
      <c r="T81" s="115">
        <v>221.1</v>
      </c>
      <c r="U81" s="144">
        <v>77.298000000000002</v>
      </c>
      <c r="V81" s="135">
        <v>100.22199999999999</v>
      </c>
      <c r="W81" s="113">
        <f t="shared" si="17"/>
        <v>1217.316</v>
      </c>
      <c r="X81" s="135">
        <v>0</v>
      </c>
      <c r="Y81" s="135">
        <v>0</v>
      </c>
      <c r="Z81" s="135">
        <v>10</v>
      </c>
      <c r="AA81" s="135">
        <v>100.22199999999999</v>
      </c>
      <c r="AB81" s="113">
        <f t="shared" si="18"/>
        <v>110.22199999999999</v>
      </c>
      <c r="AC81" s="111">
        <v>0</v>
      </c>
      <c r="AD81" s="111">
        <v>0</v>
      </c>
      <c r="AE81" s="112">
        <v>0</v>
      </c>
      <c r="AF81" s="117">
        <v>0</v>
      </c>
      <c r="AG81" s="111">
        <v>35.799999999999997</v>
      </c>
      <c r="AH81" s="112">
        <v>0</v>
      </c>
      <c r="AI81" s="112">
        <v>48.875</v>
      </c>
      <c r="AJ81" s="113">
        <f t="shared" si="19"/>
        <v>84.674999999999997</v>
      </c>
      <c r="AK81" s="112">
        <f t="shared" si="24"/>
        <v>50444.896000000001</v>
      </c>
      <c r="AL81" s="112">
        <f t="shared" si="24"/>
        <v>38691.006999999998</v>
      </c>
      <c r="AM81" s="112">
        <f t="shared" si="24"/>
        <v>11753.888999999999</v>
      </c>
      <c r="AN81" s="112">
        <f t="shared" si="24"/>
        <v>1110.261</v>
      </c>
      <c r="AO81" s="192">
        <f t="shared" si="21"/>
        <v>0.76699547561759274</v>
      </c>
      <c r="AP81" s="193">
        <f t="shared" si="22"/>
        <v>2327.5770000000002</v>
      </c>
      <c r="AQ81" s="193">
        <f t="shared" si="23"/>
        <v>-2307.777</v>
      </c>
      <c r="AR81" s="118"/>
      <c r="AS81" s="119"/>
      <c r="AT81" s="119"/>
      <c r="AU81" s="120"/>
      <c r="AV81" s="161"/>
      <c r="AW81" s="112">
        <v>50444896</v>
      </c>
      <c r="AX81" s="162">
        <v>38691007</v>
      </c>
      <c r="AY81" s="162">
        <v>11753889</v>
      </c>
      <c r="AZ81" s="162">
        <v>1110261</v>
      </c>
      <c r="BA81" s="196">
        <f t="shared" si="15"/>
        <v>0.76699547561759274</v>
      </c>
      <c r="BB81" s="210">
        <v>3022</v>
      </c>
      <c r="BC81" s="115">
        <v>0</v>
      </c>
      <c r="BD81" s="236">
        <v>0</v>
      </c>
    </row>
    <row r="82" spans="1:56" s="121" customFormat="1" ht="14.25" customHeight="1">
      <c r="A82" s="104" t="s">
        <v>2577</v>
      </c>
      <c r="B82" s="105" t="s">
        <v>580</v>
      </c>
      <c r="C82" s="106" t="s">
        <v>569</v>
      </c>
      <c r="D82" s="106" t="s">
        <v>2415</v>
      </c>
      <c r="E82" s="71" t="s">
        <v>570</v>
      </c>
      <c r="F82" s="71" t="s">
        <v>78</v>
      </c>
      <c r="G82" s="68" t="s">
        <v>180</v>
      </c>
      <c r="H82" s="133"/>
      <c r="I82" s="134"/>
      <c r="J82" s="330">
        <v>14.6</v>
      </c>
      <c r="K82" s="113">
        <f t="shared" si="16"/>
        <v>14.6</v>
      </c>
      <c r="L82" s="111">
        <v>254.67400000000001</v>
      </c>
      <c r="M82" s="135">
        <v>23.456</v>
      </c>
      <c r="N82" s="115">
        <v>0</v>
      </c>
      <c r="O82" s="111">
        <v>264</v>
      </c>
      <c r="P82" s="136">
        <v>2.4E-2</v>
      </c>
      <c r="Q82" s="111">
        <v>8477</v>
      </c>
      <c r="R82" s="134"/>
      <c r="S82" s="111">
        <f t="shared" si="20"/>
        <v>203</v>
      </c>
      <c r="T82" s="115">
        <v>101.2</v>
      </c>
      <c r="U82" s="144">
        <v>77.298000000000002</v>
      </c>
      <c r="V82" s="135">
        <v>100.22199999999999</v>
      </c>
      <c r="W82" s="113">
        <f t="shared" si="17"/>
        <v>1023.85</v>
      </c>
      <c r="X82" s="135">
        <v>0</v>
      </c>
      <c r="Y82" s="135">
        <v>0</v>
      </c>
      <c r="Z82" s="135">
        <v>13</v>
      </c>
      <c r="AA82" s="135">
        <v>100.22199999999999</v>
      </c>
      <c r="AB82" s="113">
        <f t="shared" si="18"/>
        <v>113.22199999999999</v>
      </c>
      <c r="AC82" s="111">
        <v>0</v>
      </c>
      <c r="AD82" s="111">
        <v>31</v>
      </c>
      <c r="AE82" s="112">
        <v>0</v>
      </c>
      <c r="AF82" s="117">
        <v>0</v>
      </c>
      <c r="AG82" s="111">
        <v>36</v>
      </c>
      <c r="AH82" s="112">
        <v>0</v>
      </c>
      <c r="AI82" s="112">
        <v>34.411000000000001</v>
      </c>
      <c r="AJ82" s="113">
        <f t="shared" si="19"/>
        <v>101.411</v>
      </c>
      <c r="AK82" s="112">
        <f t="shared" si="24"/>
        <v>40157.5</v>
      </c>
      <c r="AL82" s="112">
        <f t="shared" si="24"/>
        <v>33788.482000000004</v>
      </c>
      <c r="AM82" s="112">
        <f t="shared" si="24"/>
        <v>6369.018</v>
      </c>
      <c r="AN82" s="112">
        <f t="shared" si="24"/>
        <v>907.05899999999997</v>
      </c>
      <c r="AO82" s="192">
        <f t="shared" si="21"/>
        <v>0.84139904127497978</v>
      </c>
      <c r="AP82" s="193">
        <f t="shared" si="22"/>
        <v>1930.9090000000001</v>
      </c>
      <c r="AQ82" s="193">
        <f t="shared" si="23"/>
        <v>-1916.3090000000002</v>
      </c>
      <c r="AR82" s="118"/>
      <c r="AS82" s="119"/>
      <c r="AT82" s="119"/>
      <c r="AU82" s="120"/>
      <c r="AV82" s="161"/>
      <c r="AW82" s="112">
        <v>40157500</v>
      </c>
      <c r="AX82" s="162">
        <v>33788482</v>
      </c>
      <c r="AY82" s="162">
        <v>6369018</v>
      </c>
      <c r="AZ82" s="162">
        <v>907059</v>
      </c>
      <c r="BA82" s="196">
        <f t="shared" si="15"/>
        <v>0.84139904127497978</v>
      </c>
      <c r="BB82" s="210">
        <v>3201</v>
      </c>
      <c r="BC82" s="115">
        <v>0</v>
      </c>
      <c r="BD82" s="236">
        <v>0</v>
      </c>
    </row>
    <row r="83" spans="1:56" s="121" customFormat="1" ht="14.25" customHeight="1">
      <c r="A83" s="104" t="s">
        <v>2577</v>
      </c>
      <c r="B83" s="105" t="s">
        <v>586</v>
      </c>
      <c r="C83" s="106" t="s">
        <v>575</v>
      </c>
      <c r="D83" s="106" t="s">
        <v>2415</v>
      </c>
      <c r="E83" s="71" t="s">
        <v>119</v>
      </c>
      <c r="F83" s="71" t="s">
        <v>78</v>
      </c>
      <c r="G83" s="68" t="s">
        <v>180</v>
      </c>
      <c r="H83" s="133"/>
      <c r="I83" s="134"/>
      <c r="J83" s="330">
        <v>78.400000000000006</v>
      </c>
      <c r="K83" s="113">
        <f t="shared" si="16"/>
        <v>78.400000000000006</v>
      </c>
      <c r="L83" s="112">
        <v>487.18700000000001</v>
      </c>
      <c r="M83" s="135">
        <v>115.85599999999999</v>
      </c>
      <c r="N83" s="115">
        <v>0</v>
      </c>
      <c r="O83" s="111">
        <v>207.35</v>
      </c>
      <c r="P83" s="136">
        <v>2.4E-2</v>
      </c>
      <c r="Q83" s="111">
        <v>8477</v>
      </c>
      <c r="R83" s="134"/>
      <c r="S83" s="111">
        <f t="shared" si="20"/>
        <v>203</v>
      </c>
      <c r="T83" s="115">
        <v>13.2</v>
      </c>
      <c r="U83" s="144">
        <v>86.097999999999999</v>
      </c>
      <c r="V83" s="135">
        <v>100.22199999999999</v>
      </c>
      <c r="W83" s="113">
        <f t="shared" si="17"/>
        <v>1212.913</v>
      </c>
      <c r="X83" s="135">
        <v>0</v>
      </c>
      <c r="Y83" s="135">
        <v>0</v>
      </c>
      <c r="Z83" s="135">
        <v>146</v>
      </c>
      <c r="AA83" s="135">
        <v>100.22199999999999</v>
      </c>
      <c r="AB83" s="113">
        <f t="shared" si="18"/>
        <v>246.22199999999998</v>
      </c>
      <c r="AC83" s="111">
        <v>0</v>
      </c>
      <c r="AD83" s="111">
        <v>72</v>
      </c>
      <c r="AE83" s="112">
        <v>0</v>
      </c>
      <c r="AF83" s="117">
        <v>0</v>
      </c>
      <c r="AG83" s="111">
        <v>60</v>
      </c>
      <c r="AH83" s="112">
        <v>0</v>
      </c>
      <c r="AI83" s="112">
        <v>102.96599999999999</v>
      </c>
      <c r="AJ83" s="113">
        <f t="shared" si="19"/>
        <v>234.96600000000001</v>
      </c>
      <c r="AK83" s="112">
        <f t="shared" si="24"/>
        <v>60744.598938841162</v>
      </c>
      <c r="AL83" s="112">
        <f t="shared" si="24"/>
        <v>52588.260300003218</v>
      </c>
      <c r="AM83" s="112">
        <f t="shared" si="24"/>
        <v>8156.3386388379504</v>
      </c>
      <c r="AN83" s="112">
        <f t="shared" si="24"/>
        <v>1455.0590126113952</v>
      </c>
      <c r="AO83" s="192">
        <f t="shared" si="21"/>
        <v>0.86572734397259077</v>
      </c>
      <c r="AP83" s="193">
        <f t="shared" si="22"/>
        <v>2667.9720126113953</v>
      </c>
      <c r="AQ83" s="193">
        <f t="shared" si="23"/>
        <v>-2589.5720126113952</v>
      </c>
      <c r="AR83" s="118"/>
      <c r="AS83" s="119"/>
      <c r="AT83" s="119"/>
      <c r="AU83" s="120"/>
      <c r="AV83" s="161"/>
      <c r="AW83" s="112">
        <v>60744598.938841164</v>
      </c>
      <c r="AX83" s="162">
        <v>52588260.300003216</v>
      </c>
      <c r="AY83" s="162">
        <v>8156338.6388379503</v>
      </c>
      <c r="AZ83" s="162">
        <v>1455059.0126113952</v>
      </c>
      <c r="BA83" s="196">
        <f t="shared" ref="BA83:BA86" si="25">AX83/AW83</f>
        <v>0.86572734397259077</v>
      </c>
      <c r="BB83" s="210" t="s">
        <v>825</v>
      </c>
      <c r="BC83" s="115" t="s">
        <v>825</v>
      </c>
      <c r="BD83" s="236" t="s">
        <v>825</v>
      </c>
    </row>
    <row r="84" spans="1:56" s="121" customFormat="1" ht="14.25" customHeight="1">
      <c r="A84" s="104" t="s">
        <v>2577</v>
      </c>
      <c r="B84" s="105" t="s">
        <v>591</v>
      </c>
      <c r="C84" s="106" t="s">
        <v>581</v>
      </c>
      <c r="D84" s="106" t="s">
        <v>2415</v>
      </c>
      <c r="E84" s="71" t="s">
        <v>582</v>
      </c>
      <c r="F84" s="71" t="s">
        <v>78</v>
      </c>
      <c r="G84" s="68" t="s">
        <v>180</v>
      </c>
      <c r="H84" s="133"/>
      <c r="I84" s="134"/>
      <c r="J84" s="330">
        <v>72</v>
      </c>
      <c r="K84" s="113">
        <f t="shared" si="16"/>
        <v>72</v>
      </c>
      <c r="L84" s="111">
        <v>322.51400000000001</v>
      </c>
      <c r="M84" s="135">
        <v>23.456</v>
      </c>
      <c r="N84" s="115">
        <v>0</v>
      </c>
      <c r="O84" s="111">
        <v>78.099999999999994</v>
      </c>
      <c r="P84" s="136">
        <v>2.4E-2</v>
      </c>
      <c r="Q84" s="111">
        <v>8477</v>
      </c>
      <c r="R84" s="134"/>
      <c r="S84" s="111">
        <f t="shared" si="20"/>
        <v>203</v>
      </c>
      <c r="T84" s="115">
        <v>101.2</v>
      </c>
      <c r="U84" s="144">
        <v>85.298000000000002</v>
      </c>
      <c r="V84" s="135">
        <v>100.22199999999999</v>
      </c>
      <c r="W84" s="113">
        <f t="shared" si="17"/>
        <v>913.79000000000008</v>
      </c>
      <c r="X84" s="135">
        <v>0</v>
      </c>
      <c r="Y84" s="135">
        <v>0</v>
      </c>
      <c r="Z84" s="116">
        <v>174</v>
      </c>
      <c r="AA84" s="135">
        <v>100.22199999999999</v>
      </c>
      <c r="AB84" s="113">
        <f t="shared" si="18"/>
        <v>274.22199999999998</v>
      </c>
      <c r="AC84" s="111">
        <v>0</v>
      </c>
      <c r="AD84" s="111">
        <v>38.880000000000003</v>
      </c>
      <c r="AE84" s="112">
        <v>0</v>
      </c>
      <c r="AF84" s="117">
        <v>0</v>
      </c>
      <c r="AG84" s="111">
        <v>134</v>
      </c>
      <c r="AH84" s="112">
        <v>0</v>
      </c>
      <c r="AI84" s="112">
        <v>107.262</v>
      </c>
      <c r="AJ84" s="113">
        <f t="shared" si="19"/>
        <v>280.142</v>
      </c>
      <c r="AK84" s="112">
        <f t="shared" si="24"/>
        <v>36122.945</v>
      </c>
      <c r="AL84" s="112">
        <f t="shared" si="24"/>
        <v>28439.953000000001</v>
      </c>
      <c r="AM84" s="112">
        <f t="shared" si="24"/>
        <v>7682.9920000000002</v>
      </c>
      <c r="AN84" s="112">
        <f t="shared" si="24"/>
        <v>994.197</v>
      </c>
      <c r="AO84" s="192">
        <f t="shared" si="21"/>
        <v>0.78730992171319369</v>
      </c>
      <c r="AP84" s="193">
        <f t="shared" si="22"/>
        <v>1907.9870000000001</v>
      </c>
      <c r="AQ84" s="193">
        <f t="shared" si="23"/>
        <v>-1835.9870000000001</v>
      </c>
      <c r="AR84" s="118"/>
      <c r="AS84" s="119"/>
      <c r="AT84" s="119"/>
      <c r="AU84" s="120"/>
      <c r="AV84" s="161"/>
      <c r="AW84" s="112">
        <v>36122945</v>
      </c>
      <c r="AX84" s="162">
        <v>28439953</v>
      </c>
      <c r="AY84" s="162">
        <v>7682992</v>
      </c>
      <c r="AZ84" s="162">
        <v>994197</v>
      </c>
      <c r="BA84" s="196">
        <f t="shared" si="25"/>
        <v>0.78730992171319369</v>
      </c>
      <c r="BB84" s="210">
        <v>4198</v>
      </c>
      <c r="BC84" s="115">
        <v>0</v>
      </c>
      <c r="BD84" s="236">
        <v>0</v>
      </c>
    </row>
    <row r="85" spans="1:56" s="121" customFormat="1" ht="14.25" customHeight="1">
      <c r="A85" s="104" t="s">
        <v>2577</v>
      </c>
      <c r="B85" s="105" t="s">
        <v>597</v>
      </c>
      <c r="C85" s="106" t="s">
        <v>587</v>
      </c>
      <c r="D85" s="106" t="s">
        <v>2415</v>
      </c>
      <c r="E85" s="71" t="s">
        <v>588</v>
      </c>
      <c r="F85" s="71" t="s">
        <v>78</v>
      </c>
      <c r="G85" s="68" t="s">
        <v>180</v>
      </c>
      <c r="H85" s="133"/>
      <c r="I85" s="134"/>
      <c r="J85" s="330">
        <v>3.5</v>
      </c>
      <c r="K85" s="113">
        <f t="shared" si="16"/>
        <v>3.5</v>
      </c>
      <c r="L85" s="111">
        <v>136.803</v>
      </c>
      <c r="M85" s="135">
        <v>23.456</v>
      </c>
      <c r="N85" s="115">
        <v>0</v>
      </c>
      <c r="O85" s="111">
        <v>361.02</v>
      </c>
      <c r="P85" s="136">
        <v>2.4E-2</v>
      </c>
      <c r="Q85" s="111">
        <v>8477</v>
      </c>
      <c r="R85" s="134"/>
      <c r="S85" s="111">
        <f t="shared" si="20"/>
        <v>203</v>
      </c>
      <c r="T85" s="115">
        <v>2097.424</v>
      </c>
      <c r="U85" s="144">
        <v>125.82899999999999</v>
      </c>
      <c r="V85" s="135">
        <v>100.22199999999999</v>
      </c>
      <c r="W85" s="113">
        <f t="shared" si="17"/>
        <v>3047.7540000000004</v>
      </c>
      <c r="X85" s="135">
        <v>0</v>
      </c>
      <c r="Y85" s="135">
        <v>0</v>
      </c>
      <c r="Z85" s="135">
        <v>7</v>
      </c>
      <c r="AA85" s="135">
        <v>100.22199999999999</v>
      </c>
      <c r="AB85" s="113">
        <f t="shared" si="18"/>
        <v>107.22199999999999</v>
      </c>
      <c r="AC85" s="111">
        <v>0</v>
      </c>
      <c r="AD85" s="111">
        <v>15</v>
      </c>
      <c r="AE85" s="112">
        <v>0</v>
      </c>
      <c r="AF85" s="117">
        <v>0</v>
      </c>
      <c r="AG85" s="111">
        <v>35</v>
      </c>
      <c r="AH85" s="112">
        <v>0</v>
      </c>
      <c r="AI85" s="112">
        <v>92.902000000000001</v>
      </c>
      <c r="AJ85" s="113">
        <f t="shared" si="19"/>
        <v>142.90199999999999</v>
      </c>
      <c r="AK85" s="112">
        <f t="shared" si="24"/>
        <v>47078.5</v>
      </c>
      <c r="AL85" s="112">
        <f t="shared" si="24"/>
        <v>31643.330999999998</v>
      </c>
      <c r="AM85" s="112">
        <f t="shared" si="24"/>
        <v>15435.169</v>
      </c>
      <c r="AN85" s="112">
        <f t="shared" si="24"/>
        <v>1258.796</v>
      </c>
      <c r="AO85" s="192">
        <f t="shared" si="21"/>
        <v>0.67213974531898846</v>
      </c>
      <c r="AP85" s="193">
        <f t="shared" si="22"/>
        <v>4306.55</v>
      </c>
      <c r="AQ85" s="193">
        <f t="shared" si="23"/>
        <v>-4303.05</v>
      </c>
      <c r="AR85" s="118"/>
      <c r="AS85" s="119"/>
      <c r="AT85" s="119"/>
      <c r="AU85" s="120"/>
      <c r="AV85" s="161"/>
      <c r="AW85" s="112">
        <v>47078500</v>
      </c>
      <c r="AX85" s="162">
        <v>31643331</v>
      </c>
      <c r="AY85" s="162">
        <v>15435169</v>
      </c>
      <c r="AZ85" s="162">
        <v>1258796</v>
      </c>
      <c r="BA85" s="196">
        <f t="shared" si="25"/>
        <v>0.67213974531898846</v>
      </c>
      <c r="BB85" s="210">
        <v>3626</v>
      </c>
      <c r="BC85" s="115">
        <v>0</v>
      </c>
      <c r="BD85" s="236">
        <v>0</v>
      </c>
    </row>
    <row r="86" spans="1:56" s="121" customFormat="1" ht="14.25" customHeight="1">
      <c r="A86" s="104" t="s">
        <v>2577</v>
      </c>
      <c r="B86" s="105" t="s">
        <v>600</v>
      </c>
      <c r="C86" s="106" t="s">
        <v>592</v>
      </c>
      <c r="D86" s="106" t="s">
        <v>2415</v>
      </c>
      <c r="E86" s="71" t="s">
        <v>593</v>
      </c>
      <c r="F86" s="71" t="s">
        <v>78</v>
      </c>
      <c r="G86" s="68" t="s">
        <v>180</v>
      </c>
      <c r="H86" s="110"/>
      <c r="I86" s="134"/>
      <c r="J86" s="330">
        <v>0</v>
      </c>
      <c r="K86" s="113">
        <f t="shared" si="16"/>
        <v>0</v>
      </c>
      <c r="L86" s="111">
        <v>200.96700000000001</v>
      </c>
      <c r="M86" s="135">
        <v>23.456</v>
      </c>
      <c r="N86" s="115">
        <v>717.42600000000004</v>
      </c>
      <c r="O86" s="111">
        <v>113.3</v>
      </c>
      <c r="P86" s="136">
        <v>2.4E-2</v>
      </c>
      <c r="Q86" s="111">
        <v>8477</v>
      </c>
      <c r="R86" s="134"/>
      <c r="S86" s="111">
        <f t="shared" si="20"/>
        <v>203</v>
      </c>
      <c r="T86" s="115">
        <v>2718.12</v>
      </c>
      <c r="U86" s="144">
        <v>77.299000000000007</v>
      </c>
      <c r="V86" s="135">
        <v>100.22199999999999</v>
      </c>
      <c r="W86" s="113">
        <f t="shared" si="17"/>
        <v>4153.79</v>
      </c>
      <c r="X86" s="135">
        <v>0</v>
      </c>
      <c r="Y86" s="135">
        <v>0</v>
      </c>
      <c r="Z86" s="135">
        <v>2E-3</v>
      </c>
      <c r="AA86" s="135">
        <v>100.22199999999999</v>
      </c>
      <c r="AB86" s="113">
        <f t="shared" si="18"/>
        <v>100.22399999999999</v>
      </c>
      <c r="AC86" s="111">
        <v>0</v>
      </c>
      <c r="AD86" s="111">
        <v>0</v>
      </c>
      <c r="AE86" s="112">
        <v>0</v>
      </c>
      <c r="AF86" s="117">
        <v>0</v>
      </c>
      <c r="AG86" s="111">
        <v>57</v>
      </c>
      <c r="AH86" s="112">
        <v>0</v>
      </c>
      <c r="AI86" s="112">
        <v>0.22</v>
      </c>
      <c r="AJ86" s="113">
        <f t="shared" si="19"/>
        <v>57.22</v>
      </c>
      <c r="AK86" s="112">
        <f t="shared" si="24"/>
        <v>53288.574000000001</v>
      </c>
      <c r="AL86" s="112">
        <f t="shared" si="24"/>
        <v>36109.754999999997</v>
      </c>
      <c r="AM86" s="112">
        <f t="shared" si="24"/>
        <v>17178.819</v>
      </c>
      <c r="AN86" s="112">
        <f t="shared" si="24"/>
        <v>949.09100000000001</v>
      </c>
      <c r="AO86" s="192">
        <f t="shared" si="21"/>
        <v>0.67762659590027685</v>
      </c>
      <c r="AP86" s="193">
        <f t="shared" si="22"/>
        <v>5102.8810000000003</v>
      </c>
      <c r="AQ86" s="193">
        <f t="shared" si="23"/>
        <v>-5102.8810000000003</v>
      </c>
      <c r="AR86" s="118"/>
      <c r="AS86" s="119"/>
      <c r="AT86" s="119"/>
      <c r="AU86" s="120"/>
      <c r="AV86" s="161"/>
      <c r="AW86" s="112">
        <v>53288574</v>
      </c>
      <c r="AX86" s="162">
        <v>36109755</v>
      </c>
      <c r="AY86" s="162">
        <v>17178819</v>
      </c>
      <c r="AZ86" s="162">
        <v>949091</v>
      </c>
      <c r="BA86" s="196">
        <f t="shared" si="25"/>
        <v>0.67762659590027685</v>
      </c>
      <c r="BB86" s="210">
        <v>6038</v>
      </c>
      <c r="BC86" s="115">
        <v>0</v>
      </c>
      <c r="BD86" s="236">
        <v>0</v>
      </c>
    </row>
    <row r="87" spans="1:56" s="121" customFormat="1" ht="14.25" customHeight="1">
      <c r="A87" s="104" t="s">
        <v>2577</v>
      </c>
      <c r="B87" s="105" t="s">
        <v>605</v>
      </c>
      <c r="C87" s="106" t="s">
        <v>598</v>
      </c>
      <c r="D87" s="106" t="s">
        <v>2415</v>
      </c>
      <c r="E87" s="71" t="s">
        <v>163</v>
      </c>
      <c r="F87" s="71" t="s">
        <v>78</v>
      </c>
      <c r="G87" s="68" t="s">
        <v>156</v>
      </c>
      <c r="H87" s="110"/>
      <c r="I87" s="112"/>
      <c r="J87" s="162"/>
      <c r="K87" s="113">
        <f t="shared" si="16"/>
        <v>0</v>
      </c>
      <c r="L87" s="111"/>
      <c r="M87" s="111"/>
      <c r="N87" s="115"/>
      <c r="O87" s="111"/>
      <c r="P87" s="114"/>
      <c r="Q87" s="111">
        <v>8477</v>
      </c>
      <c r="R87" s="112"/>
      <c r="S87" s="111">
        <f t="shared" si="20"/>
        <v>0</v>
      </c>
      <c r="T87" s="115"/>
      <c r="U87" s="144"/>
      <c r="V87" s="111"/>
      <c r="W87" s="113">
        <f t="shared" si="17"/>
        <v>0</v>
      </c>
      <c r="X87" s="111"/>
      <c r="Y87" s="111"/>
      <c r="Z87" s="116"/>
      <c r="AA87" s="111"/>
      <c r="AB87" s="113">
        <f t="shared" si="18"/>
        <v>0</v>
      </c>
      <c r="AC87" s="111"/>
      <c r="AD87" s="111"/>
      <c r="AE87" s="112"/>
      <c r="AF87" s="117"/>
      <c r="AG87" s="111"/>
      <c r="AH87" s="112"/>
      <c r="AI87" s="112"/>
      <c r="AJ87" s="113">
        <f t="shared" si="19"/>
        <v>0</v>
      </c>
      <c r="AK87" s="112">
        <f t="shared" si="24"/>
        <v>0</v>
      </c>
      <c r="AL87" s="112">
        <f t="shared" si="24"/>
        <v>0</v>
      </c>
      <c r="AM87" s="112">
        <f t="shared" si="24"/>
        <v>0</v>
      </c>
      <c r="AN87" s="112">
        <f t="shared" si="24"/>
        <v>0</v>
      </c>
      <c r="AO87" s="192" t="str">
        <f t="shared" si="21"/>
        <v>-</v>
      </c>
      <c r="AP87" s="193">
        <f t="shared" si="22"/>
        <v>0</v>
      </c>
      <c r="AQ87" s="193">
        <f t="shared" si="23"/>
        <v>0</v>
      </c>
      <c r="AR87" s="118"/>
      <c r="AS87" s="119"/>
      <c r="AT87" s="119"/>
      <c r="AU87" s="120"/>
      <c r="AV87" s="161"/>
      <c r="AW87" s="112">
        <v>0</v>
      </c>
      <c r="AX87" s="162">
        <v>0</v>
      </c>
      <c r="AY87" s="162">
        <v>0</v>
      </c>
      <c r="AZ87" s="162">
        <v>0</v>
      </c>
      <c r="BA87" s="196" t="s">
        <v>1966</v>
      </c>
      <c r="BB87" s="210">
        <v>0</v>
      </c>
      <c r="BC87" s="115">
        <v>0</v>
      </c>
      <c r="BD87" s="236">
        <v>0</v>
      </c>
    </row>
    <row r="88" spans="1:56" s="121" customFormat="1" ht="14.25" customHeight="1">
      <c r="A88" s="104" t="s">
        <v>2577</v>
      </c>
      <c r="B88" s="105" t="s">
        <v>611</v>
      </c>
      <c r="C88" s="106" t="s">
        <v>601</v>
      </c>
      <c r="D88" s="106" t="s">
        <v>2415</v>
      </c>
      <c r="E88" s="71" t="s">
        <v>602</v>
      </c>
      <c r="F88" s="71" t="s">
        <v>78</v>
      </c>
      <c r="G88" s="68" t="s">
        <v>180</v>
      </c>
      <c r="H88" s="110"/>
      <c r="I88" s="134"/>
      <c r="J88" s="330">
        <v>39.424999999999997</v>
      </c>
      <c r="K88" s="113">
        <f t="shared" si="16"/>
        <v>39.424999999999997</v>
      </c>
      <c r="L88" s="111">
        <v>217.21</v>
      </c>
      <c r="M88" s="135">
        <v>23.456</v>
      </c>
      <c r="N88" s="115">
        <v>0</v>
      </c>
      <c r="O88" s="111">
        <v>40.15</v>
      </c>
      <c r="P88" s="136">
        <v>2.4E-2</v>
      </c>
      <c r="Q88" s="111">
        <v>8477</v>
      </c>
      <c r="R88" s="134"/>
      <c r="S88" s="111">
        <f t="shared" si="20"/>
        <v>203</v>
      </c>
      <c r="T88" s="115">
        <v>13.2</v>
      </c>
      <c r="U88" s="144">
        <v>77.299000000000007</v>
      </c>
      <c r="V88" s="135">
        <v>100.22199999999999</v>
      </c>
      <c r="W88" s="113">
        <f t="shared" si="17"/>
        <v>674.53699999999992</v>
      </c>
      <c r="X88" s="135">
        <v>0</v>
      </c>
      <c r="Y88" s="135">
        <v>0</v>
      </c>
      <c r="Z88" s="116">
        <v>69</v>
      </c>
      <c r="AA88" s="135">
        <v>100.22199999999999</v>
      </c>
      <c r="AB88" s="113">
        <f t="shared" si="18"/>
        <v>169.22199999999998</v>
      </c>
      <c r="AC88" s="111">
        <v>0</v>
      </c>
      <c r="AD88" s="111">
        <v>0</v>
      </c>
      <c r="AE88" s="112">
        <v>0</v>
      </c>
      <c r="AF88" s="117">
        <v>0</v>
      </c>
      <c r="AG88" s="111">
        <v>161</v>
      </c>
      <c r="AH88" s="112">
        <v>0</v>
      </c>
      <c r="AI88" s="112">
        <v>11.856</v>
      </c>
      <c r="AJ88" s="113">
        <f t="shared" si="19"/>
        <v>172.85599999999999</v>
      </c>
      <c r="AK88" s="112">
        <f t="shared" si="24"/>
        <v>58534</v>
      </c>
      <c r="AL88" s="112">
        <f t="shared" si="24"/>
        <v>45625.862000000001</v>
      </c>
      <c r="AM88" s="112">
        <f t="shared" si="24"/>
        <v>12908.138000000001</v>
      </c>
      <c r="AN88" s="112">
        <f t="shared" si="24"/>
        <v>1496.5930000000001</v>
      </c>
      <c r="AO88" s="192">
        <f t="shared" si="21"/>
        <v>0.77947623603375815</v>
      </c>
      <c r="AP88" s="193">
        <f t="shared" si="22"/>
        <v>2171.13</v>
      </c>
      <c r="AQ88" s="193">
        <f t="shared" si="23"/>
        <v>-2131.7049999999999</v>
      </c>
      <c r="AR88" s="118"/>
      <c r="AS88" s="119"/>
      <c r="AT88" s="119"/>
      <c r="AU88" s="120"/>
      <c r="AV88" s="161"/>
      <c r="AW88" s="112">
        <v>58534000</v>
      </c>
      <c r="AX88" s="162">
        <v>45625862</v>
      </c>
      <c r="AY88" s="162">
        <v>12908138</v>
      </c>
      <c r="AZ88" s="162">
        <v>1496593</v>
      </c>
      <c r="BA88" s="196">
        <f t="shared" ref="BA88:BA117" si="26">AX88/AW88</f>
        <v>0.77947623603375815</v>
      </c>
      <c r="BB88" s="210">
        <v>4231</v>
      </c>
      <c r="BC88" s="115">
        <v>0</v>
      </c>
      <c r="BD88" s="236">
        <v>0</v>
      </c>
    </row>
    <row r="89" spans="1:56" s="121" customFormat="1" ht="14.25" customHeight="1">
      <c r="A89" s="104" t="s">
        <v>2577</v>
      </c>
      <c r="B89" s="105" t="s">
        <v>618</v>
      </c>
      <c r="C89" s="106" t="s">
        <v>606</v>
      </c>
      <c r="D89" s="106" t="s">
        <v>2415</v>
      </c>
      <c r="E89" s="71" t="s">
        <v>607</v>
      </c>
      <c r="F89" s="71" t="s">
        <v>78</v>
      </c>
      <c r="G89" s="68" t="s">
        <v>180</v>
      </c>
      <c r="H89" s="110"/>
      <c r="I89" s="134"/>
      <c r="J89" s="330">
        <v>238.9</v>
      </c>
      <c r="K89" s="113">
        <f t="shared" si="16"/>
        <v>238.9</v>
      </c>
      <c r="L89" s="111">
        <v>617.98699999999997</v>
      </c>
      <c r="M89" s="135">
        <v>23.454999999999998</v>
      </c>
      <c r="N89" s="115">
        <v>0</v>
      </c>
      <c r="O89" s="111">
        <v>321.31</v>
      </c>
      <c r="P89" s="136">
        <v>2.4E-2</v>
      </c>
      <c r="Q89" s="111">
        <v>8477</v>
      </c>
      <c r="R89" s="134"/>
      <c r="S89" s="111">
        <f t="shared" si="20"/>
        <v>203</v>
      </c>
      <c r="T89" s="115">
        <v>13.2</v>
      </c>
      <c r="U89" s="144">
        <v>77.298000000000002</v>
      </c>
      <c r="V89" s="135">
        <v>100.22199999999999</v>
      </c>
      <c r="W89" s="113">
        <f t="shared" si="17"/>
        <v>1356.472</v>
      </c>
      <c r="X89" s="135">
        <v>0</v>
      </c>
      <c r="Y89" s="135">
        <v>0</v>
      </c>
      <c r="Z89" s="116">
        <v>369</v>
      </c>
      <c r="AA89" s="135">
        <v>100.22199999999999</v>
      </c>
      <c r="AB89" s="113">
        <f t="shared" si="18"/>
        <v>469.22199999999998</v>
      </c>
      <c r="AC89" s="111">
        <v>0</v>
      </c>
      <c r="AD89" s="111">
        <v>128</v>
      </c>
      <c r="AE89" s="112">
        <v>0</v>
      </c>
      <c r="AF89" s="117">
        <v>0</v>
      </c>
      <c r="AG89" s="111">
        <v>66</v>
      </c>
      <c r="AH89" s="112">
        <v>0</v>
      </c>
      <c r="AI89" s="112">
        <v>81.376000000000005</v>
      </c>
      <c r="AJ89" s="113">
        <f t="shared" si="19"/>
        <v>275.37599999999998</v>
      </c>
      <c r="AK89" s="112">
        <f t="shared" si="24"/>
        <v>105886.02800000001</v>
      </c>
      <c r="AL89" s="112">
        <f t="shared" si="24"/>
        <v>92902.501000000004</v>
      </c>
      <c r="AM89" s="112">
        <f t="shared" si="24"/>
        <v>12983.527</v>
      </c>
      <c r="AN89" s="112">
        <f t="shared" si="24"/>
        <v>2538.4349999999999</v>
      </c>
      <c r="AO89" s="192">
        <f t="shared" si="21"/>
        <v>0.87738205648813272</v>
      </c>
      <c r="AP89" s="193">
        <f t="shared" si="22"/>
        <v>3894.9070000000002</v>
      </c>
      <c r="AQ89" s="193">
        <f t="shared" si="23"/>
        <v>-3656.0070000000001</v>
      </c>
      <c r="AR89" s="118"/>
      <c r="AS89" s="119"/>
      <c r="AT89" s="119"/>
      <c r="AU89" s="120"/>
      <c r="AV89" s="161"/>
      <c r="AW89" s="112">
        <v>105886028</v>
      </c>
      <c r="AX89" s="162">
        <v>92902501</v>
      </c>
      <c r="AY89" s="162">
        <v>12983527</v>
      </c>
      <c r="AZ89" s="162">
        <v>2538435</v>
      </c>
      <c r="BA89" s="196">
        <f t="shared" si="26"/>
        <v>0.87738205648813272</v>
      </c>
      <c r="BB89" s="210">
        <v>11308</v>
      </c>
      <c r="BC89" s="115">
        <v>0</v>
      </c>
      <c r="BD89" s="236">
        <v>0</v>
      </c>
    </row>
    <row r="90" spans="1:56" s="121" customFormat="1" ht="14.25" customHeight="1">
      <c r="A90" s="104" t="s">
        <v>2577</v>
      </c>
      <c r="B90" s="105" t="s">
        <v>621</v>
      </c>
      <c r="C90" s="106" t="s">
        <v>612</v>
      </c>
      <c r="D90" s="106" t="s">
        <v>2415</v>
      </c>
      <c r="E90" s="71" t="s">
        <v>613</v>
      </c>
      <c r="F90" s="71" t="s">
        <v>78</v>
      </c>
      <c r="G90" s="68" t="s">
        <v>180</v>
      </c>
      <c r="H90" s="110"/>
      <c r="I90" s="134"/>
      <c r="J90" s="330">
        <v>165.9</v>
      </c>
      <c r="K90" s="113">
        <f t="shared" si="16"/>
        <v>165.9</v>
      </c>
      <c r="L90" s="111">
        <v>669.35500000000002</v>
      </c>
      <c r="M90" s="135">
        <v>23.454999999999998</v>
      </c>
      <c r="N90" s="115">
        <v>0</v>
      </c>
      <c r="O90" s="111">
        <v>802.45</v>
      </c>
      <c r="P90" s="136">
        <v>2.4E-2</v>
      </c>
      <c r="Q90" s="111">
        <v>8477</v>
      </c>
      <c r="R90" s="134"/>
      <c r="S90" s="111">
        <f t="shared" si="20"/>
        <v>203</v>
      </c>
      <c r="T90" s="115">
        <v>13.2</v>
      </c>
      <c r="U90" s="144">
        <v>77.298000000000002</v>
      </c>
      <c r="V90" s="135">
        <v>100.22199999999999</v>
      </c>
      <c r="W90" s="113">
        <f t="shared" si="17"/>
        <v>1888.9800000000002</v>
      </c>
      <c r="X90" s="135">
        <v>0</v>
      </c>
      <c r="Y90" s="135">
        <v>0</v>
      </c>
      <c r="Z90" s="116">
        <v>238</v>
      </c>
      <c r="AA90" s="135">
        <v>100.22199999999999</v>
      </c>
      <c r="AB90" s="113">
        <f t="shared" si="18"/>
        <v>338.22199999999998</v>
      </c>
      <c r="AC90" s="111">
        <v>0</v>
      </c>
      <c r="AD90" s="111">
        <v>0</v>
      </c>
      <c r="AE90" s="112">
        <v>0</v>
      </c>
      <c r="AF90" s="117">
        <v>0</v>
      </c>
      <c r="AG90" s="111">
        <v>245</v>
      </c>
      <c r="AH90" s="112">
        <v>0</v>
      </c>
      <c r="AI90" s="112">
        <v>64.796000000000006</v>
      </c>
      <c r="AJ90" s="113">
        <f t="shared" si="19"/>
        <v>309.79599999999999</v>
      </c>
      <c r="AK90" s="112">
        <f t="shared" si="24"/>
        <v>96764.048999999999</v>
      </c>
      <c r="AL90" s="112">
        <f t="shared" si="24"/>
        <v>73726.812999999995</v>
      </c>
      <c r="AM90" s="112">
        <f t="shared" si="24"/>
        <v>23037.236000000001</v>
      </c>
      <c r="AN90" s="112">
        <f t="shared" si="24"/>
        <v>2156.5149999999999</v>
      </c>
      <c r="AO90" s="192">
        <f t="shared" si="21"/>
        <v>0.76192360449902219</v>
      </c>
      <c r="AP90" s="193">
        <f t="shared" si="22"/>
        <v>4045.4949999999999</v>
      </c>
      <c r="AQ90" s="193">
        <f t="shared" si="23"/>
        <v>-3879.5949999999998</v>
      </c>
      <c r="AR90" s="118"/>
      <c r="AS90" s="119"/>
      <c r="AT90" s="119"/>
      <c r="AU90" s="120"/>
      <c r="AV90" s="161"/>
      <c r="AW90" s="112">
        <v>96764049</v>
      </c>
      <c r="AX90" s="162">
        <v>73726813</v>
      </c>
      <c r="AY90" s="162">
        <v>23037236</v>
      </c>
      <c r="AZ90" s="162">
        <v>2156515</v>
      </c>
      <c r="BA90" s="196">
        <f t="shared" si="26"/>
        <v>0.76192360449902219</v>
      </c>
      <c r="BB90" s="210">
        <v>16231</v>
      </c>
      <c r="BC90" s="115">
        <v>0</v>
      </c>
      <c r="BD90" s="236">
        <v>0</v>
      </c>
    </row>
    <row r="91" spans="1:56" s="121" customFormat="1" ht="14.25" customHeight="1">
      <c r="A91" s="104" t="s">
        <v>2577</v>
      </c>
      <c r="B91" s="105" t="s">
        <v>624</v>
      </c>
      <c r="C91" s="106" t="s">
        <v>619</v>
      </c>
      <c r="D91" s="106" t="s">
        <v>2415</v>
      </c>
      <c r="E91" s="71" t="s">
        <v>620</v>
      </c>
      <c r="F91" s="71" t="s">
        <v>78</v>
      </c>
      <c r="G91" s="68" t="s">
        <v>180</v>
      </c>
      <c r="H91" s="110"/>
      <c r="I91" s="134"/>
      <c r="J91" s="330">
        <v>113.35</v>
      </c>
      <c r="K91" s="113">
        <f t="shared" si="16"/>
        <v>113.35</v>
      </c>
      <c r="L91" s="111">
        <v>573.04300000000001</v>
      </c>
      <c r="M91" s="135">
        <v>23.457000000000001</v>
      </c>
      <c r="N91" s="115">
        <v>0</v>
      </c>
      <c r="O91" s="111">
        <v>63.8</v>
      </c>
      <c r="P91" s="136">
        <v>2.4E-2</v>
      </c>
      <c r="Q91" s="111">
        <v>8477</v>
      </c>
      <c r="R91" s="134"/>
      <c r="S91" s="111">
        <f t="shared" si="20"/>
        <v>203</v>
      </c>
      <c r="T91" s="115">
        <v>0</v>
      </c>
      <c r="U91" s="144">
        <v>28.768999999999998</v>
      </c>
      <c r="V91" s="135">
        <v>100.22199999999999</v>
      </c>
      <c r="W91" s="113">
        <f t="shared" si="17"/>
        <v>992.29099999999994</v>
      </c>
      <c r="X91" s="135">
        <v>0</v>
      </c>
      <c r="Y91" s="135">
        <v>0</v>
      </c>
      <c r="Z91" s="116">
        <v>382</v>
      </c>
      <c r="AA91" s="135">
        <v>100.22199999999999</v>
      </c>
      <c r="AB91" s="113">
        <f t="shared" si="18"/>
        <v>482.22199999999998</v>
      </c>
      <c r="AC91" s="111">
        <v>0</v>
      </c>
      <c r="AD91" s="111">
        <v>124.45399999999999</v>
      </c>
      <c r="AE91" s="112">
        <v>0</v>
      </c>
      <c r="AF91" s="117">
        <v>0</v>
      </c>
      <c r="AG91" s="111">
        <v>180</v>
      </c>
      <c r="AH91" s="112">
        <v>0</v>
      </c>
      <c r="AI91" s="112">
        <v>202.41900000000001</v>
      </c>
      <c r="AJ91" s="113">
        <f t="shared" si="19"/>
        <v>506.87300000000005</v>
      </c>
      <c r="AK91" s="112">
        <f t="shared" si="24"/>
        <v>95520.823999999993</v>
      </c>
      <c r="AL91" s="112">
        <f t="shared" si="24"/>
        <v>85041.634999999995</v>
      </c>
      <c r="AM91" s="112">
        <f t="shared" si="24"/>
        <v>10479.189</v>
      </c>
      <c r="AN91" s="112">
        <f t="shared" si="24"/>
        <v>397.22800000000001</v>
      </c>
      <c r="AO91" s="192">
        <f t="shared" si="21"/>
        <v>0.89029419386080677</v>
      </c>
      <c r="AP91" s="193">
        <f t="shared" si="22"/>
        <v>1389.519</v>
      </c>
      <c r="AQ91" s="193">
        <f t="shared" si="23"/>
        <v>-1276.1690000000001</v>
      </c>
      <c r="AR91" s="118"/>
      <c r="AS91" s="119"/>
      <c r="AT91" s="119"/>
      <c r="AU91" s="120"/>
      <c r="AV91" s="161"/>
      <c r="AW91" s="112">
        <v>95520824</v>
      </c>
      <c r="AX91" s="162">
        <v>85041635</v>
      </c>
      <c r="AY91" s="162">
        <v>10479189</v>
      </c>
      <c r="AZ91" s="162">
        <v>397228</v>
      </c>
      <c r="BA91" s="196">
        <f t="shared" si="26"/>
        <v>0.89029419386080677</v>
      </c>
      <c r="BB91" s="210">
        <v>0</v>
      </c>
      <c r="BC91" s="115">
        <v>0</v>
      </c>
      <c r="BD91" s="236">
        <v>0</v>
      </c>
    </row>
    <row r="92" spans="1:56" s="121" customFormat="1" ht="14.25" customHeight="1">
      <c r="A92" s="104" t="s">
        <v>2577</v>
      </c>
      <c r="B92" s="105" t="s">
        <v>627</v>
      </c>
      <c r="C92" s="106" t="s">
        <v>622</v>
      </c>
      <c r="D92" s="106" t="s">
        <v>2415</v>
      </c>
      <c r="E92" s="71" t="s">
        <v>623</v>
      </c>
      <c r="F92" s="71" t="s">
        <v>78</v>
      </c>
      <c r="G92" s="68" t="s">
        <v>180</v>
      </c>
      <c r="H92" s="110"/>
      <c r="I92" s="134"/>
      <c r="J92" s="330">
        <v>77.400000000000006</v>
      </c>
      <c r="K92" s="113">
        <f t="shared" si="16"/>
        <v>77.400000000000006</v>
      </c>
      <c r="L92" s="111">
        <v>183.608</v>
      </c>
      <c r="M92" s="135">
        <v>23.456</v>
      </c>
      <c r="N92" s="115">
        <v>0</v>
      </c>
      <c r="O92" s="111">
        <v>0</v>
      </c>
      <c r="P92" s="136">
        <v>2.4E-2</v>
      </c>
      <c r="Q92" s="111">
        <v>8477</v>
      </c>
      <c r="R92" s="134"/>
      <c r="S92" s="111">
        <f t="shared" si="20"/>
        <v>203</v>
      </c>
      <c r="T92" s="115">
        <v>0</v>
      </c>
      <c r="U92" s="144">
        <v>28.768999999999998</v>
      </c>
      <c r="V92" s="135">
        <v>100.22199999999999</v>
      </c>
      <c r="W92" s="113">
        <f t="shared" si="17"/>
        <v>539.05499999999995</v>
      </c>
      <c r="X92" s="135">
        <v>0</v>
      </c>
      <c r="Y92" s="135">
        <v>0</v>
      </c>
      <c r="Z92" s="135">
        <v>85</v>
      </c>
      <c r="AA92" s="135">
        <v>100.22199999999999</v>
      </c>
      <c r="AB92" s="113">
        <f t="shared" si="18"/>
        <v>185.22199999999998</v>
      </c>
      <c r="AC92" s="111">
        <v>0</v>
      </c>
      <c r="AD92" s="111">
        <v>0</v>
      </c>
      <c r="AE92" s="112">
        <v>0</v>
      </c>
      <c r="AF92" s="117">
        <v>0</v>
      </c>
      <c r="AG92" s="111">
        <v>0</v>
      </c>
      <c r="AH92" s="112">
        <v>0</v>
      </c>
      <c r="AI92" s="112">
        <v>392.62299999999999</v>
      </c>
      <c r="AJ92" s="113">
        <f t="shared" si="19"/>
        <v>392.62299999999999</v>
      </c>
      <c r="AK92" s="112">
        <f t="shared" si="24"/>
        <v>34460</v>
      </c>
      <c r="AL92" s="112">
        <f t="shared" si="24"/>
        <v>32806.249000000003</v>
      </c>
      <c r="AM92" s="112">
        <f t="shared" si="24"/>
        <v>1653.751</v>
      </c>
      <c r="AN92" s="112">
        <f t="shared" si="24"/>
        <v>80.849999999999994</v>
      </c>
      <c r="AO92" s="192">
        <f t="shared" si="21"/>
        <v>0.95200954730121878</v>
      </c>
      <c r="AP92" s="193">
        <f t="shared" si="22"/>
        <v>619.90499999999997</v>
      </c>
      <c r="AQ92" s="193">
        <f t="shared" si="23"/>
        <v>-542.505</v>
      </c>
      <c r="AR92" s="118"/>
      <c r="AS92" s="119"/>
      <c r="AT92" s="119"/>
      <c r="AU92" s="120"/>
      <c r="AV92" s="161"/>
      <c r="AW92" s="112">
        <v>34460000</v>
      </c>
      <c r="AX92" s="162">
        <v>32806249</v>
      </c>
      <c r="AY92" s="162">
        <v>1653751</v>
      </c>
      <c r="AZ92" s="162">
        <v>80850</v>
      </c>
      <c r="BA92" s="196">
        <f t="shared" si="26"/>
        <v>0.95200954730121878</v>
      </c>
      <c r="BB92" s="210">
        <v>0</v>
      </c>
      <c r="BC92" s="115">
        <v>0</v>
      </c>
      <c r="BD92" s="236">
        <v>0</v>
      </c>
    </row>
    <row r="93" spans="1:56" s="121" customFormat="1" ht="14.25" customHeight="1">
      <c r="A93" s="104" t="s">
        <v>2577</v>
      </c>
      <c r="B93" s="105" t="s">
        <v>634</v>
      </c>
      <c r="C93" s="106" t="s">
        <v>625</v>
      </c>
      <c r="D93" s="106" t="s">
        <v>2415</v>
      </c>
      <c r="E93" s="71" t="s">
        <v>626</v>
      </c>
      <c r="F93" s="71" t="s">
        <v>78</v>
      </c>
      <c r="G93" s="68" t="s">
        <v>180</v>
      </c>
      <c r="H93" s="110"/>
      <c r="I93" s="134"/>
      <c r="J93" s="330">
        <v>87.6</v>
      </c>
      <c r="K93" s="113">
        <f t="shared" si="16"/>
        <v>87.6</v>
      </c>
      <c r="L93" s="111">
        <v>337.55399999999997</v>
      </c>
      <c r="M93" s="135">
        <v>23.456</v>
      </c>
      <c r="N93" s="115">
        <v>0</v>
      </c>
      <c r="O93" s="111">
        <v>0</v>
      </c>
      <c r="P93" s="136">
        <v>2.4E-2</v>
      </c>
      <c r="Q93" s="111">
        <v>8477</v>
      </c>
      <c r="R93" s="134"/>
      <c r="S93" s="111">
        <f t="shared" si="20"/>
        <v>203</v>
      </c>
      <c r="T93" s="115">
        <v>0</v>
      </c>
      <c r="U93" s="144">
        <v>28.768999999999998</v>
      </c>
      <c r="V93" s="135">
        <v>100.22199999999999</v>
      </c>
      <c r="W93" s="113">
        <f t="shared" si="17"/>
        <v>693.00099999999998</v>
      </c>
      <c r="X93" s="135">
        <v>0</v>
      </c>
      <c r="Y93" s="135">
        <v>0</v>
      </c>
      <c r="Z93" s="135">
        <v>85</v>
      </c>
      <c r="AA93" s="135">
        <v>100.22199999999999</v>
      </c>
      <c r="AB93" s="113">
        <f t="shared" si="18"/>
        <v>185.22199999999998</v>
      </c>
      <c r="AC93" s="111">
        <v>0</v>
      </c>
      <c r="AD93" s="111">
        <v>57.277999999999999</v>
      </c>
      <c r="AE93" s="112">
        <v>0</v>
      </c>
      <c r="AF93" s="117">
        <v>0</v>
      </c>
      <c r="AG93" s="111">
        <v>58</v>
      </c>
      <c r="AH93" s="112">
        <v>0</v>
      </c>
      <c r="AI93" s="112">
        <v>346.47500000000002</v>
      </c>
      <c r="AJ93" s="113">
        <f t="shared" si="19"/>
        <v>461.75300000000004</v>
      </c>
      <c r="AK93" s="112">
        <f t="shared" si="24"/>
        <v>31621.5</v>
      </c>
      <c r="AL93" s="112">
        <f t="shared" si="24"/>
        <v>28242.39</v>
      </c>
      <c r="AM93" s="112">
        <f t="shared" si="24"/>
        <v>3379.11</v>
      </c>
      <c r="AN93" s="112">
        <f t="shared" si="24"/>
        <v>731.97299999999996</v>
      </c>
      <c r="AO93" s="192">
        <f t="shared" si="21"/>
        <v>0.89313884540581567</v>
      </c>
      <c r="AP93" s="193">
        <f t="shared" si="22"/>
        <v>1424.9739999999999</v>
      </c>
      <c r="AQ93" s="193">
        <f t="shared" si="23"/>
        <v>-1337.374</v>
      </c>
      <c r="AR93" s="118"/>
      <c r="AS93" s="119"/>
      <c r="AT93" s="119"/>
      <c r="AU93" s="120"/>
      <c r="AV93" s="161"/>
      <c r="AW93" s="112">
        <v>31621500</v>
      </c>
      <c r="AX93" s="162">
        <v>28242390</v>
      </c>
      <c r="AY93" s="162">
        <v>3379110</v>
      </c>
      <c r="AZ93" s="162">
        <v>731973</v>
      </c>
      <c r="BA93" s="196">
        <f t="shared" si="26"/>
        <v>0.89313884540581567</v>
      </c>
      <c r="BB93" s="210">
        <v>0</v>
      </c>
      <c r="BC93" s="115">
        <v>0</v>
      </c>
      <c r="BD93" s="236">
        <v>0</v>
      </c>
    </row>
    <row r="94" spans="1:56" s="121" customFormat="1" ht="14.25" customHeight="1">
      <c r="A94" s="104" t="s">
        <v>2577</v>
      </c>
      <c r="B94" s="105" t="s">
        <v>639</v>
      </c>
      <c r="C94" s="106" t="s">
        <v>628</v>
      </c>
      <c r="D94" s="106" t="s">
        <v>2415</v>
      </c>
      <c r="E94" s="71" t="s">
        <v>629</v>
      </c>
      <c r="F94" s="71" t="s">
        <v>78</v>
      </c>
      <c r="G94" s="68" t="s">
        <v>180</v>
      </c>
      <c r="H94" s="110"/>
      <c r="I94" s="134"/>
      <c r="J94" s="330">
        <v>0</v>
      </c>
      <c r="K94" s="113">
        <f t="shared" si="16"/>
        <v>0</v>
      </c>
      <c r="L94" s="111">
        <v>287.375</v>
      </c>
      <c r="M94" s="135">
        <v>23.456</v>
      </c>
      <c r="N94" s="115">
        <v>0</v>
      </c>
      <c r="O94" s="111">
        <v>130.35</v>
      </c>
      <c r="P94" s="136">
        <v>2.4E-2</v>
      </c>
      <c r="Q94" s="111">
        <v>8477</v>
      </c>
      <c r="R94" s="134"/>
      <c r="S94" s="111">
        <f t="shared" si="20"/>
        <v>203</v>
      </c>
      <c r="T94" s="115">
        <v>13.2</v>
      </c>
      <c r="U94" s="144">
        <v>77.299000000000007</v>
      </c>
      <c r="V94" s="135">
        <v>100.22199999999999</v>
      </c>
      <c r="W94" s="113">
        <f t="shared" si="17"/>
        <v>834.90200000000004</v>
      </c>
      <c r="X94" s="135">
        <v>0</v>
      </c>
      <c r="Y94" s="135">
        <v>0</v>
      </c>
      <c r="Z94" s="116">
        <v>0</v>
      </c>
      <c r="AA94" s="135">
        <v>100.22199999999999</v>
      </c>
      <c r="AB94" s="113">
        <f t="shared" si="18"/>
        <v>100.22199999999999</v>
      </c>
      <c r="AC94" s="111">
        <v>0</v>
      </c>
      <c r="AD94" s="111">
        <v>50</v>
      </c>
      <c r="AE94" s="112">
        <v>0</v>
      </c>
      <c r="AF94" s="117">
        <v>0</v>
      </c>
      <c r="AG94" s="111">
        <v>30</v>
      </c>
      <c r="AH94" s="112">
        <v>0</v>
      </c>
      <c r="AI94" s="112">
        <v>20.222000000000001</v>
      </c>
      <c r="AJ94" s="113">
        <f t="shared" si="19"/>
        <v>100.22200000000001</v>
      </c>
      <c r="AK94" s="112">
        <f t="shared" si="24"/>
        <v>35807</v>
      </c>
      <c r="AL94" s="112">
        <f t="shared" si="24"/>
        <v>32945.89</v>
      </c>
      <c r="AM94" s="112">
        <f t="shared" si="24"/>
        <v>2861.11</v>
      </c>
      <c r="AN94" s="112">
        <f t="shared" si="24"/>
        <v>164.24100000000001</v>
      </c>
      <c r="AO94" s="192">
        <f t="shared" si="21"/>
        <v>0.92009634987572264</v>
      </c>
      <c r="AP94" s="193">
        <f t="shared" si="22"/>
        <v>999.14300000000003</v>
      </c>
      <c r="AQ94" s="193">
        <f t="shared" si="23"/>
        <v>-999.14300000000003</v>
      </c>
      <c r="AR94" s="118"/>
      <c r="AS94" s="119"/>
      <c r="AT94" s="119"/>
      <c r="AU94" s="120"/>
      <c r="AV94" s="161"/>
      <c r="AW94" s="112">
        <v>35807000</v>
      </c>
      <c r="AX94" s="162">
        <v>32945890</v>
      </c>
      <c r="AY94" s="162">
        <v>2861110</v>
      </c>
      <c r="AZ94" s="162">
        <v>164241</v>
      </c>
      <c r="BA94" s="196">
        <f t="shared" si="26"/>
        <v>0.92009634987572264</v>
      </c>
      <c r="BB94" s="210">
        <v>5266</v>
      </c>
      <c r="BC94" s="115">
        <v>0</v>
      </c>
      <c r="BD94" s="236">
        <v>0</v>
      </c>
    </row>
    <row r="95" spans="1:56" s="121" customFormat="1" ht="14.25" customHeight="1">
      <c r="A95" s="104" t="s">
        <v>2577</v>
      </c>
      <c r="B95" s="105" t="s">
        <v>645</v>
      </c>
      <c r="C95" s="106" t="s">
        <v>635</v>
      </c>
      <c r="D95" s="106" t="s">
        <v>2415</v>
      </c>
      <c r="E95" s="71" t="s">
        <v>636</v>
      </c>
      <c r="F95" s="71" t="s">
        <v>78</v>
      </c>
      <c r="G95" s="68" t="s">
        <v>180</v>
      </c>
      <c r="H95" s="110"/>
      <c r="I95" s="134"/>
      <c r="J95" s="330">
        <v>2.1</v>
      </c>
      <c r="K95" s="113">
        <f t="shared" si="16"/>
        <v>2.1</v>
      </c>
      <c r="L95" s="111">
        <v>839.93200000000002</v>
      </c>
      <c r="M95" s="135">
        <v>23.456</v>
      </c>
      <c r="N95" s="115">
        <v>0</v>
      </c>
      <c r="O95" s="111">
        <v>390.79700000000003</v>
      </c>
      <c r="P95" s="136">
        <v>2.4E-2</v>
      </c>
      <c r="Q95" s="111">
        <v>8477</v>
      </c>
      <c r="R95" s="134"/>
      <c r="S95" s="111">
        <f t="shared" si="20"/>
        <v>203</v>
      </c>
      <c r="T95" s="115">
        <v>13.2</v>
      </c>
      <c r="U95" s="144">
        <v>77.299000000000007</v>
      </c>
      <c r="V95" s="135">
        <v>100.22199999999999</v>
      </c>
      <c r="W95" s="113">
        <f t="shared" si="17"/>
        <v>1647.9059999999999</v>
      </c>
      <c r="X95" s="135">
        <v>0</v>
      </c>
      <c r="Y95" s="135">
        <v>0</v>
      </c>
      <c r="Z95" s="116">
        <v>375</v>
      </c>
      <c r="AA95" s="135">
        <v>100.22199999999999</v>
      </c>
      <c r="AB95" s="113">
        <f t="shared" si="18"/>
        <v>475.22199999999998</v>
      </c>
      <c r="AC95" s="111">
        <v>0</v>
      </c>
      <c r="AD95" s="111">
        <v>0</v>
      </c>
      <c r="AE95" s="112">
        <v>0</v>
      </c>
      <c r="AF95" s="117">
        <v>0</v>
      </c>
      <c r="AG95" s="111">
        <v>200</v>
      </c>
      <c r="AH95" s="112">
        <v>0</v>
      </c>
      <c r="AI95" s="112">
        <v>290.91399999999999</v>
      </c>
      <c r="AJ95" s="113">
        <f t="shared" si="19"/>
        <v>490.91399999999999</v>
      </c>
      <c r="AK95" s="112">
        <f t="shared" si="24"/>
        <v>118378.95</v>
      </c>
      <c r="AL95" s="112">
        <f t="shared" si="24"/>
        <v>97532.025999999998</v>
      </c>
      <c r="AM95" s="112">
        <f t="shared" si="24"/>
        <v>20846.923999999999</v>
      </c>
      <c r="AN95" s="112">
        <f t="shared" si="24"/>
        <v>665.58600000000001</v>
      </c>
      <c r="AO95" s="192">
        <f t="shared" si="21"/>
        <v>0.82389669785042019</v>
      </c>
      <c r="AP95" s="193">
        <f t="shared" si="22"/>
        <v>2313.4920000000002</v>
      </c>
      <c r="AQ95" s="193">
        <f t="shared" si="23"/>
        <v>-2311.3920000000003</v>
      </c>
      <c r="AR95" s="118"/>
      <c r="AS95" s="119"/>
      <c r="AT95" s="119"/>
      <c r="AU95" s="120"/>
      <c r="AV95" s="161"/>
      <c r="AW95" s="112">
        <v>118378950</v>
      </c>
      <c r="AX95" s="162">
        <v>97532026</v>
      </c>
      <c r="AY95" s="162">
        <v>20846924</v>
      </c>
      <c r="AZ95" s="162">
        <v>665586</v>
      </c>
      <c r="BA95" s="196">
        <f t="shared" si="26"/>
        <v>0.82389669785042019</v>
      </c>
      <c r="BB95" s="210">
        <v>21044</v>
      </c>
      <c r="BC95" s="115">
        <v>0</v>
      </c>
      <c r="BD95" s="236">
        <v>0</v>
      </c>
    </row>
    <row r="96" spans="1:56" s="121" customFormat="1" ht="14.25" customHeight="1">
      <c r="A96" s="104" t="s">
        <v>2577</v>
      </c>
      <c r="B96" s="105" t="s">
        <v>652</v>
      </c>
      <c r="C96" s="106" t="s">
        <v>640</v>
      </c>
      <c r="D96" s="106" t="s">
        <v>2415</v>
      </c>
      <c r="E96" s="71" t="s">
        <v>641</v>
      </c>
      <c r="F96" s="71" t="s">
        <v>78</v>
      </c>
      <c r="G96" s="68" t="s">
        <v>180</v>
      </c>
      <c r="H96" s="110"/>
      <c r="I96" s="134"/>
      <c r="J96" s="330">
        <v>0</v>
      </c>
      <c r="K96" s="113">
        <f t="shared" si="16"/>
        <v>0</v>
      </c>
      <c r="L96" s="111">
        <v>262.69900000000001</v>
      </c>
      <c r="M96" s="135">
        <v>23.456</v>
      </c>
      <c r="N96" s="115">
        <v>0</v>
      </c>
      <c r="O96" s="111">
        <v>251.9</v>
      </c>
      <c r="P96" s="136">
        <v>2.4E-2</v>
      </c>
      <c r="Q96" s="111">
        <v>8477</v>
      </c>
      <c r="R96" s="134"/>
      <c r="S96" s="111">
        <f t="shared" si="20"/>
        <v>203</v>
      </c>
      <c r="T96" s="115">
        <v>13.2</v>
      </c>
      <c r="U96" s="144">
        <v>77.298000000000002</v>
      </c>
      <c r="V96" s="135">
        <v>100.22199999999999</v>
      </c>
      <c r="W96" s="113">
        <f t="shared" si="17"/>
        <v>931.77500000000009</v>
      </c>
      <c r="X96" s="135">
        <v>0</v>
      </c>
      <c r="Y96" s="135">
        <v>0</v>
      </c>
      <c r="Z96" s="135">
        <v>52</v>
      </c>
      <c r="AA96" s="135">
        <v>100.22199999999999</v>
      </c>
      <c r="AB96" s="113">
        <f t="shared" si="18"/>
        <v>152.22199999999998</v>
      </c>
      <c r="AC96" s="111">
        <v>0</v>
      </c>
      <c r="AD96" s="111">
        <v>0</v>
      </c>
      <c r="AE96" s="112">
        <v>0</v>
      </c>
      <c r="AF96" s="117">
        <v>0</v>
      </c>
      <c r="AG96" s="111">
        <v>108</v>
      </c>
      <c r="AH96" s="112">
        <v>0</v>
      </c>
      <c r="AI96" s="112">
        <v>10.949</v>
      </c>
      <c r="AJ96" s="113">
        <f t="shared" si="19"/>
        <v>118.949</v>
      </c>
      <c r="AK96" s="112">
        <f t="shared" si="24"/>
        <v>35518</v>
      </c>
      <c r="AL96" s="112">
        <f t="shared" si="24"/>
        <v>29188.786</v>
      </c>
      <c r="AM96" s="112">
        <f t="shared" si="24"/>
        <v>6329.2139999999999</v>
      </c>
      <c r="AN96" s="112">
        <f t="shared" si="24"/>
        <v>825.56100000000004</v>
      </c>
      <c r="AO96" s="192">
        <f t="shared" si="21"/>
        <v>0.82180263528351827</v>
      </c>
      <c r="AP96" s="193">
        <f t="shared" si="22"/>
        <v>1757.3360000000002</v>
      </c>
      <c r="AQ96" s="193">
        <f t="shared" si="23"/>
        <v>-1757.3360000000002</v>
      </c>
      <c r="AR96" s="118"/>
      <c r="AS96" s="119"/>
      <c r="AT96" s="119"/>
      <c r="AU96" s="120"/>
      <c r="AV96" s="161"/>
      <c r="AW96" s="112">
        <v>35518000</v>
      </c>
      <c r="AX96" s="162">
        <v>29188786</v>
      </c>
      <c r="AY96" s="162">
        <v>6329214</v>
      </c>
      <c r="AZ96" s="162">
        <v>825561</v>
      </c>
      <c r="BA96" s="196">
        <f t="shared" si="26"/>
        <v>0.82180263528351827</v>
      </c>
      <c r="BB96" s="210">
        <v>2985</v>
      </c>
      <c r="BC96" s="115">
        <v>0</v>
      </c>
      <c r="BD96" s="236">
        <v>0</v>
      </c>
    </row>
    <row r="97" spans="1:56" s="121" customFormat="1" ht="14.25" customHeight="1">
      <c r="A97" s="104" t="s">
        <v>2577</v>
      </c>
      <c r="B97" s="105" t="s">
        <v>658</v>
      </c>
      <c r="C97" s="106" t="s">
        <v>646</v>
      </c>
      <c r="D97" s="106" t="s">
        <v>2415</v>
      </c>
      <c r="E97" s="71" t="s">
        <v>647</v>
      </c>
      <c r="F97" s="71" t="s">
        <v>78</v>
      </c>
      <c r="G97" s="68" t="s">
        <v>180</v>
      </c>
      <c r="H97" s="110"/>
      <c r="I97" s="134"/>
      <c r="J97" s="330">
        <v>50.2</v>
      </c>
      <c r="K97" s="113">
        <f t="shared" si="16"/>
        <v>50.2</v>
      </c>
      <c r="L97" s="111">
        <v>640.06799999999998</v>
      </c>
      <c r="M97" s="135">
        <v>110.905</v>
      </c>
      <c r="N97" s="115">
        <v>0</v>
      </c>
      <c r="O97" s="111">
        <v>479.6</v>
      </c>
      <c r="P97" s="136">
        <v>2.4E-2</v>
      </c>
      <c r="Q97" s="111">
        <v>8477</v>
      </c>
      <c r="R97" s="134"/>
      <c r="S97" s="111">
        <f t="shared" si="20"/>
        <v>203</v>
      </c>
      <c r="T97" s="115">
        <v>97.9</v>
      </c>
      <c r="U97" s="144">
        <v>77.298000000000002</v>
      </c>
      <c r="V97" s="135">
        <v>100.22199999999999</v>
      </c>
      <c r="W97" s="113">
        <f t="shared" si="17"/>
        <v>1708.9929999999999</v>
      </c>
      <c r="X97" s="135">
        <v>0</v>
      </c>
      <c r="Y97" s="135">
        <v>0</v>
      </c>
      <c r="Z97" s="135">
        <v>53</v>
      </c>
      <c r="AA97" s="135">
        <v>100.22199999999999</v>
      </c>
      <c r="AB97" s="113">
        <f t="shared" si="18"/>
        <v>153.22199999999998</v>
      </c>
      <c r="AC97" s="111">
        <v>0</v>
      </c>
      <c r="AD97" s="111">
        <v>10</v>
      </c>
      <c r="AE97" s="112">
        <v>0</v>
      </c>
      <c r="AF97" s="117">
        <v>0</v>
      </c>
      <c r="AG97" s="111">
        <v>100.22199999999999</v>
      </c>
      <c r="AH97" s="112">
        <v>0</v>
      </c>
      <c r="AI97" s="112">
        <v>21.946000000000002</v>
      </c>
      <c r="AJ97" s="113">
        <f t="shared" si="19"/>
        <v>132.16800000000001</v>
      </c>
      <c r="AK97" s="112">
        <f t="shared" si="24"/>
        <v>140811.723</v>
      </c>
      <c r="AL97" s="112">
        <f t="shared" si="24"/>
        <v>98087.808999999994</v>
      </c>
      <c r="AM97" s="112">
        <f t="shared" si="24"/>
        <v>42723.913999999997</v>
      </c>
      <c r="AN97" s="112">
        <f t="shared" si="24"/>
        <v>4333.6540000000005</v>
      </c>
      <c r="AO97" s="192">
        <f t="shared" si="21"/>
        <v>0.6965883728302934</v>
      </c>
      <c r="AP97" s="193">
        <f t="shared" si="22"/>
        <v>6042.6470000000008</v>
      </c>
      <c r="AQ97" s="193">
        <f t="shared" si="23"/>
        <v>-5992.447000000001</v>
      </c>
      <c r="AR97" s="118"/>
      <c r="AS97" s="119"/>
      <c r="AT97" s="119"/>
      <c r="AU97" s="120"/>
      <c r="AV97" s="161"/>
      <c r="AW97" s="112">
        <v>140811723</v>
      </c>
      <c r="AX97" s="162">
        <v>98087809</v>
      </c>
      <c r="AY97" s="162">
        <v>42723914</v>
      </c>
      <c r="AZ97" s="162">
        <v>4333654</v>
      </c>
      <c r="BA97" s="196">
        <f t="shared" si="26"/>
        <v>0.6965883728302934</v>
      </c>
      <c r="BB97" s="210">
        <v>12945</v>
      </c>
      <c r="BC97" s="115">
        <v>0</v>
      </c>
      <c r="BD97" s="236">
        <v>0</v>
      </c>
    </row>
    <row r="98" spans="1:56" s="121" customFormat="1" ht="14.25" customHeight="1">
      <c r="A98" s="104" t="s">
        <v>2577</v>
      </c>
      <c r="B98" s="105" t="s">
        <v>666</v>
      </c>
      <c r="C98" s="106" t="s">
        <v>653</v>
      </c>
      <c r="D98" s="106" t="s">
        <v>2415</v>
      </c>
      <c r="E98" s="71" t="s">
        <v>654</v>
      </c>
      <c r="F98" s="71" t="s">
        <v>78</v>
      </c>
      <c r="G98" s="68" t="s">
        <v>180</v>
      </c>
      <c r="H98" s="110"/>
      <c r="I98" s="134"/>
      <c r="J98" s="330">
        <v>20.399999999999999</v>
      </c>
      <c r="K98" s="113">
        <f t="shared" si="16"/>
        <v>20.399999999999999</v>
      </c>
      <c r="L98" s="111">
        <v>287.86700000000002</v>
      </c>
      <c r="M98" s="135">
        <v>23.456</v>
      </c>
      <c r="N98" s="115">
        <v>0</v>
      </c>
      <c r="O98" s="111">
        <v>287.387</v>
      </c>
      <c r="P98" s="136">
        <v>2.4E-2</v>
      </c>
      <c r="Q98" s="111">
        <v>8477</v>
      </c>
      <c r="R98" s="134"/>
      <c r="S98" s="111">
        <f t="shared" si="20"/>
        <v>203</v>
      </c>
      <c r="T98" s="115">
        <v>13.2</v>
      </c>
      <c r="U98" s="144">
        <v>77.298000000000002</v>
      </c>
      <c r="V98" s="135">
        <v>100.22199999999999</v>
      </c>
      <c r="W98" s="113">
        <f t="shared" si="17"/>
        <v>992.43000000000006</v>
      </c>
      <c r="X98" s="135">
        <v>0</v>
      </c>
      <c r="Y98" s="135">
        <v>0</v>
      </c>
      <c r="Z98" s="135">
        <v>25</v>
      </c>
      <c r="AA98" s="135">
        <v>100.22199999999999</v>
      </c>
      <c r="AB98" s="113">
        <f t="shared" si="18"/>
        <v>125.22199999999999</v>
      </c>
      <c r="AC98" s="111">
        <v>0</v>
      </c>
      <c r="AD98" s="111">
        <v>0</v>
      </c>
      <c r="AE98" s="112">
        <v>0</v>
      </c>
      <c r="AF98" s="117">
        <v>0</v>
      </c>
      <c r="AG98" s="111">
        <v>76</v>
      </c>
      <c r="AH98" s="112">
        <v>0</v>
      </c>
      <c r="AI98" s="112">
        <v>21.088999999999999</v>
      </c>
      <c r="AJ98" s="113">
        <f t="shared" si="19"/>
        <v>97.088999999999999</v>
      </c>
      <c r="AK98" s="112">
        <f t="shared" si="24"/>
        <v>74721.2</v>
      </c>
      <c r="AL98" s="112">
        <f t="shared" si="24"/>
        <v>45976.258000000002</v>
      </c>
      <c r="AM98" s="112">
        <f t="shared" si="24"/>
        <v>28744.941999999999</v>
      </c>
      <c r="AN98" s="112">
        <f t="shared" si="24"/>
        <v>1844.6780000000001</v>
      </c>
      <c r="AO98" s="192">
        <f t="shared" si="21"/>
        <v>0.61530406363923495</v>
      </c>
      <c r="AP98" s="193">
        <f t="shared" si="22"/>
        <v>2837.1080000000002</v>
      </c>
      <c r="AQ98" s="193">
        <f t="shared" si="23"/>
        <v>-2816.7080000000001</v>
      </c>
      <c r="AR98" s="118"/>
      <c r="AS98" s="119"/>
      <c r="AT98" s="119"/>
      <c r="AU98" s="120"/>
      <c r="AV98" s="161"/>
      <c r="AW98" s="112">
        <v>74721200</v>
      </c>
      <c r="AX98" s="162">
        <v>45976258</v>
      </c>
      <c r="AY98" s="162">
        <v>28744942</v>
      </c>
      <c r="AZ98" s="162">
        <v>1844678</v>
      </c>
      <c r="BA98" s="196">
        <f t="shared" si="26"/>
        <v>0.61530406363923495</v>
      </c>
      <c r="BB98" s="210">
        <v>6263</v>
      </c>
      <c r="BC98" s="115">
        <v>0</v>
      </c>
      <c r="BD98" s="236">
        <v>0</v>
      </c>
    </row>
    <row r="99" spans="1:56" s="121" customFormat="1" ht="14.25" customHeight="1">
      <c r="A99" s="104" t="s">
        <v>2577</v>
      </c>
      <c r="B99" s="105" t="s">
        <v>667</v>
      </c>
      <c r="C99" s="106" t="s">
        <v>659</v>
      </c>
      <c r="D99" s="106" t="s">
        <v>2415</v>
      </c>
      <c r="E99" s="71" t="s">
        <v>660</v>
      </c>
      <c r="F99" s="71" t="s">
        <v>78</v>
      </c>
      <c r="G99" s="68" t="s">
        <v>180</v>
      </c>
      <c r="H99" s="110"/>
      <c r="I99" s="134"/>
      <c r="J99" s="330">
        <v>0</v>
      </c>
      <c r="K99" s="113">
        <f t="shared" si="16"/>
        <v>0</v>
      </c>
      <c r="L99" s="111">
        <v>765.96900000000005</v>
      </c>
      <c r="M99" s="135">
        <v>23.456</v>
      </c>
      <c r="N99" s="115">
        <v>0</v>
      </c>
      <c r="O99" s="111">
        <v>612.70000000000005</v>
      </c>
      <c r="P99" s="136">
        <v>2.4E-2</v>
      </c>
      <c r="Q99" s="111">
        <v>8477</v>
      </c>
      <c r="R99" s="134"/>
      <c r="S99" s="111">
        <f t="shared" si="20"/>
        <v>203</v>
      </c>
      <c r="T99" s="115">
        <v>13.2</v>
      </c>
      <c r="U99" s="144">
        <v>79.299000000000007</v>
      </c>
      <c r="V99" s="135">
        <v>100.22199999999999</v>
      </c>
      <c r="W99" s="113">
        <f t="shared" si="17"/>
        <v>1797.846</v>
      </c>
      <c r="X99" s="135">
        <v>0</v>
      </c>
      <c r="Y99" s="135">
        <v>0</v>
      </c>
      <c r="Z99" s="135">
        <v>0</v>
      </c>
      <c r="AA99" s="135">
        <v>100.22199999999999</v>
      </c>
      <c r="AB99" s="113">
        <f t="shared" si="18"/>
        <v>100.22199999999999</v>
      </c>
      <c r="AC99" s="111">
        <v>0</v>
      </c>
      <c r="AD99" s="111">
        <v>90</v>
      </c>
      <c r="AE99" s="112">
        <v>0</v>
      </c>
      <c r="AF99" s="117">
        <v>0</v>
      </c>
      <c r="AG99" s="111">
        <v>0</v>
      </c>
      <c r="AH99" s="112">
        <v>0</v>
      </c>
      <c r="AI99" s="112">
        <v>7.7439999999999998</v>
      </c>
      <c r="AJ99" s="113">
        <f t="shared" si="19"/>
        <v>97.744</v>
      </c>
      <c r="AK99" s="112">
        <f t="shared" si="24"/>
        <v>104049.75</v>
      </c>
      <c r="AL99" s="112">
        <f t="shared" si="24"/>
        <v>101020.372</v>
      </c>
      <c r="AM99" s="112">
        <f t="shared" si="24"/>
        <v>3029.3780000000002</v>
      </c>
      <c r="AN99" s="112">
        <f t="shared" si="24"/>
        <v>90.552000000000007</v>
      </c>
      <c r="AO99" s="192">
        <f t="shared" si="21"/>
        <v>0.97088529285269787</v>
      </c>
      <c r="AP99" s="193">
        <f t="shared" si="22"/>
        <v>1888.3979999999999</v>
      </c>
      <c r="AQ99" s="193">
        <f t="shared" si="23"/>
        <v>-1888.3979999999999</v>
      </c>
      <c r="AR99" s="118"/>
      <c r="AS99" s="119"/>
      <c r="AT99" s="119"/>
      <c r="AU99" s="120"/>
      <c r="AV99" s="161"/>
      <c r="AW99" s="112">
        <v>104049750</v>
      </c>
      <c r="AX99" s="162">
        <v>101020372</v>
      </c>
      <c r="AY99" s="162">
        <v>3029378</v>
      </c>
      <c r="AZ99" s="162">
        <v>90552</v>
      </c>
      <c r="BA99" s="196">
        <f t="shared" si="26"/>
        <v>0.97088529285269787</v>
      </c>
      <c r="BB99" s="210">
        <v>14882</v>
      </c>
      <c r="BC99" s="115">
        <v>0</v>
      </c>
      <c r="BD99" s="236">
        <v>0</v>
      </c>
    </row>
    <row r="100" spans="1:56" s="121" customFormat="1" ht="14.25" customHeight="1">
      <c r="A100" s="104" t="s">
        <v>2577</v>
      </c>
      <c r="B100" s="105" t="s">
        <v>672</v>
      </c>
      <c r="C100" s="106" t="s">
        <v>668</v>
      </c>
      <c r="D100" s="106" t="s">
        <v>2415</v>
      </c>
      <c r="E100" s="71" t="s">
        <v>669</v>
      </c>
      <c r="F100" s="71" t="s">
        <v>78</v>
      </c>
      <c r="G100" s="68" t="s">
        <v>180</v>
      </c>
      <c r="H100" s="110"/>
      <c r="I100" s="134"/>
      <c r="J100" s="330">
        <v>1.2</v>
      </c>
      <c r="K100" s="113">
        <f t="shared" si="16"/>
        <v>1.2</v>
      </c>
      <c r="L100" s="111">
        <v>159.755</v>
      </c>
      <c r="M100" s="135">
        <v>23.456</v>
      </c>
      <c r="N100" s="115">
        <v>0</v>
      </c>
      <c r="O100" s="111">
        <v>99</v>
      </c>
      <c r="P100" s="136">
        <v>2.4E-2</v>
      </c>
      <c r="Q100" s="111">
        <v>8477</v>
      </c>
      <c r="R100" s="134"/>
      <c r="S100" s="111">
        <f t="shared" si="20"/>
        <v>203</v>
      </c>
      <c r="T100" s="115">
        <v>147.4</v>
      </c>
      <c r="U100" s="144">
        <v>125.82899999999999</v>
      </c>
      <c r="V100" s="135">
        <v>100.22199999999999</v>
      </c>
      <c r="W100" s="113">
        <f t="shared" si="17"/>
        <v>858.66199999999992</v>
      </c>
      <c r="X100" s="135">
        <v>0</v>
      </c>
      <c r="Y100" s="135">
        <v>0</v>
      </c>
      <c r="Z100" s="135">
        <v>0</v>
      </c>
      <c r="AA100" s="135">
        <v>100.22199999999999</v>
      </c>
      <c r="AB100" s="113">
        <f t="shared" si="18"/>
        <v>100.22199999999999</v>
      </c>
      <c r="AC100" s="111">
        <v>0</v>
      </c>
      <c r="AD100" s="111">
        <v>0</v>
      </c>
      <c r="AE100" s="112">
        <v>0</v>
      </c>
      <c r="AF100" s="117">
        <v>0</v>
      </c>
      <c r="AG100" s="111">
        <v>72</v>
      </c>
      <c r="AH100" s="112">
        <v>0</v>
      </c>
      <c r="AI100" s="112">
        <v>18</v>
      </c>
      <c r="AJ100" s="113">
        <f t="shared" si="19"/>
        <v>90</v>
      </c>
      <c r="AK100" s="112">
        <f t="shared" si="24"/>
        <v>34737.129999999997</v>
      </c>
      <c r="AL100" s="112">
        <f t="shared" si="24"/>
        <v>22709.040000000001</v>
      </c>
      <c r="AM100" s="112">
        <f t="shared" si="24"/>
        <v>12028.09</v>
      </c>
      <c r="AN100" s="112">
        <f t="shared" si="24"/>
        <v>914.51099999999997</v>
      </c>
      <c r="AO100" s="192">
        <f t="shared" si="21"/>
        <v>0.65373967279392398</v>
      </c>
      <c r="AP100" s="193">
        <f t="shared" si="22"/>
        <v>1773.1729999999998</v>
      </c>
      <c r="AQ100" s="193">
        <f t="shared" si="23"/>
        <v>-1771.9729999999997</v>
      </c>
      <c r="AR100" s="118"/>
      <c r="AS100" s="119"/>
      <c r="AT100" s="119"/>
      <c r="AU100" s="120"/>
      <c r="AV100" s="161"/>
      <c r="AW100" s="112">
        <v>34737130</v>
      </c>
      <c r="AX100" s="162">
        <v>22709040</v>
      </c>
      <c r="AY100" s="162">
        <v>12028090</v>
      </c>
      <c r="AZ100" s="162">
        <v>914511</v>
      </c>
      <c r="BA100" s="196">
        <f t="shared" si="26"/>
        <v>0.65373967279392398</v>
      </c>
      <c r="BB100" s="210">
        <v>3720</v>
      </c>
      <c r="BC100" s="115">
        <v>0</v>
      </c>
      <c r="BD100" s="236">
        <v>0</v>
      </c>
    </row>
    <row r="101" spans="1:56" s="121" customFormat="1" ht="14.25" customHeight="1">
      <c r="A101" s="104" t="s">
        <v>2577</v>
      </c>
      <c r="B101" s="105" t="s">
        <v>676</v>
      </c>
      <c r="C101" s="106" t="s">
        <v>673</v>
      </c>
      <c r="D101" s="106" t="s">
        <v>2415</v>
      </c>
      <c r="E101" s="71" t="s">
        <v>674</v>
      </c>
      <c r="F101" s="71" t="s">
        <v>78</v>
      </c>
      <c r="G101" s="68" t="s">
        <v>180</v>
      </c>
      <c r="H101" s="110"/>
      <c r="I101" s="134"/>
      <c r="J101" s="330">
        <v>1.9</v>
      </c>
      <c r="K101" s="113">
        <f t="shared" si="16"/>
        <v>1.9</v>
      </c>
      <c r="L101" s="111">
        <v>182.215</v>
      </c>
      <c r="M101" s="135">
        <v>346.471</v>
      </c>
      <c r="N101" s="115">
        <v>0</v>
      </c>
      <c r="O101" s="111">
        <v>116.05</v>
      </c>
      <c r="P101" s="136">
        <v>2.4E-2</v>
      </c>
      <c r="Q101" s="111">
        <v>8477</v>
      </c>
      <c r="R101" s="134"/>
      <c r="S101" s="111">
        <f t="shared" si="20"/>
        <v>203</v>
      </c>
      <c r="T101" s="115">
        <v>13.2</v>
      </c>
      <c r="U101" s="144">
        <v>85.299000000000007</v>
      </c>
      <c r="V101" s="135">
        <v>100.22199999999999</v>
      </c>
      <c r="W101" s="113">
        <f t="shared" si="17"/>
        <v>1046.4570000000001</v>
      </c>
      <c r="X101" s="135">
        <v>0</v>
      </c>
      <c r="Y101" s="135">
        <v>0</v>
      </c>
      <c r="Z101" s="135">
        <v>1013</v>
      </c>
      <c r="AA101" s="135">
        <v>100.22199999999999</v>
      </c>
      <c r="AB101" s="113">
        <f t="shared" si="18"/>
        <v>1113.222</v>
      </c>
      <c r="AC101" s="111">
        <v>0</v>
      </c>
      <c r="AD101" s="111">
        <v>0</v>
      </c>
      <c r="AE101" s="112">
        <v>0</v>
      </c>
      <c r="AF101" s="117">
        <v>0</v>
      </c>
      <c r="AG101" s="111">
        <v>0</v>
      </c>
      <c r="AH101" s="112">
        <v>0</v>
      </c>
      <c r="AI101" s="112">
        <v>1085</v>
      </c>
      <c r="AJ101" s="113">
        <f t="shared" si="19"/>
        <v>1085</v>
      </c>
      <c r="AK101" s="112">
        <f t="shared" si="24"/>
        <v>42077.5</v>
      </c>
      <c r="AL101" s="112">
        <f t="shared" si="24"/>
        <v>34738.254999999997</v>
      </c>
      <c r="AM101" s="112">
        <f t="shared" si="24"/>
        <v>7339.2449999999999</v>
      </c>
      <c r="AN101" s="112">
        <f t="shared" si="24"/>
        <v>756.61300000000006</v>
      </c>
      <c r="AO101" s="192">
        <f t="shared" si="21"/>
        <v>0.82557792169211575</v>
      </c>
      <c r="AP101" s="193">
        <f t="shared" si="22"/>
        <v>1803.0700000000002</v>
      </c>
      <c r="AQ101" s="193">
        <f t="shared" si="23"/>
        <v>-1801.17</v>
      </c>
      <c r="AR101" s="118"/>
      <c r="AS101" s="119"/>
      <c r="AT101" s="119"/>
      <c r="AU101" s="120"/>
      <c r="AV101" s="161"/>
      <c r="AW101" s="112">
        <v>42077500</v>
      </c>
      <c r="AX101" s="162">
        <v>34738255</v>
      </c>
      <c r="AY101" s="162">
        <v>7339245</v>
      </c>
      <c r="AZ101" s="162">
        <v>756613</v>
      </c>
      <c r="BA101" s="196">
        <f t="shared" si="26"/>
        <v>0.82557792169211575</v>
      </c>
      <c r="BB101" s="210">
        <v>2368</v>
      </c>
      <c r="BC101" s="115">
        <v>0</v>
      </c>
      <c r="BD101" s="236">
        <v>0</v>
      </c>
    </row>
    <row r="102" spans="1:56" s="121" customFormat="1" ht="14.25" customHeight="1">
      <c r="A102" s="104" t="s">
        <v>2577</v>
      </c>
      <c r="B102" s="105" t="s">
        <v>111</v>
      </c>
      <c r="C102" s="106" t="s">
        <v>677</v>
      </c>
      <c r="D102" s="106" t="s">
        <v>2415</v>
      </c>
      <c r="E102" s="71" t="s">
        <v>678</v>
      </c>
      <c r="F102" s="71" t="s">
        <v>78</v>
      </c>
      <c r="G102" s="68" t="s">
        <v>180</v>
      </c>
      <c r="H102" s="110"/>
      <c r="I102" s="134"/>
      <c r="J102" s="330">
        <v>0</v>
      </c>
      <c r="K102" s="113">
        <f t="shared" si="16"/>
        <v>0</v>
      </c>
      <c r="L102" s="111">
        <v>137.29599999999999</v>
      </c>
      <c r="M102" s="135">
        <v>23.456</v>
      </c>
      <c r="N102" s="115">
        <v>0</v>
      </c>
      <c r="O102" s="111">
        <v>139.91999999999999</v>
      </c>
      <c r="P102" s="136">
        <v>2.4E-2</v>
      </c>
      <c r="Q102" s="111">
        <v>8477</v>
      </c>
      <c r="R102" s="134"/>
      <c r="S102" s="111">
        <f t="shared" si="20"/>
        <v>203</v>
      </c>
      <c r="T102" s="115">
        <v>13.2</v>
      </c>
      <c r="U102" s="144">
        <v>77.298000000000002</v>
      </c>
      <c r="V102" s="135">
        <v>100.22199999999999</v>
      </c>
      <c r="W102" s="113">
        <f t="shared" si="17"/>
        <v>694.39199999999994</v>
      </c>
      <c r="X102" s="135">
        <v>0</v>
      </c>
      <c r="Y102" s="135">
        <v>0</v>
      </c>
      <c r="Z102" s="116">
        <v>18</v>
      </c>
      <c r="AA102" s="135">
        <v>100.22199999999999</v>
      </c>
      <c r="AB102" s="113">
        <f t="shared" si="18"/>
        <v>118.22199999999999</v>
      </c>
      <c r="AC102" s="111">
        <v>0</v>
      </c>
      <c r="AD102" s="111">
        <v>0</v>
      </c>
      <c r="AE102" s="112">
        <v>0</v>
      </c>
      <c r="AF102" s="117">
        <v>0</v>
      </c>
      <c r="AG102" s="111">
        <v>96</v>
      </c>
      <c r="AH102" s="112">
        <v>0</v>
      </c>
      <c r="AI102" s="112">
        <v>7.5010000000000003</v>
      </c>
      <c r="AJ102" s="113">
        <f t="shared" si="19"/>
        <v>103.501</v>
      </c>
      <c r="AK102" s="112">
        <f t="shared" si="24"/>
        <v>46257.5</v>
      </c>
      <c r="AL102" s="112">
        <f t="shared" si="24"/>
        <v>33124.519999999997</v>
      </c>
      <c r="AM102" s="112">
        <f t="shared" si="24"/>
        <v>13132.98</v>
      </c>
      <c r="AN102" s="112">
        <f t="shared" si="24"/>
        <v>1017.665</v>
      </c>
      <c r="AO102" s="192">
        <f t="shared" si="21"/>
        <v>0.71608971518132192</v>
      </c>
      <c r="AP102" s="193">
        <f t="shared" si="22"/>
        <v>1712.0569999999998</v>
      </c>
      <c r="AQ102" s="193">
        <f t="shared" si="23"/>
        <v>-1712.0569999999998</v>
      </c>
      <c r="AR102" s="118"/>
      <c r="AS102" s="119"/>
      <c r="AT102" s="119"/>
      <c r="AU102" s="120"/>
      <c r="AV102" s="161"/>
      <c r="AW102" s="112">
        <v>46257500</v>
      </c>
      <c r="AX102" s="162">
        <v>33124520</v>
      </c>
      <c r="AY102" s="162">
        <v>13132980</v>
      </c>
      <c r="AZ102" s="162">
        <v>1017665</v>
      </c>
      <c r="BA102" s="196">
        <f t="shared" si="26"/>
        <v>0.71608971518132192</v>
      </c>
      <c r="BB102" s="210">
        <v>2390</v>
      </c>
      <c r="BC102" s="115">
        <v>0</v>
      </c>
      <c r="BD102" s="236">
        <v>0</v>
      </c>
    </row>
    <row r="103" spans="1:56" s="121" customFormat="1" ht="14.25" customHeight="1">
      <c r="A103" s="104" t="s">
        <v>2577</v>
      </c>
      <c r="B103" s="105" t="s">
        <v>689</v>
      </c>
      <c r="C103" s="106" t="s">
        <v>2122</v>
      </c>
      <c r="D103" s="106" t="s">
        <v>2415</v>
      </c>
      <c r="E103" s="234" t="s">
        <v>2154</v>
      </c>
      <c r="F103" s="71" t="s">
        <v>170</v>
      </c>
      <c r="G103" s="328" t="s">
        <v>683</v>
      </c>
      <c r="H103" s="110">
        <v>2280</v>
      </c>
      <c r="I103" s="111">
        <v>573</v>
      </c>
      <c r="J103" s="162">
        <v>434</v>
      </c>
      <c r="K103" s="113">
        <v>3287</v>
      </c>
      <c r="L103" s="111"/>
      <c r="M103" s="111"/>
      <c r="N103" s="112"/>
      <c r="O103" s="111"/>
      <c r="P103" s="114">
        <v>4</v>
      </c>
      <c r="Q103" s="111">
        <v>8477</v>
      </c>
      <c r="R103" s="115">
        <v>15579</v>
      </c>
      <c r="S103" s="111">
        <f t="shared" si="20"/>
        <v>49487</v>
      </c>
      <c r="T103" s="112">
        <v>6457</v>
      </c>
      <c r="U103" s="116"/>
      <c r="V103" s="111">
        <v>26321</v>
      </c>
      <c r="W103" s="113">
        <v>48357</v>
      </c>
      <c r="X103" s="111"/>
      <c r="Y103" s="111"/>
      <c r="Z103" s="116"/>
      <c r="AA103" s="111"/>
      <c r="AB103" s="113">
        <v>0</v>
      </c>
      <c r="AC103" s="111"/>
      <c r="AD103" s="111"/>
      <c r="AE103" s="112"/>
      <c r="AF103" s="117"/>
      <c r="AG103" s="111"/>
      <c r="AH103" s="112"/>
      <c r="AI103" s="112"/>
      <c r="AJ103" s="113">
        <v>0</v>
      </c>
      <c r="AK103" s="112">
        <f t="shared" si="24"/>
        <v>369090.12657740584</v>
      </c>
      <c r="AL103" s="112">
        <f t="shared" si="24"/>
        <v>126712.14100634299</v>
      </c>
      <c r="AM103" s="112">
        <f t="shared" si="24"/>
        <v>242377.98557106289</v>
      </c>
      <c r="AN103" s="112">
        <f t="shared" si="24"/>
        <v>10035.962436767493</v>
      </c>
      <c r="AO103" s="192">
        <f t="shared" si="21"/>
        <v>0.34330948427516073</v>
      </c>
      <c r="AP103" s="193">
        <f t="shared" si="22"/>
        <v>58392.962436767491</v>
      </c>
      <c r="AQ103" s="193">
        <f t="shared" si="23"/>
        <v>-55105.962436767491</v>
      </c>
      <c r="AR103" s="118"/>
      <c r="AS103" s="119"/>
      <c r="AT103" s="119"/>
      <c r="AU103" s="120"/>
      <c r="AV103" s="522"/>
      <c r="AW103" s="145">
        <v>369090126.57740587</v>
      </c>
      <c r="AX103" s="523">
        <v>126712141.00634299</v>
      </c>
      <c r="AY103" s="162">
        <v>242377985.57106289</v>
      </c>
      <c r="AZ103" s="162">
        <v>10035962.436767492</v>
      </c>
      <c r="BA103" s="196">
        <f t="shared" si="26"/>
        <v>0.34330948427516073</v>
      </c>
      <c r="BB103" s="210">
        <v>0</v>
      </c>
      <c r="BC103" s="115">
        <v>0</v>
      </c>
      <c r="BD103" s="236">
        <v>0</v>
      </c>
    </row>
    <row r="104" spans="1:56" s="121" customFormat="1" ht="14.25" customHeight="1">
      <c r="A104" s="104" t="s">
        <v>2577</v>
      </c>
      <c r="B104" s="105" t="s">
        <v>699</v>
      </c>
      <c r="C104" s="106" t="s">
        <v>690</v>
      </c>
      <c r="D104" s="106" t="s">
        <v>2415</v>
      </c>
      <c r="E104" s="71" t="s">
        <v>691</v>
      </c>
      <c r="F104" s="71" t="s">
        <v>170</v>
      </c>
      <c r="G104" s="68" t="s">
        <v>692</v>
      </c>
      <c r="H104" s="110"/>
      <c r="I104" s="112"/>
      <c r="J104" s="162">
        <v>303</v>
      </c>
      <c r="K104" s="113">
        <f t="shared" ref="K104:K139" si="27">SUBTOTAL(9,H104:J104)</f>
        <v>303</v>
      </c>
      <c r="L104" s="115"/>
      <c r="M104" s="115"/>
      <c r="N104" s="115"/>
      <c r="O104" s="115">
        <v>1539</v>
      </c>
      <c r="P104" s="122">
        <v>0.5</v>
      </c>
      <c r="Q104" s="111">
        <v>8477</v>
      </c>
      <c r="R104" s="112"/>
      <c r="S104" s="111">
        <f t="shared" si="20"/>
        <v>4239</v>
      </c>
      <c r="T104" s="112">
        <v>1263</v>
      </c>
      <c r="U104" s="144"/>
      <c r="V104" s="111">
        <v>110675</v>
      </c>
      <c r="W104" s="113">
        <f>SUBTOTAL(9,L104:O104,S104:V104)</f>
        <v>117716</v>
      </c>
      <c r="X104" s="111">
        <v>39873</v>
      </c>
      <c r="Y104" s="111">
        <v>13864</v>
      </c>
      <c r="Z104" s="116">
        <v>0</v>
      </c>
      <c r="AA104" s="111">
        <v>110675</v>
      </c>
      <c r="AB104" s="113">
        <f t="shared" ref="AB104:AB139" si="28">SUBTOTAL(9,X104:AA104)</f>
        <v>164412</v>
      </c>
      <c r="AC104" s="111">
        <v>18743</v>
      </c>
      <c r="AD104" s="111">
        <v>19016</v>
      </c>
      <c r="AE104" s="112">
        <v>0</v>
      </c>
      <c r="AF104" s="117">
        <v>1593</v>
      </c>
      <c r="AG104" s="111">
        <v>41389</v>
      </c>
      <c r="AH104" s="112">
        <v>73613</v>
      </c>
      <c r="AI104" s="112">
        <v>2546</v>
      </c>
      <c r="AJ104" s="113">
        <f t="shared" ref="AJ104:AJ139" si="29">SUBTOTAL(9,AC104:AI104)</f>
        <v>156900</v>
      </c>
      <c r="AK104" s="112">
        <f t="shared" si="24"/>
        <v>2515941.7801053394</v>
      </c>
      <c r="AL104" s="112">
        <f t="shared" si="24"/>
        <v>1186003.2428788703</v>
      </c>
      <c r="AM104" s="112">
        <f t="shared" si="24"/>
        <v>1329938.537226469</v>
      </c>
      <c r="AN104" s="112">
        <f t="shared" si="24"/>
        <v>69929.461074744293</v>
      </c>
      <c r="AO104" s="192">
        <f t="shared" si="21"/>
        <v>0.47139534477988343</v>
      </c>
      <c r="AP104" s="193">
        <f t="shared" si="22"/>
        <v>187645.46107474429</v>
      </c>
      <c r="AQ104" s="193">
        <f t="shared" si="23"/>
        <v>-187342.46107474429</v>
      </c>
      <c r="AR104" s="118"/>
      <c r="AS104" s="119"/>
      <c r="AT104" s="119"/>
      <c r="AU104" s="120"/>
      <c r="AV104" s="161" t="s">
        <v>1846</v>
      </c>
      <c r="AW104" s="112">
        <v>2515941780.1053395</v>
      </c>
      <c r="AX104" s="162">
        <v>1186003242.8788702</v>
      </c>
      <c r="AY104" s="162">
        <v>1329938537.226469</v>
      </c>
      <c r="AZ104" s="162">
        <v>69929461.074744299</v>
      </c>
      <c r="BA104" s="196">
        <f t="shared" si="26"/>
        <v>0.47139534477988343</v>
      </c>
      <c r="BB104" s="210">
        <v>573853</v>
      </c>
      <c r="BC104" s="115">
        <v>10204</v>
      </c>
      <c r="BD104" s="236">
        <v>0</v>
      </c>
    </row>
    <row r="105" spans="1:56" s="121" customFormat="1" ht="14.25" customHeight="1">
      <c r="A105" s="104" t="s">
        <v>2577</v>
      </c>
      <c r="B105" s="105" t="s">
        <v>705</v>
      </c>
      <c r="C105" s="106" t="s">
        <v>700</v>
      </c>
      <c r="D105" s="106" t="s">
        <v>2415</v>
      </c>
      <c r="E105" s="71" t="s">
        <v>701</v>
      </c>
      <c r="F105" s="71" t="s">
        <v>170</v>
      </c>
      <c r="G105" s="68" t="s">
        <v>692</v>
      </c>
      <c r="H105" s="110">
        <v>6647</v>
      </c>
      <c r="I105" s="112">
        <v>0</v>
      </c>
      <c r="J105" s="162">
        <v>575</v>
      </c>
      <c r="K105" s="113">
        <f t="shared" si="27"/>
        <v>7222</v>
      </c>
      <c r="L105" s="115"/>
      <c r="M105" s="115">
        <v>9801</v>
      </c>
      <c r="N105" s="115"/>
      <c r="O105" s="115">
        <v>9900</v>
      </c>
      <c r="P105" s="122">
        <v>0.5</v>
      </c>
      <c r="Q105" s="111">
        <v>8477</v>
      </c>
      <c r="R105" s="112"/>
      <c r="S105" s="111">
        <f t="shared" si="20"/>
        <v>4239</v>
      </c>
      <c r="T105" s="112">
        <v>1027</v>
      </c>
      <c r="U105" s="144"/>
      <c r="V105" s="111">
        <v>68931</v>
      </c>
      <c r="W105" s="113">
        <f t="shared" ref="W105:W139" si="30">SUBTOTAL(9,L105:O105,S105:V105)</f>
        <v>93898</v>
      </c>
      <c r="X105" s="111"/>
      <c r="Y105" s="111">
        <v>10356</v>
      </c>
      <c r="Z105" s="116">
        <v>55</v>
      </c>
      <c r="AA105" s="111">
        <v>68931</v>
      </c>
      <c r="AB105" s="113">
        <f t="shared" si="28"/>
        <v>79342</v>
      </c>
      <c r="AC105" s="111">
        <v>11568</v>
      </c>
      <c r="AD105" s="111">
        <v>14284</v>
      </c>
      <c r="AE105" s="112"/>
      <c r="AF105" s="117">
        <v>2758</v>
      </c>
      <c r="AG105" s="111">
        <v>35239</v>
      </c>
      <c r="AH105" s="112">
        <v>8967</v>
      </c>
      <c r="AI105" s="112">
        <v>3943</v>
      </c>
      <c r="AJ105" s="113">
        <f t="shared" si="29"/>
        <v>76759</v>
      </c>
      <c r="AK105" s="112">
        <f t="shared" si="24"/>
        <v>1236296.8158254977</v>
      </c>
      <c r="AL105" s="112">
        <f t="shared" si="24"/>
        <v>722804.21546319278</v>
      </c>
      <c r="AM105" s="112">
        <f t="shared" si="24"/>
        <v>513492.60036230477</v>
      </c>
      <c r="AN105" s="112">
        <f t="shared" si="24"/>
        <v>17688.880239412789</v>
      </c>
      <c r="AO105" s="192">
        <f t="shared" si="21"/>
        <v>0.58465265477575745</v>
      </c>
      <c r="AP105" s="193">
        <f t="shared" si="22"/>
        <v>111586.88023941279</v>
      </c>
      <c r="AQ105" s="193">
        <f t="shared" si="23"/>
        <v>-104364.88023941279</v>
      </c>
      <c r="AR105" s="118"/>
      <c r="AS105" s="119"/>
      <c r="AT105" s="119"/>
      <c r="AU105" s="120"/>
      <c r="AV105" s="161" t="s">
        <v>1846</v>
      </c>
      <c r="AW105" s="112">
        <v>1236296815.8254976</v>
      </c>
      <c r="AX105" s="162">
        <v>722804215.46319282</v>
      </c>
      <c r="AY105" s="162">
        <v>513492600.36230475</v>
      </c>
      <c r="AZ105" s="162">
        <v>17688880.239412788</v>
      </c>
      <c r="BA105" s="196">
        <f t="shared" si="26"/>
        <v>0.58465265477575745</v>
      </c>
      <c r="BB105" s="210">
        <v>320530</v>
      </c>
      <c r="BC105" s="115">
        <v>18647</v>
      </c>
      <c r="BD105" s="236">
        <v>0</v>
      </c>
    </row>
    <row r="106" spans="1:56" s="121" customFormat="1" ht="14.25" customHeight="1">
      <c r="A106" s="104" t="s">
        <v>2577</v>
      </c>
      <c r="B106" s="105" t="s">
        <v>715</v>
      </c>
      <c r="C106" s="106" t="s">
        <v>706</v>
      </c>
      <c r="D106" s="106" t="s">
        <v>2415</v>
      </c>
      <c r="E106" s="71" t="s">
        <v>707</v>
      </c>
      <c r="F106" s="71" t="s">
        <v>708</v>
      </c>
      <c r="G106" s="68" t="s">
        <v>709</v>
      </c>
      <c r="H106" s="110">
        <v>24117</v>
      </c>
      <c r="I106" s="111"/>
      <c r="J106" s="162"/>
      <c r="K106" s="113">
        <f t="shared" si="27"/>
        <v>24117</v>
      </c>
      <c r="L106" s="111"/>
      <c r="M106" s="111"/>
      <c r="N106" s="112"/>
      <c r="O106" s="111">
        <v>710</v>
      </c>
      <c r="P106" s="122">
        <v>0.55000000000000004</v>
      </c>
      <c r="Q106" s="111">
        <v>8477</v>
      </c>
      <c r="R106" s="115"/>
      <c r="S106" s="111">
        <f t="shared" si="20"/>
        <v>4662</v>
      </c>
      <c r="T106" s="112"/>
      <c r="U106" s="116">
        <v>897</v>
      </c>
      <c r="V106" s="111">
        <v>69822</v>
      </c>
      <c r="W106" s="113">
        <f t="shared" si="30"/>
        <v>76091</v>
      </c>
      <c r="X106" s="111"/>
      <c r="Y106" s="111">
        <v>176</v>
      </c>
      <c r="Z106" s="116"/>
      <c r="AA106" s="111">
        <v>69822</v>
      </c>
      <c r="AB106" s="113">
        <f t="shared" si="28"/>
        <v>69998</v>
      </c>
      <c r="AC106" s="111">
        <v>11649</v>
      </c>
      <c r="AD106" s="111">
        <v>12930</v>
      </c>
      <c r="AE106" s="112"/>
      <c r="AF106" s="117">
        <v>796</v>
      </c>
      <c r="AG106" s="111">
        <v>31407</v>
      </c>
      <c r="AH106" s="112">
        <v>925</v>
      </c>
      <c r="AI106" s="112">
        <v>10908</v>
      </c>
      <c r="AJ106" s="113">
        <f t="shared" si="29"/>
        <v>68615</v>
      </c>
      <c r="AK106" s="112">
        <f t="shared" si="24"/>
        <v>3005766.5554225948</v>
      </c>
      <c r="AL106" s="112">
        <f t="shared" si="24"/>
        <v>1031908.1659936571</v>
      </c>
      <c r="AM106" s="112">
        <f t="shared" si="24"/>
        <v>1973858.3894289373</v>
      </c>
      <c r="AN106" s="112">
        <f t="shared" si="24"/>
        <v>81730.065563232507</v>
      </c>
      <c r="AO106" s="192">
        <f t="shared" si="21"/>
        <v>0.34330948427516067</v>
      </c>
      <c r="AP106" s="193">
        <f t="shared" si="22"/>
        <v>157821.06556323252</v>
      </c>
      <c r="AQ106" s="193">
        <f t="shared" si="23"/>
        <v>-133704.06556323252</v>
      </c>
      <c r="AR106" s="118"/>
      <c r="AS106" s="119"/>
      <c r="AT106" s="119"/>
      <c r="AU106" s="120"/>
      <c r="AV106" s="161" t="s">
        <v>63</v>
      </c>
      <c r="AW106" s="112">
        <v>3005766555.4225945</v>
      </c>
      <c r="AX106" s="162">
        <v>1031908165.9936571</v>
      </c>
      <c r="AY106" s="162">
        <v>1973858389.4289374</v>
      </c>
      <c r="AZ106" s="162">
        <v>81730065.563232511</v>
      </c>
      <c r="BA106" s="196">
        <f t="shared" si="26"/>
        <v>0.34330948427516067</v>
      </c>
      <c r="BB106" s="210">
        <v>433537</v>
      </c>
      <c r="BC106" s="115">
        <v>12270</v>
      </c>
      <c r="BD106" s="236">
        <v>0</v>
      </c>
    </row>
    <row r="107" spans="1:56" s="121" customFormat="1" ht="14.25" customHeight="1">
      <c r="A107" s="104" t="s">
        <v>2577</v>
      </c>
      <c r="B107" s="105" t="s">
        <v>719</v>
      </c>
      <c r="C107" s="106" t="s">
        <v>716</v>
      </c>
      <c r="D107" s="106" t="s">
        <v>2415</v>
      </c>
      <c r="E107" s="71" t="s">
        <v>2370</v>
      </c>
      <c r="F107" s="71" t="s">
        <v>708</v>
      </c>
      <c r="G107" s="68" t="s">
        <v>709</v>
      </c>
      <c r="H107" s="110">
        <v>2645</v>
      </c>
      <c r="I107" s="111"/>
      <c r="J107" s="162">
        <v>2862</v>
      </c>
      <c r="K107" s="113">
        <f t="shared" si="27"/>
        <v>5507</v>
      </c>
      <c r="L107" s="111"/>
      <c r="M107" s="111"/>
      <c r="N107" s="112"/>
      <c r="O107" s="111"/>
      <c r="P107" s="122">
        <v>0.55000000000000004</v>
      </c>
      <c r="Q107" s="111">
        <v>8477</v>
      </c>
      <c r="R107" s="115"/>
      <c r="S107" s="111">
        <f t="shared" si="20"/>
        <v>4662</v>
      </c>
      <c r="T107" s="112">
        <v>163</v>
      </c>
      <c r="U107" s="116"/>
      <c r="V107" s="111">
        <v>49807</v>
      </c>
      <c r="W107" s="113">
        <f t="shared" si="30"/>
        <v>54632</v>
      </c>
      <c r="X107" s="111"/>
      <c r="Y107" s="111">
        <v>184</v>
      </c>
      <c r="Z107" s="116">
        <v>150</v>
      </c>
      <c r="AA107" s="111">
        <v>49807</v>
      </c>
      <c r="AB107" s="113">
        <f t="shared" si="28"/>
        <v>50141</v>
      </c>
      <c r="AC107" s="111">
        <v>3309</v>
      </c>
      <c r="AD107" s="111">
        <v>5760</v>
      </c>
      <c r="AE107" s="112"/>
      <c r="AF107" s="117">
        <v>927</v>
      </c>
      <c r="AG107" s="111">
        <v>27884</v>
      </c>
      <c r="AH107" s="112">
        <v>9965</v>
      </c>
      <c r="AI107" s="112">
        <v>636</v>
      </c>
      <c r="AJ107" s="113">
        <f t="shared" si="29"/>
        <v>48481</v>
      </c>
      <c r="AK107" s="112">
        <f t="shared" si="24"/>
        <v>909275.38364657422</v>
      </c>
      <c r="AL107" s="112">
        <f t="shared" si="24"/>
        <v>372586.43541079818</v>
      </c>
      <c r="AM107" s="112">
        <f t="shared" si="24"/>
        <v>536688.94823577604</v>
      </c>
      <c r="AN107" s="112">
        <f t="shared" si="24"/>
        <v>20344.462302336535</v>
      </c>
      <c r="AO107" s="192">
        <f t="shared" si="21"/>
        <v>0.40976192923707105</v>
      </c>
      <c r="AP107" s="193">
        <f t="shared" si="22"/>
        <v>74976.462302336528</v>
      </c>
      <c r="AQ107" s="193">
        <f t="shared" si="23"/>
        <v>-69469.462302336528</v>
      </c>
      <c r="AR107" s="118"/>
      <c r="AS107" s="119"/>
      <c r="AT107" s="119"/>
      <c r="AU107" s="120"/>
      <c r="AV107" s="161" t="s">
        <v>63</v>
      </c>
      <c r="AW107" s="112">
        <v>909275383.64657426</v>
      </c>
      <c r="AX107" s="162">
        <v>372586435.41079819</v>
      </c>
      <c r="AY107" s="162">
        <v>536688948.23577607</v>
      </c>
      <c r="AZ107" s="162">
        <v>20344462.302336536</v>
      </c>
      <c r="BA107" s="196">
        <f t="shared" si="26"/>
        <v>0.40976192923707105</v>
      </c>
      <c r="BB107" s="210">
        <v>52622</v>
      </c>
      <c r="BC107" s="115">
        <v>5631</v>
      </c>
      <c r="BD107" s="236">
        <v>0</v>
      </c>
    </row>
    <row r="108" spans="1:56" s="121" customFormat="1" ht="14.25" customHeight="1">
      <c r="A108" s="104" t="s">
        <v>2577</v>
      </c>
      <c r="B108" s="105" t="s">
        <v>728</v>
      </c>
      <c r="C108" s="106" t="s">
        <v>720</v>
      </c>
      <c r="D108" s="106" t="s">
        <v>2415</v>
      </c>
      <c r="E108" s="71" t="s">
        <v>1994</v>
      </c>
      <c r="F108" s="71" t="s">
        <v>708</v>
      </c>
      <c r="G108" s="68" t="s">
        <v>2609</v>
      </c>
      <c r="H108" s="110">
        <v>720</v>
      </c>
      <c r="I108" s="112"/>
      <c r="J108" s="162">
        <v>212</v>
      </c>
      <c r="K108" s="113">
        <f t="shared" si="27"/>
        <v>932</v>
      </c>
      <c r="L108" s="115"/>
      <c r="M108" s="115"/>
      <c r="N108" s="115"/>
      <c r="O108" s="111">
        <v>14065</v>
      </c>
      <c r="P108" s="145">
        <v>0.5</v>
      </c>
      <c r="Q108" s="111">
        <v>8477</v>
      </c>
      <c r="R108" s="112"/>
      <c r="S108" s="111">
        <f t="shared" si="20"/>
        <v>4239</v>
      </c>
      <c r="T108" s="112"/>
      <c r="U108" s="144">
        <v>4956</v>
      </c>
      <c r="V108" s="111">
        <v>169261</v>
      </c>
      <c r="W108" s="113">
        <f t="shared" si="30"/>
        <v>192521</v>
      </c>
      <c r="X108" s="111">
        <v>40858</v>
      </c>
      <c r="Y108" s="111">
        <v>22411</v>
      </c>
      <c r="Z108" s="116">
        <v>6002</v>
      </c>
      <c r="AA108" s="111">
        <v>169261</v>
      </c>
      <c r="AB108" s="113">
        <f t="shared" si="28"/>
        <v>238532</v>
      </c>
      <c r="AC108" s="111">
        <v>45947</v>
      </c>
      <c r="AD108" s="111">
        <v>105565</v>
      </c>
      <c r="AE108" s="112">
        <v>0</v>
      </c>
      <c r="AF108" s="117">
        <v>3119</v>
      </c>
      <c r="AG108" s="111">
        <v>45582</v>
      </c>
      <c r="AH108" s="112">
        <v>26441</v>
      </c>
      <c r="AI108" s="112">
        <v>3859</v>
      </c>
      <c r="AJ108" s="113">
        <f t="shared" si="29"/>
        <v>230513</v>
      </c>
      <c r="AK108" s="112">
        <f t="shared" si="24"/>
        <v>7891690.8200000003</v>
      </c>
      <c r="AL108" s="112">
        <f t="shared" si="24"/>
        <v>3713412.7220000001</v>
      </c>
      <c r="AM108" s="112">
        <f t="shared" si="24"/>
        <v>4178278.0980000002</v>
      </c>
      <c r="AN108" s="112">
        <f t="shared" si="24"/>
        <v>174212.00700000001</v>
      </c>
      <c r="AO108" s="192">
        <f t="shared" si="21"/>
        <v>0.47054716241404904</v>
      </c>
      <c r="AP108" s="193">
        <f t="shared" si="22"/>
        <v>366733.00699999998</v>
      </c>
      <c r="AQ108" s="193">
        <f t="shared" si="23"/>
        <v>-365801.00699999998</v>
      </c>
      <c r="AR108" s="118"/>
      <c r="AS108" s="119"/>
      <c r="AT108" s="119"/>
      <c r="AU108" s="120"/>
      <c r="AV108" s="161"/>
      <c r="AW108" s="112">
        <v>7891690820</v>
      </c>
      <c r="AX108" s="162">
        <v>3713412722</v>
      </c>
      <c r="AY108" s="162">
        <v>4178278098</v>
      </c>
      <c r="AZ108" s="162">
        <v>174212007</v>
      </c>
      <c r="BA108" s="196">
        <f t="shared" si="26"/>
        <v>0.47054716241404904</v>
      </c>
      <c r="BB108" s="210">
        <v>1514437</v>
      </c>
      <c r="BC108" s="115">
        <v>43230</v>
      </c>
      <c r="BD108" s="236">
        <v>0</v>
      </c>
    </row>
    <row r="109" spans="1:56" s="121" customFormat="1" ht="14.25" customHeight="1">
      <c r="A109" s="104" t="s">
        <v>2577</v>
      </c>
      <c r="B109" s="105" t="s">
        <v>735</v>
      </c>
      <c r="C109" s="106" t="s">
        <v>729</v>
      </c>
      <c r="D109" s="106" t="s">
        <v>2415</v>
      </c>
      <c r="E109" s="71" t="s">
        <v>1996</v>
      </c>
      <c r="F109" s="71" t="s">
        <v>708</v>
      </c>
      <c r="G109" s="68" t="s">
        <v>2609</v>
      </c>
      <c r="H109" s="110">
        <v>1554</v>
      </c>
      <c r="I109" s="112"/>
      <c r="J109" s="162">
        <v>245</v>
      </c>
      <c r="K109" s="113">
        <f t="shared" si="27"/>
        <v>1799</v>
      </c>
      <c r="L109" s="115"/>
      <c r="M109" s="115"/>
      <c r="N109" s="115"/>
      <c r="O109" s="111"/>
      <c r="P109" s="145">
        <v>0.5</v>
      </c>
      <c r="Q109" s="111">
        <v>8477</v>
      </c>
      <c r="R109" s="112"/>
      <c r="S109" s="111">
        <f t="shared" si="20"/>
        <v>4239</v>
      </c>
      <c r="T109" s="112"/>
      <c r="U109" s="144">
        <v>770</v>
      </c>
      <c r="V109" s="111">
        <v>82652</v>
      </c>
      <c r="W109" s="113">
        <f t="shared" si="30"/>
        <v>87661</v>
      </c>
      <c r="X109" s="111">
        <v>21353</v>
      </c>
      <c r="Y109" s="111">
        <v>5460</v>
      </c>
      <c r="Z109" s="116">
        <v>816</v>
      </c>
      <c r="AA109" s="111">
        <v>82652</v>
      </c>
      <c r="AB109" s="113">
        <f t="shared" si="28"/>
        <v>110281</v>
      </c>
      <c r="AC109" s="111">
        <v>14878</v>
      </c>
      <c r="AD109" s="111">
        <v>28021</v>
      </c>
      <c r="AE109" s="112">
        <v>0</v>
      </c>
      <c r="AF109" s="117">
        <v>2629</v>
      </c>
      <c r="AG109" s="111">
        <v>47268</v>
      </c>
      <c r="AH109" s="112">
        <v>13800</v>
      </c>
      <c r="AI109" s="112">
        <v>1054</v>
      </c>
      <c r="AJ109" s="113">
        <f t="shared" si="29"/>
        <v>107650</v>
      </c>
      <c r="AK109" s="112">
        <f t="shared" si="24"/>
        <v>2782423.5290000001</v>
      </c>
      <c r="AL109" s="112">
        <f t="shared" si="24"/>
        <v>1676160.709</v>
      </c>
      <c r="AM109" s="112">
        <f t="shared" si="24"/>
        <v>1106262.82</v>
      </c>
      <c r="AN109" s="112">
        <f t="shared" si="24"/>
        <v>61119.31</v>
      </c>
      <c r="AO109" s="192">
        <f t="shared" si="21"/>
        <v>0.60241034175067165</v>
      </c>
      <c r="AP109" s="193">
        <f t="shared" si="22"/>
        <v>148780.31</v>
      </c>
      <c r="AQ109" s="193">
        <f t="shared" si="23"/>
        <v>-146981.31</v>
      </c>
      <c r="AR109" s="118"/>
      <c r="AS109" s="119"/>
      <c r="AT109" s="119"/>
      <c r="AU109" s="120"/>
      <c r="AV109" s="161"/>
      <c r="AW109" s="112">
        <v>2782423529</v>
      </c>
      <c r="AX109" s="162">
        <v>1676160709</v>
      </c>
      <c r="AY109" s="162">
        <v>1106262820</v>
      </c>
      <c r="AZ109" s="162">
        <v>61119310</v>
      </c>
      <c r="BA109" s="196">
        <f t="shared" si="26"/>
        <v>0.60241034175067165</v>
      </c>
      <c r="BB109" s="210">
        <v>378593</v>
      </c>
      <c r="BC109" s="115">
        <v>36945</v>
      </c>
      <c r="BD109" s="236">
        <v>0</v>
      </c>
    </row>
    <row r="110" spans="1:56" s="121" customFormat="1" ht="14.25" customHeight="1">
      <c r="A110" s="104" t="s">
        <v>2577</v>
      </c>
      <c r="B110" s="105" t="s">
        <v>742</v>
      </c>
      <c r="C110" s="106" t="s">
        <v>736</v>
      </c>
      <c r="D110" s="106" t="s">
        <v>2415</v>
      </c>
      <c r="E110" s="71" t="s">
        <v>1998</v>
      </c>
      <c r="F110" s="71" t="s">
        <v>708</v>
      </c>
      <c r="G110" s="290" t="s">
        <v>2609</v>
      </c>
      <c r="H110" s="330">
        <v>1860</v>
      </c>
      <c r="I110" s="112"/>
      <c r="J110" s="162"/>
      <c r="K110" s="113">
        <f t="shared" si="27"/>
        <v>1860</v>
      </c>
      <c r="L110" s="115"/>
      <c r="M110" s="115"/>
      <c r="N110" s="115"/>
      <c r="O110" s="111">
        <v>342</v>
      </c>
      <c r="P110" s="145">
        <v>0.5</v>
      </c>
      <c r="Q110" s="111">
        <v>8477</v>
      </c>
      <c r="R110" s="112"/>
      <c r="S110" s="111">
        <f t="shared" si="20"/>
        <v>4239</v>
      </c>
      <c r="T110" s="112"/>
      <c r="U110" s="144">
        <v>763</v>
      </c>
      <c r="V110" s="111">
        <v>56319</v>
      </c>
      <c r="W110" s="113">
        <f t="shared" si="30"/>
        <v>61663</v>
      </c>
      <c r="X110" s="111">
        <v>14695</v>
      </c>
      <c r="Y110" s="111">
        <v>2963</v>
      </c>
      <c r="Z110" s="116">
        <v>3480</v>
      </c>
      <c r="AA110" s="111">
        <v>56319</v>
      </c>
      <c r="AB110" s="113">
        <f t="shared" si="28"/>
        <v>77457</v>
      </c>
      <c r="AC110" s="111">
        <v>13768</v>
      </c>
      <c r="AD110" s="111">
        <v>22369</v>
      </c>
      <c r="AE110" s="112">
        <v>0</v>
      </c>
      <c r="AF110" s="117">
        <v>3153</v>
      </c>
      <c r="AG110" s="111">
        <v>18952</v>
      </c>
      <c r="AH110" s="112">
        <v>9282</v>
      </c>
      <c r="AI110" s="112">
        <v>7646</v>
      </c>
      <c r="AJ110" s="113">
        <f t="shared" si="29"/>
        <v>75170</v>
      </c>
      <c r="AK110" s="112">
        <f t="shared" si="24"/>
        <v>1744070.8019999999</v>
      </c>
      <c r="AL110" s="112">
        <f t="shared" si="24"/>
        <v>1129137.4839999999</v>
      </c>
      <c r="AM110" s="112">
        <f t="shared" si="24"/>
        <v>614933.31799999997</v>
      </c>
      <c r="AN110" s="112">
        <f t="shared" si="24"/>
        <v>41044.231</v>
      </c>
      <c r="AO110" s="192">
        <f t="shared" si="21"/>
        <v>0.64741493447695475</v>
      </c>
      <c r="AP110" s="193">
        <f t="shared" si="22"/>
        <v>102707.231</v>
      </c>
      <c r="AQ110" s="193">
        <f t="shared" si="23"/>
        <v>-100847.231</v>
      </c>
      <c r="AR110" s="118"/>
      <c r="AS110" s="119"/>
      <c r="AT110" s="119"/>
      <c r="AU110" s="120"/>
      <c r="AV110" s="161"/>
      <c r="AW110" s="112">
        <v>1744070802</v>
      </c>
      <c r="AX110" s="162">
        <v>1129137484</v>
      </c>
      <c r="AY110" s="162">
        <v>614933318</v>
      </c>
      <c r="AZ110" s="162">
        <v>41044231</v>
      </c>
      <c r="BA110" s="196">
        <f t="shared" si="26"/>
        <v>0.64741493447695475</v>
      </c>
      <c r="BB110" s="210">
        <v>229685</v>
      </c>
      <c r="BC110" s="115">
        <v>16316</v>
      </c>
      <c r="BD110" s="236">
        <v>0</v>
      </c>
    </row>
    <row r="111" spans="1:56" s="121" customFormat="1" ht="14.25" customHeight="1">
      <c r="A111" s="104" t="s">
        <v>2577</v>
      </c>
      <c r="B111" s="105" t="s">
        <v>748</v>
      </c>
      <c r="C111" s="106" t="s">
        <v>2544</v>
      </c>
      <c r="D111" s="106" t="s">
        <v>2415</v>
      </c>
      <c r="E111" s="71" t="s">
        <v>2517</v>
      </c>
      <c r="F111" s="71" t="s">
        <v>2520</v>
      </c>
      <c r="G111" s="290" t="s">
        <v>2609</v>
      </c>
      <c r="H111" s="162"/>
      <c r="I111" s="111"/>
      <c r="J111" s="162"/>
      <c r="K111" s="113">
        <f t="shared" si="27"/>
        <v>0</v>
      </c>
      <c r="L111" s="111"/>
      <c r="M111" s="112"/>
      <c r="N111" s="112"/>
      <c r="O111" s="111">
        <v>1062</v>
      </c>
      <c r="P111" s="111">
        <v>0.7</v>
      </c>
      <c r="Q111" s="111">
        <v>8477</v>
      </c>
      <c r="R111" s="115"/>
      <c r="S111" s="111">
        <f t="shared" si="20"/>
        <v>5934</v>
      </c>
      <c r="T111" s="115">
        <v>96</v>
      </c>
      <c r="U111" s="116">
        <v>3799</v>
      </c>
      <c r="V111" s="114">
        <v>233195</v>
      </c>
      <c r="W111" s="113">
        <f t="shared" si="30"/>
        <v>244086</v>
      </c>
      <c r="X111" s="111">
        <v>46685</v>
      </c>
      <c r="Y111" s="112">
        <v>45701</v>
      </c>
      <c r="Z111" s="116">
        <v>3041</v>
      </c>
      <c r="AA111" s="111">
        <v>233195</v>
      </c>
      <c r="AB111" s="113">
        <f t="shared" si="28"/>
        <v>328622</v>
      </c>
      <c r="AC111" s="111">
        <v>28145</v>
      </c>
      <c r="AD111" s="112">
        <v>27747</v>
      </c>
      <c r="AE111" s="112">
        <v>0</v>
      </c>
      <c r="AF111" s="117">
        <v>1904</v>
      </c>
      <c r="AG111" s="111">
        <v>148463</v>
      </c>
      <c r="AH111" s="112">
        <v>76685</v>
      </c>
      <c r="AI111" s="113">
        <v>6464</v>
      </c>
      <c r="AJ111" s="113">
        <f t="shared" si="29"/>
        <v>289408</v>
      </c>
      <c r="AK111" s="112">
        <f t="shared" si="24"/>
        <v>2818623.81</v>
      </c>
      <c r="AL111" s="112">
        <f t="shared" si="24"/>
        <v>966374.92299999995</v>
      </c>
      <c r="AM111" s="112">
        <f t="shared" si="24"/>
        <v>1852248.8870000001</v>
      </c>
      <c r="AN111" s="112">
        <f t="shared" si="24"/>
        <v>0</v>
      </c>
      <c r="AO111" s="192">
        <f t="shared" si="21"/>
        <v>0.3428534590431917</v>
      </c>
      <c r="AP111" s="193">
        <f t="shared" si="22"/>
        <v>244086</v>
      </c>
      <c r="AQ111" s="193">
        <f t="shared" si="23"/>
        <v>-244086</v>
      </c>
      <c r="AR111" s="118"/>
      <c r="AS111" s="119"/>
      <c r="AT111" s="119"/>
      <c r="AU111" s="120"/>
      <c r="AV111" s="161"/>
      <c r="AW111" s="112">
        <v>2818623810</v>
      </c>
      <c r="AX111" s="162">
        <v>966374923</v>
      </c>
      <c r="AY111" s="162">
        <v>1852248887</v>
      </c>
      <c r="AZ111" s="162">
        <v>0</v>
      </c>
      <c r="BA111" s="196">
        <f t="shared" si="26"/>
        <v>0.3428534590431917</v>
      </c>
      <c r="BB111" s="210" t="s">
        <v>825</v>
      </c>
      <c r="BC111" s="115" t="s">
        <v>825</v>
      </c>
      <c r="BD111" s="236" t="s">
        <v>825</v>
      </c>
    </row>
    <row r="112" spans="1:56" s="121" customFormat="1" ht="14.25" customHeight="1">
      <c r="A112" s="104" t="s">
        <v>2577</v>
      </c>
      <c r="B112" s="105" t="s">
        <v>752</v>
      </c>
      <c r="C112" s="106" t="s">
        <v>749</v>
      </c>
      <c r="D112" s="106" t="s">
        <v>2415</v>
      </c>
      <c r="E112" s="71" t="s">
        <v>2549</v>
      </c>
      <c r="F112" s="71" t="s">
        <v>2520</v>
      </c>
      <c r="G112" s="290" t="s">
        <v>2608</v>
      </c>
      <c r="H112" s="162"/>
      <c r="I112" s="112"/>
      <c r="J112" s="162"/>
      <c r="K112" s="113">
        <f t="shared" si="27"/>
        <v>0</v>
      </c>
      <c r="L112" s="111">
        <v>40</v>
      </c>
      <c r="M112" s="111"/>
      <c r="N112" s="115"/>
      <c r="O112" s="111"/>
      <c r="P112" s="114">
        <v>0</v>
      </c>
      <c r="Q112" s="111">
        <v>8477</v>
      </c>
      <c r="R112" s="112"/>
      <c r="S112" s="111">
        <f t="shared" si="20"/>
        <v>0</v>
      </c>
      <c r="T112" s="115"/>
      <c r="U112" s="144"/>
      <c r="V112" s="112"/>
      <c r="W112" s="113">
        <f t="shared" si="30"/>
        <v>40</v>
      </c>
      <c r="X112" s="111"/>
      <c r="Y112" s="111"/>
      <c r="Z112" s="116"/>
      <c r="AA112" s="111"/>
      <c r="AB112" s="113">
        <f t="shared" si="28"/>
        <v>0</v>
      </c>
      <c r="AC112" s="111"/>
      <c r="AD112" s="111"/>
      <c r="AE112" s="112"/>
      <c r="AF112" s="117"/>
      <c r="AG112" s="111"/>
      <c r="AH112" s="112"/>
      <c r="AI112" s="112"/>
      <c r="AJ112" s="113">
        <f t="shared" si="29"/>
        <v>0</v>
      </c>
      <c r="AK112" s="112">
        <f t="shared" si="24"/>
        <v>6462.4</v>
      </c>
      <c r="AL112" s="112">
        <f t="shared" si="24"/>
        <v>6462.3990000000003</v>
      </c>
      <c r="AM112" s="112">
        <f t="shared" si="24"/>
        <v>1E-3</v>
      </c>
      <c r="AN112" s="112">
        <f t="shared" si="24"/>
        <v>0</v>
      </c>
      <c r="AO112" s="192">
        <f t="shared" si="21"/>
        <v>0.99999984525872743</v>
      </c>
      <c r="AP112" s="193">
        <f t="shared" si="22"/>
        <v>40</v>
      </c>
      <c r="AQ112" s="193">
        <f t="shared" si="23"/>
        <v>-40</v>
      </c>
      <c r="AR112" s="118"/>
      <c r="AS112" s="119"/>
      <c r="AT112" s="119"/>
      <c r="AU112" s="120"/>
      <c r="AV112" s="161"/>
      <c r="AW112" s="112">
        <v>6462400</v>
      </c>
      <c r="AX112" s="162">
        <v>6462399</v>
      </c>
      <c r="AY112" s="162">
        <v>1</v>
      </c>
      <c r="AZ112" s="162">
        <v>0</v>
      </c>
      <c r="BA112" s="196">
        <f t="shared" si="26"/>
        <v>0.99999984525872743</v>
      </c>
      <c r="BB112" s="210" t="s">
        <v>825</v>
      </c>
      <c r="BC112" s="115" t="s">
        <v>825</v>
      </c>
      <c r="BD112" s="236" t="s">
        <v>825</v>
      </c>
    </row>
    <row r="113" spans="1:56" s="121" customFormat="1" ht="14.25" customHeight="1">
      <c r="A113" s="104" t="s">
        <v>2577</v>
      </c>
      <c r="B113" s="105" t="s">
        <v>760</v>
      </c>
      <c r="C113" s="106" t="s">
        <v>2075</v>
      </c>
      <c r="D113" s="106" t="s">
        <v>2415</v>
      </c>
      <c r="E113" s="71" t="s">
        <v>2365</v>
      </c>
      <c r="F113" s="71" t="s">
        <v>2520</v>
      </c>
      <c r="G113" s="290" t="s">
        <v>2608</v>
      </c>
      <c r="H113" s="162"/>
      <c r="I113" s="112"/>
      <c r="J113" s="162"/>
      <c r="K113" s="113">
        <f t="shared" si="27"/>
        <v>0</v>
      </c>
      <c r="L113" s="111">
        <v>464</v>
      </c>
      <c r="M113" s="111">
        <v>2029</v>
      </c>
      <c r="N113" s="115"/>
      <c r="O113" s="111">
        <v>130</v>
      </c>
      <c r="P113" s="114">
        <v>0</v>
      </c>
      <c r="Q113" s="111">
        <v>8477</v>
      </c>
      <c r="R113" s="112">
        <v>7027</v>
      </c>
      <c r="S113" s="111">
        <f t="shared" si="20"/>
        <v>7027</v>
      </c>
      <c r="T113" s="115">
        <v>972</v>
      </c>
      <c r="U113" s="144"/>
      <c r="V113" s="112"/>
      <c r="W113" s="113">
        <f t="shared" si="30"/>
        <v>10622</v>
      </c>
      <c r="X113" s="111"/>
      <c r="Y113" s="111"/>
      <c r="Z113" s="116"/>
      <c r="AA113" s="111"/>
      <c r="AB113" s="113">
        <f t="shared" si="28"/>
        <v>0</v>
      </c>
      <c r="AC113" s="111"/>
      <c r="AD113" s="111"/>
      <c r="AE113" s="112"/>
      <c r="AF113" s="117"/>
      <c r="AG113" s="111"/>
      <c r="AH113" s="112"/>
      <c r="AI113" s="112"/>
      <c r="AJ113" s="113">
        <f t="shared" si="29"/>
        <v>0</v>
      </c>
      <c r="AK113" s="112">
        <f t="shared" si="24"/>
        <v>79546.611000000004</v>
      </c>
      <c r="AL113" s="112">
        <f t="shared" si="24"/>
        <v>59340.927000000003</v>
      </c>
      <c r="AM113" s="112">
        <f t="shared" si="24"/>
        <v>20205.684000000001</v>
      </c>
      <c r="AN113" s="112">
        <f t="shared" si="24"/>
        <v>1638.1579999999999</v>
      </c>
      <c r="AO113" s="192">
        <f t="shared" si="21"/>
        <v>0.74598937973611468</v>
      </c>
      <c r="AP113" s="193">
        <f t="shared" si="22"/>
        <v>12260.157999999999</v>
      </c>
      <c r="AQ113" s="193">
        <f t="shared" si="23"/>
        <v>-12260.157999999999</v>
      </c>
      <c r="AR113" s="118"/>
      <c r="AS113" s="119"/>
      <c r="AT113" s="119"/>
      <c r="AU113" s="120"/>
      <c r="AV113" s="161"/>
      <c r="AW113" s="112">
        <v>79546611</v>
      </c>
      <c r="AX113" s="162">
        <v>59340927</v>
      </c>
      <c r="AY113" s="162">
        <v>20205684</v>
      </c>
      <c r="AZ113" s="162">
        <v>1638158</v>
      </c>
      <c r="BA113" s="196">
        <f t="shared" si="26"/>
        <v>0.74598937973611468</v>
      </c>
      <c r="BB113" s="210" t="s">
        <v>825</v>
      </c>
      <c r="BC113" s="115" t="s">
        <v>825</v>
      </c>
      <c r="BD113" s="236" t="s">
        <v>825</v>
      </c>
    </row>
    <row r="114" spans="1:56" s="121" customFormat="1" ht="14.25" customHeight="1">
      <c r="A114" s="104" t="s">
        <v>2577</v>
      </c>
      <c r="B114" s="105" t="s">
        <v>768</v>
      </c>
      <c r="C114" s="106" t="s">
        <v>753</v>
      </c>
      <c r="D114" s="106" t="s">
        <v>2415</v>
      </c>
      <c r="E114" s="71" t="s">
        <v>754</v>
      </c>
      <c r="F114" s="71" t="s">
        <v>2103</v>
      </c>
      <c r="G114" s="290" t="s">
        <v>2475</v>
      </c>
      <c r="H114" s="330">
        <v>851</v>
      </c>
      <c r="I114" s="111">
        <v>0</v>
      </c>
      <c r="J114" s="162">
        <v>40</v>
      </c>
      <c r="K114" s="113">
        <f t="shared" si="27"/>
        <v>891</v>
      </c>
      <c r="L114" s="115">
        <v>0</v>
      </c>
      <c r="M114" s="115">
        <v>0</v>
      </c>
      <c r="N114" s="115">
        <v>0</v>
      </c>
      <c r="O114" s="115">
        <v>0</v>
      </c>
      <c r="P114" s="122">
        <v>1.1499999999999999</v>
      </c>
      <c r="Q114" s="111">
        <v>8477</v>
      </c>
      <c r="R114" s="112"/>
      <c r="S114" s="111">
        <f t="shared" si="20"/>
        <v>9749</v>
      </c>
      <c r="T114" s="115">
        <v>560</v>
      </c>
      <c r="U114" s="144"/>
      <c r="V114" s="111">
        <v>110438</v>
      </c>
      <c r="W114" s="113">
        <f t="shared" si="30"/>
        <v>120747</v>
      </c>
      <c r="X114" s="111">
        <v>29922</v>
      </c>
      <c r="Y114" s="111">
        <v>1944</v>
      </c>
      <c r="Z114" s="116">
        <v>337</v>
      </c>
      <c r="AA114" s="111">
        <v>110438</v>
      </c>
      <c r="AB114" s="113">
        <f t="shared" si="28"/>
        <v>142641</v>
      </c>
      <c r="AC114" s="111">
        <v>11528</v>
      </c>
      <c r="AD114" s="111">
        <v>13182</v>
      </c>
      <c r="AE114" s="112">
        <v>0</v>
      </c>
      <c r="AF114" s="117">
        <v>4461</v>
      </c>
      <c r="AG114" s="111">
        <v>80493</v>
      </c>
      <c r="AH114" s="112">
        <v>24729</v>
      </c>
      <c r="AI114" s="112">
        <v>6015</v>
      </c>
      <c r="AJ114" s="113">
        <f t="shared" si="29"/>
        <v>140408</v>
      </c>
      <c r="AK114" s="112">
        <f t="shared" si="24"/>
        <v>1201370.912</v>
      </c>
      <c r="AL114" s="112">
        <f t="shared" si="24"/>
        <v>681783.39399999997</v>
      </c>
      <c r="AM114" s="112">
        <f t="shared" si="24"/>
        <v>519587.51799999998</v>
      </c>
      <c r="AN114" s="112">
        <f t="shared" si="24"/>
        <v>30758.006000000001</v>
      </c>
      <c r="AO114" s="192">
        <f t="shared" si="21"/>
        <v>0.56750449606357711</v>
      </c>
      <c r="AP114" s="193">
        <f t="shared" si="22"/>
        <v>151505.00599999999</v>
      </c>
      <c r="AQ114" s="193">
        <f t="shared" si="23"/>
        <v>-150614.00599999999</v>
      </c>
      <c r="AR114" s="118"/>
      <c r="AS114" s="237" t="s">
        <v>2607</v>
      </c>
      <c r="AT114" s="119"/>
      <c r="AU114" s="120"/>
      <c r="AV114" s="161"/>
      <c r="AW114" s="112">
        <v>1201370912</v>
      </c>
      <c r="AX114" s="162">
        <v>681783394</v>
      </c>
      <c r="AY114" s="162">
        <v>519587518</v>
      </c>
      <c r="AZ114" s="162">
        <v>30758006</v>
      </c>
      <c r="BA114" s="196">
        <f t="shared" si="26"/>
        <v>0.56750449606357711</v>
      </c>
      <c r="BB114" s="210">
        <v>236795</v>
      </c>
      <c r="BC114" s="115">
        <v>27479</v>
      </c>
      <c r="BD114" s="236">
        <v>0</v>
      </c>
    </row>
    <row r="115" spans="1:56" s="121" customFormat="1" ht="14.25" customHeight="1">
      <c r="A115" s="104" t="s">
        <v>2577</v>
      </c>
      <c r="B115" s="105" t="s">
        <v>777</v>
      </c>
      <c r="C115" s="106" t="s">
        <v>761</v>
      </c>
      <c r="D115" s="106" t="s">
        <v>2415</v>
      </c>
      <c r="E115" s="71" t="s">
        <v>762</v>
      </c>
      <c r="F115" s="71" t="s">
        <v>2473</v>
      </c>
      <c r="G115" s="290" t="s">
        <v>2477</v>
      </c>
      <c r="H115" s="330">
        <v>41</v>
      </c>
      <c r="I115" s="111">
        <v>0</v>
      </c>
      <c r="J115" s="162">
        <v>32</v>
      </c>
      <c r="K115" s="113">
        <f t="shared" si="27"/>
        <v>73</v>
      </c>
      <c r="L115" s="115">
        <v>0</v>
      </c>
      <c r="M115" s="115">
        <v>0</v>
      </c>
      <c r="N115" s="115">
        <v>0</v>
      </c>
      <c r="O115" s="115">
        <v>0</v>
      </c>
      <c r="P115" s="122">
        <v>0.95</v>
      </c>
      <c r="Q115" s="111">
        <v>8477</v>
      </c>
      <c r="R115" s="112"/>
      <c r="S115" s="111">
        <f t="shared" si="20"/>
        <v>8053</v>
      </c>
      <c r="T115" s="115">
        <v>14</v>
      </c>
      <c r="U115" s="144"/>
      <c r="V115" s="111">
        <v>19148</v>
      </c>
      <c r="W115" s="113">
        <f t="shared" si="30"/>
        <v>27215</v>
      </c>
      <c r="X115" s="111"/>
      <c r="Y115" s="111">
        <v>404</v>
      </c>
      <c r="Z115" s="116"/>
      <c r="AA115" s="111">
        <v>19148</v>
      </c>
      <c r="AB115" s="113">
        <f t="shared" si="28"/>
        <v>19552</v>
      </c>
      <c r="AC115" s="111">
        <v>1490</v>
      </c>
      <c r="AD115" s="111">
        <v>428</v>
      </c>
      <c r="AE115" s="112">
        <v>0</v>
      </c>
      <c r="AF115" s="117">
        <v>400</v>
      </c>
      <c r="AG115" s="111">
        <v>12246</v>
      </c>
      <c r="AH115" s="112">
        <v>1819</v>
      </c>
      <c r="AI115" s="112">
        <v>3170</v>
      </c>
      <c r="AJ115" s="113">
        <f t="shared" si="29"/>
        <v>19553</v>
      </c>
      <c r="AK115" s="112">
        <f t="shared" si="24"/>
        <v>97860</v>
      </c>
      <c r="AL115" s="112">
        <f t="shared" si="24"/>
        <v>58128.84</v>
      </c>
      <c r="AM115" s="112">
        <f t="shared" si="24"/>
        <v>39731.160000000003</v>
      </c>
      <c r="AN115" s="112">
        <f t="shared" si="24"/>
        <v>2642.22</v>
      </c>
      <c r="AO115" s="192">
        <f t="shared" si="21"/>
        <v>0.59399999999999997</v>
      </c>
      <c r="AP115" s="193">
        <f t="shared" si="22"/>
        <v>29857.22</v>
      </c>
      <c r="AQ115" s="193">
        <f t="shared" si="23"/>
        <v>-29784.22</v>
      </c>
      <c r="AR115" s="146"/>
      <c r="AS115" s="119"/>
      <c r="AT115" s="119"/>
      <c r="AU115" s="120"/>
      <c r="AV115" s="161"/>
      <c r="AW115" s="112">
        <v>97860000</v>
      </c>
      <c r="AX115" s="162">
        <v>58128840</v>
      </c>
      <c r="AY115" s="162">
        <v>39731160</v>
      </c>
      <c r="AZ115" s="162">
        <v>2642220</v>
      </c>
      <c r="BA115" s="196">
        <f t="shared" si="26"/>
        <v>0.59399999999999997</v>
      </c>
      <c r="BB115" s="210" t="s">
        <v>825</v>
      </c>
      <c r="BC115" s="115" t="s">
        <v>825</v>
      </c>
      <c r="BD115" s="236" t="s">
        <v>825</v>
      </c>
    </row>
    <row r="116" spans="1:56" s="121" customFormat="1" ht="14.25" customHeight="1">
      <c r="A116" s="104" t="s">
        <v>2577</v>
      </c>
      <c r="B116" s="105" t="s">
        <v>785</v>
      </c>
      <c r="C116" s="106" t="s">
        <v>769</v>
      </c>
      <c r="D116" s="106" t="s">
        <v>2415</v>
      </c>
      <c r="E116" s="71" t="s">
        <v>770</v>
      </c>
      <c r="F116" s="71" t="s">
        <v>2085</v>
      </c>
      <c r="G116" s="290" t="s">
        <v>2585</v>
      </c>
      <c r="H116" s="330">
        <v>10753</v>
      </c>
      <c r="I116" s="111">
        <v>1413</v>
      </c>
      <c r="J116" s="162"/>
      <c r="K116" s="113">
        <f t="shared" si="27"/>
        <v>12166</v>
      </c>
      <c r="L116" s="111">
        <v>7474</v>
      </c>
      <c r="M116" s="111">
        <v>5445</v>
      </c>
      <c r="N116" s="112"/>
      <c r="O116" s="111">
        <v>3401</v>
      </c>
      <c r="P116" s="114">
        <v>4</v>
      </c>
      <c r="Q116" s="111">
        <v>8477</v>
      </c>
      <c r="R116" s="115">
        <v>12336</v>
      </c>
      <c r="S116" s="111">
        <f t="shared" si="20"/>
        <v>46244</v>
      </c>
      <c r="T116" s="112">
        <v>9885</v>
      </c>
      <c r="U116" s="116"/>
      <c r="V116" s="112"/>
      <c r="W116" s="113">
        <f t="shared" si="30"/>
        <v>72449</v>
      </c>
      <c r="X116" s="111"/>
      <c r="Y116" s="111"/>
      <c r="Z116" s="116"/>
      <c r="AA116" s="111"/>
      <c r="AB116" s="113">
        <f t="shared" si="28"/>
        <v>0</v>
      </c>
      <c r="AC116" s="111"/>
      <c r="AD116" s="111"/>
      <c r="AE116" s="112"/>
      <c r="AF116" s="117"/>
      <c r="AG116" s="111"/>
      <c r="AH116" s="112"/>
      <c r="AI116" s="112"/>
      <c r="AJ116" s="113">
        <f t="shared" si="29"/>
        <v>0</v>
      </c>
      <c r="AK116" s="112">
        <f t="shared" si="24"/>
        <v>1099177.345</v>
      </c>
      <c r="AL116" s="112">
        <f t="shared" si="24"/>
        <v>738733.21900000004</v>
      </c>
      <c r="AM116" s="112">
        <f t="shared" si="24"/>
        <v>360444.12599999999</v>
      </c>
      <c r="AN116" s="112">
        <f t="shared" si="24"/>
        <v>21965.279999999999</v>
      </c>
      <c r="AO116" s="192">
        <f t="shared" si="21"/>
        <v>0.67207827959736566</v>
      </c>
      <c r="AP116" s="193">
        <f t="shared" si="22"/>
        <v>94414.28</v>
      </c>
      <c r="AQ116" s="193">
        <f t="shared" si="23"/>
        <v>-82248.28</v>
      </c>
      <c r="AR116" s="147"/>
      <c r="AS116" s="148"/>
      <c r="AT116" s="148"/>
      <c r="AU116" s="149"/>
      <c r="AV116" s="161"/>
      <c r="AW116" s="112">
        <v>1099177345</v>
      </c>
      <c r="AX116" s="162">
        <v>738733219</v>
      </c>
      <c r="AY116" s="162">
        <v>360444126</v>
      </c>
      <c r="AZ116" s="162">
        <v>21965280</v>
      </c>
      <c r="BA116" s="196">
        <f t="shared" si="26"/>
        <v>0.67207827959736566</v>
      </c>
      <c r="BB116" s="210">
        <v>293890</v>
      </c>
      <c r="BC116" s="115">
        <v>0</v>
      </c>
      <c r="BD116" s="236">
        <v>0</v>
      </c>
    </row>
    <row r="117" spans="1:56" s="121" customFormat="1" ht="14.25" customHeight="1">
      <c r="A117" s="104" t="s">
        <v>2577</v>
      </c>
      <c r="B117" s="105" t="s">
        <v>790</v>
      </c>
      <c r="C117" s="106" t="s">
        <v>778</v>
      </c>
      <c r="D117" s="106" t="s">
        <v>2415</v>
      </c>
      <c r="E117" s="71" t="s">
        <v>779</v>
      </c>
      <c r="F117" s="71" t="s">
        <v>708</v>
      </c>
      <c r="G117" s="290" t="s">
        <v>2602</v>
      </c>
      <c r="H117" s="330">
        <v>236</v>
      </c>
      <c r="I117" s="111"/>
      <c r="J117" s="162">
        <v>4451</v>
      </c>
      <c r="K117" s="113">
        <f t="shared" si="27"/>
        <v>4687</v>
      </c>
      <c r="L117" s="115"/>
      <c r="M117" s="115"/>
      <c r="N117" s="112">
        <v>276</v>
      </c>
      <c r="O117" s="115">
        <v>144</v>
      </c>
      <c r="P117" s="122">
        <v>0.3</v>
      </c>
      <c r="Q117" s="111">
        <v>8477</v>
      </c>
      <c r="R117" s="112"/>
      <c r="S117" s="111">
        <f t="shared" si="20"/>
        <v>2543</v>
      </c>
      <c r="T117" s="112"/>
      <c r="U117" s="144"/>
      <c r="V117" s="111">
        <v>16437</v>
      </c>
      <c r="W117" s="113">
        <f t="shared" si="30"/>
        <v>19400</v>
      </c>
      <c r="X117" s="111"/>
      <c r="Y117" s="111"/>
      <c r="Z117" s="116"/>
      <c r="AA117" s="111">
        <v>16437</v>
      </c>
      <c r="AB117" s="113">
        <f t="shared" si="28"/>
        <v>16437</v>
      </c>
      <c r="AC117" s="111">
        <v>2810</v>
      </c>
      <c r="AD117" s="111">
        <v>2043</v>
      </c>
      <c r="AE117" s="112"/>
      <c r="AF117" s="117">
        <v>305</v>
      </c>
      <c r="AG117" s="111">
        <v>9237</v>
      </c>
      <c r="AH117" s="112">
        <v>1014</v>
      </c>
      <c r="AI117" s="112">
        <v>49</v>
      </c>
      <c r="AJ117" s="113">
        <f t="shared" si="29"/>
        <v>15458</v>
      </c>
      <c r="AK117" s="112">
        <f t="shared" si="24"/>
        <v>144289.69899999999</v>
      </c>
      <c r="AL117" s="112">
        <f t="shared" si="24"/>
        <v>90938.854999999996</v>
      </c>
      <c r="AM117" s="112">
        <f t="shared" si="24"/>
        <v>53350.843999999997</v>
      </c>
      <c r="AN117" s="112">
        <f t="shared" si="24"/>
        <v>3080.6439999999998</v>
      </c>
      <c r="AO117" s="192">
        <f t="shared" si="21"/>
        <v>0.63025188651893993</v>
      </c>
      <c r="AP117" s="193">
        <f t="shared" si="22"/>
        <v>22480.644</v>
      </c>
      <c r="AQ117" s="193">
        <f t="shared" si="23"/>
        <v>-17793.644</v>
      </c>
      <c r="AR117" s="118"/>
      <c r="AS117" s="119"/>
      <c r="AT117" s="119"/>
      <c r="AU117" s="120"/>
      <c r="AV117" s="161"/>
      <c r="AW117" s="112">
        <v>144289699</v>
      </c>
      <c r="AX117" s="162">
        <v>90938855</v>
      </c>
      <c r="AY117" s="162">
        <v>53350844</v>
      </c>
      <c r="AZ117" s="162">
        <v>3080644</v>
      </c>
      <c r="BA117" s="196">
        <f t="shared" si="26"/>
        <v>0.63025188651893993</v>
      </c>
      <c r="BB117" s="210" t="s">
        <v>825</v>
      </c>
      <c r="BC117" s="115" t="s">
        <v>825</v>
      </c>
      <c r="BD117" s="236" t="s">
        <v>825</v>
      </c>
    </row>
    <row r="118" spans="1:56" s="121" customFormat="1" ht="14.25" customHeight="1">
      <c r="A118" s="104" t="s">
        <v>2577</v>
      </c>
      <c r="B118" s="105" t="s">
        <v>793</v>
      </c>
      <c r="C118" s="106" t="s">
        <v>800</v>
      </c>
      <c r="D118" s="106" t="s">
        <v>2606</v>
      </c>
      <c r="E118" s="71" t="s">
        <v>801</v>
      </c>
      <c r="F118" s="71" t="s">
        <v>170</v>
      </c>
      <c r="G118" s="68" t="s">
        <v>802</v>
      </c>
      <c r="H118" s="110">
        <v>1716</v>
      </c>
      <c r="I118" s="111">
        <v>8</v>
      </c>
      <c r="J118" s="162">
        <v>104</v>
      </c>
      <c r="K118" s="113">
        <f t="shared" si="27"/>
        <v>1828</v>
      </c>
      <c r="L118" s="111">
        <v>13905</v>
      </c>
      <c r="M118" s="111">
        <v>27213</v>
      </c>
      <c r="N118" s="112"/>
      <c r="O118" s="111">
        <v>2721</v>
      </c>
      <c r="P118" s="114">
        <v>5.75</v>
      </c>
      <c r="Q118" s="111">
        <v>8477</v>
      </c>
      <c r="R118" s="115">
        <v>55874</v>
      </c>
      <c r="S118" s="111">
        <f t="shared" si="20"/>
        <v>104617</v>
      </c>
      <c r="T118" s="112">
        <v>199769</v>
      </c>
      <c r="U118" s="116"/>
      <c r="V118" s="112"/>
      <c r="W118" s="113">
        <f t="shared" si="30"/>
        <v>348225</v>
      </c>
      <c r="X118" s="111"/>
      <c r="Y118" s="111"/>
      <c r="Z118" s="116"/>
      <c r="AA118" s="111"/>
      <c r="AB118" s="113">
        <f t="shared" si="28"/>
        <v>0</v>
      </c>
      <c r="AC118" s="111"/>
      <c r="AD118" s="111"/>
      <c r="AE118" s="112"/>
      <c r="AF118" s="117"/>
      <c r="AG118" s="111"/>
      <c r="AH118" s="112"/>
      <c r="AI118" s="112"/>
      <c r="AJ118" s="113">
        <f t="shared" si="29"/>
        <v>0</v>
      </c>
      <c r="AK118" s="112">
        <f t="shared" si="24"/>
        <v>1937026.6</v>
      </c>
      <c r="AL118" s="112">
        <f t="shared" si="24"/>
        <v>767038.20400000003</v>
      </c>
      <c r="AM118" s="112">
        <f t="shared" si="24"/>
        <v>1169988.3959999999</v>
      </c>
      <c r="AN118" s="112">
        <f t="shared" si="24"/>
        <v>0</v>
      </c>
      <c r="AO118" s="192">
        <f t="shared" si="21"/>
        <v>0</v>
      </c>
      <c r="AP118" s="193">
        <f t="shared" si="22"/>
        <v>348225</v>
      </c>
      <c r="AQ118" s="193">
        <f t="shared" si="23"/>
        <v>-346397</v>
      </c>
      <c r="AR118" s="118"/>
      <c r="AS118" s="119"/>
      <c r="AT118" s="119"/>
      <c r="AU118" s="120"/>
      <c r="AV118" s="161"/>
      <c r="AW118" s="112">
        <v>1937026600</v>
      </c>
      <c r="AX118" s="162">
        <v>767038204</v>
      </c>
      <c r="AY118" s="162">
        <v>1169988396</v>
      </c>
      <c r="AZ118" s="162"/>
      <c r="BA118" s="196"/>
      <c r="BB118" s="210" t="s">
        <v>825</v>
      </c>
      <c r="BC118" s="115" t="s">
        <v>825</v>
      </c>
      <c r="BD118" s="236" t="s">
        <v>825</v>
      </c>
    </row>
    <row r="119" spans="1:56" s="121" customFormat="1" ht="14.25" customHeight="1">
      <c r="A119" s="104" t="s">
        <v>2577</v>
      </c>
      <c r="B119" s="105" t="s">
        <v>795</v>
      </c>
      <c r="C119" s="106" t="s">
        <v>812</v>
      </c>
      <c r="D119" s="106" t="s">
        <v>2606</v>
      </c>
      <c r="E119" s="71" t="s">
        <v>813</v>
      </c>
      <c r="F119" s="71" t="s">
        <v>170</v>
      </c>
      <c r="G119" s="68" t="s">
        <v>802</v>
      </c>
      <c r="H119" s="110"/>
      <c r="I119" s="111"/>
      <c r="J119" s="162"/>
      <c r="K119" s="113">
        <f t="shared" si="27"/>
        <v>0</v>
      </c>
      <c r="L119" s="111"/>
      <c r="M119" s="111"/>
      <c r="N119" s="112"/>
      <c r="O119" s="111"/>
      <c r="P119" s="122">
        <v>0.35</v>
      </c>
      <c r="Q119" s="111">
        <v>8477</v>
      </c>
      <c r="R119" s="112"/>
      <c r="S119" s="111">
        <f t="shared" si="20"/>
        <v>2967</v>
      </c>
      <c r="T119" s="112">
        <v>7000</v>
      </c>
      <c r="U119" s="116"/>
      <c r="V119" s="111">
        <v>34667</v>
      </c>
      <c r="W119" s="113">
        <f t="shared" si="30"/>
        <v>44634</v>
      </c>
      <c r="X119" s="111"/>
      <c r="Y119" s="111"/>
      <c r="Z119" s="116">
        <v>7</v>
      </c>
      <c r="AA119" s="111">
        <v>34667</v>
      </c>
      <c r="AB119" s="113">
        <f t="shared" si="28"/>
        <v>34674</v>
      </c>
      <c r="AC119" s="111"/>
      <c r="AD119" s="111"/>
      <c r="AE119" s="112"/>
      <c r="AF119" s="117"/>
      <c r="AG119" s="111">
        <v>32353</v>
      </c>
      <c r="AH119" s="112">
        <v>1578</v>
      </c>
      <c r="AI119" s="112"/>
      <c r="AJ119" s="113">
        <f t="shared" si="29"/>
        <v>33931</v>
      </c>
      <c r="AK119" s="112">
        <f t="shared" si="24"/>
        <v>351701.93860259512</v>
      </c>
      <c r="AL119" s="112">
        <f t="shared" si="24"/>
        <v>165790.65660732376</v>
      </c>
      <c r="AM119" s="112">
        <f t="shared" si="24"/>
        <v>185911.28199527139</v>
      </c>
      <c r="AN119" s="112">
        <f t="shared" si="24"/>
        <v>0</v>
      </c>
      <c r="AO119" s="192">
        <f t="shared" si="21"/>
        <v>0</v>
      </c>
      <c r="AP119" s="193">
        <f t="shared" si="22"/>
        <v>44634</v>
      </c>
      <c r="AQ119" s="193">
        <f t="shared" si="23"/>
        <v>-44634</v>
      </c>
      <c r="AR119" s="118"/>
      <c r="AS119" s="119"/>
      <c r="AT119" s="119"/>
      <c r="AU119" s="120"/>
      <c r="AV119" s="161"/>
      <c r="AW119" s="112">
        <v>351701938.60259515</v>
      </c>
      <c r="AX119" s="162">
        <v>165790656.60732377</v>
      </c>
      <c r="AY119" s="162">
        <v>185911281.99527138</v>
      </c>
      <c r="AZ119" s="162"/>
      <c r="BA119" s="196"/>
      <c r="BB119" s="210" t="s">
        <v>825</v>
      </c>
      <c r="BC119" s="115" t="s">
        <v>825</v>
      </c>
      <c r="BD119" s="236" t="s">
        <v>825</v>
      </c>
    </row>
    <row r="120" spans="1:56" s="121" customFormat="1" ht="14.25" customHeight="1">
      <c r="A120" s="104" t="s">
        <v>2577</v>
      </c>
      <c r="B120" s="105" t="s">
        <v>799</v>
      </c>
      <c r="C120" s="106" t="s">
        <v>818</v>
      </c>
      <c r="D120" s="106" t="s">
        <v>2606</v>
      </c>
      <c r="E120" s="71" t="s">
        <v>819</v>
      </c>
      <c r="F120" s="71" t="s">
        <v>170</v>
      </c>
      <c r="G120" s="68" t="s">
        <v>802</v>
      </c>
      <c r="H120" s="110"/>
      <c r="I120" s="111"/>
      <c r="J120" s="162"/>
      <c r="K120" s="113">
        <f t="shared" si="27"/>
        <v>0</v>
      </c>
      <c r="L120" s="111"/>
      <c r="M120" s="115"/>
      <c r="N120" s="115"/>
      <c r="O120" s="115"/>
      <c r="P120" s="122">
        <v>0.35</v>
      </c>
      <c r="Q120" s="111">
        <v>8477</v>
      </c>
      <c r="R120" s="112"/>
      <c r="S120" s="111">
        <f t="shared" si="20"/>
        <v>2967</v>
      </c>
      <c r="T120" s="115">
        <v>7493</v>
      </c>
      <c r="U120" s="116"/>
      <c r="V120" s="111">
        <v>28725</v>
      </c>
      <c r="W120" s="113">
        <f t="shared" si="30"/>
        <v>39185</v>
      </c>
      <c r="X120" s="111"/>
      <c r="Y120" s="111">
        <v>43</v>
      </c>
      <c r="Z120" s="116">
        <v>5</v>
      </c>
      <c r="AA120" s="111">
        <v>28725</v>
      </c>
      <c r="AB120" s="113">
        <f t="shared" si="28"/>
        <v>28773</v>
      </c>
      <c r="AC120" s="111"/>
      <c r="AD120" s="111"/>
      <c r="AE120" s="112"/>
      <c r="AF120" s="117">
        <v>83</v>
      </c>
      <c r="AG120" s="111">
        <v>27094</v>
      </c>
      <c r="AH120" s="112">
        <v>1689</v>
      </c>
      <c r="AI120" s="112"/>
      <c r="AJ120" s="113">
        <f t="shared" si="29"/>
        <v>28866</v>
      </c>
      <c r="AK120" s="112">
        <f t="shared" si="24"/>
        <v>255529.54404886102</v>
      </c>
      <c r="AL120" s="112">
        <f t="shared" si="24"/>
        <v>149396.02630180545</v>
      </c>
      <c r="AM120" s="112">
        <f t="shared" si="24"/>
        <v>106133.51774705558</v>
      </c>
      <c r="AN120" s="112">
        <f t="shared" si="24"/>
        <v>0</v>
      </c>
      <c r="AO120" s="192">
        <f t="shared" si="21"/>
        <v>0</v>
      </c>
      <c r="AP120" s="193">
        <f t="shared" si="22"/>
        <v>39185</v>
      </c>
      <c r="AQ120" s="193">
        <f t="shared" si="23"/>
        <v>-39185</v>
      </c>
      <c r="AR120" s="118"/>
      <c r="AS120" s="119"/>
      <c r="AT120" s="119"/>
      <c r="AU120" s="120"/>
      <c r="AV120" s="161"/>
      <c r="AW120" s="112">
        <v>255529544.04886103</v>
      </c>
      <c r="AX120" s="162">
        <v>149396026.30180547</v>
      </c>
      <c r="AY120" s="162">
        <v>106133517.74705558</v>
      </c>
      <c r="AZ120" s="162"/>
      <c r="BA120" s="196"/>
      <c r="BB120" s="210" t="s">
        <v>825</v>
      </c>
      <c r="BC120" s="115" t="s">
        <v>825</v>
      </c>
      <c r="BD120" s="236" t="s">
        <v>825</v>
      </c>
    </row>
    <row r="121" spans="1:56" s="121" customFormat="1" ht="14.25" customHeight="1">
      <c r="A121" s="104" t="s">
        <v>2577</v>
      </c>
      <c r="B121" s="105" t="s">
        <v>811</v>
      </c>
      <c r="C121" s="106" t="s">
        <v>822</v>
      </c>
      <c r="D121" s="106" t="s">
        <v>2606</v>
      </c>
      <c r="E121" s="71" t="s">
        <v>823</v>
      </c>
      <c r="F121" s="71" t="s">
        <v>170</v>
      </c>
      <c r="G121" s="68" t="s">
        <v>802</v>
      </c>
      <c r="H121" s="110"/>
      <c r="I121" s="111"/>
      <c r="J121" s="162"/>
      <c r="K121" s="113">
        <f t="shared" si="27"/>
        <v>0</v>
      </c>
      <c r="L121" s="111"/>
      <c r="M121" s="111">
        <v>179</v>
      </c>
      <c r="N121" s="112"/>
      <c r="O121" s="111"/>
      <c r="P121" s="114"/>
      <c r="Q121" s="111">
        <v>8477</v>
      </c>
      <c r="R121" s="115">
        <v>10272</v>
      </c>
      <c r="S121" s="111">
        <f t="shared" si="20"/>
        <v>10272</v>
      </c>
      <c r="T121" s="112"/>
      <c r="U121" s="116"/>
      <c r="V121" s="112"/>
      <c r="W121" s="113">
        <f t="shared" si="30"/>
        <v>10451</v>
      </c>
      <c r="X121" s="111"/>
      <c r="Y121" s="111"/>
      <c r="Z121" s="116"/>
      <c r="AA121" s="111"/>
      <c r="AB121" s="113">
        <f t="shared" si="28"/>
        <v>0</v>
      </c>
      <c r="AC121" s="111"/>
      <c r="AD121" s="111"/>
      <c r="AE121" s="112"/>
      <c r="AF121" s="117"/>
      <c r="AG121" s="111"/>
      <c r="AH121" s="112"/>
      <c r="AI121" s="112"/>
      <c r="AJ121" s="113">
        <f t="shared" si="29"/>
        <v>0</v>
      </c>
      <c r="AK121" s="112">
        <f t="shared" si="24"/>
        <v>18354</v>
      </c>
      <c r="AL121" s="112">
        <f t="shared" si="24"/>
        <v>4404.96</v>
      </c>
      <c r="AM121" s="112">
        <f t="shared" si="24"/>
        <v>13949.04</v>
      </c>
      <c r="AN121" s="112">
        <f t="shared" si="24"/>
        <v>0</v>
      </c>
      <c r="AO121" s="192">
        <f t="shared" si="21"/>
        <v>0</v>
      </c>
      <c r="AP121" s="193">
        <f t="shared" si="22"/>
        <v>10451</v>
      </c>
      <c r="AQ121" s="193">
        <f t="shared" si="23"/>
        <v>-10451</v>
      </c>
      <c r="AR121" s="118"/>
      <c r="AS121" s="119"/>
      <c r="AT121" s="119"/>
      <c r="AU121" s="120"/>
      <c r="AV121" s="161"/>
      <c r="AW121" s="112">
        <v>18354000</v>
      </c>
      <c r="AX121" s="162">
        <v>4404960</v>
      </c>
      <c r="AY121" s="162">
        <v>13949040</v>
      </c>
      <c r="AZ121" s="162"/>
      <c r="BA121" s="196"/>
      <c r="BB121" s="210" t="s">
        <v>825</v>
      </c>
      <c r="BC121" s="115" t="s">
        <v>825</v>
      </c>
      <c r="BD121" s="236" t="s">
        <v>825</v>
      </c>
    </row>
    <row r="122" spans="1:56" s="121" customFormat="1" ht="14.25" customHeight="1">
      <c r="A122" s="104" t="s">
        <v>2577</v>
      </c>
      <c r="B122" s="105" t="s">
        <v>817</v>
      </c>
      <c r="C122" s="106" t="s">
        <v>830</v>
      </c>
      <c r="D122" s="106" t="s">
        <v>2606</v>
      </c>
      <c r="E122" s="71" t="s">
        <v>831</v>
      </c>
      <c r="F122" s="71" t="s">
        <v>170</v>
      </c>
      <c r="G122" s="68" t="s">
        <v>802</v>
      </c>
      <c r="H122" s="110"/>
      <c r="I122" s="111"/>
      <c r="J122" s="162"/>
      <c r="K122" s="113">
        <f t="shared" si="27"/>
        <v>0</v>
      </c>
      <c r="L122" s="111"/>
      <c r="M122" s="111"/>
      <c r="N122" s="112"/>
      <c r="O122" s="111"/>
      <c r="P122" s="122">
        <v>0.35</v>
      </c>
      <c r="Q122" s="111">
        <v>8477</v>
      </c>
      <c r="R122" s="112"/>
      <c r="S122" s="111">
        <f t="shared" si="20"/>
        <v>2967</v>
      </c>
      <c r="T122" s="112">
        <v>657</v>
      </c>
      <c r="U122" s="116"/>
      <c r="V122" s="111">
        <v>9874</v>
      </c>
      <c r="W122" s="113">
        <f t="shared" si="30"/>
        <v>13498</v>
      </c>
      <c r="X122" s="111"/>
      <c r="Y122" s="111"/>
      <c r="Z122" s="116"/>
      <c r="AA122" s="111">
        <v>9874</v>
      </c>
      <c r="AB122" s="113">
        <f t="shared" si="28"/>
        <v>9874</v>
      </c>
      <c r="AC122" s="111">
        <v>310</v>
      </c>
      <c r="AD122" s="111"/>
      <c r="AE122" s="112"/>
      <c r="AF122" s="117"/>
      <c r="AG122" s="111">
        <v>8121</v>
      </c>
      <c r="AH122" s="112">
        <v>161</v>
      </c>
      <c r="AI122" s="112"/>
      <c r="AJ122" s="113">
        <f t="shared" si="29"/>
        <v>8592</v>
      </c>
      <c r="AK122" s="112">
        <f t="shared" si="24"/>
        <v>31492.345867186392</v>
      </c>
      <c r="AL122" s="112">
        <f t="shared" si="24"/>
        <v>9558.8307552407678</v>
      </c>
      <c r="AM122" s="112">
        <f t="shared" si="24"/>
        <v>21933.515111945624</v>
      </c>
      <c r="AN122" s="112">
        <f t="shared" si="24"/>
        <v>0</v>
      </c>
      <c r="AO122" s="192">
        <f t="shared" si="21"/>
        <v>0</v>
      </c>
      <c r="AP122" s="193">
        <f t="shared" si="22"/>
        <v>13498</v>
      </c>
      <c r="AQ122" s="193">
        <f t="shared" si="23"/>
        <v>-13498</v>
      </c>
      <c r="AR122" s="118"/>
      <c r="AS122" s="119"/>
      <c r="AT122" s="119"/>
      <c r="AU122" s="120"/>
      <c r="AV122" s="161"/>
      <c r="AW122" s="112">
        <v>31492345.867186394</v>
      </c>
      <c r="AX122" s="162">
        <v>9558830.7552407682</v>
      </c>
      <c r="AY122" s="162">
        <v>21933515.111945625</v>
      </c>
      <c r="AZ122" s="162"/>
      <c r="BA122" s="196"/>
      <c r="BB122" s="210" t="s">
        <v>825</v>
      </c>
      <c r="BC122" s="115" t="s">
        <v>825</v>
      </c>
      <c r="BD122" s="236" t="s">
        <v>825</v>
      </c>
    </row>
    <row r="123" spans="1:56" s="121" customFormat="1" ht="14.25" customHeight="1">
      <c r="A123" s="104" t="s">
        <v>2577</v>
      </c>
      <c r="B123" s="105" t="s">
        <v>821</v>
      </c>
      <c r="C123" s="106" t="s">
        <v>834</v>
      </c>
      <c r="D123" s="106" t="s">
        <v>2415</v>
      </c>
      <c r="E123" s="71" t="s">
        <v>835</v>
      </c>
      <c r="F123" s="71" t="s">
        <v>170</v>
      </c>
      <c r="G123" s="68" t="s">
        <v>2605</v>
      </c>
      <c r="H123" s="110"/>
      <c r="I123" s="111"/>
      <c r="J123" s="162">
        <v>592</v>
      </c>
      <c r="K123" s="113">
        <f t="shared" si="27"/>
        <v>592</v>
      </c>
      <c r="L123" s="111">
        <v>12591</v>
      </c>
      <c r="M123" s="111">
        <v>5152</v>
      </c>
      <c r="N123" s="112"/>
      <c r="O123" s="111">
        <v>4855</v>
      </c>
      <c r="P123" s="115">
        <v>1</v>
      </c>
      <c r="Q123" s="111">
        <v>8477</v>
      </c>
      <c r="R123" s="115">
        <v>10201</v>
      </c>
      <c r="S123" s="111">
        <f t="shared" si="20"/>
        <v>18678</v>
      </c>
      <c r="T123" s="112">
        <v>25974</v>
      </c>
      <c r="U123" s="116">
        <v>79</v>
      </c>
      <c r="V123" s="111"/>
      <c r="W123" s="113">
        <f t="shared" si="30"/>
        <v>67329</v>
      </c>
      <c r="X123" s="111"/>
      <c r="Y123" s="111"/>
      <c r="Z123" s="116"/>
      <c r="AA123" s="111"/>
      <c r="AB123" s="113">
        <f t="shared" si="28"/>
        <v>0</v>
      </c>
      <c r="AC123" s="111"/>
      <c r="AD123" s="111"/>
      <c r="AE123" s="112"/>
      <c r="AF123" s="117"/>
      <c r="AG123" s="111"/>
      <c r="AH123" s="112"/>
      <c r="AI123" s="112"/>
      <c r="AJ123" s="113">
        <f t="shared" si="29"/>
        <v>0</v>
      </c>
      <c r="AK123" s="112">
        <f t="shared" si="24"/>
        <v>2398241.5809999998</v>
      </c>
      <c r="AL123" s="112">
        <f t="shared" si="24"/>
        <v>1756945.149</v>
      </c>
      <c r="AM123" s="112">
        <f t="shared" si="24"/>
        <v>641296.43200000003</v>
      </c>
      <c r="AN123" s="112">
        <f t="shared" si="24"/>
        <v>60621.05</v>
      </c>
      <c r="AO123" s="192">
        <f t="shared" si="21"/>
        <v>0.73259723412326239</v>
      </c>
      <c r="AP123" s="193">
        <f t="shared" si="22"/>
        <v>127950.05</v>
      </c>
      <c r="AQ123" s="193">
        <f t="shared" si="23"/>
        <v>-127358.05</v>
      </c>
      <c r="AR123" s="118"/>
      <c r="AS123" s="119"/>
      <c r="AT123" s="119"/>
      <c r="AU123" s="120"/>
      <c r="AV123" s="161"/>
      <c r="AW123" s="112">
        <v>2398241581</v>
      </c>
      <c r="AX123" s="162">
        <v>1756945149</v>
      </c>
      <c r="AY123" s="162">
        <v>641296432</v>
      </c>
      <c r="AZ123" s="162">
        <v>60621050</v>
      </c>
      <c r="BA123" s="196">
        <f t="shared" ref="BA123:BA142" si="31">AX123/AW123</f>
        <v>0.73259723412326239</v>
      </c>
      <c r="BB123" s="210">
        <v>244863</v>
      </c>
      <c r="BC123" s="115">
        <v>32278</v>
      </c>
      <c r="BD123" s="236">
        <v>0</v>
      </c>
    </row>
    <row r="124" spans="1:56" s="121" customFormat="1" ht="14.25" customHeight="1">
      <c r="A124" s="104" t="s">
        <v>2577</v>
      </c>
      <c r="B124" s="105" t="s">
        <v>829</v>
      </c>
      <c r="C124" s="106" t="s">
        <v>850</v>
      </c>
      <c r="D124" s="106" t="s">
        <v>2415</v>
      </c>
      <c r="E124" s="71" t="s">
        <v>851</v>
      </c>
      <c r="F124" s="71" t="s">
        <v>170</v>
      </c>
      <c r="G124" s="68" t="s">
        <v>2605</v>
      </c>
      <c r="H124" s="110"/>
      <c r="I124" s="111"/>
      <c r="J124" s="162">
        <v>381</v>
      </c>
      <c r="K124" s="113">
        <f t="shared" si="27"/>
        <v>381</v>
      </c>
      <c r="L124" s="111">
        <v>11071</v>
      </c>
      <c r="M124" s="111">
        <v>4210</v>
      </c>
      <c r="N124" s="112"/>
      <c r="O124" s="111">
        <v>4939</v>
      </c>
      <c r="P124" s="115">
        <v>1</v>
      </c>
      <c r="Q124" s="111">
        <v>8477</v>
      </c>
      <c r="R124" s="115">
        <v>7435</v>
      </c>
      <c r="S124" s="111">
        <f t="shared" si="20"/>
        <v>15912</v>
      </c>
      <c r="T124" s="112">
        <v>20452</v>
      </c>
      <c r="U124" s="116">
        <v>29</v>
      </c>
      <c r="V124" s="111"/>
      <c r="W124" s="113">
        <f t="shared" si="30"/>
        <v>56613</v>
      </c>
      <c r="X124" s="111"/>
      <c r="Y124" s="111"/>
      <c r="Z124" s="116"/>
      <c r="AA124" s="111"/>
      <c r="AB124" s="113">
        <f t="shared" si="28"/>
        <v>0</v>
      </c>
      <c r="AC124" s="111"/>
      <c r="AD124" s="111"/>
      <c r="AE124" s="112"/>
      <c r="AF124" s="117"/>
      <c r="AG124" s="111"/>
      <c r="AH124" s="112"/>
      <c r="AI124" s="112"/>
      <c r="AJ124" s="113">
        <f t="shared" si="29"/>
        <v>0</v>
      </c>
      <c r="AK124" s="112">
        <f t="shared" si="24"/>
        <v>2640523.3480000002</v>
      </c>
      <c r="AL124" s="112">
        <f t="shared" si="24"/>
        <v>1745464.3689999999</v>
      </c>
      <c r="AM124" s="112">
        <f t="shared" si="24"/>
        <v>895058.97900000005</v>
      </c>
      <c r="AN124" s="112">
        <f t="shared" si="24"/>
        <v>53082.845999999998</v>
      </c>
      <c r="AO124" s="192">
        <f t="shared" si="21"/>
        <v>0.66102970470685651</v>
      </c>
      <c r="AP124" s="193">
        <f t="shared" si="22"/>
        <v>109695.84599999999</v>
      </c>
      <c r="AQ124" s="193">
        <f t="shared" si="23"/>
        <v>-109314.84599999999</v>
      </c>
      <c r="AR124" s="118"/>
      <c r="AS124" s="119"/>
      <c r="AT124" s="119"/>
      <c r="AU124" s="120"/>
      <c r="AV124" s="161"/>
      <c r="AW124" s="112">
        <v>2640523348</v>
      </c>
      <c r="AX124" s="162">
        <v>1745464369</v>
      </c>
      <c r="AY124" s="162">
        <v>895058979</v>
      </c>
      <c r="AZ124" s="162">
        <v>53082846</v>
      </c>
      <c r="BA124" s="196">
        <f t="shared" si="31"/>
        <v>0.66102970470685651</v>
      </c>
      <c r="BB124" s="210">
        <v>141910</v>
      </c>
      <c r="BC124" s="115">
        <v>42532</v>
      </c>
      <c r="BD124" s="236">
        <v>0</v>
      </c>
    </row>
    <row r="125" spans="1:56" s="121" customFormat="1" ht="14.25" customHeight="1">
      <c r="A125" s="104" t="s">
        <v>2577</v>
      </c>
      <c r="B125" s="105" t="s">
        <v>833</v>
      </c>
      <c r="C125" s="106" t="s">
        <v>856</v>
      </c>
      <c r="D125" s="106" t="s">
        <v>2415</v>
      </c>
      <c r="E125" s="71" t="s">
        <v>857</v>
      </c>
      <c r="F125" s="71" t="s">
        <v>170</v>
      </c>
      <c r="G125" s="68" t="s">
        <v>2605</v>
      </c>
      <c r="H125" s="110"/>
      <c r="I125" s="111"/>
      <c r="J125" s="162">
        <v>573</v>
      </c>
      <c r="K125" s="113">
        <f t="shared" si="27"/>
        <v>573</v>
      </c>
      <c r="L125" s="111">
        <v>12648</v>
      </c>
      <c r="M125" s="111">
        <v>4185</v>
      </c>
      <c r="N125" s="112"/>
      <c r="O125" s="111">
        <v>5267</v>
      </c>
      <c r="P125" s="115">
        <v>1</v>
      </c>
      <c r="Q125" s="111">
        <v>8477</v>
      </c>
      <c r="R125" s="115">
        <v>8649</v>
      </c>
      <c r="S125" s="111">
        <f t="shared" si="20"/>
        <v>17126</v>
      </c>
      <c r="T125" s="112">
        <v>25112</v>
      </c>
      <c r="U125" s="116">
        <v>83</v>
      </c>
      <c r="V125" s="111"/>
      <c r="W125" s="113">
        <f t="shared" si="30"/>
        <v>64421</v>
      </c>
      <c r="X125" s="111"/>
      <c r="Y125" s="111"/>
      <c r="Z125" s="116"/>
      <c r="AA125" s="111"/>
      <c r="AB125" s="113">
        <f t="shared" si="28"/>
        <v>0</v>
      </c>
      <c r="AC125" s="111"/>
      <c r="AD125" s="111"/>
      <c r="AE125" s="112"/>
      <c r="AF125" s="117"/>
      <c r="AG125" s="111"/>
      <c r="AH125" s="112"/>
      <c r="AI125" s="112"/>
      <c r="AJ125" s="113">
        <f t="shared" si="29"/>
        <v>0</v>
      </c>
      <c r="AK125" s="112">
        <f t="shared" si="24"/>
        <v>2990861.15</v>
      </c>
      <c r="AL125" s="112">
        <f t="shared" si="24"/>
        <v>1822693.7520000001</v>
      </c>
      <c r="AM125" s="112">
        <f t="shared" si="24"/>
        <v>1168167.398</v>
      </c>
      <c r="AN125" s="112">
        <f t="shared" si="24"/>
        <v>50390.591</v>
      </c>
      <c r="AO125" s="192">
        <f t="shared" si="21"/>
        <v>0.60942105319733753</v>
      </c>
      <c r="AP125" s="193">
        <f t="shared" si="22"/>
        <v>114811.591</v>
      </c>
      <c r="AQ125" s="193">
        <f t="shared" si="23"/>
        <v>-114238.591</v>
      </c>
      <c r="AR125" s="118"/>
      <c r="AS125" s="119"/>
      <c r="AT125" s="119"/>
      <c r="AU125" s="120"/>
      <c r="AV125" s="161"/>
      <c r="AW125" s="112">
        <v>2990861150</v>
      </c>
      <c r="AX125" s="162">
        <v>1822693752</v>
      </c>
      <c r="AY125" s="162">
        <v>1168167398</v>
      </c>
      <c r="AZ125" s="162">
        <v>50390591</v>
      </c>
      <c r="BA125" s="196">
        <f t="shared" si="31"/>
        <v>0.60942105319733753</v>
      </c>
      <c r="BB125" s="210">
        <v>148786</v>
      </c>
      <c r="BC125" s="115">
        <v>46945</v>
      </c>
      <c r="BD125" s="236">
        <v>0</v>
      </c>
    </row>
    <row r="126" spans="1:56" s="121" customFormat="1" ht="14.25" customHeight="1">
      <c r="A126" s="104" t="s">
        <v>2577</v>
      </c>
      <c r="B126" s="105" t="s">
        <v>849</v>
      </c>
      <c r="C126" s="106" t="s">
        <v>864</v>
      </c>
      <c r="D126" s="106" t="s">
        <v>2415</v>
      </c>
      <c r="E126" s="71" t="s">
        <v>865</v>
      </c>
      <c r="F126" s="71" t="s">
        <v>170</v>
      </c>
      <c r="G126" s="68" t="s">
        <v>2605</v>
      </c>
      <c r="H126" s="110"/>
      <c r="I126" s="111"/>
      <c r="J126" s="162">
        <v>124</v>
      </c>
      <c r="K126" s="113">
        <f t="shared" si="27"/>
        <v>124</v>
      </c>
      <c r="L126" s="111">
        <v>14577</v>
      </c>
      <c r="M126" s="111">
        <v>3862</v>
      </c>
      <c r="N126" s="112"/>
      <c r="O126" s="111">
        <v>1251</v>
      </c>
      <c r="P126" s="115">
        <v>1</v>
      </c>
      <c r="Q126" s="111">
        <v>8477</v>
      </c>
      <c r="R126" s="115">
        <v>5835</v>
      </c>
      <c r="S126" s="111">
        <f t="shared" si="20"/>
        <v>14312</v>
      </c>
      <c r="T126" s="112">
        <v>8098</v>
      </c>
      <c r="U126" s="116">
        <v>184</v>
      </c>
      <c r="V126" s="111"/>
      <c r="W126" s="113">
        <f t="shared" si="30"/>
        <v>42284</v>
      </c>
      <c r="X126" s="111"/>
      <c r="Y126" s="111"/>
      <c r="Z126" s="116"/>
      <c r="AA126" s="111"/>
      <c r="AB126" s="113">
        <f t="shared" si="28"/>
        <v>0</v>
      </c>
      <c r="AC126" s="111"/>
      <c r="AD126" s="111"/>
      <c r="AE126" s="112"/>
      <c r="AF126" s="117"/>
      <c r="AG126" s="111"/>
      <c r="AH126" s="112"/>
      <c r="AI126" s="112"/>
      <c r="AJ126" s="113">
        <f t="shared" si="29"/>
        <v>0</v>
      </c>
      <c r="AK126" s="112">
        <f t="shared" si="24"/>
        <v>1901378.091</v>
      </c>
      <c r="AL126" s="112">
        <f t="shared" si="24"/>
        <v>1346370.148</v>
      </c>
      <c r="AM126" s="112">
        <f t="shared" si="24"/>
        <v>555007.94299999997</v>
      </c>
      <c r="AN126" s="112">
        <f t="shared" si="24"/>
        <v>47779.718000000001</v>
      </c>
      <c r="AO126" s="192">
        <f t="shared" si="21"/>
        <v>0.70810227296344708</v>
      </c>
      <c r="AP126" s="193">
        <f t="shared" si="22"/>
        <v>90063.717999999993</v>
      </c>
      <c r="AQ126" s="193">
        <f t="shared" si="23"/>
        <v>-89939.717999999993</v>
      </c>
      <c r="AR126" s="118"/>
      <c r="AS126" s="119"/>
      <c r="AT126" s="119"/>
      <c r="AU126" s="120"/>
      <c r="AV126" s="161"/>
      <c r="AW126" s="112">
        <v>1901378091</v>
      </c>
      <c r="AX126" s="162">
        <v>1346370148</v>
      </c>
      <c r="AY126" s="162">
        <v>555007943</v>
      </c>
      <c r="AZ126" s="162">
        <v>47779718</v>
      </c>
      <c r="BA126" s="196">
        <f t="shared" si="31"/>
        <v>0.70810227296344708</v>
      </c>
      <c r="BB126" s="210">
        <v>225323</v>
      </c>
      <c r="BC126" s="115">
        <v>0</v>
      </c>
      <c r="BD126" s="236">
        <v>16473</v>
      </c>
    </row>
    <row r="127" spans="1:56" s="121" customFormat="1" ht="14.25" customHeight="1">
      <c r="A127" s="104" t="s">
        <v>2577</v>
      </c>
      <c r="B127" s="105" t="s">
        <v>855</v>
      </c>
      <c r="C127" s="106" t="s">
        <v>870</v>
      </c>
      <c r="D127" s="106" t="s">
        <v>2415</v>
      </c>
      <c r="E127" s="71" t="s">
        <v>871</v>
      </c>
      <c r="F127" s="71" t="s">
        <v>170</v>
      </c>
      <c r="G127" s="68" t="s">
        <v>2605</v>
      </c>
      <c r="H127" s="110"/>
      <c r="I127" s="111"/>
      <c r="J127" s="162">
        <v>1374</v>
      </c>
      <c r="K127" s="113">
        <f t="shared" si="27"/>
        <v>1374</v>
      </c>
      <c r="L127" s="111">
        <v>11624</v>
      </c>
      <c r="M127" s="111">
        <v>3235</v>
      </c>
      <c r="N127" s="112"/>
      <c r="O127" s="111">
        <v>2332</v>
      </c>
      <c r="P127" s="115">
        <v>1</v>
      </c>
      <c r="Q127" s="111">
        <v>8477</v>
      </c>
      <c r="R127" s="115">
        <v>8240</v>
      </c>
      <c r="S127" s="111">
        <f t="shared" si="20"/>
        <v>16717</v>
      </c>
      <c r="T127" s="112">
        <v>17336</v>
      </c>
      <c r="U127" s="116">
        <v>34</v>
      </c>
      <c r="V127" s="111"/>
      <c r="W127" s="113">
        <f t="shared" si="30"/>
        <v>51278</v>
      </c>
      <c r="X127" s="111"/>
      <c r="Y127" s="111"/>
      <c r="Z127" s="116"/>
      <c r="AA127" s="111"/>
      <c r="AB127" s="113">
        <f t="shared" si="28"/>
        <v>0</v>
      </c>
      <c r="AC127" s="111"/>
      <c r="AD127" s="111"/>
      <c r="AE127" s="112"/>
      <c r="AF127" s="117"/>
      <c r="AG127" s="111"/>
      <c r="AH127" s="112"/>
      <c r="AI127" s="112"/>
      <c r="AJ127" s="113">
        <f t="shared" si="29"/>
        <v>0</v>
      </c>
      <c r="AK127" s="112">
        <f t="shared" si="24"/>
        <v>2304176.2889999999</v>
      </c>
      <c r="AL127" s="112">
        <f t="shared" si="24"/>
        <v>1399275.7679999999</v>
      </c>
      <c r="AM127" s="112">
        <f t="shared" si="24"/>
        <v>904900.52099999995</v>
      </c>
      <c r="AN127" s="112">
        <f t="shared" si="24"/>
        <v>37192.063999999998</v>
      </c>
      <c r="AO127" s="192">
        <f t="shared" si="21"/>
        <v>0.60727808661171412</v>
      </c>
      <c r="AP127" s="193">
        <f t="shared" si="22"/>
        <v>88470.063999999998</v>
      </c>
      <c r="AQ127" s="193">
        <f t="shared" si="23"/>
        <v>-87096.063999999998</v>
      </c>
      <c r="AR127" s="118"/>
      <c r="AS127" s="119"/>
      <c r="AT127" s="119"/>
      <c r="AU127" s="120"/>
      <c r="AV127" s="161"/>
      <c r="AW127" s="112">
        <v>2304176289</v>
      </c>
      <c r="AX127" s="162">
        <v>1399275768</v>
      </c>
      <c r="AY127" s="162">
        <v>904900521</v>
      </c>
      <c r="AZ127" s="162">
        <v>37192064</v>
      </c>
      <c r="BA127" s="196">
        <f t="shared" si="31"/>
        <v>0.60727808661171412</v>
      </c>
      <c r="BB127" s="210">
        <v>302770</v>
      </c>
      <c r="BC127" s="115">
        <v>14727</v>
      </c>
      <c r="BD127" s="236">
        <v>0</v>
      </c>
    </row>
    <row r="128" spans="1:56" s="121" customFormat="1" ht="14.25" customHeight="1">
      <c r="A128" s="104" t="s">
        <v>2577</v>
      </c>
      <c r="B128" s="105" t="s">
        <v>863</v>
      </c>
      <c r="C128" s="106" t="s">
        <v>877</v>
      </c>
      <c r="D128" s="106" t="s">
        <v>2415</v>
      </c>
      <c r="E128" s="71" t="s">
        <v>878</v>
      </c>
      <c r="F128" s="71" t="s">
        <v>170</v>
      </c>
      <c r="G128" s="68" t="s">
        <v>2605</v>
      </c>
      <c r="H128" s="110"/>
      <c r="I128" s="111"/>
      <c r="J128" s="162">
        <v>363</v>
      </c>
      <c r="K128" s="113">
        <f t="shared" si="27"/>
        <v>363</v>
      </c>
      <c r="L128" s="111">
        <v>12390</v>
      </c>
      <c r="M128" s="111">
        <v>3440</v>
      </c>
      <c r="N128" s="112"/>
      <c r="O128" s="111">
        <v>3534</v>
      </c>
      <c r="P128" s="115"/>
      <c r="Q128" s="111">
        <v>8477</v>
      </c>
      <c r="R128" s="115">
        <v>13326</v>
      </c>
      <c r="S128" s="111">
        <f t="shared" si="20"/>
        <v>13326</v>
      </c>
      <c r="T128" s="112">
        <v>17697</v>
      </c>
      <c r="U128" s="116">
        <v>79</v>
      </c>
      <c r="V128" s="111"/>
      <c r="W128" s="113">
        <f t="shared" si="30"/>
        <v>50466</v>
      </c>
      <c r="X128" s="111"/>
      <c r="Y128" s="111"/>
      <c r="Z128" s="116"/>
      <c r="AA128" s="111"/>
      <c r="AB128" s="113">
        <f t="shared" si="28"/>
        <v>0</v>
      </c>
      <c r="AC128" s="111"/>
      <c r="AD128" s="111"/>
      <c r="AE128" s="112"/>
      <c r="AF128" s="117"/>
      <c r="AG128" s="111"/>
      <c r="AH128" s="112"/>
      <c r="AI128" s="112"/>
      <c r="AJ128" s="113">
        <f t="shared" si="29"/>
        <v>0</v>
      </c>
      <c r="AK128" s="112">
        <f t="shared" si="24"/>
        <v>2913723.4070000001</v>
      </c>
      <c r="AL128" s="112">
        <f t="shared" si="24"/>
        <v>1739570.7679999999</v>
      </c>
      <c r="AM128" s="112">
        <f t="shared" si="24"/>
        <v>1174152.639</v>
      </c>
      <c r="AN128" s="112">
        <f t="shared" si="24"/>
        <v>47078.232000000004</v>
      </c>
      <c r="AO128" s="192">
        <f t="shared" si="21"/>
        <v>0.59702673349872981</v>
      </c>
      <c r="AP128" s="193">
        <f t="shared" si="22"/>
        <v>97544.232000000004</v>
      </c>
      <c r="AQ128" s="193">
        <f t="shared" si="23"/>
        <v>-97181.232000000004</v>
      </c>
      <c r="AR128" s="118"/>
      <c r="AS128" s="119"/>
      <c r="AT128" s="119"/>
      <c r="AU128" s="120"/>
      <c r="AV128" s="161"/>
      <c r="AW128" s="112">
        <v>2913723407</v>
      </c>
      <c r="AX128" s="162">
        <v>1739570768</v>
      </c>
      <c r="AY128" s="162">
        <v>1174152639</v>
      </c>
      <c r="AZ128" s="162">
        <v>47078232</v>
      </c>
      <c r="BA128" s="196">
        <f t="shared" si="31"/>
        <v>0.59702673349872981</v>
      </c>
      <c r="BB128" s="210">
        <v>275482</v>
      </c>
      <c r="BC128" s="115">
        <v>26052</v>
      </c>
      <c r="BD128" s="236">
        <v>0</v>
      </c>
    </row>
    <row r="129" spans="1:56" s="121" customFormat="1" ht="14.25" customHeight="1">
      <c r="A129" s="104" t="s">
        <v>2577</v>
      </c>
      <c r="B129" s="105" t="s">
        <v>869</v>
      </c>
      <c r="C129" s="106" t="s">
        <v>883</v>
      </c>
      <c r="D129" s="106" t="s">
        <v>2415</v>
      </c>
      <c r="E129" s="71" t="s">
        <v>884</v>
      </c>
      <c r="F129" s="71" t="s">
        <v>170</v>
      </c>
      <c r="G129" s="68" t="s">
        <v>2605</v>
      </c>
      <c r="H129" s="110"/>
      <c r="I129" s="111"/>
      <c r="J129" s="162">
        <v>285</v>
      </c>
      <c r="K129" s="113">
        <f t="shared" si="27"/>
        <v>285</v>
      </c>
      <c r="L129" s="111">
        <v>9239</v>
      </c>
      <c r="M129" s="111">
        <v>3290</v>
      </c>
      <c r="N129" s="112"/>
      <c r="O129" s="111">
        <v>2369</v>
      </c>
      <c r="P129" s="115">
        <v>1</v>
      </c>
      <c r="Q129" s="111">
        <v>8477</v>
      </c>
      <c r="R129" s="115">
        <v>7983</v>
      </c>
      <c r="S129" s="111">
        <f t="shared" si="20"/>
        <v>16460</v>
      </c>
      <c r="T129" s="112">
        <v>17602</v>
      </c>
      <c r="U129" s="116">
        <v>51</v>
      </c>
      <c r="V129" s="111"/>
      <c r="W129" s="113">
        <f t="shared" si="30"/>
        <v>49011</v>
      </c>
      <c r="X129" s="111"/>
      <c r="Y129" s="111"/>
      <c r="Z129" s="116"/>
      <c r="AA129" s="111"/>
      <c r="AB129" s="113">
        <f t="shared" si="28"/>
        <v>0</v>
      </c>
      <c r="AC129" s="111"/>
      <c r="AD129" s="111"/>
      <c r="AE129" s="112"/>
      <c r="AF129" s="117"/>
      <c r="AG129" s="111"/>
      <c r="AH129" s="112"/>
      <c r="AI129" s="112"/>
      <c r="AJ129" s="113">
        <f t="shared" si="29"/>
        <v>0</v>
      </c>
      <c r="AK129" s="112">
        <f t="shared" si="24"/>
        <v>1792394.548</v>
      </c>
      <c r="AL129" s="112">
        <f t="shared" si="24"/>
        <v>1271103.0049999999</v>
      </c>
      <c r="AM129" s="112">
        <f t="shared" si="24"/>
        <v>521291.54300000001</v>
      </c>
      <c r="AN129" s="112">
        <f t="shared" si="24"/>
        <v>27307.117999999999</v>
      </c>
      <c r="AO129" s="192">
        <f t="shared" si="21"/>
        <v>0.70916473519646073</v>
      </c>
      <c r="AP129" s="193">
        <f t="shared" si="22"/>
        <v>76318.118000000002</v>
      </c>
      <c r="AQ129" s="193">
        <f t="shared" si="23"/>
        <v>-76033.118000000002</v>
      </c>
      <c r="AR129" s="118"/>
      <c r="AS129" s="119"/>
      <c r="AT129" s="119"/>
      <c r="AU129" s="120"/>
      <c r="AV129" s="161"/>
      <c r="AW129" s="112">
        <v>1792394548</v>
      </c>
      <c r="AX129" s="162">
        <v>1271103005</v>
      </c>
      <c r="AY129" s="162">
        <v>521291543</v>
      </c>
      <c r="AZ129" s="162">
        <v>27307118</v>
      </c>
      <c r="BA129" s="196">
        <f t="shared" si="31"/>
        <v>0.70916473519646073</v>
      </c>
      <c r="BB129" s="210">
        <v>196029</v>
      </c>
      <c r="BC129" s="115">
        <v>14874</v>
      </c>
      <c r="BD129" s="236">
        <v>0</v>
      </c>
    </row>
    <row r="130" spans="1:56" s="121" customFormat="1" ht="14.25" customHeight="1">
      <c r="A130" s="104" t="s">
        <v>2577</v>
      </c>
      <c r="B130" s="105" t="s">
        <v>876</v>
      </c>
      <c r="C130" s="106" t="s">
        <v>889</v>
      </c>
      <c r="D130" s="106" t="s">
        <v>2415</v>
      </c>
      <c r="E130" s="71" t="s">
        <v>890</v>
      </c>
      <c r="F130" s="71" t="s">
        <v>170</v>
      </c>
      <c r="G130" s="68" t="s">
        <v>2605</v>
      </c>
      <c r="H130" s="110"/>
      <c r="I130" s="111"/>
      <c r="J130" s="162">
        <v>437</v>
      </c>
      <c r="K130" s="113">
        <f t="shared" si="27"/>
        <v>437</v>
      </c>
      <c r="L130" s="111">
        <v>9774</v>
      </c>
      <c r="M130" s="111">
        <v>3945</v>
      </c>
      <c r="N130" s="112"/>
      <c r="O130" s="111">
        <v>1564</v>
      </c>
      <c r="P130" s="115">
        <v>1</v>
      </c>
      <c r="Q130" s="111">
        <v>8477</v>
      </c>
      <c r="R130" s="115">
        <v>8181</v>
      </c>
      <c r="S130" s="111">
        <f t="shared" si="20"/>
        <v>16658</v>
      </c>
      <c r="T130" s="112">
        <v>20135</v>
      </c>
      <c r="U130" s="116">
        <v>76</v>
      </c>
      <c r="V130" s="111"/>
      <c r="W130" s="113">
        <f t="shared" si="30"/>
        <v>52152</v>
      </c>
      <c r="X130" s="111"/>
      <c r="Y130" s="111"/>
      <c r="Z130" s="116"/>
      <c r="AA130" s="111"/>
      <c r="AB130" s="113">
        <f t="shared" si="28"/>
        <v>0</v>
      </c>
      <c r="AC130" s="111"/>
      <c r="AD130" s="111"/>
      <c r="AE130" s="112"/>
      <c r="AF130" s="117"/>
      <c r="AG130" s="111"/>
      <c r="AH130" s="112"/>
      <c r="AI130" s="112"/>
      <c r="AJ130" s="113">
        <f t="shared" si="29"/>
        <v>0</v>
      </c>
      <c r="AK130" s="112">
        <f t="shared" si="24"/>
        <v>2752533.838</v>
      </c>
      <c r="AL130" s="112">
        <f t="shared" si="24"/>
        <v>1505917.8840000001</v>
      </c>
      <c r="AM130" s="112">
        <f t="shared" si="24"/>
        <v>1246615.9539999999</v>
      </c>
      <c r="AN130" s="112">
        <f t="shared" si="24"/>
        <v>47335.762000000002</v>
      </c>
      <c r="AO130" s="192">
        <f t="shared" si="21"/>
        <v>0.54710240550365219</v>
      </c>
      <c r="AP130" s="193">
        <f t="shared" si="22"/>
        <v>99487.762000000002</v>
      </c>
      <c r="AQ130" s="193">
        <f t="shared" si="23"/>
        <v>-99050.762000000002</v>
      </c>
      <c r="AR130" s="118"/>
      <c r="AS130" s="119"/>
      <c r="AT130" s="119"/>
      <c r="AU130" s="120"/>
      <c r="AV130" s="161"/>
      <c r="AW130" s="112">
        <v>2752533838</v>
      </c>
      <c r="AX130" s="162">
        <v>1505917884</v>
      </c>
      <c r="AY130" s="162">
        <v>1246615954</v>
      </c>
      <c r="AZ130" s="162">
        <v>47335762</v>
      </c>
      <c r="BA130" s="196">
        <f t="shared" si="31"/>
        <v>0.54710240550365219</v>
      </c>
      <c r="BB130" s="210">
        <v>140564</v>
      </c>
      <c r="BC130" s="115">
        <v>31890</v>
      </c>
      <c r="BD130" s="236">
        <v>0</v>
      </c>
    </row>
    <row r="131" spans="1:56" s="121" customFormat="1" ht="14.25" customHeight="1">
      <c r="A131" s="104" t="s">
        <v>2577</v>
      </c>
      <c r="B131" s="105" t="s">
        <v>882</v>
      </c>
      <c r="C131" s="106" t="s">
        <v>896</v>
      </c>
      <c r="D131" s="106" t="s">
        <v>2415</v>
      </c>
      <c r="E131" s="71" t="s">
        <v>897</v>
      </c>
      <c r="F131" s="71" t="s">
        <v>170</v>
      </c>
      <c r="G131" s="68" t="s">
        <v>2605</v>
      </c>
      <c r="H131" s="110"/>
      <c r="I131" s="111"/>
      <c r="J131" s="162">
        <v>1351</v>
      </c>
      <c r="K131" s="113">
        <f t="shared" si="27"/>
        <v>1351</v>
      </c>
      <c r="L131" s="111">
        <v>13243</v>
      </c>
      <c r="M131" s="111">
        <v>3389</v>
      </c>
      <c r="N131" s="112"/>
      <c r="O131" s="111">
        <v>3746</v>
      </c>
      <c r="P131" s="115"/>
      <c r="Q131" s="111">
        <v>8477</v>
      </c>
      <c r="R131" s="115">
        <v>8507</v>
      </c>
      <c r="S131" s="111">
        <f t="shared" si="20"/>
        <v>8507</v>
      </c>
      <c r="T131" s="112">
        <v>14523</v>
      </c>
      <c r="U131" s="116">
        <v>69</v>
      </c>
      <c r="V131" s="111"/>
      <c r="W131" s="113">
        <f t="shared" si="30"/>
        <v>43477</v>
      </c>
      <c r="X131" s="111"/>
      <c r="Y131" s="111"/>
      <c r="Z131" s="116"/>
      <c r="AA131" s="111"/>
      <c r="AB131" s="113">
        <f t="shared" si="28"/>
        <v>0</v>
      </c>
      <c r="AC131" s="111"/>
      <c r="AD131" s="111"/>
      <c r="AE131" s="112"/>
      <c r="AF131" s="117"/>
      <c r="AG131" s="111"/>
      <c r="AH131" s="112"/>
      <c r="AI131" s="112"/>
      <c r="AJ131" s="113">
        <f t="shared" si="29"/>
        <v>0</v>
      </c>
      <c r="AK131" s="112">
        <f t="shared" si="24"/>
        <v>2138764.696</v>
      </c>
      <c r="AL131" s="112">
        <f t="shared" si="24"/>
        <v>1506063.067</v>
      </c>
      <c r="AM131" s="112">
        <f t="shared" si="24"/>
        <v>632701.62899999996</v>
      </c>
      <c r="AN131" s="112">
        <f t="shared" si="24"/>
        <v>24098.391</v>
      </c>
      <c r="AO131" s="192">
        <f t="shared" si="21"/>
        <v>0.70417426929512028</v>
      </c>
      <c r="AP131" s="193">
        <f t="shared" si="22"/>
        <v>67575.391000000003</v>
      </c>
      <c r="AQ131" s="193">
        <f t="shared" si="23"/>
        <v>-66224.391000000003</v>
      </c>
      <c r="AR131" s="118"/>
      <c r="AS131" s="119"/>
      <c r="AT131" s="119"/>
      <c r="AU131" s="120"/>
      <c r="AV131" s="161"/>
      <c r="AW131" s="112">
        <v>2138764696</v>
      </c>
      <c r="AX131" s="162">
        <v>1506063067</v>
      </c>
      <c r="AY131" s="162">
        <v>632701629</v>
      </c>
      <c r="AZ131" s="162">
        <v>24098391</v>
      </c>
      <c r="BA131" s="196">
        <f t="shared" si="31"/>
        <v>0.70417426929512028</v>
      </c>
      <c r="BB131" s="210">
        <v>318113</v>
      </c>
      <c r="BC131" s="115">
        <v>22974</v>
      </c>
      <c r="BD131" s="236">
        <v>0</v>
      </c>
    </row>
    <row r="132" spans="1:56" s="121" customFormat="1" ht="14.25" customHeight="1">
      <c r="A132" s="104" t="s">
        <v>2577</v>
      </c>
      <c r="B132" s="105" t="s">
        <v>888</v>
      </c>
      <c r="C132" s="106" t="s">
        <v>901</v>
      </c>
      <c r="D132" s="106" t="s">
        <v>2415</v>
      </c>
      <c r="E132" s="71" t="s">
        <v>902</v>
      </c>
      <c r="F132" s="71" t="s">
        <v>170</v>
      </c>
      <c r="G132" s="68" t="s">
        <v>2605</v>
      </c>
      <c r="H132" s="110"/>
      <c r="I132" s="111"/>
      <c r="J132" s="162">
        <v>969</v>
      </c>
      <c r="K132" s="113">
        <f t="shared" si="27"/>
        <v>969</v>
      </c>
      <c r="L132" s="111">
        <v>9965</v>
      </c>
      <c r="M132" s="111">
        <v>3558</v>
      </c>
      <c r="N132" s="112"/>
      <c r="O132" s="111">
        <v>981</v>
      </c>
      <c r="P132" s="115">
        <v>1</v>
      </c>
      <c r="Q132" s="111">
        <v>8477</v>
      </c>
      <c r="R132" s="115">
        <v>8176</v>
      </c>
      <c r="S132" s="111">
        <f t="shared" si="20"/>
        <v>16653</v>
      </c>
      <c r="T132" s="112">
        <v>18357</v>
      </c>
      <c r="U132" s="116">
        <v>78</v>
      </c>
      <c r="V132" s="111"/>
      <c r="W132" s="113">
        <f t="shared" si="30"/>
        <v>49592</v>
      </c>
      <c r="X132" s="111"/>
      <c r="Y132" s="111"/>
      <c r="Z132" s="116"/>
      <c r="AA132" s="111"/>
      <c r="AB132" s="113">
        <f t="shared" si="28"/>
        <v>0</v>
      </c>
      <c r="AC132" s="111"/>
      <c r="AD132" s="111"/>
      <c r="AE132" s="112"/>
      <c r="AF132" s="117"/>
      <c r="AG132" s="111"/>
      <c r="AH132" s="112"/>
      <c r="AI132" s="112"/>
      <c r="AJ132" s="113">
        <f t="shared" si="29"/>
        <v>0</v>
      </c>
      <c r="AK132" s="112">
        <f t="shared" si="24"/>
        <v>2166471.8029999998</v>
      </c>
      <c r="AL132" s="112">
        <f t="shared" si="24"/>
        <v>1139523.2420000001</v>
      </c>
      <c r="AM132" s="112">
        <f t="shared" si="24"/>
        <v>1026948.561</v>
      </c>
      <c r="AN132" s="112">
        <f t="shared" si="24"/>
        <v>47141.875999999997</v>
      </c>
      <c r="AO132" s="192">
        <f t="shared" si="21"/>
        <v>0.52598110920347851</v>
      </c>
      <c r="AP132" s="193">
        <f t="shared" si="22"/>
        <v>96733.875999999989</v>
      </c>
      <c r="AQ132" s="193">
        <f t="shared" si="23"/>
        <v>-95764.875999999989</v>
      </c>
      <c r="AR132" s="118"/>
      <c r="AS132" s="119"/>
      <c r="AT132" s="119"/>
      <c r="AU132" s="120"/>
      <c r="AV132" s="161"/>
      <c r="AW132" s="112">
        <v>2166471803</v>
      </c>
      <c r="AX132" s="162">
        <v>1139523242</v>
      </c>
      <c r="AY132" s="162">
        <v>1026948561</v>
      </c>
      <c r="AZ132" s="162">
        <v>47141876</v>
      </c>
      <c r="BA132" s="196">
        <f t="shared" si="31"/>
        <v>0.52598110920347851</v>
      </c>
      <c r="BB132" s="210">
        <v>205758.45</v>
      </c>
      <c r="BC132" s="115">
        <v>32250</v>
      </c>
      <c r="BD132" s="236">
        <v>0</v>
      </c>
    </row>
    <row r="133" spans="1:56" s="121" customFormat="1" ht="14.25" customHeight="1">
      <c r="A133" s="104" t="s">
        <v>2577</v>
      </c>
      <c r="B133" s="105" t="s">
        <v>895</v>
      </c>
      <c r="C133" s="106" t="s">
        <v>906</v>
      </c>
      <c r="D133" s="106" t="s">
        <v>2415</v>
      </c>
      <c r="E133" s="71" t="s">
        <v>907</v>
      </c>
      <c r="F133" s="71" t="s">
        <v>170</v>
      </c>
      <c r="G133" s="68" t="s">
        <v>2605</v>
      </c>
      <c r="H133" s="110"/>
      <c r="I133" s="111"/>
      <c r="J133" s="162">
        <v>182</v>
      </c>
      <c r="K133" s="113">
        <f t="shared" si="27"/>
        <v>182</v>
      </c>
      <c r="L133" s="111">
        <v>8939</v>
      </c>
      <c r="M133" s="111">
        <v>3366</v>
      </c>
      <c r="N133" s="112"/>
      <c r="O133" s="111">
        <v>2654</v>
      </c>
      <c r="P133" s="115"/>
      <c r="Q133" s="111">
        <v>8477</v>
      </c>
      <c r="R133" s="115">
        <v>7950</v>
      </c>
      <c r="S133" s="111">
        <f t="shared" ref="S133:S196" si="32">ROUND(P133*Q133,0)+R133</f>
        <v>7950</v>
      </c>
      <c r="T133" s="112">
        <v>11140</v>
      </c>
      <c r="U133" s="116">
        <v>0</v>
      </c>
      <c r="V133" s="111"/>
      <c r="W133" s="113">
        <f t="shared" si="30"/>
        <v>34049</v>
      </c>
      <c r="X133" s="111"/>
      <c r="Y133" s="111"/>
      <c r="Z133" s="116"/>
      <c r="AA133" s="111"/>
      <c r="AB133" s="113">
        <f t="shared" si="28"/>
        <v>0</v>
      </c>
      <c r="AC133" s="111"/>
      <c r="AD133" s="111"/>
      <c r="AE133" s="112"/>
      <c r="AF133" s="117"/>
      <c r="AG133" s="111"/>
      <c r="AH133" s="112"/>
      <c r="AI133" s="112"/>
      <c r="AJ133" s="113">
        <f t="shared" si="29"/>
        <v>0</v>
      </c>
      <c r="AK133" s="112">
        <f t="shared" si="24"/>
        <v>2321716.9139999999</v>
      </c>
      <c r="AL133" s="112">
        <f t="shared" si="24"/>
        <v>1313406.436</v>
      </c>
      <c r="AM133" s="112">
        <f t="shared" si="24"/>
        <v>1008310.478</v>
      </c>
      <c r="AN133" s="112">
        <f t="shared" si="24"/>
        <v>21519.234</v>
      </c>
      <c r="AO133" s="192">
        <f t="shared" ref="AO133:AO196" si="33">BA133</f>
        <v>0.56570481443285903</v>
      </c>
      <c r="AP133" s="193">
        <f t="shared" ref="AP133:AP196" si="34">W133+AN133</f>
        <v>55568.233999999997</v>
      </c>
      <c r="AQ133" s="193">
        <f t="shared" si="23"/>
        <v>-55386.233999999997</v>
      </c>
      <c r="AR133" s="118"/>
      <c r="AS133" s="119"/>
      <c r="AT133" s="119"/>
      <c r="AU133" s="120"/>
      <c r="AV133" s="161"/>
      <c r="AW133" s="112">
        <v>2321716914</v>
      </c>
      <c r="AX133" s="162">
        <v>1313406436</v>
      </c>
      <c r="AY133" s="162">
        <v>1008310478</v>
      </c>
      <c r="AZ133" s="162">
        <v>21519234</v>
      </c>
      <c r="BA133" s="196">
        <f t="shared" si="31"/>
        <v>0.56570481443285903</v>
      </c>
      <c r="BB133" s="210">
        <v>175856</v>
      </c>
      <c r="BC133" s="115">
        <v>13899</v>
      </c>
      <c r="BD133" s="236">
        <v>0</v>
      </c>
    </row>
    <row r="134" spans="1:56" s="121" customFormat="1" ht="14.25" customHeight="1">
      <c r="A134" s="104" t="s">
        <v>2577</v>
      </c>
      <c r="B134" s="105" t="s">
        <v>900</v>
      </c>
      <c r="C134" s="106" t="s">
        <v>911</v>
      </c>
      <c r="D134" s="106" t="s">
        <v>2415</v>
      </c>
      <c r="E134" s="71" t="s">
        <v>912</v>
      </c>
      <c r="F134" s="71" t="s">
        <v>170</v>
      </c>
      <c r="G134" s="68" t="s">
        <v>2605</v>
      </c>
      <c r="H134" s="110"/>
      <c r="I134" s="111"/>
      <c r="J134" s="162">
        <v>336</v>
      </c>
      <c r="K134" s="113">
        <f t="shared" si="27"/>
        <v>336</v>
      </c>
      <c r="L134" s="111">
        <v>12145</v>
      </c>
      <c r="M134" s="111">
        <v>3359</v>
      </c>
      <c r="N134" s="112"/>
      <c r="O134" s="111">
        <v>4578</v>
      </c>
      <c r="P134" s="115"/>
      <c r="Q134" s="111">
        <v>8477</v>
      </c>
      <c r="R134" s="115">
        <v>7930</v>
      </c>
      <c r="S134" s="111">
        <f t="shared" si="32"/>
        <v>7930</v>
      </c>
      <c r="T134" s="112">
        <v>14912</v>
      </c>
      <c r="U134" s="116">
        <v>79</v>
      </c>
      <c r="V134" s="111"/>
      <c r="W134" s="113">
        <f t="shared" si="30"/>
        <v>43003</v>
      </c>
      <c r="X134" s="111"/>
      <c r="Y134" s="111"/>
      <c r="Z134" s="116"/>
      <c r="AA134" s="111"/>
      <c r="AB134" s="113">
        <f t="shared" si="28"/>
        <v>0</v>
      </c>
      <c r="AC134" s="111"/>
      <c r="AD134" s="111"/>
      <c r="AE134" s="112"/>
      <c r="AF134" s="117"/>
      <c r="AG134" s="111"/>
      <c r="AH134" s="112"/>
      <c r="AI134" s="112"/>
      <c r="AJ134" s="113">
        <f t="shared" si="29"/>
        <v>0</v>
      </c>
      <c r="AK134" s="112">
        <f t="shared" si="24"/>
        <v>1976811.91</v>
      </c>
      <c r="AL134" s="112">
        <f t="shared" si="24"/>
        <v>1313256.682</v>
      </c>
      <c r="AM134" s="112">
        <f t="shared" si="24"/>
        <v>663555.228</v>
      </c>
      <c r="AN134" s="112">
        <f t="shared" si="24"/>
        <v>33328.453999999998</v>
      </c>
      <c r="AO134" s="192">
        <f t="shared" si="33"/>
        <v>0.66433062010436794</v>
      </c>
      <c r="AP134" s="193">
        <f t="shared" si="34"/>
        <v>76331.453999999998</v>
      </c>
      <c r="AQ134" s="193">
        <f t="shared" ref="AQ134:AQ197" si="35">K134-AP134</f>
        <v>-75995.453999999998</v>
      </c>
      <c r="AR134" s="118"/>
      <c r="AS134" s="119"/>
      <c r="AT134" s="119"/>
      <c r="AU134" s="120"/>
      <c r="AV134" s="161"/>
      <c r="AW134" s="112">
        <v>1976811910</v>
      </c>
      <c r="AX134" s="162">
        <v>1313256682</v>
      </c>
      <c r="AY134" s="162">
        <v>663555228</v>
      </c>
      <c r="AZ134" s="162">
        <v>33328454</v>
      </c>
      <c r="BA134" s="196">
        <f t="shared" si="31"/>
        <v>0.66433062010436794</v>
      </c>
      <c r="BB134" s="210">
        <v>220404</v>
      </c>
      <c r="BC134" s="115">
        <v>37215</v>
      </c>
      <c r="BD134" s="236">
        <v>0</v>
      </c>
    </row>
    <row r="135" spans="1:56" s="121" customFormat="1" ht="14.25" customHeight="1">
      <c r="A135" s="104" t="s">
        <v>2577</v>
      </c>
      <c r="B135" s="105" t="s">
        <v>905</v>
      </c>
      <c r="C135" s="106" t="s">
        <v>916</v>
      </c>
      <c r="D135" s="106" t="s">
        <v>2415</v>
      </c>
      <c r="E135" s="71" t="s">
        <v>917</v>
      </c>
      <c r="F135" s="71" t="s">
        <v>170</v>
      </c>
      <c r="G135" s="68" t="s">
        <v>2605</v>
      </c>
      <c r="H135" s="110"/>
      <c r="I135" s="111"/>
      <c r="J135" s="162">
        <v>311</v>
      </c>
      <c r="K135" s="113">
        <f t="shared" si="27"/>
        <v>311</v>
      </c>
      <c r="L135" s="111">
        <v>13698</v>
      </c>
      <c r="M135" s="111">
        <v>3255</v>
      </c>
      <c r="N135" s="112"/>
      <c r="O135" s="111">
        <v>3275</v>
      </c>
      <c r="P135" s="115">
        <v>1</v>
      </c>
      <c r="Q135" s="111">
        <v>8477</v>
      </c>
      <c r="R135" s="115">
        <v>7382</v>
      </c>
      <c r="S135" s="111">
        <f t="shared" si="32"/>
        <v>15859</v>
      </c>
      <c r="T135" s="112">
        <v>12250</v>
      </c>
      <c r="U135" s="116">
        <v>0</v>
      </c>
      <c r="V135" s="111"/>
      <c r="W135" s="113">
        <f t="shared" si="30"/>
        <v>48337</v>
      </c>
      <c r="X135" s="111"/>
      <c r="Y135" s="111"/>
      <c r="Z135" s="116"/>
      <c r="AA135" s="111"/>
      <c r="AB135" s="113">
        <f t="shared" si="28"/>
        <v>0</v>
      </c>
      <c r="AC135" s="111"/>
      <c r="AD135" s="111"/>
      <c r="AE135" s="112"/>
      <c r="AF135" s="117"/>
      <c r="AG135" s="111"/>
      <c r="AH135" s="112"/>
      <c r="AI135" s="112"/>
      <c r="AJ135" s="113">
        <f t="shared" si="29"/>
        <v>0</v>
      </c>
      <c r="AK135" s="112">
        <f t="shared" si="24"/>
        <v>2232392.4780000001</v>
      </c>
      <c r="AL135" s="112">
        <f t="shared" si="24"/>
        <v>1514547.22</v>
      </c>
      <c r="AM135" s="112">
        <f t="shared" si="24"/>
        <v>717845.25800000003</v>
      </c>
      <c r="AN135" s="112">
        <f t="shared" si="24"/>
        <v>26339.79</v>
      </c>
      <c r="AO135" s="192">
        <f t="shared" si="33"/>
        <v>0.67844128437347295</v>
      </c>
      <c r="AP135" s="193">
        <f t="shared" si="34"/>
        <v>74676.790000000008</v>
      </c>
      <c r="AQ135" s="193">
        <f t="shared" si="35"/>
        <v>-74365.790000000008</v>
      </c>
      <c r="AR135" s="118"/>
      <c r="AS135" s="119"/>
      <c r="AT135" s="119"/>
      <c r="AU135" s="120"/>
      <c r="AV135" s="161"/>
      <c r="AW135" s="112">
        <v>2232392478</v>
      </c>
      <c r="AX135" s="162">
        <v>1514547220</v>
      </c>
      <c r="AY135" s="162">
        <v>717845258</v>
      </c>
      <c r="AZ135" s="162">
        <v>26339790</v>
      </c>
      <c r="BA135" s="196">
        <f t="shared" si="31"/>
        <v>0.67844128437347295</v>
      </c>
      <c r="BB135" s="210">
        <v>263892</v>
      </c>
      <c r="BC135" s="115">
        <v>40088</v>
      </c>
      <c r="BD135" s="236">
        <v>0</v>
      </c>
    </row>
    <row r="136" spans="1:56" s="121" customFormat="1" ht="14.25" customHeight="1">
      <c r="A136" s="104" t="s">
        <v>2577</v>
      </c>
      <c r="B136" s="105" t="s">
        <v>910</v>
      </c>
      <c r="C136" s="106" t="s">
        <v>921</v>
      </c>
      <c r="D136" s="106" t="s">
        <v>2415</v>
      </c>
      <c r="E136" s="71" t="s">
        <v>922</v>
      </c>
      <c r="F136" s="71" t="s">
        <v>170</v>
      </c>
      <c r="G136" s="68" t="s">
        <v>2605</v>
      </c>
      <c r="H136" s="110"/>
      <c r="I136" s="111"/>
      <c r="J136" s="162">
        <v>183</v>
      </c>
      <c r="K136" s="113">
        <f t="shared" si="27"/>
        <v>183</v>
      </c>
      <c r="L136" s="111">
        <v>5736</v>
      </c>
      <c r="M136" s="111">
        <v>2949</v>
      </c>
      <c r="N136" s="112"/>
      <c r="O136" s="111">
        <v>3197</v>
      </c>
      <c r="P136" s="115">
        <v>1</v>
      </c>
      <c r="Q136" s="111">
        <v>8477</v>
      </c>
      <c r="R136" s="115">
        <v>6296</v>
      </c>
      <c r="S136" s="111">
        <f t="shared" si="32"/>
        <v>14773</v>
      </c>
      <c r="T136" s="112">
        <v>10197</v>
      </c>
      <c r="U136" s="116">
        <v>102</v>
      </c>
      <c r="V136" s="111"/>
      <c r="W136" s="113">
        <f t="shared" si="30"/>
        <v>36954</v>
      </c>
      <c r="X136" s="111"/>
      <c r="Y136" s="111"/>
      <c r="Z136" s="116"/>
      <c r="AA136" s="111"/>
      <c r="AB136" s="113">
        <f t="shared" si="28"/>
        <v>0</v>
      </c>
      <c r="AC136" s="111"/>
      <c r="AD136" s="111"/>
      <c r="AE136" s="112"/>
      <c r="AF136" s="117"/>
      <c r="AG136" s="111"/>
      <c r="AH136" s="112"/>
      <c r="AI136" s="112"/>
      <c r="AJ136" s="113">
        <f t="shared" si="29"/>
        <v>0</v>
      </c>
      <c r="AK136" s="112">
        <f t="shared" si="24"/>
        <v>1512132.135</v>
      </c>
      <c r="AL136" s="112">
        <f t="shared" si="24"/>
        <v>1218665.8160000001</v>
      </c>
      <c r="AM136" s="112">
        <f t="shared" si="24"/>
        <v>293466.31900000002</v>
      </c>
      <c r="AN136" s="112">
        <f t="shared" si="24"/>
        <v>22829.093000000001</v>
      </c>
      <c r="AO136" s="192">
        <f t="shared" si="33"/>
        <v>0.80592547952166893</v>
      </c>
      <c r="AP136" s="193">
        <f t="shared" si="34"/>
        <v>59783.093000000001</v>
      </c>
      <c r="AQ136" s="193">
        <f t="shared" si="35"/>
        <v>-59600.093000000001</v>
      </c>
      <c r="AR136" s="118"/>
      <c r="AS136" s="119"/>
      <c r="AT136" s="119"/>
      <c r="AU136" s="120"/>
      <c r="AV136" s="161"/>
      <c r="AW136" s="112">
        <v>1512132135</v>
      </c>
      <c r="AX136" s="162">
        <v>1218665816</v>
      </c>
      <c r="AY136" s="162">
        <v>293466319</v>
      </c>
      <c r="AZ136" s="162">
        <v>22829093</v>
      </c>
      <c r="BA136" s="196">
        <f t="shared" si="31"/>
        <v>0.80592547952166893</v>
      </c>
      <c r="BB136" s="210">
        <v>106959</v>
      </c>
      <c r="BC136" s="115">
        <v>11986</v>
      </c>
      <c r="BD136" s="236">
        <v>0</v>
      </c>
    </row>
    <row r="137" spans="1:56" s="121" customFormat="1" ht="14.25" customHeight="1">
      <c r="A137" s="104" t="s">
        <v>2577</v>
      </c>
      <c r="B137" s="105" t="s">
        <v>915</v>
      </c>
      <c r="C137" s="106" t="s">
        <v>926</v>
      </c>
      <c r="D137" s="106" t="s">
        <v>2415</v>
      </c>
      <c r="E137" s="71" t="s">
        <v>927</v>
      </c>
      <c r="F137" s="71" t="s">
        <v>170</v>
      </c>
      <c r="G137" s="68" t="s">
        <v>2605</v>
      </c>
      <c r="H137" s="110"/>
      <c r="I137" s="111"/>
      <c r="J137" s="162">
        <v>277</v>
      </c>
      <c r="K137" s="113">
        <f t="shared" si="27"/>
        <v>277</v>
      </c>
      <c r="L137" s="111">
        <v>11743</v>
      </c>
      <c r="M137" s="111">
        <v>3511</v>
      </c>
      <c r="N137" s="112"/>
      <c r="O137" s="111">
        <v>4187</v>
      </c>
      <c r="P137" s="115"/>
      <c r="Q137" s="111">
        <v>8477</v>
      </c>
      <c r="R137" s="115">
        <v>10038</v>
      </c>
      <c r="S137" s="111">
        <f t="shared" si="32"/>
        <v>10038</v>
      </c>
      <c r="T137" s="112">
        <v>14778</v>
      </c>
      <c r="U137" s="116">
        <v>21</v>
      </c>
      <c r="V137" s="111"/>
      <c r="W137" s="113">
        <f t="shared" si="30"/>
        <v>44278</v>
      </c>
      <c r="X137" s="111"/>
      <c r="Y137" s="111"/>
      <c r="Z137" s="116"/>
      <c r="AA137" s="111"/>
      <c r="AB137" s="113">
        <f t="shared" si="28"/>
        <v>0</v>
      </c>
      <c r="AC137" s="111"/>
      <c r="AD137" s="111"/>
      <c r="AE137" s="112"/>
      <c r="AF137" s="117"/>
      <c r="AG137" s="111"/>
      <c r="AH137" s="112"/>
      <c r="AI137" s="112"/>
      <c r="AJ137" s="113">
        <f t="shared" si="29"/>
        <v>0</v>
      </c>
      <c r="AK137" s="112">
        <f t="shared" si="24"/>
        <v>2056513.8330000001</v>
      </c>
      <c r="AL137" s="112">
        <f t="shared" si="24"/>
        <v>1523380.811</v>
      </c>
      <c r="AM137" s="112">
        <f t="shared" si="24"/>
        <v>533133.022</v>
      </c>
      <c r="AN137" s="112">
        <f t="shared" si="24"/>
        <v>46419.489000000001</v>
      </c>
      <c r="AO137" s="192">
        <f t="shared" si="33"/>
        <v>0.74075884467926167</v>
      </c>
      <c r="AP137" s="193">
        <f t="shared" si="34"/>
        <v>90697.489000000001</v>
      </c>
      <c r="AQ137" s="193">
        <f t="shared" si="35"/>
        <v>-90420.489000000001</v>
      </c>
      <c r="AR137" s="118"/>
      <c r="AS137" s="119"/>
      <c r="AT137" s="119"/>
      <c r="AU137" s="120"/>
      <c r="AV137" s="161"/>
      <c r="AW137" s="112">
        <v>2056513833</v>
      </c>
      <c r="AX137" s="162">
        <v>1523380811</v>
      </c>
      <c r="AY137" s="162">
        <v>533133022</v>
      </c>
      <c r="AZ137" s="162">
        <v>46419489</v>
      </c>
      <c r="BA137" s="196">
        <f t="shared" si="31"/>
        <v>0.74075884467926167</v>
      </c>
      <c r="BB137" s="210">
        <v>190637</v>
      </c>
      <c r="BC137" s="115">
        <v>40374</v>
      </c>
      <c r="BD137" s="236">
        <v>0</v>
      </c>
    </row>
    <row r="138" spans="1:56" s="121" customFormat="1" ht="14.25" customHeight="1">
      <c r="A138" s="104" t="s">
        <v>2577</v>
      </c>
      <c r="B138" s="105" t="s">
        <v>920</v>
      </c>
      <c r="C138" s="106" t="s">
        <v>931</v>
      </c>
      <c r="D138" s="106" t="s">
        <v>2415</v>
      </c>
      <c r="E138" s="71" t="s">
        <v>932</v>
      </c>
      <c r="F138" s="71" t="s">
        <v>170</v>
      </c>
      <c r="G138" s="68" t="s">
        <v>2605</v>
      </c>
      <c r="H138" s="110"/>
      <c r="I138" s="111"/>
      <c r="J138" s="162">
        <v>293</v>
      </c>
      <c r="K138" s="113">
        <f t="shared" si="27"/>
        <v>293</v>
      </c>
      <c r="L138" s="111">
        <v>13890</v>
      </c>
      <c r="M138" s="111">
        <v>3522</v>
      </c>
      <c r="N138" s="112"/>
      <c r="O138" s="111">
        <v>6540</v>
      </c>
      <c r="P138" s="115">
        <v>1</v>
      </c>
      <c r="Q138" s="111">
        <v>8477</v>
      </c>
      <c r="R138" s="115">
        <v>7854</v>
      </c>
      <c r="S138" s="111">
        <f t="shared" si="32"/>
        <v>16331</v>
      </c>
      <c r="T138" s="112">
        <v>15428</v>
      </c>
      <c r="U138" s="116">
        <v>70</v>
      </c>
      <c r="V138" s="111"/>
      <c r="W138" s="113">
        <f t="shared" si="30"/>
        <v>55781</v>
      </c>
      <c r="X138" s="111"/>
      <c r="Y138" s="111"/>
      <c r="Z138" s="116"/>
      <c r="AA138" s="111"/>
      <c r="AB138" s="113">
        <f t="shared" si="28"/>
        <v>0</v>
      </c>
      <c r="AC138" s="117"/>
      <c r="AD138" s="111"/>
      <c r="AE138" s="112"/>
      <c r="AF138" s="111"/>
      <c r="AG138" s="111"/>
      <c r="AH138" s="112"/>
      <c r="AI138" s="112"/>
      <c r="AJ138" s="113">
        <f t="shared" si="29"/>
        <v>0</v>
      </c>
      <c r="AK138" s="112">
        <f t="shared" si="24"/>
        <v>1752274.213</v>
      </c>
      <c r="AL138" s="112">
        <f t="shared" si="24"/>
        <v>1284643.253</v>
      </c>
      <c r="AM138" s="112">
        <f t="shared" si="24"/>
        <v>467630.96</v>
      </c>
      <c r="AN138" s="112">
        <f t="shared" si="24"/>
        <v>37465.663999999997</v>
      </c>
      <c r="AO138" s="192">
        <f t="shared" si="33"/>
        <v>0.73312912069887315</v>
      </c>
      <c r="AP138" s="193">
        <f t="shared" si="34"/>
        <v>93246.66399999999</v>
      </c>
      <c r="AQ138" s="193">
        <f t="shared" si="35"/>
        <v>-92953.66399999999</v>
      </c>
      <c r="AR138" s="118"/>
      <c r="AS138" s="119"/>
      <c r="AT138" s="119"/>
      <c r="AU138" s="120"/>
      <c r="AV138" s="161"/>
      <c r="AW138" s="112">
        <v>1752274213</v>
      </c>
      <c r="AX138" s="162">
        <v>1284643253</v>
      </c>
      <c r="AY138" s="162">
        <v>467630960</v>
      </c>
      <c r="AZ138" s="162">
        <v>37465664</v>
      </c>
      <c r="BA138" s="196">
        <f t="shared" si="31"/>
        <v>0.73312912069887315</v>
      </c>
      <c r="BB138" s="210">
        <v>257338</v>
      </c>
      <c r="BC138" s="115">
        <v>44504</v>
      </c>
      <c r="BD138" s="236">
        <v>0</v>
      </c>
    </row>
    <row r="139" spans="1:56" s="121" customFormat="1" ht="14.25" customHeight="1">
      <c r="A139" s="104" t="s">
        <v>2577</v>
      </c>
      <c r="B139" s="105" t="s">
        <v>925</v>
      </c>
      <c r="C139" s="106" t="s">
        <v>936</v>
      </c>
      <c r="D139" s="106" t="s">
        <v>2415</v>
      </c>
      <c r="E139" s="71" t="s">
        <v>937</v>
      </c>
      <c r="F139" s="71" t="s">
        <v>170</v>
      </c>
      <c r="G139" s="68" t="s">
        <v>2605</v>
      </c>
      <c r="H139" s="110"/>
      <c r="I139" s="111"/>
      <c r="J139" s="162">
        <v>295</v>
      </c>
      <c r="K139" s="113">
        <f t="shared" si="27"/>
        <v>295</v>
      </c>
      <c r="L139" s="111">
        <v>13070</v>
      </c>
      <c r="M139" s="111">
        <v>4090</v>
      </c>
      <c r="N139" s="112"/>
      <c r="O139" s="111">
        <v>2881</v>
      </c>
      <c r="P139" s="115"/>
      <c r="Q139" s="111">
        <v>8477</v>
      </c>
      <c r="R139" s="115">
        <v>7642</v>
      </c>
      <c r="S139" s="111">
        <f t="shared" si="32"/>
        <v>7642</v>
      </c>
      <c r="T139" s="112">
        <v>15075</v>
      </c>
      <c r="U139" s="116">
        <v>79</v>
      </c>
      <c r="V139" s="111"/>
      <c r="W139" s="113">
        <f t="shared" si="30"/>
        <v>42837</v>
      </c>
      <c r="X139" s="111"/>
      <c r="Y139" s="111"/>
      <c r="Z139" s="116"/>
      <c r="AA139" s="111"/>
      <c r="AB139" s="113">
        <f t="shared" si="28"/>
        <v>0</v>
      </c>
      <c r="AC139" s="117"/>
      <c r="AD139" s="111"/>
      <c r="AE139" s="112"/>
      <c r="AF139" s="111"/>
      <c r="AG139" s="111"/>
      <c r="AH139" s="112"/>
      <c r="AI139" s="112"/>
      <c r="AJ139" s="113">
        <f t="shared" si="29"/>
        <v>0</v>
      </c>
      <c r="AK139" s="112">
        <f t="shared" si="24"/>
        <v>1644930.72</v>
      </c>
      <c r="AL139" s="112">
        <f t="shared" si="24"/>
        <v>1171060.5859999999</v>
      </c>
      <c r="AM139" s="112">
        <f t="shared" si="24"/>
        <v>473870.13400000002</v>
      </c>
      <c r="AN139" s="112">
        <f t="shared" ref="AN139:AN202" si="36">AZ139/1000</f>
        <v>38912.485000000001</v>
      </c>
      <c r="AO139" s="192">
        <f t="shared" si="33"/>
        <v>0.71192091664504875</v>
      </c>
      <c r="AP139" s="193">
        <f t="shared" si="34"/>
        <v>81749.485000000001</v>
      </c>
      <c r="AQ139" s="193">
        <f t="shared" si="35"/>
        <v>-81454.485000000001</v>
      </c>
      <c r="AR139" s="118"/>
      <c r="AS139" s="119"/>
      <c r="AT139" s="119"/>
      <c r="AU139" s="120"/>
      <c r="AV139" s="161"/>
      <c r="AW139" s="112">
        <v>1644930720</v>
      </c>
      <c r="AX139" s="162">
        <v>1171060586</v>
      </c>
      <c r="AY139" s="162">
        <v>473870134</v>
      </c>
      <c r="AZ139" s="162">
        <v>38912485</v>
      </c>
      <c r="BA139" s="196">
        <f t="shared" si="31"/>
        <v>0.71192091664504875</v>
      </c>
      <c r="BB139" s="210">
        <v>243607</v>
      </c>
      <c r="BC139" s="115">
        <v>39227</v>
      </c>
      <c r="BD139" s="236">
        <v>0</v>
      </c>
    </row>
    <row r="140" spans="1:56" s="121" customFormat="1" ht="14.25" customHeight="1">
      <c r="A140" s="104" t="s">
        <v>2577</v>
      </c>
      <c r="B140" s="105" t="s">
        <v>930</v>
      </c>
      <c r="C140" s="106" t="s">
        <v>941</v>
      </c>
      <c r="D140" s="106" t="s">
        <v>2415</v>
      </c>
      <c r="E140" s="71" t="s">
        <v>942</v>
      </c>
      <c r="F140" s="71" t="s">
        <v>2085</v>
      </c>
      <c r="G140" s="68" t="s">
        <v>2130</v>
      </c>
      <c r="H140" s="110">
        <v>10618</v>
      </c>
      <c r="I140" s="112">
        <v>0</v>
      </c>
      <c r="J140" s="110">
        <v>178</v>
      </c>
      <c r="K140" s="113">
        <v>10796</v>
      </c>
      <c r="L140" s="111">
        <v>249</v>
      </c>
      <c r="M140" s="111">
        <v>138</v>
      </c>
      <c r="N140" s="112">
        <v>0</v>
      </c>
      <c r="O140" s="112">
        <v>0</v>
      </c>
      <c r="P140" s="114">
        <v>10</v>
      </c>
      <c r="Q140" s="111">
        <v>8477</v>
      </c>
      <c r="R140" s="111">
        <v>48141</v>
      </c>
      <c r="S140" s="111">
        <f t="shared" si="32"/>
        <v>132911</v>
      </c>
      <c r="T140" s="112">
        <v>8177</v>
      </c>
      <c r="U140" s="144"/>
      <c r="V140" s="144"/>
      <c r="W140" s="113">
        <v>56705</v>
      </c>
      <c r="X140" s="211"/>
      <c r="Y140" s="111"/>
      <c r="Z140" s="212"/>
      <c r="AA140" s="111"/>
      <c r="AB140" s="113">
        <v>0</v>
      </c>
      <c r="AC140" s="211"/>
      <c r="AD140" s="111"/>
      <c r="AE140" s="111"/>
      <c r="AF140" s="111"/>
      <c r="AG140" s="111"/>
      <c r="AH140" s="111"/>
      <c r="AI140" s="111"/>
      <c r="AJ140" s="113">
        <v>0</v>
      </c>
      <c r="AK140" s="112">
        <f t="shared" ref="AK140:AN203" si="37">AW140/1000</f>
        <v>89620.52</v>
      </c>
      <c r="AL140" s="112">
        <f t="shared" si="37"/>
        <v>33850.663999999997</v>
      </c>
      <c r="AM140" s="112">
        <f t="shared" si="37"/>
        <v>55769.856</v>
      </c>
      <c r="AN140" s="112">
        <f t="shared" si="36"/>
        <v>3382.7950000000001</v>
      </c>
      <c r="AO140" s="192">
        <f t="shared" si="33"/>
        <v>0.37771108670201869</v>
      </c>
      <c r="AP140" s="193">
        <f t="shared" si="34"/>
        <v>60087.794999999998</v>
      </c>
      <c r="AQ140" s="193">
        <f t="shared" si="35"/>
        <v>-49291.794999999998</v>
      </c>
      <c r="AR140" s="118"/>
      <c r="AS140" s="119"/>
      <c r="AT140" s="119"/>
      <c r="AU140" s="120"/>
      <c r="AV140" s="522"/>
      <c r="AW140" s="145">
        <v>89620520</v>
      </c>
      <c r="AX140" s="523">
        <v>33850664</v>
      </c>
      <c r="AY140" s="162">
        <v>55769856</v>
      </c>
      <c r="AZ140" s="162">
        <v>3382795</v>
      </c>
      <c r="BA140" s="196">
        <f t="shared" si="31"/>
        <v>0.37771108670201869</v>
      </c>
      <c r="BB140" s="210" t="s">
        <v>825</v>
      </c>
      <c r="BC140" s="115" t="s">
        <v>825</v>
      </c>
      <c r="BD140" s="236" t="s">
        <v>825</v>
      </c>
    </row>
    <row r="141" spans="1:56" s="121" customFormat="1" ht="14.25" customHeight="1">
      <c r="A141" s="104" t="s">
        <v>2577</v>
      </c>
      <c r="B141" s="105" t="s">
        <v>935</v>
      </c>
      <c r="C141" s="106" t="s">
        <v>949</v>
      </c>
      <c r="D141" s="106" t="s">
        <v>2415</v>
      </c>
      <c r="E141" s="71" t="s">
        <v>950</v>
      </c>
      <c r="F141" s="71" t="s">
        <v>2085</v>
      </c>
      <c r="G141" s="68" t="s">
        <v>2130</v>
      </c>
      <c r="H141" s="110">
        <v>7953</v>
      </c>
      <c r="I141" s="112">
        <v>0</v>
      </c>
      <c r="J141" s="110">
        <v>126</v>
      </c>
      <c r="K141" s="113">
        <v>8079</v>
      </c>
      <c r="L141" s="111">
        <v>242</v>
      </c>
      <c r="M141" s="115">
        <v>271</v>
      </c>
      <c r="N141" s="112">
        <v>0</v>
      </c>
      <c r="O141" s="111">
        <v>91</v>
      </c>
      <c r="P141" s="114">
        <v>8</v>
      </c>
      <c r="Q141" s="111">
        <v>8477</v>
      </c>
      <c r="R141" s="111">
        <v>24024</v>
      </c>
      <c r="S141" s="111">
        <f t="shared" si="32"/>
        <v>91840</v>
      </c>
      <c r="T141" s="112">
        <v>6120</v>
      </c>
      <c r="U141" s="144"/>
      <c r="V141" s="144"/>
      <c r="W141" s="113">
        <v>30748</v>
      </c>
      <c r="X141" s="211"/>
      <c r="Y141" s="111"/>
      <c r="Z141" s="212"/>
      <c r="AA141" s="111"/>
      <c r="AB141" s="113">
        <v>0</v>
      </c>
      <c r="AC141" s="211"/>
      <c r="AD141" s="111"/>
      <c r="AE141" s="111"/>
      <c r="AF141" s="111"/>
      <c r="AG141" s="111"/>
      <c r="AH141" s="111"/>
      <c r="AI141" s="111"/>
      <c r="AJ141" s="113">
        <v>0</v>
      </c>
      <c r="AK141" s="112">
        <f t="shared" si="37"/>
        <v>47091.603720462481</v>
      </c>
      <c r="AL141" s="112">
        <f t="shared" si="37"/>
        <v>1692.4980019688458</v>
      </c>
      <c r="AM141" s="112">
        <f t="shared" si="37"/>
        <v>45399.105718493636</v>
      </c>
      <c r="AN141" s="112">
        <f t="shared" si="36"/>
        <v>823.75563302256455</v>
      </c>
      <c r="AO141" s="192">
        <f t="shared" si="33"/>
        <v>3.5940547109322867E-2</v>
      </c>
      <c r="AP141" s="193">
        <f t="shared" si="34"/>
        <v>31571.755633022563</v>
      </c>
      <c r="AQ141" s="193">
        <f t="shared" si="35"/>
        <v>-23492.755633022563</v>
      </c>
      <c r="AR141" s="118"/>
      <c r="AS141" s="119"/>
      <c r="AT141" s="119"/>
      <c r="AU141" s="120"/>
      <c r="AV141" s="522"/>
      <c r="AW141" s="145">
        <v>47091603.720462479</v>
      </c>
      <c r="AX141" s="523">
        <v>1692498.0019688457</v>
      </c>
      <c r="AY141" s="162">
        <v>45399105.718493633</v>
      </c>
      <c r="AZ141" s="162">
        <v>823755.63302256458</v>
      </c>
      <c r="BA141" s="196">
        <f t="shared" si="31"/>
        <v>3.5940547109322867E-2</v>
      </c>
      <c r="BB141" s="210" t="s">
        <v>825</v>
      </c>
      <c r="BC141" s="115" t="s">
        <v>825</v>
      </c>
      <c r="BD141" s="236" t="s">
        <v>825</v>
      </c>
    </row>
    <row r="142" spans="1:56" s="121" customFormat="1" ht="14.25" customHeight="1">
      <c r="A142" s="104" t="s">
        <v>2577</v>
      </c>
      <c r="B142" s="105" t="s">
        <v>940</v>
      </c>
      <c r="C142" s="106" t="s">
        <v>952</v>
      </c>
      <c r="D142" s="106" t="s">
        <v>2415</v>
      </c>
      <c r="E142" s="71" t="s">
        <v>862</v>
      </c>
      <c r="F142" s="71" t="s">
        <v>2085</v>
      </c>
      <c r="G142" s="68" t="s">
        <v>2130</v>
      </c>
      <c r="H142" s="110">
        <v>10604</v>
      </c>
      <c r="I142" s="112">
        <v>0</v>
      </c>
      <c r="J142" s="110">
        <v>168</v>
      </c>
      <c r="K142" s="113">
        <v>10772</v>
      </c>
      <c r="L142" s="111">
        <v>242</v>
      </c>
      <c r="M142" s="115">
        <v>0</v>
      </c>
      <c r="N142" s="112">
        <v>0</v>
      </c>
      <c r="O142" s="112">
        <v>0</v>
      </c>
      <c r="P142" s="114">
        <v>9</v>
      </c>
      <c r="Q142" s="111">
        <v>8477</v>
      </c>
      <c r="R142" s="111">
        <v>27027</v>
      </c>
      <c r="S142" s="111">
        <f t="shared" si="32"/>
        <v>103320</v>
      </c>
      <c r="T142" s="112">
        <v>8160</v>
      </c>
      <c r="U142" s="144"/>
      <c r="V142" s="144"/>
      <c r="W142" s="113">
        <v>35429</v>
      </c>
      <c r="X142" s="211"/>
      <c r="Y142" s="111"/>
      <c r="Z142" s="212"/>
      <c r="AA142" s="111"/>
      <c r="AB142" s="113">
        <v>0</v>
      </c>
      <c r="AC142" s="211"/>
      <c r="AD142" s="111"/>
      <c r="AE142" s="111"/>
      <c r="AF142" s="111"/>
      <c r="AG142" s="111"/>
      <c r="AH142" s="111"/>
      <c r="AI142" s="111"/>
      <c r="AJ142" s="113">
        <v>0</v>
      </c>
      <c r="AK142" s="112">
        <f t="shared" si="37"/>
        <v>9180</v>
      </c>
      <c r="AL142" s="112">
        <f t="shared" si="37"/>
        <v>9179.9989999999998</v>
      </c>
      <c r="AM142" s="112">
        <f t="shared" si="37"/>
        <v>1E-3</v>
      </c>
      <c r="AN142" s="112">
        <f t="shared" si="36"/>
        <v>0</v>
      </c>
      <c r="AO142" s="192">
        <f t="shared" si="33"/>
        <v>0.99999989106753817</v>
      </c>
      <c r="AP142" s="193">
        <f t="shared" si="34"/>
        <v>35429</v>
      </c>
      <c r="AQ142" s="193">
        <f t="shared" si="35"/>
        <v>-24657</v>
      </c>
      <c r="AR142" s="118"/>
      <c r="AS142" s="119"/>
      <c r="AT142" s="119"/>
      <c r="AU142" s="120"/>
      <c r="AV142" s="522"/>
      <c r="AW142" s="145">
        <v>9180000</v>
      </c>
      <c r="AX142" s="523">
        <v>9179999</v>
      </c>
      <c r="AY142" s="162">
        <v>1</v>
      </c>
      <c r="AZ142" s="162">
        <v>0</v>
      </c>
      <c r="BA142" s="196">
        <f t="shared" si="31"/>
        <v>0.99999989106753817</v>
      </c>
      <c r="BB142" s="210" t="s">
        <v>825</v>
      </c>
      <c r="BC142" s="115" t="s">
        <v>825</v>
      </c>
      <c r="BD142" s="236" t="s">
        <v>825</v>
      </c>
    </row>
    <row r="143" spans="1:56" s="121" customFormat="1" ht="14.25" customHeight="1">
      <c r="A143" s="104" t="s">
        <v>2577</v>
      </c>
      <c r="B143" s="105" t="s">
        <v>948</v>
      </c>
      <c r="C143" s="106" t="s">
        <v>954</v>
      </c>
      <c r="D143" s="106" t="s">
        <v>2415</v>
      </c>
      <c r="E143" s="71" t="s">
        <v>868</v>
      </c>
      <c r="F143" s="71" t="s">
        <v>2085</v>
      </c>
      <c r="G143" s="68" t="s">
        <v>2130</v>
      </c>
      <c r="H143" s="110">
        <v>2651</v>
      </c>
      <c r="I143" s="112">
        <v>0</v>
      </c>
      <c r="J143" s="110">
        <v>42</v>
      </c>
      <c r="K143" s="113">
        <v>2693</v>
      </c>
      <c r="L143" s="111">
        <v>242</v>
      </c>
      <c r="M143" s="115">
        <v>0</v>
      </c>
      <c r="N143" s="112">
        <v>0</v>
      </c>
      <c r="O143" s="111">
        <v>58</v>
      </c>
      <c r="P143" s="114">
        <v>3</v>
      </c>
      <c r="Q143" s="111">
        <v>8477</v>
      </c>
      <c r="R143" s="111">
        <v>9009</v>
      </c>
      <c r="S143" s="111">
        <f t="shared" si="32"/>
        <v>34440</v>
      </c>
      <c r="T143" s="112">
        <v>2040</v>
      </c>
      <c r="U143" s="144"/>
      <c r="V143" s="144"/>
      <c r="W143" s="113">
        <v>11349</v>
      </c>
      <c r="X143" s="211"/>
      <c r="Y143" s="111"/>
      <c r="Z143" s="212"/>
      <c r="AA143" s="111"/>
      <c r="AB143" s="113">
        <v>0</v>
      </c>
      <c r="AC143" s="211"/>
      <c r="AD143" s="111"/>
      <c r="AE143" s="111"/>
      <c r="AF143" s="111"/>
      <c r="AG143" s="111"/>
      <c r="AH143" s="111"/>
      <c r="AI143" s="111"/>
      <c r="AJ143" s="113">
        <v>0</v>
      </c>
      <c r="AK143" s="112">
        <f t="shared" si="37"/>
        <v>0</v>
      </c>
      <c r="AL143" s="112">
        <f t="shared" si="37"/>
        <v>0</v>
      </c>
      <c r="AM143" s="112">
        <f t="shared" si="37"/>
        <v>0</v>
      </c>
      <c r="AN143" s="112">
        <f t="shared" si="36"/>
        <v>0</v>
      </c>
      <c r="AO143" s="192" t="str">
        <f t="shared" si="33"/>
        <v>-</v>
      </c>
      <c r="AP143" s="193">
        <f t="shared" si="34"/>
        <v>11349</v>
      </c>
      <c r="AQ143" s="193">
        <f t="shared" si="35"/>
        <v>-8656</v>
      </c>
      <c r="AR143" s="118"/>
      <c r="AS143" s="119"/>
      <c r="AT143" s="119"/>
      <c r="AU143" s="120"/>
      <c r="AV143" s="522"/>
      <c r="AW143" s="145">
        <v>0</v>
      </c>
      <c r="AX143" s="523">
        <v>0</v>
      </c>
      <c r="AY143" s="162">
        <v>0</v>
      </c>
      <c r="AZ143" s="162">
        <v>0</v>
      </c>
      <c r="BA143" s="196" t="s">
        <v>1966</v>
      </c>
      <c r="BB143" s="210" t="s">
        <v>825</v>
      </c>
      <c r="BC143" s="115" t="s">
        <v>825</v>
      </c>
      <c r="BD143" s="236" t="s">
        <v>825</v>
      </c>
    </row>
    <row r="144" spans="1:56" s="121" customFormat="1" ht="14.25" customHeight="1">
      <c r="A144" s="104" t="s">
        <v>2577</v>
      </c>
      <c r="B144" s="105" t="s">
        <v>951</v>
      </c>
      <c r="C144" s="106" t="s">
        <v>956</v>
      </c>
      <c r="D144" s="106" t="s">
        <v>2415</v>
      </c>
      <c r="E144" s="71" t="s">
        <v>875</v>
      </c>
      <c r="F144" s="71" t="s">
        <v>2085</v>
      </c>
      <c r="G144" s="68" t="s">
        <v>2130</v>
      </c>
      <c r="H144" s="110">
        <v>5302</v>
      </c>
      <c r="I144" s="112">
        <v>0</v>
      </c>
      <c r="J144" s="110">
        <v>84</v>
      </c>
      <c r="K144" s="113">
        <v>5386</v>
      </c>
      <c r="L144" s="111">
        <v>242</v>
      </c>
      <c r="M144" s="115">
        <v>0</v>
      </c>
      <c r="N144" s="112">
        <v>0</v>
      </c>
      <c r="O144" s="112">
        <v>0</v>
      </c>
      <c r="P144" s="114">
        <v>5</v>
      </c>
      <c r="Q144" s="111">
        <v>8477</v>
      </c>
      <c r="R144" s="111">
        <v>15015</v>
      </c>
      <c r="S144" s="111">
        <f t="shared" si="32"/>
        <v>57400</v>
      </c>
      <c r="T144" s="112">
        <v>4080</v>
      </c>
      <c r="U144" s="144"/>
      <c r="V144" s="144"/>
      <c r="W144" s="113">
        <v>19337</v>
      </c>
      <c r="X144" s="211"/>
      <c r="Y144" s="111"/>
      <c r="Z144" s="212"/>
      <c r="AA144" s="111"/>
      <c r="AB144" s="113">
        <v>0</v>
      </c>
      <c r="AC144" s="211"/>
      <c r="AD144" s="111"/>
      <c r="AE144" s="111"/>
      <c r="AF144" s="111"/>
      <c r="AG144" s="111"/>
      <c r="AH144" s="111"/>
      <c r="AI144" s="111"/>
      <c r="AJ144" s="113">
        <v>0</v>
      </c>
      <c r="AK144" s="112">
        <f t="shared" si="37"/>
        <v>0</v>
      </c>
      <c r="AL144" s="112">
        <f t="shared" si="37"/>
        <v>0</v>
      </c>
      <c r="AM144" s="112">
        <f t="shared" si="37"/>
        <v>0</v>
      </c>
      <c r="AN144" s="112">
        <f t="shared" si="36"/>
        <v>0</v>
      </c>
      <c r="AO144" s="192" t="str">
        <f t="shared" si="33"/>
        <v>-</v>
      </c>
      <c r="AP144" s="193">
        <f t="shared" si="34"/>
        <v>19337</v>
      </c>
      <c r="AQ144" s="193">
        <f t="shared" si="35"/>
        <v>-13951</v>
      </c>
      <c r="AR144" s="118"/>
      <c r="AS144" s="119"/>
      <c r="AT144" s="119"/>
      <c r="AU144" s="120"/>
      <c r="AV144" s="522"/>
      <c r="AW144" s="145">
        <v>0</v>
      </c>
      <c r="AX144" s="523">
        <v>0</v>
      </c>
      <c r="AY144" s="162">
        <v>0</v>
      </c>
      <c r="AZ144" s="162">
        <v>0</v>
      </c>
      <c r="BA144" s="196" t="s">
        <v>1966</v>
      </c>
      <c r="BB144" s="210" t="s">
        <v>825</v>
      </c>
      <c r="BC144" s="115" t="s">
        <v>825</v>
      </c>
      <c r="BD144" s="236" t="s">
        <v>825</v>
      </c>
    </row>
    <row r="145" spans="1:56" s="121" customFormat="1" ht="14.25" customHeight="1">
      <c r="A145" s="104" t="s">
        <v>2577</v>
      </c>
      <c r="B145" s="105" t="s">
        <v>953</v>
      </c>
      <c r="C145" s="106" t="s">
        <v>958</v>
      </c>
      <c r="D145" s="106" t="s">
        <v>2415</v>
      </c>
      <c r="E145" s="71" t="s">
        <v>881</v>
      </c>
      <c r="F145" s="71" t="s">
        <v>2085</v>
      </c>
      <c r="G145" s="68" t="s">
        <v>2130</v>
      </c>
      <c r="H145" s="110">
        <v>5302</v>
      </c>
      <c r="I145" s="112">
        <v>0</v>
      </c>
      <c r="J145" s="110">
        <v>84</v>
      </c>
      <c r="K145" s="113">
        <v>5386</v>
      </c>
      <c r="L145" s="111">
        <v>242</v>
      </c>
      <c r="M145" s="115">
        <v>0</v>
      </c>
      <c r="N145" s="112">
        <v>0</v>
      </c>
      <c r="O145" s="112">
        <v>0</v>
      </c>
      <c r="P145" s="114">
        <v>5</v>
      </c>
      <c r="Q145" s="111">
        <v>8477</v>
      </c>
      <c r="R145" s="111">
        <v>15015</v>
      </c>
      <c r="S145" s="111">
        <f t="shared" si="32"/>
        <v>57400</v>
      </c>
      <c r="T145" s="112">
        <v>4080</v>
      </c>
      <c r="U145" s="144"/>
      <c r="V145" s="144"/>
      <c r="W145" s="113">
        <v>19337</v>
      </c>
      <c r="X145" s="211"/>
      <c r="Y145" s="111"/>
      <c r="Z145" s="212"/>
      <c r="AA145" s="111"/>
      <c r="AB145" s="113">
        <v>0</v>
      </c>
      <c r="AC145" s="211"/>
      <c r="AD145" s="111"/>
      <c r="AE145" s="111"/>
      <c r="AF145" s="111"/>
      <c r="AG145" s="111"/>
      <c r="AH145" s="111"/>
      <c r="AI145" s="111"/>
      <c r="AJ145" s="113">
        <v>0</v>
      </c>
      <c r="AK145" s="112">
        <f t="shared" si="37"/>
        <v>0</v>
      </c>
      <c r="AL145" s="112">
        <f t="shared" si="37"/>
        <v>0</v>
      </c>
      <c r="AM145" s="112">
        <f t="shared" si="37"/>
        <v>0</v>
      </c>
      <c r="AN145" s="112">
        <f t="shared" si="36"/>
        <v>0</v>
      </c>
      <c r="AO145" s="192" t="str">
        <f t="shared" si="33"/>
        <v>-</v>
      </c>
      <c r="AP145" s="193">
        <f t="shared" si="34"/>
        <v>19337</v>
      </c>
      <c r="AQ145" s="193">
        <f t="shared" si="35"/>
        <v>-13951</v>
      </c>
      <c r="AR145" s="118"/>
      <c r="AS145" s="119"/>
      <c r="AT145" s="119"/>
      <c r="AU145" s="120"/>
      <c r="AV145" s="522"/>
      <c r="AW145" s="145">
        <v>0</v>
      </c>
      <c r="AX145" s="523">
        <v>0</v>
      </c>
      <c r="AY145" s="162">
        <v>0</v>
      </c>
      <c r="AZ145" s="162">
        <v>0</v>
      </c>
      <c r="BA145" s="196" t="s">
        <v>1966</v>
      </c>
      <c r="BB145" s="210" t="s">
        <v>825</v>
      </c>
      <c r="BC145" s="115" t="s">
        <v>825</v>
      </c>
      <c r="BD145" s="236" t="s">
        <v>825</v>
      </c>
    </row>
    <row r="146" spans="1:56" s="121" customFormat="1" ht="14.25" customHeight="1">
      <c r="A146" s="104" t="s">
        <v>2577</v>
      </c>
      <c r="B146" s="105" t="s">
        <v>955</v>
      </c>
      <c r="C146" s="106" t="s">
        <v>960</v>
      </c>
      <c r="D146" s="106" t="s">
        <v>2415</v>
      </c>
      <c r="E146" s="71" t="s">
        <v>887</v>
      </c>
      <c r="F146" s="71" t="s">
        <v>2085</v>
      </c>
      <c r="G146" s="68" t="s">
        <v>2130</v>
      </c>
      <c r="H146" s="110">
        <v>5302</v>
      </c>
      <c r="I146" s="112">
        <v>0</v>
      </c>
      <c r="J146" s="110">
        <v>84</v>
      </c>
      <c r="K146" s="113">
        <v>5386</v>
      </c>
      <c r="L146" s="111">
        <v>242</v>
      </c>
      <c r="M146" s="115">
        <v>0</v>
      </c>
      <c r="N146" s="112">
        <v>0</v>
      </c>
      <c r="O146" s="112">
        <v>0</v>
      </c>
      <c r="P146" s="114">
        <v>4</v>
      </c>
      <c r="Q146" s="111">
        <v>8477</v>
      </c>
      <c r="R146" s="111">
        <v>12012</v>
      </c>
      <c r="S146" s="111">
        <f t="shared" si="32"/>
        <v>45920</v>
      </c>
      <c r="T146" s="112">
        <v>4080</v>
      </c>
      <c r="U146" s="144"/>
      <c r="V146" s="144"/>
      <c r="W146" s="113">
        <v>16334</v>
      </c>
      <c r="X146" s="211"/>
      <c r="Y146" s="111"/>
      <c r="Z146" s="212"/>
      <c r="AA146" s="111"/>
      <c r="AB146" s="113">
        <v>0</v>
      </c>
      <c r="AC146" s="211"/>
      <c r="AD146" s="111"/>
      <c r="AE146" s="111"/>
      <c r="AF146" s="111"/>
      <c r="AG146" s="111"/>
      <c r="AH146" s="111"/>
      <c r="AI146" s="111"/>
      <c r="AJ146" s="113">
        <v>0</v>
      </c>
      <c r="AK146" s="112">
        <f t="shared" si="37"/>
        <v>0</v>
      </c>
      <c r="AL146" s="112">
        <f t="shared" si="37"/>
        <v>0</v>
      </c>
      <c r="AM146" s="112">
        <f t="shared" si="37"/>
        <v>0</v>
      </c>
      <c r="AN146" s="112">
        <f t="shared" si="36"/>
        <v>0</v>
      </c>
      <c r="AO146" s="192" t="str">
        <f t="shared" si="33"/>
        <v>-</v>
      </c>
      <c r="AP146" s="193">
        <f t="shared" si="34"/>
        <v>16334</v>
      </c>
      <c r="AQ146" s="193">
        <f t="shared" si="35"/>
        <v>-10948</v>
      </c>
      <c r="AR146" s="118"/>
      <c r="AS146" s="119"/>
      <c r="AT146" s="119"/>
      <c r="AU146" s="120"/>
      <c r="AV146" s="522"/>
      <c r="AW146" s="145">
        <v>0</v>
      </c>
      <c r="AX146" s="523">
        <v>0</v>
      </c>
      <c r="AY146" s="162">
        <v>0</v>
      </c>
      <c r="AZ146" s="162">
        <v>0</v>
      </c>
      <c r="BA146" s="196" t="s">
        <v>1966</v>
      </c>
      <c r="BB146" s="210" t="s">
        <v>825</v>
      </c>
      <c r="BC146" s="115" t="s">
        <v>825</v>
      </c>
      <c r="BD146" s="236" t="s">
        <v>825</v>
      </c>
    </row>
    <row r="147" spans="1:56" s="121" customFormat="1" ht="14.25" customHeight="1">
      <c r="A147" s="104" t="s">
        <v>2577</v>
      </c>
      <c r="B147" s="105" t="s">
        <v>957</v>
      </c>
      <c r="C147" s="106" t="s">
        <v>962</v>
      </c>
      <c r="D147" s="106" t="s">
        <v>2415</v>
      </c>
      <c r="E147" s="71" t="s">
        <v>894</v>
      </c>
      <c r="F147" s="71" t="s">
        <v>2085</v>
      </c>
      <c r="G147" s="68" t="s">
        <v>2130</v>
      </c>
      <c r="H147" s="110">
        <v>7953</v>
      </c>
      <c r="I147" s="112">
        <v>0</v>
      </c>
      <c r="J147" s="110">
        <v>126</v>
      </c>
      <c r="K147" s="113">
        <v>8079</v>
      </c>
      <c r="L147" s="111">
        <v>242</v>
      </c>
      <c r="M147" s="111">
        <v>129</v>
      </c>
      <c r="N147" s="112">
        <v>0</v>
      </c>
      <c r="O147" s="111">
        <v>29</v>
      </c>
      <c r="P147" s="114">
        <v>5</v>
      </c>
      <c r="Q147" s="111">
        <v>8477</v>
      </c>
      <c r="R147" s="111">
        <v>15015</v>
      </c>
      <c r="S147" s="111">
        <f t="shared" si="32"/>
        <v>57400</v>
      </c>
      <c r="T147" s="112">
        <v>6120</v>
      </c>
      <c r="U147" s="144"/>
      <c r="V147" s="144"/>
      <c r="W147" s="113">
        <v>21535</v>
      </c>
      <c r="X147" s="211"/>
      <c r="Y147" s="111"/>
      <c r="Z147" s="212"/>
      <c r="AA147" s="111"/>
      <c r="AB147" s="113">
        <v>0</v>
      </c>
      <c r="AC147" s="211"/>
      <c r="AD147" s="111"/>
      <c r="AE147" s="111"/>
      <c r="AF147" s="111"/>
      <c r="AG147" s="111"/>
      <c r="AH147" s="111"/>
      <c r="AI147" s="111"/>
      <c r="AJ147" s="113">
        <v>0</v>
      </c>
      <c r="AK147" s="112">
        <f t="shared" si="37"/>
        <v>21835.02</v>
      </c>
      <c r="AL147" s="112">
        <f t="shared" si="37"/>
        <v>12788.964</v>
      </c>
      <c r="AM147" s="112">
        <f t="shared" si="37"/>
        <v>9046.0560000000005</v>
      </c>
      <c r="AN147" s="112">
        <f t="shared" si="36"/>
        <v>815.36199999999997</v>
      </c>
      <c r="AO147" s="192">
        <f t="shared" si="33"/>
        <v>0.58570882921105638</v>
      </c>
      <c r="AP147" s="193">
        <f t="shared" si="34"/>
        <v>22350.362000000001</v>
      </c>
      <c r="AQ147" s="193">
        <f t="shared" si="35"/>
        <v>-14271.362000000001</v>
      </c>
      <c r="AR147" s="118"/>
      <c r="AS147" s="119"/>
      <c r="AT147" s="119"/>
      <c r="AU147" s="120"/>
      <c r="AV147" s="522"/>
      <c r="AW147" s="145">
        <v>21835020</v>
      </c>
      <c r="AX147" s="523">
        <v>12788964</v>
      </c>
      <c r="AY147" s="162">
        <v>9046056</v>
      </c>
      <c r="AZ147" s="162">
        <v>815362</v>
      </c>
      <c r="BA147" s="196">
        <f>AX147/AW147</f>
        <v>0.58570882921105638</v>
      </c>
      <c r="BB147" s="210" t="s">
        <v>825</v>
      </c>
      <c r="BC147" s="115" t="s">
        <v>825</v>
      </c>
      <c r="BD147" s="236" t="s">
        <v>825</v>
      </c>
    </row>
    <row r="148" spans="1:56" s="121" customFormat="1" ht="14.25" customHeight="1">
      <c r="A148" s="104" t="s">
        <v>2577</v>
      </c>
      <c r="B148" s="105" t="s">
        <v>959</v>
      </c>
      <c r="C148" s="106" t="s">
        <v>964</v>
      </c>
      <c r="D148" s="106" t="s">
        <v>2415</v>
      </c>
      <c r="E148" s="71" t="s">
        <v>899</v>
      </c>
      <c r="F148" s="71" t="s">
        <v>2085</v>
      </c>
      <c r="G148" s="68" t="s">
        <v>2130</v>
      </c>
      <c r="H148" s="110">
        <v>5302</v>
      </c>
      <c r="I148" s="112">
        <v>0</v>
      </c>
      <c r="J148" s="110">
        <v>84</v>
      </c>
      <c r="K148" s="113">
        <v>5386</v>
      </c>
      <c r="L148" s="111">
        <v>242</v>
      </c>
      <c r="M148" s="111">
        <v>134</v>
      </c>
      <c r="N148" s="112">
        <v>0</v>
      </c>
      <c r="O148" s="111">
        <v>21</v>
      </c>
      <c r="P148" s="114">
        <v>4</v>
      </c>
      <c r="Q148" s="111">
        <v>8477</v>
      </c>
      <c r="R148" s="111">
        <v>12012</v>
      </c>
      <c r="S148" s="111">
        <f t="shared" si="32"/>
        <v>45920</v>
      </c>
      <c r="T148" s="112">
        <v>4080</v>
      </c>
      <c r="U148" s="144"/>
      <c r="V148" s="144"/>
      <c r="W148" s="113">
        <v>16489</v>
      </c>
      <c r="X148" s="211"/>
      <c r="Y148" s="111"/>
      <c r="Z148" s="212"/>
      <c r="AA148" s="111"/>
      <c r="AB148" s="113">
        <v>0</v>
      </c>
      <c r="AC148" s="211"/>
      <c r="AD148" s="111"/>
      <c r="AE148" s="111"/>
      <c r="AF148" s="111"/>
      <c r="AG148" s="111"/>
      <c r="AH148" s="111"/>
      <c r="AI148" s="111"/>
      <c r="AJ148" s="113">
        <v>0</v>
      </c>
      <c r="AK148" s="112">
        <f t="shared" si="37"/>
        <v>31920</v>
      </c>
      <c r="AL148" s="112">
        <f t="shared" si="37"/>
        <v>15768.48</v>
      </c>
      <c r="AM148" s="112">
        <f t="shared" si="37"/>
        <v>16151.52</v>
      </c>
      <c r="AN148" s="112">
        <f t="shared" si="36"/>
        <v>1212.96</v>
      </c>
      <c r="AO148" s="192">
        <f t="shared" si="33"/>
        <v>0.49399999999999999</v>
      </c>
      <c r="AP148" s="193">
        <f t="shared" si="34"/>
        <v>17701.96</v>
      </c>
      <c r="AQ148" s="193">
        <f t="shared" si="35"/>
        <v>-12315.96</v>
      </c>
      <c r="AR148" s="118"/>
      <c r="AS148" s="119"/>
      <c r="AT148" s="119"/>
      <c r="AU148" s="120"/>
      <c r="AV148" s="522"/>
      <c r="AW148" s="145">
        <v>31920000</v>
      </c>
      <c r="AX148" s="523">
        <v>15768480</v>
      </c>
      <c r="AY148" s="162">
        <v>16151520</v>
      </c>
      <c r="AZ148" s="162">
        <v>1212960</v>
      </c>
      <c r="BA148" s="196">
        <f>AX148/AW148</f>
        <v>0.49399999999999999</v>
      </c>
      <c r="BB148" s="210" t="s">
        <v>825</v>
      </c>
      <c r="BC148" s="115" t="s">
        <v>825</v>
      </c>
      <c r="BD148" s="236" t="s">
        <v>825</v>
      </c>
    </row>
    <row r="149" spans="1:56" s="121" customFormat="1" ht="14.25" customHeight="1">
      <c r="A149" s="104" t="s">
        <v>2577</v>
      </c>
      <c r="B149" s="105" t="s">
        <v>961</v>
      </c>
      <c r="C149" s="106" t="s">
        <v>967</v>
      </c>
      <c r="D149" s="106" t="s">
        <v>2415</v>
      </c>
      <c r="E149" s="71" t="s">
        <v>904</v>
      </c>
      <c r="F149" s="71" t="s">
        <v>2085</v>
      </c>
      <c r="G149" s="68" t="s">
        <v>2130</v>
      </c>
      <c r="H149" s="110">
        <v>7953</v>
      </c>
      <c r="I149" s="112">
        <v>0</v>
      </c>
      <c r="J149" s="110">
        <v>126</v>
      </c>
      <c r="K149" s="113">
        <v>8079</v>
      </c>
      <c r="L149" s="111">
        <v>242</v>
      </c>
      <c r="M149" s="115">
        <v>0</v>
      </c>
      <c r="N149" s="112">
        <v>0</v>
      </c>
      <c r="O149" s="112">
        <v>138</v>
      </c>
      <c r="P149" s="114">
        <v>7</v>
      </c>
      <c r="Q149" s="111">
        <v>8477</v>
      </c>
      <c r="R149" s="111">
        <v>21021</v>
      </c>
      <c r="S149" s="111">
        <f t="shared" si="32"/>
        <v>80360</v>
      </c>
      <c r="T149" s="112">
        <v>6120</v>
      </c>
      <c r="U149" s="144"/>
      <c r="V149" s="144"/>
      <c r="W149" s="113">
        <v>27521</v>
      </c>
      <c r="X149" s="211"/>
      <c r="Y149" s="111"/>
      <c r="Z149" s="212"/>
      <c r="AA149" s="111"/>
      <c r="AB149" s="113">
        <v>0</v>
      </c>
      <c r="AC149" s="211"/>
      <c r="AD149" s="111"/>
      <c r="AE149" s="111"/>
      <c r="AF149" s="111"/>
      <c r="AG149" s="111"/>
      <c r="AH149" s="111"/>
      <c r="AI149" s="111"/>
      <c r="AJ149" s="113">
        <v>0</v>
      </c>
      <c r="AK149" s="112">
        <f t="shared" si="37"/>
        <v>22912.998</v>
      </c>
      <c r="AL149" s="112">
        <f t="shared" si="37"/>
        <v>12608.15</v>
      </c>
      <c r="AM149" s="112">
        <f t="shared" si="37"/>
        <v>10304.848</v>
      </c>
      <c r="AN149" s="112">
        <f t="shared" si="36"/>
        <v>907.75599999999997</v>
      </c>
      <c r="AO149" s="192">
        <f t="shared" si="33"/>
        <v>0.55026190810997322</v>
      </c>
      <c r="AP149" s="193">
        <f t="shared" si="34"/>
        <v>28428.756000000001</v>
      </c>
      <c r="AQ149" s="193">
        <f t="shared" si="35"/>
        <v>-20349.756000000001</v>
      </c>
      <c r="AR149" s="118"/>
      <c r="AS149" s="119"/>
      <c r="AT149" s="119"/>
      <c r="AU149" s="120"/>
      <c r="AV149" s="522"/>
      <c r="AW149" s="145">
        <v>22912998</v>
      </c>
      <c r="AX149" s="523">
        <v>12608150</v>
      </c>
      <c r="AY149" s="162">
        <v>10304848</v>
      </c>
      <c r="AZ149" s="162">
        <v>907756</v>
      </c>
      <c r="BA149" s="196">
        <f>AX149/AW149</f>
        <v>0.55026190810997322</v>
      </c>
      <c r="BB149" s="210" t="s">
        <v>825</v>
      </c>
      <c r="BC149" s="115" t="s">
        <v>825</v>
      </c>
      <c r="BD149" s="236" t="s">
        <v>825</v>
      </c>
    </row>
    <row r="150" spans="1:56" s="121" customFormat="1" ht="14.25" customHeight="1">
      <c r="A150" s="104" t="s">
        <v>2577</v>
      </c>
      <c r="B150" s="105" t="s">
        <v>963</v>
      </c>
      <c r="C150" s="106" t="s">
        <v>969</v>
      </c>
      <c r="D150" s="106" t="s">
        <v>2415</v>
      </c>
      <c r="E150" s="71" t="s">
        <v>909</v>
      </c>
      <c r="F150" s="71" t="s">
        <v>2085</v>
      </c>
      <c r="G150" s="68" t="s">
        <v>2130</v>
      </c>
      <c r="H150" s="110">
        <v>2651</v>
      </c>
      <c r="I150" s="112">
        <v>0</v>
      </c>
      <c r="J150" s="110">
        <v>42</v>
      </c>
      <c r="K150" s="113">
        <v>2693</v>
      </c>
      <c r="L150" s="111">
        <v>242</v>
      </c>
      <c r="M150" s="115">
        <v>0</v>
      </c>
      <c r="N150" s="112">
        <v>0</v>
      </c>
      <c r="O150" s="112">
        <v>0</v>
      </c>
      <c r="P150" s="114">
        <v>3</v>
      </c>
      <c r="Q150" s="111">
        <v>8477</v>
      </c>
      <c r="R150" s="111">
        <v>9009</v>
      </c>
      <c r="S150" s="111">
        <f t="shared" si="32"/>
        <v>34440</v>
      </c>
      <c r="T150" s="112">
        <v>2040</v>
      </c>
      <c r="U150" s="144"/>
      <c r="V150" s="144"/>
      <c r="W150" s="113">
        <v>11291</v>
      </c>
      <c r="X150" s="211"/>
      <c r="Y150" s="111"/>
      <c r="Z150" s="212"/>
      <c r="AA150" s="111"/>
      <c r="AB150" s="113">
        <v>0</v>
      </c>
      <c r="AC150" s="211"/>
      <c r="AD150" s="111"/>
      <c r="AE150" s="111"/>
      <c r="AF150" s="111"/>
      <c r="AG150" s="111"/>
      <c r="AH150" s="111"/>
      <c r="AI150" s="111"/>
      <c r="AJ150" s="113">
        <v>0</v>
      </c>
      <c r="AK150" s="112">
        <f t="shared" si="37"/>
        <v>0</v>
      </c>
      <c r="AL150" s="112">
        <f t="shared" si="37"/>
        <v>0</v>
      </c>
      <c r="AM150" s="112">
        <f t="shared" si="37"/>
        <v>0</v>
      </c>
      <c r="AN150" s="112">
        <f t="shared" si="36"/>
        <v>0</v>
      </c>
      <c r="AO150" s="192" t="str">
        <f t="shared" si="33"/>
        <v>-</v>
      </c>
      <c r="AP150" s="193">
        <f t="shared" si="34"/>
        <v>11291</v>
      </c>
      <c r="AQ150" s="193">
        <f t="shared" si="35"/>
        <v>-8598</v>
      </c>
      <c r="AR150" s="118"/>
      <c r="AS150" s="119"/>
      <c r="AT150" s="119"/>
      <c r="AU150" s="120"/>
      <c r="AV150" s="522"/>
      <c r="AW150" s="145">
        <v>0</v>
      </c>
      <c r="AX150" s="523">
        <v>0</v>
      </c>
      <c r="AY150" s="162">
        <v>0</v>
      </c>
      <c r="AZ150" s="162">
        <v>0</v>
      </c>
      <c r="BA150" s="196" t="s">
        <v>1966</v>
      </c>
      <c r="BB150" s="210" t="s">
        <v>825</v>
      </c>
      <c r="BC150" s="115" t="s">
        <v>825</v>
      </c>
      <c r="BD150" s="236" t="s">
        <v>825</v>
      </c>
    </row>
    <row r="151" spans="1:56" s="121" customFormat="1" ht="14.25" customHeight="1">
      <c r="A151" s="104" t="s">
        <v>2577</v>
      </c>
      <c r="B151" s="105" t="s">
        <v>966</v>
      </c>
      <c r="C151" s="106" t="s">
        <v>972</v>
      </c>
      <c r="D151" s="106" t="s">
        <v>2415</v>
      </c>
      <c r="E151" s="71" t="s">
        <v>914</v>
      </c>
      <c r="F151" s="71" t="s">
        <v>2085</v>
      </c>
      <c r="G151" s="68" t="s">
        <v>2130</v>
      </c>
      <c r="H151" s="110">
        <v>5302</v>
      </c>
      <c r="I151" s="112">
        <v>0</v>
      </c>
      <c r="J151" s="110">
        <v>84</v>
      </c>
      <c r="K151" s="113">
        <v>5386</v>
      </c>
      <c r="L151" s="111">
        <v>242</v>
      </c>
      <c r="M151" s="115">
        <v>0</v>
      </c>
      <c r="N151" s="112">
        <v>0</v>
      </c>
      <c r="O151" s="112">
        <v>319</v>
      </c>
      <c r="P151" s="114">
        <v>6</v>
      </c>
      <c r="Q151" s="111">
        <v>8477</v>
      </c>
      <c r="R151" s="111">
        <v>18018</v>
      </c>
      <c r="S151" s="111">
        <f t="shared" si="32"/>
        <v>68880</v>
      </c>
      <c r="T151" s="112">
        <v>4080</v>
      </c>
      <c r="U151" s="144"/>
      <c r="V151" s="144"/>
      <c r="W151" s="113">
        <v>22659</v>
      </c>
      <c r="X151" s="211"/>
      <c r="Y151" s="111"/>
      <c r="Z151" s="212"/>
      <c r="AA151" s="111"/>
      <c r="AB151" s="113">
        <v>0</v>
      </c>
      <c r="AC151" s="211"/>
      <c r="AD151" s="111"/>
      <c r="AE151" s="111"/>
      <c r="AF151" s="111"/>
      <c r="AG151" s="111"/>
      <c r="AH151" s="111"/>
      <c r="AI151" s="111"/>
      <c r="AJ151" s="113">
        <v>0</v>
      </c>
      <c r="AK151" s="112">
        <f t="shared" si="37"/>
        <v>0</v>
      </c>
      <c r="AL151" s="112">
        <f t="shared" si="37"/>
        <v>0</v>
      </c>
      <c r="AM151" s="112">
        <f t="shared" si="37"/>
        <v>0</v>
      </c>
      <c r="AN151" s="112">
        <f t="shared" si="36"/>
        <v>0</v>
      </c>
      <c r="AO151" s="192" t="str">
        <f t="shared" si="33"/>
        <v>-</v>
      </c>
      <c r="AP151" s="193">
        <f t="shared" si="34"/>
        <v>22659</v>
      </c>
      <c r="AQ151" s="193">
        <f t="shared" si="35"/>
        <v>-17273</v>
      </c>
      <c r="AR151" s="118"/>
      <c r="AS151" s="119"/>
      <c r="AT151" s="119"/>
      <c r="AU151" s="120"/>
      <c r="AV151" s="522"/>
      <c r="AW151" s="145">
        <v>0</v>
      </c>
      <c r="AX151" s="523">
        <v>0</v>
      </c>
      <c r="AY151" s="162">
        <v>0</v>
      </c>
      <c r="AZ151" s="162">
        <v>0</v>
      </c>
      <c r="BA151" s="196" t="s">
        <v>1966</v>
      </c>
      <c r="BB151" s="210" t="s">
        <v>825</v>
      </c>
      <c r="BC151" s="115" t="s">
        <v>825</v>
      </c>
      <c r="BD151" s="236" t="s">
        <v>825</v>
      </c>
    </row>
    <row r="152" spans="1:56" s="121" customFormat="1" ht="14.25" customHeight="1">
      <c r="A152" s="104" t="s">
        <v>2577</v>
      </c>
      <c r="B152" s="105" t="s">
        <v>325</v>
      </c>
      <c r="C152" s="106" t="s">
        <v>975</v>
      </c>
      <c r="D152" s="106" t="s">
        <v>2415</v>
      </c>
      <c r="E152" s="71" t="s">
        <v>919</v>
      </c>
      <c r="F152" s="71" t="s">
        <v>2085</v>
      </c>
      <c r="G152" s="68" t="s">
        <v>2130</v>
      </c>
      <c r="H152" s="110">
        <v>5302</v>
      </c>
      <c r="I152" s="112">
        <v>0</v>
      </c>
      <c r="J152" s="110">
        <v>84</v>
      </c>
      <c r="K152" s="113">
        <v>5386</v>
      </c>
      <c r="L152" s="111">
        <v>242</v>
      </c>
      <c r="M152" s="115">
        <v>0</v>
      </c>
      <c r="N152" s="112">
        <v>0</v>
      </c>
      <c r="O152" s="112">
        <v>0</v>
      </c>
      <c r="P152" s="114">
        <v>7</v>
      </c>
      <c r="Q152" s="111">
        <v>8477</v>
      </c>
      <c r="R152" s="111">
        <v>21021</v>
      </c>
      <c r="S152" s="111">
        <f t="shared" si="32"/>
        <v>80360</v>
      </c>
      <c r="T152" s="112">
        <v>4080</v>
      </c>
      <c r="U152" s="144"/>
      <c r="V152" s="144"/>
      <c r="W152" s="113">
        <v>25343</v>
      </c>
      <c r="X152" s="211"/>
      <c r="Y152" s="111"/>
      <c r="Z152" s="212"/>
      <c r="AA152" s="111"/>
      <c r="AB152" s="113">
        <v>0</v>
      </c>
      <c r="AC152" s="211"/>
      <c r="AD152" s="111"/>
      <c r="AE152" s="111"/>
      <c r="AF152" s="111"/>
      <c r="AG152" s="111"/>
      <c r="AH152" s="111"/>
      <c r="AI152" s="111"/>
      <c r="AJ152" s="113">
        <v>0</v>
      </c>
      <c r="AK152" s="112">
        <f t="shared" si="37"/>
        <v>0</v>
      </c>
      <c r="AL152" s="112">
        <f t="shared" si="37"/>
        <v>0</v>
      </c>
      <c r="AM152" s="112">
        <f t="shared" si="37"/>
        <v>0</v>
      </c>
      <c r="AN152" s="112">
        <f t="shared" si="36"/>
        <v>0</v>
      </c>
      <c r="AO152" s="192" t="str">
        <f t="shared" si="33"/>
        <v>-</v>
      </c>
      <c r="AP152" s="193">
        <f t="shared" si="34"/>
        <v>25343</v>
      </c>
      <c r="AQ152" s="193">
        <f t="shared" si="35"/>
        <v>-19957</v>
      </c>
      <c r="AR152" s="118"/>
      <c r="AS152" s="119"/>
      <c r="AT152" s="119"/>
      <c r="AU152" s="120"/>
      <c r="AV152" s="522"/>
      <c r="AW152" s="145">
        <v>0</v>
      </c>
      <c r="AX152" s="523">
        <v>0</v>
      </c>
      <c r="AY152" s="162">
        <v>0</v>
      </c>
      <c r="AZ152" s="162">
        <v>0</v>
      </c>
      <c r="BA152" s="196" t="s">
        <v>1966</v>
      </c>
      <c r="BB152" s="210" t="s">
        <v>825</v>
      </c>
      <c r="BC152" s="115" t="s">
        <v>825</v>
      </c>
      <c r="BD152" s="236" t="s">
        <v>825</v>
      </c>
    </row>
    <row r="153" spans="1:56" s="121" customFormat="1" ht="14.25" customHeight="1">
      <c r="A153" s="104" t="s">
        <v>2577</v>
      </c>
      <c r="B153" s="105" t="s">
        <v>971</v>
      </c>
      <c r="C153" s="106" t="s">
        <v>978</v>
      </c>
      <c r="D153" s="106" t="s">
        <v>2415</v>
      </c>
      <c r="E153" s="71" t="s">
        <v>924</v>
      </c>
      <c r="F153" s="71" t="s">
        <v>2085</v>
      </c>
      <c r="G153" s="68" t="s">
        <v>2130</v>
      </c>
      <c r="H153" s="110">
        <v>2651</v>
      </c>
      <c r="I153" s="112">
        <v>0</v>
      </c>
      <c r="J153" s="110">
        <v>42</v>
      </c>
      <c r="K153" s="113">
        <v>2693</v>
      </c>
      <c r="L153" s="111">
        <v>242</v>
      </c>
      <c r="M153" s="115">
        <v>0</v>
      </c>
      <c r="N153" s="112">
        <v>0</v>
      </c>
      <c r="O153" s="112">
        <v>0</v>
      </c>
      <c r="P153" s="114">
        <v>3</v>
      </c>
      <c r="Q153" s="111">
        <v>8477</v>
      </c>
      <c r="R153" s="111">
        <v>9009</v>
      </c>
      <c r="S153" s="111">
        <f t="shared" si="32"/>
        <v>34440</v>
      </c>
      <c r="T153" s="112">
        <v>2040</v>
      </c>
      <c r="U153" s="144"/>
      <c r="V153" s="144"/>
      <c r="W153" s="113">
        <v>11291</v>
      </c>
      <c r="X153" s="211"/>
      <c r="Y153" s="111"/>
      <c r="Z153" s="212"/>
      <c r="AA153" s="111"/>
      <c r="AB153" s="113">
        <v>0</v>
      </c>
      <c r="AC153" s="211"/>
      <c r="AD153" s="111"/>
      <c r="AE153" s="111"/>
      <c r="AF153" s="111"/>
      <c r="AG153" s="111"/>
      <c r="AH153" s="111"/>
      <c r="AI153" s="111"/>
      <c r="AJ153" s="113">
        <v>0</v>
      </c>
      <c r="AK153" s="112">
        <f t="shared" si="37"/>
        <v>503.25400000000002</v>
      </c>
      <c r="AL153" s="112">
        <f t="shared" si="37"/>
        <v>168.59</v>
      </c>
      <c r="AM153" s="112">
        <f t="shared" si="37"/>
        <v>334.66399999999999</v>
      </c>
      <c r="AN153" s="112">
        <f t="shared" si="36"/>
        <v>33.718000000000004</v>
      </c>
      <c r="AO153" s="192">
        <f t="shared" si="33"/>
        <v>0.33499982116386556</v>
      </c>
      <c r="AP153" s="193">
        <f t="shared" si="34"/>
        <v>11324.718000000001</v>
      </c>
      <c r="AQ153" s="193">
        <f t="shared" si="35"/>
        <v>-8631.7180000000008</v>
      </c>
      <c r="AR153" s="118"/>
      <c r="AS153" s="119"/>
      <c r="AT153" s="119"/>
      <c r="AU153" s="120"/>
      <c r="AV153" s="522"/>
      <c r="AW153" s="145">
        <v>503254</v>
      </c>
      <c r="AX153" s="523">
        <v>168590</v>
      </c>
      <c r="AY153" s="162">
        <v>334664</v>
      </c>
      <c r="AZ153" s="162">
        <v>33718</v>
      </c>
      <c r="BA153" s="196">
        <f>AX153/AW153</f>
        <v>0.33499982116386556</v>
      </c>
      <c r="BB153" s="210" t="s">
        <v>825</v>
      </c>
      <c r="BC153" s="115" t="s">
        <v>825</v>
      </c>
      <c r="BD153" s="236" t="s">
        <v>825</v>
      </c>
    </row>
    <row r="154" spans="1:56" s="121" customFormat="1" ht="14.25" customHeight="1">
      <c r="A154" s="104" t="s">
        <v>2577</v>
      </c>
      <c r="B154" s="105" t="s">
        <v>974</v>
      </c>
      <c r="C154" s="106" t="s">
        <v>981</v>
      </c>
      <c r="D154" s="106" t="s">
        <v>2415</v>
      </c>
      <c r="E154" s="71" t="s">
        <v>929</v>
      </c>
      <c r="F154" s="71" t="s">
        <v>2085</v>
      </c>
      <c r="G154" s="68" t="s">
        <v>2130</v>
      </c>
      <c r="H154" s="110">
        <v>5302</v>
      </c>
      <c r="I154" s="112">
        <v>0</v>
      </c>
      <c r="J154" s="110">
        <v>84</v>
      </c>
      <c r="K154" s="113">
        <v>5386</v>
      </c>
      <c r="L154" s="111">
        <v>242</v>
      </c>
      <c r="M154" s="111">
        <v>134</v>
      </c>
      <c r="N154" s="112">
        <v>0</v>
      </c>
      <c r="O154" s="112">
        <v>235</v>
      </c>
      <c r="P154" s="114">
        <v>5</v>
      </c>
      <c r="Q154" s="111">
        <v>8477</v>
      </c>
      <c r="R154" s="111">
        <v>15015</v>
      </c>
      <c r="S154" s="111">
        <f t="shared" si="32"/>
        <v>57400</v>
      </c>
      <c r="T154" s="112">
        <v>4080</v>
      </c>
      <c r="U154" s="144"/>
      <c r="V154" s="144"/>
      <c r="W154" s="113">
        <v>19706</v>
      </c>
      <c r="X154" s="211"/>
      <c r="Y154" s="111"/>
      <c r="Z154" s="212"/>
      <c r="AA154" s="111"/>
      <c r="AB154" s="113">
        <v>0</v>
      </c>
      <c r="AC154" s="211"/>
      <c r="AD154" s="111"/>
      <c r="AE154" s="111"/>
      <c r="AF154" s="111"/>
      <c r="AG154" s="111"/>
      <c r="AH154" s="111"/>
      <c r="AI154" s="111"/>
      <c r="AJ154" s="113">
        <v>0</v>
      </c>
      <c r="AK154" s="112">
        <f t="shared" si="37"/>
        <v>32529</v>
      </c>
      <c r="AL154" s="112">
        <f t="shared" si="37"/>
        <v>17727.18</v>
      </c>
      <c r="AM154" s="112">
        <f t="shared" si="37"/>
        <v>14801.82</v>
      </c>
      <c r="AN154" s="112">
        <f t="shared" si="36"/>
        <v>1477.2650000000001</v>
      </c>
      <c r="AO154" s="192">
        <f t="shared" si="33"/>
        <v>0.54496541547542188</v>
      </c>
      <c r="AP154" s="193">
        <f t="shared" si="34"/>
        <v>21183.264999999999</v>
      </c>
      <c r="AQ154" s="193">
        <f t="shared" si="35"/>
        <v>-15797.264999999999</v>
      </c>
      <c r="AR154" s="118"/>
      <c r="AS154" s="119"/>
      <c r="AT154" s="119"/>
      <c r="AU154" s="120"/>
      <c r="AV154" s="522"/>
      <c r="AW154" s="145">
        <v>32529000</v>
      </c>
      <c r="AX154" s="523">
        <v>17727180</v>
      </c>
      <c r="AY154" s="162">
        <v>14801820</v>
      </c>
      <c r="AZ154" s="162">
        <v>1477265</v>
      </c>
      <c r="BA154" s="196">
        <f>AX154/AW154</f>
        <v>0.54496541547542188</v>
      </c>
      <c r="BB154" s="210" t="s">
        <v>825</v>
      </c>
      <c r="BC154" s="115" t="s">
        <v>825</v>
      </c>
      <c r="BD154" s="236" t="s">
        <v>825</v>
      </c>
    </row>
    <row r="155" spans="1:56" s="121" customFormat="1" ht="14.25" customHeight="1">
      <c r="A155" s="104" t="s">
        <v>2577</v>
      </c>
      <c r="B155" s="105" t="s">
        <v>977</v>
      </c>
      <c r="C155" s="106" t="s">
        <v>983</v>
      </c>
      <c r="D155" s="106" t="s">
        <v>2415</v>
      </c>
      <c r="E155" s="71" t="s">
        <v>934</v>
      </c>
      <c r="F155" s="71" t="s">
        <v>2085</v>
      </c>
      <c r="G155" s="68" t="s">
        <v>2130</v>
      </c>
      <c r="H155" s="110">
        <v>5302</v>
      </c>
      <c r="I155" s="112">
        <v>0</v>
      </c>
      <c r="J155" s="110">
        <v>84</v>
      </c>
      <c r="K155" s="113">
        <v>5386</v>
      </c>
      <c r="L155" s="111">
        <v>242</v>
      </c>
      <c r="M155" s="115">
        <v>0</v>
      </c>
      <c r="N155" s="112">
        <v>0</v>
      </c>
      <c r="O155" s="111">
        <v>125</v>
      </c>
      <c r="P155" s="114">
        <v>7</v>
      </c>
      <c r="Q155" s="111">
        <v>8477</v>
      </c>
      <c r="R155" s="111">
        <v>21021</v>
      </c>
      <c r="S155" s="111">
        <f t="shared" si="32"/>
        <v>80360</v>
      </c>
      <c r="T155" s="112">
        <v>4080</v>
      </c>
      <c r="U155" s="144"/>
      <c r="V155" s="144"/>
      <c r="W155" s="113">
        <v>25468</v>
      </c>
      <c r="X155" s="211"/>
      <c r="Y155" s="111"/>
      <c r="Z155" s="212"/>
      <c r="AA155" s="111"/>
      <c r="AB155" s="113">
        <v>0</v>
      </c>
      <c r="AC155" s="211"/>
      <c r="AD155" s="111"/>
      <c r="AE155" s="111"/>
      <c r="AF155" s="111"/>
      <c r="AG155" s="111"/>
      <c r="AH155" s="111"/>
      <c r="AI155" s="111"/>
      <c r="AJ155" s="113">
        <v>0</v>
      </c>
      <c r="AK155" s="112">
        <f t="shared" si="37"/>
        <v>897.05</v>
      </c>
      <c r="AL155" s="112">
        <f t="shared" si="37"/>
        <v>60.101999999999997</v>
      </c>
      <c r="AM155" s="112">
        <f t="shared" si="37"/>
        <v>836.94799999999998</v>
      </c>
      <c r="AN155" s="112">
        <f t="shared" si="36"/>
        <v>0</v>
      </c>
      <c r="AO155" s="192">
        <f t="shared" si="33"/>
        <v>6.6999609832227858E-2</v>
      </c>
      <c r="AP155" s="193">
        <f t="shared" si="34"/>
        <v>25468</v>
      </c>
      <c r="AQ155" s="193">
        <f t="shared" si="35"/>
        <v>-20082</v>
      </c>
      <c r="AR155" s="118"/>
      <c r="AS155" s="119"/>
      <c r="AT155" s="119"/>
      <c r="AU155" s="120"/>
      <c r="AV155" s="522"/>
      <c r="AW155" s="145">
        <v>897050</v>
      </c>
      <c r="AX155" s="523">
        <v>60102</v>
      </c>
      <c r="AY155" s="162">
        <v>836948</v>
      </c>
      <c r="AZ155" s="162">
        <v>0</v>
      </c>
      <c r="BA155" s="196">
        <f>AX155/AW155</f>
        <v>6.6999609832227858E-2</v>
      </c>
      <c r="BB155" s="210" t="s">
        <v>825</v>
      </c>
      <c r="BC155" s="115" t="s">
        <v>825</v>
      </c>
      <c r="BD155" s="236" t="s">
        <v>825</v>
      </c>
    </row>
    <row r="156" spans="1:56" s="121" customFormat="1" ht="14.25" customHeight="1">
      <c r="A156" s="104" t="s">
        <v>2577</v>
      </c>
      <c r="B156" s="105" t="s">
        <v>980</v>
      </c>
      <c r="C156" s="106" t="s">
        <v>986</v>
      </c>
      <c r="D156" s="106" t="s">
        <v>2415</v>
      </c>
      <c r="E156" s="71" t="s">
        <v>939</v>
      </c>
      <c r="F156" s="71" t="s">
        <v>2085</v>
      </c>
      <c r="G156" s="68" t="s">
        <v>2130</v>
      </c>
      <c r="H156" s="110">
        <v>5302</v>
      </c>
      <c r="I156" s="112">
        <v>0</v>
      </c>
      <c r="J156" s="110">
        <v>84</v>
      </c>
      <c r="K156" s="113">
        <v>5386</v>
      </c>
      <c r="L156" s="111">
        <v>242</v>
      </c>
      <c r="M156" s="115">
        <v>0</v>
      </c>
      <c r="N156" s="112">
        <v>0</v>
      </c>
      <c r="O156" s="112">
        <v>0</v>
      </c>
      <c r="P156" s="114">
        <v>6</v>
      </c>
      <c r="Q156" s="111">
        <v>8477</v>
      </c>
      <c r="R156" s="111">
        <v>18018</v>
      </c>
      <c r="S156" s="111">
        <f t="shared" si="32"/>
        <v>68880</v>
      </c>
      <c r="T156" s="112">
        <v>4080</v>
      </c>
      <c r="U156" s="144"/>
      <c r="V156" s="144"/>
      <c r="W156" s="113">
        <v>22340</v>
      </c>
      <c r="X156" s="211"/>
      <c r="Y156" s="111"/>
      <c r="Z156" s="212"/>
      <c r="AA156" s="111"/>
      <c r="AB156" s="113">
        <v>0</v>
      </c>
      <c r="AC156" s="211"/>
      <c r="AD156" s="111"/>
      <c r="AE156" s="111"/>
      <c r="AF156" s="111"/>
      <c r="AG156" s="111"/>
      <c r="AH156" s="111"/>
      <c r="AI156" s="111"/>
      <c r="AJ156" s="113">
        <v>0</v>
      </c>
      <c r="AK156" s="112">
        <f t="shared" si="37"/>
        <v>0</v>
      </c>
      <c r="AL156" s="112">
        <f t="shared" si="37"/>
        <v>0</v>
      </c>
      <c r="AM156" s="112">
        <f t="shared" si="37"/>
        <v>0</v>
      </c>
      <c r="AN156" s="112">
        <f t="shared" si="36"/>
        <v>0</v>
      </c>
      <c r="AO156" s="192" t="str">
        <f t="shared" si="33"/>
        <v>-</v>
      </c>
      <c r="AP156" s="193">
        <f t="shared" si="34"/>
        <v>22340</v>
      </c>
      <c r="AQ156" s="193">
        <f t="shared" si="35"/>
        <v>-16954</v>
      </c>
      <c r="AR156" s="118"/>
      <c r="AS156" s="119"/>
      <c r="AT156" s="119"/>
      <c r="AU156" s="120"/>
      <c r="AV156" s="522"/>
      <c r="AW156" s="145">
        <v>0</v>
      </c>
      <c r="AX156" s="523">
        <v>0</v>
      </c>
      <c r="AY156" s="162">
        <v>0</v>
      </c>
      <c r="AZ156" s="162">
        <v>0</v>
      </c>
      <c r="BA156" s="196" t="s">
        <v>1966</v>
      </c>
      <c r="BB156" s="210" t="s">
        <v>825</v>
      </c>
      <c r="BC156" s="115" t="s">
        <v>825</v>
      </c>
      <c r="BD156" s="236" t="s">
        <v>825</v>
      </c>
    </row>
    <row r="157" spans="1:56" s="121" customFormat="1" ht="14.25" customHeight="1">
      <c r="A157" s="104" t="s">
        <v>2577</v>
      </c>
      <c r="B157" s="105" t="s">
        <v>982</v>
      </c>
      <c r="C157" s="106" t="s">
        <v>989</v>
      </c>
      <c r="D157" s="106" t="s">
        <v>2415</v>
      </c>
      <c r="E157" s="71" t="s">
        <v>990</v>
      </c>
      <c r="F157" s="71" t="s">
        <v>170</v>
      </c>
      <c r="G157" s="68" t="s">
        <v>2605</v>
      </c>
      <c r="H157" s="110"/>
      <c r="I157" s="111"/>
      <c r="J157" s="162">
        <v>396</v>
      </c>
      <c r="K157" s="113">
        <f t="shared" ref="K157:K190" si="38">SUBTOTAL(9,H157:J157)</f>
        <v>396</v>
      </c>
      <c r="L157" s="111">
        <v>18458</v>
      </c>
      <c r="M157" s="111">
        <v>4484</v>
      </c>
      <c r="N157" s="112"/>
      <c r="O157" s="111">
        <v>4198</v>
      </c>
      <c r="P157" s="115">
        <v>1</v>
      </c>
      <c r="Q157" s="111">
        <v>8477</v>
      </c>
      <c r="R157" s="115">
        <v>5524</v>
      </c>
      <c r="S157" s="111">
        <f t="shared" si="32"/>
        <v>14001</v>
      </c>
      <c r="T157" s="112">
        <v>21969</v>
      </c>
      <c r="U157" s="116">
        <v>73</v>
      </c>
      <c r="V157" s="111"/>
      <c r="W157" s="113">
        <f t="shared" ref="W157:W190" si="39">SUBTOTAL(9,L157:O157,S157:V157)</f>
        <v>63183</v>
      </c>
      <c r="X157" s="111"/>
      <c r="Y157" s="111"/>
      <c r="Z157" s="116"/>
      <c r="AA157" s="111"/>
      <c r="AB157" s="113">
        <f t="shared" ref="AB157:AB166" si="40">SUBTOTAL(9,X157:AA157)</f>
        <v>0</v>
      </c>
      <c r="AC157" s="111"/>
      <c r="AD157" s="111"/>
      <c r="AE157" s="112"/>
      <c r="AF157" s="117"/>
      <c r="AG157" s="111"/>
      <c r="AH157" s="112"/>
      <c r="AI157" s="112"/>
      <c r="AJ157" s="113">
        <f t="shared" ref="AJ157:AJ166" si="41">SUBTOTAL(9,AC157:AI157)</f>
        <v>0</v>
      </c>
      <c r="AK157" s="112">
        <f t="shared" si="37"/>
        <v>2510109.2820000001</v>
      </c>
      <c r="AL157" s="112">
        <f t="shared" si="37"/>
        <v>1531357.0160000001</v>
      </c>
      <c r="AM157" s="112">
        <f t="shared" si="37"/>
        <v>978752.26599999995</v>
      </c>
      <c r="AN157" s="112">
        <f t="shared" si="36"/>
        <v>38094.508999999998</v>
      </c>
      <c r="AO157" s="192">
        <f t="shared" si="33"/>
        <v>0.61007583493729334</v>
      </c>
      <c r="AP157" s="193">
        <f t="shared" si="34"/>
        <v>101277.50899999999</v>
      </c>
      <c r="AQ157" s="193">
        <f t="shared" si="35"/>
        <v>-100881.50899999999</v>
      </c>
      <c r="AR157" s="118"/>
      <c r="AS157" s="119"/>
      <c r="AT157" s="119"/>
      <c r="AU157" s="120"/>
      <c r="AV157" s="161"/>
      <c r="AW157" s="112">
        <v>2510109282</v>
      </c>
      <c r="AX157" s="162">
        <v>1531357016</v>
      </c>
      <c r="AY157" s="162">
        <v>978752266</v>
      </c>
      <c r="AZ157" s="162">
        <v>38094509</v>
      </c>
      <c r="BA157" s="196">
        <f t="shared" ref="BA157:BA166" si="42">AX157/AW157</f>
        <v>0.61007583493729334</v>
      </c>
      <c r="BB157" s="210">
        <v>300265</v>
      </c>
      <c r="BC157" s="115">
        <v>58861</v>
      </c>
      <c r="BD157" s="236">
        <v>0</v>
      </c>
    </row>
    <row r="158" spans="1:56" s="121" customFormat="1" ht="14.25" customHeight="1">
      <c r="A158" s="104" t="s">
        <v>2577</v>
      </c>
      <c r="B158" s="105" t="s">
        <v>985</v>
      </c>
      <c r="C158" s="106" t="s">
        <v>998</v>
      </c>
      <c r="D158" s="106" t="s">
        <v>2415</v>
      </c>
      <c r="E158" s="71" t="s">
        <v>999</v>
      </c>
      <c r="F158" s="71" t="s">
        <v>170</v>
      </c>
      <c r="G158" s="68" t="s">
        <v>2605</v>
      </c>
      <c r="H158" s="110"/>
      <c r="I158" s="111"/>
      <c r="J158" s="162">
        <v>277</v>
      </c>
      <c r="K158" s="113">
        <f t="shared" si="38"/>
        <v>277</v>
      </c>
      <c r="L158" s="111">
        <v>10446</v>
      </c>
      <c r="M158" s="111">
        <v>4103</v>
      </c>
      <c r="N158" s="112"/>
      <c r="O158" s="111">
        <v>4756</v>
      </c>
      <c r="P158" s="115">
        <v>1</v>
      </c>
      <c r="Q158" s="111">
        <v>8477</v>
      </c>
      <c r="R158" s="115">
        <v>3830</v>
      </c>
      <c r="S158" s="111">
        <f t="shared" si="32"/>
        <v>12307</v>
      </c>
      <c r="T158" s="112">
        <v>17589</v>
      </c>
      <c r="U158" s="116">
        <v>69</v>
      </c>
      <c r="V158" s="111"/>
      <c r="W158" s="113">
        <f t="shared" si="39"/>
        <v>49270</v>
      </c>
      <c r="X158" s="111"/>
      <c r="Y158" s="111"/>
      <c r="Z158" s="116"/>
      <c r="AA158" s="111"/>
      <c r="AB158" s="113">
        <f t="shared" si="40"/>
        <v>0</v>
      </c>
      <c r="AC158" s="111"/>
      <c r="AD158" s="111"/>
      <c r="AE158" s="112"/>
      <c r="AF158" s="117"/>
      <c r="AG158" s="111"/>
      <c r="AH158" s="112"/>
      <c r="AI158" s="112"/>
      <c r="AJ158" s="113">
        <f t="shared" si="41"/>
        <v>0</v>
      </c>
      <c r="AK158" s="112">
        <f t="shared" si="37"/>
        <v>2619657.7480000001</v>
      </c>
      <c r="AL158" s="112">
        <f t="shared" si="37"/>
        <v>1508366.4550000001</v>
      </c>
      <c r="AM158" s="112">
        <f t="shared" si="37"/>
        <v>1111291.2930000001</v>
      </c>
      <c r="AN158" s="112">
        <f t="shared" si="36"/>
        <v>37598.925000000003</v>
      </c>
      <c r="AO158" s="192">
        <f t="shared" si="33"/>
        <v>0.57578760284681285</v>
      </c>
      <c r="AP158" s="193">
        <f t="shared" si="34"/>
        <v>86868.925000000003</v>
      </c>
      <c r="AQ158" s="193">
        <f t="shared" si="35"/>
        <v>-86591.925000000003</v>
      </c>
      <c r="AR158" s="118"/>
      <c r="AS158" s="119"/>
      <c r="AT158" s="119"/>
      <c r="AU158" s="120"/>
      <c r="AV158" s="161"/>
      <c r="AW158" s="112">
        <v>2619657748</v>
      </c>
      <c r="AX158" s="162">
        <v>1508366455</v>
      </c>
      <c r="AY158" s="162">
        <v>1111291293</v>
      </c>
      <c r="AZ158" s="162">
        <v>37598925</v>
      </c>
      <c r="BA158" s="196">
        <f t="shared" si="42"/>
        <v>0.57578760284681285</v>
      </c>
      <c r="BB158" s="210">
        <v>153536</v>
      </c>
      <c r="BC158" s="115">
        <v>40158</v>
      </c>
      <c r="BD158" s="236">
        <v>0</v>
      </c>
    </row>
    <row r="159" spans="1:56" s="121" customFormat="1" ht="14.25" customHeight="1">
      <c r="A159" s="104" t="s">
        <v>2577</v>
      </c>
      <c r="B159" s="105" t="s">
        <v>988</v>
      </c>
      <c r="C159" s="106" t="s">
        <v>1003</v>
      </c>
      <c r="D159" s="106" t="s">
        <v>2415</v>
      </c>
      <c r="E159" s="71" t="s">
        <v>1004</v>
      </c>
      <c r="F159" s="71" t="s">
        <v>170</v>
      </c>
      <c r="G159" s="68" t="s">
        <v>2605</v>
      </c>
      <c r="H159" s="110"/>
      <c r="I159" s="111"/>
      <c r="J159" s="162">
        <v>395</v>
      </c>
      <c r="K159" s="113">
        <f t="shared" si="38"/>
        <v>395</v>
      </c>
      <c r="L159" s="111">
        <v>13765</v>
      </c>
      <c r="M159" s="111">
        <v>5123</v>
      </c>
      <c r="N159" s="112"/>
      <c r="O159" s="111">
        <v>3283</v>
      </c>
      <c r="P159" s="115">
        <v>1</v>
      </c>
      <c r="Q159" s="111">
        <v>8477</v>
      </c>
      <c r="R159" s="115">
        <v>3919</v>
      </c>
      <c r="S159" s="111">
        <f t="shared" si="32"/>
        <v>12396</v>
      </c>
      <c r="T159" s="112">
        <v>21721</v>
      </c>
      <c r="U159" s="116">
        <v>74</v>
      </c>
      <c r="V159" s="111"/>
      <c r="W159" s="113">
        <f t="shared" si="39"/>
        <v>56362</v>
      </c>
      <c r="X159" s="111"/>
      <c r="Y159" s="111"/>
      <c r="Z159" s="116"/>
      <c r="AA159" s="111"/>
      <c r="AB159" s="113">
        <f t="shared" si="40"/>
        <v>0</v>
      </c>
      <c r="AC159" s="111"/>
      <c r="AD159" s="111"/>
      <c r="AE159" s="112"/>
      <c r="AF159" s="117"/>
      <c r="AG159" s="111"/>
      <c r="AH159" s="112"/>
      <c r="AI159" s="112"/>
      <c r="AJ159" s="113">
        <f t="shared" si="41"/>
        <v>0</v>
      </c>
      <c r="AK159" s="112">
        <f t="shared" si="37"/>
        <v>2878429.1809999999</v>
      </c>
      <c r="AL159" s="112">
        <f t="shared" si="37"/>
        <v>1816936.3459999999</v>
      </c>
      <c r="AM159" s="112">
        <f t="shared" si="37"/>
        <v>1061492.835</v>
      </c>
      <c r="AN159" s="112">
        <f t="shared" si="36"/>
        <v>36076.061000000002</v>
      </c>
      <c r="AO159" s="192">
        <f t="shared" si="33"/>
        <v>0.63122496047263355</v>
      </c>
      <c r="AP159" s="193">
        <f t="shared" si="34"/>
        <v>92438.061000000002</v>
      </c>
      <c r="AQ159" s="193">
        <f t="shared" si="35"/>
        <v>-92043.061000000002</v>
      </c>
      <c r="AR159" s="118"/>
      <c r="AS159" s="119"/>
      <c r="AT159" s="119"/>
      <c r="AU159" s="120"/>
      <c r="AV159" s="161"/>
      <c r="AW159" s="112">
        <v>2878429181</v>
      </c>
      <c r="AX159" s="162">
        <v>1816936346</v>
      </c>
      <c r="AY159" s="162">
        <v>1061492835</v>
      </c>
      <c r="AZ159" s="162">
        <v>36076061</v>
      </c>
      <c r="BA159" s="196">
        <f t="shared" si="42"/>
        <v>0.63122496047263355</v>
      </c>
      <c r="BB159" s="210">
        <v>240930</v>
      </c>
      <c r="BC159" s="115">
        <v>48875</v>
      </c>
      <c r="BD159" s="236">
        <v>0</v>
      </c>
    </row>
    <row r="160" spans="1:56" s="121" customFormat="1" ht="14.25" customHeight="1">
      <c r="A160" s="104" t="s">
        <v>2577</v>
      </c>
      <c r="B160" s="105" t="s">
        <v>997</v>
      </c>
      <c r="C160" s="106" t="s">
        <v>1008</v>
      </c>
      <c r="D160" s="106" t="s">
        <v>2415</v>
      </c>
      <c r="E160" s="71" t="s">
        <v>1009</v>
      </c>
      <c r="F160" s="71" t="s">
        <v>170</v>
      </c>
      <c r="G160" s="68" t="s">
        <v>2605</v>
      </c>
      <c r="H160" s="110"/>
      <c r="I160" s="111"/>
      <c r="J160" s="162">
        <v>430</v>
      </c>
      <c r="K160" s="113">
        <f t="shared" si="38"/>
        <v>430</v>
      </c>
      <c r="L160" s="111">
        <v>13544</v>
      </c>
      <c r="M160" s="111">
        <v>4995</v>
      </c>
      <c r="N160" s="112"/>
      <c r="O160" s="111">
        <v>7959</v>
      </c>
      <c r="P160" s="115"/>
      <c r="Q160" s="111">
        <v>8477</v>
      </c>
      <c r="R160" s="115">
        <v>6038</v>
      </c>
      <c r="S160" s="111">
        <f t="shared" si="32"/>
        <v>6038</v>
      </c>
      <c r="T160" s="112">
        <v>22024</v>
      </c>
      <c r="U160" s="116">
        <v>85</v>
      </c>
      <c r="V160" s="111"/>
      <c r="W160" s="113">
        <f t="shared" si="39"/>
        <v>54645</v>
      </c>
      <c r="X160" s="111"/>
      <c r="Y160" s="111"/>
      <c r="Z160" s="116"/>
      <c r="AA160" s="111"/>
      <c r="AB160" s="113">
        <f t="shared" si="40"/>
        <v>0</v>
      </c>
      <c r="AC160" s="111"/>
      <c r="AD160" s="111"/>
      <c r="AE160" s="112"/>
      <c r="AF160" s="117"/>
      <c r="AG160" s="111"/>
      <c r="AH160" s="112"/>
      <c r="AI160" s="112"/>
      <c r="AJ160" s="113">
        <f t="shared" si="41"/>
        <v>0</v>
      </c>
      <c r="AK160" s="112">
        <f t="shared" si="37"/>
        <v>1930533.1129999999</v>
      </c>
      <c r="AL160" s="112">
        <f t="shared" si="37"/>
        <v>1609601.3529999999</v>
      </c>
      <c r="AM160" s="112">
        <f t="shared" si="37"/>
        <v>320931.76</v>
      </c>
      <c r="AN160" s="112">
        <f t="shared" si="36"/>
        <v>38422.476999999999</v>
      </c>
      <c r="AO160" s="192">
        <f t="shared" si="33"/>
        <v>0.8337600335167108</v>
      </c>
      <c r="AP160" s="193">
        <f t="shared" si="34"/>
        <v>93067.476999999999</v>
      </c>
      <c r="AQ160" s="193">
        <f t="shared" si="35"/>
        <v>-92637.476999999999</v>
      </c>
      <c r="AR160" s="118"/>
      <c r="AS160" s="119"/>
      <c r="AT160" s="119"/>
      <c r="AU160" s="120"/>
      <c r="AV160" s="161"/>
      <c r="AW160" s="112">
        <v>1930533113</v>
      </c>
      <c r="AX160" s="162">
        <v>1609601353</v>
      </c>
      <c r="AY160" s="162">
        <v>320931760</v>
      </c>
      <c r="AZ160" s="162">
        <v>38422477</v>
      </c>
      <c r="BA160" s="196">
        <f t="shared" si="42"/>
        <v>0.8337600335167108</v>
      </c>
      <c r="BB160" s="210">
        <v>300741</v>
      </c>
      <c r="BC160" s="115">
        <v>30339</v>
      </c>
      <c r="BD160" s="236">
        <v>0</v>
      </c>
    </row>
    <row r="161" spans="1:56" s="121" customFormat="1" ht="14.25" customHeight="1">
      <c r="A161" s="104" t="s">
        <v>2577</v>
      </c>
      <c r="B161" s="105" t="s">
        <v>1002</v>
      </c>
      <c r="C161" s="106" t="s">
        <v>1013</v>
      </c>
      <c r="D161" s="106" t="s">
        <v>2415</v>
      </c>
      <c r="E161" s="71" t="s">
        <v>1014</v>
      </c>
      <c r="F161" s="71" t="s">
        <v>170</v>
      </c>
      <c r="G161" s="68" t="s">
        <v>2605</v>
      </c>
      <c r="H161" s="110"/>
      <c r="I161" s="111"/>
      <c r="J161" s="162">
        <v>363</v>
      </c>
      <c r="K161" s="113">
        <f t="shared" si="38"/>
        <v>363</v>
      </c>
      <c r="L161" s="111">
        <v>16160</v>
      </c>
      <c r="M161" s="111">
        <v>4338</v>
      </c>
      <c r="N161" s="112"/>
      <c r="O161" s="111">
        <v>4896</v>
      </c>
      <c r="P161" s="115">
        <v>1</v>
      </c>
      <c r="Q161" s="111">
        <v>8477</v>
      </c>
      <c r="R161" s="115">
        <v>7678</v>
      </c>
      <c r="S161" s="111">
        <f t="shared" si="32"/>
        <v>16155</v>
      </c>
      <c r="T161" s="112">
        <v>24405</v>
      </c>
      <c r="U161" s="116">
        <v>74</v>
      </c>
      <c r="V161" s="111"/>
      <c r="W161" s="113">
        <f t="shared" si="39"/>
        <v>66028</v>
      </c>
      <c r="X161" s="111"/>
      <c r="Y161" s="111"/>
      <c r="Z161" s="116"/>
      <c r="AA161" s="111"/>
      <c r="AB161" s="113">
        <f t="shared" si="40"/>
        <v>0</v>
      </c>
      <c r="AC161" s="111"/>
      <c r="AD161" s="111"/>
      <c r="AE161" s="112"/>
      <c r="AF161" s="117"/>
      <c r="AG161" s="111"/>
      <c r="AH161" s="112"/>
      <c r="AI161" s="112"/>
      <c r="AJ161" s="113">
        <f t="shared" si="41"/>
        <v>0</v>
      </c>
      <c r="AK161" s="112">
        <f t="shared" si="37"/>
        <v>2642052.6809999999</v>
      </c>
      <c r="AL161" s="112">
        <f t="shared" si="37"/>
        <v>1862587.4979999999</v>
      </c>
      <c r="AM161" s="112">
        <f t="shared" si="37"/>
        <v>779465.18299999996</v>
      </c>
      <c r="AN161" s="112">
        <f t="shared" si="36"/>
        <v>37537.296999999999</v>
      </c>
      <c r="AO161" s="192">
        <f t="shared" si="33"/>
        <v>0.70497742584565826</v>
      </c>
      <c r="AP161" s="193">
        <f t="shared" si="34"/>
        <v>103565.29699999999</v>
      </c>
      <c r="AQ161" s="193">
        <f t="shared" si="35"/>
        <v>-103202.29699999999</v>
      </c>
      <c r="AR161" s="118"/>
      <c r="AS161" s="119"/>
      <c r="AT161" s="119"/>
      <c r="AU161" s="120"/>
      <c r="AV161" s="161"/>
      <c r="AW161" s="112">
        <v>2642052681</v>
      </c>
      <c r="AX161" s="162">
        <v>1862587498</v>
      </c>
      <c r="AY161" s="162">
        <v>779465183</v>
      </c>
      <c r="AZ161" s="162">
        <v>37537297</v>
      </c>
      <c r="BA161" s="196">
        <f t="shared" si="42"/>
        <v>0.70497742584565826</v>
      </c>
      <c r="BB161" s="210">
        <v>242173</v>
      </c>
      <c r="BC161" s="115">
        <v>42740</v>
      </c>
      <c r="BD161" s="236">
        <v>0</v>
      </c>
    </row>
    <row r="162" spans="1:56" s="121" customFormat="1" ht="14.25" customHeight="1">
      <c r="A162" s="104" t="s">
        <v>2577</v>
      </c>
      <c r="B162" s="105" t="s">
        <v>1007</v>
      </c>
      <c r="C162" s="106" t="s">
        <v>1017</v>
      </c>
      <c r="D162" s="106" t="s">
        <v>2415</v>
      </c>
      <c r="E162" s="71" t="s">
        <v>1018</v>
      </c>
      <c r="F162" s="71" t="s">
        <v>170</v>
      </c>
      <c r="G162" s="68" t="s">
        <v>2605</v>
      </c>
      <c r="H162" s="110"/>
      <c r="I162" s="111"/>
      <c r="J162" s="162">
        <v>318</v>
      </c>
      <c r="K162" s="113">
        <f t="shared" si="38"/>
        <v>318</v>
      </c>
      <c r="L162" s="111">
        <v>16039</v>
      </c>
      <c r="M162" s="111">
        <v>4952</v>
      </c>
      <c r="N162" s="112"/>
      <c r="O162" s="111">
        <v>4477</v>
      </c>
      <c r="P162" s="115">
        <v>1</v>
      </c>
      <c r="Q162" s="111">
        <v>8477</v>
      </c>
      <c r="R162" s="115">
        <v>7518</v>
      </c>
      <c r="S162" s="111">
        <f t="shared" si="32"/>
        <v>15995</v>
      </c>
      <c r="T162" s="112">
        <v>19573</v>
      </c>
      <c r="U162" s="116">
        <v>74</v>
      </c>
      <c r="V162" s="111"/>
      <c r="W162" s="113">
        <f t="shared" si="39"/>
        <v>61110</v>
      </c>
      <c r="X162" s="111"/>
      <c r="Y162" s="111"/>
      <c r="Z162" s="116"/>
      <c r="AA162" s="111"/>
      <c r="AB162" s="113">
        <f t="shared" si="40"/>
        <v>0</v>
      </c>
      <c r="AC162" s="111"/>
      <c r="AD162" s="111"/>
      <c r="AE162" s="112"/>
      <c r="AF162" s="117"/>
      <c r="AG162" s="111"/>
      <c r="AH162" s="112"/>
      <c r="AI162" s="112"/>
      <c r="AJ162" s="113">
        <f t="shared" si="41"/>
        <v>0</v>
      </c>
      <c r="AK162" s="112">
        <f t="shared" si="37"/>
        <v>2465225.9750000001</v>
      </c>
      <c r="AL162" s="112">
        <f t="shared" si="37"/>
        <v>1789040.62</v>
      </c>
      <c r="AM162" s="112">
        <f t="shared" si="37"/>
        <v>676185.35499999998</v>
      </c>
      <c r="AN162" s="112">
        <f t="shared" si="36"/>
        <v>36007.868999999999</v>
      </c>
      <c r="AO162" s="192">
        <f t="shared" si="33"/>
        <v>0.72571059941066862</v>
      </c>
      <c r="AP162" s="193">
        <f t="shared" si="34"/>
        <v>97117.869000000006</v>
      </c>
      <c r="AQ162" s="193">
        <f t="shared" si="35"/>
        <v>-96799.869000000006</v>
      </c>
      <c r="AR162" s="118"/>
      <c r="AS162" s="119"/>
      <c r="AT162" s="119"/>
      <c r="AU162" s="120"/>
      <c r="AV162" s="161"/>
      <c r="AW162" s="112">
        <v>2465225975</v>
      </c>
      <c r="AX162" s="162">
        <v>1789040620</v>
      </c>
      <c r="AY162" s="162">
        <v>676185355</v>
      </c>
      <c r="AZ162" s="162">
        <v>36007869</v>
      </c>
      <c r="BA162" s="196">
        <f t="shared" si="42"/>
        <v>0.72571059941066862</v>
      </c>
      <c r="BB162" s="210">
        <v>278489</v>
      </c>
      <c r="BC162" s="115">
        <v>54854</v>
      </c>
      <c r="BD162" s="236">
        <v>0</v>
      </c>
    </row>
    <row r="163" spans="1:56" s="121" customFormat="1" ht="14.25" customHeight="1">
      <c r="A163" s="104" t="s">
        <v>2577</v>
      </c>
      <c r="B163" s="105" t="s">
        <v>1012</v>
      </c>
      <c r="C163" s="106" t="s">
        <v>1022</v>
      </c>
      <c r="D163" s="106" t="s">
        <v>2415</v>
      </c>
      <c r="E163" s="71" t="s">
        <v>1023</v>
      </c>
      <c r="F163" s="71" t="s">
        <v>170</v>
      </c>
      <c r="G163" s="68" t="s">
        <v>2605</v>
      </c>
      <c r="H163" s="110"/>
      <c r="I163" s="111"/>
      <c r="J163" s="162">
        <v>233</v>
      </c>
      <c r="K163" s="113">
        <f t="shared" si="38"/>
        <v>233</v>
      </c>
      <c r="L163" s="111">
        <v>15410</v>
      </c>
      <c r="M163" s="111">
        <v>4077</v>
      </c>
      <c r="N163" s="112"/>
      <c r="O163" s="111">
        <v>2740</v>
      </c>
      <c r="P163" s="115">
        <v>1</v>
      </c>
      <c r="Q163" s="111">
        <v>8477</v>
      </c>
      <c r="R163" s="115">
        <v>5207</v>
      </c>
      <c r="S163" s="111">
        <f t="shared" si="32"/>
        <v>13684</v>
      </c>
      <c r="T163" s="112">
        <v>19054</v>
      </c>
      <c r="U163" s="116">
        <v>72</v>
      </c>
      <c r="V163" s="111"/>
      <c r="W163" s="113">
        <f t="shared" si="39"/>
        <v>55037</v>
      </c>
      <c r="X163" s="111"/>
      <c r="Y163" s="111"/>
      <c r="Z163" s="116"/>
      <c r="AA163" s="111"/>
      <c r="AB163" s="113">
        <f t="shared" si="40"/>
        <v>0</v>
      </c>
      <c r="AC163" s="111"/>
      <c r="AD163" s="111"/>
      <c r="AE163" s="112"/>
      <c r="AF163" s="117"/>
      <c r="AG163" s="111"/>
      <c r="AH163" s="112"/>
      <c r="AI163" s="112"/>
      <c r="AJ163" s="113">
        <f t="shared" si="41"/>
        <v>0</v>
      </c>
      <c r="AK163" s="112">
        <f t="shared" si="37"/>
        <v>2209196.9389999998</v>
      </c>
      <c r="AL163" s="112">
        <f t="shared" si="37"/>
        <v>1415274.0819999999</v>
      </c>
      <c r="AM163" s="112">
        <f t="shared" si="37"/>
        <v>793922.85699999996</v>
      </c>
      <c r="AN163" s="112">
        <f t="shared" si="36"/>
        <v>53189.512000000002</v>
      </c>
      <c r="AO163" s="192">
        <f t="shared" si="33"/>
        <v>0.64062830117835867</v>
      </c>
      <c r="AP163" s="193">
        <f t="shared" si="34"/>
        <v>108226.512</v>
      </c>
      <c r="AQ163" s="193">
        <f t="shared" si="35"/>
        <v>-107993.512</v>
      </c>
      <c r="AR163" s="118"/>
      <c r="AS163" s="119"/>
      <c r="AT163" s="119"/>
      <c r="AU163" s="120"/>
      <c r="AV163" s="161"/>
      <c r="AW163" s="112">
        <v>2209196939</v>
      </c>
      <c r="AX163" s="162">
        <v>1415274082</v>
      </c>
      <c r="AY163" s="162">
        <v>793922857</v>
      </c>
      <c r="AZ163" s="162">
        <v>53189512</v>
      </c>
      <c r="BA163" s="196">
        <f t="shared" si="42"/>
        <v>0.64062830117835867</v>
      </c>
      <c r="BB163" s="210">
        <v>339291</v>
      </c>
      <c r="BC163" s="115">
        <v>39193</v>
      </c>
      <c r="BD163" s="236">
        <v>0</v>
      </c>
    </row>
    <row r="164" spans="1:56" s="121" customFormat="1" ht="14.25" customHeight="1">
      <c r="A164" s="104" t="s">
        <v>2577</v>
      </c>
      <c r="B164" s="105" t="s">
        <v>1016</v>
      </c>
      <c r="C164" s="106" t="s">
        <v>1026</v>
      </c>
      <c r="D164" s="106" t="s">
        <v>2415</v>
      </c>
      <c r="E164" s="71" t="s">
        <v>1027</v>
      </c>
      <c r="F164" s="71" t="s">
        <v>170</v>
      </c>
      <c r="G164" s="68" t="s">
        <v>2605</v>
      </c>
      <c r="H164" s="110"/>
      <c r="I164" s="111"/>
      <c r="J164" s="162">
        <v>212</v>
      </c>
      <c r="K164" s="113">
        <f t="shared" si="38"/>
        <v>212</v>
      </c>
      <c r="L164" s="111">
        <v>8754</v>
      </c>
      <c r="M164" s="111">
        <v>3487</v>
      </c>
      <c r="N164" s="112"/>
      <c r="O164" s="111">
        <v>1107</v>
      </c>
      <c r="P164" s="115">
        <v>1</v>
      </c>
      <c r="Q164" s="111">
        <v>8477</v>
      </c>
      <c r="R164" s="115">
        <v>3972</v>
      </c>
      <c r="S164" s="111">
        <f t="shared" si="32"/>
        <v>12449</v>
      </c>
      <c r="T164" s="112">
        <v>12704</v>
      </c>
      <c r="U164" s="116">
        <v>50</v>
      </c>
      <c r="V164" s="111"/>
      <c r="W164" s="113">
        <f t="shared" si="39"/>
        <v>38551</v>
      </c>
      <c r="X164" s="111"/>
      <c r="Y164" s="111"/>
      <c r="Z164" s="116"/>
      <c r="AA164" s="111"/>
      <c r="AB164" s="113">
        <f t="shared" si="40"/>
        <v>0</v>
      </c>
      <c r="AC164" s="111"/>
      <c r="AD164" s="111"/>
      <c r="AE164" s="112"/>
      <c r="AF164" s="117"/>
      <c r="AG164" s="111"/>
      <c r="AH164" s="112"/>
      <c r="AI164" s="112"/>
      <c r="AJ164" s="113">
        <f t="shared" si="41"/>
        <v>0</v>
      </c>
      <c r="AK164" s="112">
        <f t="shared" si="37"/>
        <v>2429241.6150000002</v>
      </c>
      <c r="AL164" s="112">
        <f t="shared" si="37"/>
        <v>1384923.102</v>
      </c>
      <c r="AM164" s="112">
        <f t="shared" si="37"/>
        <v>1044318.513</v>
      </c>
      <c r="AN164" s="112">
        <f t="shared" si="36"/>
        <v>88510.24</v>
      </c>
      <c r="AO164" s="192">
        <f t="shared" si="33"/>
        <v>0.5701051280566013</v>
      </c>
      <c r="AP164" s="193">
        <f t="shared" si="34"/>
        <v>127061.24</v>
      </c>
      <c r="AQ164" s="193">
        <f t="shared" si="35"/>
        <v>-126849.24</v>
      </c>
      <c r="AR164" s="118"/>
      <c r="AS164" s="119"/>
      <c r="AT164" s="119"/>
      <c r="AU164" s="120"/>
      <c r="AV164" s="161"/>
      <c r="AW164" s="112">
        <v>2429241615</v>
      </c>
      <c r="AX164" s="162">
        <v>1384923102</v>
      </c>
      <c r="AY164" s="162">
        <v>1044318513</v>
      </c>
      <c r="AZ164" s="162">
        <v>88510240</v>
      </c>
      <c r="BA164" s="196">
        <f t="shared" si="42"/>
        <v>0.5701051280566013</v>
      </c>
      <c r="BB164" s="210">
        <v>179296</v>
      </c>
      <c r="BC164" s="115">
        <v>25722</v>
      </c>
      <c r="BD164" s="236">
        <v>0</v>
      </c>
    </row>
    <row r="165" spans="1:56" s="121" customFormat="1" ht="14.25" customHeight="1">
      <c r="A165" s="104" t="s">
        <v>2577</v>
      </c>
      <c r="B165" s="105" t="s">
        <v>1021</v>
      </c>
      <c r="C165" s="106" t="s">
        <v>1030</v>
      </c>
      <c r="D165" s="106" t="s">
        <v>2415</v>
      </c>
      <c r="E165" s="71" t="s">
        <v>1031</v>
      </c>
      <c r="F165" s="71" t="s">
        <v>170</v>
      </c>
      <c r="G165" s="68" t="s">
        <v>2187</v>
      </c>
      <c r="H165" s="110">
        <v>87357</v>
      </c>
      <c r="I165" s="111">
        <v>0</v>
      </c>
      <c r="J165" s="162">
        <v>1217</v>
      </c>
      <c r="K165" s="113">
        <f>SUBTOTAL(9,H165:J165)</f>
        <v>88574</v>
      </c>
      <c r="L165" s="111">
        <v>17634</v>
      </c>
      <c r="M165" s="111">
        <v>5201</v>
      </c>
      <c r="N165" s="112">
        <v>0</v>
      </c>
      <c r="O165" s="111">
        <v>6778</v>
      </c>
      <c r="P165" s="115">
        <v>62</v>
      </c>
      <c r="Q165" s="111">
        <v>8477</v>
      </c>
      <c r="R165" s="115">
        <v>20282</v>
      </c>
      <c r="S165" s="111">
        <f t="shared" si="32"/>
        <v>545856</v>
      </c>
      <c r="T165" s="112">
        <v>40920</v>
      </c>
      <c r="U165" s="116"/>
      <c r="V165" s="111"/>
      <c r="W165" s="113">
        <f t="shared" si="39"/>
        <v>616389</v>
      </c>
      <c r="X165" s="111"/>
      <c r="Y165" s="111"/>
      <c r="Z165" s="116"/>
      <c r="AA165" s="111"/>
      <c r="AB165" s="113">
        <f t="shared" si="40"/>
        <v>0</v>
      </c>
      <c r="AC165" s="111"/>
      <c r="AD165" s="111"/>
      <c r="AE165" s="112"/>
      <c r="AF165" s="117"/>
      <c r="AG165" s="111"/>
      <c r="AH165" s="112"/>
      <c r="AI165" s="112"/>
      <c r="AJ165" s="113">
        <f t="shared" si="41"/>
        <v>0</v>
      </c>
      <c r="AK165" s="112">
        <f t="shared" si="37"/>
        <v>3027922.9670000002</v>
      </c>
      <c r="AL165" s="112">
        <f t="shared" si="37"/>
        <v>2097417.0980000002</v>
      </c>
      <c r="AM165" s="112">
        <f t="shared" si="37"/>
        <v>930505.86899999995</v>
      </c>
      <c r="AN165" s="112">
        <f t="shared" si="36"/>
        <v>47928.769</v>
      </c>
      <c r="AO165" s="192">
        <f t="shared" si="33"/>
        <v>0.69269169686905052</v>
      </c>
      <c r="AP165" s="193">
        <f t="shared" si="34"/>
        <v>664317.76899999997</v>
      </c>
      <c r="AQ165" s="193">
        <f t="shared" si="35"/>
        <v>-575743.76899999997</v>
      </c>
      <c r="AR165" s="118"/>
      <c r="AS165" s="119"/>
      <c r="AT165" s="119"/>
      <c r="AU165" s="120"/>
      <c r="AV165" s="161"/>
      <c r="AW165" s="112">
        <v>3027922967</v>
      </c>
      <c r="AX165" s="162">
        <v>2097417098</v>
      </c>
      <c r="AY165" s="162">
        <v>930505869</v>
      </c>
      <c r="AZ165" s="162">
        <v>47928769</v>
      </c>
      <c r="BA165" s="196">
        <f t="shared" si="42"/>
        <v>0.69269169686905052</v>
      </c>
      <c r="BB165" s="210" t="s">
        <v>825</v>
      </c>
      <c r="BC165" s="115" t="s">
        <v>825</v>
      </c>
      <c r="BD165" s="236" t="s">
        <v>825</v>
      </c>
    </row>
    <row r="166" spans="1:56" s="121" customFormat="1" ht="14.25" customHeight="1">
      <c r="A166" s="104" t="s">
        <v>2577</v>
      </c>
      <c r="B166" s="105" t="s">
        <v>1025</v>
      </c>
      <c r="C166" s="106" t="s">
        <v>1038</v>
      </c>
      <c r="D166" s="106" t="s">
        <v>2415</v>
      </c>
      <c r="E166" s="71" t="s">
        <v>1039</v>
      </c>
      <c r="F166" s="71" t="s">
        <v>170</v>
      </c>
      <c r="G166" s="68" t="s">
        <v>2605</v>
      </c>
      <c r="H166" s="110"/>
      <c r="I166" s="111"/>
      <c r="J166" s="162">
        <v>957</v>
      </c>
      <c r="K166" s="113">
        <f t="shared" ref="K166" si="43">SUBTOTAL(9,H166:J166)</f>
        <v>957</v>
      </c>
      <c r="L166" s="111">
        <v>5890</v>
      </c>
      <c r="M166" s="111">
        <v>9809</v>
      </c>
      <c r="N166" s="112"/>
      <c r="O166" s="117">
        <v>2041</v>
      </c>
      <c r="P166" s="115"/>
      <c r="Q166" s="111">
        <v>8477</v>
      </c>
      <c r="R166" s="115">
        <v>33145</v>
      </c>
      <c r="S166" s="111">
        <f t="shared" si="32"/>
        <v>33145</v>
      </c>
      <c r="T166" s="112">
        <v>46006</v>
      </c>
      <c r="U166" s="116">
        <v>13</v>
      </c>
      <c r="V166" s="111"/>
      <c r="W166" s="113">
        <f t="shared" si="39"/>
        <v>96904</v>
      </c>
      <c r="X166" s="111"/>
      <c r="Y166" s="111"/>
      <c r="Z166" s="116"/>
      <c r="AA166" s="111"/>
      <c r="AB166" s="113">
        <f t="shared" si="40"/>
        <v>0</v>
      </c>
      <c r="AC166" s="111"/>
      <c r="AD166" s="111"/>
      <c r="AE166" s="112"/>
      <c r="AF166" s="117"/>
      <c r="AG166" s="111"/>
      <c r="AH166" s="112"/>
      <c r="AI166" s="112"/>
      <c r="AJ166" s="113">
        <f t="shared" si="41"/>
        <v>0</v>
      </c>
      <c r="AK166" s="112">
        <f t="shared" si="37"/>
        <v>1034894.096</v>
      </c>
      <c r="AL166" s="112">
        <f t="shared" si="37"/>
        <v>714180.38100000005</v>
      </c>
      <c r="AM166" s="112">
        <f t="shared" si="37"/>
        <v>320713.71500000003</v>
      </c>
      <c r="AN166" s="112">
        <f t="shared" si="36"/>
        <v>21042.958999999999</v>
      </c>
      <c r="AO166" s="192">
        <f t="shared" si="33"/>
        <v>0.69009996651869976</v>
      </c>
      <c r="AP166" s="193">
        <f t="shared" si="34"/>
        <v>117946.959</v>
      </c>
      <c r="AQ166" s="193">
        <f t="shared" si="35"/>
        <v>-116989.959</v>
      </c>
      <c r="AR166" s="118"/>
      <c r="AS166" s="119"/>
      <c r="AT166" s="119"/>
      <c r="AU166" s="120"/>
      <c r="AV166" s="161"/>
      <c r="AW166" s="112">
        <v>1034894096</v>
      </c>
      <c r="AX166" s="162">
        <v>714180381</v>
      </c>
      <c r="AY166" s="162">
        <v>320713715</v>
      </c>
      <c r="AZ166" s="162">
        <v>21042959</v>
      </c>
      <c r="BA166" s="196">
        <f t="shared" si="42"/>
        <v>0.69009996651869976</v>
      </c>
      <c r="BB166" s="210">
        <v>171510</v>
      </c>
      <c r="BC166" s="115">
        <v>5480</v>
      </c>
      <c r="BD166" s="236">
        <v>0</v>
      </c>
    </row>
    <row r="167" spans="1:56" s="121" customFormat="1" ht="14.25" customHeight="1">
      <c r="A167" s="104" t="s">
        <v>2577</v>
      </c>
      <c r="B167" s="105" t="s">
        <v>1029</v>
      </c>
      <c r="C167" s="106" t="s">
        <v>2604</v>
      </c>
      <c r="D167" s="106" t="s">
        <v>2415</v>
      </c>
      <c r="E167" s="71" t="s">
        <v>1045</v>
      </c>
      <c r="F167" s="71" t="s">
        <v>170</v>
      </c>
      <c r="G167" s="68" t="s">
        <v>1046</v>
      </c>
      <c r="H167" s="110"/>
      <c r="I167" s="111">
        <v>278</v>
      </c>
      <c r="J167" s="162"/>
      <c r="K167" s="113">
        <v>278</v>
      </c>
      <c r="L167" s="111">
        <v>50771</v>
      </c>
      <c r="M167" s="111">
        <v>19062</v>
      </c>
      <c r="N167" s="112">
        <v>0</v>
      </c>
      <c r="O167" s="111">
        <v>6227</v>
      </c>
      <c r="P167" s="114"/>
      <c r="Q167" s="111">
        <v>8477</v>
      </c>
      <c r="R167" s="115">
        <v>98464</v>
      </c>
      <c r="S167" s="111">
        <f t="shared" si="32"/>
        <v>98464</v>
      </c>
      <c r="T167" s="112">
        <v>732700</v>
      </c>
      <c r="U167" s="116">
        <v>3990</v>
      </c>
      <c r="V167" s="111"/>
      <c r="W167" s="113">
        <v>911214</v>
      </c>
      <c r="X167" s="111"/>
      <c r="Y167" s="111"/>
      <c r="Z167" s="116"/>
      <c r="AA167" s="111"/>
      <c r="AB167" s="113">
        <v>0</v>
      </c>
      <c r="AC167" s="111"/>
      <c r="AD167" s="111"/>
      <c r="AE167" s="112"/>
      <c r="AF167" s="117"/>
      <c r="AG167" s="111"/>
      <c r="AH167" s="112"/>
      <c r="AI167" s="112"/>
      <c r="AJ167" s="113">
        <v>0</v>
      </c>
      <c r="AK167" s="112">
        <f t="shared" si="37"/>
        <v>1752483.01</v>
      </c>
      <c r="AL167" s="112">
        <f t="shared" si="37"/>
        <v>1296507.2309999999</v>
      </c>
      <c r="AM167" s="112">
        <f t="shared" si="37"/>
        <v>455975.77899999998</v>
      </c>
      <c r="AN167" s="112">
        <f t="shared" si="36"/>
        <v>0</v>
      </c>
      <c r="AO167" s="192">
        <f t="shared" si="33"/>
        <v>0</v>
      </c>
      <c r="AP167" s="193">
        <f t="shared" si="34"/>
        <v>911214</v>
      </c>
      <c r="AQ167" s="193">
        <f t="shared" si="35"/>
        <v>-910936</v>
      </c>
      <c r="AR167" s="118"/>
      <c r="AS167" s="119"/>
      <c r="AT167" s="119"/>
      <c r="AU167" s="120"/>
      <c r="AV167" s="161"/>
      <c r="AW167" s="112">
        <v>1752483010</v>
      </c>
      <c r="AX167" s="162">
        <v>1296507231</v>
      </c>
      <c r="AY167" s="162">
        <v>455975779</v>
      </c>
      <c r="AZ167" s="162"/>
      <c r="BA167" s="196"/>
      <c r="BB167" s="210">
        <v>491350</v>
      </c>
      <c r="BC167" s="115">
        <v>203359</v>
      </c>
      <c r="BD167" s="236">
        <v>0</v>
      </c>
    </row>
    <row r="168" spans="1:56" s="121" customFormat="1" ht="14.25" customHeight="1">
      <c r="A168" s="104" t="s">
        <v>2577</v>
      </c>
      <c r="B168" s="105" t="s">
        <v>1037</v>
      </c>
      <c r="C168" s="106" t="s">
        <v>2138</v>
      </c>
      <c r="D168" s="106" t="s">
        <v>2415</v>
      </c>
      <c r="E168" s="71" t="s">
        <v>2133</v>
      </c>
      <c r="F168" s="71" t="s">
        <v>2085</v>
      </c>
      <c r="G168" s="68" t="s">
        <v>2452</v>
      </c>
      <c r="H168" s="110"/>
      <c r="I168" s="111">
        <v>171</v>
      </c>
      <c r="J168" s="162"/>
      <c r="K168" s="113">
        <f t="shared" ref="K168:K187" si="44">SUBTOTAL(9,H168:J168)</f>
        <v>171</v>
      </c>
      <c r="L168" s="111">
        <v>36803</v>
      </c>
      <c r="M168" s="111">
        <v>12597</v>
      </c>
      <c r="N168" s="112"/>
      <c r="O168" s="111">
        <v>3039</v>
      </c>
      <c r="P168" s="114">
        <v>3</v>
      </c>
      <c r="Q168" s="111">
        <v>8477</v>
      </c>
      <c r="R168" s="115">
        <v>1788</v>
      </c>
      <c r="S168" s="111">
        <f t="shared" si="32"/>
        <v>27219</v>
      </c>
      <c r="T168" s="112">
        <v>432939</v>
      </c>
      <c r="U168" s="116">
        <v>80</v>
      </c>
      <c r="V168" s="111"/>
      <c r="W168" s="113">
        <f t="shared" ref="W168:W187" si="45">SUBTOTAL(9,L168:O168,S168:V168)</f>
        <v>512677</v>
      </c>
      <c r="X168" s="111"/>
      <c r="Y168" s="111"/>
      <c r="Z168" s="116"/>
      <c r="AA168" s="111"/>
      <c r="AB168" s="113">
        <f t="shared" ref="AB168:AB190" si="46">SUBTOTAL(9,X168:AA168)</f>
        <v>0</v>
      </c>
      <c r="AC168" s="111"/>
      <c r="AD168" s="111"/>
      <c r="AE168" s="112"/>
      <c r="AF168" s="117"/>
      <c r="AG168" s="111"/>
      <c r="AH168" s="112"/>
      <c r="AI168" s="112"/>
      <c r="AJ168" s="113">
        <f t="shared" ref="AJ168:AJ190" si="47">SUBTOTAL(9,AC168:AI168)</f>
        <v>0</v>
      </c>
      <c r="AK168" s="112">
        <f t="shared" si="37"/>
        <v>1826821.0870000001</v>
      </c>
      <c r="AL168" s="112">
        <f t="shared" si="37"/>
        <v>475112.35600000003</v>
      </c>
      <c r="AM168" s="112">
        <f t="shared" si="37"/>
        <v>1351708.7309999999</v>
      </c>
      <c r="AN168" s="112">
        <f t="shared" si="36"/>
        <v>94823.922999999995</v>
      </c>
      <c r="AO168" s="192">
        <f t="shared" si="33"/>
        <v>0.26007601914658651</v>
      </c>
      <c r="AP168" s="193">
        <f t="shared" si="34"/>
        <v>607500.92299999995</v>
      </c>
      <c r="AQ168" s="193">
        <f t="shared" si="35"/>
        <v>-607329.92299999995</v>
      </c>
      <c r="AR168" s="118"/>
      <c r="AS168" s="119"/>
      <c r="AT168" s="119"/>
      <c r="AU168" s="120"/>
      <c r="AV168" s="161"/>
      <c r="AW168" s="112">
        <v>1826821087</v>
      </c>
      <c r="AX168" s="162">
        <v>475112356</v>
      </c>
      <c r="AY168" s="162">
        <v>1351708731</v>
      </c>
      <c r="AZ168" s="162">
        <v>94823923</v>
      </c>
      <c r="BA168" s="196">
        <f t="shared" ref="BA168:BA190" si="48">AX168/AW168</f>
        <v>0.26007601914658651</v>
      </c>
      <c r="BB168" s="210">
        <v>435098.55</v>
      </c>
      <c r="BC168" s="115">
        <v>0</v>
      </c>
      <c r="BD168" s="236">
        <v>65218</v>
      </c>
    </row>
    <row r="169" spans="1:56" s="121" customFormat="1" ht="14.25" customHeight="1">
      <c r="A169" s="104" t="s">
        <v>2577</v>
      </c>
      <c r="B169" s="105" t="s">
        <v>1043</v>
      </c>
      <c r="C169" s="106" t="s">
        <v>1055</v>
      </c>
      <c r="D169" s="106" t="s">
        <v>2415</v>
      </c>
      <c r="E169" s="71" t="s">
        <v>1056</v>
      </c>
      <c r="F169" s="71" t="s">
        <v>2085</v>
      </c>
      <c r="G169" s="70" t="s">
        <v>2188</v>
      </c>
      <c r="H169" s="110">
        <v>29126</v>
      </c>
      <c r="I169" s="111">
        <v>66</v>
      </c>
      <c r="J169" s="162">
        <v>5726</v>
      </c>
      <c r="K169" s="113">
        <f t="shared" si="44"/>
        <v>34918</v>
      </c>
      <c r="L169" s="111">
        <v>7675</v>
      </c>
      <c r="M169" s="111">
        <v>1600</v>
      </c>
      <c r="N169" s="112"/>
      <c r="O169" s="117">
        <v>1198</v>
      </c>
      <c r="P169" s="115">
        <v>21</v>
      </c>
      <c r="Q169" s="111">
        <v>8477</v>
      </c>
      <c r="R169" s="115">
        <v>67124</v>
      </c>
      <c r="S169" s="111">
        <f t="shared" si="32"/>
        <v>245141</v>
      </c>
      <c r="T169" s="112">
        <v>18455</v>
      </c>
      <c r="U169" s="144"/>
      <c r="V169" s="111"/>
      <c r="W169" s="113">
        <f t="shared" si="45"/>
        <v>274069</v>
      </c>
      <c r="X169" s="111"/>
      <c r="Y169" s="111"/>
      <c r="Z169" s="116"/>
      <c r="AA169" s="111"/>
      <c r="AB169" s="113">
        <f t="shared" si="46"/>
        <v>0</v>
      </c>
      <c r="AC169" s="111"/>
      <c r="AD169" s="111"/>
      <c r="AE169" s="112"/>
      <c r="AF169" s="117"/>
      <c r="AG169" s="111"/>
      <c r="AH169" s="112"/>
      <c r="AI169" s="112"/>
      <c r="AJ169" s="113">
        <f t="shared" si="47"/>
        <v>0</v>
      </c>
      <c r="AK169" s="112">
        <f t="shared" si="37"/>
        <v>171840.65</v>
      </c>
      <c r="AL169" s="112">
        <f t="shared" si="37"/>
        <v>165812.53899999999</v>
      </c>
      <c r="AM169" s="112">
        <f t="shared" si="37"/>
        <v>6028.1109999999999</v>
      </c>
      <c r="AN169" s="112">
        <f t="shared" si="36"/>
        <v>76.23</v>
      </c>
      <c r="AO169" s="192">
        <f t="shared" si="33"/>
        <v>0.96492034335298427</v>
      </c>
      <c r="AP169" s="193">
        <f t="shared" si="34"/>
        <v>274145.23</v>
      </c>
      <c r="AQ169" s="193">
        <f t="shared" si="35"/>
        <v>-239227.22999999998</v>
      </c>
      <c r="AR169" s="118"/>
      <c r="AS169" s="119"/>
      <c r="AT169" s="119"/>
      <c r="AU169" s="120"/>
      <c r="AV169" s="161"/>
      <c r="AW169" s="112">
        <v>171840650</v>
      </c>
      <c r="AX169" s="162">
        <v>165812539</v>
      </c>
      <c r="AY169" s="162">
        <v>6028111</v>
      </c>
      <c r="AZ169" s="162">
        <v>76230</v>
      </c>
      <c r="BA169" s="196">
        <f t="shared" si="48"/>
        <v>0.96492034335298427</v>
      </c>
      <c r="BB169" s="210">
        <v>57500</v>
      </c>
      <c r="BC169" s="115">
        <v>24816</v>
      </c>
      <c r="BD169" s="236">
        <v>0</v>
      </c>
    </row>
    <row r="170" spans="1:56" s="121" customFormat="1" ht="14.25" customHeight="1">
      <c r="A170" s="104" t="s">
        <v>2577</v>
      </c>
      <c r="B170" s="105" t="s">
        <v>1054</v>
      </c>
      <c r="C170" s="106" t="s">
        <v>1071</v>
      </c>
      <c r="D170" s="106" t="s">
        <v>2415</v>
      </c>
      <c r="E170" s="71" t="s">
        <v>1072</v>
      </c>
      <c r="F170" s="71" t="s">
        <v>2085</v>
      </c>
      <c r="G170" s="70" t="s">
        <v>2188</v>
      </c>
      <c r="H170" s="110">
        <v>15736</v>
      </c>
      <c r="I170" s="111">
        <v>66</v>
      </c>
      <c r="J170" s="162">
        <v>7615</v>
      </c>
      <c r="K170" s="113">
        <f t="shared" si="44"/>
        <v>23417</v>
      </c>
      <c r="L170" s="111">
        <v>5996</v>
      </c>
      <c r="M170" s="111">
        <v>2447</v>
      </c>
      <c r="N170" s="112"/>
      <c r="O170" s="117">
        <v>909</v>
      </c>
      <c r="P170" s="115">
        <v>22</v>
      </c>
      <c r="Q170" s="111">
        <v>8477</v>
      </c>
      <c r="R170" s="115">
        <v>52142</v>
      </c>
      <c r="S170" s="111">
        <f t="shared" si="32"/>
        <v>238636</v>
      </c>
      <c r="T170" s="112">
        <v>18154</v>
      </c>
      <c r="U170" s="144"/>
      <c r="V170" s="111"/>
      <c r="W170" s="113">
        <f t="shared" si="45"/>
        <v>266142</v>
      </c>
      <c r="X170" s="111"/>
      <c r="Y170" s="111"/>
      <c r="Z170" s="116"/>
      <c r="AA170" s="111"/>
      <c r="AB170" s="113">
        <f t="shared" si="46"/>
        <v>0</v>
      </c>
      <c r="AC170" s="111"/>
      <c r="AD170" s="111"/>
      <c r="AE170" s="112"/>
      <c r="AF170" s="117"/>
      <c r="AG170" s="111"/>
      <c r="AH170" s="112"/>
      <c r="AI170" s="112"/>
      <c r="AJ170" s="113">
        <f t="shared" si="47"/>
        <v>0</v>
      </c>
      <c r="AK170" s="112">
        <f t="shared" si="37"/>
        <v>443194.5</v>
      </c>
      <c r="AL170" s="112">
        <f t="shared" si="37"/>
        <v>152823.07999999999</v>
      </c>
      <c r="AM170" s="112">
        <f t="shared" si="37"/>
        <v>290371.42</v>
      </c>
      <c r="AN170" s="112">
        <f t="shared" si="36"/>
        <v>15282.308000000001</v>
      </c>
      <c r="AO170" s="192">
        <f t="shared" si="33"/>
        <v>0.34482169792269535</v>
      </c>
      <c r="AP170" s="193">
        <f t="shared" si="34"/>
        <v>281424.30800000002</v>
      </c>
      <c r="AQ170" s="193">
        <f t="shared" si="35"/>
        <v>-258007.30800000002</v>
      </c>
      <c r="AR170" s="118"/>
      <c r="AS170" s="119"/>
      <c r="AT170" s="119"/>
      <c r="AU170" s="120"/>
      <c r="AV170" s="161"/>
      <c r="AW170" s="112">
        <v>443194500</v>
      </c>
      <c r="AX170" s="162">
        <v>152823080</v>
      </c>
      <c r="AY170" s="162">
        <v>290371420</v>
      </c>
      <c r="AZ170" s="162">
        <v>15282308</v>
      </c>
      <c r="BA170" s="196">
        <f t="shared" si="48"/>
        <v>0.34482169792269535</v>
      </c>
      <c r="BB170" s="210">
        <v>64575</v>
      </c>
      <c r="BC170" s="115">
        <v>23450</v>
      </c>
      <c r="BD170" s="236">
        <v>0</v>
      </c>
    </row>
    <row r="171" spans="1:56" s="121" customFormat="1" ht="14.25" customHeight="1">
      <c r="A171" s="104" t="s">
        <v>2577</v>
      </c>
      <c r="B171" s="105" t="s">
        <v>1067</v>
      </c>
      <c r="C171" s="106" t="s">
        <v>1077</v>
      </c>
      <c r="D171" s="106" t="s">
        <v>2415</v>
      </c>
      <c r="E171" s="71" t="s">
        <v>1078</v>
      </c>
      <c r="F171" s="71" t="s">
        <v>2085</v>
      </c>
      <c r="G171" s="70" t="s">
        <v>2188</v>
      </c>
      <c r="H171" s="110">
        <v>26667</v>
      </c>
      <c r="I171" s="111">
        <v>66</v>
      </c>
      <c r="J171" s="162">
        <v>7556</v>
      </c>
      <c r="K171" s="113">
        <f t="shared" si="44"/>
        <v>34289</v>
      </c>
      <c r="L171" s="111">
        <v>6891</v>
      </c>
      <c r="M171" s="111">
        <v>1816</v>
      </c>
      <c r="N171" s="112"/>
      <c r="O171" s="117">
        <v>2732</v>
      </c>
      <c r="P171" s="115">
        <v>21</v>
      </c>
      <c r="Q171" s="111">
        <v>8477</v>
      </c>
      <c r="R171" s="115">
        <v>52830</v>
      </c>
      <c r="S171" s="111">
        <f t="shared" si="32"/>
        <v>230847</v>
      </c>
      <c r="T171" s="112">
        <v>20146</v>
      </c>
      <c r="U171" s="144"/>
      <c r="V171" s="111"/>
      <c r="W171" s="113">
        <f t="shared" si="45"/>
        <v>262432</v>
      </c>
      <c r="X171" s="111"/>
      <c r="Y171" s="111"/>
      <c r="Z171" s="116"/>
      <c r="AA171" s="111"/>
      <c r="AB171" s="113">
        <f t="shared" si="46"/>
        <v>0</v>
      </c>
      <c r="AC171" s="111"/>
      <c r="AD171" s="111"/>
      <c r="AE171" s="112"/>
      <c r="AF171" s="117"/>
      <c r="AG171" s="111"/>
      <c r="AH171" s="112"/>
      <c r="AI171" s="112"/>
      <c r="AJ171" s="113">
        <f t="shared" si="47"/>
        <v>0</v>
      </c>
      <c r="AK171" s="112">
        <f t="shared" si="37"/>
        <v>154146.09700000001</v>
      </c>
      <c r="AL171" s="112">
        <f t="shared" si="37"/>
        <v>115298.32399999999</v>
      </c>
      <c r="AM171" s="112">
        <f t="shared" si="37"/>
        <v>38847.773000000001</v>
      </c>
      <c r="AN171" s="112">
        <f t="shared" si="36"/>
        <v>1682.434</v>
      </c>
      <c r="AO171" s="192">
        <f t="shared" si="33"/>
        <v>0.74798081978034126</v>
      </c>
      <c r="AP171" s="193">
        <f t="shared" si="34"/>
        <v>264114.43400000001</v>
      </c>
      <c r="AQ171" s="193">
        <f t="shared" si="35"/>
        <v>-229825.43400000001</v>
      </c>
      <c r="AR171" s="118"/>
      <c r="AS171" s="119"/>
      <c r="AT171" s="119"/>
      <c r="AU171" s="120"/>
      <c r="AV171" s="161"/>
      <c r="AW171" s="112">
        <v>154146097</v>
      </c>
      <c r="AX171" s="162">
        <v>115298324</v>
      </c>
      <c r="AY171" s="162">
        <v>38847773</v>
      </c>
      <c r="AZ171" s="162">
        <v>1682434</v>
      </c>
      <c r="BA171" s="196">
        <f t="shared" si="48"/>
        <v>0.74798081978034126</v>
      </c>
      <c r="BB171" s="210">
        <v>125726</v>
      </c>
      <c r="BC171" s="115">
        <v>0</v>
      </c>
      <c r="BD171" s="236">
        <v>3354.5</v>
      </c>
    </row>
    <row r="172" spans="1:56" s="121" customFormat="1" ht="14.25" customHeight="1">
      <c r="A172" s="104" t="s">
        <v>2577</v>
      </c>
      <c r="B172" s="105" t="s">
        <v>181</v>
      </c>
      <c r="C172" s="106" t="s">
        <v>1083</v>
      </c>
      <c r="D172" s="106" t="s">
        <v>2415</v>
      </c>
      <c r="E172" s="71" t="s">
        <v>1084</v>
      </c>
      <c r="F172" s="71" t="s">
        <v>2085</v>
      </c>
      <c r="G172" s="70" t="s">
        <v>2188</v>
      </c>
      <c r="H172" s="110">
        <v>18828</v>
      </c>
      <c r="I172" s="111">
        <v>66</v>
      </c>
      <c r="J172" s="162">
        <v>5264</v>
      </c>
      <c r="K172" s="113">
        <f t="shared" si="44"/>
        <v>24158</v>
      </c>
      <c r="L172" s="111">
        <v>4451</v>
      </c>
      <c r="M172" s="111">
        <v>1364</v>
      </c>
      <c r="N172" s="112"/>
      <c r="O172" s="117">
        <v>551</v>
      </c>
      <c r="P172" s="115">
        <v>18</v>
      </c>
      <c r="Q172" s="111">
        <v>8477</v>
      </c>
      <c r="R172" s="115">
        <v>56221</v>
      </c>
      <c r="S172" s="111">
        <f t="shared" si="32"/>
        <v>208807</v>
      </c>
      <c r="T172" s="112">
        <v>15620</v>
      </c>
      <c r="U172" s="144"/>
      <c r="V172" s="111"/>
      <c r="W172" s="113">
        <f t="shared" si="45"/>
        <v>230793</v>
      </c>
      <c r="X172" s="111"/>
      <c r="Y172" s="111"/>
      <c r="Z172" s="116"/>
      <c r="AA172" s="111"/>
      <c r="AB172" s="113">
        <f t="shared" si="46"/>
        <v>0</v>
      </c>
      <c r="AC172" s="111"/>
      <c r="AD172" s="111"/>
      <c r="AE172" s="112"/>
      <c r="AF172" s="117"/>
      <c r="AG172" s="111"/>
      <c r="AH172" s="112"/>
      <c r="AI172" s="112"/>
      <c r="AJ172" s="113">
        <f t="shared" si="47"/>
        <v>0</v>
      </c>
      <c r="AK172" s="112">
        <f t="shared" si="37"/>
        <v>453618.74599999998</v>
      </c>
      <c r="AL172" s="112">
        <f t="shared" si="37"/>
        <v>164805.77900000001</v>
      </c>
      <c r="AM172" s="112">
        <f t="shared" si="37"/>
        <v>288812.967</v>
      </c>
      <c r="AN172" s="112">
        <f t="shared" si="36"/>
        <v>621.03300000000002</v>
      </c>
      <c r="AO172" s="192">
        <f t="shared" si="33"/>
        <v>0.36331342223674329</v>
      </c>
      <c r="AP172" s="193">
        <f t="shared" si="34"/>
        <v>231414.033</v>
      </c>
      <c r="AQ172" s="193">
        <f t="shared" si="35"/>
        <v>-207256.033</v>
      </c>
      <c r="AR172" s="118"/>
      <c r="AS172" s="119"/>
      <c r="AT172" s="119"/>
      <c r="AU172" s="120"/>
      <c r="AV172" s="161"/>
      <c r="AW172" s="112">
        <v>453618746</v>
      </c>
      <c r="AX172" s="162">
        <v>164805779</v>
      </c>
      <c r="AY172" s="162">
        <v>288812967</v>
      </c>
      <c r="AZ172" s="162">
        <v>621033</v>
      </c>
      <c r="BA172" s="196">
        <f t="shared" si="48"/>
        <v>0.36331342223674329</v>
      </c>
      <c r="BB172" s="210">
        <v>9184</v>
      </c>
      <c r="BC172" s="115">
        <v>0</v>
      </c>
      <c r="BD172" s="236">
        <v>138.4</v>
      </c>
    </row>
    <row r="173" spans="1:56" s="121" customFormat="1" ht="14.25" customHeight="1">
      <c r="A173" s="104" t="s">
        <v>2577</v>
      </c>
      <c r="B173" s="105" t="s">
        <v>1076</v>
      </c>
      <c r="C173" s="106" t="s">
        <v>1088</v>
      </c>
      <c r="D173" s="106" t="s">
        <v>2415</v>
      </c>
      <c r="E173" s="71" t="s">
        <v>1089</v>
      </c>
      <c r="F173" s="71" t="s">
        <v>2085</v>
      </c>
      <c r="G173" s="70" t="s">
        <v>2188</v>
      </c>
      <c r="H173" s="110">
        <v>10000</v>
      </c>
      <c r="I173" s="111">
        <v>66</v>
      </c>
      <c r="J173" s="162">
        <v>6092</v>
      </c>
      <c r="K173" s="113">
        <f t="shared" si="44"/>
        <v>16158</v>
      </c>
      <c r="L173" s="111">
        <v>4254</v>
      </c>
      <c r="M173" s="111">
        <v>1898</v>
      </c>
      <c r="N173" s="112"/>
      <c r="O173" s="117">
        <v>215</v>
      </c>
      <c r="P173" s="115">
        <v>14</v>
      </c>
      <c r="Q173" s="111">
        <v>8477</v>
      </c>
      <c r="R173" s="115">
        <v>52316</v>
      </c>
      <c r="S173" s="111">
        <f t="shared" si="32"/>
        <v>170994</v>
      </c>
      <c r="T173" s="112">
        <v>14683</v>
      </c>
      <c r="U173" s="144"/>
      <c r="V173" s="111"/>
      <c r="W173" s="113">
        <f t="shared" si="45"/>
        <v>192044</v>
      </c>
      <c r="X173" s="111"/>
      <c r="Y173" s="111"/>
      <c r="Z173" s="116"/>
      <c r="AA173" s="111"/>
      <c r="AB173" s="113">
        <f t="shared" si="46"/>
        <v>0</v>
      </c>
      <c r="AC173" s="111"/>
      <c r="AD173" s="111"/>
      <c r="AE173" s="112"/>
      <c r="AF173" s="117"/>
      <c r="AG173" s="111"/>
      <c r="AH173" s="112"/>
      <c r="AI173" s="112"/>
      <c r="AJ173" s="113">
        <f t="shared" si="47"/>
        <v>0</v>
      </c>
      <c r="AK173" s="112">
        <f t="shared" si="37"/>
        <v>374673.6</v>
      </c>
      <c r="AL173" s="112">
        <f t="shared" si="37"/>
        <v>96275.263000000006</v>
      </c>
      <c r="AM173" s="112">
        <f t="shared" si="37"/>
        <v>278398.337</v>
      </c>
      <c r="AN173" s="112">
        <f t="shared" si="36"/>
        <v>13753.609</v>
      </c>
      <c r="AO173" s="192">
        <f t="shared" si="33"/>
        <v>0.25695769064060026</v>
      </c>
      <c r="AP173" s="193">
        <f t="shared" si="34"/>
        <v>205797.609</v>
      </c>
      <c r="AQ173" s="193">
        <f t="shared" si="35"/>
        <v>-189639.609</v>
      </c>
      <c r="AR173" s="118"/>
      <c r="AS173" s="119"/>
      <c r="AT173" s="119"/>
      <c r="AU173" s="120"/>
      <c r="AV173" s="161"/>
      <c r="AW173" s="112">
        <v>374673600</v>
      </c>
      <c r="AX173" s="162">
        <v>96275263</v>
      </c>
      <c r="AY173" s="162">
        <v>278398337</v>
      </c>
      <c r="AZ173" s="162">
        <v>13753609</v>
      </c>
      <c r="BA173" s="196">
        <f t="shared" si="48"/>
        <v>0.25695769064060026</v>
      </c>
      <c r="BB173" s="210">
        <v>46788</v>
      </c>
      <c r="BC173" s="115">
        <v>15063</v>
      </c>
      <c r="BD173" s="236">
        <v>0</v>
      </c>
    </row>
    <row r="174" spans="1:56" s="121" customFormat="1" ht="14.25" customHeight="1">
      <c r="A174" s="104" t="s">
        <v>2577</v>
      </c>
      <c r="B174" s="105" t="s">
        <v>2546</v>
      </c>
      <c r="C174" s="106" t="s">
        <v>1092</v>
      </c>
      <c r="D174" s="106" t="s">
        <v>2415</v>
      </c>
      <c r="E174" s="71" t="s">
        <v>1093</v>
      </c>
      <c r="F174" s="71" t="s">
        <v>170</v>
      </c>
      <c r="G174" s="71" t="s">
        <v>2188</v>
      </c>
      <c r="H174" s="110">
        <v>636</v>
      </c>
      <c r="I174" s="111"/>
      <c r="J174" s="162">
        <v>12</v>
      </c>
      <c r="K174" s="113">
        <f t="shared" si="44"/>
        <v>648</v>
      </c>
      <c r="L174" s="111">
        <v>1338</v>
      </c>
      <c r="M174" s="111">
        <v>557</v>
      </c>
      <c r="N174" s="112"/>
      <c r="O174" s="111">
        <v>288</v>
      </c>
      <c r="P174" s="115">
        <v>5</v>
      </c>
      <c r="Q174" s="111">
        <v>8477</v>
      </c>
      <c r="R174" s="115">
        <v>13712</v>
      </c>
      <c r="S174" s="111">
        <f t="shared" si="32"/>
        <v>56097</v>
      </c>
      <c r="T174" s="112">
        <v>1919</v>
      </c>
      <c r="U174" s="116">
        <v>19</v>
      </c>
      <c r="V174" s="111"/>
      <c r="W174" s="113">
        <f t="shared" si="45"/>
        <v>60218</v>
      </c>
      <c r="X174" s="111"/>
      <c r="Y174" s="111"/>
      <c r="Z174" s="116"/>
      <c r="AA174" s="111"/>
      <c r="AB174" s="113">
        <f t="shared" si="46"/>
        <v>0</v>
      </c>
      <c r="AC174" s="111"/>
      <c r="AD174" s="111"/>
      <c r="AE174" s="112"/>
      <c r="AF174" s="117"/>
      <c r="AG174" s="111"/>
      <c r="AH174" s="112"/>
      <c r="AI174" s="112"/>
      <c r="AJ174" s="113">
        <f t="shared" si="47"/>
        <v>0</v>
      </c>
      <c r="AK174" s="112">
        <f t="shared" si="37"/>
        <v>297761.09299999999</v>
      </c>
      <c r="AL174" s="112">
        <f t="shared" si="37"/>
        <v>176879.158</v>
      </c>
      <c r="AM174" s="112">
        <f t="shared" si="37"/>
        <v>120881.935</v>
      </c>
      <c r="AN174" s="112">
        <f t="shared" si="36"/>
        <v>5912.6719999999996</v>
      </c>
      <c r="AO174" s="192">
        <f t="shared" si="33"/>
        <v>0.59403045649083508</v>
      </c>
      <c r="AP174" s="193">
        <f t="shared" si="34"/>
        <v>66130.672000000006</v>
      </c>
      <c r="AQ174" s="193">
        <f t="shared" si="35"/>
        <v>-65482.672000000006</v>
      </c>
      <c r="AR174" s="118"/>
      <c r="AS174" s="119"/>
      <c r="AT174" s="119"/>
      <c r="AU174" s="120"/>
      <c r="AV174" s="161"/>
      <c r="AW174" s="112">
        <v>297761093</v>
      </c>
      <c r="AX174" s="162">
        <v>176879158</v>
      </c>
      <c r="AY174" s="162">
        <v>120881935</v>
      </c>
      <c r="AZ174" s="162">
        <v>5912672</v>
      </c>
      <c r="BA174" s="196">
        <f t="shared" si="48"/>
        <v>0.59403045649083508</v>
      </c>
      <c r="BB174" s="210">
        <v>11856</v>
      </c>
      <c r="BC174" s="115">
        <v>3358</v>
      </c>
      <c r="BD174" s="236">
        <v>0</v>
      </c>
    </row>
    <row r="175" spans="1:56" s="121" customFormat="1" ht="14.25" customHeight="1">
      <c r="A175" s="104" t="s">
        <v>2577</v>
      </c>
      <c r="B175" s="105" t="s">
        <v>1081</v>
      </c>
      <c r="C175" s="106" t="s">
        <v>1104</v>
      </c>
      <c r="D175" s="106" t="s">
        <v>2415</v>
      </c>
      <c r="E175" s="71" t="s">
        <v>1105</v>
      </c>
      <c r="F175" s="71" t="s">
        <v>170</v>
      </c>
      <c r="G175" s="71" t="s">
        <v>2188</v>
      </c>
      <c r="H175" s="110">
        <v>515</v>
      </c>
      <c r="I175" s="111"/>
      <c r="J175" s="162">
        <v>12</v>
      </c>
      <c r="K175" s="113">
        <f t="shared" si="44"/>
        <v>527</v>
      </c>
      <c r="L175" s="111">
        <v>1107</v>
      </c>
      <c r="M175" s="111">
        <v>573</v>
      </c>
      <c r="N175" s="112"/>
      <c r="O175" s="111">
        <v>701</v>
      </c>
      <c r="P175" s="115">
        <v>6</v>
      </c>
      <c r="Q175" s="111">
        <v>8477</v>
      </c>
      <c r="R175" s="115">
        <v>13273</v>
      </c>
      <c r="S175" s="111">
        <f t="shared" si="32"/>
        <v>64135</v>
      </c>
      <c r="T175" s="112">
        <v>2050</v>
      </c>
      <c r="U175" s="116">
        <v>19</v>
      </c>
      <c r="V175" s="111"/>
      <c r="W175" s="113">
        <f t="shared" si="45"/>
        <v>68585</v>
      </c>
      <c r="X175" s="111"/>
      <c r="Y175" s="111"/>
      <c r="Z175" s="116"/>
      <c r="AA175" s="111"/>
      <c r="AB175" s="113">
        <f t="shared" si="46"/>
        <v>0</v>
      </c>
      <c r="AC175" s="111"/>
      <c r="AD175" s="111"/>
      <c r="AE175" s="112"/>
      <c r="AF175" s="117"/>
      <c r="AG175" s="111"/>
      <c r="AH175" s="112"/>
      <c r="AI175" s="112"/>
      <c r="AJ175" s="113">
        <f t="shared" si="47"/>
        <v>0</v>
      </c>
      <c r="AK175" s="112">
        <f t="shared" si="37"/>
        <v>172694.30900000001</v>
      </c>
      <c r="AL175" s="112">
        <f t="shared" si="37"/>
        <v>128343.924</v>
      </c>
      <c r="AM175" s="112">
        <f t="shared" si="37"/>
        <v>44350.385000000002</v>
      </c>
      <c r="AN175" s="112">
        <f t="shared" si="36"/>
        <v>1008.2670000000001</v>
      </c>
      <c r="AO175" s="192">
        <f t="shared" si="33"/>
        <v>0.74318560202235728</v>
      </c>
      <c r="AP175" s="193">
        <f t="shared" si="34"/>
        <v>69593.267000000007</v>
      </c>
      <c r="AQ175" s="193">
        <f t="shared" si="35"/>
        <v>-69066.267000000007</v>
      </c>
      <c r="AR175" s="118"/>
      <c r="AS175" s="119"/>
      <c r="AT175" s="119"/>
      <c r="AU175" s="120"/>
      <c r="AV175" s="161"/>
      <c r="AW175" s="112">
        <v>172694309</v>
      </c>
      <c r="AX175" s="162">
        <v>128343924</v>
      </c>
      <c r="AY175" s="162">
        <v>44350385</v>
      </c>
      <c r="AZ175" s="162">
        <v>1008267</v>
      </c>
      <c r="BA175" s="196">
        <f t="shared" si="48"/>
        <v>0.74318560202235728</v>
      </c>
      <c r="BB175" s="210">
        <v>29459</v>
      </c>
      <c r="BC175" s="115">
        <v>24</v>
      </c>
      <c r="BD175" s="236">
        <v>0</v>
      </c>
    </row>
    <row r="176" spans="1:56" s="121" customFormat="1" ht="14.25" customHeight="1">
      <c r="A176" s="104" t="s">
        <v>2577</v>
      </c>
      <c r="B176" s="105" t="s">
        <v>1082</v>
      </c>
      <c r="C176" s="106" t="s">
        <v>1108</v>
      </c>
      <c r="D176" s="106" t="s">
        <v>2415</v>
      </c>
      <c r="E176" s="71" t="s">
        <v>1109</v>
      </c>
      <c r="F176" s="71" t="s">
        <v>170</v>
      </c>
      <c r="G176" s="71" t="s">
        <v>2188</v>
      </c>
      <c r="H176" s="110">
        <v>455</v>
      </c>
      <c r="I176" s="111"/>
      <c r="J176" s="162">
        <v>6</v>
      </c>
      <c r="K176" s="113">
        <f t="shared" si="44"/>
        <v>461</v>
      </c>
      <c r="L176" s="111">
        <v>1058</v>
      </c>
      <c r="M176" s="111">
        <v>523</v>
      </c>
      <c r="N176" s="112"/>
      <c r="O176" s="111">
        <v>342</v>
      </c>
      <c r="P176" s="115">
        <v>3</v>
      </c>
      <c r="Q176" s="111">
        <v>8477</v>
      </c>
      <c r="R176" s="115">
        <v>10463</v>
      </c>
      <c r="S176" s="111">
        <f t="shared" si="32"/>
        <v>35894</v>
      </c>
      <c r="T176" s="112">
        <v>1471</v>
      </c>
      <c r="U176" s="116">
        <v>19</v>
      </c>
      <c r="V176" s="111"/>
      <c r="W176" s="113">
        <f t="shared" si="45"/>
        <v>39307</v>
      </c>
      <c r="X176" s="111"/>
      <c r="Y176" s="111"/>
      <c r="Z176" s="116"/>
      <c r="AA176" s="111"/>
      <c r="AB176" s="113">
        <f t="shared" si="46"/>
        <v>0</v>
      </c>
      <c r="AC176" s="111"/>
      <c r="AD176" s="111"/>
      <c r="AE176" s="112"/>
      <c r="AF176" s="117"/>
      <c r="AG176" s="111"/>
      <c r="AH176" s="112"/>
      <c r="AI176" s="112"/>
      <c r="AJ176" s="113">
        <f t="shared" si="47"/>
        <v>0</v>
      </c>
      <c r="AK176" s="112">
        <f t="shared" si="37"/>
        <v>102380.125</v>
      </c>
      <c r="AL176" s="112">
        <f t="shared" si="37"/>
        <v>90938.763999999996</v>
      </c>
      <c r="AM176" s="112">
        <f t="shared" si="37"/>
        <v>11441.361000000001</v>
      </c>
      <c r="AN176" s="112">
        <f t="shared" si="36"/>
        <v>859.42399999999998</v>
      </c>
      <c r="AO176" s="192">
        <f t="shared" si="33"/>
        <v>0.88824626850182098</v>
      </c>
      <c r="AP176" s="193">
        <f t="shared" si="34"/>
        <v>40166.423999999999</v>
      </c>
      <c r="AQ176" s="193">
        <f t="shared" si="35"/>
        <v>-39705.423999999999</v>
      </c>
      <c r="AR176" s="118"/>
      <c r="AS176" s="119"/>
      <c r="AT176" s="119"/>
      <c r="AU176" s="120"/>
      <c r="AV176" s="161"/>
      <c r="AW176" s="112">
        <v>102380125</v>
      </c>
      <c r="AX176" s="162">
        <v>90938764</v>
      </c>
      <c r="AY176" s="162">
        <v>11441361</v>
      </c>
      <c r="AZ176" s="162">
        <v>859424</v>
      </c>
      <c r="BA176" s="196">
        <f t="shared" si="48"/>
        <v>0.88824626850182098</v>
      </c>
      <c r="BB176" s="210" t="s">
        <v>825</v>
      </c>
      <c r="BC176" s="115" t="s">
        <v>825</v>
      </c>
      <c r="BD176" s="236" t="s">
        <v>825</v>
      </c>
    </row>
    <row r="177" spans="1:56" s="121" customFormat="1" ht="14.25" customHeight="1">
      <c r="A177" s="104" t="s">
        <v>2577</v>
      </c>
      <c r="B177" s="105" t="s">
        <v>1087</v>
      </c>
      <c r="C177" s="106" t="s">
        <v>1121</v>
      </c>
      <c r="D177" s="106" t="s">
        <v>2415</v>
      </c>
      <c r="E177" s="71" t="s">
        <v>1122</v>
      </c>
      <c r="F177" s="71" t="s">
        <v>170</v>
      </c>
      <c r="G177" s="71" t="s">
        <v>2188</v>
      </c>
      <c r="H177" s="110">
        <v>612</v>
      </c>
      <c r="I177" s="111"/>
      <c r="J177" s="162">
        <v>13</v>
      </c>
      <c r="K177" s="113">
        <f t="shared" si="44"/>
        <v>625</v>
      </c>
      <c r="L177" s="111">
        <v>1643</v>
      </c>
      <c r="M177" s="111">
        <v>607</v>
      </c>
      <c r="N177" s="112"/>
      <c r="O177" s="111">
        <v>1407</v>
      </c>
      <c r="P177" s="115">
        <v>7</v>
      </c>
      <c r="Q177" s="111">
        <v>8477</v>
      </c>
      <c r="R177" s="115">
        <v>8338</v>
      </c>
      <c r="S177" s="111">
        <f t="shared" si="32"/>
        <v>67677</v>
      </c>
      <c r="T177" s="112">
        <v>2367</v>
      </c>
      <c r="U177" s="116">
        <v>19</v>
      </c>
      <c r="V177" s="111"/>
      <c r="W177" s="113">
        <f t="shared" si="45"/>
        <v>73720</v>
      </c>
      <c r="X177" s="111"/>
      <c r="Y177" s="111"/>
      <c r="Z177" s="116"/>
      <c r="AA177" s="111"/>
      <c r="AB177" s="113">
        <f t="shared" si="46"/>
        <v>0</v>
      </c>
      <c r="AC177" s="111"/>
      <c r="AD177" s="111"/>
      <c r="AE177" s="112"/>
      <c r="AF177" s="117"/>
      <c r="AG177" s="111"/>
      <c r="AH177" s="112"/>
      <c r="AI177" s="112"/>
      <c r="AJ177" s="113">
        <f t="shared" si="47"/>
        <v>0</v>
      </c>
      <c r="AK177" s="112">
        <f t="shared" si="37"/>
        <v>189117.709</v>
      </c>
      <c r="AL177" s="112">
        <f t="shared" si="37"/>
        <v>149780.546</v>
      </c>
      <c r="AM177" s="112">
        <f t="shared" si="37"/>
        <v>39337.163</v>
      </c>
      <c r="AN177" s="112">
        <f t="shared" si="36"/>
        <v>5160.1790000000001</v>
      </c>
      <c r="AO177" s="192">
        <f t="shared" si="33"/>
        <v>0.79199640685156569</v>
      </c>
      <c r="AP177" s="193">
        <f t="shared" si="34"/>
        <v>78880.179000000004</v>
      </c>
      <c r="AQ177" s="193">
        <f t="shared" si="35"/>
        <v>-78255.179000000004</v>
      </c>
      <c r="AR177" s="118"/>
      <c r="AS177" s="119"/>
      <c r="AT177" s="119"/>
      <c r="AU177" s="120"/>
      <c r="AV177" s="161"/>
      <c r="AW177" s="112">
        <v>189117709</v>
      </c>
      <c r="AX177" s="162">
        <v>149780546</v>
      </c>
      <c r="AY177" s="162">
        <v>39337163</v>
      </c>
      <c r="AZ177" s="162">
        <v>5160179</v>
      </c>
      <c r="BA177" s="196">
        <f t="shared" si="48"/>
        <v>0.79199640685156569</v>
      </c>
      <c r="BB177" s="210">
        <v>17179</v>
      </c>
      <c r="BC177" s="115">
        <v>4295</v>
      </c>
      <c r="BD177" s="236">
        <v>0</v>
      </c>
    </row>
    <row r="178" spans="1:56" s="121" customFormat="1" ht="14.25" customHeight="1">
      <c r="A178" s="104" t="s">
        <v>2577</v>
      </c>
      <c r="B178" s="105" t="s">
        <v>1091</v>
      </c>
      <c r="C178" s="106" t="s">
        <v>1125</v>
      </c>
      <c r="D178" s="106" t="s">
        <v>2415</v>
      </c>
      <c r="E178" s="71" t="s">
        <v>1126</v>
      </c>
      <c r="F178" s="71" t="s">
        <v>170</v>
      </c>
      <c r="G178" s="71" t="s">
        <v>2188</v>
      </c>
      <c r="H178" s="110">
        <v>466</v>
      </c>
      <c r="I178" s="111"/>
      <c r="J178" s="162">
        <v>13</v>
      </c>
      <c r="K178" s="113">
        <f t="shared" si="44"/>
        <v>479</v>
      </c>
      <c r="L178" s="111">
        <v>1803</v>
      </c>
      <c r="M178" s="111">
        <v>567</v>
      </c>
      <c r="N178" s="112"/>
      <c r="O178" s="111">
        <v>3935</v>
      </c>
      <c r="P178" s="115">
        <v>4</v>
      </c>
      <c r="Q178" s="111">
        <v>8477</v>
      </c>
      <c r="R178" s="115">
        <v>15606</v>
      </c>
      <c r="S178" s="111">
        <f t="shared" si="32"/>
        <v>49514</v>
      </c>
      <c r="T178" s="112">
        <v>2143</v>
      </c>
      <c r="U178" s="116">
        <v>51</v>
      </c>
      <c r="V178" s="111"/>
      <c r="W178" s="113">
        <f t="shared" si="45"/>
        <v>58013</v>
      </c>
      <c r="X178" s="111"/>
      <c r="Y178" s="111"/>
      <c r="Z178" s="116"/>
      <c r="AA178" s="111"/>
      <c r="AB178" s="113">
        <f t="shared" si="46"/>
        <v>0</v>
      </c>
      <c r="AC178" s="111"/>
      <c r="AD178" s="111"/>
      <c r="AE178" s="112"/>
      <c r="AF178" s="117"/>
      <c r="AG178" s="111"/>
      <c r="AH178" s="112"/>
      <c r="AI178" s="112"/>
      <c r="AJ178" s="113">
        <f t="shared" si="47"/>
        <v>0</v>
      </c>
      <c r="AK178" s="112">
        <f t="shared" si="37"/>
        <v>157901.70199999999</v>
      </c>
      <c r="AL178" s="112">
        <f t="shared" si="37"/>
        <v>131153.36199999999</v>
      </c>
      <c r="AM178" s="112">
        <f t="shared" si="37"/>
        <v>26748.34</v>
      </c>
      <c r="AN178" s="112">
        <f t="shared" si="36"/>
        <v>4147.9560000000001</v>
      </c>
      <c r="AO178" s="192">
        <f t="shared" si="33"/>
        <v>0.83060131929420244</v>
      </c>
      <c r="AP178" s="193">
        <f t="shared" si="34"/>
        <v>62160.955999999998</v>
      </c>
      <c r="AQ178" s="193">
        <f t="shared" si="35"/>
        <v>-61681.955999999998</v>
      </c>
      <c r="AR178" s="118"/>
      <c r="AS178" s="119"/>
      <c r="AT178" s="119"/>
      <c r="AU178" s="120"/>
      <c r="AV178" s="161"/>
      <c r="AW178" s="112">
        <v>157901702</v>
      </c>
      <c r="AX178" s="162">
        <v>131153362</v>
      </c>
      <c r="AY178" s="162">
        <v>26748340</v>
      </c>
      <c r="AZ178" s="162">
        <v>4147956</v>
      </c>
      <c r="BA178" s="196">
        <f t="shared" si="48"/>
        <v>0.83060131929420244</v>
      </c>
      <c r="BB178" s="210">
        <v>45770</v>
      </c>
      <c r="BC178" s="115">
        <v>0</v>
      </c>
      <c r="BD178" s="236">
        <v>0</v>
      </c>
    </row>
    <row r="179" spans="1:56" s="121" customFormat="1" ht="14.25" customHeight="1">
      <c r="A179" s="104" t="s">
        <v>2577</v>
      </c>
      <c r="B179" s="105" t="s">
        <v>1100</v>
      </c>
      <c r="C179" s="106" t="s">
        <v>1129</v>
      </c>
      <c r="D179" s="106" t="s">
        <v>2415</v>
      </c>
      <c r="E179" s="71" t="s">
        <v>1130</v>
      </c>
      <c r="F179" s="71" t="s">
        <v>170</v>
      </c>
      <c r="G179" s="71" t="s">
        <v>2188</v>
      </c>
      <c r="H179" s="110">
        <v>210</v>
      </c>
      <c r="I179" s="111"/>
      <c r="J179" s="162">
        <v>42</v>
      </c>
      <c r="K179" s="113">
        <f t="shared" si="44"/>
        <v>252</v>
      </c>
      <c r="L179" s="111">
        <v>1602</v>
      </c>
      <c r="M179" s="111">
        <v>438</v>
      </c>
      <c r="N179" s="112"/>
      <c r="O179" s="111">
        <v>448</v>
      </c>
      <c r="P179" s="115">
        <v>4</v>
      </c>
      <c r="Q179" s="111">
        <v>8477</v>
      </c>
      <c r="R179" s="115">
        <v>10219</v>
      </c>
      <c r="S179" s="111">
        <f t="shared" si="32"/>
        <v>44127</v>
      </c>
      <c r="T179" s="112">
        <v>2030</v>
      </c>
      <c r="U179" s="116">
        <v>19</v>
      </c>
      <c r="V179" s="111"/>
      <c r="W179" s="113">
        <f t="shared" si="45"/>
        <v>48664</v>
      </c>
      <c r="X179" s="111"/>
      <c r="Y179" s="111"/>
      <c r="Z179" s="116"/>
      <c r="AA179" s="111"/>
      <c r="AB179" s="113">
        <f t="shared" si="46"/>
        <v>0</v>
      </c>
      <c r="AC179" s="111"/>
      <c r="AD179" s="111"/>
      <c r="AE179" s="112"/>
      <c r="AF179" s="117"/>
      <c r="AG179" s="111"/>
      <c r="AH179" s="112"/>
      <c r="AI179" s="112"/>
      <c r="AJ179" s="113">
        <f t="shared" si="47"/>
        <v>0</v>
      </c>
      <c r="AK179" s="112">
        <f t="shared" si="37"/>
        <v>101856.414</v>
      </c>
      <c r="AL179" s="112">
        <f t="shared" si="37"/>
        <v>77967.296000000002</v>
      </c>
      <c r="AM179" s="112">
        <f t="shared" si="37"/>
        <v>23889.117999999999</v>
      </c>
      <c r="AN179" s="112">
        <f t="shared" si="36"/>
        <v>1878.2329999999999</v>
      </c>
      <c r="AO179" s="192">
        <f t="shared" si="33"/>
        <v>0.76546280139020018</v>
      </c>
      <c r="AP179" s="193">
        <f t="shared" si="34"/>
        <v>50542.233</v>
      </c>
      <c r="AQ179" s="193">
        <f t="shared" si="35"/>
        <v>-50290.233</v>
      </c>
      <c r="AR179" s="118"/>
      <c r="AS179" s="119"/>
      <c r="AT179" s="119"/>
      <c r="AU179" s="120"/>
      <c r="AV179" s="161"/>
      <c r="AW179" s="112">
        <v>101856414</v>
      </c>
      <c r="AX179" s="162">
        <v>77967296</v>
      </c>
      <c r="AY179" s="162">
        <v>23889118</v>
      </c>
      <c r="AZ179" s="162">
        <v>1878233</v>
      </c>
      <c r="BA179" s="196">
        <f t="shared" si="48"/>
        <v>0.76546280139020018</v>
      </c>
      <c r="BB179" s="210">
        <v>47193</v>
      </c>
      <c r="BC179" s="115">
        <v>0</v>
      </c>
      <c r="BD179" s="236">
        <v>0</v>
      </c>
    </row>
    <row r="180" spans="1:56" s="121" customFormat="1" ht="14.25" customHeight="1">
      <c r="A180" s="104" t="s">
        <v>2577</v>
      </c>
      <c r="B180" s="105" t="s">
        <v>1101</v>
      </c>
      <c r="C180" s="524" t="s">
        <v>2094</v>
      </c>
      <c r="D180" s="106" t="s">
        <v>2415</v>
      </c>
      <c r="E180" s="153" t="s">
        <v>2140</v>
      </c>
      <c r="F180" s="71" t="s">
        <v>170</v>
      </c>
      <c r="G180" s="71" t="s">
        <v>2188</v>
      </c>
      <c r="H180" s="110">
        <v>25812</v>
      </c>
      <c r="I180" s="111">
        <v>66</v>
      </c>
      <c r="J180" s="162">
        <v>13936</v>
      </c>
      <c r="K180" s="113">
        <f t="shared" si="44"/>
        <v>39814</v>
      </c>
      <c r="L180" s="111">
        <v>10284</v>
      </c>
      <c r="M180" s="111">
        <v>3049</v>
      </c>
      <c r="N180" s="112"/>
      <c r="O180" s="117">
        <v>541</v>
      </c>
      <c r="P180" s="115">
        <v>32</v>
      </c>
      <c r="Q180" s="111">
        <v>8477</v>
      </c>
      <c r="R180" s="115">
        <v>69170</v>
      </c>
      <c r="S180" s="111">
        <f t="shared" si="32"/>
        <v>340434</v>
      </c>
      <c r="T180" s="112">
        <v>34286</v>
      </c>
      <c r="U180" s="116"/>
      <c r="V180" s="111"/>
      <c r="W180" s="113">
        <f t="shared" si="45"/>
        <v>388594</v>
      </c>
      <c r="X180" s="111"/>
      <c r="Y180" s="111"/>
      <c r="Z180" s="116"/>
      <c r="AA180" s="111"/>
      <c r="AB180" s="113">
        <f t="shared" si="46"/>
        <v>0</v>
      </c>
      <c r="AC180" s="111"/>
      <c r="AD180" s="111"/>
      <c r="AE180" s="112"/>
      <c r="AF180" s="117"/>
      <c r="AG180" s="111"/>
      <c r="AH180" s="112"/>
      <c r="AI180" s="112"/>
      <c r="AJ180" s="113">
        <f t="shared" si="47"/>
        <v>0</v>
      </c>
      <c r="AK180" s="112">
        <f t="shared" si="37"/>
        <v>1151273.7009999999</v>
      </c>
      <c r="AL180" s="112">
        <f t="shared" si="37"/>
        <v>116983.59600000001</v>
      </c>
      <c r="AM180" s="112">
        <f t="shared" si="37"/>
        <v>1034290.105</v>
      </c>
      <c r="AN180" s="112">
        <f t="shared" si="36"/>
        <v>38994.531999999999</v>
      </c>
      <c r="AO180" s="192">
        <f t="shared" si="33"/>
        <v>0.10161232372318388</v>
      </c>
      <c r="AP180" s="193">
        <f t="shared" si="34"/>
        <v>427588.53200000001</v>
      </c>
      <c r="AQ180" s="193">
        <f t="shared" si="35"/>
        <v>-387774.53200000001</v>
      </c>
      <c r="AR180" s="118"/>
      <c r="AS180" s="119"/>
      <c r="AT180" s="119"/>
      <c r="AU180" s="120"/>
      <c r="AV180" s="161"/>
      <c r="AW180" s="112">
        <v>1151273701</v>
      </c>
      <c r="AX180" s="162">
        <v>116983596</v>
      </c>
      <c r="AY180" s="162">
        <v>1034290105</v>
      </c>
      <c r="AZ180" s="162">
        <v>38994532</v>
      </c>
      <c r="BA180" s="196">
        <f t="shared" si="48"/>
        <v>0.10161232372318388</v>
      </c>
      <c r="BB180" s="210">
        <v>160873</v>
      </c>
      <c r="BC180" s="115">
        <v>26823</v>
      </c>
      <c r="BD180" s="236">
        <v>0</v>
      </c>
    </row>
    <row r="181" spans="1:56" s="121" customFormat="1" ht="14.25" customHeight="1">
      <c r="A181" s="104" t="s">
        <v>2577</v>
      </c>
      <c r="B181" s="105" t="s">
        <v>1102</v>
      </c>
      <c r="C181" s="524" t="s">
        <v>2095</v>
      </c>
      <c r="D181" s="106" t="s">
        <v>2415</v>
      </c>
      <c r="E181" s="153" t="s">
        <v>2139</v>
      </c>
      <c r="F181" s="71" t="s">
        <v>170</v>
      </c>
      <c r="G181" s="71" t="s">
        <v>2188</v>
      </c>
      <c r="H181" s="110">
        <v>9014</v>
      </c>
      <c r="I181" s="111">
        <v>66</v>
      </c>
      <c r="J181" s="162">
        <v>8164</v>
      </c>
      <c r="K181" s="113">
        <f t="shared" si="44"/>
        <v>17244</v>
      </c>
      <c r="L181" s="111">
        <v>10309</v>
      </c>
      <c r="M181" s="111">
        <v>3060</v>
      </c>
      <c r="N181" s="112">
        <v>864</v>
      </c>
      <c r="O181" s="117">
        <v>1379</v>
      </c>
      <c r="P181" s="115">
        <v>24</v>
      </c>
      <c r="Q181" s="111">
        <v>8477</v>
      </c>
      <c r="R181" s="115">
        <v>49128</v>
      </c>
      <c r="S181" s="111">
        <f t="shared" si="32"/>
        <v>252576</v>
      </c>
      <c r="T181" s="112">
        <v>17518</v>
      </c>
      <c r="U181" s="116">
        <v>22</v>
      </c>
      <c r="V181" s="111"/>
      <c r="W181" s="113">
        <f t="shared" si="45"/>
        <v>285728</v>
      </c>
      <c r="X181" s="111"/>
      <c r="Y181" s="111"/>
      <c r="Z181" s="116"/>
      <c r="AA181" s="111"/>
      <c r="AB181" s="113">
        <f t="shared" si="46"/>
        <v>0</v>
      </c>
      <c r="AC181" s="111"/>
      <c r="AD181" s="111"/>
      <c r="AE181" s="112"/>
      <c r="AF181" s="117"/>
      <c r="AG181" s="111"/>
      <c r="AH181" s="112"/>
      <c r="AI181" s="112"/>
      <c r="AJ181" s="113">
        <f t="shared" si="47"/>
        <v>0</v>
      </c>
      <c r="AK181" s="112">
        <f t="shared" si="37"/>
        <v>908998.39500000002</v>
      </c>
      <c r="AL181" s="112">
        <f t="shared" si="37"/>
        <v>190691.076</v>
      </c>
      <c r="AM181" s="112">
        <f t="shared" si="37"/>
        <v>718307.31900000002</v>
      </c>
      <c r="AN181" s="112">
        <f t="shared" si="36"/>
        <v>63563.692000000003</v>
      </c>
      <c r="AO181" s="192">
        <f t="shared" si="33"/>
        <v>0.20978153212250722</v>
      </c>
      <c r="AP181" s="193">
        <f t="shared" si="34"/>
        <v>349291.69199999998</v>
      </c>
      <c r="AQ181" s="193">
        <f t="shared" si="35"/>
        <v>-332047.69199999998</v>
      </c>
      <c r="AR181" s="118"/>
      <c r="AS181" s="119"/>
      <c r="AT181" s="119"/>
      <c r="AU181" s="120"/>
      <c r="AV181" s="161"/>
      <c r="AW181" s="112">
        <v>908998395</v>
      </c>
      <c r="AX181" s="162">
        <v>190691076</v>
      </c>
      <c r="AY181" s="162">
        <v>718307319</v>
      </c>
      <c r="AZ181" s="162">
        <v>63563692</v>
      </c>
      <c r="BA181" s="196">
        <f t="shared" si="48"/>
        <v>0.20978153212250722</v>
      </c>
      <c r="BB181" s="210">
        <v>153953</v>
      </c>
      <c r="BC181" s="115">
        <v>31976</v>
      </c>
      <c r="BD181" s="236">
        <v>0</v>
      </c>
    </row>
    <row r="182" spans="1:56" s="121" customFormat="1" ht="14.25" customHeight="1">
      <c r="A182" s="104" t="s">
        <v>2577</v>
      </c>
      <c r="B182" s="105" t="s">
        <v>126</v>
      </c>
      <c r="C182" s="524" t="s">
        <v>2096</v>
      </c>
      <c r="D182" s="106" t="s">
        <v>2415</v>
      </c>
      <c r="E182" s="153" t="s">
        <v>2427</v>
      </c>
      <c r="F182" s="71" t="s">
        <v>170</v>
      </c>
      <c r="G182" s="71" t="s">
        <v>2188</v>
      </c>
      <c r="H182" s="110">
        <v>18464</v>
      </c>
      <c r="I182" s="111">
        <v>66</v>
      </c>
      <c r="J182" s="162">
        <v>5614</v>
      </c>
      <c r="K182" s="113">
        <f t="shared" si="44"/>
        <v>24144</v>
      </c>
      <c r="L182" s="111">
        <v>4993</v>
      </c>
      <c r="M182" s="111">
        <v>2054</v>
      </c>
      <c r="N182" s="112"/>
      <c r="O182" s="117">
        <v>157</v>
      </c>
      <c r="P182" s="115">
        <v>14</v>
      </c>
      <c r="Q182" s="111">
        <v>8477</v>
      </c>
      <c r="R182" s="115">
        <v>42571</v>
      </c>
      <c r="S182" s="111">
        <f t="shared" si="32"/>
        <v>161249</v>
      </c>
      <c r="T182" s="112">
        <v>12495</v>
      </c>
      <c r="U182" s="116"/>
      <c r="V182" s="111"/>
      <c r="W182" s="113">
        <f>SUBTOTAL(9,L182:O182,S182:V182)</f>
        <v>180948</v>
      </c>
      <c r="X182" s="111"/>
      <c r="Y182" s="111"/>
      <c r="Z182" s="116"/>
      <c r="AA182" s="111"/>
      <c r="AB182" s="113">
        <f t="shared" si="46"/>
        <v>0</v>
      </c>
      <c r="AC182" s="111"/>
      <c r="AD182" s="111"/>
      <c r="AE182" s="112"/>
      <c r="AF182" s="117"/>
      <c r="AG182" s="111"/>
      <c r="AH182" s="112"/>
      <c r="AI182" s="112"/>
      <c r="AJ182" s="113">
        <f t="shared" si="47"/>
        <v>0</v>
      </c>
      <c r="AK182" s="112">
        <f t="shared" si="37"/>
        <v>431049.81300000002</v>
      </c>
      <c r="AL182" s="112">
        <f t="shared" si="37"/>
        <v>47111.894999999997</v>
      </c>
      <c r="AM182" s="112">
        <f t="shared" si="37"/>
        <v>383937.91800000001</v>
      </c>
      <c r="AN182" s="112">
        <f t="shared" si="36"/>
        <v>15703.965</v>
      </c>
      <c r="AO182" s="192">
        <f t="shared" si="33"/>
        <v>0.1092957091713203</v>
      </c>
      <c r="AP182" s="193">
        <f t="shared" si="34"/>
        <v>196651.965</v>
      </c>
      <c r="AQ182" s="193">
        <f t="shared" si="35"/>
        <v>-172507.965</v>
      </c>
      <c r="AR182" s="118"/>
      <c r="AS182" s="119"/>
      <c r="AT182" s="119"/>
      <c r="AU182" s="120"/>
      <c r="AV182" s="161"/>
      <c r="AW182" s="112">
        <v>431049813</v>
      </c>
      <c r="AX182" s="162">
        <v>47111895</v>
      </c>
      <c r="AY182" s="162">
        <v>383937918</v>
      </c>
      <c r="AZ182" s="162">
        <v>15703965</v>
      </c>
      <c r="BA182" s="196">
        <f t="shared" si="48"/>
        <v>0.1092957091713203</v>
      </c>
      <c r="BB182" s="210">
        <v>55051</v>
      </c>
      <c r="BC182" s="115">
        <v>15172</v>
      </c>
      <c r="BD182" s="236">
        <v>0</v>
      </c>
    </row>
    <row r="183" spans="1:56" ht="14.25" customHeight="1">
      <c r="A183" s="104" t="s">
        <v>2577</v>
      </c>
      <c r="B183" s="105" t="s">
        <v>2547</v>
      </c>
      <c r="C183" s="524" t="s">
        <v>2543</v>
      </c>
      <c r="D183" s="106" t="s">
        <v>2415</v>
      </c>
      <c r="E183" s="68" t="s">
        <v>2501</v>
      </c>
      <c r="F183" s="71" t="s">
        <v>170</v>
      </c>
      <c r="G183" s="71" t="s">
        <v>2188</v>
      </c>
      <c r="H183" s="110">
        <v>18394</v>
      </c>
      <c r="I183" s="111">
        <v>66</v>
      </c>
      <c r="J183" s="112">
        <v>11018</v>
      </c>
      <c r="K183" s="113">
        <f t="shared" si="44"/>
        <v>29478</v>
      </c>
      <c r="L183" s="111">
        <v>6998</v>
      </c>
      <c r="M183" s="111">
        <v>2295</v>
      </c>
      <c r="N183" s="112"/>
      <c r="O183" s="111">
        <v>1327</v>
      </c>
      <c r="P183" s="115">
        <v>23</v>
      </c>
      <c r="Q183" s="111">
        <v>8477</v>
      </c>
      <c r="R183" s="115">
        <v>59850</v>
      </c>
      <c r="S183" s="111">
        <f t="shared" si="32"/>
        <v>254821</v>
      </c>
      <c r="T183" s="112">
        <v>22088</v>
      </c>
      <c r="U183" s="116"/>
      <c r="V183" s="111"/>
      <c r="W183" s="113">
        <f t="shared" si="45"/>
        <v>287529</v>
      </c>
      <c r="X183" s="111"/>
      <c r="Y183" s="111"/>
      <c r="Z183" s="116"/>
      <c r="AA183" s="111"/>
      <c r="AB183" s="113">
        <f t="shared" si="46"/>
        <v>0</v>
      </c>
      <c r="AC183" s="111"/>
      <c r="AD183" s="111"/>
      <c r="AE183" s="112"/>
      <c r="AF183" s="117"/>
      <c r="AG183" s="111"/>
      <c r="AH183" s="112"/>
      <c r="AI183" s="112"/>
      <c r="AJ183" s="113">
        <f t="shared" si="47"/>
        <v>0</v>
      </c>
      <c r="AK183" s="112">
        <f t="shared" si="37"/>
        <v>1035225.42</v>
      </c>
      <c r="AL183" s="112">
        <f t="shared" si="37"/>
        <v>40028.966999999997</v>
      </c>
      <c r="AM183" s="112">
        <f t="shared" si="37"/>
        <v>995196.45299999998</v>
      </c>
      <c r="AN183" s="112">
        <f t="shared" si="36"/>
        <v>0</v>
      </c>
      <c r="AO183" s="192">
        <f t="shared" si="33"/>
        <v>3.8666908894103472E-2</v>
      </c>
      <c r="AP183" s="193">
        <f t="shared" si="34"/>
        <v>287529</v>
      </c>
      <c r="AQ183" s="193">
        <f t="shared" si="35"/>
        <v>-258051</v>
      </c>
      <c r="AR183" s="118"/>
      <c r="AS183" s="119"/>
      <c r="AT183" s="119"/>
      <c r="AU183" s="120"/>
      <c r="AV183" s="161"/>
      <c r="AW183" s="112">
        <v>1035225420</v>
      </c>
      <c r="AX183" s="162">
        <v>40028967</v>
      </c>
      <c r="AY183" s="162">
        <v>995196453</v>
      </c>
      <c r="AZ183" s="162">
        <v>0</v>
      </c>
      <c r="BA183" s="525">
        <f t="shared" si="48"/>
        <v>3.8666908894103472E-2</v>
      </c>
      <c r="BB183" s="210" t="s">
        <v>825</v>
      </c>
      <c r="BC183" s="115" t="s">
        <v>825</v>
      </c>
      <c r="BD183" s="236" t="s">
        <v>825</v>
      </c>
    </row>
    <row r="184" spans="1:56" s="121" customFormat="1" ht="14.25" customHeight="1">
      <c r="A184" s="104" t="s">
        <v>2577</v>
      </c>
      <c r="B184" s="105" t="s">
        <v>1103</v>
      </c>
      <c r="C184" s="107" t="s">
        <v>1133</v>
      </c>
      <c r="D184" s="107" t="s">
        <v>2415</v>
      </c>
      <c r="E184" s="526" t="s">
        <v>1134</v>
      </c>
      <c r="F184" s="131" t="s">
        <v>139</v>
      </c>
      <c r="G184" s="327" t="s">
        <v>1135</v>
      </c>
      <c r="H184" s="133">
        <v>0</v>
      </c>
      <c r="I184" s="134">
        <v>0</v>
      </c>
      <c r="J184" s="333">
        <v>0</v>
      </c>
      <c r="K184" s="527">
        <f t="shared" si="44"/>
        <v>0</v>
      </c>
      <c r="L184" s="528">
        <v>0</v>
      </c>
      <c r="M184" s="528">
        <v>0</v>
      </c>
      <c r="N184" s="528">
        <v>0</v>
      </c>
      <c r="O184" s="529">
        <v>149</v>
      </c>
      <c r="P184" s="530"/>
      <c r="Q184" s="111">
        <v>8477</v>
      </c>
      <c r="R184" s="134">
        <v>0</v>
      </c>
      <c r="S184" s="135">
        <f t="shared" si="32"/>
        <v>0</v>
      </c>
      <c r="T184" s="528">
        <v>389</v>
      </c>
      <c r="U184" s="529">
        <v>0</v>
      </c>
      <c r="V184" s="135">
        <v>27007</v>
      </c>
      <c r="W184" s="527">
        <f t="shared" si="45"/>
        <v>27545</v>
      </c>
      <c r="X184" s="135">
        <v>0</v>
      </c>
      <c r="Y184" s="135">
        <v>0</v>
      </c>
      <c r="Z184" s="137">
        <v>0</v>
      </c>
      <c r="AA184" s="135">
        <v>27007</v>
      </c>
      <c r="AB184" s="527">
        <f t="shared" si="46"/>
        <v>27007</v>
      </c>
      <c r="AC184" s="135">
        <v>6451</v>
      </c>
      <c r="AD184" s="135">
        <v>9907</v>
      </c>
      <c r="AE184" s="134">
        <v>0</v>
      </c>
      <c r="AF184" s="138">
        <v>276</v>
      </c>
      <c r="AG184" s="135">
        <v>8239</v>
      </c>
      <c r="AH184" s="134">
        <v>112</v>
      </c>
      <c r="AI184" s="134">
        <v>2643</v>
      </c>
      <c r="AJ184" s="527">
        <f t="shared" si="47"/>
        <v>27628</v>
      </c>
      <c r="AK184" s="134">
        <f t="shared" si="37"/>
        <v>570874.5</v>
      </c>
      <c r="AL184" s="134">
        <f t="shared" si="37"/>
        <v>239767.29</v>
      </c>
      <c r="AM184" s="134">
        <f t="shared" si="37"/>
        <v>331107.21000000002</v>
      </c>
      <c r="AN184" s="134">
        <f t="shared" si="36"/>
        <v>11417.49</v>
      </c>
      <c r="AO184" s="531">
        <f t="shared" si="33"/>
        <v>0.42</v>
      </c>
      <c r="AP184" s="532">
        <f t="shared" si="34"/>
        <v>38962.49</v>
      </c>
      <c r="AQ184" s="532">
        <f t="shared" si="35"/>
        <v>-38962.49</v>
      </c>
      <c r="AR184" s="139"/>
      <c r="AS184" s="140"/>
      <c r="AT184" s="140"/>
      <c r="AU184" s="141"/>
      <c r="AV184" s="520"/>
      <c r="AW184" s="134">
        <v>570874500</v>
      </c>
      <c r="AX184" s="333">
        <v>239767290</v>
      </c>
      <c r="AY184" s="333">
        <v>331107210</v>
      </c>
      <c r="AZ184" s="333">
        <v>11417490</v>
      </c>
      <c r="BA184" s="533">
        <f t="shared" si="48"/>
        <v>0.42</v>
      </c>
      <c r="BB184" s="534">
        <v>104892</v>
      </c>
      <c r="BC184" s="528">
        <v>19079</v>
      </c>
      <c r="BD184" s="535">
        <v>0</v>
      </c>
    </row>
    <row r="185" spans="1:56" s="121" customFormat="1" ht="14.25" customHeight="1">
      <c r="A185" s="104" t="s">
        <v>2577</v>
      </c>
      <c r="B185" s="105" t="s">
        <v>80</v>
      </c>
      <c r="C185" s="106" t="s">
        <v>1146</v>
      </c>
      <c r="D185" s="106" t="s">
        <v>2415</v>
      </c>
      <c r="E185" s="71" t="s">
        <v>1147</v>
      </c>
      <c r="F185" s="71" t="s">
        <v>139</v>
      </c>
      <c r="G185" s="68" t="s">
        <v>1135</v>
      </c>
      <c r="H185" s="110">
        <v>0</v>
      </c>
      <c r="I185" s="112">
        <v>0</v>
      </c>
      <c r="J185" s="162">
        <v>0</v>
      </c>
      <c r="K185" s="113">
        <f t="shared" si="44"/>
        <v>0</v>
      </c>
      <c r="L185" s="115">
        <v>0</v>
      </c>
      <c r="M185" s="115">
        <f>80</f>
        <v>80</v>
      </c>
      <c r="N185" s="115">
        <v>0</v>
      </c>
      <c r="O185" s="115">
        <v>73</v>
      </c>
      <c r="P185" s="122"/>
      <c r="Q185" s="111">
        <v>8477</v>
      </c>
      <c r="R185" s="112">
        <v>0</v>
      </c>
      <c r="S185" s="111">
        <f t="shared" si="32"/>
        <v>0</v>
      </c>
      <c r="T185" s="115">
        <v>0</v>
      </c>
      <c r="U185" s="144">
        <v>0</v>
      </c>
      <c r="V185" s="111">
        <v>26433</v>
      </c>
      <c r="W185" s="113">
        <f t="shared" si="45"/>
        <v>26586</v>
      </c>
      <c r="X185" s="111">
        <v>73</v>
      </c>
      <c r="Y185" s="111">
        <v>398</v>
      </c>
      <c r="Z185" s="116">
        <v>122</v>
      </c>
      <c r="AA185" s="111">
        <v>26433</v>
      </c>
      <c r="AB185" s="113">
        <f t="shared" si="46"/>
        <v>27026</v>
      </c>
      <c r="AC185" s="111">
        <v>2183</v>
      </c>
      <c r="AD185" s="111">
        <v>6957</v>
      </c>
      <c r="AE185" s="112">
        <v>0</v>
      </c>
      <c r="AF185" s="117">
        <v>330</v>
      </c>
      <c r="AG185" s="111">
        <v>13447</v>
      </c>
      <c r="AH185" s="112">
        <v>1173</v>
      </c>
      <c r="AI185" s="112">
        <v>2455</v>
      </c>
      <c r="AJ185" s="113">
        <f t="shared" si="47"/>
        <v>26545</v>
      </c>
      <c r="AK185" s="112">
        <f t="shared" si="37"/>
        <v>1342220.7279999999</v>
      </c>
      <c r="AL185" s="112">
        <f t="shared" si="37"/>
        <v>640019.647</v>
      </c>
      <c r="AM185" s="112">
        <f t="shared" si="37"/>
        <v>702201.08100000001</v>
      </c>
      <c r="AN185" s="112">
        <f t="shared" si="36"/>
        <v>21969.3</v>
      </c>
      <c r="AO185" s="192">
        <f t="shared" si="33"/>
        <v>0.47683636055425305</v>
      </c>
      <c r="AP185" s="193">
        <f t="shared" si="34"/>
        <v>48555.3</v>
      </c>
      <c r="AQ185" s="193">
        <f t="shared" si="35"/>
        <v>-48555.3</v>
      </c>
      <c r="AR185" s="118"/>
      <c r="AS185" s="119"/>
      <c r="AT185" s="119"/>
      <c r="AU185" s="120"/>
      <c r="AV185" s="161"/>
      <c r="AW185" s="112">
        <v>1342220728</v>
      </c>
      <c r="AX185" s="162">
        <v>640019647</v>
      </c>
      <c r="AY185" s="162">
        <v>702201081</v>
      </c>
      <c r="AZ185" s="162">
        <v>21969300</v>
      </c>
      <c r="BA185" s="196">
        <f t="shared" si="48"/>
        <v>0.47683636055425305</v>
      </c>
      <c r="BB185" s="210">
        <v>47023</v>
      </c>
      <c r="BC185" s="115">
        <v>51</v>
      </c>
      <c r="BD185" s="236">
        <v>0</v>
      </c>
    </row>
    <row r="186" spans="1:56" s="121" customFormat="1" ht="14.25" customHeight="1">
      <c r="A186" s="104" t="s">
        <v>2577</v>
      </c>
      <c r="B186" s="105" t="s">
        <v>1107</v>
      </c>
      <c r="C186" s="106" t="s">
        <v>1156</v>
      </c>
      <c r="D186" s="106" t="s">
        <v>2415</v>
      </c>
      <c r="E186" s="71" t="s">
        <v>1157</v>
      </c>
      <c r="F186" s="71" t="s">
        <v>139</v>
      </c>
      <c r="G186" s="68" t="s">
        <v>1135</v>
      </c>
      <c r="H186" s="110">
        <v>0</v>
      </c>
      <c r="I186" s="111">
        <v>0</v>
      </c>
      <c r="J186" s="162">
        <v>0</v>
      </c>
      <c r="K186" s="113">
        <f t="shared" si="44"/>
        <v>0</v>
      </c>
      <c r="L186" s="115">
        <v>0</v>
      </c>
      <c r="M186" s="115">
        <v>0</v>
      </c>
      <c r="N186" s="115">
        <v>0</v>
      </c>
      <c r="O186" s="115">
        <v>101</v>
      </c>
      <c r="P186" s="122"/>
      <c r="Q186" s="111">
        <v>8477</v>
      </c>
      <c r="R186" s="112">
        <v>0</v>
      </c>
      <c r="S186" s="111">
        <f t="shared" si="32"/>
        <v>0</v>
      </c>
      <c r="T186" s="115">
        <v>1309</v>
      </c>
      <c r="U186" s="144">
        <v>0</v>
      </c>
      <c r="V186" s="111">
        <v>32314</v>
      </c>
      <c r="W186" s="113">
        <f t="shared" si="45"/>
        <v>33724</v>
      </c>
      <c r="X186" s="111">
        <v>277</v>
      </c>
      <c r="Y186" s="111">
        <v>3780</v>
      </c>
      <c r="Z186" s="116">
        <v>100</v>
      </c>
      <c r="AA186" s="111">
        <v>32314</v>
      </c>
      <c r="AB186" s="113">
        <f t="shared" si="46"/>
        <v>36471</v>
      </c>
      <c r="AC186" s="111">
        <v>6779</v>
      </c>
      <c r="AD186" s="111">
        <v>1037</v>
      </c>
      <c r="AE186" s="112">
        <v>0</v>
      </c>
      <c r="AF186" s="117">
        <v>554</v>
      </c>
      <c r="AG186" s="111">
        <v>20558</v>
      </c>
      <c r="AH186" s="112">
        <v>6334</v>
      </c>
      <c r="AI186" s="112">
        <v>2340</v>
      </c>
      <c r="AJ186" s="113">
        <f t="shared" si="47"/>
        <v>37602</v>
      </c>
      <c r="AK186" s="112">
        <f t="shared" si="37"/>
        <v>349755</v>
      </c>
      <c r="AL186" s="112">
        <f t="shared" si="37"/>
        <v>167882.4</v>
      </c>
      <c r="AM186" s="112">
        <f t="shared" si="37"/>
        <v>181872.6</v>
      </c>
      <c r="AN186" s="112">
        <f t="shared" si="36"/>
        <v>6995.1</v>
      </c>
      <c r="AO186" s="192">
        <f t="shared" si="33"/>
        <v>0.48</v>
      </c>
      <c r="AP186" s="193">
        <f t="shared" si="34"/>
        <v>40719.1</v>
      </c>
      <c r="AQ186" s="193">
        <f t="shared" si="35"/>
        <v>-40719.1</v>
      </c>
      <c r="AR186" s="239"/>
      <c r="AS186" s="119"/>
      <c r="AT186" s="119"/>
      <c r="AU186" s="120"/>
      <c r="AV186" s="161"/>
      <c r="AW186" s="112">
        <v>349755000</v>
      </c>
      <c r="AX186" s="162">
        <v>167882400</v>
      </c>
      <c r="AY186" s="162">
        <v>181872600</v>
      </c>
      <c r="AZ186" s="162">
        <v>6995100</v>
      </c>
      <c r="BA186" s="196">
        <f t="shared" si="48"/>
        <v>0.48</v>
      </c>
      <c r="BB186" s="210">
        <v>206474</v>
      </c>
      <c r="BC186" s="115">
        <v>0</v>
      </c>
      <c r="BD186" s="236">
        <v>24</v>
      </c>
    </row>
    <row r="187" spans="1:56" s="121" customFormat="1" ht="14.25" customHeight="1">
      <c r="A187" s="104" t="s">
        <v>2577</v>
      </c>
      <c r="B187" s="105" t="s">
        <v>1111</v>
      </c>
      <c r="C187" s="106" t="s">
        <v>1165</v>
      </c>
      <c r="D187" s="106" t="s">
        <v>2415</v>
      </c>
      <c r="E187" s="71" t="s">
        <v>1166</v>
      </c>
      <c r="F187" s="71" t="s">
        <v>139</v>
      </c>
      <c r="G187" s="68" t="s">
        <v>1135</v>
      </c>
      <c r="H187" s="110">
        <v>0</v>
      </c>
      <c r="I187" s="112">
        <v>0</v>
      </c>
      <c r="J187" s="162">
        <v>0</v>
      </c>
      <c r="K187" s="113">
        <f t="shared" si="44"/>
        <v>0</v>
      </c>
      <c r="L187" s="115">
        <v>0</v>
      </c>
      <c r="M187" s="115">
        <v>0</v>
      </c>
      <c r="N187" s="115">
        <v>0</v>
      </c>
      <c r="O187" s="111">
        <v>66</v>
      </c>
      <c r="P187" s="122"/>
      <c r="Q187" s="111">
        <v>8477</v>
      </c>
      <c r="R187" s="112">
        <v>0</v>
      </c>
      <c r="S187" s="111">
        <f t="shared" si="32"/>
        <v>0</v>
      </c>
      <c r="T187" s="115">
        <v>0</v>
      </c>
      <c r="U187" s="144">
        <v>0</v>
      </c>
      <c r="V187" s="111">
        <v>98</v>
      </c>
      <c r="W187" s="113">
        <f t="shared" si="45"/>
        <v>164</v>
      </c>
      <c r="X187" s="111">
        <v>0</v>
      </c>
      <c r="Y187" s="111">
        <v>0</v>
      </c>
      <c r="Z187" s="116">
        <v>0</v>
      </c>
      <c r="AA187" s="111">
        <v>98</v>
      </c>
      <c r="AB187" s="113">
        <f t="shared" si="46"/>
        <v>98</v>
      </c>
      <c r="AC187" s="111">
        <v>0</v>
      </c>
      <c r="AD187" s="111">
        <v>0</v>
      </c>
      <c r="AE187" s="112">
        <v>0</v>
      </c>
      <c r="AF187" s="117">
        <v>0</v>
      </c>
      <c r="AG187" s="111">
        <v>0</v>
      </c>
      <c r="AH187" s="112">
        <v>98</v>
      </c>
      <c r="AI187" s="112">
        <v>0</v>
      </c>
      <c r="AJ187" s="113">
        <f t="shared" si="47"/>
        <v>98</v>
      </c>
      <c r="AK187" s="112">
        <f t="shared" si="37"/>
        <v>68490.75</v>
      </c>
      <c r="AL187" s="112">
        <f t="shared" si="37"/>
        <v>56162.415000000001</v>
      </c>
      <c r="AM187" s="112">
        <f t="shared" si="37"/>
        <v>12328.334999999999</v>
      </c>
      <c r="AN187" s="112">
        <f t="shared" si="36"/>
        <v>1369.8150000000001</v>
      </c>
      <c r="AO187" s="192">
        <f t="shared" si="33"/>
        <v>0.82</v>
      </c>
      <c r="AP187" s="193">
        <f t="shared" si="34"/>
        <v>1533.8150000000001</v>
      </c>
      <c r="AQ187" s="193">
        <f t="shared" si="35"/>
        <v>-1533.8150000000001</v>
      </c>
      <c r="AR187" s="118"/>
      <c r="AS187" s="119"/>
      <c r="AT187" s="119"/>
      <c r="AU187" s="120"/>
      <c r="AV187" s="161"/>
      <c r="AW187" s="112">
        <v>68490750</v>
      </c>
      <c r="AX187" s="162">
        <v>56162415</v>
      </c>
      <c r="AY187" s="162">
        <v>12328335</v>
      </c>
      <c r="AZ187" s="162">
        <v>1369815</v>
      </c>
      <c r="BA187" s="196">
        <f t="shared" si="48"/>
        <v>0.82</v>
      </c>
      <c r="BB187" s="210" t="s">
        <v>825</v>
      </c>
      <c r="BC187" s="115" t="s">
        <v>825</v>
      </c>
      <c r="BD187" s="236" t="s">
        <v>825</v>
      </c>
    </row>
    <row r="188" spans="1:56" s="121" customFormat="1" ht="14.25" customHeight="1">
      <c r="A188" s="104" t="s">
        <v>2577</v>
      </c>
      <c r="B188" s="105" t="s">
        <v>1112</v>
      </c>
      <c r="C188" s="106" t="s">
        <v>1171</v>
      </c>
      <c r="D188" s="106" t="s">
        <v>2415</v>
      </c>
      <c r="E188" s="71" t="s">
        <v>1172</v>
      </c>
      <c r="F188" s="71" t="s">
        <v>78</v>
      </c>
      <c r="G188" s="68" t="s">
        <v>156</v>
      </c>
      <c r="H188" s="110"/>
      <c r="I188" s="112"/>
      <c r="J188" s="162"/>
      <c r="K188" s="113">
        <f t="shared" si="38"/>
        <v>0</v>
      </c>
      <c r="L188" s="111"/>
      <c r="M188" s="111"/>
      <c r="N188" s="115"/>
      <c r="O188" s="111"/>
      <c r="P188" s="114"/>
      <c r="Q188" s="111">
        <v>8477</v>
      </c>
      <c r="R188" s="112"/>
      <c r="S188" s="111">
        <f t="shared" si="32"/>
        <v>0</v>
      </c>
      <c r="T188" s="112"/>
      <c r="U188" s="144"/>
      <c r="V188" s="112"/>
      <c r="W188" s="113">
        <f t="shared" si="39"/>
        <v>0</v>
      </c>
      <c r="X188" s="111"/>
      <c r="Y188" s="111"/>
      <c r="Z188" s="116"/>
      <c r="AA188" s="111"/>
      <c r="AB188" s="113">
        <f t="shared" si="46"/>
        <v>0</v>
      </c>
      <c r="AC188" s="111"/>
      <c r="AD188" s="111"/>
      <c r="AE188" s="112"/>
      <c r="AF188" s="117"/>
      <c r="AG188" s="111"/>
      <c r="AH188" s="112"/>
      <c r="AI188" s="112"/>
      <c r="AJ188" s="113">
        <f t="shared" si="47"/>
        <v>0</v>
      </c>
      <c r="AK188" s="112">
        <f t="shared" si="37"/>
        <v>486488.45400000003</v>
      </c>
      <c r="AL188" s="112">
        <f t="shared" si="37"/>
        <v>287135.94400000002</v>
      </c>
      <c r="AM188" s="112">
        <f t="shared" si="37"/>
        <v>199352.51</v>
      </c>
      <c r="AN188" s="112">
        <f t="shared" si="36"/>
        <v>11884.42</v>
      </c>
      <c r="AO188" s="192">
        <f t="shared" si="33"/>
        <v>0.59022149783641109</v>
      </c>
      <c r="AP188" s="193">
        <f t="shared" si="34"/>
        <v>11884.42</v>
      </c>
      <c r="AQ188" s="193">
        <f t="shared" si="35"/>
        <v>-11884.42</v>
      </c>
      <c r="AR188" s="118"/>
      <c r="AS188" s="119"/>
      <c r="AT188" s="119"/>
      <c r="AU188" s="120"/>
      <c r="AV188" s="161"/>
      <c r="AW188" s="112">
        <v>486488454</v>
      </c>
      <c r="AX188" s="162">
        <v>287135944</v>
      </c>
      <c r="AY188" s="162">
        <v>199352510</v>
      </c>
      <c r="AZ188" s="162">
        <v>11884420</v>
      </c>
      <c r="BA188" s="196">
        <f t="shared" si="48"/>
        <v>0.59022149783641109</v>
      </c>
      <c r="BB188" s="210">
        <v>175041</v>
      </c>
      <c r="BC188" s="115">
        <v>30138</v>
      </c>
      <c r="BD188" s="236">
        <v>0</v>
      </c>
    </row>
    <row r="189" spans="1:56" s="121" customFormat="1" ht="14.25" customHeight="1">
      <c r="A189" s="104" t="s">
        <v>2577</v>
      </c>
      <c r="B189" s="105" t="s">
        <v>1116</v>
      </c>
      <c r="C189" s="106" t="s">
        <v>1178</v>
      </c>
      <c r="D189" s="106" t="s">
        <v>2415</v>
      </c>
      <c r="E189" s="71" t="s">
        <v>1179</v>
      </c>
      <c r="F189" s="71" t="s">
        <v>139</v>
      </c>
      <c r="G189" s="68" t="s">
        <v>1180</v>
      </c>
      <c r="H189" s="110">
        <v>560</v>
      </c>
      <c r="I189" s="112">
        <v>193</v>
      </c>
      <c r="J189" s="162"/>
      <c r="K189" s="113">
        <f t="shared" si="38"/>
        <v>753</v>
      </c>
      <c r="L189" s="115"/>
      <c r="M189" s="115"/>
      <c r="N189" s="115"/>
      <c r="O189" s="115"/>
      <c r="P189" s="114"/>
      <c r="Q189" s="111">
        <v>8477</v>
      </c>
      <c r="R189" s="112"/>
      <c r="S189" s="111">
        <f t="shared" si="32"/>
        <v>0</v>
      </c>
      <c r="T189" s="115"/>
      <c r="U189" s="144">
        <v>778</v>
      </c>
      <c r="V189" s="111">
        <v>62042</v>
      </c>
      <c r="W189" s="113">
        <f t="shared" si="39"/>
        <v>62820</v>
      </c>
      <c r="X189" s="111">
        <v>560</v>
      </c>
      <c r="Y189" s="111">
        <v>193</v>
      </c>
      <c r="Z189" s="116"/>
      <c r="AA189" s="111">
        <v>62042</v>
      </c>
      <c r="AB189" s="113">
        <f t="shared" si="46"/>
        <v>62795</v>
      </c>
      <c r="AC189" s="111">
        <v>10270</v>
      </c>
      <c r="AD189" s="111">
        <v>16047</v>
      </c>
      <c r="AE189" s="112">
        <v>257</v>
      </c>
      <c r="AF189" s="117">
        <v>258</v>
      </c>
      <c r="AG189" s="111">
        <v>29556</v>
      </c>
      <c r="AH189" s="112">
        <v>4939</v>
      </c>
      <c r="AI189" s="112">
        <v>1248</v>
      </c>
      <c r="AJ189" s="113">
        <f t="shared" si="47"/>
        <v>62575</v>
      </c>
      <c r="AK189" s="112">
        <f t="shared" si="37"/>
        <v>1275094.2819999999</v>
      </c>
      <c r="AL189" s="112">
        <f t="shared" si="37"/>
        <v>690478.93900000001</v>
      </c>
      <c r="AM189" s="112">
        <f t="shared" si="37"/>
        <v>584615.34299999999</v>
      </c>
      <c r="AN189" s="112">
        <f t="shared" si="36"/>
        <v>28484.695</v>
      </c>
      <c r="AO189" s="192">
        <f t="shared" si="33"/>
        <v>0.54151206600736679</v>
      </c>
      <c r="AP189" s="193">
        <f t="shared" si="34"/>
        <v>91304.695000000007</v>
      </c>
      <c r="AQ189" s="193">
        <f t="shared" si="35"/>
        <v>-90551.695000000007</v>
      </c>
      <c r="AR189" s="118"/>
      <c r="AS189" s="119"/>
      <c r="AT189" s="119"/>
      <c r="AU189" s="120"/>
      <c r="AV189" s="161"/>
      <c r="AW189" s="112">
        <v>1275094282</v>
      </c>
      <c r="AX189" s="162">
        <v>690478939</v>
      </c>
      <c r="AY189" s="162">
        <v>584615343</v>
      </c>
      <c r="AZ189" s="162">
        <v>28484695</v>
      </c>
      <c r="BA189" s="196">
        <f t="shared" si="48"/>
        <v>0.54151206600736679</v>
      </c>
      <c r="BB189" s="210">
        <v>248400</v>
      </c>
      <c r="BC189" s="115">
        <v>22552</v>
      </c>
      <c r="BD189" s="236">
        <v>0</v>
      </c>
    </row>
    <row r="190" spans="1:56" s="121" customFormat="1" ht="14.25" customHeight="1">
      <c r="A190" s="104" t="s">
        <v>2577</v>
      </c>
      <c r="B190" s="105" t="s">
        <v>1119</v>
      </c>
      <c r="C190" s="106" t="s">
        <v>1190</v>
      </c>
      <c r="D190" s="106" t="s">
        <v>2415</v>
      </c>
      <c r="E190" s="71" t="s">
        <v>1191</v>
      </c>
      <c r="F190" s="71" t="s">
        <v>139</v>
      </c>
      <c r="G190" s="68" t="s">
        <v>1180</v>
      </c>
      <c r="H190" s="110"/>
      <c r="I190" s="111">
        <v>79423</v>
      </c>
      <c r="J190" s="162"/>
      <c r="K190" s="113">
        <f t="shared" si="38"/>
        <v>79423</v>
      </c>
      <c r="L190" s="115"/>
      <c r="M190" s="115"/>
      <c r="N190" s="115"/>
      <c r="O190" s="111"/>
      <c r="P190" s="114">
        <v>0.2</v>
      </c>
      <c r="Q190" s="111">
        <v>8477</v>
      </c>
      <c r="R190" s="112"/>
      <c r="S190" s="111">
        <f t="shared" si="32"/>
        <v>1695</v>
      </c>
      <c r="T190" s="112"/>
      <c r="U190" s="144"/>
      <c r="V190" s="111">
        <v>158719</v>
      </c>
      <c r="W190" s="113">
        <f t="shared" si="39"/>
        <v>160414</v>
      </c>
      <c r="X190" s="111"/>
      <c r="Y190" s="111">
        <v>3258</v>
      </c>
      <c r="Z190" s="116">
        <v>3</v>
      </c>
      <c r="AA190" s="111">
        <v>158719</v>
      </c>
      <c r="AB190" s="113">
        <f t="shared" si="46"/>
        <v>161980</v>
      </c>
      <c r="AC190" s="111">
        <v>2963</v>
      </c>
      <c r="AD190" s="111">
        <v>9435</v>
      </c>
      <c r="AE190" s="112"/>
      <c r="AF190" s="117">
        <v>127</v>
      </c>
      <c r="AG190" s="111">
        <v>138988</v>
      </c>
      <c r="AH190" s="112">
        <v>8947</v>
      </c>
      <c r="AI190" s="112">
        <v>1494</v>
      </c>
      <c r="AJ190" s="113">
        <f t="shared" si="47"/>
        <v>161954</v>
      </c>
      <c r="AK190" s="112">
        <f t="shared" si="37"/>
        <v>608216.43299999996</v>
      </c>
      <c r="AL190" s="112">
        <f t="shared" si="37"/>
        <v>192131.58</v>
      </c>
      <c r="AM190" s="112">
        <f t="shared" si="37"/>
        <v>416084.853</v>
      </c>
      <c r="AN190" s="112">
        <f t="shared" si="36"/>
        <v>8237.61</v>
      </c>
      <c r="AO190" s="192">
        <f t="shared" si="33"/>
        <v>0.31589343788743046</v>
      </c>
      <c r="AP190" s="193">
        <f t="shared" si="34"/>
        <v>168651.61</v>
      </c>
      <c r="AQ190" s="193">
        <f t="shared" si="35"/>
        <v>-89228.609999999986</v>
      </c>
      <c r="AR190" s="118"/>
      <c r="AS190" s="119"/>
      <c r="AT190" s="119"/>
      <c r="AU190" s="120"/>
      <c r="AV190" s="161"/>
      <c r="AW190" s="112">
        <v>608216433</v>
      </c>
      <c r="AX190" s="162">
        <v>192131580</v>
      </c>
      <c r="AY190" s="162">
        <v>416084853</v>
      </c>
      <c r="AZ190" s="162">
        <v>8237610</v>
      </c>
      <c r="BA190" s="196">
        <f t="shared" si="48"/>
        <v>0.31589343788743046</v>
      </c>
      <c r="BB190" s="210">
        <v>57118</v>
      </c>
      <c r="BC190" s="115">
        <v>2563</v>
      </c>
      <c r="BD190" s="236">
        <v>0</v>
      </c>
    </row>
    <row r="191" spans="1:56" s="121" customFormat="1" ht="14.25" customHeight="1">
      <c r="A191" s="104" t="s">
        <v>2577</v>
      </c>
      <c r="B191" s="105" t="s">
        <v>1120</v>
      </c>
      <c r="C191" s="106" t="s">
        <v>1199</v>
      </c>
      <c r="D191" s="106" t="s">
        <v>2415</v>
      </c>
      <c r="E191" s="71" t="s">
        <v>1200</v>
      </c>
      <c r="F191" s="71" t="s">
        <v>170</v>
      </c>
      <c r="G191" s="68" t="s">
        <v>2132</v>
      </c>
      <c r="H191" s="110">
        <v>170131</v>
      </c>
      <c r="I191" s="111">
        <v>500</v>
      </c>
      <c r="J191" s="162">
        <v>1493</v>
      </c>
      <c r="K191" s="113">
        <v>172124</v>
      </c>
      <c r="L191" s="111">
        <v>5325</v>
      </c>
      <c r="M191" s="111">
        <v>6789</v>
      </c>
      <c r="N191" s="112">
        <v>0</v>
      </c>
      <c r="O191" s="111">
        <v>630</v>
      </c>
      <c r="P191" s="114">
        <v>20.97</v>
      </c>
      <c r="Q191" s="111">
        <v>8477</v>
      </c>
      <c r="R191" s="115">
        <v>125425</v>
      </c>
      <c r="S191" s="111">
        <f t="shared" si="32"/>
        <v>303188</v>
      </c>
      <c r="T191" s="112">
        <v>35823</v>
      </c>
      <c r="U191" s="116"/>
      <c r="V191" s="111"/>
      <c r="W191" s="113">
        <v>173992</v>
      </c>
      <c r="X191" s="111"/>
      <c r="Y191" s="111"/>
      <c r="Z191" s="116"/>
      <c r="AA191" s="111"/>
      <c r="AB191" s="113">
        <v>0</v>
      </c>
      <c r="AC191" s="111"/>
      <c r="AD191" s="111"/>
      <c r="AE191" s="112"/>
      <c r="AF191" s="117"/>
      <c r="AG191" s="111"/>
      <c r="AH191" s="112"/>
      <c r="AI191" s="112"/>
      <c r="AJ191" s="113">
        <v>0</v>
      </c>
      <c r="AK191" s="112">
        <f t="shared" si="37"/>
        <v>987403.65599999996</v>
      </c>
      <c r="AL191" s="112">
        <f t="shared" si="37"/>
        <v>246744.18299999999</v>
      </c>
      <c r="AM191" s="112">
        <f t="shared" si="37"/>
        <v>740659.473</v>
      </c>
      <c r="AN191" s="112">
        <f t="shared" si="36"/>
        <v>0</v>
      </c>
      <c r="AO191" s="192">
        <f t="shared" si="33"/>
        <v>0</v>
      </c>
      <c r="AP191" s="193">
        <f t="shared" si="34"/>
        <v>173992</v>
      </c>
      <c r="AQ191" s="193">
        <f t="shared" si="35"/>
        <v>-1868</v>
      </c>
      <c r="AR191" s="118"/>
      <c r="AS191" s="119"/>
      <c r="AT191" s="119"/>
      <c r="AU191" s="120"/>
      <c r="AV191" s="161"/>
      <c r="AW191" s="112">
        <v>987403656</v>
      </c>
      <c r="AX191" s="162">
        <v>246744183</v>
      </c>
      <c r="AY191" s="162">
        <v>740659473</v>
      </c>
      <c r="AZ191" s="162"/>
      <c r="BA191" s="196"/>
      <c r="BB191" s="210" t="s">
        <v>825</v>
      </c>
      <c r="BC191" s="115" t="s">
        <v>825</v>
      </c>
      <c r="BD191" s="236" t="s">
        <v>825</v>
      </c>
    </row>
    <row r="192" spans="1:56" s="121" customFormat="1" ht="14.25" customHeight="1">
      <c r="A192" s="104" t="s">
        <v>2577</v>
      </c>
      <c r="B192" s="105" t="s">
        <v>1124</v>
      </c>
      <c r="C192" s="106" t="s">
        <v>1205</v>
      </c>
      <c r="D192" s="106" t="s">
        <v>2415</v>
      </c>
      <c r="E192" s="71" t="s">
        <v>1206</v>
      </c>
      <c r="F192" s="71" t="s">
        <v>708</v>
      </c>
      <c r="G192" s="68" t="s">
        <v>1207</v>
      </c>
      <c r="H192" s="371">
        <v>31833</v>
      </c>
      <c r="I192" s="111">
        <v>0</v>
      </c>
      <c r="J192" s="162">
        <v>0</v>
      </c>
      <c r="K192" s="113">
        <f t="shared" ref="K192:K217" si="49">SUBTOTAL(9,H192:J192)</f>
        <v>31833</v>
      </c>
      <c r="L192" s="111">
        <v>0</v>
      </c>
      <c r="M192" s="111">
        <v>0</v>
      </c>
      <c r="N192" s="112">
        <v>0</v>
      </c>
      <c r="O192" s="111">
        <v>3609</v>
      </c>
      <c r="P192" s="154">
        <v>0.19949044585987261</v>
      </c>
      <c r="Q192" s="111">
        <v>8477</v>
      </c>
      <c r="R192" s="112">
        <v>3609</v>
      </c>
      <c r="S192" s="111">
        <f t="shared" si="32"/>
        <v>5300</v>
      </c>
      <c r="T192" s="112">
        <v>306</v>
      </c>
      <c r="U192" s="116">
        <v>361</v>
      </c>
      <c r="V192" s="111">
        <v>9449</v>
      </c>
      <c r="W192" s="113">
        <f t="shared" ref="W192:W217" si="50">SUBTOTAL(9,L192:O192,S192:V192)</f>
        <v>19025</v>
      </c>
      <c r="X192" s="111">
        <v>9449</v>
      </c>
      <c r="Y192" s="111">
        <v>0</v>
      </c>
      <c r="Z192" s="116">
        <v>0</v>
      </c>
      <c r="AA192" s="111">
        <v>0</v>
      </c>
      <c r="AB192" s="113">
        <f t="shared" ref="AB192:AB217" si="51">SUBTOTAL(9,X192:AA192)</f>
        <v>9449</v>
      </c>
      <c r="AC192" s="111">
        <v>0</v>
      </c>
      <c r="AD192" s="111">
        <v>1670</v>
      </c>
      <c r="AE192" s="112">
        <v>0</v>
      </c>
      <c r="AF192" s="117">
        <v>4578</v>
      </c>
      <c r="AG192" s="111">
        <v>2449</v>
      </c>
      <c r="AH192" s="112">
        <v>751</v>
      </c>
      <c r="AI192" s="112">
        <v>0</v>
      </c>
      <c r="AJ192" s="113">
        <f t="shared" ref="AJ192:AJ216" si="52">SUBTOTAL(9,AC192:AI192)</f>
        <v>9448</v>
      </c>
      <c r="AK192" s="112">
        <f t="shared" si="37"/>
        <v>1937809.5</v>
      </c>
      <c r="AL192" s="112">
        <f t="shared" si="37"/>
        <v>1056281.9779999999</v>
      </c>
      <c r="AM192" s="112">
        <f t="shared" si="37"/>
        <v>881527.522</v>
      </c>
      <c r="AN192" s="112">
        <f t="shared" si="36"/>
        <v>42631.807000000001</v>
      </c>
      <c r="AO192" s="192">
        <f t="shared" si="33"/>
        <v>0.5450907212499474</v>
      </c>
      <c r="AP192" s="193">
        <f t="shared" si="34"/>
        <v>61656.807000000001</v>
      </c>
      <c r="AQ192" s="193">
        <f t="shared" si="35"/>
        <v>-29823.807000000001</v>
      </c>
      <c r="AR192" s="147"/>
      <c r="AS192" s="148"/>
      <c r="AT192" s="119"/>
      <c r="AU192" s="120"/>
      <c r="AV192" s="161"/>
      <c r="AW192" s="112">
        <v>1937809500</v>
      </c>
      <c r="AX192" s="162">
        <v>1056281978</v>
      </c>
      <c r="AY192" s="162">
        <v>881527522</v>
      </c>
      <c r="AZ192" s="162">
        <v>42631807</v>
      </c>
      <c r="BA192" s="196">
        <f t="shared" ref="BA192:BA216" si="53">AX192/AW192</f>
        <v>0.5450907212499474</v>
      </c>
      <c r="BB192" s="210" t="s">
        <v>825</v>
      </c>
      <c r="BC192" s="115" t="s">
        <v>825</v>
      </c>
      <c r="BD192" s="236" t="s">
        <v>825</v>
      </c>
    </row>
    <row r="193" spans="1:56" s="121" customFormat="1" ht="14.25" customHeight="1">
      <c r="A193" s="104" t="s">
        <v>2577</v>
      </c>
      <c r="B193" s="105" t="s">
        <v>1128</v>
      </c>
      <c r="C193" s="106" t="s">
        <v>1217</v>
      </c>
      <c r="D193" s="106" t="s">
        <v>2415</v>
      </c>
      <c r="E193" s="71" t="s">
        <v>1218</v>
      </c>
      <c r="F193" s="71" t="s">
        <v>708</v>
      </c>
      <c r="G193" s="109" t="s">
        <v>1207</v>
      </c>
      <c r="H193" s="372">
        <v>10905</v>
      </c>
      <c r="I193" s="111">
        <v>0</v>
      </c>
      <c r="J193" s="162">
        <v>0</v>
      </c>
      <c r="K193" s="113">
        <f t="shared" si="49"/>
        <v>10905</v>
      </c>
      <c r="L193" s="111">
        <v>0</v>
      </c>
      <c r="M193" s="111">
        <v>0</v>
      </c>
      <c r="N193" s="112">
        <v>0</v>
      </c>
      <c r="O193" s="111">
        <v>2687</v>
      </c>
      <c r="P193" s="154">
        <v>6.8343949044585989E-2</v>
      </c>
      <c r="Q193" s="111">
        <v>8477</v>
      </c>
      <c r="R193" s="112">
        <v>2687</v>
      </c>
      <c r="S193" s="111">
        <f t="shared" si="32"/>
        <v>3266</v>
      </c>
      <c r="T193" s="112">
        <v>104</v>
      </c>
      <c r="U193" s="116">
        <v>123</v>
      </c>
      <c r="V193" s="111">
        <v>3237</v>
      </c>
      <c r="W193" s="113">
        <f t="shared" si="50"/>
        <v>9417</v>
      </c>
      <c r="X193" s="111">
        <v>3237</v>
      </c>
      <c r="Y193" s="111">
        <v>0</v>
      </c>
      <c r="Z193" s="116">
        <v>0</v>
      </c>
      <c r="AA193" s="111">
        <v>0</v>
      </c>
      <c r="AB193" s="113">
        <f t="shared" si="51"/>
        <v>3237</v>
      </c>
      <c r="AC193" s="111">
        <v>0</v>
      </c>
      <c r="AD193" s="111">
        <v>572</v>
      </c>
      <c r="AE193" s="112">
        <v>0</v>
      </c>
      <c r="AF193" s="117">
        <v>1568</v>
      </c>
      <c r="AG193" s="111">
        <v>839</v>
      </c>
      <c r="AH193" s="112">
        <v>257</v>
      </c>
      <c r="AI193" s="112">
        <v>0</v>
      </c>
      <c r="AJ193" s="113">
        <f t="shared" si="52"/>
        <v>3236</v>
      </c>
      <c r="AK193" s="112">
        <f t="shared" si="37"/>
        <v>618571.4</v>
      </c>
      <c r="AL193" s="112">
        <f t="shared" si="37"/>
        <v>325862.98599999998</v>
      </c>
      <c r="AM193" s="112">
        <f t="shared" si="37"/>
        <v>292708.41399999999</v>
      </c>
      <c r="AN193" s="112">
        <f t="shared" si="36"/>
        <v>13608.57</v>
      </c>
      <c r="AO193" s="192">
        <f t="shared" si="33"/>
        <v>0.52679930885909043</v>
      </c>
      <c r="AP193" s="193">
        <f t="shared" si="34"/>
        <v>23025.57</v>
      </c>
      <c r="AQ193" s="193">
        <f t="shared" si="35"/>
        <v>-12120.57</v>
      </c>
      <c r="AR193" s="147"/>
      <c r="AS193" s="148"/>
      <c r="AT193" s="119"/>
      <c r="AU193" s="120"/>
      <c r="AV193" s="161"/>
      <c r="AW193" s="112">
        <v>618571400</v>
      </c>
      <c r="AX193" s="162">
        <v>325862986</v>
      </c>
      <c r="AY193" s="162">
        <v>292708414</v>
      </c>
      <c r="AZ193" s="162">
        <v>13608570</v>
      </c>
      <c r="BA193" s="196">
        <f t="shared" si="53"/>
        <v>0.52679930885909043</v>
      </c>
      <c r="BB193" s="210" t="s">
        <v>825</v>
      </c>
      <c r="BC193" s="115" t="s">
        <v>825</v>
      </c>
      <c r="BD193" s="236" t="s">
        <v>825</v>
      </c>
    </row>
    <row r="194" spans="1:56" s="121" customFormat="1" ht="14.25" customHeight="1">
      <c r="A194" s="104" t="s">
        <v>2577</v>
      </c>
      <c r="B194" s="105" t="s">
        <v>1132</v>
      </c>
      <c r="C194" s="106" t="s">
        <v>1222</v>
      </c>
      <c r="D194" s="106" t="s">
        <v>2415</v>
      </c>
      <c r="E194" s="71" t="s">
        <v>1223</v>
      </c>
      <c r="F194" s="71" t="s">
        <v>708</v>
      </c>
      <c r="G194" s="109" t="s">
        <v>1207</v>
      </c>
      <c r="H194" s="372">
        <v>22990</v>
      </c>
      <c r="I194" s="111">
        <v>0</v>
      </c>
      <c r="J194" s="162">
        <v>0</v>
      </c>
      <c r="K194" s="113">
        <f t="shared" si="49"/>
        <v>22990</v>
      </c>
      <c r="L194" s="111">
        <v>203</v>
      </c>
      <c r="M194" s="111">
        <v>0</v>
      </c>
      <c r="N194" s="112">
        <v>0</v>
      </c>
      <c r="O194" s="111">
        <v>1172</v>
      </c>
      <c r="P194" s="154">
        <v>0.14407643312101912</v>
      </c>
      <c r="Q194" s="111">
        <v>8477</v>
      </c>
      <c r="R194" s="112">
        <v>1172</v>
      </c>
      <c r="S194" s="111">
        <f t="shared" si="32"/>
        <v>2393</v>
      </c>
      <c r="T194" s="112">
        <v>221</v>
      </c>
      <c r="U194" s="116">
        <v>260</v>
      </c>
      <c r="V194" s="111">
        <v>6824</v>
      </c>
      <c r="W194" s="113">
        <f t="shared" si="50"/>
        <v>11073</v>
      </c>
      <c r="X194" s="111">
        <v>6824</v>
      </c>
      <c r="Y194" s="111">
        <v>0</v>
      </c>
      <c r="Z194" s="116">
        <v>0</v>
      </c>
      <c r="AA194" s="111">
        <v>0</v>
      </c>
      <c r="AB194" s="113">
        <f t="shared" si="51"/>
        <v>6824</v>
      </c>
      <c r="AC194" s="111">
        <v>0</v>
      </c>
      <c r="AD194" s="111">
        <v>1206</v>
      </c>
      <c r="AE194" s="112">
        <v>0</v>
      </c>
      <c r="AF194" s="117">
        <v>3306</v>
      </c>
      <c r="AG194" s="111">
        <v>1768</v>
      </c>
      <c r="AH194" s="112">
        <v>542</v>
      </c>
      <c r="AI194" s="112">
        <v>0</v>
      </c>
      <c r="AJ194" s="113">
        <f t="shared" si="52"/>
        <v>6822</v>
      </c>
      <c r="AK194" s="112">
        <f t="shared" si="37"/>
        <v>1787562.8859999999</v>
      </c>
      <c r="AL194" s="112">
        <f t="shared" si="37"/>
        <v>1282777.1029999999</v>
      </c>
      <c r="AM194" s="112">
        <f t="shared" si="37"/>
        <v>504785.783</v>
      </c>
      <c r="AN194" s="112">
        <f t="shared" si="36"/>
        <v>18119.527999999998</v>
      </c>
      <c r="AO194" s="192">
        <f t="shared" si="33"/>
        <v>0.71761229383680547</v>
      </c>
      <c r="AP194" s="193">
        <f t="shared" si="34"/>
        <v>29192.527999999998</v>
      </c>
      <c r="AQ194" s="193">
        <f t="shared" si="35"/>
        <v>-6202.5279999999984</v>
      </c>
      <c r="AR194" s="147"/>
      <c r="AS194" s="148"/>
      <c r="AT194" s="119"/>
      <c r="AU194" s="120"/>
      <c r="AV194" s="161"/>
      <c r="AW194" s="112">
        <v>1787562886</v>
      </c>
      <c r="AX194" s="162">
        <v>1282777103</v>
      </c>
      <c r="AY194" s="162">
        <v>504785783</v>
      </c>
      <c r="AZ194" s="162">
        <v>18119528</v>
      </c>
      <c r="BA194" s="196">
        <f t="shared" si="53"/>
        <v>0.71761229383680547</v>
      </c>
      <c r="BB194" s="210" t="s">
        <v>825</v>
      </c>
      <c r="BC194" s="115" t="s">
        <v>825</v>
      </c>
      <c r="BD194" s="236" t="s">
        <v>825</v>
      </c>
    </row>
    <row r="195" spans="1:56" s="121" customFormat="1" ht="14.25" customHeight="1">
      <c r="A195" s="104" t="s">
        <v>2577</v>
      </c>
      <c r="B195" s="105" t="s">
        <v>1145</v>
      </c>
      <c r="C195" s="106" t="s">
        <v>1226</v>
      </c>
      <c r="D195" s="106" t="s">
        <v>2415</v>
      </c>
      <c r="E195" s="71" t="s">
        <v>1227</v>
      </c>
      <c r="F195" s="71" t="s">
        <v>708</v>
      </c>
      <c r="G195" s="109" t="s">
        <v>1207</v>
      </c>
      <c r="H195" s="372">
        <v>3242</v>
      </c>
      <c r="I195" s="111">
        <v>0</v>
      </c>
      <c r="J195" s="162">
        <v>0</v>
      </c>
      <c r="K195" s="113">
        <f t="shared" si="49"/>
        <v>3242</v>
      </c>
      <c r="L195" s="111">
        <v>4</v>
      </c>
      <c r="M195" s="111">
        <v>0</v>
      </c>
      <c r="N195" s="112">
        <v>0</v>
      </c>
      <c r="O195" s="111">
        <v>40</v>
      </c>
      <c r="P195" s="154">
        <v>2.0318471337579618E-2</v>
      </c>
      <c r="Q195" s="111">
        <v>8477</v>
      </c>
      <c r="R195" s="112">
        <v>40</v>
      </c>
      <c r="S195" s="111">
        <f t="shared" si="32"/>
        <v>212</v>
      </c>
      <c r="T195" s="112">
        <v>31</v>
      </c>
      <c r="U195" s="116">
        <v>36</v>
      </c>
      <c r="V195" s="111">
        <v>962</v>
      </c>
      <c r="W195" s="113">
        <f t="shared" si="50"/>
        <v>1285</v>
      </c>
      <c r="X195" s="111">
        <v>962</v>
      </c>
      <c r="Y195" s="111">
        <v>0</v>
      </c>
      <c r="Z195" s="116">
        <v>0</v>
      </c>
      <c r="AA195" s="111">
        <v>0</v>
      </c>
      <c r="AB195" s="113">
        <f t="shared" si="51"/>
        <v>962</v>
      </c>
      <c r="AC195" s="111">
        <v>0</v>
      </c>
      <c r="AD195" s="111">
        <v>170</v>
      </c>
      <c r="AE195" s="112">
        <v>0</v>
      </c>
      <c r="AF195" s="117">
        <v>466</v>
      </c>
      <c r="AG195" s="111">
        <v>249</v>
      </c>
      <c r="AH195" s="112">
        <v>76</v>
      </c>
      <c r="AI195" s="112">
        <v>0</v>
      </c>
      <c r="AJ195" s="113">
        <f t="shared" si="52"/>
        <v>961</v>
      </c>
      <c r="AK195" s="112">
        <f t="shared" si="37"/>
        <v>429539.52799999999</v>
      </c>
      <c r="AL195" s="112">
        <f t="shared" si="37"/>
        <v>405224.41</v>
      </c>
      <c r="AM195" s="112">
        <f t="shared" si="37"/>
        <v>24315.117999999999</v>
      </c>
      <c r="AN195" s="112">
        <f t="shared" si="36"/>
        <v>760.17899999999997</v>
      </c>
      <c r="AO195" s="192">
        <f t="shared" si="33"/>
        <v>0.94339259505821316</v>
      </c>
      <c r="AP195" s="193">
        <f t="shared" si="34"/>
        <v>2045.1790000000001</v>
      </c>
      <c r="AQ195" s="193">
        <f t="shared" si="35"/>
        <v>1196.8209999999999</v>
      </c>
      <c r="AR195" s="147"/>
      <c r="AS195" s="148"/>
      <c r="AT195" s="119"/>
      <c r="AU195" s="120"/>
      <c r="AV195" s="161"/>
      <c r="AW195" s="112">
        <v>429539528</v>
      </c>
      <c r="AX195" s="162">
        <v>405224410</v>
      </c>
      <c r="AY195" s="162">
        <v>24315118</v>
      </c>
      <c r="AZ195" s="162">
        <v>760179</v>
      </c>
      <c r="BA195" s="196">
        <f t="shared" si="53"/>
        <v>0.94339259505821316</v>
      </c>
      <c r="BB195" s="210" t="s">
        <v>825</v>
      </c>
      <c r="BC195" s="115" t="s">
        <v>825</v>
      </c>
      <c r="BD195" s="236" t="s">
        <v>825</v>
      </c>
    </row>
    <row r="196" spans="1:56" s="121" customFormat="1" ht="14.25" customHeight="1">
      <c r="A196" s="104" t="s">
        <v>2577</v>
      </c>
      <c r="B196" s="105" t="s">
        <v>1155</v>
      </c>
      <c r="C196" s="106" t="s">
        <v>1229</v>
      </c>
      <c r="D196" s="106" t="s">
        <v>2415</v>
      </c>
      <c r="E196" s="71" t="s">
        <v>1230</v>
      </c>
      <c r="F196" s="71" t="s">
        <v>708</v>
      </c>
      <c r="G196" s="109" t="s">
        <v>1207</v>
      </c>
      <c r="H196" s="372">
        <v>2358</v>
      </c>
      <c r="I196" s="111">
        <v>0</v>
      </c>
      <c r="J196" s="162">
        <v>0</v>
      </c>
      <c r="K196" s="113">
        <f t="shared" si="49"/>
        <v>2358</v>
      </c>
      <c r="L196" s="111">
        <v>4</v>
      </c>
      <c r="M196" s="111">
        <v>0</v>
      </c>
      <c r="N196" s="112">
        <v>0</v>
      </c>
      <c r="O196" s="111">
        <v>40</v>
      </c>
      <c r="P196" s="154">
        <v>1.4777070063694267E-2</v>
      </c>
      <c r="Q196" s="111">
        <v>8477</v>
      </c>
      <c r="R196" s="112">
        <v>40</v>
      </c>
      <c r="S196" s="111">
        <f t="shared" si="32"/>
        <v>165</v>
      </c>
      <c r="T196" s="112">
        <v>22</v>
      </c>
      <c r="U196" s="116">
        <v>26</v>
      </c>
      <c r="V196" s="111">
        <v>699</v>
      </c>
      <c r="W196" s="113">
        <f t="shared" si="50"/>
        <v>956</v>
      </c>
      <c r="X196" s="111">
        <v>699</v>
      </c>
      <c r="Y196" s="111">
        <v>0</v>
      </c>
      <c r="Z196" s="116">
        <v>0</v>
      </c>
      <c r="AA196" s="111">
        <v>0</v>
      </c>
      <c r="AB196" s="113">
        <f t="shared" si="51"/>
        <v>699</v>
      </c>
      <c r="AC196" s="111">
        <v>0</v>
      </c>
      <c r="AD196" s="111">
        <v>123</v>
      </c>
      <c r="AE196" s="112">
        <v>0</v>
      </c>
      <c r="AF196" s="117">
        <v>339</v>
      </c>
      <c r="AG196" s="111">
        <v>181</v>
      </c>
      <c r="AH196" s="112">
        <v>55</v>
      </c>
      <c r="AI196" s="112">
        <v>0</v>
      </c>
      <c r="AJ196" s="113">
        <f t="shared" si="52"/>
        <v>698</v>
      </c>
      <c r="AK196" s="112">
        <f t="shared" si="37"/>
        <v>267523.40000000002</v>
      </c>
      <c r="AL196" s="112">
        <f t="shared" si="37"/>
        <v>247012.23</v>
      </c>
      <c r="AM196" s="112">
        <f t="shared" si="37"/>
        <v>20511.169999999998</v>
      </c>
      <c r="AN196" s="112">
        <f t="shared" si="36"/>
        <v>557.97699999999998</v>
      </c>
      <c r="AO196" s="192">
        <f t="shared" si="33"/>
        <v>0.92332943585495697</v>
      </c>
      <c r="AP196" s="193">
        <f t="shared" si="34"/>
        <v>1513.9769999999999</v>
      </c>
      <c r="AQ196" s="193">
        <f t="shared" si="35"/>
        <v>844.02300000000014</v>
      </c>
      <c r="AR196" s="147"/>
      <c r="AS196" s="148"/>
      <c r="AT196" s="119"/>
      <c r="AU196" s="120"/>
      <c r="AV196" s="161"/>
      <c r="AW196" s="112">
        <v>267523400</v>
      </c>
      <c r="AX196" s="162">
        <v>247012230</v>
      </c>
      <c r="AY196" s="162">
        <v>20511170</v>
      </c>
      <c r="AZ196" s="162">
        <v>557977</v>
      </c>
      <c r="BA196" s="196">
        <f t="shared" si="53"/>
        <v>0.92332943585495697</v>
      </c>
      <c r="BB196" s="210" t="s">
        <v>825</v>
      </c>
      <c r="BC196" s="115" t="s">
        <v>825</v>
      </c>
      <c r="BD196" s="236" t="s">
        <v>825</v>
      </c>
    </row>
    <row r="197" spans="1:56" s="121" customFormat="1" ht="14.25" customHeight="1">
      <c r="A197" s="104" t="s">
        <v>2577</v>
      </c>
      <c r="B197" s="105" t="s">
        <v>1164</v>
      </c>
      <c r="C197" s="106" t="s">
        <v>1232</v>
      </c>
      <c r="D197" s="106" t="s">
        <v>2415</v>
      </c>
      <c r="E197" s="71" t="s">
        <v>1233</v>
      </c>
      <c r="F197" s="71" t="s">
        <v>708</v>
      </c>
      <c r="G197" s="109" t="s">
        <v>1207</v>
      </c>
      <c r="H197" s="372">
        <v>16211</v>
      </c>
      <c r="I197" s="111">
        <v>0</v>
      </c>
      <c r="J197" s="162">
        <v>0</v>
      </c>
      <c r="K197" s="113">
        <f t="shared" si="49"/>
        <v>16211</v>
      </c>
      <c r="L197" s="111">
        <v>55</v>
      </c>
      <c r="M197" s="111">
        <v>0</v>
      </c>
      <c r="N197" s="112">
        <v>0</v>
      </c>
      <c r="O197" s="111">
        <v>295</v>
      </c>
      <c r="P197" s="154">
        <v>0.10159235668789808</v>
      </c>
      <c r="Q197" s="111">
        <v>8477</v>
      </c>
      <c r="R197" s="112">
        <v>295</v>
      </c>
      <c r="S197" s="111">
        <f t="shared" ref="S197:S249" si="54">ROUND(P197*Q197,0)+R197</f>
        <v>1156</v>
      </c>
      <c r="T197" s="112">
        <v>155</v>
      </c>
      <c r="U197" s="116">
        <v>183</v>
      </c>
      <c r="V197" s="111">
        <v>4812</v>
      </c>
      <c r="W197" s="113">
        <f t="shared" si="50"/>
        <v>6656</v>
      </c>
      <c r="X197" s="111">
        <v>4812</v>
      </c>
      <c r="Y197" s="111">
        <v>0</v>
      </c>
      <c r="Z197" s="116">
        <v>0</v>
      </c>
      <c r="AA197" s="111">
        <v>0</v>
      </c>
      <c r="AB197" s="113">
        <f t="shared" si="51"/>
        <v>4812</v>
      </c>
      <c r="AC197" s="111">
        <v>0</v>
      </c>
      <c r="AD197" s="111">
        <v>850</v>
      </c>
      <c r="AE197" s="112">
        <v>0</v>
      </c>
      <c r="AF197" s="117">
        <v>2331</v>
      </c>
      <c r="AG197" s="111">
        <v>1247</v>
      </c>
      <c r="AH197" s="112">
        <v>382</v>
      </c>
      <c r="AI197" s="112">
        <v>0</v>
      </c>
      <c r="AJ197" s="113">
        <f t="shared" si="52"/>
        <v>4810</v>
      </c>
      <c r="AK197" s="112">
        <f t="shared" si="37"/>
        <v>699086.59400000004</v>
      </c>
      <c r="AL197" s="112">
        <f t="shared" si="37"/>
        <v>482958.74200000003</v>
      </c>
      <c r="AM197" s="112">
        <f t="shared" si="37"/>
        <v>216127.85200000001</v>
      </c>
      <c r="AN197" s="112">
        <f t="shared" si="36"/>
        <v>1485.5930000000001</v>
      </c>
      <c r="AO197" s="192">
        <f t="shared" ref="AO197:AO249" si="55">BA197</f>
        <v>0.69084251671403096</v>
      </c>
      <c r="AP197" s="193">
        <f t="shared" ref="AP197:AP249" si="56">W197+AN197</f>
        <v>8141.5929999999998</v>
      </c>
      <c r="AQ197" s="193">
        <f t="shared" si="35"/>
        <v>8069.4070000000002</v>
      </c>
      <c r="AR197" s="147"/>
      <c r="AS197" s="148"/>
      <c r="AT197" s="119"/>
      <c r="AU197" s="120"/>
      <c r="AV197" s="161"/>
      <c r="AW197" s="112">
        <v>699086594</v>
      </c>
      <c r="AX197" s="162">
        <v>482958742</v>
      </c>
      <c r="AY197" s="162">
        <v>216127852</v>
      </c>
      <c r="AZ197" s="162">
        <v>1485593</v>
      </c>
      <c r="BA197" s="196">
        <f t="shared" si="53"/>
        <v>0.69084251671403096</v>
      </c>
      <c r="BB197" s="210" t="s">
        <v>825</v>
      </c>
      <c r="BC197" s="115" t="s">
        <v>825</v>
      </c>
      <c r="BD197" s="236" t="s">
        <v>825</v>
      </c>
    </row>
    <row r="198" spans="1:56" s="121" customFormat="1" ht="14.25" customHeight="1">
      <c r="A198" s="104" t="s">
        <v>2577</v>
      </c>
      <c r="B198" s="105" t="s">
        <v>1170</v>
      </c>
      <c r="C198" s="106" t="s">
        <v>1236</v>
      </c>
      <c r="D198" s="106" t="s">
        <v>2415</v>
      </c>
      <c r="E198" s="71" t="s">
        <v>1237</v>
      </c>
      <c r="F198" s="71" t="s">
        <v>708</v>
      </c>
      <c r="G198" s="109" t="s">
        <v>1207</v>
      </c>
      <c r="H198" s="372">
        <v>60719</v>
      </c>
      <c r="I198" s="111">
        <v>0</v>
      </c>
      <c r="J198" s="162">
        <v>0</v>
      </c>
      <c r="K198" s="113">
        <f t="shared" si="49"/>
        <v>60719</v>
      </c>
      <c r="L198" s="111">
        <v>195</v>
      </c>
      <c r="M198" s="111">
        <v>0</v>
      </c>
      <c r="N198" s="112">
        <v>0</v>
      </c>
      <c r="O198" s="111">
        <v>0</v>
      </c>
      <c r="P198" s="154">
        <v>0.38050955414012738</v>
      </c>
      <c r="Q198" s="111">
        <v>8477</v>
      </c>
      <c r="R198" s="112">
        <v>0</v>
      </c>
      <c r="S198" s="111">
        <f t="shared" si="54"/>
        <v>3226</v>
      </c>
      <c r="T198" s="112">
        <v>584</v>
      </c>
      <c r="U198" s="116">
        <v>688</v>
      </c>
      <c r="V198" s="111">
        <v>18024</v>
      </c>
      <c r="W198" s="113">
        <f t="shared" si="50"/>
        <v>22717</v>
      </c>
      <c r="X198" s="111">
        <v>18024</v>
      </c>
      <c r="Y198" s="111">
        <v>0</v>
      </c>
      <c r="Z198" s="116">
        <v>0</v>
      </c>
      <c r="AA198" s="111">
        <v>0</v>
      </c>
      <c r="AB198" s="113">
        <f t="shared" si="51"/>
        <v>18024</v>
      </c>
      <c r="AC198" s="111">
        <v>0</v>
      </c>
      <c r="AD198" s="111">
        <v>3185</v>
      </c>
      <c r="AE198" s="112">
        <v>0</v>
      </c>
      <c r="AF198" s="117">
        <v>8733</v>
      </c>
      <c r="AG198" s="111">
        <v>4671</v>
      </c>
      <c r="AH198" s="112">
        <v>1433</v>
      </c>
      <c r="AI198" s="112">
        <v>0</v>
      </c>
      <c r="AJ198" s="113">
        <f t="shared" si="52"/>
        <v>18022</v>
      </c>
      <c r="AK198" s="112">
        <f t="shared" si="37"/>
        <v>2089611.5719999999</v>
      </c>
      <c r="AL198" s="112">
        <f t="shared" si="37"/>
        <v>1986972.801</v>
      </c>
      <c r="AM198" s="112">
        <f t="shared" si="37"/>
        <v>102638.77099999999</v>
      </c>
      <c r="AN198" s="112">
        <f t="shared" si="36"/>
        <v>4897.1840000000002</v>
      </c>
      <c r="AO198" s="192">
        <f t="shared" si="55"/>
        <v>0.95088141146645599</v>
      </c>
      <c r="AP198" s="193">
        <f t="shared" si="56"/>
        <v>27614.184000000001</v>
      </c>
      <c r="AQ198" s="193">
        <f t="shared" ref="AQ198:AQ249" si="57">K198-AP198</f>
        <v>33104.815999999999</v>
      </c>
      <c r="AR198" s="147"/>
      <c r="AS198" s="148"/>
      <c r="AT198" s="119"/>
      <c r="AU198" s="120"/>
      <c r="AV198" s="161"/>
      <c r="AW198" s="112">
        <v>2089611572</v>
      </c>
      <c r="AX198" s="162">
        <v>1986972801</v>
      </c>
      <c r="AY198" s="162">
        <v>102638771</v>
      </c>
      <c r="AZ198" s="162">
        <v>4897184</v>
      </c>
      <c r="BA198" s="196">
        <f t="shared" si="53"/>
        <v>0.95088141146645599</v>
      </c>
      <c r="BB198" s="210" t="s">
        <v>825</v>
      </c>
      <c r="BC198" s="115" t="s">
        <v>825</v>
      </c>
      <c r="BD198" s="236" t="s">
        <v>825</v>
      </c>
    </row>
    <row r="199" spans="1:56" s="121" customFormat="1" ht="14.25" customHeight="1">
      <c r="A199" s="104" t="s">
        <v>2577</v>
      </c>
      <c r="B199" s="105" t="s">
        <v>1177</v>
      </c>
      <c r="C199" s="106" t="s">
        <v>1239</v>
      </c>
      <c r="D199" s="106" t="s">
        <v>2415</v>
      </c>
      <c r="E199" s="71" t="s">
        <v>1240</v>
      </c>
      <c r="F199" s="71" t="s">
        <v>708</v>
      </c>
      <c r="G199" s="109" t="s">
        <v>1207</v>
      </c>
      <c r="H199" s="372">
        <v>32422</v>
      </c>
      <c r="I199" s="111">
        <v>0</v>
      </c>
      <c r="J199" s="162">
        <v>0</v>
      </c>
      <c r="K199" s="113">
        <f t="shared" si="49"/>
        <v>32422</v>
      </c>
      <c r="L199" s="111">
        <v>14</v>
      </c>
      <c r="M199" s="111">
        <v>0</v>
      </c>
      <c r="N199" s="112">
        <v>0</v>
      </c>
      <c r="O199" s="111">
        <v>99</v>
      </c>
      <c r="P199" s="154">
        <v>0.20318471337579616</v>
      </c>
      <c r="Q199" s="111">
        <v>8477</v>
      </c>
      <c r="R199" s="112">
        <v>99</v>
      </c>
      <c r="S199" s="111">
        <f t="shared" si="54"/>
        <v>1821</v>
      </c>
      <c r="T199" s="112">
        <v>311</v>
      </c>
      <c r="U199" s="116">
        <v>367</v>
      </c>
      <c r="V199" s="111">
        <v>9624</v>
      </c>
      <c r="W199" s="113">
        <f t="shared" si="50"/>
        <v>12236</v>
      </c>
      <c r="X199" s="111">
        <v>9624</v>
      </c>
      <c r="Y199" s="111">
        <v>0</v>
      </c>
      <c r="Z199" s="116">
        <v>0</v>
      </c>
      <c r="AA199" s="111">
        <v>0</v>
      </c>
      <c r="AB199" s="113">
        <f t="shared" si="51"/>
        <v>9624</v>
      </c>
      <c r="AC199" s="111">
        <v>0</v>
      </c>
      <c r="AD199" s="111">
        <v>1701</v>
      </c>
      <c r="AE199" s="112">
        <v>0</v>
      </c>
      <c r="AF199" s="117">
        <v>4663</v>
      </c>
      <c r="AG199" s="111">
        <v>2494</v>
      </c>
      <c r="AH199" s="112">
        <v>765</v>
      </c>
      <c r="AI199" s="112">
        <v>0</v>
      </c>
      <c r="AJ199" s="113">
        <f t="shared" si="52"/>
        <v>9623</v>
      </c>
      <c r="AK199" s="112">
        <f t="shared" si="37"/>
        <v>1414823.07</v>
      </c>
      <c r="AL199" s="112">
        <f t="shared" si="37"/>
        <v>1216607.1680000001</v>
      </c>
      <c r="AM199" s="112">
        <f t="shared" si="37"/>
        <v>198215.902</v>
      </c>
      <c r="AN199" s="112">
        <f t="shared" si="36"/>
        <v>11120.877</v>
      </c>
      <c r="AO199" s="192">
        <f t="shared" si="55"/>
        <v>0.85990057258537633</v>
      </c>
      <c r="AP199" s="193">
        <f t="shared" si="56"/>
        <v>23356.877</v>
      </c>
      <c r="AQ199" s="193">
        <f t="shared" si="57"/>
        <v>9065.1229999999996</v>
      </c>
      <c r="AR199" s="147"/>
      <c r="AS199" s="148"/>
      <c r="AT199" s="119"/>
      <c r="AU199" s="120"/>
      <c r="AV199" s="161"/>
      <c r="AW199" s="112">
        <v>1414823070</v>
      </c>
      <c r="AX199" s="162">
        <v>1216607168</v>
      </c>
      <c r="AY199" s="162">
        <v>198215902</v>
      </c>
      <c r="AZ199" s="162">
        <v>11120877</v>
      </c>
      <c r="BA199" s="196">
        <f t="shared" si="53"/>
        <v>0.85990057258537633</v>
      </c>
      <c r="BB199" s="210" t="s">
        <v>825</v>
      </c>
      <c r="BC199" s="115" t="s">
        <v>825</v>
      </c>
      <c r="BD199" s="236" t="s">
        <v>825</v>
      </c>
    </row>
    <row r="200" spans="1:56" s="121" customFormat="1" ht="14.25" customHeight="1">
      <c r="A200" s="104" t="s">
        <v>2577</v>
      </c>
      <c r="B200" s="105" t="s">
        <v>1189</v>
      </c>
      <c r="C200" s="106" t="s">
        <v>1242</v>
      </c>
      <c r="D200" s="106" t="s">
        <v>2415</v>
      </c>
      <c r="E200" s="71" t="s">
        <v>1243</v>
      </c>
      <c r="F200" s="71" t="s">
        <v>708</v>
      </c>
      <c r="G200" s="109" t="s">
        <v>1207</v>
      </c>
      <c r="H200" s="372">
        <v>5600</v>
      </c>
      <c r="I200" s="111">
        <v>0</v>
      </c>
      <c r="J200" s="162">
        <v>0</v>
      </c>
      <c r="K200" s="113">
        <f t="shared" si="49"/>
        <v>5600</v>
      </c>
      <c r="L200" s="111">
        <v>33</v>
      </c>
      <c r="M200" s="111">
        <v>0</v>
      </c>
      <c r="N200" s="112">
        <v>0</v>
      </c>
      <c r="O200" s="111">
        <v>0</v>
      </c>
      <c r="P200" s="154">
        <v>3.5095541401273883E-2</v>
      </c>
      <c r="Q200" s="111">
        <v>8477</v>
      </c>
      <c r="R200" s="112">
        <v>0</v>
      </c>
      <c r="S200" s="111">
        <f t="shared" si="54"/>
        <v>298</v>
      </c>
      <c r="T200" s="112">
        <v>53</v>
      </c>
      <c r="U200" s="116">
        <v>63</v>
      </c>
      <c r="V200" s="111">
        <v>1662</v>
      </c>
      <c r="W200" s="113">
        <f t="shared" si="50"/>
        <v>2109</v>
      </c>
      <c r="X200" s="111">
        <v>1662</v>
      </c>
      <c r="Y200" s="111">
        <v>0</v>
      </c>
      <c r="Z200" s="116">
        <v>0</v>
      </c>
      <c r="AA200" s="111">
        <v>0</v>
      </c>
      <c r="AB200" s="113">
        <f t="shared" si="51"/>
        <v>1662</v>
      </c>
      <c r="AC200" s="111">
        <v>0</v>
      </c>
      <c r="AD200" s="111">
        <v>293</v>
      </c>
      <c r="AE200" s="112">
        <v>0</v>
      </c>
      <c r="AF200" s="117">
        <v>805</v>
      </c>
      <c r="AG200" s="111">
        <v>430</v>
      </c>
      <c r="AH200" s="112">
        <v>132</v>
      </c>
      <c r="AI200" s="112">
        <v>0</v>
      </c>
      <c r="AJ200" s="113">
        <f t="shared" si="52"/>
        <v>1660</v>
      </c>
      <c r="AK200" s="112">
        <f t="shared" si="37"/>
        <v>193948.52499999999</v>
      </c>
      <c r="AL200" s="112">
        <f t="shared" si="37"/>
        <v>150352.861</v>
      </c>
      <c r="AM200" s="112">
        <f t="shared" si="37"/>
        <v>43595.663999999997</v>
      </c>
      <c r="AN200" s="112">
        <f t="shared" si="36"/>
        <v>264.26400000000001</v>
      </c>
      <c r="AO200" s="192">
        <f t="shared" si="55"/>
        <v>0.77522044057824102</v>
      </c>
      <c r="AP200" s="193">
        <f t="shared" si="56"/>
        <v>2373.2640000000001</v>
      </c>
      <c r="AQ200" s="193">
        <f t="shared" si="57"/>
        <v>3226.7359999999999</v>
      </c>
      <c r="AR200" s="147"/>
      <c r="AS200" s="148"/>
      <c r="AT200" s="119"/>
      <c r="AU200" s="120"/>
      <c r="AV200" s="161"/>
      <c r="AW200" s="112">
        <v>193948525</v>
      </c>
      <c r="AX200" s="162">
        <v>150352861</v>
      </c>
      <c r="AY200" s="162">
        <v>43595664</v>
      </c>
      <c r="AZ200" s="162">
        <v>264264</v>
      </c>
      <c r="BA200" s="196">
        <f t="shared" si="53"/>
        <v>0.77522044057824102</v>
      </c>
      <c r="BB200" s="210" t="s">
        <v>825</v>
      </c>
      <c r="BC200" s="115" t="s">
        <v>825</v>
      </c>
      <c r="BD200" s="236" t="s">
        <v>825</v>
      </c>
    </row>
    <row r="201" spans="1:56" s="121" customFormat="1" ht="14.25" customHeight="1">
      <c r="A201" s="104" t="s">
        <v>2577</v>
      </c>
      <c r="B201" s="105" t="s">
        <v>1195</v>
      </c>
      <c r="C201" s="106" t="s">
        <v>1246</v>
      </c>
      <c r="D201" s="106" t="s">
        <v>2415</v>
      </c>
      <c r="E201" s="71" t="s">
        <v>1247</v>
      </c>
      <c r="F201" s="71" t="s">
        <v>708</v>
      </c>
      <c r="G201" s="109" t="s">
        <v>1207</v>
      </c>
      <c r="H201" s="372">
        <v>34191</v>
      </c>
      <c r="I201" s="111">
        <v>0</v>
      </c>
      <c r="J201" s="162">
        <v>0</v>
      </c>
      <c r="K201" s="113">
        <f t="shared" si="49"/>
        <v>34191</v>
      </c>
      <c r="L201" s="111">
        <v>106</v>
      </c>
      <c r="M201" s="111">
        <v>0</v>
      </c>
      <c r="N201" s="112">
        <v>0</v>
      </c>
      <c r="O201" s="111">
        <v>1111</v>
      </c>
      <c r="P201" s="154">
        <v>0.21426751592356685</v>
      </c>
      <c r="Q201" s="111">
        <v>8477</v>
      </c>
      <c r="R201" s="112">
        <v>1111</v>
      </c>
      <c r="S201" s="111">
        <f t="shared" si="54"/>
        <v>2927</v>
      </c>
      <c r="T201" s="112">
        <v>328</v>
      </c>
      <c r="U201" s="116">
        <v>387</v>
      </c>
      <c r="V201" s="111">
        <v>10149</v>
      </c>
      <c r="W201" s="113">
        <f t="shared" si="50"/>
        <v>15008</v>
      </c>
      <c r="X201" s="111">
        <v>10149</v>
      </c>
      <c r="Y201" s="111">
        <v>0</v>
      </c>
      <c r="Z201" s="116">
        <v>0</v>
      </c>
      <c r="AA201" s="111">
        <v>0</v>
      </c>
      <c r="AB201" s="113">
        <f t="shared" si="51"/>
        <v>10149</v>
      </c>
      <c r="AC201" s="111">
        <v>0</v>
      </c>
      <c r="AD201" s="111">
        <v>1793</v>
      </c>
      <c r="AE201" s="112">
        <v>0</v>
      </c>
      <c r="AF201" s="117">
        <v>4917</v>
      </c>
      <c r="AG201" s="111">
        <v>2630</v>
      </c>
      <c r="AH201" s="112">
        <v>807</v>
      </c>
      <c r="AI201" s="112">
        <v>0</v>
      </c>
      <c r="AJ201" s="113">
        <f t="shared" si="52"/>
        <v>10147</v>
      </c>
      <c r="AK201" s="112">
        <f t="shared" si="37"/>
        <v>1079525.524</v>
      </c>
      <c r="AL201" s="112">
        <f t="shared" si="37"/>
        <v>968937.16200000001</v>
      </c>
      <c r="AM201" s="112">
        <f t="shared" si="37"/>
        <v>110588.36199999999</v>
      </c>
      <c r="AN201" s="112">
        <f t="shared" si="36"/>
        <v>2996.1219999999998</v>
      </c>
      <c r="AO201" s="192">
        <f t="shared" si="55"/>
        <v>0.8975583628720204</v>
      </c>
      <c r="AP201" s="193">
        <f t="shared" si="56"/>
        <v>18004.121999999999</v>
      </c>
      <c r="AQ201" s="193">
        <f t="shared" si="57"/>
        <v>16186.878000000001</v>
      </c>
      <c r="AR201" s="147"/>
      <c r="AS201" s="148"/>
      <c r="AT201" s="119"/>
      <c r="AU201" s="120"/>
      <c r="AV201" s="161"/>
      <c r="AW201" s="112">
        <v>1079525524</v>
      </c>
      <c r="AX201" s="162">
        <v>968937162</v>
      </c>
      <c r="AY201" s="162">
        <v>110588362</v>
      </c>
      <c r="AZ201" s="162">
        <v>2996122</v>
      </c>
      <c r="BA201" s="196">
        <f t="shared" si="53"/>
        <v>0.8975583628720204</v>
      </c>
      <c r="BB201" s="210" t="s">
        <v>825</v>
      </c>
      <c r="BC201" s="115" t="s">
        <v>825</v>
      </c>
      <c r="BD201" s="236" t="s">
        <v>825</v>
      </c>
    </row>
    <row r="202" spans="1:56" s="121" customFormat="1" ht="14.25" customHeight="1">
      <c r="A202" s="104" t="s">
        <v>2577</v>
      </c>
      <c r="B202" s="105" t="s">
        <v>72</v>
      </c>
      <c r="C202" s="106" t="s">
        <v>1250</v>
      </c>
      <c r="D202" s="106" t="s">
        <v>2415</v>
      </c>
      <c r="E202" s="71" t="s">
        <v>1251</v>
      </c>
      <c r="F202" s="71" t="s">
        <v>708</v>
      </c>
      <c r="G202" s="109" t="s">
        <v>1207</v>
      </c>
      <c r="H202" s="372">
        <v>6484</v>
      </c>
      <c r="I202" s="111">
        <v>0</v>
      </c>
      <c r="J202" s="162">
        <v>0</v>
      </c>
      <c r="K202" s="113">
        <f t="shared" si="49"/>
        <v>6484</v>
      </c>
      <c r="L202" s="111">
        <v>0</v>
      </c>
      <c r="M202" s="111">
        <v>0</v>
      </c>
      <c r="N202" s="112">
        <v>0</v>
      </c>
      <c r="O202" s="111">
        <v>0</v>
      </c>
      <c r="P202" s="154">
        <v>4.0636942675159236E-2</v>
      </c>
      <c r="Q202" s="111">
        <v>8477</v>
      </c>
      <c r="R202" s="112">
        <v>0</v>
      </c>
      <c r="S202" s="111">
        <f t="shared" si="54"/>
        <v>344</v>
      </c>
      <c r="T202" s="112">
        <v>62</v>
      </c>
      <c r="U202" s="116">
        <v>73</v>
      </c>
      <c r="V202" s="111">
        <v>1924</v>
      </c>
      <c r="W202" s="113">
        <f t="shared" si="50"/>
        <v>2403</v>
      </c>
      <c r="X202" s="111">
        <v>1924</v>
      </c>
      <c r="Y202" s="111">
        <v>0</v>
      </c>
      <c r="Z202" s="116">
        <v>0</v>
      </c>
      <c r="AA202" s="111">
        <v>0</v>
      </c>
      <c r="AB202" s="113">
        <f t="shared" si="51"/>
        <v>1924</v>
      </c>
      <c r="AC202" s="111">
        <v>0</v>
      </c>
      <c r="AD202" s="111">
        <v>340</v>
      </c>
      <c r="AE202" s="112">
        <v>0</v>
      </c>
      <c r="AF202" s="117">
        <v>932</v>
      </c>
      <c r="AG202" s="111">
        <v>498</v>
      </c>
      <c r="AH202" s="112">
        <v>153</v>
      </c>
      <c r="AI202" s="112">
        <v>0</v>
      </c>
      <c r="AJ202" s="113">
        <f t="shared" si="52"/>
        <v>1923</v>
      </c>
      <c r="AK202" s="112">
        <f t="shared" si="37"/>
        <v>228231</v>
      </c>
      <c r="AL202" s="112">
        <f t="shared" si="37"/>
        <v>219712.34899999999</v>
      </c>
      <c r="AM202" s="112">
        <f t="shared" si="37"/>
        <v>8518.6509999999998</v>
      </c>
      <c r="AN202" s="112">
        <f t="shared" si="36"/>
        <v>318.77999999999997</v>
      </c>
      <c r="AO202" s="192">
        <f t="shared" si="55"/>
        <v>0.96267531141694163</v>
      </c>
      <c r="AP202" s="193">
        <f t="shared" si="56"/>
        <v>2721.7799999999997</v>
      </c>
      <c r="AQ202" s="193">
        <f t="shared" si="57"/>
        <v>3762.2200000000003</v>
      </c>
      <c r="AR202" s="147"/>
      <c r="AS202" s="148"/>
      <c r="AT202" s="119"/>
      <c r="AU202" s="120"/>
      <c r="AV202" s="161"/>
      <c r="AW202" s="112">
        <v>228231000</v>
      </c>
      <c r="AX202" s="162">
        <v>219712349</v>
      </c>
      <c r="AY202" s="162">
        <v>8518651</v>
      </c>
      <c r="AZ202" s="162">
        <v>318780</v>
      </c>
      <c r="BA202" s="196">
        <f t="shared" si="53"/>
        <v>0.96267531141694163</v>
      </c>
      <c r="BB202" s="210" t="s">
        <v>825</v>
      </c>
      <c r="BC202" s="115" t="s">
        <v>825</v>
      </c>
      <c r="BD202" s="236" t="s">
        <v>825</v>
      </c>
    </row>
    <row r="203" spans="1:56" s="121" customFormat="1" ht="14.25" customHeight="1">
      <c r="A203" s="104" t="s">
        <v>2577</v>
      </c>
      <c r="B203" s="105" t="s">
        <v>1197</v>
      </c>
      <c r="C203" s="106" t="s">
        <v>1255</v>
      </c>
      <c r="D203" s="106" t="s">
        <v>2415</v>
      </c>
      <c r="E203" s="71" t="s">
        <v>1256</v>
      </c>
      <c r="F203" s="71" t="s">
        <v>708</v>
      </c>
      <c r="G203" s="109" t="s">
        <v>1207</v>
      </c>
      <c r="H203" s="372">
        <v>5010</v>
      </c>
      <c r="I203" s="111">
        <v>0</v>
      </c>
      <c r="J203" s="112">
        <v>0</v>
      </c>
      <c r="K203" s="113">
        <f t="shared" si="49"/>
        <v>5010</v>
      </c>
      <c r="L203" s="111">
        <v>55</v>
      </c>
      <c r="M203" s="111">
        <v>0</v>
      </c>
      <c r="N203" s="112">
        <v>0</v>
      </c>
      <c r="O203" s="111">
        <v>3589</v>
      </c>
      <c r="P203" s="154">
        <v>3.1401273885350314E-2</v>
      </c>
      <c r="Q203" s="111">
        <v>8477</v>
      </c>
      <c r="R203" s="112">
        <v>3589</v>
      </c>
      <c r="S203" s="111">
        <f t="shared" si="54"/>
        <v>3855</v>
      </c>
      <c r="T203" s="112">
        <v>48</v>
      </c>
      <c r="U203" s="116">
        <v>56</v>
      </c>
      <c r="V203" s="111">
        <v>1487</v>
      </c>
      <c r="W203" s="113">
        <f t="shared" si="50"/>
        <v>9090</v>
      </c>
      <c r="X203" s="111">
        <v>1487</v>
      </c>
      <c r="Y203" s="111">
        <v>0</v>
      </c>
      <c r="Z203" s="116">
        <v>0</v>
      </c>
      <c r="AA203" s="111">
        <v>0</v>
      </c>
      <c r="AB203" s="113">
        <f t="shared" si="51"/>
        <v>1487</v>
      </c>
      <c r="AC203" s="111">
        <v>0</v>
      </c>
      <c r="AD203" s="111">
        <v>262</v>
      </c>
      <c r="AE203" s="112">
        <v>0</v>
      </c>
      <c r="AF203" s="117">
        <v>720</v>
      </c>
      <c r="AG203" s="111">
        <v>385</v>
      </c>
      <c r="AH203" s="112">
        <v>118</v>
      </c>
      <c r="AI203" s="112">
        <v>0</v>
      </c>
      <c r="AJ203" s="113">
        <f t="shared" si="52"/>
        <v>1485</v>
      </c>
      <c r="AK203" s="112">
        <f t="shared" si="37"/>
        <v>156178.00399999999</v>
      </c>
      <c r="AL203" s="112">
        <f t="shared" si="37"/>
        <v>82942.576000000001</v>
      </c>
      <c r="AM203" s="112">
        <f t="shared" si="37"/>
        <v>73235.428</v>
      </c>
      <c r="AN203" s="112">
        <f t="shared" si="37"/>
        <v>206.745</v>
      </c>
      <c r="AO203" s="192">
        <f t="shared" si="55"/>
        <v>0.53107719317503888</v>
      </c>
      <c r="AP203" s="193">
        <f t="shared" si="56"/>
        <v>9296.7450000000008</v>
      </c>
      <c r="AQ203" s="193">
        <f t="shared" si="57"/>
        <v>-4286.7450000000008</v>
      </c>
      <c r="AR203" s="147"/>
      <c r="AS203" s="148"/>
      <c r="AT203" s="119"/>
      <c r="AU203" s="120"/>
      <c r="AV203" s="161"/>
      <c r="AW203" s="112">
        <v>156178004</v>
      </c>
      <c r="AX203" s="162">
        <v>82942576</v>
      </c>
      <c r="AY203" s="162">
        <v>73235428</v>
      </c>
      <c r="AZ203" s="162">
        <v>206745</v>
      </c>
      <c r="BA203" s="196">
        <f t="shared" si="53"/>
        <v>0.53107719317503888</v>
      </c>
      <c r="BB203" s="210" t="s">
        <v>825</v>
      </c>
      <c r="BC203" s="115" t="s">
        <v>825</v>
      </c>
      <c r="BD203" s="236" t="s">
        <v>825</v>
      </c>
    </row>
    <row r="204" spans="1:56" s="121" customFormat="1" ht="14.25" customHeight="1">
      <c r="A204" s="104" t="s">
        <v>2577</v>
      </c>
      <c r="B204" s="105" t="s">
        <v>1198</v>
      </c>
      <c r="C204" s="106" t="s">
        <v>1259</v>
      </c>
      <c r="D204" s="106" t="s">
        <v>2415</v>
      </c>
      <c r="E204" s="71" t="s">
        <v>1260</v>
      </c>
      <c r="F204" s="71" t="s">
        <v>708</v>
      </c>
      <c r="G204" s="109" t="s">
        <v>1207</v>
      </c>
      <c r="H204" s="372">
        <v>8253</v>
      </c>
      <c r="I204" s="111">
        <v>0</v>
      </c>
      <c r="J204" s="112">
        <v>0</v>
      </c>
      <c r="K204" s="113">
        <f t="shared" si="49"/>
        <v>8253</v>
      </c>
      <c r="L204" s="111">
        <v>26</v>
      </c>
      <c r="M204" s="111">
        <v>0</v>
      </c>
      <c r="N204" s="112">
        <v>0</v>
      </c>
      <c r="O204" s="111">
        <v>1177</v>
      </c>
      <c r="P204" s="154">
        <v>5.1719745222929936E-2</v>
      </c>
      <c r="Q204" s="111">
        <v>8477</v>
      </c>
      <c r="R204" s="112">
        <v>1177</v>
      </c>
      <c r="S204" s="111">
        <f t="shared" si="54"/>
        <v>1615</v>
      </c>
      <c r="T204" s="112">
        <v>79</v>
      </c>
      <c r="U204" s="116">
        <v>93</v>
      </c>
      <c r="V204" s="111">
        <v>2449</v>
      </c>
      <c r="W204" s="113">
        <f t="shared" si="50"/>
        <v>5439</v>
      </c>
      <c r="X204" s="111">
        <v>2449</v>
      </c>
      <c r="Y204" s="111">
        <v>0</v>
      </c>
      <c r="Z204" s="116">
        <v>0</v>
      </c>
      <c r="AA204" s="111">
        <v>0</v>
      </c>
      <c r="AB204" s="113">
        <f t="shared" si="51"/>
        <v>2449</v>
      </c>
      <c r="AC204" s="111">
        <v>0</v>
      </c>
      <c r="AD204" s="111">
        <v>433</v>
      </c>
      <c r="AE204" s="112">
        <v>0</v>
      </c>
      <c r="AF204" s="117">
        <v>1187</v>
      </c>
      <c r="AG204" s="111">
        <v>634</v>
      </c>
      <c r="AH204" s="112">
        <v>194</v>
      </c>
      <c r="AI204" s="112">
        <v>0</v>
      </c>
      <c r="AJ204" s="113">
        <f t="shared" si="52"/>
        <v>2448</v>
      </c>
      <c r="AK204" s="112">
        <f t="shared" ref="AK204:AN249" si="58">AW204/1000</f>
        <v>259260.22</v>
      </c>
      <c r="AL204" s="112">
        <f t="shared" si="58"/>
        <v>232350.83100000001</v>
      </c>
      <c r="AM204" s="112">
        <f t="shared" si="58"/>
        <v>26909.388999999999</v>
      </c>
      <c r="AN204" s="112">
        <f t="shared" si="58"/>
        <v>906.59900000000005</v>
      </c>
      <c r="AO204" s="192">
        <f t="shared" si="55"/>
        <v>0.89620702705567401</v>
      </c>
      <c r="AP204" s="193">
        <f t="shared" si="56"/>
        <v>6345.5990000000002</v>
      </c>
      <c r="AQ204" s="193">
        <f t="shared" si="57"/>
        <v>1907.4009999999998</v>
      </c>
      <c r="AR204" s="147"/>
      <c r="AS204" s="148"/>
      <c r="AT204" s="119"/>
      <c r="AU204" s="120"/>
      <c r="AV204" s="161"/>
      <c r="AW204" s="112">
        <v>259260220</v>
      </c>
      <c r="AX204" s="162">
        <v>232350831</v>
      </c>
      <c r="AY204" s="162">
        <v>26909389</v>
      </c>
      <c r="AZ204" s="162">
        <v>906599</v>
      </c>
      <c r="BA204" s="196">
        <f t="shared" si="53"/>
        <v>0.89620702705567401</v>
      </c>
      <c r="BB204" s="210" t="s">
        <v>825</v>
      </c>
      <c r="BC204" s="115" t="s">
        <v>825</v>
      </c>
      <c r="BD204" s="236" t="s">
        <v>825</v>
      </c>
    </row>
    <row r="205" spans="1:56" s="121" customFormat="1" ht="14.25" customHeight="1">
      <c r="A205" s="104" t="s">
        <v>2577</v>
      </c>
      <c r="B205" s="105" t="s">
        <v>1204</v>
      </c>
      <c r="C205" s="106" t="s">
        <v>1264</v>
      </c>
      <c r="D205" s="106" t="s">
        <v>2415</v>
      </c>
      <c r="E205" s="71" t="s">
        <v>1265</v>
      </c>
      <c r="F205" s="71" t="s">
        <v>708</v>
      </c>
      <c r="G205" s="109" t="s">
        <v>1207</v>
      </c>
      <c r="H205" s="372">
        <v>22401</v>
      </c>
      <c r="I205" s="111">
        <v>0</v>
      </c>
      <c r="J205" s="112">
        <v>0</v>
      </c>
      <c r="K205" s="113">
        <f t="shared" si="49"/>
        <v>22401</v>
      </c>
      <c r="L205" s="111">
        <v>127</v>
      </c>
      <c r="M205" s="111">
        <v>0</v>
      </c>
      <c r="N205" s="112">
        <v>0</v>
      </c>
      <c r="O205" s="111">
        <v>537</v>
      </c>
      <c r="P205" s="154">
        <v>0.14038216560509553</v>
      </c>
      <c r="Q205" s="111">
        <v>8477</v>
      </c>
      <c r="R205" s="112">
        <v>537</v>
      </c>
      <c r="S205" s="111">
        <f t="shared" si="54"/>
        <v>1727</v>
      </c>
      <c r="T205" s="112">
        <v>215</v>
      </c>
      <c r="U205" s="116">
        <v>254</v>
      </c>
      <c r="V205" s="111">
        <v>6649</v>
      </c>
      <c r="W205" s="113">
        <f t="shared" si="50"/>
        <v>9509</v>
      </c>
      <c r="X205" s="111">
        <v>6649</v>
      </c>
      <c r="Y205" s="111">
        <v>0</v>
      </c>
      <c r="Z205" s="116">
        <v>0</v>
      </c>
      <c r="AA205" s="111">
        <v>0</v>
      </c>
      <c r="AB205" s="113">
        <f t="shared" si="51"/>
        <v>6649</v>
      </c>
      <c r="AC205" s="111">
        <v>0</v>
      </c>
      <c r="AD205" s="111">
        <v>1175</v>
      </c>
      <c r="AE205" s="112">
        <v>0</v>
      </c>
      <c r="AF205" s="117">
        <v>3222</v>
      </c>
      <c r="AG205" s="111">
        <v>1723</v>
      </c>
      <c r="AH205" s="112">
        <v>529</v>
      </c>
      <c r="AI205" s="112">
        <v>0</v>
      </c>
      <c r="AJ205" s="113">
        <f t="shared" si="52"/>
        <v>6649</v>
      </c>
      <c r="AK205" s="112">
        <f t="shared" si="58"/>
        <v>641224.35</v>
      </c>
      <c r="AL205" s="112">
        <f t="shared" si="58"/>
        <v>600042.14500000002</v>
      </c>
      <c r="AM205" s="112">
        <f t="shared" si="58"/>
        <v>41182.205000000002</v>
      </c>
      <c r="AN205" s="112">
        <f t="shared" si="58"/>
        <v>3048.5709999999999</v>
      </c>
      <c r="AO205" s="192">
        <f t="shared" si="55"/>
        <v>0.93577566884351793</v>
      </c>
      <c r="AP205" s="193">
        <f t="shared" si="56"/>
        <v>12557.571</v>
      </c>
      <c r="AQ205" s="193">
        <f t="shared" si="57"/>
        <v>9843.4290000000001</v>
      </c>
      <c r="AR205" s="147"/>
      <c r="AS205" s="148"/>
      <c r="AT205" s="119"/>
      <c r="AU205" s="120"/>
      <c r="AV205" s="161"/>
      <c r="AW205" s="112">
        <v>641224350</v>
      </c>
      <c r="AX205" s="162">
        <v>600042145</v>
      </c>
      <c r="AY205" s="162">
        <v>41182205</v>
      </c>
      <c r="AZ205" s="162">
        <v>3048571</v>
      </c>
      <c r="BA205" s="196">
        <f t="shared" si="53"/>
        <v>0.93577566884351793</v>
      </c>
      <c r="BB205" s="210" t="s">
        <v>825</v>
      </c>
      <c r="BC205" s="115" t="s">
        <v>825</v>
      </c>
      <c r="BD205" s="236" t="s">
        <v>825</v>
      </c>
    </row>
    <row r="206" spans="1:56" s="121" customFormat="1" ht="14.25" customHeight="1">
      <c r="A206" s="104" t="s">
        <v>2577</v>
      </c>
      <c r="B206" s="105" t="s">
        <v>1216</v>
      </c>
      <c r="C206" s="106" t="s">
        <v>1268</v>
      </c>
      <c r="D206" s="106" t="s">
        <v>2415</v>
      </c>
      <c r="E206" s="71" t="s">
        <v>1269</v>
      </c>
      <c r="F206" s="71" t="s">
        <v>708</v>
      </c>
      <c r="G206" s="109" t="s">
        <v>1207</v>
      </c>
      <c r="H206" s="372">
        <v>21811</v>
      </c>
      <c r="I206" s="111">
        <v>0</v>
      </c>
      <c r="J206" s="112">
        <v>0</v>
      </c>
      <c r="K206" s="113">
        <f t="shared" si="49"/>
        <v>21811</v>
      </c>
      <c r="L206" s="329">
        <v>140</v>
      </c>
      <c r="M206" s="111">
        <v>0</v>
      </c>
      <c r="N206" s="112">
        <v>0</v>
      </c>
      <c r="O206" s="111">
        <v>2058</v>
      </c>
      <c r="P206" s="154">
        <v>0.13668789808917198</v>
      </c>
      <c r="Q206" s="111">
        <v>8477</v>
      </c>
      <c r="R206" s="112">
        <v>2058</v>
      </c>
      <c r="S206" s="111">
        <f t="shared" si="54"/>
        <v>3217</v>
      </c>
      <c r="T206" s="112">
        <v>209</v>
      </c>
      <c r="U206" s="116">
        <v>247</v>
      </c>
      <c r="V206" s="111">
        <v>6474</v>
      </c>
      <c r="W206" s="113">
        <f t="shared" si="50"/>
        <v>12345</v>
      </c>
      <c r="X206" s="111">
        <v>6474</v>
      </c>
      <c r="Y206" s="111">
        <v>0</v>
      </c>
      <c r="Z206" s="116">
        <v>0</v>
      </c>
      <c r="AA206" s="111">
        <v>0</v>
      </c>
      <c r="AB206" s="113">
        <f t="shared" si="51"/>
        <v>6474</v>
      </c>
      <c r="AC206" s="111">
        <v>0</v>
      </c>
      <c r="AD206" s="111">
        <v>1144</v>
      </c>
      <c r="AE206" s="112">
        <v>0</v>
      </c>
      <c r="AF206" s="117">
        <v>3137</v>
      </c>
      <c r="AG206" s="111">
        <v>1678</v>
      </c>
      <c r="AH206" s="112">
        <v>515</v>
      </c>
      <c r="AI206" s="112">
        <v>0</v>
      </c>
      <c r="AJ206" s="113">
        <f t="shared" si="52"/>
        <v>6474</v>
      </c>
      <c r="AK206" s="112">
        <f t="shared" si="58"/>
        <v>762841.38500000001</v>
      </c>
      <c r="AL206" s="112">
        <f t="shared" si="58"/>
        <v>588322.15899999999</v>
      </c>
      <c r="AM206" s="112">
        <f t="shared" si="58"/>
        <v>174519.226</v>
      </c>
      <c r="AN206" s="112">
        <f t="shared" si="58"/>
        <v>9968.7530000000006</v>
      </c>
      <c r="AO206" s="192">
        <f t="shared" si="55"/>
        <v>0.77122475336075269</v>
      </c>
      <c r="AP206" s="193">
        <f t="shared" si="56"/>
        <v>22313.753000000001</v>
      </c>
      <c r="AQ206" s="193">
        <f t="shared" si="57"/>
        <v>-502.75300000000061</v>
      </c>
      <c r="AR206" s="147"/>
      <c r="AS206" s="148"/>
      <c r="AT206" s="119"/>
      <c r="AU206" s="120"/>
      <c r="AV206" s="161"/>
      <c r="AW206" s="112">
        <v>762841385</v>
      </c>
      <c r="AX206" s="162">
        <v>588322159</v>
      </c>
      <c r="AY206" s="162">
        <v>174519226</v>
      </c>
      <c r="AZ206" s="162">
        <v>9968753</v>
      </c>
      <c r="BA206" s="196">
        <f t="shared" si="53"/>
        <v>0.77122475336075269</v>
      </c>
      <c r="BB206" s="210" t="s">
        <v>825</v>
      </c>
      <c r="BC206" s="115" t="s">
        <v>825</v>
      </c>
      <c r="BD206" s="236" t="s">
        <v>825</v>
      </c>
    </row>
    <row r="207" spans="1:56" s="121" customFormat="1" ht="14.25" customHeight="1">
      <c r="A207" s="104" t="s">
        <v>2577</v>
      </c>
      <c r="B207" s="105" t="s">
        <v>1221</v>
      </c>
      <c r="C207" s="106" t="s">
        <v>1271</v>
      </c>
      <c r="D207" s="106" t="s">
        <v>2415</v>
      </c>
      <c r="E207" s="71" t="s">
        <v>1272</v>
      </c>
      <c r="F207" s="71" t="s">
        <v>708</v>
      </c>
      <c r="G207" s="109" t="s">
        <v>1207</v>
      </c>
      <c r="H207" s="372">
        <v>5895</v>
      </c>
      <c r="I207" s="111">
        <v>0</v>
      </c>
      <c r="J207" s="112">
        <v>0</v>
      </c>
      <c r="K207" s="113">
        <f t="shared" si="49"/>
        <v>5895</v>
      </c>
      <c r="L207" s="111">
        <v>4</v>
      </c>
      <c r="M207" s="111">
        <v>0</v>
      </c>
      <c r="N207" s="112">
        <v>0</v>
      </c>
      <c r="O207" s="111">
        <v>0</v>
      </c>
      <c r="P207" s="154">
        <v>3.6942675159235668E-2</v>
      </c>
      <c r="Q207" s="111">
        <v>8477</v>
      </c>
      <c r="R207" s="112">
        <v>0</v>
      </c>
      <c r="S207" s="111">
        <f t="shared" si="54"/>
        <v>313</v>
      </c>
      <c r="T207" s="112">
        <v>56</v>
      </c>
      <c r="U207" s="116">
        <v>66</v>
      </c>
      <c r="V207" s="111">
        <v>1749</v>
      </c>
      <c r="W207" s="113">
        <f t="shared" si="50"/>
        <v>2188</v>
      </c>
      <c r="X207" s="111">
        <v>1749</v>
      </c>
      <c r="Y207" s="111">
        <v>0</v>
      </c>
      <c r="Z207" s="116">
        <v>0</v>
      </c>
      <c r="AA207" s="111">
        <v>0</v>
      </c>
      <c r="AB207" s="113">
        <f t="shared" si="51"/>
        <v>1749</v>
      </c>
      <c r="AC207" s="111">
        <v>0</v>
      </c>
      <c r="AD207" s="111">
        <v>309</v>
      </c>
      <c r="AE207" s="112">
        <v>0</v>
      </c>
      <c r="AF207" s="117">
        <v>847</v>
      </c>
      <c r="AG207" s="111">
        <v>453</v>
      </c>
      <c r="AH207" s="112">
        <v>139</v>
      </c>
      <c r="AI207" s="112">
        <v>0</v>
      </c>
      <c r="AJ207" s="113">
        <f t="shared" si="52"/>
        <v>1748</v>
      </c>
      <c r="AK207" s="112">
        <f t="shared" si="58"/>
        <v>244196.30900000001</v>
      </c>
      <c r="AL207" s="112">
        <f t="shared" si="58"/>
        <v>226926.04199999999</v>
      </c>
      <c r="AM207" s="112">
        <f t="shared" si="58"/>
        <v>17270.267</v>
      </c>
      <c r="AN207" s="112">
        <f t="shared" si="58"/>
        <v>5244.4889999999996</v>
      </c>
      <c r="AO207" s="192">
        <f t="shared" si="55"/>
        <v>0.92927711696084647</v>
      </c>
      <c r="AP207" s="193">
        <f t="shared" si="56"/>
        <v>7432.4889999999996</v>
      </c>
      <c r="AQ207" s="193">
        <f t="shared" si="57"/>
        <v>-1537.4889999999996</v>
      </c>
      <c r="AR207" s="147"/>
      <c r="AS207" s="148"/>
      <c r="AT207" s="119"/>
      <c r="AU207" s="120"/>
      <c r="AV207" s="161"/>
      <c r="AW207" s="112">
        <v>244196309</v>
      </c>
      <c r="AX207" s="162">
        <v>226926042</v>
      </c>
      <c r="AY207" s="162">
        <v>17270267</v>
      </c>
      <c r="AZ207" s="162">
        <v>5244489</v>
      </c>
      <c r="BA207" s="196">
        <f t="shared" si="53"/>
        <v>0.92927711696084647</v>
      </c>
      <c r="BB207" s="210" t="s">
        <v>825</v>
      </c>
      <c r="BC207" s="115" t="s">
        <v>825</v>
      </c>
      <c r="BD207" s="236" t="s">
        <v>825</v>
      </c>
    </row>
    <row r="208" spans="1:56" s="121" customFormat="1" ht="14.25" customHeight="1">
      <c r="A208" s="104" t="s">
        <v>2577</v>
      </c>
      <c r="B208" s="105" t="s">
        <v>1225</v>
      </c>
      <c r="C208" s="106" t="s">
        <v>1275</v>
      </c>
      <c r="D208" s="106" t="s">
        <v>2415</v>
      </c>
      <c r="E208" s="71" t="s">
        <v>1276</v>
      </c>
      <c r="F208" s="71" t="s">
        <v>708</v>
      </c>
      <c r="G208" s="109" t="s">
        <v>1207</v>
      </c>
      <c r="H208" s="372">
        <v>5305</v>
      </c>
      <c r="I208" s="111">
        <v>0</v>
      </c>
      <c r="J208" s="112">
        <v>0</v>
      </c>
      <c r="K208" s="113">
        <f t="shared" si="49"/>
        <v>5305</v>
      </c>
      <c r="L208" s="111">
        <v>0</v>
      </c>
      <c r="M208" s="111">
        <v>0</v>
      </c>
      <c r="N208" s="112">
        <v>0</v>
      </c>
      <c r="O208" s="111">
        <v>0</v>
      </c>
      <c r="P208" s="154">
        <v>3.3248407643312099E-2</v>
      </c>
      <c r="Q208" s="111">
        <v>8477</v>
      </c>
      <c r="R208" s="112">
        <v>0</v>
      </c>
      <c r="S208" s="111">
        <f t="shared" si="54"/>
        <v>282</v>
      </c>
      <c r="T208" s="112">
        <v>51</v>
      </c>
      <c r="U208" s="116">
        <v>60</v>
      </c>
      <c r="V208" s="111">
        <v>1574</v>
      </c>
      <c r="W208" s="113">
        <f t="shared" si="50"/>
        <v>1967</v>
      </c>
      <c r="X208" s="111">
        <v>1574</v>
      </c>
      <c r="Y208" s="111">
        <v>0</v>
      </c>
      <c r="Z208" s="116">
        <v>0</v>
      </c>
      <c r="AA208" s="111">
        <v>0</v>
      </c>
      <c r="AB208" s="113">
        <f t="shared" si="51"/>
        <v>1574</v>
      </c>
      <c r="AC208" s="111">
        <v>0</v>
      </c>
      <c r="AD208" s="111">
        <v>278</v>
      </c>
      <c r="AE208" s="112">
        <v>0</v>
      </c>
      <c r="AF208" s="117">
        <v>763</v>
      </c>
      <c r="AG208" s="111">
        <v>408</v>
      </c>
      <c r="AH208" s="112">
        <v>125</v>
      </c>
      <c r="AI208" s="112">
        <v>0</v>
      </c>
      <c r="AJ208" s="113">
        <f t="shared" si="52"/>
        <v>1574</v>
      </c>
      <c r="AK208" s="112">
        <f t="shared" si="58"/>
        <v>240302.024</v>
      </c>
      <c r="AL208" s="112">
        <f t="shared" si="58"/>
        <v>187270.12</v>
      </c>
      <c r="AM208" s="112">
        <f t="shared" si="58"/>
        <v>53031.904000000002</v>
      </c>
      <c r="AN208" s="112">
        <f t="shared" si="58"/>
        <v>5307.4979999999996</v>
      </c>
      <c r="AO208" s="192">
        <f t="shared" si="55"/>
        <v>0.77931145515445177</v>
      </c>
      <c r="AP208" s="193">
        <f t="shared" si="56"/>
        <v>7274.4979999999996</v>
      </c>
      <c r="AQ208" s="193">
        <f t="shared" si="57"/>
        <v>-1969.4979999999996</v>
      </c>
      <c r="AR208" s="147"/>
      <c r="AS208" s="148"/>
      <c r="AT208" s="119"/>
      <c r="AU208" s="120"/>
      <c r="AV208" s="161"/>
      <c r="AW208" s="112">
        <v>240302024</v>
      </c>
      <c r="AX208" s="162">
        <v>187270120</v>
      </c>
      <c r="AY208" s="162">
        <v>53031904</v>
      </c>
      <c r="AZ208" s="162">
        <v>5307498</v>
      </c>
      <c r="BA208" s="196">
        <f t="shared" si="53"/>
        <v>0.77931145515445177</v>
      </c>
      <c r="BB208" s="210" t="s">
        <v>825</v>
      </c>
      <c r="BC208" s="115" t="s">
        <v>825</v>
      </c>
      <c r="BD208" s="236" t="s">
        <v>825</v>
      </c>
    </row>
    <row r="209" spans="1:56" s="121" customFormat="1" ht="14.25" customHeight="1">
      <c r="A209" s="104" t="s">
        <v>2577</v>
      </c>
      <c r="B209" s="105" t="s">
        <v>1228</v>
      </c>
      <c r="C209" s="106" t="s">
        <v>1279</v>
      </c>
      <c r="D209" s="106" t="s">
        <v>2415</v>
      </c>
      <c r="E209" s="71" t="s">
        <v>1280</v>
      </c>
      <c r="F209" s="71" t="s">
        <v>708</v>
      </c>
      <c r="G209" s="109" t="s">
        <v>1207</v>
      </c>
      <c r="H209" s="372">
        <v>6779</v>
      </c>
      <c r="I209" s="111">
        <v>0</v>
      </c>
      <c r="J209" s="112">
        <v>0</v>
      </c>
      <c r="K209" s="113">
        <f t="shared" si="49"/>
        <v>6779</v>
      </c>
      <c r="L209" s="111">
        <v>0</v>
      </c>
      <c r="M209" s="111">
        <v>0</v>
      </c>
      <c r="N209" s="112">
        <v>0</v>
      </c>
      <c r="O209" s="111">
        <v>0</v>
      </c>
      <c r="P209" s="154">
        <v>4.2484076433121021E-2</v>
      </c>
      <c r="Q209" s="111">
        <v>8477</v>
      </c>
      <c r="R209" s="112">
        <v>0</v>
      </c>
      <c r="S209" s="111">
        <f t="shared" si="54"/>
        <v>360</v>
      </c>
      <c r="T209" s="112">
        <v>65</v>
      </c>
      <c r="U209" s="116">
        <v>76</v>
      </c>
      <c r="V209" s="111">
        <v>2012</v>
      </c>
      <c r="W209" s="113">
        <f t="shared" si="50"/>
        <v>2513</v>
      </c>
      <c r="X209" s="111">
        <v>2012</v>
      </c>
      <c r="Y209" s="111">
        <v>0</v>
      </c>
      <c r="Z209" s="116">
        <v>0</v>
      </c>
      <c r="AA209" s="111">
        <v>0</v>
      </c>
      <c r="AB209" s="113">
        <f t="shared" si="51"/>
        <v>2012</v>
      </c>
      <c r="AC209" s="111">
        <v>0</v>
      </c>
      <c r="AD209" s="111">
        <v>355</v>
      </c>
      <c r="AE209" s="112">
        <v>0</v>
      </c>
      <c r="AF209" s="117">
        <v>975</v>
      </c>
      <c r="AG209" s="111">
        <v>521</v>
      </c>
      <c r="AH209" s="112">
        <v>160</v>
      </c>
      <c r="AI209" s="112">
        <v>0</v>
      </c>
      <c r="AJ209" s="113">
        <f t="shared" si="52"/>
        <v>2011</v>
      </c>
      <c r="AK209" s="112">
        <f t="shared" si="58"/>
        <v>343118.1</v>
      </c>
      <c r="AL209" s="112">
        <f t="shared" si="58"/>
        <v>237001.766</v>
      </c>
      <c r="AM209" s="112">
        <f t="shared" si="58"/>
        <v>106116.334</v>
      </c>
      <c r="AN209" s="112">
        <f t="shared" si="58"/>
        <v>7548.598</v>
      </c>
      <c r="AO209" s="192">
        <f t="shared" si="55"/>
        <v>0.69072941940398946</v>
      </c>
      <c r="AP209" s="193">
        <f t="shared" si="56"/>
        <v>10061.598</v>
      </c>
      <c r="AQ209" s="193">
        <f t="shared" si="57"/>
        <v>-3282.598</v>
      </c>
      <c r="AR209" s="147"/>
      <c r="AS209" s="148"/>
      <c r="AT209" s="119"/>
      <c r="AU209" s="120"/>
      <c r="AV209" s="161"/>
      <c r="AW209" s="112">
        <v>343118100</v>
      </c>
      <c r="AX209" s="162">
        <v>237001766</v>
      </c>
      <c r="AY209" s="162">
        <v>106116334</v>
      </c>
      <c r="AZ209" s="162">
        <v>7548598</v>
      </c>
      <c r="BA209" s="196">
        <f t="shared" si="53"/>
        <v>0.69072941940398946</v>
      </c>
      <c r="BB209" s="210" t="s">
        <v>825</v>
      </c>
      <c r="BC209" s="115" t="s">
        <v>825</v>
      </c>
      <c r="BD209" s="236" t="s">
        <v>825</v>
      </c>
    </row>
    <row r="210" spans="1:56" s="121" customFormat="1" ht="14.25" customHeight="1">
      <c r="A210" s="104" t="s">
        <v>2577</v>
      </c>
      <c r="B210" s="105" t="s">
        <v>1231</v>
      </c>
      <c r="C210" s="106" t="s">
        <v>1283</v>
      </c>
      <c r="D210" s="106" t="s">
        <v>2415</v>
      </c>
      <c r="E210" s="71" t="s">
        <v>1284</v>
      </c>
      <c r="F210" s="71" t="s">
        <v>708</v>
      </c>
      <c r="G210" s="109" t="s">
        <v>1207</v>
      </c>
      <c r="H210" s="372">
        <v>13263</v>
      </c>
      <c r="I210" s="111">
        <v>0</v>
      </c>
      <c r="J210" s="112">
        <v>0</v>
      </c>
      <c r="K210" s="113">
        <f t="shared" si="49"/>
        <v>13263</v>
      </c>
      <c r="L210" s="111">
        <v>35</v>
      </c>
      <c r="M210" s="111">
        <v>0</v>
      </c>
      <c r="N210" s="112">
        <v>0</v>
      </c>
      <c r="O210" s="111">
        <v>870</v>
      </c>
      <c r="P210" s="154">
        <v>8.312101910828025E-2</v>
      </c>
      <c r="Q210" s="111">
        <v>8477</v>
      </c>
      <c r="R210" s="112">
        <v>870</v>
      </c>
      <c r="S210" s="111">
        <f t="shared" si="54"/>
        <v>1575</v>
      </c>
      <c r="T210" s="112">
        <v>127</v>
      </c>
      <c r="U210" s="116">
        <v>150</v>
      </c>
      <c r="V210" s="111">
        <v>3937</v>
      </c>
      <c r="W210" s="113">
        <f t="shared" si="50"/>
        <v>6694</v>
      </c>
      <c r="X210" s="111">
        <v>3937</v>
      </c>
      <c r="Y210" s="111">
        <v>0</v>
      </c>
      <c r="Z210" s="116">
        <v>0</v>
      </c>
      <c r="AA210" s="111">
        <v>0</v>
      </c>
      <c r="AB210" s="113">
        <f t="shared" si="51"/>
        <v>3937</v>
      </c>
      <c r="AC210" s="111">
        <v>0</v>
      </c>
      <c r="AD210" s="111">
        <v>695</v>
      </c>
      <c r="AE210" s="112">
        <v>0</v>
      </c>
      <c r="AF210" s="117">
        <v>1907</v>
      </c>
      <c r="AG210" s="111">
        <v>1020</v>
      </c>
      <c r="AH210" s="112">
        <v>313</v>
      </c>
      <c r="AI210" s="112">
        <v>0</v>
      </c>
      <c r="AJ210" s="113">
        <f t="shared" si="52"/>
        <v>3935</v>
      </c>
      <c r="AK210" s="112">
        <f t="shared" si="58"/>
        <v>1087534.736</v>
      </c>
      <c r="AL210" s="112">
        <f t="shared" si="58"/>
        <v>615384.06400000001</v>
      </c>
      <c r="AM210" s="112">
        <f t="shared" si="58"/>
        <v>472150.67200000002</v>
      </c>
      <c r="AN210" s="112">
        <f t="shared" si="58"/>
        <v>23486.875</v>
      </c>
      <c r="AO210" s="192">
        <f t="shared" si="55"/>
        <v>0.56585232970434518</v>
      </c>
      <c r="AP210" s="193">
        <f t="shared" si="56"/>
        <v>30180.875</v>
      </c>
      <c r="AQ210" s="193">
        <f t="shared" si="57"/>
        <v>-16917.875</v>
      </c>
      <c r="AR210" s="147"/>
      <c r="AS210" s="148"/>
      <c r="AT210" s="119"/>
      <c r="AU210" s="120"/>
      <c r="AV210" s="161"/>
      <c r="AW210" s="112">
        <v>1087534736</v>
      </c>
      <c r="AX210" s="162">
        <v>615384064</v>
      </c>
      <c r="AY210" s="162">
        <v>472150672</v>
      </c>
      <c r="AZ210" s="162">
        <v>23486875</v>
      </c>
      <c r="BA210" s="196">
        <f t="shared" si="53"/>
        <v>0.56585232970434518</v>
      </c>
      <c r="BB210" s="210" t="s">
        <v>825</v>
      </c>
      <c r="BC210" s="115" t="s">
        <v>825</v>
      </c>
      <c r="BD210" s="236" t="s">
        <v>825</v>
      </c>
    </row>
    <row r="211" spans="1:56" s="121" customFormat="1" ht="14.25" customHeight="1">
      <c r="A211" s="104" t="s">
        <v>2577</v>
      </c>
      <c r="B211" s="105" t="s">
        <v>1235</v>
      </c>
      <c r="C211" s="106" t="s">
        <v>1287</v>
      </c>
      <c r="D211" s="106" t="s">
        <v>2415</v>
      </c>
      <c r="E211" s="71" t="s">
        <v>1288</v>
      </c>
      <c r="F211" s="71" t="s">
        <v>708</v>
      </c>
      <c r="G211" s="109" t="s">
        <v>1207</v>
      </c>
      <c r="H211" s="372">
        <v>36549</v>
      </c>
      <c r="I211" s="111">
        <v>0</v>
      </c>
      <c r="J211" s="112">
        <v>0</v>
      </c>
      <c r="K211" s="113">
        <f t="shared" si="49"/>
        <v>36549</v>
      </c>
      <c r="L211" s="111">
        <v>6</v>
      </c>
      <c r="M211" s="111">
        <v>0</v>
      </c>
      <c r="N211" s="112">
        <v>0</v>
      </c>
      <c r="O211" s="111">
        <v>5316</v>
      </c>
      <c r="P211" s="154">
        <v>0.22904458598726113</v>
      </c>
      <c r="Q211" s="111">
        <v>8477</v>
      </c>
      <c r="R211" s="112">
        <v>5316</v>
      </c>
      <c r="S211" s="111">
        <f t="shared" si="54"/>
        <v>7258</v>
      </c>
      <c r="T211" s="112">
        <v>351</v>
      </c>
      <c r="U211" s="116">
        <v>414</v>
      </c>
      <c r="V211" s="111">
        <v>10849</v>
      </c>
      <c r="W211" s="113">
        <f t="shared" si="50"/>
        <v>24194</v>
      </c>
      <c r="X211" s="111">
        <v>10849</v>
      </c>
      <c r="Y211" s="111">
        <v>0</v>
      </c>
      <c r="Z211" s="116">
        <v>0</v>
      </c>
      <c r="AA211" s="111">
        <v>0</v>
      </c>
      <c r="AB211" s="113">
        <f t="shared" si="51"/>
        <v>10849</v>
      </c>
      <c r="AC211" s="111">
        <v>0</v>
      </c>
      <c r="AD211" s="111">
        <v>1917</v>
      </c>
      <c r="AE211" s="112">
        <v>0</v>
      </c>
      <c r="AF211" s="117">
        <v>5256</v>
      </c>
      <c r="AG211" s="111">
        <v>2811</v>
      </c>
      <c r="AH211" s="112">
        <v>863</v>
      </c>
      <c r="AI211" s="112">
        <v>0</v>
      </c>
      <c r="AJ211" s="113">
        <f t="shared" si="52"/>
        <v>10847</v>
      </c>
      <c r="AK211" s="112">
        <f t="shared" si="58"/>
        <v>2173352.2990000001</v>
      </c>
      <c r="AL211" s="112">
        <f t="shared" si="58"/>
        <v>1157491.8030000001</v>
      </c>
      <c r="AM211" s="112">
        <f t="shared" si="58"/>
        <v>1015860.496</v>
      </c>
      <c r="AN211" s="112">
        <f t="shared" si="58"/>
        <v>48111.576000000001</v>
      </c>
      <c r="AO211" s="192">
        <f t="shared" si="55"/>
        <v>0.53258360530530813</v>
      </c>
      <c r="AP211" s="193">
        <f t="shared" si="56"/>
        <v>72305.576000000001</v>
      </c>
      <c r="AQ211" s="193">
        <f t="shared" si="57"/>
        <v>-35756.576000000001</v>
      </c>
      <c r="AR211" s="147"/>
      <c r="AS211" s="148"/>
      <c r="AT211" s="119"/>
      <c r="AU211" s="120"/>
      <c r="AV211" s="161"/>
      <c r="AW211" s="112">
        <v>2173352299</v>
      </c>
      <c r="AX211" s="162">
        <v>1157491803</v>
      </c>
      <c r="AY211" s="162">
        <v>1015860496</v>
      </c>
      <c r="AZ211" s="162">
        <v>48111576</v>
      </c>
      <c r="BA211" s="196">
        <f t="shared" si="53"/>
        <v>0.53258360530530813</v>
      </c>
      <c r="BB211" s="210" t="s">
        <v>825</v>
      </c>
      <c r="BC211" s="115" t="s">
        <v>825</v>
      </c>
      <c r="BD211" s="236" t="s">
        <v>825</v>
      </c>
    </row>
    <row r="212" spans="1:56" s="121" customFormat="1" ht="14.25" customHeight="1">
      <c r="A212" s="104" t="s">
        <v>2577</v>
      </c>
      <c r="B212" s="105" t="s">
        <v>148</v>
      </c>
      <c r="C212" s="106" t="s">
        <v>1291</v>
      </c>
      <c r="D212" s="106" t="s">
        <v>2415</v>
      </c>
      <c r="E212" s="71" t="s">
        <v>1292</v>
      </c>
      <c r="F212" s="71" t="s">
        <v>708</v>
      </c>
      <c r="G212" s="109" t="s">
        <v>1207</v>
      </c>
      <c r="H212" s="372">
        <v>17685</v>
      </c>
      <c r="I212" s="111">
        <v>0</v>
      </c>
      <c r="J212" s="112">
        <v>0</v>
      </c>
      <c r="K212" s="113">
        <f t="shared" si="49"/>
        <v>17685</v>
      </c>
      <c r="L212" s="111">
        <v>0</v>
      </c>
      <c r="M212" s="111">
        <v>0</v>
      </c>
      <c r="N212" s="112">
        <v>0</v>
      </c>
      <c r="O212" s="111">
        <v>2033</v>
      </c>
      <c r="P212" s="154">
        <v>0.110828025477707</v>
      </c>
      <c r="Q212" s="111">
        <v>8477</v>
      </c>
      <c r="R212" s="112">
        <v>2033</v>
      </c>
      <c r="S212" s="111">
        <f t="shared" si="54"/>
        <v>2972</v>
      </c>
      <c r="T212" s="112">
        <v>170</v>
      </c>
      <c r="U212" s="116">
        <v>200</v>
      </c>
      <c r="V212" s="111">
        <v>5249</v>
      </c>
      <c r="W212" s="113">
        <f t="shared" si="50"/>
        <v>10624</v>
      </c>
      <c r="X212" s="111">
        <v>5249</v>
      </c>
      <c r="Y212" s="111">
        <v>0</v>
      </c>
      <c r="Z212" s="116">
        <v>0</v>
      </c>
      <c r="AA212" s="111">
        <v>0</v>
      </c>
      <c r="AB212" s="113">
        <f t="shared" si="51"/>
        <v>5249</v>
      </c>
      <c r="AC212" s="111">
        <v>0</v>
      </c>
      <c r="AD212" s="111">
        <v>927</v>
      </c>
      <c r="AE212" s="112">
        <v>0</v>
      </c>
      <c r="AF212" s="117">
        <v>2543</v>
      </c>
      <c r="AG212" s="111">
        <v>1360</v>
      </c>
      <c r="AH212" s="112">
        <v>417</v>
      </c>
      <c r="AI212" s="112">
        <v>0</v>
      </c>
      <c r="AJ212" s="113">
        <f t="shared" si="52"/>
        <v>5247</v>
      </c>
      <c r="AK212" s="112">
        <f t="shared" si="58"/>
        <v>1217507.662</v>
      </c>
      <c r="AL212" s="112">
        <f t="shared" si="58"/>
        <v>558399.36100000003</v>
      </c>
      <c r="AM212" s="112">
        <f t="shared" si="58"/>
        <v>541462.98699999996</v>
      </c>
      <c r="AN212" s="112">
        <f t="shared" si="58"/>
        <v>27261.557000000001</v>
      </c>
      <c r="AO212" s="192">
        <f t="shared" si="55"/>
        <v>0.45864135268168849</v>
      </c>
      <c r="AP212" s="193">
        <f t="shared" si="56"/>
        <v>37885.557000000001</v>
      </c>
      <c r="AQ212" s="193">
        <f t="shared" si="57"/>
        <v>-20200.557000000001</v>
      </c>
      <c r="AR212" s="147"/>
      <c r="AS212" s="148"/>
      <c r="AT212" s="119"/>
      <c r="AU212" s="120"/>
      <c r="AV212" s="161"/>
      <c r="AW212" s="112">
        <v>1217507662</v>
      </c>
      <c r="AX212" s="162">
        <v>558399361</v>
      </c>
      <c r="AY212" s="162">
        <v>541462987</v>
      </c>
      <c r="AZ212" s="162">
        <v>27261557</v>
      </c>
      <c r="BA212" s="196">
        <f t="shared" si="53"/>
        <v>0.45864135268168849</v>
      </c>
      <c r="BB212" s="210" t="s">
        <v>825</v>
      </c>
      <c r="BC212" s="115" t="s">
        <v>825</v>
      </c>
      <c r="BD212" s="236" t="s">
        <v>825</v>
      </c>
    </row>
    <row r="213" spans="1:56" s="121" customFormat="1" ht="14.25" customHeight="1">
      <c r="A213" s="104" t="s">
        <v>2577</v>
      </c>
      <c r="B213" s="105" t="s">
        <v>1241</v>
      </c>
      <c r="C213" s="106" t="s">
        <v>1295</v>
      </c>
      <c r="D213" s="106" t="s">
        <v>2415</v>
      </c>
      <c r="E213" s="71" t="s">
        <v>1296</v>
      </c>
      <c r="F213" s="71" t="s">
        <v>708</v>
      </c>
      <c r="G213" s="109" t="s">
        <v>1207</v>
      </c>
      <c r="H213" s="372">
        <v>13263</v>
      </c>
      <c r="I213" s="111">
        <v>0</v>
      </c>
      <c r="J213" s="112">
        <v>0</v>
      </c>
      <c r="K213" s="113">
        <f t="shared" si="49"/>
        <v>13263</v>
      </c>
      <c r="L213" s="111">
        <v>0</v>
      </c>
      <c r="M213" s="111">
        <v>0</v>
      </c>
      <c r="N213" s="112">
        <v>0</v>
      </c>
      <c r="O213" s="111">
        <v>1750</v>
      </c>
      <c r="P213" s="154">
        <v>8.312101910828025E-2</v>
      </c>
      <c r="Q213" s="111">
        <v>8477</v>
      </c>
      <c r="R213" s="112">
        <v>1750</v>
      </c>
      <c r="S213" s="111">
        <f t="shared" si="54"/>
        <v>2455</v>
      </c>
      <c r="T213" s="112">
        <v>127</v>
      </c>
      <c r="U213" s="116">
        <v>150</v>
      </c>
      <c r="V213" s="111">
        <v>3937</v>
      </c>
      <c r="W213" s="113">
        <f t="shared" si="50"/>
        <v>8419</v>
      </c>
      <c r="X213" s="111">
        <v>3937</v>
      </c>
      <c r="Y213" s="111">
        <v>0</v>
      </c>
      <c r="Z213" s="116">
        <v>0</v>
      </c>
      <c r="AA213" s="111">
        <v>0</v>
      </c>
      <c r="AB213" s="113">
        <f t="shared" si="51"/>
        <v>3937</v>
      </c>
      <c r="AC213" s="111">
        <v>0</v>
      </c>
      <c r="AD213" s="111">
        <v>695</v>
      </c>
      <c r="AE213" s="112">
        <v>0</v>
      </c>
      <c r="AF213" s="117">
        <v>1907</v>
      </c>
      <c r="AG213" s="111">
        <v>1020</v>
      </c>
      <c r="AH213" s="112">
        <v>313</v>
      </c>
      <c r="AI213" s="112">
        <v>0</v>
      </c>
      <c r="AJ213" s="113">
        <f t="shared" si="52"/>
        <v>3935</v>
      </c>
      <c r="AK213" s="112">
        <f t="shared" si="58"/>
        <v>913790.09600000002</v>
      </c>
      <c r="AL213" s="112">
        <f t="shared" si="58"/>
        <v>397711.31800000003</v>
      </c>
      <c r="AM213" s="112">
        <f t="shared" si="58"/>
        <v>516078.77799999999</v>
      </c>
      <c r="AN213" s="112">
        <f t="shared" si="58"/>
        <v>17986.741999999998</v>
      </c>
      <c r="AO213" s="192">
        <f t="shared" si="55"/>
        <v>0.43523268608505472</v>
      </c>
      <c r="AP213" s="193">
        <f t="shared" si="56"/>
        <v>26405.741999999998</v>
      </c>
      <c r="AQ213" s="193">
        <f t="shared" si="57"/>
        <v>-13142.741999999998</v>
      </c>
      <c r="AR213" s="147"/>
      <c r="AS213" s="148"/>
      <c r="AT213" s="119"/>
      <c r="AU213" s="120"/>
      <c r="AV213" s="161"/>
      <c r="AW213" s="112">
        <v>913790096</v>
      </c>
      <c r="AX213" s="162">
        <v>397711318</v>
      </c>
      <c r="AY213" s="162">
        <v>516078778</v>
      </c>
      <c r="AZ213" s="162">
        <v>17986742</v>
      </c>
      <c r="BA213" s="196">
        <f t="shared" si="53"/>
        <v>0.43523268608505472</v>
      </c>
      <c r="BB213" s="210" t="s">
        <v>825</v>
      </c>
      <c r="BC213" s="115" t="s">
        <v>825</v>
      </c>
      <c r="BD213" s="236" t="s">
        <v>825</v>
      </c>
    </row>
    <row r="214" spans="1:56" s="121" customFormat="1" ht="14.25" customHeight="1">
      <c r="A214" s="104" t="s">
        <v>2577</v>
      </c>
      <c r="B214" s="105" t="s">
        <v>1245</v>
      </c>
      <c r="C214" s="106" t="s">
        <v>1299</v>
      </c>
      <c r="D214" s="106" t="s">
        <v>2415</v>
      </c>
      <c r="E214" s="71" t="s">
        <v>1300</v>
      </c>
      <c r="F214" s="71" t="s">
        <v>708</v>
      </c>
      <c r="G214" s="109" t="s">
        <v>1207</v>
      </c>
      <c r="H214" s="372">
        <v>9137</v>
      </c>
      <c r="I214" s="111">
        <v>0</v>
      </c>
      <c r="J214" s="112">
        <v>0</v>
      </c>
      <c r="K214" s="113">
        <f t="shared" si="49"/>
        <v>9137</v>
      </c>
      <c r="L214" s="111">
        <v>0</v>
      </c>
      <c r="M214" s="111">
        <v>0</v>
      </c>
      <c r="N214" s="112">
        <v>0</v>
      </c>
      <c r="O214" s="111">
        <v>1007</v>
      </c>
      <c r="P214" s="154">
        <v>5.7261146496815282E-2</v>
      </c>
      <c r="Q214" s="111">
        <v>8477</v>
      </c>
      <c r="R214" s="112">
        <v>1007</v>
      </c>
      <c r="S214" s="111">
        <f t="shared" si="54"/>
        <v>1492</v>
      </c>
      <c r="T214" s="112">
        <v>87</v>
      </c>
      <c r="U214" s="116">
        <v>103</v>
      </c>
      <c r="V214" s="111">
        <v>2712</v>
      </c>
      <c r="W214" s="113">
        <f t="shared" si="50"/>
        <v>5401</v>
      </c>
      <c r="X214" s="111">
        <v>2712</v>
      </c>
      <c r="Y214" s="111">
        <v>0</v>
      </c>
      <c r="Z214" s="116">
        <v>0</v>
      </c>
      <c r="AA214" s="111">
        <v>0</v>
      </c>
      <c r="AB214" s="113">
        <f t="shared" si="51"/>
        <v>2712</v>
      </c>
      <c r="AC214" s="111">
        <v>0</v>
      </c>
      <c r="AD214" s="111">
        <v>479</v>
      </c>
      <c r="AE214" s="112">
        <v>0</v>
      </c>
      <c r="AF214" s="117">
        <v>1314</v>
      </c>
      <c r="AG214" s="111">
        <v>702</v>
      </c>
      <c r="AH214" s="112">
        <v>215</v>
      </c>
      <c r="AI214" s="112">
        <v>0</v>
      </c>
      <c r="AJ214" s="113">
        <f t="shared" si="52"/>
        <v>2710</v>
      </c>
      <c r="AK214" s="112">
        <f t="shared" si="58"/>
        <v>523972</v>
      </c>
      <c r="AL214" s="112">
        <f t="shared" si="58"/>
        <v>232701.68</v>
      </c>
      <c r="AM214" s="112">
        <f t="shared" si="58"/>
        <v>291270.32</v>
      </c>
      <c r="AN214" s="112">
        <f t="shared" si="58"/>
        <v>11635.084000000001</v>
      </c>
      <c r="AO214" s="192">
        <f t="shared" si="55"/>
        <v>0.44411090668967046</v>
      </c>
      <c r="AP214" s="193">
        <f t="shared" si="56"/>
        <v>17036.084000000003</v>
      </c>
      <c r="AQ214" s="193">
        <f t="shared" si="57"/>
        <v>-7899.0840000000026</v>
      </c>
      <c r="AR214" s="147"/>
      <c r="AS214" s="148"/>
      <c r="AT214" s="119"/>
      <c r="AU214" s="120"/>
      <c r="AV214" s="161"/>
      <c r="AW214" s="112">
        <v>523972000</v>
      </c>
      <c r="AX214" s="162">
        <v>232701680</v>
      </c>
      <c r="AY214" s="162">
        <v>291270320</v>
      </c>
      <c r="AZ214" s="162">
        <v>11635084</v>
      </c>
      <c r="BA214" s="196">
        <f t="shared" si="53"/>
        <v>0.44411090668967046</v>
      </c>
      <c r="BB214" s="210" t="s">
        <v>825</v>
      </c>
      <c r="BC214" s="115" t="s">
        <v>825</v>
      </c>
      <c r="BD214" s="236" t="s">
        <v>825</v>
      </c>
    </row>
    <row r="215" spans="1:56" s="121" customFormat="1" ht="14.25" customHeight="1">
      <c r="A215" s="104" t="s">
        <v>2577</v>
      </c>
      <c r="B215" s="105" t="s">
        <v>1249</v>
      </c>
      <c r="C215" s="106" t="s">
        <v>1304</v>
      </c>
      <c r="D215" s="106" t="s">
        <v>2415</v>
      </c>
      <c r="E215" s="71" t="s">
        <v>1305</v>
      </c>
      <c r="F215" s="71" t="s">
        <v>708</v>
      </c>
      <c r="G215" s="109" t="s">
        <v>1207</v>
      </c>
      <c r="H215" s="372">
        <v>27117</v>
      </c>
      <c r="I215" s="111">
        <v>0</v>
      </c>
      <c r="J215" s="112">
        <v>0</v>
      </c>
      <c r="K215" s="113">
        <f t="shared" si="49"/>
        <v>27117</v>
      </c>
      <c r="L215" s="111">
        <v>34</v>
      </c>
      <c r="M215" s="111">
        <v>0</v>
      </c>
      <c r="N215" s="112">
        <v>0</v>
      </c>
      <c r="O215" s="111">
        <v>664</v>
      </c>
      <c r="P215" s="154">
        <v>0.16993630573248408</v>
      </c>
      <c r="Q215" s="111">
        <v>8477</v>
      </c>
      <c r="R215" s="112">
        <v>664</v>
      </c>
      <c r="S215" s="111">
        <f t="shared" si="54"/>
        <v>2105</v>
      </c>
      <c r="T215" s="112">
        <v>260</v>
      </c>
      <c r="U215" s="116">
        <v>307</v>
      </c>
      <c r="V215" s="111">
        <v>8049</v>
      </c>
      <c r="W215" s="113">
        <f t="shared" si="50"/>
        <v>11419</v>
      </c>
      <c r="X215" s="111">
        <v>8049</v>
      </c>
      <c r="Y215" s="111">
        <v>0</v>
      </c>
      <c r="Z215" s="116">
        <v>0</v>
      </c>
      <c r="AA215" s="111">
        <v>0</v>
      </c>
      <c r="AB215" s="113">
        <f t="shared" si="51"/>
        <v>8049</v>
      </c>
      <c r="AC215" s="111">
        <v>0</v>
      </c>
      <c r="AD215" s="111">
        <v>1422</v>
      </c>
      <c r="AE215" s="112">
        <v>0</v>
      </c>
      <c r="AF215" s="117">
        <v>3900</v>
      </c>
      <c r="AG215" s="111">
        <v>2086</v>
      </c>
      <c r="AH215" s="112">
        <v>640</v>
      </c>
      <c r="AI215" s="112">
        <v>0</v>
      </c>
      <c r="AJ215" s="113">
        <f t="shared" si="52"/>
        <v>8048</v>
      </c>
      <c r="AK215" s="112">
        <f t="shared" si="58"/>
        <v>1273503</v>
      </c>
      <c r="AL215" s="112">
        <f t="shared" si="58"/>
        <v>437071.08100000001</v>
      </c>
      <c r="AM215" s="112">
        <f t="shared" si="58"/>
        <v>836431.91899999999</v>
      </c>
      <c r="AN215" s="112">
        <f t="shared" si="58"/>
        <v>28107.362000000001</v>
      </c>
      <c r="AO215" s="192">
        <f t="shared" si="55"/>
        <v>0.34320380949240009</v>
      </c>
      <c r="AP215" s="193">
        <f t="shared" si="56"/>
        <v>39526.362000000001</v>
      </c>
      <c r="AQ215" s="193">
        <f t="shared" si="57"/>
        <v>-12409.362000000001</v>
      </c>
      <c r="AR215" s="147"/>
      <c r="AS215" s="148"/>
      <c r="AT215" s="119"/>
      <c r="AU215" s="120"/>
      <c r="AV215" s="161"/>
      <c r="AW215" s="112">
        <v>1273503000</v>
      </c>
      <c r="AX215" s="162">
        <v>437071081</v>
      </c>
      <c r="AY215" s="162">
        <v>836431919</v>
      </c>
      <c r="AZ215" s="162">
        <v>28107362</v>
      </c>
      <c r="BA215" s="196">
        <f t="shared" si="53"/>
        <v>0.34320380949240009</v>
      </c>
      <c r="BB215" s="210" t="s">
        <v>825</v>
      </c>
      <c r="BC215" s="115" t="s">
        <v>825</v>
      </c>
      <c r="BD215" s="236" t="s">
        <v>825</v>
      </c>
    </row>
    <row r="216" spans="1:56" s="121" customFormat="1" ht="14.25" customHeight="1">
      <c r="A216" s="104" t="s">
        <v>2577</v>
      </c>
      <c r="B216" s="105" t="s">
        <v>1252</v>
      </c>
      <c r="C216" s="106" t="s">
        <v>1308</v>
      </c>
      <c r="D216" s="106" t="s">
        <v>2415</v>
      </c>
      <c r="E216" s="71" t="s">
        <v>1309</v>
      </c>
      <c r="F216" s="71" t="s">
        <v>708</v>
      </c>
      <c r="G216" s="109" t="s">
        <v>1207</v>
      </c>
      <c r="H216" s="372">
        <v>13558</v>
      </c>
      <c r="I216" s="111">
        <v>0</v>
      </c>
      <c r="J216" s="112">
        <v>0</v>
      </c>
      <c r="K216" s="113">
        <f t="shared" si="49"/>
        <v>13558</v>
      </c>
      <c r="L216" s="111">
        <v>0</v>
      </c>
      <c r="M216" s="111">
        <v>0</v>
      </c>
      <c r="N216" s="112">
        <v>0</v>
      </c>
      <c r="O216" s="111">
        <v>125</v>
      </c>
      <c r="P216" s="154">
        <v>8.4968152866242042E-2</v>
      </c>
      <c r="Q216" s="111">
        <v>8477</v>
      </c>
      <c r="R216" s="112">
        <v>125</v>
      </c>
      <c r="S216" s="111">
        <f t="shared" si="54"/>
        <v>845</v>
      </c>
      <c r="T216" s="112">
        <v>130</v>
      </c>
      <c r="U216" s="116">
        <v>153</v>
      </c>
      <c r="V216" s="111">
        <v>4024</v>
      </c>
      <c r="W216" s="113">
        <f t="shared" si="50"/>
        <v>5277</v>
      </c>
      <c r="X216" s="111">
        <v>4024</v>
      </c>
      <c r="Y216" s="111">
        <v>0</v>
      </c>
      <c r="Z216" s="116">
        <v>0</v>
      </c>
      <c r="AA216" s="111">
        <v>0</v>
      </c>
      <c r="AB216" s="113">
        <f t="shared" si="51"/>
        <v>4024</v>
      </c>
      <c r="AC216" s="111">
        <v>0</v>
      </c>
      <c r="AD216" s="111">
        <v>711</v>
      </c>
      <c r="AE216" s="112">
        <v>0</v>
      </c>
      <c r="AF216" s="117">
        <v>1950</v>
      </c>
      <c r="AG216" s="111">
        <v>1043</v>
      </c>
      <c r="AH216" s="112">
        <v>320</v>
      </c>
      <c r="AI216" s="112">
        <v>0</v>
      </c>
      <c r="AJ216" s="113">
        <f t="shared" si="52"/>
        <v>4024</v>
      </c>
      <c r="AK216" s="112">
        <f t="shared" si="58"/>
        <v>636969.01899999997</v>
      </c>
      <c r="AL216" s="112">
        <f t="shared" si="58"/>
        <v>552567.22600000002</v>
      </c>
      <c r="AM216" s="112">
        <f t="shared" si="58"/>
        <v>84401.793000000005</v>
      </c>
      <c r="AN216" s="112">
        <f t="shared" si="58"/>
        <v>2299.1909999999998</v>
      </c>
      <c r="AO216" s="192">
        <f t="shared" si="55"/>
        <v>0.86749466538811359</v>
      </c>
      <c r="AP216" s="193">
        <f t="shared" si="56"/>
        <v>7576.1909999999998</v>
      </c>
      <c r="AQ216" s="193">
        <f t="shared" si="57"/>
        <v>5981.8090000000002</v>
      </c>
      <c r="AR216" s="147"/>
      <c r="AS216" s="148"/>
      <c r="AT216" s="119"/>
      <c r="AU216" s="120"/>
      <c r="AV216" s="161"/>
      <c r="AW216" s="112">
        <v>636969019</v>
      </c>
      <c r="AX216" s="162">
        <v>552567226</v>
      </c>
      <c r="AY216" s="162">
        <v>84401793</v>
      </c>
      <c r="AZ216" s="162">
        <v>2299191</v>
      </c>
      <c r="BA216" s="196">
        <f t="shared" si="53"/>
        <v>0.86749466538811359</v>
      </c>
      <c r="BB216" s="210" t="s">
        <v>825</v>
      </c>
      <c r="BC216" s="115" t="s">
        <v>825</v>
      </c>
      <c r="BD216" s="236" t="s">
        <v>825</v>
      </c>
    </row>
    <row r="217" spans="1:56" s="121" customFormat="1" ht="14.25" customHeight="1">
      <c r="A217" s="104" t="s">
        <v>2500</v>
      </c>
      <c r="B217" s="105" t="s">
        <v>1253</v>
      </c>
      <c r="C217" s="106" t="s">
        <v>2603</v>
      </c>
      <c r="D217" s="106" t="s">
        <v>2415</v>
      </c>
      <c r="E217" s="71" t="s">
        <v>2590</v>
      </c>
      <c r="F217" s="71" t="s">
        <v>2518</v>
      </c>
      <c r="G217" s="109" t="s">
        <v>1207</v>
      </c>
      <c r="H217" s="372">
        <v>7663</v>
      </c>
      <c r="I217" s="111">
        <v>0</v>
      </c>
      <c r="J217" s="112">
        <v>0</v>
      </c>
      <c r="K217" s="113">
        <f t="shared" si="49"/>
        <v>7663</v>
      </c>
      <c r="L217" s="111">
        <v>0</v>
      </c>
      <c r="M217" s="111">
        <v>0</v>
      </c>
      <c r="N217" s="112">
        <v>0</v>
      </c>
      <c r="O217" s="111">
        <v>0</v>
      </c>
      <c r="P217" s="154">
        <v>4.8025477707006367E-2</v>
      </c>
      <c r="Q217" s="111">
        <v>8477</v>
      </c>
      <c r="R217" s="112">
        <v>0</v>
      </c>
      <c r="S217" s="111">
        <f t="shared" si="54"/>
        <v>407</v>
      </c>
      <c r="T217" s="112">
        <v>73</v>
      </c>
      <c r="U217" s="116">
        <v>86</v>
      </c>
      <c r="V217" s="111">
        <v>2274</v>
      </c>
      <c r="W217" s="113">
        <f t="shared" si="50"/>
        <v>2840</v>
      </c>
      <c r="X217" s="111">
        <v>2274</v>
      </c>
      <c r="Y217" s="111">
        <v>0</v>
      </c>
      <c r="Z217" s="116">
        <v>0</v>
      </c>
      <c r="AA217" s="111">
        <v>0</v>
      </c>
      <c r="AB217" s="113">
        <f t="shared" si="51"/>
        <v>2274</v>
      </c>
      <c r="AC217" s="111">
        <v>0</v>
      </c>
      <c r="AD217" s="111">
        <v>402</v>
      </c>
      <c r="AE217" s="112">
        <v>0</v>
      </c>
      <c r="AF217" s="117">
        <v>1102</v>
      </c>
      <c r="AG217" s="111">
        <v>589</v>
      </c>
      <c r="AH217" s="112">
        <v>180</v>
      </c>
      <c r="AI217" s="112">
        <v>0</v>
      </c>
      <c r="AJ217" s="113"/>
      <c r="AK217" s="112">
        <f t="shared" si="58"/>
        <v>93832.290999999997</v>
      </c>
      <c r="AL217" s="112">
        <f t="shared" si="58"/>
        <v>13900.169</v>
      </c>
      <c r="AM217" s="112">
        <f t="shared" si="58"/>
        <v>79932.122000000003</v>
      </c>
      <c r="AN217" s="112">
        <f t="shared" si="58"/>
        <v>0</v>
      </c>
      <c r="AO217" s="192">
        <f t="shared" si="55"/>
        <v>0</v>
      </c>
      <c r="AP217" s="193">
        <f t="shared" si="56"/>
        <v>2840</v>
      </c>
      <c r="AQ217" s="193">
        <f t="shared" si="57"/>
        <v>4823</v>
      </c>
      <c r="AR217" s="147"/>
      <c r="AS217" s="148"/>
      <c r="AT217" s="119"/>
      <c r="AU217" s="120"/>
      <c r="AV217" s="161"/>
      <c r="AW217" s="112">
        <v>93832291</v>
      </c>
      <c r="AX217" s="162">
        <v>13900169</v>
      </c>
      <c r="AY217" s="162">
        <v>79932122</v>
      </c>
      <c r="AZ217" s="162"/>
      <c r="BA217" s="196"/>
      <c r="BB217" s="210" t="s">
        <v>825</v>
      </c>
      <c r="BC217" s="115" t="s">
        <v>825</v>
      </c>
      <c r="BD217" s="236" t="s">
        <v>825</v>
      </c>
    </row>
    <row r="218" spans="1:56" s="121" customFormat="1" ht="14.25" customHeight="1">
      <c r="A218" s="521" t="s">
        <v>2577</v>
      </c>
      <c r="B218" s="105" t="s">
        <v>1254</v>
      </c>
      <c r="C218" s="106" t="s">
        <v>1312</v>
      </c>
      <c r="D218" s="106" t="s">
        <v>2415</v>
      </c>
      <c r="E218" s="71" t="s">
        <v>1313</v>
      </c>
      <c r="F218" s="71" t="s">
        <v>2473</v>
      </c>
      <c r="G218" s="109" t="s">
        <v>2467</v>
      </c>
      <c r="H218" s="112"/>
      <c r="I218" s="112"/>
      <c r="J218" s="112"/>
      <c r="K218" s="113">
        <v>0</v>
      </c>
      <c r="L218" s="111">
        <v>1385</v>
      </c>
      <c r="M218" s="111">
        <v>24</v>
      </c>
      <c r="N218" s="112"/>
      <c r="O218" s="111">
        <v>318</v>
      </c>
      <c r="P218" s="114"/>
      <c r="Q218" s="111">
        <v>8477</v>
      </c>
      <c r="R218" s="112"/>
      <c r="S218" s="111">
        <f t="shared" si="54"/>
        <v>0</v>
      </c>
      <c r="T218" s="112">
        <v>248</v>
      </c>
      <c r="U218" s="116"/>
      <c r="V218" s="112"/>
      <c r="W218" s="113">
        <v>1975</v>
      </c>
      <c r="X218" s="111"/>
      <c r="Y218" s="111"/>
      <c r="Z218" s="117"/>
      <c r="AA218" s="111"/>
      <c r="AB218" s="113">
        <v>0</v>
      </c>
      <c r="AC218" s="111"/>
      <c r="AD218" s="111"/>
      <c r="AE218" s="111"/>
      <c r="AF218" s="117"/>
      <c r="AG218" s="111"/>
      <c r="AH218" s="111"/>
      <c r="AI218" s="111"/>
      <c r="AJ218" s="113">
        <v>0</v>
      </c>
      <c r="AK218" s="112">
        <f t="shared" si="58"/>
        <v>197571.14600000001</v>
      </c>
      <c r="AL218" s="112" t="e">
        <f t="shared" si="58"/>
        <v>#REF!</v>
      </c>
      <c r="AM218" s="112" t="e">
        <f t="shared" si="58"/>
        <v>#REF!</v>
      </c>
      <c r="AN218" s="112">
        <f t="shared" si="58"/>
        <v>5890.32</v>
      </c>
      <c r="AO218" s="192" t="e">
        <f t="shared" si="55"/>
        <v>#REF!</v>
      </c>
      <c r="AP218" s="193">
        <f t="shared" si="56"/>
        <v>7865.32</v>
      </c>
      <c r="AQ218" s="193">
        <f t="shared" si="57"/>
        <v>-7865.32</v>
      </c>
      <c r="AR218" s="118"/>
      <c r="AS218" s="119"/>
      <c r="AT218" s="119"/>
      <c r="AU218" s="120"/>
      <c r="AV218" s="522"/>
      <c r="AW218" s="145">
        <v>197571146</v>
      </c>
      <c r="AX218" s="536" t="e">
        <f>#REF!+#REF!</f>
        <v>#REF!</v>
      </c>
      <c r="AY218" s="162" t="e">
        <f>#REF!-#REF!</f>
        <v>#REF!</v>
      </c>
      <c r="AZ218" s="162">
        <v>5890320</v>
      </c>
      <c r="BA218" s="196" t="e">
        <f t="shared" ref="BA218:BA223" si="59">AX218/AW218</f>
        <v>#REF!</v>
      </c>
      <c r="BB218" s="210" t="s">
        <v>825</v>
      </c>
      <c r="BC218" s="115" t="s">
        <v>825</v>
      </c>
      <c r="BD218" s="236" t="s">
        <v>825</v>
      </c>
    </row>
    <row r="219" spans="1:56" s="121" customFormat="1" ht="14.25" customHeight="1">
      <c r="A219" s="104" t="s">
        <v>2577</v>
      </c>
      <c r="B219" s="105" t="s">
        <v>1258</v>
      </c>
      <c r="C219" s="106" t="s">
        <v>1320</v>
      </c>
      <c r="D219" s="106" t="s">
        <v>2415</v>
      </c>
      <c r="E219" s="71" t="s">
        <v>1321</v>
      </c>
      <c r="F219" s="71" t="s">
        <v>2473</v>
      </c>
      <c r="G219" s="109" t="s">
        <v>2467</v>
      </c>
      <c r="H219" s="112"/>
      <c r="I219" s="112"/>
      <c r="J219" s="112"/>
      <c r="K219" s="113">
        <v>0</v>
      </c>
      <c r="L219" s="111"/>
      <c r="M219" s="111"/>
      <c r="N219" s="112"/>
      <c r="O219" s="111"/>
      <c r="P219" s="114"/>
      <c r="Q219" s="111">
        <v>8477</v>
      </c>
      <c r="R219" s="112"/>
      <c r="S219" s="111">
        <f t="shared" si="54"/>
        <v>0</v>
      </c>
      <c r="T219" s="112">
        <v>30</v>
      </c>
      <c r="U219" s="116"/>
      <c r="V219" s="112"/>
      <c r="W219" s="113">
        <v>30</v>
      </c>
      <c r="X219" s="111"/>
      <c r="Y219" s="111"/>
      <c r="Z219" s="111"/>
      <c r="AA219" s="111"/>
      <c r="AB219" s="113">
        <v>0</v>
      </c>
      <c r="AC219" s="111"/>
      <c r="AD219" s="111"/>
      <c r="AE219" s="111"/>
      <c r="AF219" s="111"/>
      <c r="AG219" s="111"/>
      <c r="AH219" s="111"/>
      <c r="AI219" s="111"/>
      <c r="AJ219" s="113">
        <v>0</v>
      </c>
      <c r="AK219" s="112">
        <f t="shared" si="58"/>
        <v>884502</v>
      </c>
      <c r="AL219" s="112">
        <f t="shared" si="58"/>
        <v>553119.37399999995</v>
      </c>
      <c r="AM219" s="112">
        <f t="shared" si="58"/>
        <v>331382.62599999999</v>
      </c>
      <c r="AN219" s="112">
        <f t="shared" si="58"/>
        <v>17816.754000000001</v>
      </c>
      <c r="AO219" s="192">
        <f t="shared" si="55"/>
        <v>0.62534553228822543</v>
      </c>
      <c r="AP219" s="193">
        <f t="shared" si="56"/>
        <v>17846.754000000001</v>
      </c>
      <c r="AQ219" s="193">
        <f t="shared" si="57"/>
        <v>-17846.754000000001</v>
      </c>
      <c r="AR219" s="118"/>
      <c r="AS219" s="119"/>
      <c r="AT219" s="119"/>
      <c r="AU219" s="120"/>
      <c r="AV219" s="522"/>
      <c r="AW219" s="145">
        <v>884502000</v>
      </c>
      <c r="AX219" s="523">
        <v>553119374</v>
      </c>
      <c r="AY219" s="162">
        <v>331382626</v>
      </c>
      <c r="AZ219" s="162">
        <v>17816754</v>
      </c>
      <c r="BA219" s="196">
        <f t="shared" si="59"/>
        <v>0.62534553228822543</v>
      </c>
      <c r="BB219" s="210" t="s">
        <v>825</v>
      </c>
      <c r="BC219" s="115" t="s">
        <v>825</v>
      </c>
      <c r="BD219" s="236" t="s">
        <v>825</v>
      </c>
    </row>
    <row r="220" spans="1:56" s="121" customFormat="1" ht="14.25" customHeight="1">
      <c r="A220" s="104" t="s">
        <v>2577</v>
      </c>
      <c r="B220" s="105" t="s">
        <v>1263</v>
      </c>
      <c r="C220" s="106" t="s">
        <v>1328</v>
      </c>
      <c r="D220" s="106" t="s">
        <v>2415</v>
      </c>
      <c r="E220" s="71" t="s">
        <v>1329</v>
      </c>
      <c r="F220" s="71" t="s">
        <v>2473</v>
      </c>
      <c r="G220" s="290" t="s">
        <v>2467</v>
      </c>
      <c r="H220" s="162">
        <v>4599</v>
      </c>
      <c r="I220" s="112"/>
      <c r="J220" s="112"/>
      <c r="K220" s="113">
        <v>4599</v>
      </c>
      <c r="L220" s="111">
        <v>799</v>
      </c>
      <c r="M220" s="111">
        <v>2566</v>
      </c>
      <c r="N220" s="112"/>
      <c r="O220" s="111">
        <v>28</v>
      </c>
      <c r="P220" s="114"/>
      <c r="Q220" s="111">
        <v>8477</v>
      </c>
      <c r="R220" s="112"/>
      <c r="S220" s="111">
        <f t="shared" si="54"/>
        <v>0</v>
      </c>
      <c r="T220" s="112">
        <v>134</v>
      </c>
      <c r="U220" s="116"/>
      <c r="V220" s="112"/>
      <c r="W220" s="113">
        <v>3527</v>
      </c>
      <c r="X220" s="111"/>
      <c r="Y220" s="111"/>
      <c r="Z220" s="111"/>
      <c r="AA220" s="111"/>
      <c r="AB220" s="113">
        <v>0</v>
      </c>
      <c r="AC220" s="111"/>
      <c r="AD220" s="111"/>
      <c r="AE220" s="111"/>
      <c r="AF220" s="111"/>
      <c r="AG220" s="111"/>
      <c r="AH220" s="111"/>
      <c r="AI220" s="111"/>
      <c r="AJ220" s="113">
        <v>0</v>
      </c>
      <c r="AK220" s="112">
        <f t="shared" si="58"/>
        <v>75640.994000000006</v>
      </c>
      <c r="AL220" s="112">
        <f t="shared" si="58"/>
        <v>33584.012999999999</v>
      </c>
      <c r="AM220" s="112">
        <f t="shared" si="58"/>
        <v>42056.981</v>
      </c>
      <c r="AN220" s="112">
        <f t="shared" si="58"/>
        <v>1394.4</v>
      </c>
      <c r="AO220" s="192">
        <f t="shared" si="55"/>
        <v>0.44399222199539051</v>
      </c>
      <c r="AP220" s="193">
        <f t="shared" si="56"/>
        <v>4921.3999999999996</v>
      </c>
      <c r="AQ220" s="193">
        <f t="shared" si="57"/>
        <v>-322.39999999999964</v>
      </c>
      <c r="AR220" s="118"/>
      <c r="AS220" s="119"/>
      <c r="AT220" s="119"/>
      <c r="AU220" s="120"/>
      <c r="AV220" s="522"/>
      <c r="AW220" s="145">
        <v>75640994</v>
      </c>
      <c r="AX220" s="523">
        <v>33584013</v>
      </c>
      <c r="AY220" s="162">
        <v>42056981</v>
      </c>
      <c r="AZ220" s="162">
        <v>1394400</v>
      </c>
      <c r="BA220" s="196">
        <f t="shared" si="59"/>
        <v>0.44399222199539051</v>
      </c>
      <c r="BB220" s="210">
        <v>22704</v>
      </c>
      <c r="BC220" s="115">
        <v>0</v>
      </c>
      <c r="BD220" s="236">
        <v>0</v>
      </c>
    </row>
    <row r="221" spans="1:56" s="121" customFormat="1" ht="14.25" customHeight="1">
      <c r="A221" s="104" t="s">
        <v>2577</v>
      </c>
      <c r="B221" s="105" t="s">
        <v>1267</v>
      </c>
      <c r="C221" s="106" t="s">
        <v>1336</v>
      </c>
      <c r="D221" s="106" t="s">
        <v>2415</v>
      </c>
      <c r="E221" s="71" t="s">
        <v>1337</v>
      </c>
      <c r="F221" s="71" t="s">
        <v>2473</v>
      </c>
      <c r="G221" s="290" t="s">
        <v>2467</v>
      </c>
      <c r="H221" s="162"/>
      <c r="I221" s="112"/>
      <c r="J221" s="112"/>
      <c r="K221" s="113">
        <v>0</v>
      </c>
      <c r="L221" s="111">
        <v>77</v>
      </c>
      <c r="M221" s="111">
        <v>592</v>
      </c>
      <c r="N221" s="112"/>
      <c r="O221" s="111">
        <v>397</v>
      </c>
      <c r="P221" s="114"/>
      <c r="Q221" s="111">
        <v>8477</v>
      </c>
      <c r="R221" s="112"/>
      <c r="S221" s="111">
        <f t="shared" si="54"/>
        <v>0</v>
      </c>
      <c r="T221" s="112"/>
      <c r="U221" s="116"/>
      <c r="V221" s="112"/>
      <c r="W221" s="113">
        <v>1066</v>
      </c>
      <c r="X221" s="111"/>
      <c r="Y221" s="111"/>
      <c r="Z221" s="111"/>
      <c r="AA221" s="111"/>
      <c r="AB221" s="113">
        <v>0</v>
      </c>
      <c r="AC221" s="111"/>
      <c r="AD221" s="111"/>
      <c r="AE221" s="111"/>
      <c r="AF221" s="111"/>
      <c r="AG221" s="111"/>
      <c r="AH221" s="111"/>
      <c r="AI221" s="111"/>
      <c r="AJ221" s="113">
        <v>0</v>
      </c>
      <c r="AK221" s="112">
        <f t="shared" si="58"/>
        <v>97737.3</v>
      </c>
      <c r="AL221" s="112">
        <f t="shared" si="58"/>
        <v>66207.485000000001</v>
      </c>
      <c r="AM221" s="112">
        <f t="shared" si="58"/>
        <v>31529.814999999999</v>
      </c>
      <c r="AN221" s="112">
        <f t="shared" si="58"/>
        <v>2510.6610000000001</v>
      </c>
      <c r="AO221" s="192">
        <f t="shared" si="55"/>
        <v>0.67740243489435459</v>
      </c>
      <c r="AP221" s="193">
        <f t="shared" si="56"/>
        <v>3576.6610000000001</v>
      </c>
      <c r="AQ221" s="193">
        <f t="shared" si="57"/>
        <v>-3576.6610000000001</v>
      </c>
      <c r="AR221" s="118"/>
      <c r="AS221" s="119"/>
      <c r="AT221" s="119"/>
      <c r="AU221" s="120"/>
      <c r="AV221" s="522"/>
      <c r="AW221" s="145">
        <v>97737300</v>
      </c>
      <c r="AX221" s="523">
        <v>66207485</v>
      </c>
      <c r="AY221" s="162">
        <v>31529815</v>
      </c>
      <c r="AZ221" s="162">
        <v>2510661</v>
      </c>
      <c r="BA221" s="196">
        <f t="shared" si="59"/>
        <v>0.67740243489435459</v>
      </c>
      <c r="BB221" s="210" t="s">
        <v>825</v>
      </c>
      <c r="BC221" s="115" t="s">
        <v>825</v>
      </c>
      <c r="BD221" s="236" t="s">
        <v>825</v>
      </c>
    </row>
    <row r="222" spans="1:56" s="121" customFormat="1" ht="14.25" customHeight="1">
      <c r="A222" s="104" t="s">
        <v>2577</v>
      </c>
      <c r="B222" s="105" t="s">
        <v>157</v>
      </c>
      <c r="C222" s="106" t="s">
        <v>1342</v>
      </c>
      <c r="D222" s="106" t="s">
        <v>2415</v>
      </c>
      <c r="E222" s="71" t="s">
        <v>1343</v>
      </c>
      <c r="F222" s="71" t="s">
        <v>2473</v>
      </c>
      <c r="G222" s="290" t="s">
        <v>2467</v>
      </c>
      <c r="H222" s="330">
        <v>764</v>
      </c>
      <c r="I222" s="112"/>
      <c r="J222" s="112"/>
      <c r="K222" s="113">
        <v>764</v>
      </c>
      <c r="L222" s="111">
        <v>18</v>
      </c>
      <c r="M222" s="111">
        <v>0</v>
      </c>
      <c r="N222" s="112"/>
      <c r="O222" s="111">
        <v>407</v>
      </c>
      <c r="P222" s="114">
        <v>1.1000000000000001</v>
      </c>
      <c r="Q222" s="111">
        <v>8477</v>
      </c>
      <c r="R222" s="112"/>
      <c r="S222" s="111">
        <f t="shared" si="54"/>
        <v>9325</v>
      </c>
      <c r="T222" s="112"/>
      <c r="U222" s="116"/>
      <c r="V222" s="112">
        <v>15608</v>
      </c>
      <c r="W222" s="113">
        <v>16033</v>
      </c>
      <c r="X222" s="111">
        <v>64665</v>
      </c>
      <c r="Y222" s="111">
        <v>3563</v>
      </c>
      <c r="Z222" s="112"/>
      <c r="AA222" s="111">
        <v>15608</v>
      </c>
      <c r="AB222" s="113">
        <v>83836</v>
      </c>
      <c r="AC222" s="111">
        <v>8191</v>
      </c>
      <c r="AD222" s="111">
        <v>39437</v>
      </c>
      <c r="AE222" s="112"/>
      <c r="AF222" s="111">
        <v>4600</v>
      </c>
      <c r="AG222" s="111">
        <v>27317</v>
      </c>
      <c r="AH222" s="112">
        <v>5407</v>
      </c>
      <c r="AI222" s="112"/>
      <c r="AJ222" s="113">
        <v>84952</v>
      </c>
      <c r="AK222" s="112">
        <f t="shared" si="58"/>
        <v>464786.42499999999</v>
      </c>
      <c r="AL222" s="112">
        <f t="shared" si="58"/>
        <v>154776.31200000001</v>
      </c>
      <c r="AM222" s="112">
        <f t="shared" si="58"/>
        <v>310010.11300000001</v>
      </c>
      <c r="AN222" s="112">
        <f t="shared" si="58"/>
        <v>10101.902</v>
      </c>
      <c r="AO222" s="192">
        <f t="shared" si="55"/>
        <v>0.33300523353279948</v>
      </c>
      <c r="AP222" s="193">
        <f t="shared" si="56"/>
        <v>26134.902000000002</v>
      </c>
      <c r="AQ222" s="193">
        <f t="shared" si="57"/>
        <v>-25370.902000000002</v>
      </c>
      <c r="AR222" s="118"/>
      <c r="AS222" s="119"/>
      <c r="AT222" s="119"/>
      <c r="AU222" s="120"/>
      <c r="AV222" s="522"/>
      <c r="AW222" s="145">
        <v>464786425</v>
      </c>
      <c r="AX222" s="523">
        <v>154776312</v>
      </c>
      <c r="AY222" s="162">
        <v>310010113</v>
      </c>
      <c r="AZ222" s="162">
        <v>10101902</v>
      </c>
      <c r="BA222" s="196">
        <f t="shared" si="59"/>
        <v>0.33300523353279948</v>
      </c>
      <c r="BB222" s="210" t="s">
        <v>825</v>
      </c>
      <c r="BC222" s="115" t="s">
        <v>825</v>
      </c>
      <c r="BD222" s="236" t="s">
        <v>825</v>
      </c>
    </row>
    <row r="223" spans="1:56" s="121" customFormat="1" ht="14.25" customHeight="1">
      <c r="A223" s="104" t="s">
        <v>2577</v>
      </c>
      <c r="B223" s="105" t="s">
        <v>1274</v>
      </c>
      <c r="C223" s="106" t="s">
        <v>1348</v>
      </c>
      <c r="D223" s="106" t="s">
        <v>2415</v>
      </c>
      <c r="E223" s="71" t="s">
        <v>1349</v>
      </c>
      <c r="F223" s="71" t="s">
        <v>2473</v>
      </c>
      <c r="G223" s="290" t="s">
        <v>2467</v>
      </c>
      <c r="H223" s="162"/>
      <c r="I223" s="112"/>
      <c r="J223" s="112"/>
      <c r="K223" s="113">
        <v>0</v>
      </c>
      <c r="L223" s="111">
        <v>880</v>
      </c>
      <c r="M223" s="111">
        <v>2267</v>
      </c>
      <c r="N223" s="112"/>
      <c r="O223" s="111"/>
      <c r="P223" s="114"/>
      <c r="Q223" s="111">
        <v>8477</v>
      </c>
      <c r="R223" s="112"/>
      <c r="S223" s="111">
        <f t="shared" si="54"/>
        <v>0</v>
      </c>
      <c r="T223" s="112">
        <v>60</v>
      </c>
      <c r="U223" s="116"/>
      <c r="V223" s="112"/>
      <c r="W223" s="113">
        <v>3207</v>
      </c>
      <c r="X223" s="111"/>
      <c r="Y223" s="111"/>
      <c r="Z223" s="117"/>
      <c r="AA223" s="111"/>
      <c r="AB223" s="113">
        <v>0</v>
      </c>
      <c r="AC223" s="111"/>
      <c r="AD223" s="111"/>
      <c r="AE223" s="111"/>
      <c r="AF223" s="117"/>
      <c r="AG223" s="111"/>
      <c r="AH223" s="111"/>
      <c r="AI223" s="111"/>
      <c r="AJ223" s="113">
        <v>0</v>
      </c>
      <c r="AK223" s="112">
        <f t="shared" si="58"/>
        <v>73845.010999999999</v>
      </c>
      <c r="AL223" s="112">
        <f t="shared" si="58"/>
        <v>38553.165000000001</v>
      </c>
      <c r="AM223" s="112">
        <f t="shared" si="58"/>
        <v>35291.845999999998</v>
      </c>
      <c r="AN223" s="112">
        <f t="shared" si="58"/>
        <v>2035.2149999999999</v>
      </c>
      <c r="AO223" s="192">
        <f t="shared" si="55"/>
        <v>0.52208218914071258</v>
      </c>
      <c r="AP223" s="193">
        <f t="shared" si="56"/>
        <v>5242.2150000000001</v>
      </c>
      <c r="AQ223" s="193">
        <f t="shared" si="57"/>
        <v>-5242.2150000000001</v>
      </c>
      <c r="AR223" s="118"/>
      <c r="AS223" s="119"/>
      <c r="AT223" s="119"/>
      <c r="AU223" s="120"/>
      <c r="AV223" s="522"/>
      <c r="AW223" s="145">
        <v>73845011</v>
      </c>
      <c r="AX223" s="523">
        <v>38553165</v>
      </c>
      <c r="AY223" s="162">
        <v>35291846</v>
      </c>
      <c r="AZ223" s="162">
        <v>2035215</v>
      </c>
      <c r="BA223" s="196">
        <f t="shared" si="59"/>
        <v>0.52208218914071258</v>
      </c>
      <c r="BB223" s="210" t="s">
        <v>825</v>
      </c>
      <c r="BC223" s="115" t="s">
        <v>825</v>
      </c>
      <c r="BD223" s="236" t="s">
        <v>825</v>
      </c>
    </row>
    <row r="224" spans="1:56" s="121" customFormat="1" ht="14.25" customHeight="1">
      <c r="A224" s="104" t="s">
        <v>2577</v>
      </c>
      <c r="B224" s="105" t="s">
        <v>1278</v>
      </c>
      <c r="C224" s="106" t="s">
        <v>1357</v>
      </c>
      <c r="D224" s="106" t="s">
        <v>2415</v>
      </c>
      <c r="E224" s="71" t="s">
        <v>1358</v>
      </c>
      <c r="F224" s="71" t="s">
        <v>2473</v>
      </c>
      <c r="G224" s="290" t="s">
        <v>2467</v>
      </c>
      <c r="H224" s="162"/>
      <c r="I224" s="112"/>
      <c r="J224" s="112"/>
      <c r="K224" s="113">
        <v>0</v>
      </c>
      <c r="L224" s="111">
        <v>74</v>
      </c>
      <c r="M224" s="111">
        <v>989</v>
      </c>
      <c r="N224" s="112"/>
      <c r="O224" s="111">
        <v>314</v>
      </c>
      <c r="P224" s="114"/>
      <c r="Q224" s="111">
        <v>8477</v>
      </c>
      <c r="R224" s="112"/>
      <c r="S224" s="111">
        <f t="shared" si="54"/>
        <v>0</v>
      </c>
      <c r="T224" s="112">
        <v>109</v>
      </c>
      <c r="U224" s="116"/>
      <c r="V224" s="112"/>
      <c r="W224" s="113">
        <v>1486</v>
      </c>
      <c r="X224" s="111"/>
      <c r="Y224" s="111"/>
      <c r="Z224" s="111"/>
      <c r="AA224" s="111"/>
      <c r="AB224" s="113">
        <v>0</v>
      </c>
      <c r="AC224" s="111"/>
      <c r="AD224" s="111"/>
      <c r="AE224" s="111"/>
      <c r="AF224" s="111"/>
      <c r="AG224" s="111"/>
      <c r="AH224" s="111"/>
      <c r="AI224" s="111"/>
      <c r="AJ224" s="113">
        <v>0</v>
      </c>
      <c r="AK224" s="112">
        <f t="shared" si="58"/>
        <v>0</v>
      </c>
      <c r="AL224" s="112">
        <f t="shared" si="58"/>
        <v>0</v>
      </c>
      <c r="AM224" s="112">
        <f t="shared" si="58"/>
        <v>0</v>
      </c>
      <c r="AN224" s="112">
        <f t="shared" si="58"/>
        <v>0</v>
      </c>
      <c r="AO224" s="192" t="str">
        <f t="shared" si="55"/>
        <v>-</v>
      </c>
      <c r="AP224" s="193">
        <f t="shared" si="56"/>
        <v>1486</v>
      </c>
      <c r="AQ224" s="193">
        <f t="shared" si="57"/>
        <v>-1486</v>
      </c>
      <c r="AR224" s="118"/>
      <c r="AS224" s="119"/>
      <c r="AT224" s="119"/>
      <c r="AU224" s="120"/>
      <c r="AV224" s="522"/>
      <c r="AW224" s="145">
        <v>0</v>
      </c>
      <c r="AX224" s="523">
        <v>0</v>
      </c>
      <c r="AY224" s="162">
        <v>0</v>
      </c>
      <c r="AZ224" s="162">
        <v>0</v>
      </c>
      <c r="BA224" s="196" t="s">
        <v>1966</v>
      </c>
      <c r="BB224" s="210" t="s">
        <v>825</v>
      </c>
      <c r="BC224" s="115" t="s">
        <v>825</v>
      </c>
      <c r="BD224" s="236" t="s">
        <v>825</v>
      </c>
    </row>
    <row r="225" spans="1:56" s="121" customFormat="1" ht="14.25" customHeight="1">
      <c r="A225" s="104" t="s">
        <v>2577</v>
      </c>
      <c r="B225" s="105" t="s">
        <v>1282</v>
      </c>
      <c r="C225" s="106" t="s">
        <v>1361</v>
      </c>
      <c r="D225" s="106" t="s">
        <v>2415</v>
      </c>
      <c r="E225" s="71" t="s">
        <v>1362</v>
      </c>
      <c r="F225" s="71" t="s">
        <v>1363</v>
      </c>
      <c r="G225" s="290" t="s">
        <v>1364</v>
      </c>
      <c r="H225" s="162">
        <v>0</v>
      </c>
      <c r="I225" s="112">
        <v>0</v>
      </c>
      <c r="J225" s="112">
        <v>0</v>
      </c>
      <c r="K225" s="113">
        <v>0</v>
      </c>
      <c r="L225" s="111">
        <v>178</v>
      </c>
      <c r="M225" s="111">
        <v>2141</v>
      </c>
      <c r="N225" s="115">
        <v>0</v>
      </c>
      <c r="O225" s="111">
        <v>22</v>
      </c>
      <c r="P225" s="114">
        <v>0.23</v>
      </c>
      <c r="Q225" s="111">
        <v>8477</v>
      </c>
      <c r="R225" s="112">
        <v>0</v>
      </c>
      <c r="S225" s="111">
        <f t="shared" si="54"/>
        <v>1950</v>
      </c>
      <c r="T225" s="115">
        <v>0</v>
      </c>
      <c r="U225" s="116">
        <v>50</v>
      </c>
      <c r="V225" s="112">
        <v>0</v>
      </c>
      <c r="W225" s="113">
        <v>2391</v>
      </c>
      <c r="X225" s="111"/>
      <c r="Y225" s="111"/>
      <c r="Z225" s="112"/>
      <c r="AA225" s="111"/>
      <c r="AB225" s="113">
        <v>0</v>
      </c>
      <c r="AC225" s="111"/>
      <c r="AD225" s="111"/>
      <c r="AE225" s="112"/>
      <c r="AF225" s="111"/>
      <c r="AG225" s="111"/>
      <c r="AH225" s="112"/>
      <c r="AI225" s="112"/>
      <c r="AJ225" s="113">
        <v>0</v>
      </c>
      <c r="AK225" s="112">
        <f t="shared" si="58"/>
        <v>24413.200000000001</v>
      </c>
      <c r="AL225" s="112">
        <f t="shared" si="58"/>
        <v>24413.197</v>
      </c>
      <c r="AM225" s="112">
        <f t="shared" si="58"/>
        <v>3.0000000000000001E-3</v>
      </c>
      <c r="AN225" s="112">
        <f t="shared" si="58"/>
        <v>0</v>
      </c>
      <c r="AO225" s="192">
        <f t="shared" si="55"/>
        <v>0</v>
      </c>
      <c r="AP225" s="193">
        <f t="shared" si="56"/>
        <v>2391</v>
      </c>
      <c r="AQ225" s="193">
        <f t="shared" si="57"/>
        <v>-2391</v>
      </c>
      <c r="AR225" s="118"/>
      <c r="AS225" s="119" t="s">
        <v>1851</v>
      </c>
      <c r="AT225" s="119"/>
      <c r="AU225" s="120"/>
      <c r="AV225" s="195"/>
      <c r="AW225" s="112">
        <v>24413200</v>
      </c>
      <c r="AX225" s="162">
        <v>24413197</v>
      </c>
      <c r="AY225" s="162">
        <v>3</v>
      </c>
      <c r="AZ225" s="162"/>
      <c r="BA225" s="196"/>
      <c r="BB225" s="210">
        <v>2407</v>
      </c>
      <c r="BC225" s="115">
        <v>3</v>
      </c>
      <c r="BD225" s="236">
        <v>0</v>
      </c>
    </row>
    <row r="226" spans="1:56" s="121" customFormat="1" ht="14.25" customHeight="1">
      <c r="A226" s="104" t="s">
        <v>2577</v>
      </c>
      <c r="B226" s="105" t="s">
        <v>1286</v>
      </c>
      <c r="C226" s="106" t="s">
        <v>1371</v>
      </c>
      <c r="D226" s="106" t="s">
        <v>2415</v>
      </c>
      <c r="E226" s="71" t="s">
        <v>1372</v>
      </c>
      <c r="F226" s="71" t="s">
        <v>170</v>
      </c>
      <c r="G226" s="68" t="s">
        <v>1373</v>
      </c>
      <c r="H226" s="110">
        <v>934</v>
      </c>
      <c r="I226" s="111">
        <v>0</v>
      </c>
      <c r="J226" s="112">
        <v>1059</v>
      </c>
      <c r="K226" s="113">
        <f t="shared" ref="K226:K249" si="60">SUBTOTAL(9,H226:J226)</f>
        <v>1993</v>
      </c>
      <c r="L226" s="112">
        <v>0</v>
      </c>
      <c r="M226" s="112">
        <v>0</v>
      </c>
      <c r="N226" s="112">
        <v>0</v>
      </c>
      <c r="O226" s="112">
        <v>5193</v>
      </c>
      <c r="P226" s="114"/>
      <c r="Q226" s="111">
        <v>8477</v>
      </c>
      <c r="R226" s="112"/>
      <c r="S226" s="111">
        <f t="shared" si="54"/>
        <v>0</v>
      </c>
      <c r="T226" s="112">
        <v>112</v>
      </c>
      <c r="U226" s="116">
        <v>45</v>
      </c>
      <c r="V226" s="111">
        <v>548</v>
      </c>
      <c r="W226" s="113">
        <f t="shared" ref="W226:W249" si="61">SUBTOTAL(9,L226:O226,S226:V226)</f>
        <v>5898</v>
      </c>
      <c r="X226" s="111">
        <v>118914</v>
      </c>
      <c r="Y226" s="111">
        <v>113102</v>
      </c>
      <c r="Z226" s="116">
        <v>83</v>
      </c>
      <c r="AA226" s="111">
        <v>548</v>
      </c>
      <c r="AB226" s="113">
        <f t="shared" ref="AB226:AB249" si="62">SUBTOTAL(9,X226:AA226)</f>
        <v>232647</v>
      </c>
      <c r="AC226" s="111">
        <v>38166</v>
      </c>
      <c r="AD226" s="111">
        <v>39993</v>
      </c>
      <c r="AE226" s="112">
        <v>0</v>
      </c>
      <c r="AF226" s="117">
        <v>5892</v>
      </c>
      <c r="AG226" s="111">
        <v>87922</v>
      </c>
      <c r="AH226" s="112">
        <v>50362</v>
      </c>
      <c r="AI226" s="112">
        <v>13061</v>
      </c>
      <c r="AJ226" s="113">
        <f t="shared" ref="AJ226:AJ249" si="63">SUBTOTAL(9,AC226:AI226)</f>
        <v>235396</v>
      </c>
      <c r="AK226" s="112">
        <f t="shared" si="58"/>
        <v>1039561.453</v>
      </c>
      <c r="AL226" s="112">
        <f t="shared" si="58"/>
        <v>204721.617</v>
      </c>
      <c r="AM226" s="112">
        <f t="shared" si="58"/>
        <v>834839.83600000001</v>
      </c>
      <c r="AN226" s="112">
        <f t="shared" si="58"/>
        <v>36663.410000000003</v>
      </c>
      <c r="AO226" s="192">
        <f t="shared" si="55"/>
        <v>0.19693075037479291</v>
      </c>
      <c r="AP226" s="193">
        <f t="shared" si="56"/>
        <v>42561.41</v>
      </c>
      <c r="AQ226" s="193">
        <f t="shared" si="57"/>
        <v>-40568.410000000003</v>
      </c>
      <c r="AR226" s="118"/>
      <c r="AS226" s="119"/>
      <c r="AT226" s="119"/>
      <c r="AU226" s="120"/>
      <c r="AV226" s="161"/>
      <c r="AW226" s="112">
        <v>1039561453</v>
      </c>
      <c r="AX226" s="162">
        <v>204721617</v>
      </c>
      <c r="AY226" s="162">
        <v>834839836</v>
      </c>
      <c r="AZ226" s="162">
        <v>36663410</v>
      </c>
      <c r="BA226" s="196">
        <f t="shared" ref="BA226:BA236" si="64">AX226/AW226</f>
        <v>0.19693075037479291</v>
      </c>
      <c r="BB226" s="210">
        <v>656176</v>
      </c>
      <c r="BC226" s="115">
        <v>97078</v>
      </c>
      <c r="BD226" s="236">
        <v>115.7</v>
      </c>
    </row>
    <row r="227" spans="1:56" s="121" customFormat="1" ht="14.25" customHeight="1">
      <c r="A227" s="104" t="s">
        <v>2577</v>
      </c>
      <c r="B227" s="105" t="s">
        <v>1290</v>
      </c>
      <c r="C227" s="106" t="s">
        <v>1382</v>
      </c>
      <c r="D227" s="106" t="s">
        <v>2415</v>
      </c>
      <c r="E227" s="71" t="s">
        <v>2060</v>
      </c>
      <c r="F227" s="71" t="s">
        <v>170</v>
      </c>
      <c r="G227" s="290" t="s">
        <v>1373</v>
      </c>
      <c r="H227" s="330">
        <v>0</v>
      </c>
      <c r="I227" s="111">
        <v>0</v>
      </c>
      <c r="J227" s="112">
        <v>155</v>
      </c>
      <c r="K227" s="113">
        <f t="shared" si="60"/>
        <v>155</v>
      </c>
      <c r="L227" s="112">
        <v>0</v>
      </c>
      <c r="M227" s="112">
        <v>105</v>
      </c>
      <c r="N227" s="112">
        <v>0</v>
      </c>
      <c r="O227" s="112">
        <v>0</v>
      </c>
      <c r="P227" s="114"/>
      <c r="Q227" s="111">
        <v>8477</v>
      </c>
      <c r="R227" s="112"/>
      <c r="S227" s="111">
        <f t="shared" si="54"/>
        <v>0</v>
      </c>
      <c r="T227" s="112"/>
      <c r="U227" s="116">
        <v>385</v>
      </c>
      <c r="V227" s="111">
        <v>42556</v>
      </c>
      <c r="W227" s="113">
        <f t="shared" si="61"/>
        <v>43046</v>
      </c>
      <c r="X227" s="111">
        <v>21241</v>
      </c>
      <c r="Y227" s="111">
        <v>12841</v>
      </c>
      <c r="Z227" s="116">
        <v>946</v>
      </c>
      <c r="AA227" s="111">
        <v>42556</v>
      </c>
      <c r="AB227" s="113">
        <f t="shared" si="62"/>
        <v>77584</v>
      </c>
      <c r="AC227" s="111">
        <v>8854</v>
      </c>
      <c r="AD227" s="111">
        <v>10680</v>
      </c>
      <c r="AE227" s="112">
        <v>0</v>
      </c>
      <c r="AF227" s="117">
        <v>7001</v>
      </c>
      <c r="AG227" s="111">
        <v>24737</v>
      </c>
      <c r="AH227" s="112">
        <v>21125</v>
      </c>
      <c r="AI227" s="112">
        <v>5775</v>
      </c>
      <c r="AJ227" s="113">
        <f t="shared" si="63"/>
        <v>78172</v>
      </c>
      <c r="AK227" s="112">
        <f t="shared" si="58"/>
        <v>471294.88299999997</v>
      </c>
      <c r="AL227" s="112">
        <f t="shared" si="58"/>
        <v>378602.98499999999</v>
      </c>
      <c r="AM227" s="112">
        <f t="shared" si="58"/>
        <v>92691.898000000001</v>
      </c>
      <c r="AN227" s="112">
        <f t="shared" si="58"/>
        <v>11508.960999999999</v>
      </c>
      <c r="AO227" s="192">
        <f t="shared" si="55"/>
        <v>0.80332504904365787</v>
      </c>
      <c r="AP227" s="193">
        <f t="shared" si="56"/>
        <v>54554.960999999996</v>
      </c>
      <c r="AQ227" s="193">
        <f t="shared" si="57"/>
        <v>-54399.960999999996</v>
      </c>
      <c r="AR227" s="118"/>
      <c r="AS227" s="119"/>
      <c r="AT227" s="119"/>
      <c r="AU227" s="120"/>
      <c r="AV227" s="161"/>
      <c r="AW227" s="112">
        <v>471294883</v>
      </c>
      <c r="AX227" s="162">
        <v>378602985</v>
      </c>
      <c r="AY227" s="162">
        <v>92691898</v>
      </c>
      <c r="AZ227" s="162">
        <v>11508961</v>
      </c>
      <c r="BA227" s="196">
        <f t="shared" si="64"/>
        <v>0.80332504904365787</v>
      </c>
      <c r="BB227" s="210">
        <v>127544</v>
      </c>
      <c r="BC227" s="115">
        <v>64</v>
      </c>
      <c r="BD227" s="236">
        <v>0</v>
      </c>
    </row>
    <row r="228" spans="1:56" s="121" customFormat="1" ht="14.25" customHeight="1">
      <c r="A228" s="104" t="s">
        <v>2577</v>
      </c>
      <c r="B228" s="105" t="s">
        <v>1294</v>
      </c>
      <c r="C228" s="106" t="s">
        <v>1390</v>
      </c>
      <c r="D228" s="106" t="s">
        <v>2415</v>
      </c>
      <c r="E228" s="71" t="s">
        <v>1391</v>
      </c>
      <c r="F228" s="71" t="s">
        <v>170</v>
      </c>
      <c r="G228" s="290" t="s">
        <v>1373</v>
      </c>
      <c r="H228" s="330">
        <v>0</v>
      </c>
      <c r="I228" s="111">
        <v>0</v>
      </c>
      <c r="J228" s="112">
        <v>0</v>
      </c>
      <c r="K228" s="113">
        <f t="shared" si="60"/>
        <v>0</v>
      </c>
      <c r="L228" s="112">
        <v>0</v>
      </c>
      <c r="M228" s="112">
        <v>0</v>
      </c>
      <c r="N228" s="112">
        <v>0</v>
      </c>
      <c r="O228" s="112">
        <v>0</v>
      </c>
      <c r="P228" s="114"/>
      <c r="Q228" s="111">
        <v>8477</v>
      </c>
      <c r="R228" s="112"/>
      <c r="S228" s="111">
        <f t="shared" si="54"/>
        <v>0</v>
      </c>
      <c r="T228" s="112"/>
      <c r="U228" s="116"/>
      <c r="V228" s="111">
        <v>3400</v>
      </c>
      <c r="W228" s="113">
        <f t="shared" si="61"/>
        <v>3400</v>
      </c>
      <c r="X228" s="111">
        <v>5705</v>
      </c>
      <c r="Y228" s="111">
        <v>1875</v>
      </c>
      <c r="Z228" s="116"/>
      <c r="AA228" s="111">
        <v>3400</v>
      </c>
      <c r="AB228" s="113">
        <f t="shared" si="62"/>
        <v>10980</v>
      </c>
      <c r="AC228" s="111">
        <v>325</v>
      </c>
      <c r="AD228" s="111">
        <v>0</v>
      </c>
      <c r="AE228" s="112">
        <v>0</v>
      </c>
      <c r="AF228" s="117">
        <v>1000</v>
      </c>
      <c r="AG228" s="111">
        <v>7289</v>
      </c>
      <c r="AH228" s="112">
        <v>2948</v>
      </c>
      <c r="AI228" s="112">
        <v>0</v>
      </c>
      <c r="AJ228" s="113">
        <f t="shared" si="63"/>
        <v>11562</v>
      </c>
      <c r="AK228" s="112">
        <f t="shared" si="58"/>
        <v>2776.5</v>
      </c>
      <c r="AL228" s="112">
        <f t="shared" si="58"/>
        <v>2776.4969999999998</v>
      </c>
      <c r="AM228" s="112">
        <f t="shared" si="58"/>
        <v>3.0000000000000001E-3</v>
      </c>
      <c r="AN228" s="112">
        <f t="shared" si="58"/>
        <v>0</v>
      </c>
      <c r="AO228" s="192">
        <f t="shared" si="55"/>
        <v>0.99999891950297137</v>
      </c>
      <c r="AP228" s="193">
        <f t="shared" si="56"/>
        <v>3400</v>
      </c>
      <c r="AQ228" s="193">
        <f t="shared" si="57"/>
        <v>-3400</v>
      </c>
      <c r="AR228" s="118"/>
      <c r="AS228" s="119"/>
      <c r="AT228" s="119"/>
      <c r="AU228" s="120"/>
      <c r="AV228" s="161"/>
      <c r="AW228" s="112">
        <v>2776500</v>
      </c>
      <c r="AX228" s="162">
        <v>2776497</v>
      </c>
      <c r="AY228" s="162">
        <v>3</v>
      </c>
      <c r="AZ228" s="162">
        <v>0</v>
      </c>
      <c r="BA228" s="196">
        <f t="shared" si="64"/>
        <v>0.99999891950297137</v>
      </c>
      <c r="BB228" s="210">
        <v>9701</v>
      </c>
      <c r="BC228" s="115">
        <v>0</v>
      </c>
      <c r="BD228" s="236">
        <v>0</v>
      </c>
    </row>
    <row r="229" spans="1:56" s="121" customFormat="1" ht="14.25" customHeight="1">
      <c r="A229" s="104" t="s">
        <v>2577</v>
      </c>
      <c r="B229" s="105" t="s">
        <v>1298</v>
      </c>
      <c r="C229" s="106" t="s">
        <v>1395</v>
      </c>
      <c r="D229" s="106" t="s">
        <v>2415</v>
      </c>
      <c r="E229" s="71" t="s">
        <v>1396</v>
      </c>
      <c r="F229" s="71" t="s">
        <v>170</v>
      </c>
      <c r="G229" s="290" t="s">
        <v>1373</v>
      </c>
      <c r="H229" s="330">
        <v>3804</v>
      </c>
      <c r="I229" s="111">
        <v>0</v>
      </c>
      <c r="J229" s="112">
        <v>479</v>
      </c>
      <c r="K229" s="113">
        <f t="shared" si="60"/>
        <v>4283</v>
      </c>
      <c r="L229" s="112">
        <v>0</v>
      </c>
      <c r="M229" s="112">
        <v>0</v>
      </c>
      <c r="N229" s="112">
        <v>0</v>
      </c>
      <c r="O229" s="112">
        <v>0</v>
      </c>
      <c r="P229" s="114"/>
      <c r="Q229" s="111">
        <v>8477</v>
      </c>
      <c r="R229" s="112"/>
      <c r="S229" s="111">
        <f t="shared" si="54"/>
        <v>0</v>
      </c>
      <c r="T229" s="112"/>
      <c r="U229" s="116"/>
      <c r="V229" s="111">
        <v>14208</v>
      </c>
      <c r="W229" s="113">
        <f t="shared" si="61"/>
        <v>14208</v>
      </c>
      <c r="X229" s="111"/>
      <c r="Y229" s="111"/>
      <c r="Z229" s="116">
        <v>1407</v>
      </c>
      <c r="AA229" s="111">
        <v>14208</v>
      </c>
      <c r="AB229" s="113">
        <f t="shared" si="62"/>
        <v>15615</v>
      </c>
      <c r="AC229" s="111">
        <v>924</v>
      </c>
      <c r="AD229" s="111">
        <v>6864</v>
      </c>
      <c r="AE229" s="112">
        <v>0</v>
      </c>
      <c r="AF229" s="117">
        <v>751</v>
      </c>
      <c r="AG229" s="111">
        <v>4281</v>
      </c>
      <c r="AH229" s="112">
        <v>335</v>
      </c>
      <c r="AI229" s="112">
        <v>969</v>
      </c>
      <c r="AJ229" s="113">
        <f t="shared" si="63"/>
        <v>14124</v>
      </c>
      <c r="AK229" s="112">
        <f t="shared" si="58"/>
        <v>25061.4</v>
      </c>
      <c r="AL229" s="112">
        <f t="shared" si="58"/>
        <v>25061.399000000001</v>
      </c>
      <c r="AM229" s="112">
        <f t="shared" si="58"/>
        <v>1E-3</v>
      </c>
      <c r="AN229" s="112">
        <f t="shared" si="58"/>
        <v>952.44500000000005</v>
      </c>
      <c r="AO229" s="192">
        <f t="shared" si="55"/>
        <v>0.9999999600979993</v>
      </c>
      <c r="AP229" s="193">
        <f t="shared" si="56"/>
        <v>15160.445</v>
      </c>
      <c r="AQ229" s="193">
        <f t="shared" si="57"/>
        <v>-10877.445</v>
      </c>
      <c r="AR229" s="118"/>
      <c r="AS229" s="119"/>
      <c r="AT229" s="119"/>
      <c r="AU229" s="120"/>
      <c r="AV229" s="161"/>
      <c r="AW229" s="112">
        <v>25061400</v>
      </c>
      <c r="AX229" s="162">
        <v>25061399</v>
      </c>
      <c r="AY229" s="162">
        <v>1</v>
      </c>
      <c r="AZ229" s="162">
        <v>952445</v>
      </c>
      <c r="BA229" s="196">
        <f t="shared" si="64"/>
        <v>0.9999999600979993</v>
      </c>
      <c r="BB229" s="210">
        <v>17501</v>
      </c>
      <c r="BC229" s="115">
        <v>0</v>
      </c>
      <c r="BD229" s="236">
        <v>0</v>
      </c>
    </row>
    <row r="230" spans="1:56" s="121" customFormat="1" ht="14.25" customHeight="1">
      <c r="A230" s="104" t="s">
        <v>2577</v>
      </c>
      <c r="B230" s="105" t="s">
        <v>1303</v>
      </c>
      <c r="C230" s="106" t="s">
        <v>1402</v>
      </c>
      <c r="D230" s="106" t="s">
        <v>2415</v>
      </c>
      <c r="E230" s="71" t="s">
        <v>1403</v>
      </c>
      <c r="F230" s="71" t="s">
        <v>1404</v>
      </c>
      <c r="G230" s="290" t="s">
        <v>1405</v>
      </c>
      <c r="H230" s="331">
        <v>34</v>
      </c>
      <c r="I230" s="115">
        <v>40500</v>
      </c>
      <c r="J230" s="115">
        <v>0</v>
      </c>
      <c r="K230" s="236">
        <f t="shared" si="60"/>
        <v>40534</v>
      </c>
      <c r="L230" s="111">
        <v>0</v>
      </c>
      <c r="M230" s="111">
        <v>0</v>
      </c>
      <c r="N230" s="111">
        <v>0</v>
      </c>
      <c r="O230" s="111">
        <v>214.5</v>
      </c>
      <c r="P230" s="122">
        <v>0.30766239433353709</v>
      </c>
      <c r="Q230" s="111">
        <v>8477</v>
      </c>
      <c r="R230" s="112"/>
      <c r="S230" s="111">
        <f t="shared" si="54"/>
        <v>2608</v>
      </c>
      <c r="T230" s="112">
        <v>4066.48</v>
      </c>
      <c r="U230" s="116"/>
      <c r="V230" s="111"/>
      <c r="W230" s="113">
        <f t="shared" si="61"/>
        <v>6888.98</v>
      </c>
      <c r="X230" s="111">
        <v>48559.315937667619</v>
      </c>
      <c r="Y230" s="111"/>
      <c r="Z230" s="116"/>
      <c r="AA230" s="111"/>
      <c r="AB230" s="113">
        <f t="shared" si="62"/>
        <v>48559.315937667619</v>
      </c>
      <c r="AC230" s="111">
        <v>3290.4611900861801</v>
      </c>
      <c r="AD230" s="111">
        <v>2795.280980068057</v>
      </c>
      <c r="AE230" s="112">
        <v>0</v>
      </c>
      <c r="AF230" s="117">
        <v>782</v>
      </c>
      <c r="AG230" s="111">
        <v>13663.846153846154</v>
      </c>
      <c r="AH230" s="112">
        <v>1166.7259742892759</v>
      </c>
      <c r="AI230" s="112">
        <v>1037.8434538736001</v>
      </c>
      <c r="AJ230" s="113">
        <f t="shared" si="63"/>
        <v>22736.157752163264</v>
      </c>
      <c r="AK230" s="112">
        <f t="shared" si="58"/>
        <v>559213.06000000006</v>
      </c>
      <c r="AL230" s="112">
        <f t="shared" si="58"/>
        <v>434718.353</v>
      </c>
      <c r="AM230" s="112">
        <f t="shared" si="58"/>
        <v>124494.70699999999</v>
      </c>
      <c r="AN230" s="112">
        <f t="shared" si="58"/>
        <v>11890.791999999999</v>
      </c>
      <c r="AO230" s="192">
        <f t="shared" si="55"/>
        <v>0.77737517968553882</v>
      </c>
      <c r="AP230" s="193">
        <f t="shared" si="56"/>
        <v>18779.771999999997</v>
      </c>
      <c r="AQ230" s="193">
        <f t="shared" si="57"/>
        <v>21754.228000000003</v>
      </c>
      <c r="AR230" s="118"/>
      <c r="AS230" s="119"/>
      <c r="AT230" s="119"/>
      <c r="AU230" s="120"/>
      <c r="AV230" s="161"/>
      <c r="AW230" s="112">
        <v>559213060</v>
      </c>
      <c r="AX230" s="162">
        <v>434718353</v>
      </c>
      <c r="AY230" s="162">
        <v>124494707</v>
      </c>
      <c r="AZ230" s="162">
        <v>11890792</v>
      </c>
      <c r="BA230" s="196">
        <f t="shared" si="64"/>
        <v>0.77737517968553882</v>
      </c>
      <c r="BB230" s="210">
        <v>80217</v>
      </c>
      <c r="BC230" s="115">
        <v>0</v>
      </c>
      <c r="BD230" s="236">
        <v>0</v>
      </c>
    </row>
    <row r="231" spans="1:56" s="121" customFormat="1" ht="14.25" customHeight="1">
      <c r="A231" s="104" t="s">
        <v>2577</v>
      </c>
      <c r="B231" s="105" t="s">
        <v>2548</v>
      </c>
      <c r="C231" s="106" t="s">
        <v>1414</v>
      </c>
      <c r="D231" s="106" t="s">
        <v>2415</v>
      </c>
      <c r="E231" s="71" t="s">
        <v>1415</v>
      </c>
      <c r="F231" s="71" t="s">
        <v>1404</v>
      </c>
      <c r="G231" s="290" t="s">
        <v>1405</v>
      </c>
      <c r="H231" s="331">
        <v>0</v>
      </c>
      <c r="I231" s="115">
        <v>4500</v>
      </c>
      <c r="J231" s="115">
        <v>0</v>
      </c>
      <c r="K231" s="236">
        <f t="shared" si="60"/>
        <v>4500</v>
      </c>
      <c r="L231" s="111">
        <v>0</v>
      </c>
      <c r="M231" s="111">
        <v>0</v>
      </c>
      <c r="N231" s="111">
        <v>0</v>
      </c>
      <c r="O231" s="111">
        <v>214.5</v>
      </c>
      <c r="P231" s="122">
        <v>0.18455030883065959</v>
      </c>
      <c r="Q231" s="111">
        <v>8477</v>
      </c>
      <c r="R231" s="112"/>
      <c r="S231" s="111">
        <f t="shared" si="54"/>
        <v>1564</v>
      </c>
      <c r="T231" s="112">
        <v>3902.8919999999998</v>
      </c>
      <c r="U231" s="116"/>
      <c r="V231" s="111"/>
      <c r="W231" s="113">
        <f t="shared" si="61"/>
        <v>5681.3919999999998</v>
      </c>
      <c r="X231" s="111">
        <v>27002.929174317684</v>
      </c>
      <c r="Y231" s="111"/>
      <c r="Z231" s="116"/>
      <c r="AA231" s="111"/>
      <c r="AB231" s="113">
        <f t="shared" si="62"/>
        <v>27002.929174317684</v>
      </c>
      <c r="AC231" s="111">
        <v>1829.7640473517326</v>
      </c>
      <c r="AD231" s="111">
        <v>1554.4035757007932</v>
      </c>
      <c r="AE231" s="112">
        <v>0</v>
      </c>
      <c r="AF231" s="117">
        <v>144</v>
      </c>
      <c r="AG231" s="111">
        <v>13663.846153846154</v>
      </c>
      <c r="AH231" s="112">
        <v>648.79453594467896</v>
      </c>
      <c r="AI231" s="112">
        <v>577.12537209032484</v>
      </c>
      <c r="AJ231" s="113">
        <f t="shared" si="63"/>
        <v>18417.933684933683</v>
      </c>
      <c r="AK231" s="112">
        <f t="shared" si="58"/>
        <v>552545</v>
      </c>
      <c r="AL231" s="112">
        <f t="shared" si="58"/>
        <v>547916.38600000006</v>
      </c>
      <c r="AM231" s="112">
        <f t="shared" si="58"/>
        <v>4628.6139999999996</v>
      </c>
      <c r="AN231" s="112">
        <f t="shared" si="58"/>
        <v>0</v>
      </c>
      <c r="AO231" s="192">
        <f t="shared" si="55"/>
        <v>0.99162310038096446</v>
      </c>
      <c r="AP231" s="193">
        <f t="shared" si="56"/>
        <v>5681.3919999999998</v>
      </c>
      <c r="AQ231" s="193">
        <f t="shared" si="57"/>
        <v>-1181.3919999999998</v>
      </c>
      <c r="AR231" s="118"/>
      <c r="AS231" s="119"/>
      <c r="AT231" s="119"/>
      <c r="AU231" s="120"/>
      <c r="AV231" s="161"/>
      <c r="AW231" s="112">
        <v>552545000</v>
      </c>
      <c r="AX231" s="162">
        <v>547916386</v>
      </c>
      <c r="AY231" s="162">
        <v>4628614</v>
      </c>
      <c r="AZ231" s="162">
        <v>0</v>
      </c>
      <c r="BA231" s="196">
        <f t="shared" si="64"/>
        <v>0.99162310038096446</v>
      </c>
      <c r="BB231" s="210">
        <v>64424</v>
      </c>
      <c r="BC231" s="115">
        <v>0</v>
      </c>
      <c r="BD231" s="236">
        <v>0</v>
      </c>
    </row>
    <row r="232" spans="1:56" s="121" customFormat="1" ht="14.25" customHeight="1">
      <c r="A232" s="104" t="s">
        <v>2577</v>
      </c>
      <c r="B232" s="105" t="s">
        <v>1307</v>
      </c>
      <c r="C232" s="106" t="s">
        <v>1417</v>
      </c>
      <c r="D232" s="106" t="s">
        <v>2415</v>
      </c>
      <c r="E232" s="71" t="s">
        <v>1418</v>
      </c>
      <c r="F232" s="71" t="s">
        <v>1404</v>
      </c>
      <c r="G232" s="290" t="s">
        <v>1405</v>
      </c>
      <c r="H232" s="331">
        <v>269.548</v>
      </c>
      <c r="I232" s="115">
        <v>38308.487999999998</v>
      </c>
      <c r="J232" s="115">
        <v>0</v>
      </c>
      <c r="K232" s="236">
        <f t="shared" si="60"/>
        <v>38578.036</v>
      </c>
      <c r="L232" s="111">
        <v>0</v>
      </c>
      <c r="M232" s="111">
        <v>0</v>
      </c>
      <c r="N232" s="111">
        <v>0</v>
      </c>
      <c r="O232" s="111">
        <v>825</v>
      </c>
      <c r="P232" s="122">
        <v>0.65778729683580317</v>
      </c>
      <c r="Q232" s="111">
        <v>8477</v>
      </c>
      <c r="R232" s="112"/>
      <c r="S232" s="111">
        <f t="shared" si="54"/>
        <v>5576</v>
      </c>
      <c r="T232" s="112">
        <v>34826.36</v>
      </c>
      <c r="U232" s="116"/>
      <c r="V232" s="111"/>
      <c r="W232" s="113">
        <f t="shared" si="61"/>
        <v>41227.360000000001</v>
      </c>
      <c r="X232" s="111">
        <v>96245.754888014679</v>
      </c>
      <c r="Y232" s="111"/>
      <c r="Z232" s="116"/>
      <c r="AA232" s="111"/>
      <c r="AB232" s="113">
        <f t="shared" si="62"/>
        <v>96245.754888014679</v>
      </c>
      <c r="AC232" s="111">
        <v>6521.7747625620868</v>
      </c>
      <c r="AD232" s="111">
        <v>5540.3154442311488</v>
      </c>
      <c r="AE232" s="112">
        <v>0</v>
      </c>
      <c r="AF232" s="117">
        <v>819</v>
      </c>
      <c r="AG232" s="111">
        <v>31882.307692307691</v>
      </c>
      <c r="AH232" s="112">
        <v>2312.4794897660449</v>
      </c>
      <c r="AI232" s="112">
        <v>2057.0311740360748</v>
      </c>
      <c r="AJ232" s="113">
        <f t="shared" si="63"/>
        <v>49132.908562903052</v>
      </c>
      <c r="AK232" s="112">
        <f t="shared" si="58"/>
        <v>5323522.0999999996</v>
      </c>
      <c r="AL232" s="112">
        <f t="shared" si="58"/>
        <v>3697326.213</v>
      </c>
      <c r="AM232" s="112">
        <f t="shared" si="58"/>
        <v>1626195.8870000001</v>
      </c>
      <c r="AN232" s="112">
        <f t="shared" si="58"/>
        <v>143628.99100000001</v>
      </c>
      <c r="AO232" s="192">
        <f t="shared" si="55"/>
        <v>0.69452631989637081</v>
      </c>
      <c r="AP232" s="193">
        <f t="shared" si="56"/>
        <v>184856.35100000002</v>
      </c>
      <c r="AQ232" s="193">
        <f t="shared" si="57"/>
        <v>-146278.31500000003</v>
      </c>
      <c r="AR232" s="118"/>
      <c r="AS232" s="119"/>
      <c r="AT232" s="119"/>
      <c r="AU232" s="120"/>
      <c r="AV232" s="161"/>
      <c r="AW232" s="112">
        <v>5323522100</v>
      </c>
      <c r="AX232" s="162">
        <v>3697326213</v>
      </c>
      <c r="AY232" s="162">
        <v>1626195887</v>
      </c>
      <c r="AZ232" s="162">
        <v>143628991</v>
      </c>
      <c r="BA232" s="196">
        <f t="shared" si="64"/>
        <v>0.69452631989637081</v>
      </c>
      <c r="BB232" s="210">
        <v>220383</v>
      </c>
      <c r="BC232" s="115">
        <v>0</v>
      </c>
      <c r="BD232" s="236">
        <v>0</v>
      </c>
    </row>
    <row r="233" spans="1:56" s="121" customFormat="1" ht="14.25" customHeight="1">
      <c r="A233" s="104" t="s">
        <v>2577</v>
      </c>
      <c r="B233" s="105" t="s">
        <v>1311</v>
      </c>
      <c r="C233" s="106" t="s">
        <v>1420</v>
      </c>
      <c r="D233" s="106" t="s">
        <v>2415</v>
      </c>
      <c r="E233" s="71" t="s">
        <v>1421</v>
      </c>
      <c r="F233" s="71" t="s">
        <v>1404</v>
      </c>
      <c r="G233" s="290" t="s">
        <v>1405</v>
      </c>
      <c r="H233" s="331">
        <v>144.6</v>
      </c>
      <c r="I233" s="115">
        <v>3194.2712990932478</v>
      </c>
      <c r="J233" s="115">
        <v>0</v>
      </c>
      <c r="K233" s="236">
        <f t="shared" si="60"/>
        <v>3338.8712990932477</v>
      </c>
      <c r="L233" s="111">
        <v>0</v>
      </c>
      <c r="M233" s="111">
        <v>0</v>
      </c>
      <c r="N233" s="111">
        <v>0</v>
      </c>
      <c r="O233" s="111">
        <v>0</v>
      </c>
      <c r="P233" s="122">
        <v>7.1776034820734164E-2</v>
      </c>
      <c r="Q233" s="111">
        <v>8477</v>
      </c>
      <c r="R233" s="112"/>
      <c r="S233" s="111">
        <f t="shared" si="54"/>
        <v>608</v>
      </c>
      <c r="T233" s="112">
        <v>0</v>
      </c>
      <c r="U233" s="116"/>
      <c r="V233" s="111"/>
      <c r="W233" s="113">
        <f t="shared" si="61"/>
        <v>608</v>
      </c>
      <c r="X233" s="111">
        <v>11076.409335407296</v>
      </c>
      <c r="Y233" s="111"/>
      <c r="Z233" s="116"/>
      <c r="AA233" s="111"/>
      <c r="AB233" s="113">
        <f t="shared" si="62"/>
        <v>11076.409335407296</v>
      </c>
      <c r="AC233" s="111">
        <v>517.94953889209785</v>
      </c>
      <c r="AD233" s="111">
        <v>938.28367042799721</v>
      </c>
      <c r="AE233" s="112">
        <v>0</v>
      </c>
      <c r="AF233" s="117">
        <v>296</v>
      </c>
      <c r="AG233" s="111">
        <v>9690.7540983606541</v>
      </c>
      <c r="AH233" s="112">
        <v>739.70330742396607</v>
      </c>
      <c r="AI233" s="112">
        <v>96.521677301787264</v>
      </c>
      <c r="AJ233" s="113">
        <f t="shared" si="63"/>
        <v>12279.212292406502</v>
      </c>
      <c r="AK233" s="112">
        <f t="shared" si="58"/>
        <v>151879.796</v>
      </c>
      <c r="AL233" s="112">
        <f t="shared" si="58"/>
        <v>85667.952999999994</v>
      </c>
      <c r="AM233" s="112">
        <f t="shared" si="58"/>
        <v>66211.842999999993</v>
      </c>
      <c r="AN233" s="112">
        <f t="shared" si="58"/>
        <v>5105.5190000000002</v>
      </c>
      <c r="AO233" s="192">
        <f t="shared" si="55"/>
        <v>0.56405101439562111</v>
      </c>
      <c r="AP233" s="193">
        <f t="shared" si="56"/>
        <v>5713.5190000000002</v>
      </c>
      <c r="AQ233" s="193">
        <f t="shared" si="57"/>
        <v>-2374.6477009067526</v>
      </c>
      <c r="AR233" s="118"/>
      <c r="AS233" s="119"/>
      <c r="AT233" s="119"/>
      <c r="AU233" s="120"/>
      <c r="AV233" s="161"/>
      <c r="AW233" s="112">
        <v>151879796</v>
      </c>
      <c r="AX233" s="162">
        <v>85667953</v>
      </c>
      <c r="AY233" s="162">
        <v>66211843</v>
      </c>
      <c r="AZ233" s="162">
        <v>5105519</v>
      </c>
      <c r="BA233" s="196">
        <f t="shared" si="64"/>
        <v>0.56405101439562111</v>
      </c>
      <c r="BB233" s="210">
        <v>11754</v>
      </c>
      <c r="BC233" s="115">
        <v>0</v>
      </c>
      <c r="BD233" s="236">
        <v>0</v>
      </c>
    </row>
    <row r="234" spans="1:56" s="121" customFormat="1" ht="14.25" customHeight="1">
      <c r="A234" s="104" t="s">
        <v>2577</v>
      </c>
      <c r="B234" s="105" t="s">
        <v>1319</v>
      </c>
      <c r="C234" s="106" t="s">
        <v>1427</v>
      </c>
      <c r="D234" s="106" t="s">
        <v>2415</v>
      </c>
      <c r="E234" s="71" t="s">
        <v>1428</v>
      </c>
      <c r="F234" s="71" t="s">
        <v>1404</v>
      </c>
      <c r="G234" s="290" t="s">
        <v>1405</v>
      </c>
      <c r="H234" s="331">
        <v>100.3</v>
      </c>
      <c r="I234" s="115">
        <v>4041.6233213701485</v>
      </c>
      <c r="J234" s="115">
        <v>0</v>
      </c>
      <c r="K234" s="236">
        <f t="shared" si="60"/>
        <v>4141.9233213701482</v>
      </c>
      <c r="L234" s="111">
        <v>0</v>
      </c>
      <c r="M234" s="111">
        <v>0</v>
      </c>
      <c r="N234" s="111">
        <v>0</v>
      </c>
      <c r="O234" s="111">
        <v>0</v>
      </c>
      <c r="P234" s="122">
        <v>9.0816236031455083E-2</v>
      </c>
      <c r="Q234" s="111">
        <v>8477</v>
      </c>
      <c r="R234" s="112"/>
      <c r="S234" s="111">
        <f t="shared" si="54"/>
        <v>770</v>
      </c>
      <c r="T234" s="112">
        <v>0</v>
      </c>
      <c r="U234" s="116"/>
      <c r="V234" s="111"/>
      <c r="W234" s="113">
        <f t="shared" si="61"/>
        <v>770</v>
      </c>
      <c r="X234" s="111">
        <v>14014.675052720784</v>
      </c>
      <c r="Y234" s="111"/>
      <c r="Z234" s="116"/>
      <c r="AA234" s="111"/>
      <c r="AB234" s="113">
        <f t="shared" si="62"/>
        <v>14014.675052720784</v>
      </c>
      <c r="AC234" s="111">
        <v>655.34725753365251</v>
      </c>
      <c r="AD234" s="111">
        <v>1187.1844340645262</v>
      </c>
      <c r="AE234" s="112">
        <v>0</v>
      </c>
      <c r="AF234" s="117">
        <v>18</v>
      </c>
      <c r="AG234" s="111">
        <v>9690.7540983606541</v>
      </c>
      <c r="AH234" s="112">
        <v>935.92618104416704</v>
      </c>
      <c r="AI234" s="112">
        <v>122.12621454896626</v>
      </c>
      <c r="AJ234" s="113">
        <f t="shared" si="63"/>
        <v>12609.338185551966</v>
      </c>
      <c r="AK234" s="112">
        <f t="shared" si="58"/>
        <v>101090.982</v>
      </c>
      <c r="AL234" s="112">
        <f t="shared" si="58"/>
        <v>71077.357000000004</v>
      </c>
      <c r="AM234" s="112">
        <f t="shared" si="58"/>
        <v>30013.625</v>
      </c>
      <c r="AN234" s="112">
        <f t="shared" si="58"/>
        <v>3748.672</v>
      </c>
      <c r="AO234" s="192">
        <f t="shared" si="55"/>
        <v>0.70310284452474703</v>
      </c>
      <c r="AP234" s="193">
        <f t="shared" si="56"/>
        <v>4518.6720000000005</v>
      </c>
      <c r="AQ234" s="193">
        <f t="shared" si="57"/>
        <v>-376.74867862985229</v>
      </c>
      <c r="AR234" s="118"/>
      <c r="AS234" s="119"/>
      <c r="AT234" s="119"/>
      <c r="AU234" s="120"/>
      <c r="AV234" s="161"/>
      <c r="AW234" s="112">
        <v>101090982</v>
      </c>
      <c r="AX234" s="162">
        <v>71077357</v>
      </c>
      <c r="AY234" s="162">
        <v>30013625</v>
      </c>
      <c r="AZ234" s="162">
        <v>3748672</v>
      </c>
      <c r="BA234" s="196">
        <f t="shared" si="64"/>
        <v>0.70310284452474703</v>
      </c>
      <c r="BB234" s="210">
        <v>27309</v>
      </c>
      <c r="BC234" s="115">
        <v>0</v>
      </c>
      <c r="BD234" s="236">
        <v>0</v>
      </c>
    </row>
    <row r="235" spans="1:56" s="121" customFormat="1" ht="14.25" customHeight="1">
      <c r="A235" s="104" t="s">
        <v>2577</v>
      </c>
      <c r="B235" s="105" t="s">
        <v>1327</v>
      </c>
      <c r="C235" s="106" t="s">
        <v>1430</v>
      </c>
      <c r="D235" s="106" t="s">
        <v>2415</v>
      </c>
      <c r="E235" s="71" t="s">
        <v>1431</v>
      </c>
      <c r="F235" s="71" t="s">
        <v>1404</v>
      </c>
      <c r="G235" s="290" t="s">
        <v>1405</v>
      </c>
      <c r="H235" s="331">
        <v>0</v>
      </c>
      <c r="I235" s="115">
        <v>4540.1448647831203</v>
      </c>
      <c r="J235" s="115">
        <v>0</v>
      </c>
      <c r="K235" s="236">
        <f t="shared" si="60"/>
        <v>4540.1448647831203</v>
      </c>
      <c r="L235" s="111">
        <v>0</v>
      </c>
      <c r="M235" s="111">
        <v>0</v>
      </c>
      <c r="N235" s="111">
        <v>0</v>
      </c>
      <c r="O235" s="111">
        <v>0</v>
      </c>
      <c r="P235" s="122">
        <v>0.10201813352496258</v>
      </c>
      <c r="Q235" s="111">
        <v>8477</v>
      </c>
      <c r="R235" s="112"/>
      <c r="S235" s="111">
        <f t="shared" si="54"/>
        <v>865</v>
      </c>
      <c r="T235" s="112">
        <v>13761</v>
      </c>
      <c r="U235" s="116"/>
      <c r="V235" s="111"/>
      <c r="W235" s="113">
        <f t="shared" si="61"/>
        <v>14626</v>
      </c>
      <c r="X235" s="111">
        <v>15743.341205445058</v>
      </c>
      <c r="Y235" s="111"/>
      <c r="Z235" s="116"/>
      <c r="AA235" s="111"/>
      <c r="AB235" s="113">
        <f t="shared" si="62"/>
        <v>15743.341205445058</v>
      </c>
      <c r="AC235" s="111">
        <v>736.18228354156327</v>
      </c>
      <c r="AD235" s="111">
        <v>1333.6199054891774</v>
      </c>
      <c r="AE235" s="112">
        <v>0</v>
      </c>
      <c r="AF235" s="117">
        <v>0</v>
      </c>
      <c r="AG235" s="111">
        <v>5191.4754098360645</v>
      </c>
      <c r="AH235" s="112">
        <v>1051.3697360701144</v>
      </c>
      <c r="AI235" s="112">
        <v>137.190099559283</v>
      </c>
      <c r="AJ235" s="113">
        <f t="shared" si="63"/>
        <v>8449.8374344962012</v>
      </c>
      <c r="AK235" s="112">
        <f t="shared" si="58"/>
        <v>426731.81199999998</v>
      </c>
      <c r="AL235" s="112">
        <f t="shared" si="58"/>
        <v>362297.44199999998</v>
      </c>
      <c r="AM235" s="112">
        <f t="shared" si="58"/>
        <v>64434.37</v>
      </c>
      <c r="AN235" s="112">
        <f t="shared" si="58"/>
        <v>23753.949000000001</v>
      </c>
      <c r="AO235" s="192">
        <f t="shared" si="55"/>
        <v>0.84900499988972</v>
      </c>
      <c r="AP235" s="193">
        <f t="shared" si="56"/>
        <v>38379.949000000001</v>
      </c>
      <c r="AQ235" s="193">
        <f t="shared" si="57"/>
        <v>-33839.80413521688</v>
      </c>
      <c r="AR235" s="118"/>
      <c r="AS235" s="119"/>
      <c r="AT235" s="119"/>
      <c r="AU235" s="120"/>
      <c r="AV235" s="161"/>
      <c r="AW235" s="112">
        <v>426731812</v>
      </c>
      <c r="AX235" s="162">
        <v>362297442</v>
      </c>
      <c r="AY235" s="162">
        <v>64434370</v>
      </c>
      <c r="AZ235" s="162">
        <v>23753949</v>
      </c>
      <c r="BA235" s="196">
        <f t="shared" si="64"/>
        <v>0.84900499988972</v>
      </c>
      <c r="BB235" s="210">
        <v>30363</v>
      </c>
      <c r="BC235" s="115">
        <v>0</v>
      </c>
      <c r="BD235" s="236">
        <v>0</v>
      </c>
    </row>
    <row r="236" spans="1:56" s="121" customFormat="1" ht="14.25" customHeight="1">
      <c r="A236" s="104" t="s">
        <v>2577</v>
      </c>
      <c r="B236" s="105" t="s">
        <v>1335</v>
      </c>
      <c r="C236" s="106" t="s">
        <v>1433</v>
      </c>
      <c r="D236" s="106" t="s">
        <v>2415</v>
      </c>
      <c r="E236" s="71" t="s">
        <v>2006</v>
      </c>
      <c r="F236" s="71" t="s">
        <v>1404</v>
      </c>
      <c r="G236" s="290" t="s">
        <v>1405</v>
      </c>
      <c r="H236" s="331">
        <v>0</v>
      </c>
      <c r="I236" s="115">
        <v>10456.590324230943</v>
      </c>
      <c r="J236" s="115">
        <v>0</v>
      </c>
      <c r="K236" s="236">
        <f t="shared" si="60"/>
        <v>10456.590324230943</v>
      </c>
      <c r="L236" s="111">
        <v>0</v>
      </c>
      <c r="M236" s="111">
        <v>0</v>
      </c>
      <c r="N236" s="111">
        <v>0</v>
      </c>
      <c r="O236" s="111">
        <v>0</v>
      </c>
      <c r="P236" s="122">
        <v>0.23496206832250113</v>
      </c>
      <c r="Q236" s="111">
        <v>8477</v>
      </c>
      <c r="R236" s="112"/>
      <c r="S236" s="111">
        <f t="shared" si="54"/>
        <v>1992</v>
      </c>
      <c r="T236" s="112">
        <v>0</v>
      </c>
      <c r="U236" s="116"/>
      <c r="V236" s="111"/>
      <c r="W236" s="113">
        <f t="shared" si="61"/>
        <v>1992</v>
      </c>
      <c r="X236" s="111">
        <v>36259.122610129969</v>
      </c>
      <c r="Y236" s="111"/>
      <c r="Z236" s="116"/>
      <c r="AA236" s="111"/>
      <c r="AB236" s="113">
        <f t="shared" si="62"/>
        <v>36259.122610129969</v>
      </c>
      <c r="AC236" s="111">
        <v>1695.5310396948487</v>
      </c>
      <c r="AD236" s="111">
        <v>3071.5136664710958</v>
      </c>
      <c r="AE236" s="112">
        <v>0</v>
      </c>
      <c r="AF236" s="117">
        <v>29</v>
      </c>
      <c r="AG236" s="111">
        <v>18170.163934426229</v>
      </c>
      <c r="AH236" s="112">
        <v>2421.4519441121761</v>
      </c>
      <c r="AI236" s="112">
        <v>315.96803854416345</v>
      </c>
      <c r="AJ236" s="113">
        <f t="shared" si="63"/>
        <v>25703.628623248514</v>
      </c>
      <c r="AK236" s="112">
        <f t="shared" si="58"/>
        <v>24119.687000000002</v>
      </c>
      <c r="AL236" s="112">
        <f t="shared" si="58"/>
        <v>19442.567999999999</v>
      </c>
      <c r="AM236" s="112">
        <f t="shared" si="58"/>
        <v>4677.1189999999997</v>
      </c>
      <c r="AN236" s="112">
        <f t="shared" si="58"/>
        <v>195.14400000000001</v>
      </c>
      <c r="AO236" s="192">
        <f t="shared" si="55"/>
        <v>0.80608707733230534</v>
      </c>
      <c r="AP236" s="193">
        <f t="shared" si="56"/>
        <v>2187.1440000000002</v>
      </c>
      <c r="AQ236" s="193">
        <f t="shared" si="57"/>
        <v>8269.446324230943</v>
      </c>
      <c r="AR236" s="118"/>
      <c r="AS236" s="119"/>
      <c r="AT236" s="119"/>
      <c r="AU236" s="120"/>
      <c r="AV236" s="161"/>
      <c r="AW236" s="112">
        <v>24119687</v>
      </c>
      <c r="AX236" s="162">
        <v>19442568</v>
      </c>
      <c r="AY236" s="162">
        <v>4677119</v>
      </c>
      <c r="AZ236" s="162">
        <v>195144</v>
      </c>
      <c r="BA236" s="196">
        <f t="shared" si="64"/>
        <v>0.80608707733230534</v>
      </c>
      <c r="BB236" s="210">
        <v>1876</v>
      </c>
      <c r="BC236" s="115">
        <v>0</v>
      </c>
      <c r="BD236" s="236">
        <v>0</v>
      </c>
    </row>
    <row r="237" spans="1:56" s="121" customFormat="1" ht="14.25" customHeight="1">
      <c r="A237" s="104" t="s">
        <v>2577</v>
      </c>
      <c r="B237" s="105" t="s">
        <v>1341</v>
      </c>
      <c r="C237" s="106" t="s">
        <v>1435</v>
      </c>
      <c r="D237" s="106" t="s">
        <v>2415</v>
      </c>
      <c r="E237" s="71" t="s">
        <v>2009</v>
      </c>
      <c r="F237" s="71" t="s">
        <v>1404</v>
      </c>
      <c r="G237" s="290" t="s">
        <v>1405</v>
      </c>
      <c r="H237" s="331">
        <v>0</v>
      </c>
      <c r="I237" s="115">
        <v>1243.6472494834045</v>
      </c>
      <c r="J237" s="115">
        <v>0</v>
      </c>
      <c r="K237" s="236">
        <f t="shared" si="60"/>
        <v>1243.6472494834045</v>
      </c>
      <c r="L237" s="111">
        <v>0</v>
      </c>
      <c r="M237" s="111">
        <v>0</v>
      </c>
      <c r="N237" s="111">
        <v>0</v>
      </c>
      <c r="O237" s="111">
        <v>136</v>
      </c>
      <c r="P237" s="122">
        <v>2.7945049097417098E-2</v>
      </c>
      <c r="Q237" s="111">
        <v>8477</v>
      </c>
      <c r="R237" s="112"/>
      <c r="S237" s="111">
        <f t="shared" si="54"/>
        <v>237</v>
      </c>
      <c r="T237" s="112">
        <v>0</v>
      </c>
      <c r="U237" s="116"/>
      <c r="V237" s="111"/>
      <c r="W237" s="113">
        <f t="shared" si="61"/>
        <v>373</v>
      </c>
      <c r="X237" s="111">
        <v>4312.453362380933</v>
      </c>
      <c r="Y237" s="111"/>
      <c r="Z237" s="116"/>
      <c r="AA237" s="111"/>
      <c r="AB237" s="113">
        <f t="shared" si="62"/>
        <v>4312.453362380933</v>
      </c>
      <c r="AC237" s="111">
        <v>201.65679715345652</v>
      </c>
      <c r="AD237" s="111">
        <v>365.30832753442581</v>
      </c>
      <c r="AE237" s="112">
        <v>0</v>
      </c>
      <c r="AF237" s="117">
        <v>20</v>
      </c>
      <c r="AG237" s="111">
        <v>2595.7377049180323</v>
      </c>
      <c r="AH237" s="112">
        <v>287.99369169823848</v>
      </c>
      <c r="AI237" s="112">
        <v>37.579437452907563</v>
      </c>
      <c r="AJ237" s="113">
        <f t="shared" si="63"/>
        <v>3508.2759587570604</v>
      </c>
      <c r="AK237" s="112">
        <f t="shared" si="58"/>
        <v>0</v>
      </c>
      <c r="AL237" s="112">
        <f t="shared" si="58"/>
        <v>0</v>
      </c>
      <c r="AM237" s="112">
        <f t="shared" si="58"/>
        <v>0</v>
      </c>
      <c r="AN237" s="112">
        <f t="shared" si="58"/>
        <v>0</v>
      </c>
      <c r="AO237" s="192" t="str">
        <f t="shared" si="55"/>
        <v>-</v>
      </c>
      <c r="AP237" s="193">
        <f t="shared" si="56"/>
        <v>373</v>
      </c>
      <c r="AQ237" s="193">
        <f t="shared" si="57"/>
        <v>870.64724948340449</v>
      </c>
      <c r="AR237" s="155"/>
      <c r="AS237" s="119"/>
      <c r="AT237" s="119"/>
      <c r="AU237" s="120"/>
      <c r="AV237" s="161"/>
      <c r="AW237" s="112">
        <v>0</v>
      </c>
      <c r="AX237" s="162">
        <v>0</v>
      </c>
      <c r="AY237" s="162">
        <v>0</v>
      </c>
      <c r="AZ237" s="162">
        <v>0</v>
      </c>
      <c r="BA237" s="196" t="s">
        <v>1966</v>
      </c>
      <c r="BB237" s="210">
        <v>16831</v>
      </c>
      <c r="BC237" s="115">
        <v>0</v>
      </c>
      <c r="BD237" s="236">
        <v>0</v>
      </c>
    </row>
    <row r="238" spans="1:56" s="121" customFormat="1" ht="14.25" customHeight="1">
      <c r="A238" s="104" t="s">
        <v>2577</v>
      </c>
      <c r="B238" s="105" t="s">
        <v>1347</v>
      </c>
      <c r="C238" s="106" t="s">
        <v>1437</v>
      </c>
      <c r="D238" s="106" t="s">
        <v>2415</v>
      </c>
      <c r="E238" s="71" t="s">
        <v>1438</v>
      </c>
      <c r="F238" s="71" t="s">
        <v>1404</v>
      </c>
      <c r="G238" s="290" t="s">
        <v>1405</v>
      </c>
      <c r="H238" s="331">
        <v>0</v>
      </c>
      <c r="I238" s="115">
        <v>4616.5489410330692</v>
      </c>
      <c r="J238" s="115">
        <v>0</v>
      </c>
      <c r="K238" s="236">
        <f t="shared" si="60"/>
        <v>4616.5489410330692</v>
      </c>
      <c r="L238" s="111">
        <v>0</v>
      </c>
      <c r="M238" s="111">
        <v>0</v>
      </c>
      <c r="N238" s="111">
        <v>0</v>
      </c>
      <c r="O238" s="111">
        <v>0</v>
      </c>
      <c r="P238" s="122">
        <v>0.10373495126643591</v>
      </c>
      <c r="Q238" s="111">
        <v>8477</v>
      </c>
      <c r="R238" s="112"/>
      <c r="S238" s="111">
        <f t="shared" si="54"/>
        <v>879</v>
      </c>
      <c r="T238" s="112">
        <v>0</v>
      </c>
      <c r="U238" s="116"/>
      <c r="V238" s="111"/>
      <c r="W238" s="113">
        <f t="shared" si="61"/>
        <v>879</v>
      </c>
      <c r="X238" s="111">
        <v>16008.278884244708</v>
      </c>
      <c r="Y238" s="111"/>
      <c r="Z238" s="116"/>
      <c r="AA238" s="111"/>
      <c r="AB238" s="113">
        <f t="shared" si="62"/>
        <v>16008.278884244708</v>
      </c>
      <c r="AC238" s="111">
        <v>748.57116737693798</v>
      </c>
      <c r="AD238" s="111">
        <v>1356.0628010315231</v>
      </c>
      <c r="AE238" s="112">
        <v>0</v>
      </c>
      <c r="AF238" s="117">
        <v>391</v>
      </c>
      <c r="AG238" s="111">
        <v>11248.196721311473</v>
      </c>
      <c r="AH238" s="112">
        <v>1069.0627691943837</v>
      </c>
      <c r="AI238" s="112">
        <v>139.4988106554357</v>
      </c>
      <c r="AJ238" s="113">
        <f t="shared" si="63"/>
        <v>14952.392269569753</v>
      </c>
      <c r="AK238" s="112">
        <f t="shared" si="58"/>
        <v>50966.737000000001</v>
      </c>
      <c r="AL238" s="112">
        <f t="shared" si="58"/>
        <v>44595.642</v>
      </c>
      <c r="AM238" s="112">
        <f t="shared" si="58"/>
        <v>6371.0950000000003</v>
      </c>
      <c r="AN238" s="112">
        <f t="shared" si="58"/>
        <v>495.529</v>
      </c>
      <c r="AO238" s="192">
        <f t="shared" si="55"/>
        <v>0.87499503843065329</v>
      </c>
      <c r="AP238" s="193">
        <f t="shared" si="56"/>
        <v>1374.529</v>
      </c>
      <c r="AQ238" s="193">
        <f t="shared" si="57"/>
        <v>3242.0199410330692</v>
      </c>
      <c r="AR238" s="118"/>
      <c r="AS238" s="119"/>
      <c r="AT238" s="119"/>
      <c r="AU238" s="120"/>
      <c r="AV238" s="161"/>
      <c r="AW238" s="112">
        <v>50966737</v>
      </c>
      <c r="AX238" s="162">
        <v>44595642</v>
      </c>
      <c r="AY238" s="162">
        <v>6371095</v>
      </c>
      <c r="AZ238" s="162">
        <v>495529</v>
      </c>
      <c r="BA238" s="196">
        <f>AX238/AW238</f>
        <v>0.87499503843065329</v>
      </c>
      <c r="BB238" s="210">
        <v>4607</v>
      </c>
      <c r="BC238" s="115">
        <v>0</v>
      </c>
      <c r="BD238" s="236">
        <v>0</v>
      </c>
    </row>
    <row r="239" spans="1:56" s="121" customFormat="1" ht="14.25" customHeight="1">
      <c r="A239" s="104" t="s">
        <v>2577</v>
      </c>
      <c r="B239" s="105" t="s">
        <v>1356</v>
      </c>
      <c r="C239" s="106" t="s">
        <v>1441</v>
      </c>
      <c r="D239" s="106" t="s">
        <v>2415</v>
      </c>
      <c r="E239" s="71" t="s">
        <v>2012</v>
      </c>
      <c r="F239" s="71" t="s">
        <v>1404</v>
      </c>
      <c r="G239" s="290" t="s">
        <v>1405</v>
      </c>
      <c r="H239" s="331">
        <v>0</v>
      </c>
      <c r="I239" s="115">
        <v>4884.9727193465187</v>
      </c>
      <c r="J239" s="115">
        <v>0</v>
      </c>
      <c r="K239" s="236">
        <f t="shared" si="60"/>
        <v>4884.9727193465187</v>
      </c>
      <c r="L239" s="111">
        <v>0</v>
      </c>
      <c r="M239" s="111">
        <v>0</v>
      </c>
      <c r="N239" s="111">
        <v>0</v>
      </c>
      <c r="O239" s="111">
        <v>0</v>
      </c>
      <c r="P239" s="122">
        <v>0.1097664973234062</v>
      </c>
      <c r="Q239" s="111">
        <v>8477</v>
      </c>
      <c r="R239" s="112"/>
      <c r="S239" s="111">
        <f t="shared" si="54"/>
        <v>930</v>
      </c>
      <c r="T239" s="112">
        <v>0</v>
      </c>
      <c r="U239" s="116"/>
      <c r="V239" s="111"/>
      <c r="W239" s="113">
        <f t="shared" si="61"/>
        <v>930</v>
      </c>
      <c r="X239" s="111">
        <v>16939.061327426782</v>
      </c>
      <c r="Y239" s="111"/>
      <c r="Z239" s="116"/>
      <c r="AA239" s="111"/>
      <c r="AB239" s="113">
        <f t="shared" si="62"/>
        <v>16939.061327426782</v>
      </c>
      <c r="AC239" s="111">
        <v>792.09595258995114</v>
      </c>
      <c r="AD239" s="111">
        <v>1434.9094688200698</v>
      </c>
      <c r="AE239" s="112">
        <v>0</v>
      </c>
      <c r="AF239" s="117">
        <v>0</v>
      </c>
      <c r="AG239" s="111">
        <v>5191.4754098360645</v>
      </c>
      <c r="AH239" s="112">
        <v>1131.2221595586461</v>
      </c>
      <c r="AI239" s="112">
        <v>147.60980401966623</v>
      </c>
      <c r="AJ239" s="113">
        <f t="shared" si="63"/>
        <v>8697.3127948243982</v>
      </c>
      <c r="AK239" s="112">
        <f t="shared" si="58"/>
        <v>13209.68</v>
      </c>
      <c r="AL239" s="112">
        <f t="shared" si="58"/>
        <v>13049.843000000001</v>
      </c>
      <c r="AM239" s="112">
        <f t="shared" si="58"/>
        <v>159.83699999999999</v>
      </c>
      <c r="AN239" s="112">
        <f t="shared" si="58"/>
        <v>23.879000000000001</v>
      </c>
      <c r="AO239" s="192">
        <f t="shared" si="55"/>
        <v>0.9879000096898638</v>
      </c>
      <c r="AP239" s="193">
        <f t="shared" si="56"/>
        <v>953.87900000000002</v>
      </c>
      <c r="AQ239" s="193">
        <f t="shared" si="57"/>
        <v>3931.0937193465188</v>
      </c>
      <c r="AR239" s="118"/>
      <c r="AS239" s="119"/>
      <c r="AT239" s="119"/>
      <c r="AU239" s="120"/>
      <c r="AV239" s="161"/>
      <c r="AW239" s="112">
        <v>13209680</v>
      </c>
      <c r="AX239" s="162">
        <v>13049843</v>
      </c>
      <c r="AY239" s="162">
        <v>159837</v>
      </c>
      <c r="AZ239" s="162">
        <v>23879</v>
      </c>
      <c r="BA239" s="196">
        <f>AX239/AW239</f>
        <v>0.9879000096898638</v>
      </c>
      <c r="BB239" s="210" t="s">
        <v>825</v>
      </c>
      <c r="BC239" s="115" t="s">
        <v>825</v>
      </c>
      <c r="BD239" s="236" t="s">
        <v>825</v>
      </c>
    </row>
    <row r="240" spans="1:56" s="121" customFormat="1" ht="14.25" customHeight="1">
      <c r="A240" s="104" t="s">
        <v>2577</v>
      </c>
      <c r="B240" s="105" t="s">
        <v>1360</v>
      </c>
      <c r="C240" s="106" t="s">
        <v>1443</v>
      </c>
      <c r="D240" s="106" t="s">
        <v>2415</v>
      </c>
      <c r="E240" s="71" t="s">
        <v>2015</v>
      </c>
      <c r="F240" s="71" t="s">
        <v>1404</v>
      </c>
      <c r="G240" s="290" t="s">
        <v>1405</v>
      </c>
      <c r="H240" s="331">
        <v>0</v>
      </c>
      <c r="I240" s="115">
        <v>2673.1154465825862</v>
      </c>
      <c r="J240" s="115">
        <v>0</v>
      </c>
      <c r="K240" s="236">
        <f t="shared" si="60"/>
        <v>2673.1154465825862</v>
      </c>
      <c r="L240" s="111">
        <v>0</v>
      </c>
      <c r="M240" s="111">
        <v>0</v>
      </c>
      <c r="N240" s="111">
        <v>0</v>
      </c>
      <c r="O240" s="111">
        <v>136</v>
      </c>
      <c r="P240" s="122">
        <v>6.0065539025510636E-2</v>
      </c>
      <c r="Q240" s="111">
        <v>8477</v>
      </c>
      <c r="R240" s="112"/>
      <c r="S240" s="111">
        <f t="shared" si="54"/>
        <v>509</v>
      </c>
      <c r="T240" s="112">
        <v>0</v>
      </c>
      <c r="U240" s="116"/>
      <c r="V240" s="111"/>
      <c r="W240" s="113">
        <f t="shared" si="61"/>
        <v>645</v>
      </c>
      <c r="X240" s="111">
        <v>9269.2567771415379</v>
      </c>
      <c r="Y240" s="111"/>
      <c r="Z240" s="116"/>
      <c r="AA240" s="111"/>
      <c r="AB240" s="113">
        <f t="shared" si="62"/>
        <v>9269.2567771415379</v>
      </c>
      <c r="AC240" s="111">
        <v>433.44437066313719</v>
      </c>
      <c r="AD240" s="111">
        <v>785.19960825158</v>
      </c>
      <c r="AE240" s="112">
        <v>0</v>
      </c>
      <c r="AF240" s="117">
        <v>105</v>
      </c>
      <c r="AG240" s="111">
        <v>2595.7377049180323</v>
      </c>
      <c r="AH240" s="112">
        <v>619.01828361433388</v>
      </c>
      <c r="AI240" s="112">
        <v>80.773848670496207</v>
      </c>
      <c r="AJ240" s="113">
        <f t="shared" si="63"/>
        <v>4619.1738161175799</v>
      </c>
      <c r="AK240" s="112">
        <f t="shared" si="58"/>
        <v>46423.915000000001</v>
      </c>
      <c r="AL240" s="112">
        <f t="shared" si="58"/>
        <v>32305.888999999999</v>
      </c>
      <c r="AM240" s="112">
        <f t="shared" si="58"/>
        <v>14118.026</v>
      </c>
      <c r="AN240" s="112">
        <f t="shared" si="58"/>
        <v>402.94499999999999</v>
      </c>
      <c r="AO240" s="192">
        <f t="shared" si="55"/>
        <v>0.69588893999999779</v>
      </c>
      <c r="AP240" s="193">
        <f t="shared" si="56"/>
        <v>1047.9449999999999</v>
      </c>
      <c r="AQ240" s="193">
        <f t="shared" si="57"/>
        <v>1625.1704465825862</v>
      </c>
      <c r="AR240" s="118"/>
      <c r="AS240" s="119"/>
      <c r="AT240" s="119"/>
      <c r="AU240" s="120"/>
      <c r="AV240" s="161"/>
      <c r="AW240" s="112">
        <v>46423915</v>
      </c>
      <c r="AX240" s="162">
        <v>32305889</v>
      </c>
      <c r="AY240" s="162">
        <v>14118026</v>
      </c>
      <c r="AZ240" s="162">
        <v>402945</v>
      </c>
      <c r="BA240" s="196">
        <f>AX240/AW240</f>
        <v>0.69588893999999779</v>
      </c>
      <c r="BB240" s="210" t="s">
        <v>825</v>
      </c>
      <c r="BC240" s="115" t="s">
        <v>825</v>
      </c>
      <c r="BD240" s="236" t="s">
        <v>825</v>
      </c>
    </row>
    <row r="241" spans="1:56" s="121" customFormat="1" ht="14.25" customHeight="1">
      <c r="A241" s="104" t="s">
        <v>2577</v>
      </c>
      <c r="B241" s="105" t="s">
        <v>1368</v>
      </c>
      <c r="C241" s="106" t="s">
        <v>1446</v>
      </c>
      <c r="D241" s="106" t="s">
        <v>2415</v>
      </c>
      <c r="E241" s="71" t="s">
        <v>1447</v>
      </c>
      <c r="F241" s="71" t="s">
        <v>1404</v>
      </c>
      <c r="G241" s="290" t="s">
        <v>1405</v>
      </c>
      <c r="H241" s="331">
        <v>0</v>
      </c>
      <c r="I241" s="115">
        <v>10711.837321661231</v>
      </c>
      <c r="J241" s="115">
        <v>281</v>
      </c>
      <c r="K241" s="236">
        <f t="shared" si="60"/>
        <v>10992.837321661231</v>
      </c>
      <c r="L241" s="111">
        <v>0</v>
      </c>
      <c r="M241" s="111">
        <v>0</v>
      </c>
      <c r="N241" s="111">
        <v>0</v>
      </c>
      <c r="O241" s="111">
        <v>136</v>
      </c>
      <c r="P241" s="122">
        <v>0.24069752898316724</v>
      </c>
      <c r="Q241" s="111">
        <v>8477</v>
      </c>
      <c r="R241" s="112"/>
      <c r="S241" s="111">
        <f t="shared" si="54"/>
        <v>2040</v>
      </c>
      <c r="T241" s="112">
        <v>12.353999999999999</v>
      </c>
      <c r="U241" s="116"/>
      <c r="V241" s="111"/>
      <c r="W241" s="113">
        <f t="shared" si="61"/>
        <v>2188.3539999999998</v>
      </c>
      <c r="X241" s="111">
        <v>37144.213436940481</v>
      </c>
      <c r="Y241" s="111"/>
      <c r="Z241" s="116"/>
      <c r="AA241" s="111"/>
      <c r="AB241" s="113">
        <f t="shared" si="62"/>
        <v>37144.213436940481</v>
      </c>
      <c r="AC241" s="111">
        <v>752</v>
      </c>
      <c r="AD241" s="111">
        <v>3146.4897931647174</v>
      </c>
      <c r="AE241" s="112">
        <v>0</v>
      </c>
      <c r="AF241" s="117">
        <v>701</v>
      </c>
      <c r="AG241" s="111">
        <v>14882.229508196719</v>
      </c>
      <c r="AH241" s="112">
        <v>2480.5599629779549</v>
      </c>
      <c r="AI241" s="112">
        <v>323.68086754688773</v>
      </c>
      <c r="AJ241" s="113">
        <f t="shared" si="63"/>
        <v>22285.960131886281</v>
      </c>
      <c r="AK241" s="112">
        <f t="shared" si="58"/>
        <v>1062910.477</v>
      </c>
      <c r="AL241" s="112">
        <f t="shared" si="58"/>
        <v>625183.47499999998</v>
      </c>
      <c r="AM241" s="112">
        <f t="shared" si="58"/>
        <v>437727.00199999998</v>
      </c>
      <c r="AN241" s="112">
        <f t="shared" si="58"/>
        <v>30137.966</v>
      </c>
      <c r="AO241" s="192">
        <f t="shared" si="55"/>
        <v>0.5881807438426444</v>
      </c>
      <c r="AP241" s="193">
        <f t="shared" si="56"/>
        <v>32326.32</v>
      </c>
      <c r="AQ241" s="193">
        <f t="shared" si="57"/>
        <v>-21333.482678338769</v>
      </c>
      <c r="AR241" s="118"/>
      <c r="AS241" s="119"/>
      <c r="AT241" s="119"/>
      <c r="AU241" s="120"/>
      <c r="AV241" s="161"/>
      <c r="AW241" s="112">
        <v>1062910477</v>
      </c>
      <c r="AX241" s="162">
        <v>625183475</v>
      </c>
      <c r="AY241" s="162">
        <v>437727002</v>
      </c>
      <c r="AZ241" s="162">
        <v>30137966</v>
      </c>
      <c r="BA241" s="196">
        <f>AX241/AW241</f>
        <v>0.5881807438426444</v>
      </c>
      <c r="BB241" s="210">
        <v>147503</v>
      </c>
      <c r="BC241" s="115">
        <v>0</v>
      </c>
      <c r="BD241" s="236">
        <v>0</v>
      </c>
    </row>
    <row r="242" spans="1:56" s="121" customFormat="1" ht="14.25" customHeight="1">
      <c r="A242" s="104" t="s">
        <v>2577</v>
      </c>
      <c r="B242" s="105" t="s">
        <v>305</v>
      </c>
      <c r="C242" s="106" t="s">
        <v>1450</v>
      </c>
      <c r="D242" s="106" t="s">
        <v>2415</v>
      </c>
      <c r="E242" s="71" t="s">
        <v>2071</v>
      </c>
      <c r="F242" s="71" t="s">
        <v>1404</v>
      </c>
      <c r="G242" s="290" t="s">
        <v>1405</v>
      </c>
      <c r="H242" s="331">
        <v>0</v>
      </c>
      <c r="I242" s="115"/>
      <c r="J242" s="115">
        <v>0</v>
      </c>
      <c r="K242" s="236">
        <f t="shared" si="60"/>
        <v>0</v>
      </c>
      <c r="L242" s="111">
        <v>19</v>
      </c>
      <c r="M242" s="111">
        <v>0</v>
      </c>
      <c r="N242" s="112">
        <v>0</v>
      </c>
      <c r="O242" s="111">
        <v>0</v>
      </c>
      <c r="P242" s="114">
        <v>0</v>
      </c>
      <c r="Q242" s="111">
        <v>8477</v>
      </c>
      <c r="R242" s="112"/>
      <c r="S242" s="111">
        <f t="shared" si="54"/>
        <v>0</v>
      </c>
      <c r="T242" s="112">
        <v>0</v>
      </c>
      <c r="U242" s="116"/>
      <c r="V242" s="111"/>
      <c r="W242" s="113">
        <f t="shared" si="61"/>
        <v>19</v>
      </c>
      <c r="X242" s="111"/>
      <c r="Y242" s="111"/>
      <c r="Z242" s="116"/>
      <c r="AA242" s="111"/>
      <c r="AB242" s="113">
        <f t="shared" si="62"/>
        <v>0</v>
      </c>
      <c r="AC242" s="111">
        <v>0</v>
      </c>
      <c r="AD242" s="111">
        <v>0</v>
      </c>
      <c r="AE242" s="111">
        <v>0</v>
      </c>
      <c r="AF242" s="117">
        <v>0</v>
      </c>
      <c r="AG242" s="111">
        <v>0</v>
      </c>
      <c r="AH242" s="111">
        <v>0</v>
      </c>
      <c r="AI242" s="111">
        <v>0</v>
      </c>
      <c r="AJ242" s="113">
        <f t="shared" si="63"/>
        <v>0</v>
      </c>
      <c r="AK242" s="112">
        <f t="shared" si="58"/>
        <v>0</v>
      </c>
      <c r="AL242" s="112">
        <f t="shared" si="58"/>
        <v>0</v>
      </c>
      <c r="AM242" s="112">
        <f t="shared" si="58"/>
        <v>0</v>
      </c>
      <c r="AN242" s="112">
        <f t="shared" si="58"/>
        <v>0</v>
      </c>
      <c r="AO242" s="192" t="str">
        <f t="shared" si="55"/>
        <v>-</v>
      </c>
      <c r="AP242" s="193">
        <f t="shared" si="56"/>
        <v>19</v>
      </c>
      <c r="AQ242" s="193">
        <f t="shared" si="57"/>
        <v>-19</v>
      </c>
      <c r="AR242" s="118"/>
      <c r="AS242" s="119"/>
      <c r="AT242" s="119"/>
      <c r="AU242" s="120"/>
      <c r="AV242" s="161"/>
      <c r="AW242" s="112">
        <v>0</v>
      </c>
      <c r="AX242" s="162">
        <v>0</v>
      </c>
      <c r="AY242" s="162">
        <v>0</v>
      </c>
      <c r="AZ242" s="162">
        <v>0</v>
      </c>
      <c r="BA242" s="196" t="s">
        <v>1966</v>
      </c>
      <c r="BB242" s="210" t="s">
        <v>825</v>
      </c>
      <c r="BC242" s="115" t="s">
        <v>825</v>
      </c>
      <c r="BD242" s="236" t="s">
        <v>825</v>
      </c>
    </row>
    <row r="243" spans="1:56" s="121" customFormat="1" ht="14.25" customHeight="1">
      <c r="A243" s="104" t="s">
        <v>2577</v>
      </c>
      <c r="B243" s="105" t="s">
        <v>1381</v>
      </c>
      <c r="C243" s="106" t="s">
        <v>1454</v>
      </c>
      <c r="D243" s="106" t="s">
        <v>2415</v>
      </c>
      <c r="E243" s="71" t="s">
        <v>1455</v>
      </c>
      <c r="F243" s="71" t="s">
        <v>78</v>
      </c>
      <c r="G243" s="67" t="s">
        <v>2328</v>
      </c>
      <c r="H243" s="330">
        <v>42276</v>
      </c>
      <c r="I243" s="111">
        <v>10865</v>
      </c>
      <c r="J243" s="112"/>
      <c r="K243" s="113">
        <f t="shared" si="60"/>
        <v>53141</v>
      </c>
      <c r="L243" s="111">
        <v>5678</v>
      </c>
      <c r="M243" s="111">
        <v>44420</v>
      </c>
      <c r="N243" s="112"/>
      <c r="O243" s="111">
        <v>1655</v>
      </c>
      <c r="P243" s="114">
        <v>40</v>
      </c>
      <c r="Q243" s="111">
        <v>8477</v>
      </c>
      <c r="R243" s="112">
        <v>8300</v>
      </c>
      <c r="S243" s="111">
        <f t="shared" si="54"/>
        <v>347380</v>
      </c>
      <c r="T243" s="112">
        <v>1382846</v>
      </c>
      <c r="U243" s="116">
        <v>23814</v>
      </c>
      <c r="V243" s="111"/>
      <c r="W243" s="113">
        <f t="shared" si="61"/>
        <v>1805793</v>
      </c>
      <c r="X243" s="111"/>
      <c r="Y243" s="111"/>
      <c r="Z243" s="116"/>
      <c r="AA243" s="111"/>
      <c r="AB243" s="113">
        <f t="shared" si="62"/>
        <v>0</v>
      </c>
      <c r="AC243" s="111"/>
      <c r="AD243" s="111"/>
      <c r="AE243" s="112"/>
      <c r="AF243" s="111"/>
      <c r="AG243" s="111"/>
      <c r="AH243" s="112"/>
      <c r="AI243" s="112"/>
      <c r="AJ243" s="113">
        <f t="shared" si="63"/>
        <v>0</v>
      </c>
      <c r="AK243" s="112">
        <f t="shared" si="58"/>
        <v>1866</v>
      </c>
      <c r="AL243" s="112">
        <f t="shared" si="58"/>
        <v>1221.1320000000001</v>
      </c>
      <c r="AM243" s="112">
        <f t="shared" si="58"/>
        <v>644.86800000000005</v>
      </c>
      <c r="AN243" s="112">
        <f t="shared" si="58"/>
        <v>74.171999999999997</v>
      </c>
      <c r="AO243" s="192">
        <f t="shared" si="55"/>
        <v>0.65441157556270102</v>
      </c>
      <c r="AP243" s="193">
        <f t="shared" si="56"/>
        <v>1805867.172</v>
      </c>
      <c r="AQ243" s="193">
        <f t="shared" si="57"/>
        <v>-1752726.172</v>
      </c>
      <c r="AR243" s="118"/>
      <c r="AS243" s="119"/>
      <c r="AT243" s="119"/>
      <c r="AU243" s="120"/>
      <c r="AV243" s="161"/>
      <c r="AW243" s="112">
        <v>1866000</v>
      </c>
      <c r="AX243" s="162">
        <v>1221132</v>
      </c>
      <c r="AY243" s="162">
        <v>644868</v>
      </c>
      <c r="AZ243" s="162">
        <v>74172</v>
      </c>
      <c r="BA243" s="196">
        <f>AX243/AW243</f>
        <v>0.65441157556270102</v>
      </c>
      <c r="BB243" s="210" t="s">
        <v>825</v>
      </c>
      <c r="BC243" s="115" t="s">
        <v>825</v>
      </c>
      <c r="BD243" s="236" t="s">
        <v>825</v>
      </c>
    </row>
    <row r="244" spans="1:56" s="121" customFormat="1" ht="14.25" customHeight="1">
      <c r="A244" s="104" t="s">
        <v>2577</v>
      </c>
      <c r="B244" s="105" t="s">
        <v>1389</v>
      </c>
      <c r="C244" s="524" t="s">
        <v>2101</v>
      </c>
      <c r="D244" s="106" t="s">
        <v>2415</v>
      </c>
      <c r="E244" s="66" t="s">
        <v>2102</v>
      </c>
      <c r="F244" s="71" t="s">
        <v>1404</v>
      </c>
      <c r="G244" s="68" t="s">
        <v>1405</v>
      </c>
      <c r="H244" s="210">
        <v>0</v>
      </c>
      <c r="I244" s="115">
        <v>366</v>
      </c>
      <c r="J244" s="115">
        <v>0</v>
      </c>
      <c r="K244" s="236">
        <f t="shared" si="60"/>
        <v>366</v>
      </c>
      <c r="L244" s="111">
        <v>0</v>
      </c>
      <c r="M244" s="111">
        <v>0</v>
      </c>
      <c r="N244" s="112">
        <v>0</v>
      </c>
      <c r="O244" s="111">
        <v>339</v>
      </c>
      <c r="P244" s="122">
        <v>8.2179616044098982E-3</v>
      </c>
      <c r="Q244" s="111">
        <v>8477</v>
      </c>
      <c r="R244" s="112"/>
      <c r="S244" s="111">
        <f t="shared" si="54"/>
        <v>70</v>
      </c>
      <c r="T244" s="112">
        <v>2</v>
      </c>
      <c r="U244" s="116"/>
      <c r="V244" s="111"/>
      <c r="W244" s="113">
        <f t="shared" si="61"/>
        <v>411</v>
      </c>
      <c r="X244" s="111">
        <v>1268</v>
      </c>
      <c r="Y244" s="111"/>
      <c r="Z244" s="116"/>
      <c r="AA244" s="111"/>
      <c r="AB244" s="113">
        <f t="shared" si="62"/>
        <v>1268</v>
      </c>
      <c r="AC244" s="111">
        <v>59</v>
      </c>
      <c r="AD244" s="111">
        <v>107</v>
      </c>
      <c r="AE244" s="112">
        <v>0</v>
      </c>
      <c r="AF244" s="117">
        <v>0</v>
      </c>
      <c r="AG244" s="111">
        <v>5191</v>
      </c>
      <c r="AH244" s="112">
        <v>85</v>
      </c>
      <c r="AI244" s="112">
        <v>11</v>
      </c>
      <c r="AJ244" s="113">
        <f t="shared" si="63"/>
        <v>5453</v>
      </c>
      <c r="AK244" s="112">
        <f t="shared" si="58"/>
        <v>250217.64</v>
      </c>
      <c r="AL244" s="112">
        <f t="shared" si="58"/>
        <v>122254.58</v>
      </c>
      <c r="AM244" s="112">
        <f t="shared" si="58"/>
        <v>127963.06</v>
      </c>
      <c r="AN244" s="112">
        <f t="shared" si="58"/>
        <v>24450.916000000001</v>
      </c>
      <c r="AO244" s="192">
        <f t="shared" si="55"/>
        <v>0.4885929705035984</v>
      </c>
      <c r="AP244" s="193">
        <f t="shared" si="56"/>
        <v>24861.916000000001</v>
      </c>
      <c r="AQ244" s="193">
        <f t="shared" si="57"/>
        <v>-24495.916000000001</v>
      </c>
      <c r="AR244" s="118"/>
      <c r="AS244" s="119"/>
      <c r="AT244" s="119"/>
      <c r="AU244" s="120"/>
      <c r="AV244" s="161"/>
      <c r="AW244" s="112">
        <v>250217640</v>
      </c>
      <c r="AX244" s="162">
        <v>122254580</v>
      </c>
      <c r="AY244" s="162">
        <v>127963060</v>
      </c>
      <c r="AZ244" s="162">
        <v>24450916</v>
      </c>
      <c r="BA244" s="196">
        <f>AX244/AW244</f>
        <v>0.4885929705035984</v>
      </c>
      <c r="BB244" s="210">
        <v>10547</v>
      </c>
      <c r="BC244" s="115">
        <v>0</v>
      </c>
      <c r="BD244" s="236">
        <v>0</v>
      </c>
    </row>
    <row r="245" spans="1:56" s="121" customFormat="1" ht="14.25" customHeight="1">
      <c r="A245" s="104" t="s">
        <v>2577</v>
      </c>
      <c r="B245" s="105" t="s">
        <v>1394</v>
      </c>
      <c r="C245" s="537" t="s">
        <v>1460</v>
      </c>
      <c r="D245" s="215" t="s">
        <v>2415</v>
      </c>
      <c r="E245" s="335" t="s">
        <v>1461</v>
      </c>
      <c r="F245" s="71" t="s">
        <v>78</v>
      </c>
      <c r="G245" s="66" t="s">
        <v>2328</v>
      </c>
      <c r="H245" s="110"/>
      <c r="I245" s="111"/>
      <c r="J245" s="112"/>
      <c r="K245" s="113">
        <f t="shared" si="60"/>
        <v>0</v>
      </c>
      <c r="L245" s="111">
        <v>108</v>
      </c>
      <c r="M245" s="111">
        <v>383</v>
      </c>
      <c r="N245" s="115"/>
      <c r="O245" s="111">
        <v>114</v>
      </c>
      <c r="P245" s="241">
        <v>0</v>
      </c>
      <c r="Q245" s="111">
        <v>8477</v>
      </c>
      <c r="R245" s="115">
        <v>4431</v>
      </c>
      <c r="S245" s="111">
        <f t="shared" si="54"/>
        <v>4431</v>
      </c>
      <c r="T245" s="112"/>
      <c r="U245" s="116"/>
      <c r="V245" s="112"/>
      <c r="W245" s="113">
        <f t="shared" si="61"/>
        <v>5036</v>
      </c>
      <c r="X245" s="111"/>
      <c r="Y245" s="111"/>
      <c r="Z245" s="116"/>
      <c r="AA245" s="111"/>
      <c r="AB245" s="113">
        <f t="shared" si="62"/>
        <v>0</v>
      </c>
      <c r="AC245" s="111"/>
      <c r="AD245" s="111"/>
      <c r="AE245" s="112"/>
      <c r="AF245" s="117"/>
      <c r="AG245" s="111"/>
      <c r="AH245" s="112"/>
      <c r="AI245" s="112"/>
      <c r="AJ245" s="113">
        <f t="shared" si="63"/>
        <v>0</v>
      </c>
      <c r="AK245" s="112">
        <f t="shared" si="58"/>
        <v>872961.88600000006</v>
      </c>
      <c r="AL245" s="112">
        <f t="shared" si="58"/>
        <v>705342.98699999996</v>
      </c>
      <c r="AM245" s="112">
        <f t="shared" si="58"/>
        <v>167618.899</v>
      </c>
      <c r="AN245" s="112">
        <f t="shared" si="58"/>
        <v>19993.932000000001</v>
      </c>
      <c r="AO245" s="192">
        <f t="shared" si="55"/>
        <v>0.80798829629544677</v>
      </c>
      <c r="AP245" s="193">
        <f t="shared" si="56"/>
        <v>25029.932000000001</v>
      </c>
      <c r="AQ245" s="193">
        <f t="shared" si="57"/>
        <v>-25029.932000000001</v>
      </c>
      <c r="AR245" s="118"/>
      <c r="AS245" s="119"/>
      <c r="AT245" s="119"/>
      <c r="AU245" s="120"/>
      <c r="AV245" s="161"/>
      <c r="AW245" s="112">
        <v>872961886</v>
      </c>
      <c r="AX245" s="162">
        <v>705342987</v>
      </c>
      <c r="AY245" s="162">
        <v>167618899</v>
      </c>
      <c r="AZ245" s="162">
        <v>19993932</v>
      </c>
      <c r="BA245" s="196">
        <f>AX245/AW245</f>
        <v>0.80798829629544677</v>
      </c>
      <c r="BB245" s="210">
        <v>106650</v>
      </c>
      <c r="BC245" s="115">
        <v>0</v>
      </c>
      <c r="BD245" s="236">
        <v>887.1</v>
      </c>
    </row>
    <row r="246" spans="1:56" s="121" customFormat="1" ht="14.25" customHeight="1">
      <c r="A246" s="104" t="s">
        <v>2577</v>
      </c>
      <c r="B246" s="105" t="s">
        <v>1399</v>
      </c>
      <c r="C246" s="106" t="s">
        <v>1468</v>
      </c>
      <c r="D246" s="106" t="s">
        <v>2415</v>
      </c>
      <c r="E246" s="71" t="s">
        <v>1469</v>
      </c>
      <c r="F246" s="71" t="s">
        <v>78</v>
      </c>
      <c r="G246" s="68" t="s">
        <v>2597</v>
      </c>
      <c r="H246" s="110"/>
      <c r="I246" s="112"/>
      <c r="J246" s="112"/>
      <c r="K246" s="113">
        <f t="shared" si="60"/>
        <v>0</v>
      </c>
      <c r="L246" s="115"/>
      <c r="M246" s="115"/>
      <c r="N246" s="115"/>
      <c r="O246" s="115"/>
      <c r="P246" s="122"/>
      <c r="Q246" s="111">
        <v>8477</v>
      </c>
      <c r="R246" s="115"/>
      <c r="S246" s="111">
        <f t="shared" si="54"/>
        <v>0</v>
      </c>
      <c r="T246" s="115"/>
      <c r="U246" s="144"/>
      <c r="V246" s="111"/>
      <c r="W246" s="113">
        <f t="shared" si="61"/>
        <v>0</v>
      </c>
      <c r="X246" s="111"/>
      <c r="Y246" s="111"/>
      <c r="Z246" s="116"/>
      <c r="AA246" s="111"/>
      <c r="AB246" s="113">
        <f t="shared" si="62"/>
        <v>0</v>
      </c>
      <c r="AC246" s="111"/>
      <c r="AD246" s="111"/>
      <c r="AE246" s="112"/>
      <c r="AF246" s="117"/>
      <c r="AG246" s="111"/>
      <c r="AH246" s="112"/>
      <c r="AI246" s="112"/>
      <c r="AJ246" s="113">
        <f t="shared" si="63"/>
        <v>0</v>
      </c>
      <c r="AK246" s="112">
        <f t="shared" si="58"/>
        <v>1050708.2579999999</v>
      </c>
      <c r="AL246" s="112">
        <f t="shared" si="58"/>
        <v>500602.12099999998</v>
      </c>
      <c r="AM246" s="112">
        <f t="shared" si="58"/>
        <v>550106.13699999999</v>
      </c>
      <c r="AN246" s="112">
        <f t="shared" si="58"/>
        <v>18763.174999999999</v>
      </c>
      <c r="AO246" s="192">
        <f t="shared" si="55"/>
        <v>0.47644254928850099</v>
      </c>
      <c r="AP246" s="193">
        <f t="shared" si="56"/>
        <v>18763.174999999999</v>
      </c>
      <c r="AQ246" s="193">
        <f t="shared" si="57"/>
        <v>-18763.174999999999</v>
      </c>
      <c r="AR246" s="118"/>
      <c r="AS246" s="119"/>
      <c r="AT246" s="119"/>
      <c r="AU246" s="120"/>
      <c r="AV246" s="161"/>
      <c r="AW246" s="112">
        <v>1050708258</v>
      </c>
      <c r="AX246" s="162">
        <v>500602121</v>
      </c>
      <c r="AY246" s="162">
        <v>550106137</v>
      </c>
      <c r="AZ246" s="162">
        <v>18763175</v>
      </c>
      <c r="BA246" s="196">
        <f>AX246/AW246</f>
        <v>0.47644254928850099</v>
      </c>
      <c r="BB246" s="210">
        <v>124746</v>
      </c>
      <c r="BC246" s="115">
        <v>0</v>
      </c>
      <c r="BD246" s="236">
        <v>0</v>
      </c>
    </row>
    <row r="247" spans="1:56" s="121" customFormat="1" ht="14.25" customHeight="1">
      <c r="A247" s="104" t="s">
        <v>2577</v>
      </c>
      <c r="B247" s="105" t="s">
        <v>756</v>
      </c>
      <c r="C247" s="106" t="s">
        <v>1475</v>
      </c>
      <c r="D247" s="106" t="s">
        <v>2415</v>
      </c>
      <c r="E247" s="71" t="s">
        <v>2321</v>
      </c>
      <c r="F247" s="71" t="s">
        <v>708</v>
      </c>
      <c r="G247" s="68" t="s">
        <v>1476</v>
      </c>
      <c r="H247" s="110">
        <v>0</v>
      </c>
      <c r="I247" s="112">
        <v>0</v>
      </c>
      <c r="J247" s="112">
        <v>4015</v>
      </c>
      <c r="K247" s="113">
        <v>4015</v>
      </c>
      <c r="L247" s="111">
        <v>0</v>
      </c>
      <c r="M247" s="111">
        <v>0</v>
      </c>
      <c r="N247" s="115">
        <v>0</v>
      </c>
      <c r="O247" s="111">
        <v>0</v>
      </c>
      <c r="P247" s="122">
        <v>0.6</v>
      </c>
      <c r="Q247" s="111">
        <v>8477</v>
      </c>
      <c r="R247" s="115"/>
      <c r="S247" s="111">
        <f t="shared" si="54"/>
        <v>5086</v>
      </c>
      <c r="T247" s="112"/>
      <c r="U247" s="116"/>
      <c r="V247" s="112"/>
      <c r="W247" s="113">
        <v>0</v>
      </c>
      <c r="X247" s="111">
        <v>41888</v>
      </c>
      <c r="Y247" s="111"/>
      <c r="Z247" s="116">
        <v>1</v>
      </c>
      <c r="AA247" s="111"/>
      <c r="AB247" s="113">
        <v>41889</v>
      </c>
      <c r="AC247" s="111">
        <v>4138</v>
      </c>
      <c r="AD247" s="111">
        <v>15237</v>
      </c>
      <c r="AE247" s="112">
        <v>0</v>
      </c>
      <c r="AF247" s="117">
        <v>2985</v>
      </c>
      <c r="AG247" s="111">
        <v>5458</v>
      </c>
      <c r="AH247" s="112">
        <v>2025</v>
      </c>
      <c r="AI247" s="112">
        <v>7722</v>
      </c>
      <c r="AJ247" s="113">
        <v>37565</v>
      </c>
      <c r="AK247" s="112">
        <f t="shared" si="58"/>
        <v>991695.31099999999</v>
      </c>
      <c r="AL247" s="112">
        <f t="shared" si="58"/>
        <v>741229.97199999995</v>
      </c>
      <c r="AM247" s="112">
        <f t="shared" si="58"/>
        <v>250465.33900000001</v>
      </c>
      <c r="AN247" s="112">
        <f t="shared" si="58"/>
        <v>0</v>
      </c>
      <c r="AO247" s="192">
        <f t="shared" si="55"/>
        <v>0</v>
      </c>
      <c r="AP247" s="193">
        <f t="shared" si="56"/>
        <v>0</v>
      </c>
      <c r="AQ247" s="193">
        <f t="shared" si="57"/>
        <v>4015</v>
      </c>
      <c r="AR247" s="118"/>
      <c r="AS247" s="119"/>
      <c r="AT247" s="119"/>
      <c r="AU247" s="120"/>
      <c r="AV247" s="161"/>
      <c r="AW247" s="112">
        <v>991695311</v>
      </c>
      <c r="AX247" s="162">
        <v>741229972</v>
      </c>
      <c r="AY247" s="162">
        <v>250465339</v>
      </c>
      <c r="AZ247" s="162"/>
      <c r="BA247" s="196"/>
      <c r="BB247" s="210">
        <v>66692</v>
      </c>
      <c r="BC247" s="115">
        <v>0</v>
      </c>
      <c r="BD247" s="236">
        <v>85.5</v>
      </c>
    </row>
    <row r="248" spans="1:56" s="121" customFormat="1" ht="14.25" customHeight="1">
      <c r="A248" s="104" t="s">
        <v>2577</v>
      </c>
      <c r="B248" s="105" t="s">
        <v>1413</v>
      </c>
      <c r="C248" s="106" t="s">
        <v>1480</v>
      </c>
      <c r="D248" s="106" t="s">
        <v>2415</v>
      </c>
      <c r="E248" s="71" t="s">
        <v>1481</v>
      </c>
      <c r="F248" s="71" t="s">
        <v>708</v>
      </c>
      <c r="G248" s="290" t="s">
        <v>2602</v>
      </c>
      <c r="H248" s="162"/>
      <c r="I248" s="112"/>
      <c r="J248" s="112"/>
      <c r="K248" s="113">
        <f t="shared" ref="K248" si="65">SUBTOTAL(9,H248:J248)</f>
        <v>0</v>
      </c>
      <c r="L248" s="111">
        <v>8</v>
      </c>
      <c r="M248" s="115"/>
      <c r="N248" s="115"/>
      <c r="O248" s="115"/>
      <c r="P248" s="114"/>
      <c r="Q248" s="111">
        <v>8477</v>
      </c>
      <c r="R248" s="115"/>
      <c r="S248" s="111">
        <f t="shared" si="54"/>
        <v>0</v>
      </c>
      <c r="T248" s="115"/>
      <c r="U248" s="116"/>
      <c r="V248" s="112"/>
      <c r="W248" s="113">
        <f t="shared" ref="W248" si="66">SUBTOTAL(9,L248:O248,S248:V248)</f>
        <v>8</v>
      </c>
      <c r="X248" s="111"/>
      <c r="Y248" s="111"/>
      <c r="Z248" s="116"/>
      <c r="AA248" s="111"/>
      <c r="AB248" s="113">
        <f t="shared" ref="AB248" si="67">SUBTOTAL(9,X248:AA248)</f>
        <v>0</v>
      </c>
      <c r="AC248" s="111"/>
      <c r="AD248" s="111"/>
      <c r="AE248" s="112"/>
      <c r="AF248" s="117"/>
      <c r="AG248" s="111"/>
      <c r="AH248" s="112"/>
      <c r="AI248" s="112"/>
      <c r="AJ248" s="113">
        <f t="shared" ref="AJ248" si="68">SUBTOTAL(9,AC248:AI248)</f>
        <v>0</v>
      </c>
      <c r="AK248" s="112">
        <f t="shared" si="58"/>
        <v>9176.4809999999998</v>
      </c>
      <c r="AL248" s="112">
        <f t="shared" si="58"/>
        <v>7227.5029999999997</v>
      </c>
      <c r="AM248" s="112">
        <f t="shared" si="58"/>
        <v>1948.9780000000001</v>
      </c>
      <c r="AN248" s="112">
        <f t="shared" si="58"/>
        <v>332.86200000000002</v>
      </c>
      <c r="AO248" s="192">
        <f t="shared" si="55"/>
        <v>0.78761161277400349</v>
      </c>
      <c r="AP248" s="193">
        <f t="shared" si="56"/>
        <v>340.86200000000002</v>
      </c>
      <c r="AQ248" s="193">
        <f t="shared" si="57"/>
        <v>-340.86200000000002</v>
      </c>
      <c r="AR248" s="118"/>
      <c r="AS248" s="119"/>
      <c r="AT248" s="119"/>
      <c r="AU248" s="120"/>
      <c r="AV248" s="161"/>
      <c r="AW248" s="112">
        <v>9176481</v>
      </c>
      <c r="AX248" s="162">
        <v>7227503</v>
      </c>
      <c r="AY248" s="162">
        <v>1948978</v>
      </c>
      <c r="AZ248" s="162">
        <v>332862</v>
      </c>
      <c r="BA248" s="196">
        <f>AX248/AW248</f>
        <v>0.78761161277400349</v>
      </c>
      <c r="BB248" s="210" t="s">
        <v>825</v>
      </c>
      <c r="BC248" s="115" t="s">
        <v>825</v>
      </c>
      <c r="BD248" s="236" t="s">
        <v>825</v>
      </c>
    </row>
    <row r="249" spans="1:56" s="121" customFormat="1" ht="14.25" customHeight="1">
      <c r="A249" s="104" t="s">
        <v>2577</v>
      </c>
      <c r="B249" s="105" t="s">
        <v>1416</v>
      </c>
      <c r="C249" s="106" t="s">
        <v>1483</v>
      </c>
      <c r="D249" s="106" t="s">
        <v>2415</v>
      </c>
      <c r="E249" s="71" t="s">
        <v>1484</v>
      </c>
      <c r="F249" s="71" t="s">
        <v>139</v>
      </c>
      <c r="G249" s="158" t="s">
        <v>2601</v>
      </c>
      <c r="H249" s="110"/>
      <c r="I249" s="111"/>
      <c r="J249" s="112"/>
      <c r="K249" s="113">
        <f t="shared" si="60"/>
        <v>0</v>
      </c>
      <c r="L249" s="111"/>
      <c r="M249" s="111"/>
      <c r="N249" s="112"/>
      <c r="O249" s="111"/>
      <c r="P249" s="159"/>
      <c r="Q249" s="111">
        <v>8477</v>
      </c>
      <c r="R249" s="115"/>
      <c r="S249" s="111">
        <f t="shared" si="54"/>
        <v>0</v>
      </c>
      <c r="T249" s="112"/>
      <c r="U249" s="116"/>
      <c r="V249" s="111"/>
      <c r="W249" s="113">
        <f t="shared" si="61"/>
        <v>0</v>
      </c>
      <c r="X249" s="111"/>
      <c r="Y249" s="111"/>
      <c r="Z249" s="116"/>
      <c r="AA249" s="111"/>
      <c r="AB249" s="113">
        <f t="shared" si="62"/>
        <v>0</v>
      </c>
      <c r="AC249" s="111"/>
      <c r="AD249" s="111"/>
      <c r="AE249" s="112"/>
      <c r="AF249" s="117"/>
      <c r="AG249" s="111"/>
      <c r="AH249" s="112"/>
      <c r="AI249" s="112"/>
      <c r="AJ249" s="113">
        <f t="shared" si="63"/>
        <v>0</v>
      </c>
      <c r="AK249" s="112">
        <f t="shared" si="58"/>
        <v>314010.13400000002</v>
      </c>
      <c r="AL249" s="112">
        <f t="shared" si="58"/>
        <v>88981.27</v>
      </c>
      <c r="AM249" s="112">
        <f t="shared" si="58"/>
        <v>225028.864</v>
      </c>
      <c r="AN249" s="112">
        <f t="shared" si="58"/>
        <v>7070.4179999999997</v>
      </c>
      <c r="AO249" s="192">
        <f t="shared" si="55"/>
        <v>0.28337069529099973</v>
      </c>
      <c r="AP249" s="193">
        <f t="shared" si="56"/>
        <v>7070.4179999999997</v>
      </c>
      <c r="AQ249" s="193">
        <f t="shared" si="57"/>
        <v>-7070.4179999999997</v>
      </c>
      <c r="AR249" s="118"/>
      <c r="AS249" s="119"/>
      <c r="AT249" s="119"/>
      <c r="AU249" s="120"/>
      <c r="AV249" s="161"/>
      <c r="AW249" s="112">
        <v>314010134</v>
      </c>
      <c r="AX249" s="162">
        <v>88981270</v>
      </c>
      <c r="AY249" s="162">
        <v>225028864</v>
      </c>
      <c r="AZ249" s="162">
        <v>7070418</v>
      </c>
      <c r="BA249" s="196">
        <f>AX249/AW249</f>
        <v>0.28337069529099973</v>
      </c>
      <c r="BB249" s="210">
        <v>152606</v>
      </c>
      <c r="BC249" s="115">
        <v>495</v>
      </c>
      <c r="BD249" s="236">
        <v>0</v>
      </c>
    </row>
    <row r="250" spans="1:56" s="121" customFormat="1" ht="14.25" customHeight="1">
      <c r="A250" s="104" t="s">
        <v>2577</v>
      </c>
      <c r="B250" s="105" t="s">
        <v>1419</v>
      </c>
      <c r="C250" s="106" t="s">
        <v>1492</v>
      </c>
      <c r="D250" s="106" t="s">
        <v>2415</v>
      </c>
      <c r="E250" s="71" t="s">
        <v>1493</v>
      </c>
      <c r="F250" s="71" t="s">
        <v>1493</v>
      </c>
      <c r="G250" s="109" t="s">
        <v>1493</v>
      </c>
      <c r="H250" s="110"/>
      <c r="I250" s="111"/>
      <c r="J250" s="112"/>
      <c r="K250" s="113"/>
      <c r="L250" s="111"/>
      <c r="M250" s="111"/>
      <c r="N250" s="112"/>
      <c r="O250" s="111"/>
      <c r="P250" s="114"/>
      <c r="Q250" s="111">
        <v>8477</v>
      </c>
      <c r="R250" s="115"/>
      <c r="S250" s="111"/>
      <c r="T250" s="112"/>
      <c r="U250" s="116"/>
      <c r="V250" s="111"/>
      <c r="W250" s="113"/>
      <c r="X250" s="111"/>
      <c r="Y250" s="111"/>
      <c r="Z250" s="116"/>
      <c r="AA250" s="111"/>
      <c r="AB250" s="113"/>
      <c r="AC250" s="111"/>
      <c r="AD250" s="111"/>
      <c r="AE250" s="112"/>
      <c r="AF250" s="117"/>
      <c r="AG250" s="111"/>
      <c r="AH250" s="112"/>
      <c r="AI250" s="112"/>
      <c r="AJ250" s="113"/>
      <c r="AK250" s="112"/>
      <c r="AL250" s="112"/>
      <c r="AM250" s="112"/>
      <c r="AN250" s="112"/>
      <c r="AO250" s="162"/>
      <c r="AP250" s="162"/>
      <c r="AQ250" s="162"/>
      <c r="AR250" s="118"/>
      <c r="AS250" s="119"/>
      <c r="AT250" s="119"/>
      <c r="AU250" s="120"/>
      <c r="AV250" s="161"/>
      <c r="AW250" s="112">
        <v>0</v>
      </c>
      <c r="AX250" s="162">
        <v>0</v>
      </c>
      <c r="AY250" s="162">
        <v>0</v>
      </c>
      <c r="AZ250" s="162">
        <v>0</v>
      </c>
      <c r="BA250" s="196" t="s">
        <v>1966</v>
      </c>
      <c r="BB250" s="210" t="s">
        <v>825</v>
      </c>
      <c r="BC250" s="115" t="s">
        <v>825</v>
      </c>
      <c r="BD250" s="236" t="s">
        <v>825</v>
      </c>
    </row>
    <row r="251" spans="1:56" s="121" customFormat="1" ht="14.25" customHeight="1">
      <c r="A251" s="104" t="s">
        <v>2577</v>
      </c>
      <c r="B251" s="105" t="s">
        <v>1426</v>
      </c>
      <c r="C251" s="106" t="s">
        <v>1501</v>
      </c>
      <c r="D251" s="106" t="s">
        <v>2415</v>
      </c>
      <c r="E251" s="71" t="s">
        <v>1502</v>
      </c>
      <c r="F251" s="71" t="s">
        <v>1502</v>
      </c>
      <c r="G251" s="68" t="s">
        <v>1503</v>
      </c>
      <c r="H251" s="110"/>
      <c r="I251" s="111"/>
      <c r="J251" s="112"/>
      <c r="K251" s="113"/>
      <c r="L251" s="111"/>
      <c r="M251" s="111"/>
      <c r="N251" s="112"/>
      <c r="O251" s="111"/>
      <c r="P251" s="114"/>
      <c r="Q251" s="111">
        <v>8477</v>
      </c>
      <c r="R251" s="115"/>
      <c r="S251" s="111"/>
      <c r="T251" s="112"/>
      <c r="U251" s="116"/>
      <c r="V251" s="111"/>
      <c r="W251" s="113"/>
      <c r="X251" s="111"/>
      <c r="Y251" s="111"/>
      <c r="Z251" s="116"/>
      <c r="AA251" s="111"/>
      <c r="AB251" s="113"/>
      <c r="AC251" s="111"/>
      <c r="AD251" s="111"/>
      <c r="AE251" s="112"/>
      <c r="AF251" s="117"/>
      <c r="AG251" s="111"/>
      <c r="AH251" s="112"/>
      <c r="AI251" s="112"/>
      <c r="AJ251" s="113"/>
      <c r="AK251" s="112"/>
      <c r="AL251" s="162"/>
      <c r="AM251" s="162"/>
      <c r="AN251" s="162"/>
      <c r="AO251" s="162"/>
      <c r="AP251" s="162"/>
      <c r="AQ251" s="162"/>
      <c r="AR251" s="118"/>
      <c r="AS251" s="119"/>
      <c r="AT251" s="119"/>
      <c r="AU251" s="120"/>
      <c r="AV251" s="161"/>
      <c r="AW251" s="112">
        <v>0</v>
      </c>
      <c r="AX251" s="162">
        <v>0</v>
      </c>
      <c r="AY251" s="162">
        <v>0</v>
      </c>
      <c r="AZ251" s="162">
        <v>0</v>
      </c>
      <c r="BA251" s="196" t="s">
        <v>1966</v>
      </c>
      <c r="BB251" s="210" t="s">
        <v>825</v>
      </c>
      <c r="BC251" s="115" t="s">
        <v>825</v>
      </c>
      <c r="BD251" s="236" t="s">
        <v>825</v>
      </c>
    </row>
    <row r="252" spans="1:56" s="121" customFormat="1" ht="14.25" customHeight="1">
      <c r="A252" s="104" t="s">
        <v>2577</v>
      </c>
      <c r="B252" s="105" t="s">
        <v>1429</v>
      </c>
      <c r="C252" s="106" t="s">
        <v>1506</v>
      </c>
      <c r="D252" s="106" t="s">
        <v>2415</v>
      </c>
      <c r="E252" s="71" t="s">
        <v>1507</v>
      </c>
      <c r="F252" s="71" t="s">
        <v>1502</v>
      </c>
      <c r="G252" s="68" t="s">
        <v>1508</v>
      </c>
      <c r="H252" s="110"/>
      <c r="I252" s="111"/>
      <c r="J252" s="112"/>
      <c r="K252" s="113"/>
      <c r="L252" s="111"/>
      <c r="M252" s="111"/>
      <c r="N252" s="112"/>
      <c r="O252" s="111"/>
      <c r="P252" s="114"/>
      <c r="Q252" s="111">
        <v>8477</v>
      </c>
      <c r="R252" s="115"/>
      <c r="S252" s="111"/>
      <c r="T252" s="112"/>
      <c r="U252" s="116"/>
      <c r="V252" s="111"/>
      <c r="W252" s="113"/>
      <c r="X252" s="111"/>
      <c r="Y252" s="111"/>
      <c r="Z252" s="116"/>
      <c r="AA252" s="111"/>
      <c r="AB252" s="113"/>
      <c r="AC252" s="111"/>
      <c r="AD252" s="111"/>
      <c r="AE252" s="112"/>
      <c r="AF252" s="117"/>
      <c r="AG252" s="111"/>
      <c r="AH252" s="112"/>
      <c r="AI252" s="112"/>
      <c r="AJ252" s="113"/>
      <c r="AK252" s="112"/>
      <c r="AL252" s="162"/>
      <c r="AM252" s="162"/>
      <c r="AN252" s="162"/>
      <c r="AO252" s="162"/>
      <c r="AP252" s="162"/>
      <c r="AQ252" s="162"/>
      <c r="AR252" s="118"/>
      <c r="AS252" s="119"/>
      <c r="AT252" s="119"/>
      <c r="AU252" s="120"/>
      <c r="AV252" s="161"/>
      <c r="AW252" s="112">
        <v>0</v>
      </c>
      <c r="AX252" s="162">
        <v>0</v>
      </c>
      <c r="AY252" s="162">
        <v>0</v>
      </c>
      <c r="AZ252" s="162">
        <v>0</v>
      </c>
      <c r="BA252" s="196" t="s">
        <v>1966</v>
      </c>
      <c r="BB252" s="210" t="s">
        <v>825</v>
      </c>
      <c r="BC252" s="115" t="s">
        <v>825</v>
      </c>
      <c r="BD252" s="236" t="s">
        <v>825</v>
      </c>
    </row>
    <row r="253" spans="1:56" s="121" customFormat="1" ht="14.25" customHeight="1">
      <c r="A253" s="104" t="s">
        <v>2577</v>
      </c>
      <c r="B253" s="105" t="s">
        <v>1432</v>
      </c>
      <c r="C253" s="106" t="s">
        <v>1945</v>
      </c>
      <c r="D253" s="106" t="s">
        <v>2415</v>
      </c>
      <c r="E253" s="71" t="s">
        <v>1511</v>
      </c>
      <c r="F253" s="71" t="s">
        <v>1502</v>
      </c>
      <c r="G253" s="68" t="s">
        <v>1508</v>
      </c>
      <c r="H253" s="110"/>
      <c r="I253" s="111"/>
      <c r="J253" s="112"/>
      <c r="K253" s="113"/>
      <c r="L253" s="111"/>
      <c r="M253" s="111"/>
      <c r="N253" s="112"/>
      <c r="O253" s="111"/>
      <c r="P253" s="114"/>
      <c r="Q253" s="111">
        <v>8477</v>
      </c>
      <c r="R253" s="115"/>
      <c r="S253" s="111"/>
      <c r="T253" s="112"/>
      <c r="U253" s="116"/>
      <c r="V253" s="111"/>
      <c r="W253" s="113"/>
      <c r="X253" s="111"/>
      <c r="Y253" s="111"/>
      <c r="Z253" s="116"/>
      <c r="AA253" s="111"/>
      <c r="AB253" s="113"/>
      <c r="AC253" s="111"/>
      <c r="AD253" s="111"/>
      <c r="AE253" s="112"/>
      <c r="AF253" s="117"/>
      <c r="AG253" s="111"/>
      <c r="AH253" s="112"/>
      <c r="AI253" s="112"/>
      <c r="AJ253" s="113"/>
      <c r="AK253" s="112"/>
      <c r="AL253" s="162"/>
      <c r="AM253" s="162"/>
      <c r="AN253" s="162"/>
      <c r="AO253" s="162"/>
      <c r="AP253" s="162"/>
      <c r="AQ253" s="162"/>
      <c r="AR253" s="118"/>
      <c r="AS253" s="119"/>
      <c r="AT253" s="119"/>
      <c r="AU253" s="120"/>
      <c r="AV253" s="161"/>
      <c r="AW253" s="112">
        <v>0</v>
      </c>
      <c r="AX253" s="162">
        <v>0</v>
      </c>
      <c r="AY253" s="162">
        <v>0</v>
      </c>
      <c r="AZ253" s="162">
        <v>0</v>
      </c>
      <c r="BA253" s="196" t="s">
        <v>1966</v>
      </c>
      <c r="BB253" s="210" t="s">
        <v>825</v>
      </c>
      <c r="BC253" s="115" t="s">
        <v>825</v>
      </c>
      <c r="BD253" s="236" t="s">
        <v>825</v>
      </c>
    </row>
    <row r="254" spans="1:56" s="121" customFormat="1" ht="14.25" customHeight="1">
      <c r="A254" s="104" t="s">
        <v>2577</v>
      </c>
      <c r="B254" s="105" t="s">
        <v>1434</v>
      </c>
      <c r="C254" s="106" t="s">
        <v>1946</v>
      </c>
      <c r="D254" s="106" t="s">
        <v>2415</v>
      </c>
      <c r="E254" s="71" t="s">
        <v>1514</v>
      </c>
      <c r="F254" s="71" t="s">
        <v>1502</v>
      </c>
      <c r="G254" s="68" t="s">
        <v>1508</v>
      </c>
      <c r="H254" s="110"/>
      <c r="I254" s="111"/>
      <c r="J254" s="112"/>
      <c r="K254" s="113"/>
      <c r="L254" s="111"/>
      <c r="M254" s="111"/>
      <c r="N254" s="112"/>
      <c r="O254" s="111"/>
      <c r="P254" s="114"/>
      <c r="Q254" s="111">
        <v>8477</v>
      </c>
      <c r="R254" s="115"/>
      <c r="S254" s="111"/>
      <c r="T254" s="112"/>
      <c r="U254" s="116"/>
      <c r="V254" s="111"/>
      <c r="W254" s="113"/>
      <c r="X254" s="111"/>
      <c r="Y254" s="111"/>
      <c r="Z254" s="116"/>
      <c r="AA254" s="111"/>
      <c r="AB254" s="113"/>
      <c r="AC254" s="111"/>
      <c r="AD254" s="111"/>
      <c r="AE254" s="112"/>
      <c r="AF254" s="117"/>
      <c r="AG254" s="111"/>
      <c r="AH254" s="112"/>
      <c r="AI254" s="112"/>
      <c r="AJ254" s="113"/>
      <c r="AK254" s="112"/>
      <c r="AL254" s="162"/>
      <c r="AM254" s="162"/>
      <c r="AN254" s="162"/>
      <c r="AO254" s="162"/>
      <c r="AP254" s="162"/>
      <c r="AQ254" s="162"/>
      <c r="AR254" s="118"/>
      <c r="AS254" s="119"/>
      <c r="AT254" s="119"/>
      <c r="AU254" s="120"/>
      <c r="AV254" s="161"/>
      <c r="AW254" s="112">
        <v>0</v>
      </c>
      <c r="AX254" s="162">
        <v>0</v>
      </c>
      <c r="AY254" s="162">
        <v>0</v>
      </c>
      <c r="AZ254" s="162">
        <v>0</v>
      </c>
      <c r="BA254" s="196" t="s">
        <v>1966</v>
      </c>
      <c r="BB254" s="210" t="s">
        <v>825</v>
      </c>
      <c r="BC254" s="115" t="s">
        <v>825</v>
      </c>
      <c r="BD254" s="236" t="s">
        <v>825</v>
      </c>
    </row>
    <row r="255" spans="1:56" s="121" customFormat="1" ht="14.25" customHeight="1">
      <c r="A255" s="104" t="s">
        <v>2577</v>
      </c>
      <c r="B255" s="105" t="s">
        <v>1436</v>
      </c>
      <c r="C255" s="106" t="s">
        <v>1947</v>
      </c>
      <c r="D255" s="106" t="s">
        <v>2415</v>
      </c>
      <c r="E255" s="71" t="s">
        <v>1911</v>
      </c>
      <c r="F255" s="71" t="s">
        <v>1502</v>
      </c>
      <c r="G255" s="68" t="s">
        <v>1508</v>
      </c>
      <c r="H255" s="110"/>
      <c r="I255" s="111"/>
      <c r="J255" s="112"/>
      <c r="K255" s="113"/>
      <c r="L255" s="111"/>
      <c r="M255" s="111"/>
      <c r="N255" s="112"/>
      <c r="O255" s="111"/>
      <c r="P255" s="114"/>
      <c r="Q255" s="111">
        <v>8477</v>
      </c>
      <c r="R255" s="115"/>
      <c r="S255" s="111"/>
      <c r="T255" s="112"/>
      <c r="U255" s="116"/>
      <c r="V255" s="111"/>
      <c r="W255" s="113"/>
      <c r="X255" s="111"/>
      <c r="Y255" s="111"/>
      <c r="Z255" s="116"/>
      <c r="AA255" s="111"/>
      <c r="AB255" s="113"/>
      <c r="AC255" s="111"/>
      <c r="AD255" s="111"/>
      <c r="AE255" s="112"/>
      <c r="AF255" s="117"/>
      <c r="AG255" s="111"/>
      <c r="AH255" s="112"/>
      <c r="AI255" s="112"/>
      <c r="AJ255" s="113"/>
      <c r="AK255" s="112"/>
      <c r="AL255" s="162"/>
      <c r="AM255" s="162"/>
      <c r="AN255" s="162"/>
      <c r="AO255" s="162"/>
      <c r="AP255" s="162"/>
      <c r="AQ255" s="162"/>
      <c r="AR255" s="118"/>
      <c r="AS255" s="119"/>
      <c r="AT255" s="119"/>
      <c r="AU255" s="120"/>
      <c r="AV255" s="161"/>
      <c r="AW255" s="112">
        <v>0</v>
      </c>
      <c r="AX255" s="162">
        <v>0</v>
      </c>
      <c r="AY255" s="162">
        <v>0</v>
      </c>
      <c r="AZ255" s="162">
        <v>0</v>
      </c>
      <c r="BA255" s="196" t="s">
        <v>1966</v>
      </c>
      <c r="BB255" s="210" t="s">
        <v>825</v>
      </c>
      <c r="BC255" s="115" t="s">
        <v>825</v>
      </c>
      <c r="BD255" s="236" t="s">
        <v>825</v>
      </c>
    </row>
    <row r="256" spans="1:56" s="121" customFormat="1" ht="14.25" customHeight="1">
      <c r="A256" s="104" t="s">
        <v>2577</v>
      </c>
      <c r="B256" s="105" t="s">
        <v>1440</v>
      </c>
      <c r="C256" s="106" t="s">
        <v>1516</v>
      </c>
      <c r="D256" s="106" t="s">
        <v>2415</v>
      </c>
      <c r="E256" s="71" t="s">
        <v>1517</v>
      </c>
      <c r="F256" s="71" t="s">
        <v>1502</v>
      </c>
      <c r="G256" s="68" t="s">
        <v>1518</v>
      </c>
      <c r="H256" s="110"/>
      <c r="I256" s="111"/>
      <c r="J256" s="112"/>
      <c r="K256" s="113"/>
      <c r="L256" s="111"/>
      <c r="M256" s="111"/>
      <c r="N256" s="112"/>
      <c r="O256" s="111"/>
      <c r="P256" s="114"/>
      <c r="Q256" s="111">
        <v>8477</v>
      </c>
      <c r="R256" s="115"/>
      <c r="S256" s="111"/>
      <c r="T256" s="112"/>
      <c r="U256" s="116"/>
      <c r="V256" s="111"/>
      <c r="W256" s="113"/>
      <c r="X256" s="111"/>
      <c r="Y256" s="111"/>
      <c r="Z256" s="116"/>
      <c r="AA256" s="111"/>
      <c r="AB256" s="113"/>
      <c r="AC256" s="111"/>
      <c r="AD256" s="111"/>
      <c r="AE256" s="112"/>
      <c r="AF256" s="117"/>
      <c r="AG256" s="111"/>
      <c r="AH256" s="112"/>
      <c r="AI256" s="112"/>
      <c r="AJ256" s="113"/>
      <c r="AK256" s="112"/>
      <c r="AL256" s="162"/>
      <c r="AM256" s="162"/>
      <c r="AN256" s="162"/>
      <c r="AO256" s="162"/>
      <c r="AP256" s="162"/>
      <c r="AQ256" s="162"/>
      <c r="AR256" s="118"/>
      <c r="AS256" s="119"/>
      <c r="AT256" s="119"/>
      <c r="AU256" s="120"/>
      <c r="AV256" s="161"/>
      <c r="AW256" s="112">
        <v>0</v>
      </c>
      <c r="AX256" s="162">
        <v>0</v>
      </c>
      <c r="AY256" s="162">
        <v>0</v>
      </c>
      <c r="AZ256" s="162">
        <v>0</v>
      </c>
      <c r="BA256" s="196" t="s">
        <v>1966</v>
      </c>
      <c r="BB256" s="210">
        <v>41557</v>
      </c>
      <c r="BC256" s="115">
        <v>0</v>
      </c>
      <c r="BD256" s="236">
        <v>0</v>
      </c>
    </row>
    <row r="257" spans="1:56" s="121" customFormat="1" ht="14.25" customHeight="1">
      <c r="A257" s="104" t="s">
        <v>2577</v>
      </c>
      <c r="B257" s="105" t="s">
        <v>1442</v>
      </c>
      <c r="C257" s="106" t="s">
        <v>1523</v>
      </c>
      <c r="D257" s="106" t="s">
        <v>2415</v>
      </c>
      <c r="E257" s="71" t="s">
        <v>1524</v>
      </c>
      <c r="F257" s="71" t="s">
        <v>1502</v>
      </c>
      <c r="G257" s="68" t="s">
        <v>1518</v>
      </c>
      <c r="H257" s="110"/>
      <c r="I257" s="111"/>
      <c r="J257" s="112"/>
      <c r="K257" s="113"/>
      <c r="L257" s="111"/>
      <c r="M257" s="111"/>
      <c r="N257" s="112"/>
      <c r="O257" s="111"/>
      <c r="P257" s="114"/>
      <c r="Q257" s="111">
        <v>8477</v>
      </c>
      <c r="R257" s="115"/>
      <c r="S257" s="111"/>
      <c r="T257" s="112"/>
      <c r="U257" s="116"/>
      <c r="V257" s="111"/>
      <c r="W257" s="113"/>
      <c r="X257" s="111"/>
      <c r="Y257" s="111"/>
      <c r="Z257" s="116"/>
      <c r="AA257" s="111"/>
      <c r="AB257" s="113"/>
      <c r="AC257" s="111"/>
      <c r="AD257" s="111"/>
      <c r="AE257" s="112"/>
      <c r="AF257" s="117"/>
      <c r="AG257" s="111"/>
      <c r="AH257" s="112"/>
      <c r="AI257" s="112"/>
      <c r="AJ257" s="113"/>
      <c r="AK257" s="112"/>
      <c r="AL257" s="162"/>
      <c r="AM257" s="162"/>
      <c r="AN257" s="162"/>
      <c r="AO257" s="162"/>
      <c r="AP257" s="162"/>
      <c r="AQ257" s="162"/>
      <c r="AR257" s="118"/>
      <c r="AS257" s="119"/>
      <c r="AT257" s="119"/>
      <c r="AU257" s="120"/>
      <c r="AV257" s="161"/>
      <c r="AW257" s="112">
        <v>0</v>
      </c>
      <c r="AX257" s="162">
        <v>0</v>
      </c>
      <c r="AY257" s="162">
        <v>0</v>
      </c>
      <c r="AZ257" s="162">
        <v>0</v>
      </c>
      <c r="BA257" s="196" t="s">
        <v>1966</v>
      </c>
      <c r="BB257" s="210">
        <v>30990</v>
      </c>
      <c r="BC257" s="115">
        <v>0</v>
      </c>
      <c r="BD257" s="236">
        <v>0</v>
      </c>
    </row>
    <row r="258" spans="1:56" s="121" customFormat="1" ht="14.25" customHeight="1">
      <c r="A258" s="104" t="s">
        <v>2577</v>
      </c>
      <c r="B258" s="105" t="s">
        <v>1445</v>
      </c>
      <c r="C258" s="106" t="s">
        <v>1526</v>
      </c>
      <c r="D258" s="106" t="s">
        <v>2415</v>
      </c>
      <c r="E258" s="71" t="s">
        <v>1527</v>
      </c>
      <c r="F258" s="71" t="s">
        <v>1502</v>
      </c>
      <c r="G258" s="68" t="s">
        <v>1518</v>
      </c>
      <c r="H258" s="110"/>
      <c r="I258" s="111"/>
      <c r="J258" s="112"/>
      <c r="K258" s="113"/>
      <c r="L258" s="111"/>
      <c r="M258" s="111"/>
      <c r="N258" s="112"/>
      <c r="O258" s="111"/>
      <c r="P258" s="114"/>
      <c r="Q258" s="111">
        <v>8477</v>
      </c>
      <c r="R258" s="115"/>
      <c r="S258" s="111"/>
      <c r="T258" s="112"/>
      <c r="U258" s="116"/>
      <c r="V258" s="111"/>
      <c r="W258" s="113"/>
      <c r="X258" s="111"/>
      <c r="Y258" s="111"/>
      <c r="Z258" s="116"/>
      <c r="AA258" s="111"/>
      <c r="AB258" s="113"/>
      <c r="AC258" s="111"/>
      <c r="AD258" s="111"/>
      <c r="AE258" s="112"/>
      <c r="AF258" s="117"/>
      <c r="AG258" s="111"/>
      <c r="AH258" s="112"/>
      <c r="AI258" s="112"/>
      <c r="AJ258" s="113"/>
      <c r="AK258" s="112"/>
      <c r="AL258" s="162"/>
      <c r="AM258" s="162"/>
      <c r="AN258" s="162"/>
      <c r="AO258" s="162"/>
      <c r="AP258" s="162"/>
      <c r="AQ258" s="162"/>
      <c r="AR258" s="118"/>
      <c r="AS258" s="119"/>
      <c r="AT258" s="119"/>
      <c r="AU258" s="120"/>
      <c r="AV258" s="161"/>
      <c r="AW258" s="112">
        <v>0</v>
      </c>
      <c r="AX258" s="162">
        <v>0</v>
      </c>
      <c r="AY258" s="162">
        <v>0</v>
      </c>
      <c r="AZ258" s="162">
        <v>0</v>
      </c>
      <c r="BA258" s="196" t="s">
        <v>1966</v>
      </c>
      <c r="BB258" s="210">
        <v>14070</v>
      </c>
      <c r="BC258" s="115">
        <v>0</v>
      </c>
      <c r="BD258" s="236">
        <v>0</v>
      </c>
    </row>
    <row r="259" spans="1:56" s="121" customFormat="1" ht="14.25" customHeight="1">
      <c r="A259" s="104" t="s">
        <v>2577</v>
      </c>
      <c r="B259" s="105" t="s">
        <v>1449</v>
      </c>
      <c r="C259" s="106" t="s">
        <v>1529</v>
      </c>
      <c r="D259" s="106" t="s">
        <v>2415</v>
      </c>
      <c r="E259" s="71" t="s">
        <v>1530</v>
      </c>
      <c r="F259" s="71" t="s">
        <v>1502</v>
      </c>
      <c r="G259" s="68" t="s">
        <v>1518</v>
      </c>
      <c r="H259" s="110"/>
      <c r="I259" s="111"/>
      <c r="J259" s="112"/>
      <c r="K259" s="113"/>
      <c r="L259" s="111"/>
      <c r="M259" s="111"/>
      <c r="N259" s="112"/>
      <c r="O259" s="111"/>
      <c r="P259" s="114"/>
      <c r="Q259" s="111">
        <v>8477</v>
      </c>
      <c r="R259" s="115"/>
      <c r="S259" s="111"/>
      <c r="T259" s="112"/>
      <c r="U259" s="116"/>
      <c r="V259" s="111"/>
      <c r="W259" s="113"/>
      <c r="X259" s="111"/>
      <c r="Y259" s="111"/>
      <c r="Z259" s="116"/>
      <c r="AA259" s="111"/>
      <c r="AB259" s="113"/>
      <c r="AC259" s="111"/>
      <c r="AD259" s="111"/>
      <c r="AE259" s="112"/>
      <c r="AF259" s="117"/>
      <c r="AG259" s="111"/>
      <c r="AH259" s="112"/>
      <c r="AI259" s="112"/>
      <c r="AJ259" s="113"/>
      <c r="AK259" s="112"/>
      <c r="AL259" s="162"/>
      <c r="AM259" s="162"/>
      <c r="AN259" s="162"/>
      <c r="AO259" s="162"/>
      <c r="AP259" s="162"/>
      <c r="AQ259" s="162"/>
      <c r="AR259" s="118"/>
      <c r="AS259" s="119"/>
      <c r="AT259" s="119"/>
      <c r="AU259" s="120"/>
      <c r="AV259" s="161"/>
      <c r="AW259" s="112">
        <v>0</v>
      </c>
      <c r="AX259" s="162">
        <v>0</v>
      </c>
      <c r="AY259" s="162">
        <v>0</v>
      </c>
      <c r="AZ259" s="162">
        <v>0</v>
      </c>
      <c r="BA259" s="196" t="s">
        <v>1966</v>
      </c>
      <c r="BB259" s="371">
        <v>30662</v>
      </c>
      <c r="BC259" s="372">
        <v>0</v>
      </c>
      <c r="BD259" s="373">
        <v>0</v>
      </c>
    </row>
    <row r="260" spans="1:56" ht="14.25" customHeight="1">
      <c r="A260" s="104" t="s">
        <v>2577</v>
      </c>
      <c r="B260" s="105" t="s">
        <v>1453</v>
      </c>
      <c r="C260" s="107" t="s">
        <v>1532</v>
      </c>
      <c r="D260" s="106" t="s">
        <v>2415</v>
      </c>
      <c r="E260" s="131" t="s">
        <v>1533</v>
      </c>
      <c r="F260" s="131" t="s">
        <v>1502</v>
      </c>
      <c r="G260" s="327" t="s">
        <v>1518</v>
      </c>
      <c r="H260" s="110"/>
      <c r="I260" s="111"/>
      <c r="J260" s="112"/>
      <c r="K260" s="113"/>
      <c r="L260" s="111"/>
      <c r="M260" s="111"/>
      <c r="N260" s="112"/>
      <c r="O260" s="111"/>
      <c r="P260" s="114"/>
      <c r="Q260" s="111">
        <v>8477</v>
      </c>
      <c r="R260" s="115"/>
      <c r="S260" s="111"/>
      <c r="T260" s="112"/>
      <c r="U260" s="116"/>
      <c r="V260" s="111"/>
      <c r="W260" s="113"/>
      <c r="X260" s="111"/>
      <c r="Y260" s="111"/>
      <c r="Z260" s="116"/>
      <c r="AA260" s="111"/>
      <c r="AB260" s="113"/>
      <c r="AC260" s="111"/>
      <c r="AD260" s="111"/>
      <c r="AE260" s="112"/>
      <c r="AF260" s="117"/>
      <c r="AG260" s="111"/>
      <c r="AH260" s="112"/>
      <c r="AI260" s="112"/>
      <c r="AJ260" s="113"/>
      <c r="AK260" s="112"/>
      <c r="AL260" s="162"/>
      <c r="AM260" s="162"/>
      <c r="AN260" s="162"/>
      <c r="AO260" s="162"/>
      <c r="AP260" s="162"/>
      <c r="AQ260" s="162"/>
      <c r="AR260" s="118"/>
      <c r="AS260" s="119"/>
      <c r="AT260" s="119"/>
      <c r="AU260" s="120"/>
      <c r="AV260" s="161"/>
      <c r="AW260" s="112">
        <v>0</v>
      </c>
      <c r="AX260" s="162">
        <v>0</v>
      </c>
      <c r="AY260" s="162">
        <v>0</v>
      </c>
      <c r="AZ260" s="162">
        <v>0</v>
      </c>
      <c r="BA260" s="196" t="s">
        <v>1966</v>
      </c>
      <c r="BB260" s="371">
        <v>67797</v>
      </c>
      <c r="BC260" s="372">
        <v>0</v>
      </c>
      <c r="BD260" s="373">
        <v>0</v>
      </c>
    </row>
    <row r="261" spans="1:56" ht="14.25" customHeight="1">
      <c r="A261" s="104" t="s">
        <v>2577</v>
      </c>
      <c r="B261" s="105" t="s">
        <v>1459</v>
      </c>
      <c r="C261" s="106" t="s">
        <v>1535</v>
      </c>
      <c r="D261" s="106" t="s">
        <v>2415</v>
      </c>
      <c r="E261" s="71" t="s">
        <v>1536</v>
      </c>
      <c r="F261" s="71" t="s">
        <v>1502</v>
      </c>
      <c r="G261" s="68" t="s">
        <v>1518</v>
      </c>
      <c r="H261" s="110"/>
      <c r="I261" s="111"/>
      <c r="J261" s="112"/>
      <c r="K261" s="113"/>
      <c r="L261" s="111"/>
      <c r="M261" s="111"/>
      <c r="N261" s="112"/>
      <c r="O261" s="111"/>
      <c r="P261" s="114"/>
      <c r="Q261" s="111">
        <v>8477</v>
      </c>
      <c r="R261" s="115"/>
      <c r="S261" s="111"/>
      <c r="T261" s="112"/>
      <c r="U261" s="116"/>
      <c r="V261" s="111"/>
      <c r="W261" s="113"/>
      <c r="X261" s="111"/>
      <c r="Y261" s="111"/>
      <c r="Z261" s="116"/>
      <c r="AA261" s="111"/>
      <c r="AB261" s="113"/>
      <c r="AC261" s="111"/>
      <c r="AD261" s="111"/>
      <c r="AE261" s="112"/>
      <c r="AF261" s="117"/>
      <c r="AG261" s="111"/>
      <c r="AH261" s="112"/>
      <c r="AI261" s="112"/>
      <c r="AJ261" s="113"/>
      <c r="AK261" s="112"/>
      <c r="AL261" s="162"/>
      <c r="AM261" s="162"/>
      <c r="AN261" s="162"/>
      <c r="AO261" s="162"/>
      <c r="AP261" s="162"/>
      <c r="AQ261" s="162"/>
      <c r="AR261" s="118"/>
      <c r="AS261" s="119"/>
      <c r="AT261" s="119"/>
      <c r="AU261" s="120"/>
      <c r="AV261" s="161"/>
      <c r="AW261" s="112">
        <v>0</v>
      </c>
      <c r="AX261" s="162">
        <v>0</v>
      </c>
      <c r="AY261" s="162">
        <v>0</v>
      </c>
      <c r="AZ261" s="162">
        <v>0</v>
      </c>
      <c r="BA261" s="196" t="s">
        <v>1966</v>
      </c>
      <c r="BB261" s="371">
        <v>18278</v>
      </c>
      <c r="BC261" s="372">
        <v>0</v>
      </c>
      <c r="BD261" s="373">
        <v>0</v>
      </c>
    </row>
    <row r="262" spans="1:56" ht="14.25" customHeight="1">
      <c r="A262" s="104" t="s">
        <v>2577</v>
      </c>
      <c r="B262" s="105" t="s">
        <v>1467</v>
      </c>
      <c r="C262" s="106" t="s">
        <v>1538</v>
      </c>
      <c r="D262" s="106" t="s">
        <v>2415</v>
      </c>
      <c r="E262" s="71" t="s">
        <v>1539</v>
      </c>
      <c r="F262" s="71" t="s">
        <v>1502</v>
      </c>
      <c r="G262" s="68" t="s">
        <v>1518</v>
      </c>
      <c r="H262" s="110"/>
      <c r="I262" s="111"/>
      <c r="J262" s="112"/>
      <c r="K262" s="113"/>
      <c r="L262" s="111"/>
      <c r="M262" s="111"/>
      <c r="N262" s="112"/>
      <c r="O262" s="111"/>
      <c r="P262" s="114"/>
      <c r="Q262" s="111">
        <v>8477</v>
      </c>
      <c r="R262" s="115"/>
      <c r="S262" s="111"/>
      <c r="T262" s="112"/>
      <c r="U262" s="116"/>
      <c r="V262" s="111"/>
      <c r="W262" s="113"/>
      <c r="X262" s="111"/>
      <c r="Y262" s="111"/>
      <c r="Z262" s="116"/>
      <c r="AA262" s="111"/>
      <c r="AB262" s="113"/>
      <c r="AC262" s="111"/>
      <c r="AD262" s="111"/>
      <c r="AE262" s="112"/>
      <c r="AF262" s="117"/>
      <c r="AG262" s="111"/>
      <c r="AH262" s="112"/>
      <c r="AI262" s="112"/>
      <c r="AJ262" s="113"/>
      <c r="AK262" s="112"/>
      <c r="AL262" s="162"/>
      <c r="AM262" s="162"/>
      <c r="AN262" s="162"/>
      <c r="AO262" s="162"/>
      <c r="AP262" s="162"/>
      <c r="AQ262" s="162"/>
      <c r="AR262" s="118"/>
      <c r="AS262" s="119"/>
      <c r="AT262" s="119"/>
      <c r="AU262" s="120"/>
      <c r="AV262" s="161"/>
      <c r="AW262" s="112">
        <v>0</v>
      </c>
      <c r="AX262" s="162">
        <v>0</v>
      </c>
      <c r="AY262" s="162">
        <v>0</v>
      </c>
      <c r="AZ262" s="162">
        <v>0</v>
      </c>
      <c r="BA262" s="196" t="s">
        <v>1966</v>
      </c>
      <c r="BB262" s="371">
        <v>16180</v>
      </c>
      <c r="BC262" s="372">
        <v>0</v>
      </c>
      <c r="BD262" s="373">
        <v>0</v>
      </c>
    </row>
    <row r="263" spans="1:56" ht="14.25" customHeight="1">
      <c r="A263" s="104" t="s">
        <v>2577</v>
      </c>
      <c r="B263" s="105" t="s">
        <v>2574</v>
      </c>
      <c r="C263" s="106" t="s">
        <v>1541</v>
      </c>
      <c r="D263" s="106" t="s">
        <v>2415</v>
      </c>
      <c r="E263" s="71" t="s">
        <v>1542</v>
      </c>
      <c r="F263" s="71" t="s">
        <v>1542</v>
      </c>
      <c r="G263" s="68" t="s">
        <v>1542</v>
      </c>
      <c r="H263" s="110"/>
      <c r="I263" s="111"/>
      <c r="J263" s="112"/>
      <c r="K263" s="113"/>
      <c r="L263" s="111"/>
      <c r="M263" s="111"/>
      <c r="N263" s="112"/>
      <c r="O263" s="111"/>
      <c r="P263" s="114"/>
      <c r="Q263" s="111">
        <v>8477</v>
      </c>
      <c r="R263" s="115"/>
      <c r="S263" s="111"/>
      <c r="T263" s="112"/>
      <c r="U263" s="116"/>
      <c r="V263" s="111"/>
      <c r="W263" s="113"/>
      <c r="X263" s="111"/>
      <c r="Y263" s="111"/>
      <c r="Z263" s="116"/>
      <c r="AA263" s="111"/>
      <c r="AB263" s="113"/>
      <c r="AC263" s="111"/>
      <c r="AD263" s="111"/>
      <c r="AE263" s="112"/>
      <c r="AF263" s="117"/>
      <c r="AG263" s="111"/>
      <c r="AH263" s="112"/>
      <c r="AI263" s="112"/>
      <c r="AJ263" s="113"/>
      <c r="AK263" s="112"/>
      <c r="AL263" s="162"/>
      <c r="AM263" s="162"/>
      <c r="AN263" s="162"/>
      <c r="AO263" s="162"/>
      <c r="AP263" s="162"/>
      <c r="AQ263" s="162"/>
      <c r="AR263" s="118"/>
      <c r="AS263" s="119"/>
      <c r="AT263" s="119"/>
      <c r="AU263" s="120"/>
      <c r="AV263" s="161"/>
      <c r="AW263" s="112">
        <v>0</v>
      </c>
      <c r="AX263" s="162">
        <v>0</v>
      </c>
      <c r="AY263" s="162">
        <v>0</v>
      </c>
      <c r="AZ263" s="162">
        <v>0</v>
      </c>
      <c r="BA263" s="196" t="s">
        <v>1966</v>
      </c>
      <c r="BB263" s="371" t="s">
        <v>825</v>
      </c>
      <c r="BC263" s="372" t="s">
        <v>825</v>
      </c>
      <c r="BD263" s="373" t="s">
        <v>825</v>
      </c>
    </row>
  </sheetData>
  <autoFilter ref="A3:BD263" xr:uid="{00000000-0009-0000-0000-000003000000}"/>
  <phoneticPr fontId="5"/>
  <conditionalFormatting sqref="E4">
    <cfRule type="duplicateValues" dxfId="116" priority="40"/>
  </conditionalFormatting>
  <conditionalFormatting sqref="E5:E9">
    <cfRule type="duplicateValues" dxfId="115" priority="12"/>
  </conditionalFormatting>
  <conditionalFormatting sqref="E10">
    <cfRule type="duplicateValues" dxfId="114" priority="17"/>
  </conditionalFormatting>
  <conditionalFormatting sqref="E11">
    <cfRule type="duplicateValues" dxfId="113" priority="39"/>
  </conditionalFormatting>
  <conditionalFormatting sqref="E13">
    <cfRule type="duplicateValues" dxfId="112" priority="41"/>
  </conditionalFormatting>
  <conditionalFormatting sqref="E14">
    <cfRule type="duplicateValues" dxfId="111" priority="14"/>
  </conditionalFormatting>
  <conditionalFormatting sqref="E15">
    <cfRule type="duplicateValues" dxfId="110" priority="28"/>
  </conditionalFormatting>
  <conditionalFormatting sqref="E16">
    <cfRule type="duplicateValues" dxfId="109" priority="48"/>
  </conditionalFormatting>
  <conditionalFormatting sqref="E17">
    <cfRule type="duplicateValues" dxfId="108" priority="29"/>
  </conditionalFormatting>
  <conditionalFormatting sqref="E18">
    <cfRule type="duplicateValues" dxfId="107" priority="18"/>
  </conditionalFormatting>
  <conditionalFormatting sqref="E19:E30">
    <cfRule type="duplicateValues" dxfId="106" priority="13"/>
  </conditionalFormatting>
  <conditionalFormatting sqref="E31:E37">
    <cfRule type="duplicateValues" dxfId="105" priority="19"/>
  </conditionalFormatting>
  <conditionalFormatting sqref="E38">
    <cfRule type="duplicateValues" dxfId="104" priority="49"/>
  </conditionalFormatting>
  <conditionalFormatting sqref="E74">
    <cfRule type="duplicateValues" dxfId="103" priority="43"/>
  </conditionalFormatting>
  <conditionalFormatting sqref="E75:E86 E39:E73">
    <cfRule type="duplicateValues" dxfId="102" priority="20"/>
  </conditionalFormatting>
  <conditionalFormatting sqref="E87">
    <cfRule type="duplicateValues" dxfId="101" priority="15"/>
  </conditionalFormatting>
  <conditionalFormatting sqref="E88:E102">
    <cfRule type="duplicateValues" dxfId="100" priority="21"/>
  </conditionalFormatting>
  <conditionalFormatting sqref="E103">
    <cfRule type="duplicateValues" dxfId="99" priority="31"/>
  </conditionalFormatting>
  <conditionalFormatting sqref="E104:E105">
    <cfRule type="duplicateValues" dxfId="98" priority="26"/>
  </conditionalFormatting>
  <conditionalFormatting sqref="E106:E107">
    <cfRule type="duplicateValues" dxfId="97" priority="34"/>
  </conditionalFormatting>
  <conditionalFormatting sqref="E108:E110">
    <cfRule type="duplicateValues" dxfId="96" priority="47"/>
  </conditionalFormatting>
  <conditionalFormatting sqref="E111">
    <cfRule type="duplicateValues" dxfId="95" priority="44"/>
  </conditionalFormatting>
  <conditionalFormatting sqref="E112">
    <cfRule type="duplicateValues" dxfId="94" priority="23"/>
  </conditionalFormatting>
  <conditionalFormatting sqref="E113">
    <cfRule type="duplicateValues" dxfId="93" priority="24"/>
  </conditionalFormatting>
  <conditionalFormatting sqref="E114:E115">
    <cfRule type="duplicateValues" dxfId="92" priority="35"/>
  </conditionalFormatting>
  <conditionalFormatting sqref="E116">
    <cfRule type="duplicateValues" dxfId="91" priority="42"/>
  </conditionalFormatting>
  <conditionalFormatting sqref="E117">
    <cfRule type="duplicateValues" dxfId="90" priority="1"/>
  </conditionalFormatting>
  <conditionalFormatting sqref="E123:E139">
    <cfRule type="duplicateValues" dxfId="89" priority="37"/>
  </conditionalFormatting>
  <conditionalFormatting sqref="E140:E156">
    <cfRule type="duplicateValues" dxfId="88" priority="25"/>
  </conditionalFormatting>
  <conditionalFormatting sqref="E157:E164">
    <cfRule type="duplicateValues" dxfId="87" priority="38"/>
  </conditionalFormatting>
  <conditionalFormatting sqref="E165">
    <cfRule type="duplicateValues" dxfId="86" priority="9"/>
  </conditionalFormatting>
  <conditionalFormatting sqref="E167">
    <cfRule type="duplicateValues" dxfId="85" priority="10"/>
  </conditionalFormatting>
  <conditionalFormatting sqref="E168">
    <cfRule type="duplicateValues" dxfId="84" priority="11"/>
  </conditionalFormatting>
  <conditionalFormatting sqref="E169:E182">
    <cfRule type="duplicateValues" dxfId="83" priority="51"/>
  </conditionalFormatting>
  <conditionalFormatting sqref="E183">
    <cfRule type="duplicateValues" dxfId="82" priority="5"/>
  </conditionalFormatting>
  <conditionalFormatting sqref="E184">
    <cfRule type="duplicateValues" dxfId="81" priority="45"/>
  </conditionalFormatting>
  <conditionalFormatting sqref="E189">
    <cfRule type="duplicateValues" dxfId="80" priority="16"/>
  </conditionalFormatting>
  <conditionalFormatting sqref="E190:E191">
    <cfRule type="duplicateValues" dxfId="79" priority="22"/>
  </conditionalFormatting>
  <conditionalFormatting sqref="E192">
    <cfRule type="duplicateValues" dxfId="78" priority="3"/>
  </conditionalFormatting>
  <conditionalFormatting sqref="E193:E217">
    <cfRule type="duplicateValues" dxfId="77" priority="52"/>
  </conditionalFormatting>
  <conditionalFormatting sqref="E218">
    <cfRule type="duplicateValues" dxfId="76" priority="50"/>
  </conditionalFormatting>
  <conditionalFormatting sqref="E219:E225">
    <cfRule type="duplicateValues" dxfId="75" priority="53"/>
  </conditionalFormatting>
  <conditionalFormatting sqref="E226">
    <cfRule type="duplicateValues" dxfId="74" priority="8"/>
  </conditionalFormatting>
  <conditionalFormatting sqref="E227:E230">
    <cfRule type="duplicateValues" dxfId="73" priority="54"/>
  </conditionalFormatting>
  <conditionalFormatting sqref="E231:E243">
    <cfRule type="duplicateValues" dxfId="72" priority="32"/>
  </conditionalFormatting>
  <conditionalFormatting sqref="E244">
    <cfRule type="duplicateValues" dxfId="71" priority="6"/>
  </conditionalFormatting>
  <conditionalFormatting sqref="E245">
    <cfRule type="duplicateValues" dxfId="70" priority="33"/>
  </conditionalFormatting>
  <conditionalFormatting sqref="E246">
    <cfRule type="duplicateValues" dxfId="69" priority="7"/>
  </conditionalFormatting>
  <conditionalFormatting sqref="E247">
    <cfRule type="duplicateValues" dxfId="68" priority="27"/>
  </conditionalFormatting>
  <conditionalFormatting sqref="E248">
    <cfRule type="duplicateValues" dxfId="67" priority="30"/>
  </conditionalFormatting>
  <conditionalFormatting sqref="E249">
    <cfRule type="duplicateValues" dxfId="66" priority="4"/>
  </conditionalFormatting>
  <conditionalFormatting sqref="E250">
    <cfRule type="duplicateValues" dxfId="65" priority="36"/>
  </conditionalFormatting>
  <conditionalFormatting sqref="E251:E259 E1:E3 E118:E122 E166 E185:E188 E12">
    <cfRule type="duplicateValues" dxfId="64" priority="46"/>
  </conditionalFormatting>
  <conditionalFormatting sqref="E260:E263">
    <cfRule type="duplicateValues" dxfId="63" priority="2"/>
  </conditionalFormatting>
  <dataValidations count="1">
    <dataValidation allowBlank="1" showErrorMessage="1" sqref="H1:AJ1048576" xr:uid="{00000000-0002-0000-0300-000000000000}"/>
  </dataValidations>
  <pageMargins left="0.70866141732283472" right="0.70866141732283472" top="0.74803149606299213" bottom="0.74803149606299213" header="0.31496062992125984" footer="0.31496062992125984"/>
  <pageSetup paperSize="8" scale="65" fitToWidth="2" fitToHeight="0" orientation="landscape" r:id="rId1"/>
  <headerFooter>
    <oddHeader>&amp;L&amp;A&amp;R&amp;F</oddHead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pageSetUpPr fitToPage="1"/>
  </sheetPr>
  <dimension ref="A1:BD869"/>
  <sheetViews>
    <sheetView topLeftCell="A121" workbookViewId="0">
      <selection activeCell="AQ4" sqref="AQ4:AQ259"/>
    </sheetView>
    <sheetView workbookViewId="1"/>
  </sheetViews>
  <sheetFormatPr defaultColWidth="9" defaultRowHeight="11.25"/>
  <cols>
    <col min="1" max="1" width="5.5" style="62" customWidth="1"/>
    <col min="2" max="2" width="3.875" style="61" customWidth="1"/>
    <col min="3" max="4" width="4.125" style="41" customWidth="1"/>
    <col min="5" max="5" width="29.125" style="9" bestFit="1" customWidth="1"/>
    <col min="6" max="6" width="10" style="9" bestFit="1" customWidth="1"/>
    <col min="7" max="7" width="38.25" style="9" bestFit="1" customWidth="1"/>
    <col min="8" max="10" width="6.75" style="11" customWidth="1"/>
    <col min="11" max="11" width="6.75" style="15" customWidth="1"/>
    <col min="12" max="15" width="6.875" style="11" customWidth="1"/>
    <col min="16" max="16" width="10.5" style="15" customWidth="1"/>
    <col min="17" max="17" width="6.75" style="15" customWidth="1"/>
    <col min="18" max="18" width="10" style="12" customWidth="1"/>
    <col min="19" max="19" width="9.25" style="15" customWidth="1"/>
    <col min="20" max="21" width="6.875" style="11" customWidth="1"/>
    <col min="22" max="22" width="7.5" style="11" customWidth="1"/>
    <col min="23" max="23" width="6.875" style="15" customWidth="1"/>
    <col min="24" max="27" width="7.5" style="11" customWidth="1"/>
    <col min="28" max="28" width="7.5" style="15" customWidth="1"/>
    <col min="29" max="35" width="7.5" style="11" customWidth="1"/>
    <col min="36" max="36" width="8.5" style="15" bestFit="1" customWidth="1"/>
    <col min="37" max="37" width="8" style="15" customWidth="1"/>
    <col min="38" max="38" width="9.625" style="15" customWidth="1"/>
    <col min="39" max="39" width="8" style="15" customWidth="1"/>
    <col min="40" max="41" width="9.625" style="15" customWidth="1"/>
    <col min="42" max="43" width="10.125" style="15" customWidth="1"/>
    <col min="44" max="44" width="12.5" style="13" customWidth="1"/>
    <col min="45" max="47" width="12.5" style="14" customWidth="1"/>
    <col min="48" max="48" width="4.625" style="63" customWidth="1"/>
    <col min="49" max="53" width="9.75" style="15" customWidth="1"/>
    <col min="54" max="54" width="9" style="378"/>
    <col min="55" max="55" width="13.625" style="378" customWidth="1"/>
    <col min="56" max="56" width="11.75" style="378" customWidth="1"/>
    <col min="57" max="16384" width="9" style="15"/>
  </cols>
  <sheetData>
    <row r="1" spans="1:56" s="90" customFormat="1" ht="13.5">
      <c r="A1" s="76" t="s">
        <v>1803</v>
      </c>
      <c r="B1" s="77"/>
      <c r="C1" s="78"/>
      <c r="D1" s="78"/>
      <c r="E1" s="79"/>
      <c r="F1" s="79"/>
      <c r="G1" s="79"/>
      <c r="H1" s="80" t="s">
        <v>2431</v>
      </c>
      <c r="I1" s="81"/>
      <c r="J1" s="81"/>
      <c r="K1" s="82"/>
      <c r="L1" s="225" t="s">
        <v>2432</v>
      </c>
      <c r="M1" s="81"/>
      <c r="N1" s="81"/>
      <c r="O1" s="81"/>
      <c r="P1" s="84"/>
      <c r="Q1" s="84"/>
      <c r="R1" s="85"/>
      <c r="S1" s="84"/>
      <c r="T1" s="81"/>
      <c r="U1" s="81"/>
      <c r="V1" s="84"/>
      <c r="W1" s="82"/>
      <c r="X1" s="80" t="s">
        <v>2433</v>
      </c>
      <c r="Y1" s="81"/>
      <c r="Z1" s="81"/>
      <c r="AA1" s="81"/>
      <c r="AB1" s="82"/>
      <c r="AC1" s="80" t="s">
        <v>2434</v>
      </c>
      <c r="AD1" s="81"/>
      <c r="AE1" s="81"/>
      <c r="AF1" s="81"/>
      <c r="AG1" s="81"/>
      <c r="AH1" s="81"/>
      <c r="AI1" s="81"/>
      <c r="AJ1" s="82"/>
      <c r="AK1" s="336" t="s">
        <v>1987</v>
      </c>
      <c r="AL1" s="81"/>
      <c r="AM1" s="81"/>
      <c r="AN1" s="81"/>
      <c r="AO1" s="81"/>
      <c r="AP1" s="81" t="s">
        <v>1988</v>
      </c>
      <c r="AQ1" s="82" t="s">
        <v>1991</v>
      </c>
      <c r="AR1" s="87" t="s">
        <v>1804</v>
      </c>
      <c r="AS1" s="88"/>
      <c r="AT1" s="88"/>
      <c r="AU1" s="89"/>
      <c r="AV1" s="336" t="s">
        <v>1952</v>
      </c>
      <c r="AW1" s="81"/>
      <c r="AX1" s="81"/>
      <c r="AY1" s="81"/>
      <c r="AZ1" s="81"/>
      <c r="BA1" s="82"/>
      <c r="BB1" s="365" t="s">
        <v>2422</v>
      </c>
      <c r="BC1" s="85"/>
      <c r="BD1" s="366"/>
    </row>
    <row r="2" spans="1:56" s="90" customFormat="1" ht="16.5" customHeight="1">
      <c r="A2" s="76"/>
      <c r="B2" s="77"/>
      <c r="C2" s="78"/>
      <c r="D2" s="78"/>
      <c r="E2" s="79"/>
      <c r="F2" s="79"/>
      <c r="G2" s="79"/>
      <c r="H2" s="80" t="s">
        <v>1820</v>
      </c>
      <c r="I2" s="81" t="s">
        <v>1821</v>
      </c>
      <c r="J2" s="81" t="s">
        <v>1822</v>
      </c>
      <c r="K2" s="82" t="s">
        <v>1823</v>
      </c>
      <c r="L2" s="80" t="s">
        <v>1824</v>
      </c>
      <c r="M2" s="81" t="s">
        <v>1825</v>
      </c>
      <c r="N2" s="81" t="s">
        <v>1826</v>
      </c>
      <c r="O2" s="81" t="s">
        <v>1827</v>
      </c>
      <c r="P2" s="83" t="s">
        <v>1819</v>
      </c>
      <c r="Q2" s="84"/>
      <c r="R2" s="85"/>
      <c r="S2" s="84" t="s">
        <v>1828</v>
      </c>
      <c r="T2" s="81" t="s">
        <v>1829</v>
      </c>
      <c r="U2" s="81" t="s">
        <v>1830</v>
      </c>
      <c r="V2" s="84" t="s">
        <v>1831</v>
      </c>
      <c r="W2" s="82" t="s">
        <v>1832</v>
      </c>
      <c r="X2" s="80" t="s">
        <v>1833</v>
      </c>
      <c r="Y2" s="81" t="s">
        <v>1834</v>
      </c>
      <c r="Z2" s="81" t="s">
        <v>1835</v>
      </c>
      <c r="AA2" s="81" t="s">
        <v>1836</v>
      </c>
      <c r="AB2" s="82" t="s">
        <v>1837</v>
      </c>
      <c r="AC2" s="80" t="s">
        <v>1838</v>
      </c>
      <c r="AD2" s="81" t="s">
        <v>1839</v>
      </c>
      <c r="AE2" s="81" t="s">
        <v>1840</v>
      </c>
      <c r="AF2" s="81" t="s">
        <v>1841</v>
      </c>
      <c r="AG2" s="84" t="s">
        <v>1842</v>
      </c>
      <c r="AH2" s="81" t="s">
        <v>1843</v>
      </c>
      <c r="AI2" s="81" t="s">
        <v>1844</v>
      </c>
      <c r="AJ2" s="82" t="s">
        <v>1845</v>
      </c>
      <c r="AK2" s="80"/>
      <c r="AL2" s="81"/>
      <c r="AM2" s="81"/>
      <c r="AN2" s="81"/>
      <c r="AO2" s="81"/>
      <c r="AP2" s="81" t="s">
        <v>1989</v>
      </c>
      <c r="AQ2" s="82" t="s">
        <v>1989</v>
      </c>
      <c r="AR2" s="87"/>
      <c r="AS2" s="88"/>
      <c r="AT2" s="88"/>
      <c r="AU2" s="89"/>
      <c r="AV2" s="188"/>
      <c r="AW2" s="81"/>
      <c r="AX2" s="81"/>
      <c r="AY2" s="81"/>
      <c r="AZ2" s="81"/>
      <c r="BA2" s="82"/>
      <c r="BB2" s="365"/>
      <c r="BC2" s="85"/>
      <c r="BD2" s="366"/>
    </row>
    <row r="3" spans="1:56" s="103" customFormat="1" ht="38.25" customHeight="1">
      <c r="A3" s="91" t="s">
        <v>1805</v>
      </c>
      <c r="B3" s="92" t="s">
        <v>0</v>
      </c>
      <c r="C3" s="93" t="s">
        <v>1</v>
      </c>
      <c r="D3" s="93" t="s">
        <v>2417</v>
      </c>
      <c r="E3" s="94" t="s">
        <v>2414</v>
      </c>
      <c r="F3" s="94" t="s">
        <v>1806</v>
      </c>
      <c r="G3" s="95" t="s">
        <v>1807</v>
      </c>
      <c r="H3" s="91" t="s">
        <v>2391</v>
      </c>
      <c r="I3" s="96" t="s">
        <v>2392</v>
      </c>
      <c r="J3" s="96" t="s">
        <v>2393</v>
      </c>
      <c r="K3" s="97" t="s">
        <v>2394</v>
      </c>
      <c r="L3" s="91" t="s">
        <v>2396</v>
      </c>
      <c r="M3" s="96" t="s">
        <v>2398</v>
      </c>
      <c r="N3" s="96" t="s">
        <v>2399</v>
      </c>
      <c r="O3" s="96" t="s">
        <v>2397</v>
      </c>
      <c r="P3" s="96" t="s">
        <v>1818</v>
      </c>
      <c r="Q3" s="96" t="s">
        <v>1817</v>
      </c>
      <c r="R3" s="98" t="s">
        <v>2440</v>
      </c>
      <c r="S3" s="96" t="s">
        <v>2395</v>
      </c>
      <c r="T3" s="96" t="s">
        <v>2400</v>
      </c>
      <c r="U3" s="99" t="s">
        <v>2401</v>
      </c>
      <c r="V3" s="96" t="s">
        <v>2404</v>
      </c>
      <c r="W3" s="97" t="s">
        <v>2394</v>
      </c>
      <c r="X3" s="91" t="s">
        <v>2403</v>
      </c>
      <c r="Y3" s="96" t="s">
        <v>2392</v>
      </c>
      <c r="Z3" s="99" t="s">
        <v>2393</v>
      </c>
      <c r="AA3" s="96" t="s">
        <v>2402</v>
      </c>
      <c r="AB3" s="97" t="s">
        <v>2394</v>
      </c>
      <c r="AC3" s="91" t="s">
        <v>2396</v>
      </c>
      <c r="AD3" s="96" t="s">
        <v>2398</v>
      </c>
      <c r="AE3" s="96" t="s">
        <v>2399</v>
      </c>
      <c r="AF3" s="99" t="s">
        <v>2397</v>
      </c>
      <c r="AG3" s="96" t="s">
        <v>2395</v>
      </c>
      <c r="AH3" s="96" t="s">
        <v>2400</v>
      </c>
      <c r="AI3" s="96" t="s">
        <v>2401</v>
      </c>
      <c r="AJ3" s="97" t="s">
        <v>2394</v>
      </c>
      <c r="AK3" s="91" t="s">
        <v>1948</v>
      </c>
      <c r="AL3" s="189" t="s">
        <v>1949</v>
      </c>
      <c r="AM3" s="189" t="s">
        <v>1950</v>
      </c>
      <c r="AN3" s="189" t="s">
        <v>1954</v>
      </c>
      <c r="AO3" s="189" t="s">
        <v>1951</v>
      </c>
      <c r="AP3" s="189" t="s">
        <v>1990</v>
      </c>
      <c r="AQ3" s="190" t="s">
        <v>1992</v>
      </c>
      <c r="AR3" s="100" t="s">
        <v>1808</v>
      </c>
      <c r="AS3" s="101" t="s">
        <v>1809</v>
      </c>
      <c r="AT3" s="101" t="s">
        <v>1810</v>
      </c>
      <c r="AU3" s="102" t="s">
        <v>1811</v>
      </c>
      <c r="AV3" s="191" t="s">
        <v>1953</v>
      </c>
      <c r="AW3" s="96" t="s">
        <v>1948</v>
      </c>
      <c r="AX3" s="189" t="s">
        <v>1949</v>
      </c>
      <c r="AY3" s="189" t="s">
        <v>1950</v>
      </c>
      <c r="AZ3" s="189" t="s">
        <v>1954</v>
      </c>
      <c r="BA3" s="190" t="s">
        <v>1951</v>
      </c>
      <c r="BB3" s="367" t="s">
        <v>2423</v>
      </c>
      <c r="BC3" s="368" t="s">
        <v>2424</v>
      </c>
      <c r="BD3" s="369" t="s">
        <v>2425</v>
      </c>
    </row>
    <row r="4" spans="1:56" s="121" customFormat="1" ht="16.5" customHeight="1">
      <c r="A4" s="104" t="s">
        <v>2430</v>
      </c>
      <c r="B4" s="105" t="s">
        <v>51</v>
      </c>
      <c r="C4" s="106" t="s">
        <v>52</v>
      </c>
      <c r="D4" s="107" t="s">
        <v>2415</v>
      </c>
      <c r="E4" s="108" t="s">
        <v>53</v>
      </c>
      <c r="F4" s="71" t="s">
        <v>54</v>
      </c>
      <c r="G4" s="109" t="s">
        <v>2426</v>
      </c>
      <c r="H4" s="110">
        <v>4928</v>
      </c>
      <c r="I4" s="111">
        <v>14963</v>
      </c>
      <c r="J4" s="112">
        <v>5374</v>
      </c>
      <c r="K4" s="113">
        <f t="shared" ref="K4:K67" si="0">SUBTOTAL(9,H4:J4)</f>
        <v>25265</v>
      </c>
      <c r="L4" s="110">
        <v>61264</v>
      </c>
      <c r="M4" s="111">
        <v>103620</v>
      </c>
      <c r="N4" s="112">
        <v>0</v>
      </c>
      <c r="O4" s="111">
        <v>4999</v>
      </c>
      <c r="P4" s="114">
        <v>9</v>
      </c>
      <c r="Q4" s="111">
        <v>8397</v>
      </c>
      <c r="R4" s="115">
        <v>14497</v>
      </c>
      <c r="S4" s="111">
        <f>ROUND(P4*Q4,0)+R4</f>
        <v>90070</v>
      </c>
      <c r="T4" s="112">
        <v>39837</v>
      </c>
      <c r="U4" s="116">
        <v>0</v>
      </c>
      <c r="V4" s="111">
        <v>0</v>
      </c>
      <c r="W4" s="113">
        <f t="shared" ref="W4:W67" si="1">SUBTOTAL(9,L4:O4,S4:V4)</f>
        <v>299790</v>
      </c>
      <c r="X4" s="110">
        <v>0</v>
      </c>
      <c r="Y4" s="111">
        <v>0</v>
      </c>
      <c r="Z4" s="116">
        <v>0</v>
      </c>
      <c r="AA4" s="111">
        <v>11250</v>
      </c>
      <c r="AB4" s="113">
        <f>SUBTOTAL(9,X4:AA4)</f>
        <v>11250</v>
      </c>
      <c r="AC4" s="110">
        <v>0</v>
      </c>
      <c r="AD4" s="111">
        <v>112</v>
      </c>
      <c r="AE4" s="112">
        <v>0</v>
      </c>
      <c r="AF4" s="117">
        <v>200</v>
      </c>
      <c r="AG4" s="111">
        <v>0</v>
      </c>
      <c r="AH4" s="112">
        <v>824</v>
      </c>
      <c r="AI4" s="112">
        <v>14750</v>
      </c>
      <c r="AJ4" s="113">
        <f>SUBTOTAL(9,AC4:AI4)</f>
        <v>15886</v>
      </c>
      <c r="AK4" s="143">
        <f t="shared" ref="AK4:AK12" si="2">AW4/1000</f>
        <v>7156479.0599999996</v>
      </c>
      <c r="AL4" s="112">
        <f t="shared" ref="AL4:AN18" si="3">AX4/1000</f>
        <v>6241458.7699999996</v>
      </c>
      <c r="AM4" s="112">
        <f t="shared" si="3"/>
        <v>915020.29</v>
      </c>
      <c r="AN4" s="112">
        <f t="shared" si="3"/>
        <v>197025.59099999999</v>
      </c>
      <c r="AO4" s="230">
        <f t="shared" ref="AO4:AO67" si="4">BA4</f>
        <v>0.8721409952675806</v>
      </c>
      <c r="AP4" s="193">
        <f t="shared" ref="AP4:AP18" si="5">W4+AN4</f>
        <v>496815.59100000001</v>
      </c>
      <c r="AQ4" s="194">
        <f t="shared" ref="AQ4:AQ67" si="6">K4-AP4</f>
        <v>-471550.59100000001</v>
      </c>
      <c r="AR4" s="118"/>
      <c r="AS4" s="119"/>
      <c r="AT4" s="119"/>
      <c r="AU4" s="120"/>
      <c r="AV4" s="195"/>
      <c r="AW4" s="112">
        <v>7156479060</v>
      </c>
      <c r="AX4" s="162">
        <v>6241458770</v>
      </c>
      <c r="AY4" s="162">
        <v>915020290</v>
      </c>
      <c r="AZ4" s="162">
        <v>197025591</v>
      </c>
      <c r="BA4" s="231">
        <f>AX4/AW4</f>
        <v>0.8721409952675806</v>
      </c>
      <c r="BB4" s="210">
        <v>1991418</v>
      </c>
      <c r="BC4" s="115">
        <v>200032</v>
      </c>
      <c r="BD4" s="236">
        <v>0</v>
      </c>
    </row>
    <row r="5" spans="1:56" s="121" customFormat="1" ht="16.5" customHeight="1">
      <c r="A5" s="104" t="s">
        <v>2430</v>
      </c>
      <c r="B5" s="105" t="s">
        <v>75</v>
      </c>
      <c r="C5" s="106" t="s">
        <v>76</v>
      </c>
      <c r="D5" s="106" t="s">
        <v>2415</v>
      </c>
      <c r="E5" s="71" t="s">
        <v>77</v>
      </c>
      <c r="F5" s="71" t="s">
        <v>78</v>
      </c>
      <c r="G5" s="109" t="s">
        <v>79</v>
      </c>
      <c r="H5" s="110"/>
      <c r="I5" s="112">
        <v>1083</v>
      </c>
      <c r="J5" s="112"/>
      <c r="K5" s="113">
        <f t="shared" si="0"/>
        <v>1083</v>
      </c>
      <c r="L5" s="143"/>
      <c r="M5" s="111">
        <v>0</v>
      </c>
      <c r="N5" s="112"/>
      <c r="O5" s="112"/>
      <c r="P5" s="114">
        <v>2</v>
      </c>
      <c r="Q5" s="111">
        <v>8397</v>
      </c>
      <c r="R5" s="115">
        <v>2863</v>
      </c>
      <c r="S5" s="111">
        <f t="shared" ref="S5:S68" si="7">ROUND(P5*Q5,0)+R5</f>
        <v>19657</v>
      </c>
      <c r="T5" s="112">
        <f>171+672</f>
        <v>843</v>
      </c>
      <c r="U5" s="116">
        <v>373</v>
      </c>
      <c r="V5" s="111"/>
      <c r="W5" s="113">
        <f t="shared" si="1"/>
        <v>20873</v>
      </c>
      <c r="X5" s="110"/>
      <c r="Y5" s="111"/>
      <c r="Z5" s="116"/>
      <c r="AA5" s="111"/>
      <c r="AB5" s="113">
        <f t="shared" ref="AB5:AB68" si="8">SUBTOTAL(9,X5:AA5)</f>
        <v>0</v>
      </c>
      <c r="AC5" s="110"/>
      <c r="AD5" s="111"/>
      <c r="AE5" s="112"/>
      <c r="AF5" s="117"/>
      <c r="AG5" s="111"/>
      <c r="AH5" s="112"/>
      <c r="AI5" s="112"/>
      <c r="AJ5" s="113">
        <f t="shared" ref="AJ5:AJ68" si="9">SUBTOTAL(9,AC5:AI5)</f>
        <v>0</v>
      </c>
      <c r="AK5" s="143">
        <f t="shared" si="2"/>
        <v>30201.712159718587</v>
      </c>
      <c r="AL5" s="112">
        <f t="shared" si="3"/>
        <v>6821.6982817892276</v>
      </c>
      <c r="AM5" s="112">
        <f t="shared" si="3"/>
        <v>23380.013877929359</v>
      </c>
      <c r="AN5" s="112">
        <f t="shared" si="3"/>
        <v>1148.5518250701143</v>
      </c>
      <c r="AO5" s="230">
        <f t="shared" si="4"/>
        <v>0.22587124351471835</v>
      </c>
      <c r="AP5" s="193">
        <f t="shared" si="5"/>
        <v>22021.551825070113</v>
      </c>
      <c r="AQ5" s="194">
        <f t="shared" si="6"/>
        <v>-20938.551825070113</v>
      </c>
      <c r="AR5" s="118"/>
      <c r="AS5" s="119" t="s">
        <v>1853</v>
      </c>
      <c r="AT5" s="119"/>
      <c r="AU5" s="120"/>
      <c r="AV5" s="195" t="s">
        <v>63</v>
      </c>
      <c r="AW5" s="112">
        <v>30201712.159718588</v>
      </c>
      <c r="AX5" s="162">
        <v>6821698.2817892274</v>
      </c>
      <c r="AY5" s="162">
        <v>23380013.87792936</v>
      </c>
      <c r="AZ5" s="162">
        <v>1148551.8250701143</v>
      </c>
      <c r="BA5" s="231">
        <f t="shared" ref="BA5:BA68" si="10">AX5/AW5</f>
        <v>0.22587124351471835</v>
      </c>
      <c r="BB5" s="210"/>
      <c r="BC5" s="115"/>
      <c r="BD5" s="236"/>
    </row>
    <row r="6" spans="1:56" s="121" customFormat="1" ht="16.5" customHeight="1">
      <c r="A6" s="104" t="s">
        <v>2429</v>
      </c>
      <c r="B6" s="105" t="s">
        <v>88</v>
      </c>
      <c r="C6" s="106" t="s">
        <v>89</v>
      </c>
      <c r="D6" s="106" t="s">
        <v>2415</v>
      </c>
      <c r="E6" s="71" t="s">
        <v>90</v>
      </c>
      <c r="F6" s="71" t="s">
        <v>78</v>
      </c>
      <c r="G6" s="109" t="s">
        <v>79</v>
      </c>
      <c r="H6" s="110"/>
      <c r="I6" s="112">
        <v>3184</v>
      </c>
      <c r="J6" s="112"/>
      <c r="K6" s="113">
        <f t="shared" si="0"/>
        <v>3184</v>
      </c>
      <c r="L6" s="143"/>
      <c r="M6" s="112">
        <v>93</v>
      </c>
      <c r="N6" s="112"/>
      <c r="O6" s="112"/>
      <c r="P6" s="114">
        <v>2</v>
      </c>
      <c r="Q6" s="111">
        <v>8397</v>
      </c>
      <c r="R6" s="115">
        <v>4681</v>
      </c>
      <c r="S6" s="111">
        <f t="shared" si="7"/>
        <v>21475</v>
      </c>
      <c r="T6" s="112">
        <f>586+1985</f>
        <v>2571</v>
      </c>
      <c r="U6" s="116">
        <v>68</v>
      </c>
      <c r="V6" s="111"/>
      <c r="W6" s="113">
        <f t="shared" si="1"/>
        <v>24207</v>
      </c>
      <c r="X6" s="110"/>
      <c r="Y6" s="111"/>
      <c r="Z6" s="116"/>
      <c r="AA6" s="111"/>
      <c r="AB6" s="113">
        <f t="shared" si="8"/>
        <v>0</v>
      </c>
      <c r="AC6" s="110"/>
      <c r="AD6" s="111"/>
      <c r="AE6" s="112"/>
      <c r="AF6" s="117"/>
      <c r="AG6" s="111"/>
      <c r="AH6" s="112"/>
      <c r="AI6" s="112"/>
      <c r="AJ6" s="113">
        <f t="shared" si="9"/>
        <v>0</v>
      </c>
      <c r="AK6" s="143">
        <f t="shared" si="2"/>
        <v>5323.6836133862253</v>
      </c>
      <c r="AL6" s="112">
        <f t="shared" si="3"/>
        <v>3071.862573946938</v>
      </c>
      <c r="AM6" s="112">
        <f t="shared" si="3"/>
        <v>2251.8210394392872</v>
      </c>
      <c r="AN6" s="112">
        <f t="shared" si="3"/>
        <v>77.06229955307478</v>
      </c>
      <c r="AO6" s="230">
        <f t="shared" si="4"/>
        <v>0.57701824470237895</v>
      </c>
      <c r="AP6" s="193">
        <f t="shared" si="5"/>
        <v>24284.062299553076</v>
      </c>
      <c r="AQ6" s="194">
        <f t="shared" si="6"/>
        <v>-21100.062299553076</v>
      </c>
      <c r="AR6" s="118"/>
      <c r="AS6" s="119" t="s">
        <v>2453</v>
      </c>
      <c r="AT6" s="119"/>
      <c r="AU6" s="120"/>
      <c r="AV6" s="195" t="s">
        <v>63</v>
      </c>
      <c r="AW6" s="112">
        <v>5323683.613386225</v>
      </c>
      <c r="AX6" s="162">
        <v>3071862.5739469379</v>
      </c>
      <c r="AY6" s="162">
        <v>2251821.039439287</v>
      </c>
      <c r="AZ6" s="162">
        <v>77062.299553074787</v>
      </c>
      <c r="BA6" s="231">
        <f t="shared" si="10"/>
        <v>0.57701824470237895</v>
      </c>
      <c r="BB6" s="210"/>
      <c r="BC6" s="115"/>
      <c r="BD6" s="236"/>
    </row>
    <row r="7" spans="1:56" s="121" customFormat="1" ht="16.5" customHeight="1">
      <c r="A7" s="104" t="s">
        <v>2429</v>
      </c>
      <c r="B7" s="105" t="s">
        <v>96</v>
      </c>
      <c r="C7" s="106" t="s">
        <v>97</v>
      </c>
      <c r="D7" s="106" t="s">
        <v>2415</v>
      </c>
      <c r="E7" s="71" t="s">
        <v>98</v>
      </c>
      <c r="F7" s="71" t="s">
        <v>78</v>
      </c>
      <c r="G7" s="109" t="s">
        <v>79</v>
      </c>
      <c r="H7" s="110"/>
      <c r="I7" s="112">
        <v>2117</v>
      </c>
      <c r="J7" s="112"/>
      <c r="K7" s="113">
        <f t="shared" si="0"/>
        <v>2117</v>
      </c>
      <c r="L7" s="110">
        <v>163</v>
      </c>
      <c r="M7" s="111">
        <v>59</v>
      </c>
      <c r="N7" s="112"/>
      <c r="O7" s="111">
        <v>457</v>
      </c>
      <c r="P7" s="114">
        <v>2</v>
      </c>
      <c r="Q7" s="111">
        <v>8397</v>
      </c>
      <c r="R7" s="115">
        <v>3447</v>
      </c>
      <c r="S7" s="111">
        <f t="shared" si="7"/>
        <v>20241</v>
      </c>
      <c r="T7" s="112">
        <f>502+1368</f>
        <v>1870</v>
      </c>
      <c r="U7" s="116">
        <v>876</v>
      </c>
      <c r="V7" s="111"/>
      <c r="W7" s="113">
        <f t="shared" si="1"/>
        <v>23666</v>
      </c>
      <c r="X7" s="110"/>
      <c r="Y7" s="111"/>
      <c r="Z7" s="116"/>
      <c r="AA7" s="111"/>
      <c r="AB7" s="113">
        <f t="shared" si="8"/>
        <v>0</v>
      </c>
      <c r="AC7" s="110"/>
      <c r="AD7" s="111"/>
      <c r="AE7" s="112"/>
      <c r="AF7" s="117"/>
      <c r="AG7" s="111"/>
      <c r="AH7" s="112"/>
      <c r="AI7" s="112"/>
      <c r="AJ7" s="113">
        <f t="shared" si="9"/>
        <v>0</v>
      </c>
      <c r="AK7" s="143">
        <f t="shared" si="2"/>
        <v>5586</v>
      </c>
      <c r="AL7" s="112">
        <f t="shared" si="3"/>
        <v>1228.92</v>
      </c>
      <c r="AM7" s="112">
        <f t="shared" si="3"/>
        <v>4357.08</v>
      </c>
      <c r="AN7" s="112">
        <f t="shared" si="3"/>
        <v>111.72</v>
      </c>
      <c r="AO7" s="230">
        <f t="shared" si="4"/>
        <v>0.22</v>
      </c>
      <c r="AP7" s="193">
        <f t="shared" si="5"/>
        <v>23777.72</v>
      </c>
      <c r="AQ7" s="194">
        <f t="shared" si="6"/>
        <v>-21660.720000000001</v>
      </c>
      <c r="AR7" s="118"/>
      <c r="AS7" s="119" t="s">
        <v>2454</v>
      </c>
      <c r="AT7" s="119"/>
      <c r="AU7" s="120"/>
      <c r="AV7" s="195"/>
      <c r="AW7" s="112">
        <v>5586000</v>
      </c>
      <c r="AX7" s="162">
        <v>1228920</v>
      </c>
      <c r="AY7" s="162">
        <v>4357080</v>
      </c>
      <c r="AZ7" s="162">
        <v>111720</v>
      </c>
      <c r="BA7" s="231">
        <f t="shared" si="10"/>
        <v>0.22</v>
      </c>
      <c r="BB7" s="210">
        <v>5932</v>
      </c>
      <c r="BC7" s="115"/>
      <c r="BD7" s="236"/>
    </row>
    <row r="8" spans="1:56" s="121" customFormat="1" ht="16.5" customHeight="1">
      <c r="A8" s="104" t="s">
        <v>2429</v>
      </c>
      <c r="B8" s="105" t="s">
        <v>102</v>
      </c>
      <c r="C8" s="106" t="s">
        <v>103</v>
      </c>
      <c r="D8" s="106" t="s">
        <v>2415</v>
      </c>
      <c r="E8" s="71" t="s">
        <v>104</v>
      </c>
      <c r="F8" s="71" t="s">
        <v>78</v>
      </c>
      <c r="G8" s="109" t="s">
        <v>79</v>
      </c>
      <c r="H8" s="110"/>
      <c r="I8" s="112">
        <v>2537</v>
      </c>
      <c r="J8" s="112"/>
      <c r="K8" s="113">
        <f t="shared" si="0"/>
        <v>2537</v>
      </c>
      <c r="L8" s="143"/>
      <c r="M8" s="111">
        <v>172</v>
      </c>
      <c r="N8" s="112"/>
      <c r="O8" s="112"/>
      <c r="P8" s="114">
        <v>1</v>
      </c>
      <c r="Q8" s="111">
        <v>8397</v>
      </c>
      <c r="R8" s="115">
        <v>6859</v>
      </c>
      <c r="S8" s="111">
        <f t="shared" si="7"/>
        <v>15256</v>
      </c>
      <c r="T8" s="112">
        <f>534+1633</f>
        <v>2167</v>
      </c>
      <c r="U8" s="116">
        <v>0</v>
      </c>
      <c r="V8" s="111"/>
      <c r="W8" s="113">
        <f t="shared" si="1"/>
        <v>17595</v>
      </c>
      <c r="X8" s="110"/>
      <c r="Y8" s="111"/>
      <c r="Z8" s="116"/>
      <c r="AA8" s="111"/>
      <c r="AB8" s="113">
        <f t="shared" si="8"/>
        <v>0</v>
      </c>
      <c r="AC8" s="110"/>
      <c r="AD8" s="111"/>
      <c r="AE8" s="112"/>
      <c r="AF8" s="117"/>
      <c r="AG8" s="111"/>
      <c r="AH8" s="112"/>
      <c r="AI8" s="112"/>
      <c r="AJ8" s="113">
        <f t="shared" si="9"/>
        <v>0</v>
      </c>
      <c r="AK8" s="143">
        <f t="shared" si="2"/>
        <v>5621.5296780296385</v>
      </c>
      <c r="AL8" s="112">
        <f t="shared" si="3"/>
        <v>5054.6944452229964</v>
      </c>
      <c r="AM8" s="112">
        <f t="shared" si="3"/>
        <v>566.83523280664258</v>
      </c>
      <c r="AN8" s="112">
        <f t="shared" si="3"/>
        <v>15.103622604491468</v>
      </c>
      <c r="AO8" s="230">
        <f t="shared" si="4"/>
        <v>0.89916708346804997</v>
      </c>
      <c r="AP8" s="193">
        <f t="shared" si="5"/>
        <v>17610.103622604493</v>
      </c>
      <c r="AQ8" s="194">
        <f t="shared" si="6"/>
        <v>-15073.103622604493</v>
      </c>
      <c r="AR8" s="118"/>
      <c r="AS8" s="119" t="s">
        <v>1852</v>
      </c>
      <c r="AT8" s="119"/>
      <c r="AU8" s="120"/>
      <c r="AV8" s="195" t="s">
        <v>63</v>
      </c>
      <c r="AW8" s="112">
        <v>5621529.6780296387</v>
      </c>
      <c r="AX8" s="162">
        <v>5054694.4452229962</v>
      </c>
      <c r="AY8" s="162">
        <v>566835.23280664254</v>
      </c>
      <c r="AZ8" s="162">
        <v>15103.622604491467</v>
      </c>
      <c r="BA8" s="231">
        <f t="shared" si="10"/>
        <v>0.89916708346804997</v>
      </c>
      <c r="BB8" s="210"/>
      <c r="BC8" s="115"/>
      <c r="BD8" s="236"/>
    </row>
    <row r="9" spans="1:56" s="121" customFormat="1" ht="16.5" customHeight="1">
      <c r="A9" s="104" t="s">
        <v>2429</v>
      </c>
      <c r="B9" s="105" t="s">
        <v>113</v>
      </c>
      <c r="C9" s="106" t="s">
        <v>114</v>
      </c>
      <c r="D9" s="106" t="s">
        <v>2415</v>
      </c>
      <c r="E9" s="71" t="s">
        <v>115</v>
      </c>
      <c r="F9" s="71" t="s">
        <v>78</v>
      </c>
      <c r="G9" s="109" t="s">
        <v>79</v>
      </c>
      <c r="H9" s="110"/>
      <c r="I9" s="112">
        <v>1851</v>
      </c>
      <c r="J9" s="112"/>
      <c r="K9" s="113">
        <f t="shared" si="0"/>
        <v>1851</v>
      </c>
      <c r="L9" s="143"/>
      <c r="M9" s="111">
        <v>272</v>
      </c>
      <c r="N9" s="112"/>
      <c r="O9" s="112"/>
      <c r="P9" s="114">
        <v>1</v>
      </c>
      <c r="Q9" s="111">
        <v>8397</v>
      </c>
      <c r="R9" s="115">
        <v>5655</v>
      </c>
      <c r="S9" s="111">
        <f t="shared" si="7"/>
        <v>14052</v>
      </c>
      <c r="T9" s="112">
        <f>445+1174</f>
        <v>1619</v>
      </c>
      <c r="U9" s="116">
        <v>0</v>
      </c>
      <c r="V9" s="111"/>
      <c r="W9" s="113">
        <f t="shared" si="1"/>
        <v>15943</v>
      </c>
      <c r="X9" s="110"/>
      <c r="Y9" s="111"/>
      <c r="Z9" s="116"/>
      <c r="AA9" s="111"/>
      <c r="AB9" s="113">
        <f t="shared" si="8"/>
        <v>0</v>
      </c>
      <c r="AC9" s="110"/>
      <c r="AD9" s="111"/>
      <c r="AE9" s="112"/>
      <c r="AF9" s="117"/>
      <c r="AG9" s="111"/>
      <c r="AH9" s="112"/>
      <c r="AI9" s="112"/>
      <c r="AJ9" s="113">
        <f t="shared" si="9"/>
        <v>0</v>
      </c>
      <c r="AK9" s="143">
        <f t="shared" si="2"/>
        <v>6250.5530611588329</v>
      </c>
      <c r="AL9" s="112">
        <f t="shared" si="3"/>
        <v>5261.5507126081793</v>
      </c>
      <c r="AM9" s="112">
        <f t="shared" si="3"/>
        <v>989.0023485506548</v>
      </c>
      <c r="AN9" s="112">
        <f t="shared" si="3"/>
        <v>149.72398738860474</v>
      </c>
      <c r="AO9" s="230">
        <f t="shared" si="4"/>
        <v>0.84177362564980829</v>
      </c>
      <c r="AP9" s="193">
        <f t="shared" si="5"/>
        <v>16092.723987388605</v>
      </c>
      <c r="AQ9" s="194">
        <f t="shared" si="6"/>
        <v>-14241.723987388605</v>
      </c>
      <c r="AR9" s="118"/>
      <c r="AS9" s="119" t="s">
        <v>2455</v>
      </c>
      <c r="AT9" s="119"/>
      <c r="AU9" s="120"/>
      <c r="AV9" s="195" t="s">
        <v>63</v>
      </c>
      <c r="AW9" s="112">
        <v>6250553.0611588331</v>
      </c>
      <c r="AX9" s="162">
        <v>5261550.7126081791</v>
      </c>
      <c r="AY9" s="162">
        <v>989002.34855065483</v>
      </c>
      <c r="AZ9" s="162">
        <v>149723.98738860473</v>
      </c>
      <c r="BA9" s="231">
        <f t="shared" si="10"/>
        <v>0.84177362564980829</v>
      </c>
      <c r="BB9" s="210"/>
      <c r="BC9" s="115"/>
      <c r="BD9" s="236"/>
    </row>
    <row r="10" spans="1:56" s="121" customFormat="1" ht="16.5" customHeight="1">
      <c r="A10" s="104" t="s">
        <v>2429</v>
      </c>
      <c r="B10" s="105" t="s">
        <v>122</v>
      </c>
      <c r="C10" s="106" t="s">
        <v>123</v>
      </c>
      <c r="D10" s="106" t="s">
        <v>2415</v>
      </c>
      <c r="E10" s="71" t="s">
        <v>124</v>
      </c>
      <c r="F10" s="71" t="s">
        <v>78</v>
      </c>
      <c r="G10" s="109" t="s">
        <v>125</v>
      </c>
      <c r="H10" s="110"/>
      <c r="I10" s="111"/>
      <c r="J10" s="112"/>
      <c r="K10" s="113">
        <f t="shared" si="0"/>
        <v>0</v>
      </c>
      <c r="L10" s="143"/>
      <c r="M10" s="111">
        <v>2526</v>
      </c>
      <c r="N10" s="112"/>
      <c r="O10" s="112"/>
      <c r="P10" s="114">
        <v>6</v>
      </c>
      <c r="Q10" s="111">
        <v>8397</v>
      </c>
      <c r="R10" s="115">
        <v>13585</v>
      </c>
      <c r="S10" s="111">
        <f t="shared" si="7"/>
        <v>63967</v>
      </c>
      <c r="T10" s="112">
        <v>7653</v>
      </c>
      <c r="U10" s="116"/>
      <c r="V10" s="111"/>
      <c r="W10" s="113">
        <f t="shared" si="1"/>
        <v>74146</v>
      </c>
      <c r="X10" s="110"/>
      <c r="Y10" s="111"/>
      <c r="Z10" s="116"/>
      <c r="AA10" s="111"/>
      <c r="AB10" s="113">
        <f t="shared" si="8"/>
        <v>0</v>
      </c>
      <c r="AC10" s="110"/>
      <c r="AD10" s="111"/>
      <c r="AE10" s="112"/>
      <c r="AF10" s="117"/>
      <c r="AG10" s="111"/>
      <c r="AH10" s="112"/>
      <c r="AI10" s="112"/>
      <c r="AJ10" s="113">
        <f t="shared" si="9"/>
        <v>0</v>
      </c>
      <c r="AK10" s="143">
        <f t="shared" si="2"/>
        <v>263038.95592731761</v>
      </c>
      <c r="AL10" s="112">
        <f t="shared" si="3"/>
        <v>101658.97649185976</v>
      </c>
      <c r="AM10" s="112">
        <f t="shared" si="3"/>
        <v>161379.97943545782</v>
      </c>
      <c r="AN10" s="112">
        <f t="shared" si="3"/>
        <v>6124.3735534228044</v>
      </c>
      <c r="AO10" s="230">
        <f t="shared" si="4"/>
        <v>0.38647878651080858</v>
      </c>
      <c r="AP10" s="193">
        <f t="shared" si="5"/>
        <v>80270.373553422804</v>
      </c>
      <c r="AQ10" s="194">
        <f t="shared" si="6"/>
        <v>-80270.373553422804</v>
      </c>
      <c r="AR10" s="118"/>
      <c r="AS10" s="119"/>
      <c r="AT10" s="119"/>
      <c r="AU10" s="120"/>
      <c r="AV10" s="195" t="s">
        <v>63</v>
      </c>
      <c r="AW10" s="112">
        <v>263038955.92731759</v>
      </c>
      <c r="AX10" s="162">
        <v>101658976.49185976</v>
      </c>
      <c r="AY10" s="162">
        <v>161379979.43545783</v>
      </c>
      <c r="AZ10" s="162">
        <v>6124373.553422804</v>
      </c>
      <c r="BA10" s="231">
        <f t="shared" si="10"/>
        <v>0.38647878651080858</v>
      </c>
      <c r="BB10" s="210">
        <v>31084</v>
      </c>
      <c r="BC10" s="115"/>
      <c r="BD10" s="236"/>
    </row>
    <row r="11" spans="1:56" s="121" customFormat="1" ht="16.5" customHeight="1">
      <c r="A11" s="104" t="s">
        <v>2429</v>
      </c>
      <c r="B11" s="105" t="s">
        <v>136</v>
      </c>
      <c r="C11" s="106" t="s">
        <v>137</v>
      </c>
      <c r="D11" s="106" t="s">
        <v>2415</v>
      </c>
      <c r="E11" s="71" t="s">
        <v>138</v>
      </c>
      <c r="F11" s="71" t="s">
        <v>139</v>
      </c>
      <c r="G11" s="109" t="s">
        <v>140</v>
      </c>
      <c r="H11" s="110"/>
      <c r="I11" s="111"/>
      <c r="J11" s="112">
        <v>563</v>
      </c>
      <c r="K11" s="113">
        <f t="shared" si="0"/>
        <v>563</v>
      </c>
      <c r="L11" s="110">
        <v>4076</v>
      </c>
      <c r="M11" s="111">
        <v>4545</v>
      </c>
      <c r="N11" s="112"/>
      <c r="O11" s="111">
        <v>108</v>
      </c>
      <c r="P11" s="114">
        <v>23.5</v>
      </c>
      <c r="Q11" s="111">
        <v>8397</v>
      </c>
      <c r="R11" s="115">
        <v>40523</v>
      </c>
      <c r="S11" s="111">
        <f t="shared" si="7"/>
        <v>237853</v>
      </c>
      <c r="T11" s="112">
        <v>1483672</v>
      </c>
      <c r="U11" s="116">
        <v>15530.231</v>
      </c>
      <c r="V11" s="111"/>
      <c r="W11" s="113">
        <f t="shared" si="1"/>
        <v>1745784.2309999999</v>
      </c>
      <c r="X11" s="110"/>
      <c r="Y11" s="111"/>
      <c r="Z11" s="116"/>
      <c r="AA11" s="111"/>
      <c r="AB11" s="113">
        <f t="shared" si="8"/>
        <v>0</v>
      </c>
      <c r="AC11" s="110"/>
      <c r="AD11" s="111"/>
      <c r="AE11" s="112"/>
      <c r="AF11" s="117"/>
      <c r="AG11" s="111"/>
      <c r="AH11" s="112"/>
      <c r="AI11" s="112"/>
      <c r="AJ11" s="113">
        <f t="shared" si="9"/>
        <v>0</v>
      </c>
      <c r="AK11" s="143">
        <f t="shared" si="2"/>
        <v>363872.55900000001</v>
      </c>
      <c r="AL11" s="112">
        <f t="shared" si="3"/>
        <v>241164.2</v>
      </c>
      <c r="AM11" s="112">
        <f t="shared" si="3"/>
        <v>122708.359</v>
      </c>
      <c r="AN11" s="112">
        <f t="shared" si="3"/>
        <v>8489.9390000000003</v>
      </c>
      <c r="AO11" s="230">
        <f t="shared" si="4"/>
        <v>0.66277105551122362</v>
      </c>
      <c r="AP11" s="193">
        <f t="shared" si="5"/>
        <v>1754274.17</v>
      </c>
      <c r="AQ11" s="194">
        <f t="shared" si="6"/>
        <v>-1753711.17</v>
      </c>
      <c r="AR11" s="118"/>
      <c r="AS11" s="119"/>
      <c r="AT11" s="119"/>
      <c r="AU11" s="120"/>
      <c r="AV11" s="195"/>
      <c r="AW11" s="112">
        <v>363872559</v>
      </c>
      <c r="AX11" s="162">
        <v>241164200</v>
      </c>
      <c r="AY11" s="162">
        <v>122708359</v>
      </c>
      <c r="AZ11" s="162">
        <v>8489939</v>
      </c>
      <c r="BA11" s="231">
        <f t="shared" si="10"/>
        <v>0.66277105551122362</v>
      </c>
      <c r="BB11" s="210">
        <v>170222</v>
      </c>
      <c r="BC11" s="115">
        <v>7</v>
      </c>
      <c r="BD11" s="236"/>
    </row>
    <row r="12" spans="1:56" s="121" customFormat="1" ht="16.5" customHeight="1">
      <c r="A12" s="104" t="s">
        <v>2429</v>
      </c>
      <c r="B12" s="105" t="s">
        <v>146</v>
      </c>
      <c r="C12" s="106" t="s">
        <v>2141</v>
      </c>
      <c r="D12" s="106" t="s">
        <v>2415</v>
      </c>
      <c r="E12" s="71" t="s">
        <v>2151</v>
      </c>
      <c r="F12" s="71" t="s">
        <v>2144</v>
      </c>
      <c r="G12" s="109" t="s">
        <v>2273</v>
      </c>
      <c r="H12" s="110">
        <v>1665</v>
      </c>
      <c r="I12" s="111"/>
      <c r="J12" s="112"/>
      <c r="K12" s="113">
        <f t="shared" si="0"/>
        <v>1665</v>
      </c>
      <c r="L12" s="110"/>
      <c r="M12" s="111"/>
      <c r="N12" s="112"/>
      <c r="O12" s="111"/>
      <c r="P12" s="114"/>
      <c r="Q12" s="111">
        <v>8397</v>
      </c>
      <c r="R12" s="115"/>
      <c r="S12" s="111">
        <f t="shared" si="7"/>
        <v>0</v>
      </c>
      <c r="T12" s="112"/>
      <c r="U12" s="116"/>
      <c r="V12" s="111">
        <v>10444</v>
      </c>
      <c r="W12" s="113">
        <f t="shared" si="1"/>
        <v>10444</v>
      </c>
      <c r="X12" s="110"/>
      <c r="Y12" s="111"/>
      <c r="Z12" s="116">
        <v>14806</v>
      </c>
      <c r="AA12" s="111">
        <v>10423</v>
      </c>
      <c r="AB12" s="113">
        <f t="shared" si="8"/>
        <v>25229</v>
      </c>
      <c r="AC12" s="110">
        <v>591</v>
      </c>
      <c r="AD12" s="111">
        <v>313</v>
      </c>
      <c r="AE12" s="112"/>
      <c r="AF12" s="117">
        <v>41</v>
      </c>
      <c r="AG12" s="111">
        <v>20132</v>
      </c>
      <c r="AH12" s="112">
        <v>4131</v>
      </c>
      <c r="AI12" s="112"/>
      <c r="AJ12" s="113">
        <f t="shared" si="9"/>
        <v>25208</v>
      </c>
      <c r="AK12" s="143">
        <f t="shared" si="2"/>
        <v>36569.406000000003</v>
      </c>
      <c r="AL12" s="112">
        <f t="shared" si="3"/>
        <v>2700.5</v>
      </c>
      <c r="AM12" s="112">
        <f t="shared" si="3"/>
        <v>33868.906000000003</v>
      </c>
      <c r="AN12" s="112">
        <f t="shared" si="3"/>
        <v>1350.25</v>
      </c>
      <c r="AO12" s="230">
        <f t="shared" si="4"/>
        <v>7.3845880898366245E-2</v>
      </c>
      <c r="AP12" s="193">
        <f t="shared" si="5"/>
        <v>11794.25</v>
      </c>
      <c r="AQ12" s="194">
        <f t="shared" si="6"/>
        <v>-10129.25</v>
      </c>
      <c r="AR12" s="118"/>
      <c r="AS12" s="119"/>
      <c r="AT12" s="119"/>
      <c r="AU12" s="120"/>
      <c r="AV12" s="195"/>
      <c r="AW12" s="112">
        <v>36569406</v>
      </c>
      <c r="AX12" s="162">
        <v>2700500</v>
      </c>
      <c r="AY12" s="162">
        <v>33868906</v>
      </c>
      <c r="AZ12" s="162">
        <v>1350250</v>
      </c>
      <c r="BA12" s="231">
        <f t="shared" si="10"/>
        <v>7.3845880898366245E-2</v>
      </c>
      <c r="BB12" s="210">
        <v>42142</v>
      </c>
      <c r="BC12" s="115">
        <v>121</v>
      </c>
      <c r="BD12" s="236"/>
    </row>
    <row r="13" spans="1:56" s="121" customFormat="1" ht="16.5" customHeight="1">
      <c r="A13" s="104" t="s">
        <v>2429</v>
      </c>
      <c r="B13" s="105" t="s">
        <v>153</v>
      </c>
      <c r="C13" s="106" t="s">
        <v>2289</v>
      </c>
      <c r="D13" s="106" t="s">
        <v>2415</v>
      </c>
      <c r="E13" s="71" t="s">
        <v>2163</v>
      </c>
      <c r="F13" s="71" t="s">
        <v>170</v>
      </c>
      <c r="G13" s="109" t="s">
        <v>2157</v>
      </c>
      <c r="H13" s="110">
        <v>597</v>
      </c>
      <c r="I13" s="111"/>
      <c r="J13" s="112"/>
      <c r="K13" s="113">
        <f t="shared" si="0"/>
        <v>597</v>
      </c>
      <c r="L13" s="110"/>
      <c r="M13" s="111"/>
      <c r="N13" s="112"/>
      <c r="O13" s="111"/>
      <c r="P13" s="114">
        <v>0.25</v>
      </c>
      <c r="Q13" s="111">
        <v>8397</v>
      </c>
      <c r="R13" s="115"/>
      <c r="S13" s="111">
        <f t="shared" si="7"/>
        <v>2099</v>
      </c>
      <c r="T13" s="112"/>
      <c r="U13" s="116"/>
      <c r="V13" s="111">
        <v>29970</v>
      </c>
      <c r="W13" s="113">
        <f t="shared" si="1"/>
        <v>32069</v>
      </c>
      <c r="X13" s="110"/>
      <c r="Y13" s="111"/>
      <c r="Z13" s="116"/>
      <c r="AA13" s="111">
        <v>29970</v>
      </c>
      <c r="AB13" s="113">
        <f t="shared" si="8"/>
        <v>29970</v>
      </c>
      <c r="AC13" s="110">
        <v>2202</v>
      </c>
      <c r="AD13" s="111">
        <v>4047</v>
      </c>
      <c r="AE13" s="112"/>
      <c r="AF13" s="117">
        <v>194</v>
      </c>
      <c r="AG13" s="111">
        <v>16085</v>
      </c>
      <c r="AH13" s="112">
        <v>1264</v>
      </c>
      <c r="AI13" s="112">
        <v>5524</v>
      </c>
      <c r="AJ13" s="113">
        <f t="shared" si="9"/>
        <v>29316</v>
      </c>
      <c r="AK13" s="143">
        <v>0</v>
      </c>
      <c r="AL13" s="112">
        <v>0</v>
      </c>
      <c r="AM13" s="112">
        <v>0</v>
      </c>
      <c r="AN13" s="112">
        <v>0</v>
      </c>
      <c r="AO13" s="230">
        <f t="shared" si="4"/>
        <v>2.6542280013654503E-2</v>
      </c>
      <c r="AP13" s="193">
        <f t="shared" si="5"/>
        <v>32069</v>
      </c>
      <c r="AQ13" s="194">
        <f t="shared" si="6"/>
        <v>-31472</v>
      </c>
      <c r="AR13" s="118"/>
      <c r="AS13" s="119"/>
      <c r="AT13" s="119"/>
      <c r="AU13" s="120"/>
      <c r="AV13" s="195"/>
      <c r="AW13" s="112">
        <v>429007229</v>
      </c>
      <c r="AX13" s="162">
        <v>11386830</v>
      </c>
      <c r="AY13" s="162">
        <v>417620399</v>
      </c>
      <c r="AZ13" s="162">
        <v>11386830</v>
      </c>
      <c r="BA13" s="231">
        <f t="shared" si="10"/>
        <v>2.6542280013654503E-2</v>
      </c>
      <c r="BB13" s="210">
        <v>7401</v>
      </c>
      <c r="BC13" s="115">
        <v>1342</v>
      </c>
      <c r="BD13" s="236"/>
    </row>
    <row r="14" spans="1:56" s="121" customFormat="1" ht="16.5" customHeight="1">
      <c r="A14" s="104" t="s">
        <v>2429</v>
      </c>
      <c r="B14" s="105" t="s">
        <v>167</v>
      </c>
      <c r="C14" s="106" t="s">
        <v>2118</v>
      </c>
      <c r="D14" s="106" t="s">
        <v>2415</v>
      </c>
      <c r="E14" s="71" t="s">
        <v>2428</v>
      </c>
      <c r="F14" s="71" t="s">
        <v>78</v>
      </c>
      <c r="G14" s="213" t="s">
        <v>2523</v>
      </c>
      <c r="H14" s="110">
        <v>264</v>
      </c>
      <c r="I14" s="111"/>
      <c r="J14" s="112"/>
      <c r="K14" s="113">
        <f t="shared" si="0"/>
        <v>264</v>
      </c>
      <c r="L14" s="110"/>
      <c r="M14" s="111"/>
      <c r="N14" s="111"/>
      <c r="O14" s="111"/>
      <c r="P14" s="122"/>
      <c r="Q14" s="111">
        <v>8397</v>
      </c>
      <c r="R14" s="111"/>
      <c r="S14" s="111">
        <f t="shared" si="7"/>
        <v>0</v>
      </c>
      <c r="T14" s="111"/>
      <c r="U14" s="117"/>
      <c r="V14" s="111">
        <v>38954</v>
      </c>
      <c r="W14" s="113">
        <f t="shared" si="1"/>
        <v>38954</v>
      </c>
      <c r="X14" s="110"/>
      <c r="Y14" s="111"/>
      <c r="Z14" s="116">
        <v>26</v>
      </c>
      <c r="AA14" s="111">
        <v>38954</v>
      </c>
      <c r="AB14" s="113">
        <f t="shared" si="8"/>
        <v>38980</v>
      </c>
      <c r="AC14" s="110">
        <v>1380</v>
      </c>
      <c r="AD14" s="111">
        <v>982</v>
      </c>
      <c r="AE14" s="112"/>
      <c r="AF14" s="117"/>
      <c r="AG14" s="111">
        <v>23389</v>
      </c>
      <c r="AH14" s="112">
        <v>5611</v>
      </c>
      <c r="AI14" s="112">
        <v>6664</v>
      </c>
      <c r="AJ14" s="113">
        <f t="shared" si="9"/>
        <v>38026</v>
      </c>
      <c r="AK14" s="143">
        <f>AW14/1000</f>
        <v>411732.99742854433</v>
      </c>
      <c r="AL14" s="112">
        <f>AX14/1000</f>
        <v>159126.06921264168</v>
      </c>
      <c r="AM14" s="112">
        <f>AY14/1000</f>
        <v>252606.92821590265</v>
      </c>
      <c r="AN14" s="112">
        <f>AZ14/1000</f>
        <v>9586.4381442406648</v>
      </c>
      <c r="AO14" s="230">
        <f t="shared" si="4"/>
        <v>0.38647878651080858</v>
      </c>
      <c r="AP14" s="193">
        <f t="shared" si="5"/>
        <v>48540.438144240667</v>
      </c>
      <c r="AQ14" s="194">
        <f t="shared" si="6"/>
        <v>-48276.438144240667</v>
      </c>
      <c r="AR14" s="118" t="s">
        <v>2486</v>
      </c>
      <c r="AS14" s="119" t="s">
        <v>2243</v>
      </c>
      <c r="AT14" s="119" t="s">
        <v>2487</v>
      </c>
      <c r="AU14" s="120" t="s">
        <v>2245</v>
      </c>
      <c r="AV14" s="195" t="s">
        <v>63</v>
      </c>
      <c r="AW14" s="112">
        <v>411732997.42854434</v>
      </c>
      <c r="AX14" s="162">
        <v>159126069.21264169</v>
      </c>
      <c r="AY14" s="162">
        <v>252606928.21590266</v>
      </c>
      <c r="AZ14" s="162">
        <v>9586438.1442406643</v>
      </c>
      <c r="BA14" s="231">
        <f t="shared" si="10"/>
        <v>0.38647878651080858</v>
      </c>
      <c r="BB14" s="210">
        <v>28649</v>
      </c>
      <c r="BC14" s="115" t="s">
        <v>1966</v>
      </c>
      <c r="BD14" s="236" t="s">
        <v>1966</v>
      </c>
    </row>
    <row r="15" spans="1:56" s="121" customFormat="1" ht="16.5" customHeight="1">
      <c r="A15" s="104" t="s">
        <v>2429</v>
      </c>
      <c r="B15" s="105" t="s">
        <v>177</v>
      </c>
      <c r="C15" s="106" t="s">
        <v>154</v>
      </c>
      <c r="D15" s="106" t="s">
        <v>2415</v>
      </c>
      <c r="E15" s="71" t="s">
        <v>155</v>
      </c>
      <c r="F15" s="71" t="s">
        <v>78</v>
      </c>
      <c r="G15" s="109" t="s">
        <v>156</v>
      </c>
      <c r="H15" s="110">
        <v>46</v>
      </c>
      <c r="I15" s="111">
        <v>242</v>
      </c>
      <c r="J15" s="112">
        <v>17</v>
      </c>
      <c r="K15" s="113">
        <f t="shared" si="0"/>
        <v>305</v>
      </c>
      <c r="L15" s="110">
        <v>1875</v>
      </c>
      <c r="M15" s="111">
        <v>23055</v>
      </c>
      <c r="N15" s="112"/>
      <c r="O15" s="111">
        <v>587</v>
      </c>
      <c r="P15" s="114">
        <v>14</v>
      </c>
      <c r="Q15" s="111">
        <v>8397</v>
      </c>
      <c r="R15" s="115">
        <v>16846</v>
      </c>
      <c r="S15" s="111">
        <f t="shared" si="7"/>
        <v>134404</v>
      </c>
      <c r="T15" s="112">
        <v>6813</v>
      </c>
      <c r="U15" s="116">
        <v>82</v>
      </c>
      <c r="V15" s="112"/>
      <c r="W15" s="113">
        <f t="shared" si="1"/>
        <v>166816</v>
      </c>
      <c r="X15" s="110"/>
      <c r="Y15" s="111"/>
      <c r="Z15" s="116"/>
      <c r="AA15" s="111"/>
      <c r="AB15" s="113">
        <f t="shared" si="8"/>
        <v>0</v>
      </c>
      <c r="AC15" s="110"/>
      <c r="AD15" s="111"/>
      <c r="AE15" s="112"/>
      <c r="AF15" s="117"/>
      <c r="AG15" s="111"/>
      <c r="AH15" s="112"/>
      <c r="AI15" s="112"/>
      <c r="AJ15" s="113">
        <f t="shared" si="9"/>
        <v>0</v>
      </c>
      <c r="AK15" s="143">
        <f>AW15/1000</f>
        <v>508476.06</v>
      </c>
      <c r="AL15" s="112">
        <f t="shared" si="3"/>
        <v>353260.71899999998</v>
      </c>
      <c r="AM15" s="112">
        <f t="shared" si="3"/>
        <v>155215.34099999999</v>
      </c>
      <c r="AN15" s="112">
        <f t="shared" si="3"/>
        <v>10984.317999999999</v>
      </c>
      <c r="AO15" s="230">
        <f t="shared" si="4"/>
        <v>0.69474405343685208</v>
      </c>
      <c r="AP15" s="193">
        <f t="shared" si="5"/>
        <v>177800.318</v>
      </c>
      <c r="AQ15" s="194">
        <f t="shared" si="6"/>
        <v>-177495.318</v>
      </c>
      <c r="AR15" s="118"/>
      <c r="AS15" s="119"/>
      <c r="AT15" s="119"/>
      <c r="AU15" s="120"/>
      <c r="AV15" s="195"/>
      <c r="AW15" s="112">
        <v>508476060</v>
      </c>
      <c r="AX15" s="162">
        <v>353260719</v>
      </c>
      <c r="AY15" s="162">
        <v>155215341</v>
      </c>
      <c r="AZ15" s="162">
        <v>10984318</v>
      </c>
      <c r="BA15" s="231">
        <f t="shared" si="10"/>
        <v>0.69474405343685208</v>
      </c>
      <c r="BB15" s="210">
        <v>75068</v>
      </c>
      <c r="BC15" s="115">
        <v>44</v>
      </c>
      <c r="BD15" s="236"/>
    </row>
    <row r="16" spans="1:56" s="121" customFormat="1" ht="16.5" customHeight="1">
      <c r="A16" s="104" t="s">
        <v>2429</v>
      </c>
      <c r="B16" s="105" t="s">
        <v>185</v>
      </c>
      <c r="C16" s="106" t="s">
        <v>168</v>
      </c>
      <c r="D16" s="106" t="s">
        <v>2415</v>
      </c>
      <c r="E16" s="71" t="s">
        <v>169</v>
      </c>
      <c r="F16" s="71" t="s">
        <v>170</v>
      </c>
      <c r="G16" s="109" t="s">
        <v>171</v>
      </c>
      <c r="H16" s="110">
        <v>23</v>
      </c>
      <c r="I16" s="111">
        <v>12</v>
      </c>
      <c r="J16" s="112">
        <v>37</v>
      </c>
      <c r="K16" s="113">
        <f t="shared" si="0"/>
        <v>72</v>
      </c>
      <c r="L16" s="110">
        <v>4232</v>
      </c>
      <c r="M16" s="111">
        <v>5312</v>
      </c>
      <c r="N16" s="112">
        <v>0</v>
      </c>
      <c r="O16" s="111">
        <v>1419</v>
      </c>
      <c r="P16" s="114">
        <v>9</v>
      </c>
      <c r="Q16" s="111">
        <v>8397</v>
      </c>
      <c r="R16" s="115">
        <v>41209</v>
      </c>
      <c r="S16" s="111">
        <f t="shared" si="7"/>
        <v>116782</v>
      </c>
      <c r="T16" s="112">
        <v>60052</v>
      </c>
      <c r="U16" s="116">
        <v>0</v>
      </c>
      <c r="V16" s="111">
        <v>0</v>
      </c>
      <c r="W16" s="113">
        <f t="shared" si="1"/>
        <v>187797</v>
      </c>
      <c r="X16" s="110"/>
      <c r="Y16" s="111"/>
      <c r="Z16" s="116"/>
      <c r="AA16" s="111"/>
      <c r="AB16" s="113">
        <f t="shared" si="8"/>
        <v>0</v>
      </c>
      <c r="AC16" s="110"/>
      <c r="AD16" s="111"/>
      <c r="AE16" s="112"/>
      <c r="AF16" s="117"/>
      <c r="AG16" s="111"/>
      <c r="AH16" s="112"/>
      <c r="AI16" s="112"/>
      <c r="AJ16" s="113">
        <f t="shared" si="9"/>
        <v>0</v>
      </c>
      <c r="AK16" s="143">
        <f>AW16/1000</f>
        <v>1550681.3149999999</v>
      </c>
      <c r="AL16" s="112">
        <f t="shared" si="3"/>
        <v>806834.728</v>
      </c>
      <c r="AM16" s="112">
        <f t="shared" si="3"/>
        <v>743846.58700000006</v>
      </c>
      <c r="AN16" s="112">
        <f t="shared" si="3"/>
        <v>35636.699000000001</v>
      </c>
      <c r="AO16" s="230">
        <f t="shared" si="4"/>
        <v>0.52030982781268631</v>
      </c>
      <c r="AP16" s="193">
        <f t="shared" si="5"/>
        <v>223433.69899999999</v>
      </c>
      <c r="AQ16" s="194">
        <f t="shared" si="6"/>
        <v>-223361.69899999999</v>
      </c>
      <c r="AR16" s="118"/>
      <c r="AS16" s="119"/>
      <c r="AT16" s="119"/>
      <c r="AU16" s="120"/>
      <c r="AV16" s="195" t="s">
        <v>63</v>
      </c>
      <c r="AW16" s="112">
        <v>1550681315</v>
      </c>
      <c r="AX16" s="162">
        <v>806834728</v>
      </c>
      <c r="AY16" s="162">
        <v>743846587</v>
      </c>
      <c r="AZ16" s="162">
        <v>35636699</v>
      </c>
      <c r="BA16" s="231">
        <f t="shared" si="10"/>
        <v>0.52030982781268631</v>
      </c>
      <c r="BB16" s="210">
        <v>185448</v>
      </c>
      <c r="BC16" s="115">
        <v>3</v>
      </c>
      <c r="BD16" s="236">
        <v>0</v>
      </c>
    </row>
    <row r="17" spans="1:56" s="121" customFormat="1" ht="16.5" customHeight="1">
      <c r="A17" s="104" t="s">
        <v>2429</v>
      </c>
      <c r="B17" s="105" t="s">
        <v>195</v>
      </c>
      <c r="C17" s="106" t="s">
        <v>2135</v>
      </c>
      <c r="D17" s="106" t="s">
        <v>2415</v>
      </c>
      <c r="E17" s="71" t="s">
        <v>2152</v>
      </c>
      <c r="F17" s="71" t="s">
        <v>2085</v>
      </c>
      <c r="G17" s="109" t="s">
        <v>2153</v>
      </c>
      <c r="H17" s="110"/>
      <c r="I17" s="111">
        <v>9836</v>
      </c>
      <c r="J17" s="112"/>
      <c r="K17" s="113">
        <f t="shared" si="0"/>
        <v>9836</v>
      </c>
      <c r="L17" s="110"/>
      <c r="M17" s="111"/>
      <c r="N17" s="112"/>
      <c r="O17" s="111"/>
      <c r="P17" s="115">
        <v>6</v>
      </c>
      <c r="Q17" s="111">
        <v>8397</v>
      </c>
      <c r="R17" s="115">
        <v>0</v>
      </c>
      <c r="S17" s="111">
        <f t="shared" si="7"/>
        <v>50382</v>
      </c>
      <c r="T17" s="111">
        <v>1598</v>
      </c>
      <c r="U17" s="116"/>
      <c r="V17" s="111"/>
      <c r="W17" s="113">
        <f t="shared" si="1"/>
        <v>51980</v>
      </c>
      <c r="X17" s="110"/>
      <c r="Y17" s="111"/>
      <c r="Z17" s="116"/>
      <c r="AA17" s="111"/>
      <c r="AB17" s="113">
        <f t="shared" si="8"/>
        <v>0</v>
      </c>
      <c r="AC17" s="110"/>
      <c r="AD17" s="111"/>
      <c r="AE17" s="112"/>
      <c r="AF17" s="117"/>
      <c r="AG17" s="111"/>
      <c r="AH17" s="112"/>
      <c r="AI17" s="112"/>
      <c r="AJ17" s="113">
        <f t="shared" si="9"/>
        <v>0</v>
      </c>
      <c r="AK17" s="143">
        <f>AW17/1000</f>
        <v>0</v>
      </c>
      <c r="AL17" s="112">
        <f t="shared" si="3"/>
        <v>0</v>
      </c>
      <c r="AM17" s="112">
        <f t="shared" si="3"/>
        <v>0</v>
      </c>
      <c r="AN17" s="112">
        <f t="shared" si="3"/>
        <v>0</v>
      </c>
      <c r="AO17" s="230" t="str">
        <f t="shared" si="4"/>
        <v>-</v>
      </c>
      <c r="AP17" s="193">
        <f t="shared" si="5"/>
        <v>51980</v>
      </c>
      <c r="AQ17" s="194">
        <f t="shared" si="6"/>
        <v>-42144</v>
      </c>
      <c r="AR17" s="118"/>
      <c r="AS17" s="119"/>
      <c r="AT17" s="119"/>
      <c r="AU17" s="120"/>
      <c r="AV17" s="195" t="s">
        <v>63</v>
      </c>
      <c r="AW17" s="112">
        <v>0</v>
      </c>
      <c r="AX17" s="162">
        <v>0</v>
      </c>
      <c r="AY17" s="162">
        <v>0</v>
      </c>
      <c r="AZ17" s="162">
        <v>0</v>
      </c>
      <c r="BA17" s="231" t="s">
        <v>1966</v>
      </c>
      <c r="BB17" s="210"/>
      <c r="BC17" s="115"/>
      <c r="BD17" s="236"/>
    </row>
    <row r="18" spans="1:56" s="121" customFormat="1" ht="16.5" customHeight="1">
      <c r="A18" s="104" t="s">
        <v>2429</v>
      </c>
      <c r="B18" s="105" t="s">
        <v>203</v>
      </c>
      <c r="C18" s="106" t="s">
        <v>2230</v>
      </c>
      <c r="D18" s="106" t="s">
        <v>2415</v>
      </c>
      <c r="E18" s="71" t="s">
        <v>2231</v>
      </c>
      <c r="F18" s="71" t="s">
        <v>2085</v>
      </c>
      <c r="G18" s="109" t="s">
        <v>171</v>
      </c>
      <c r="H18" s="110">
        <v>0</v>
      </c>
      <c r="I18" s="111">
        <v>0</v>
      </c>
      <c r="J18" s="112">
        <v>0</v>
      </c>
      <c r="K18" s="113">
        <f t="shared" si="0"/>
        <v>0</v>
      </c>
      <c r="L18" s="110">
        <v>447</v>
      </c>
      <c r="M18" s="111">
        <v>193</v>
      </c>
      <c r="N18" s="112">
        <v>0</v>
      </c>
      <c r="O18" s="111">
        <v>0</v>
      </c>
      <c r="P18" s="114">
        <v>0</v>
      </c>
      <c r="Q18" s="111">
        <v>8397</v>
      </c>
      <c r="R18" s="115">
        <v>5335</v>
      </c>
      <c r="S18" s="111">
        <f t="shared" si="7"/>
        <v>5335</v>
      </c>
      <c r="T18" s="112">
        <v>2575</v>
      </c>
      <c r="U18" s="116">
        <v>0</v>
      </c>
      <c r="V18" s="111">
        <v>0</v>
      </c>
      <c r="W18" s="113">
        <f t="shared" si="1"/>
        <v>8550</v>
      </c>
      <c r="X18" s="110"/>
      <c r="Y18" s="111"/>
      <c r="Z18" s="116"/>
      <c r="AA18" s="111"/>
      <c r="AB18" s="113">
        <f t="shared" si="8"/>
        <v>0</v>
      </c>
      <c r="AC18" s="110"/>
      <c r="AD18" s="111"/>
      <c r="AE18" s="112"/>
      <c r="AF18" s="117"/>
      <c r="AG18" s="111"/>
      <c r="AH18" s="112"/>
      <c r="AI18" s="112"/>
      <c r="AJ18" s="113">
        <f t="shared" si="9"/>
        <v>0</v>
      </c>
      <c r="AK18" s="143">
        <f>AW18/1000</f>
        <v>12442.724159688847</v>
      </c>
      <c r="AL18" s="112">
        <f t="shared" si="3"/>
        <v>259.5643669774355</v>
      </c>
      <c r="AM18" s="112">
        <f t="shared" si="3"/>
        <v>12183.159792711411</v>
      </c>
      <c r="AN18" s="112">
        <f t="shared" si="3"/>
        <v>259.5643669774355</v>
      </c>
      <c r="AO18" s="230">
        <f t="shared" si="4"/>
        <v>2.0860734646706691E-2</v>
      </c>
      <c r="AP18" s="193">
        <f t="shared" si="5"/>
        <v>8809.5643669774363</v>
      </c>
      <c r="AQ18" s="194">
        <f t="shared" si="6"/>
        <v>-8809.5643669774363</v>
      </c>
      <c r="AR18" s="118"/>
      <c r="AS18" s="119"/>
      <c r="AT18" s="119"/>
      <c r="AU18" s="120"/>
      <c r="AV18" s="195" t="s">
        <v>63</v>
      </c>
      <c r="AW18" s="112">
        <v>12442724.159688847</v>
      </c>
      <c r="AX18" s="162">
        <v>259564.36697743551</v>
      </c>
      <c r="AY18" s="162">
        <v>12183159.792711411</v>
      </c>
      <c r="AZ18" s="162">
        <v>259564.36697743551</v>
      </c>
      <c r="BA18" s="231">
        <f t="shared" si="10"/>
        <v>2.0860734646706691E-2</v>
      </c>
      <c r="BB18" s="210">
        <v>9623</v>
      </c>
      <c r="BC18" s="115">
        <v>0</v>
      </c>
      <c r="BD18" s="236">
        <v>0</v>
      </c>
    </row>
    <row r="19" spans="1:56" s="121" customFormat="1" ht="16.5" customHeight="1">
      <c r="A19" s="104" t="s">
        <v>2429</v>
      </c>
      <c r="B19" s="105" t="s">
        <v>209</v>
      </c>
      <c r="C19" s="106" t="s">
        <v>178</v>
      </c>
      <c r="D19" s="106" t="s">
        <v>2415</v>
      </c>
      <c r="E19" s="71" t="s">
        <v>179</v>
      </c>
      <c r="F19" s="71" t="s">
        <v>78</v>
      </c>
      <c r="G19" s="109" t="s">
        <v>180</v>
      </c>
      <c r="H19" s="110">
        <v>0</v>
      </c>
      <c r="I19" s="112">
        <v>0</v>
      </c>
      <c r="J19" s="112">
        <v>0</v>
      </c>
      <c r="K19" s="113">
        <v>0</v>
      </c>
      <c r="L19" s="143">
        <v>0</v>
      </c>
      <c r="M19" s="111">
        <v>0</v>
      </c>
      <c r="N19" s="112">
        <v>0</v>
      </c>
      <c r="O19" s="111">
        <v>0</v>
      </c>
      <c r="P19" s="114">
        <v>1.1499999999999999</v>
      </c>
      <c r="Q19" s="111">
        <v>8397</v>
      </c>
      <c r="R19" s="112"/>
      <c r="S19" s="111">
        <v>0</v>
      </c>
      <c r="T19" s="112">
        <v>0</v>
      </c>
      <c r="U19" s="116">
        <v>14</v>
      </c>
      <c r="V19" s="111">
        <v>7490</v>
      </c>
      <c r="W19" s="113">
        <f t="shared" si="1"/>
        <v>7504</v>
      </c>
      <c r="X19" s="110">
        <v>0</v>
      </c>
      <c r="Y19" s="111">
        <v>0</v>
      </c>
      <c r="Z19" s="116">
        <v>0</v>
      </c>
      <c r="AA19" s="111">
        <v>7490</v>
      </c>
      <c r="AB19" s="113">
        <f t="shared" si="8"/>
        <v>7490</v>
      </c>
      <c r="AC19" s="110">
        <v>0</v>
      </c>
      <c r="AD19" s="111">
        <v>0</v>
      </c>
      <c r="AE19" s="112">
        <v>0</v>
      </c>
      <c r="AF19" s="117">
        <v>58</v>
      </c>
      <c r="AG19" s="111">
        <v>5697</v>
      </c>
      <c r="AH19" s="112">
        <v>1188</v>
      </c>
      <c r="AI19" s="112"/>
      <c r="AJ19" s="113">
        <v>6943</v>
      </c>
      <c r="AK19" s="232"/>
      <c r="AL19" s="119"/>
      <c r="AM19" s="233"/>
      <c r="AN19" s="145"/>
      <c r="AO19" s="230" t="str">
        <f t="shared" si="4"/>
        <v>-</v>
      </c>
      <c r="AP19" s="145"/>
      <c r="AQ19" s="194">
        <f t="shared" si="6"/>
        <v>0</v>
      </c>
      <c r="AR19" s="118"/>
      <c r="AS19" s="119"/>
      <c r="AT19" s="119"/>
      <c r="AU19" s="120"/>
      <c r="AV19" s="195"/>
      <c r="AW19" s="112">
        <v>0</v>
      </c>
      <c r="AX19" s="162">
        <v>0</v>
      </c>
      <c r="AY19" s="162">
        <v>0</v>
      </c>
      <c r="AZ19" s="162">
        <v>0</v>
      </c>
      <c r="BA19" s="231" t="s">
        <v>1966</v>
      </c>
      <c r="BB19" s="210"/>
      <c r="BC19" s="115"/>
      <c r="BD19" s="236"/>
    </row>
    <row r="20" spans="1:56" s="121" customFormat="1" ht="16.5" customHeight="1">
      <c r="A20" s="104" t="s">
        <v>2429</v>
      </c>
      <c r="B20" s="105" t="s">
        <v>213</v>
      </c>
      <c r="C20" s="106" t="s">
        <v>186</v>
      </c>
      <c r="D20" s="106" t="s">
        <v>2415</v>
      </c>
      <c r="E20" s="71" t="s">
        <v>2057</v>
      </c>
      <c r="F20" s="71" t="s">
        <v>187</v>
      </c>
      <c r="G20" s="109" t="s">
        <v>2058</v>
      </c>
      <c r="H20" s="123"/>
      <c r="I20" s="124"/>
      <c r="J20" s="124"/>
      <c r="K20" s="113">
        <f t="shared" si="0"/>
        <v>0</v>
      </c>
      <c r="L20" s="110">
        <v>6832</v>
      </c>
      <c r="M20" s="111">
        <v>3433</v>
      </c>
      <c r="N20" s="112"/>
      <c r="O20" s="111">
        <v>1126</v>
      </c>
      <c r="P20" s="114">
        <v>2.9</v>
      </c>
      <c r="Q20" s="111">
        <v>8397</v>
      </c>
      <c r="R20" s="124"/>
      <c r="S20" s="111">
        <f t="shared" si="7"/>
        <v>24351</v>
      </c>
      <c r="T20" s="112">
        <v>1984</v>
      </c>
      <c r="U20" s="116"/>
      <c r="V20" s="124"/>
      <c r="W20" s="113">
        <f t="shared" si="1"/>
        <v>37726</v>
      </c>
      <c r="X20" s="123"/>
      <c r="Y20" s="125"/>
      <c r="Z20" s="126"/>
      <c r="AA20" s="125"/>
      <c r="AB20" s="113">
        <f t="shared" si="8"/>
        <v>0</v>
      </c>
      <c r="AC20" s="123"/>
      <c r="AD20" s="125"/>
      <c r="AE20" s="124"/>
      <c r="AF20" s="197"/>
      <c r="AG20" s="125"/>
      <c r="AH20" s="124"/>
      <c r="AI20" s="124"/>
      <c r="AJ20" s="113">
        <f t="shared" si="9"/>
        <v>0</v>
      </c>
      <c r="AK20" s="143">
        <f>AW20/1000</f>
        <v>988981.76300000004</v>
      </c>
      <c r="AL20" s="112">
        <f>AX20/1000</f>
        <v>709047.73199999996</v>
      </c>
      <c r="AM20" s="112">
        <f>AY20/1000</f>
        <v>279934.03100000002</v>
      </c>
      <c r="AN20" s="112">
        <f>AZ20/1000</f>
        <v>22115.317999999999</v>
      </c>
      <c r="AO20" s="230">
        <f t="shared" si="4"/>
        <v>0.71694722645760256</v>
      </c>
      <c r="AP20" s="193">
        <f t="shared" ref="AP20:AP83" si="11">W20+AN20</f>
        <v>59841.317999999999</v>
      </c>
      <c r="AQ20" s="194">
        <f t="shared" si="6"/>
        <v>-59841.317999999999</v>
      </c>
      <c r="AR20" s="127"/>
      <c r="AS20" s="128"/>
      <c r="AT20" s="128"/>
      <c r="AU20" s="129"/>
      <c r="AV20" s="198"/>
      <c r="AW20" s="112">
        <v>988981763</v>
      </c>
      <c r="AX20" s="162">
        <v>709047732</v>
      </c>
      <c r="AY20" s="162">
        <v>279934031</v>
      </c>
      <c r="AZ20" s="162">
        <v>22115318</v>
      </c>
      <c r="BA20" s="231">
        <f t="shared" si="10"/>
        <v>0.71694722645760256</v>
      </c>
      <c r="BB20" s="210">
        <v>264522</v>
      </c>
      <c r="BC20" s="115">
        <v>6400</v>
      </c>
      <c r="BD20" s="236"/>
    </row>
    <row r="21" spans="1:56" s="121" customFormat="1" ht="16.5" customHeight="1">
      <c r="A21" s="104" t="s">
        <v>2429</v>
      </c>
      <c r="B21" s="105" t="s">
        <v>218</v>
      </c>
      <c r="C21" s="106" t="s">
        <v>196</v>
      </c>
      <c r="D21" s="106" t="s">
        <v>2415</v>
      </c>
      <c r="E21" s="71" t="s">
        <v>197</v>
      </c>
      <c r="F21" s="71" t="s">
        <v>187</v>
      </c>
      <c r="G21" s="109" t="s">
        <v>2058</v>
      </c>
      <c r="H21" s="123"/>
      <c r="I21" s="124"/>
      <c r="J21" s="124"/>
      <c r="K21" s="113">
        <f t="shared" si="0"/>
        <v>0</v>
      </c>
      <c r="L21" s="110">
        <v>3275</v>
      </c>
      <c r="M21" s="111">
        <v>777</v>
      </c>
      <c r="N21" s="112"/>
      <c r="O21" s="111">
        <v>328</v>
      </c>
      <c r="P21" s="114"/>
      <c r="Q21" s="111">
        <v>8397</v>
      </c>
      <c r="R21" s="124"/>
      <c r="S21" s="111">
        <f t="shared" si="7"/>
        <v>0</v>
      </c>
      <c r="T21" s="112">
        <v>1289</v>
      </c>
      <c r="U21" s="116"/>
      <c r="V21" s="124"/>
      <c r="W21" s="113">
        <f t="shared" si="1"/>
        <v>5669</v>
      </c>
      <c r="X21" s="123"/>
      <c r="Y21" s="125"/>
      <c r="Z21" s="126"/>
      <c r="AA21" s="125"/>
      <c r="AB21" s="113">
        <f t="shared" si="8"/>
        <v>0</v>
      </c>
      <c r="AC21" s="123"/>
      <c r="AD21" s="125"/>
      <c r="AE21" s="124"/>
      <c r="AF21" s="197"/>
      <c r="AG21" s="125"/>
      <c r="AH21" s="124"/>
      <c r="AI21" s="124"/>
      <c r="AJ21" s="113">
        <f t="shared" si="9"/>
        <v>0</v>
      </c>
      <c r="AK21" s="143">
        <f t="shared" ref="AK21:AN77" si="12">AW21/1000</f>
        <v>290921.22100000002</v>
      </c>
      <c r="AL21" s="112">
        <f t="shared" si="12"/>
        <v>171058.861</v>
      </c>
      <c r="AM21" s="112">
        <f t="shared" si="12"/>
        <v>119862.36</v>
      </c>
      <c r="AN21" s="112">
        <f t="shared" si="12"/>
        <v>9661.8760000000002</v>
      </c>
      <c r="AO21" s="230">
        <f t="shared" si="4"/>
        <v>0.58799031714499783</v>
      </c>
      <c r="AP21" s="193">
        <f t="shared" si="11"/>
        <v>15330.876</v>
      </c>
      <c r="AQ21" s="194">
        <f t="shared" si="6"/>
        <v>-15330.876</v>
      </c>
      <c r="AR21" s="127"/>
      <c r="AS21" s="128"/>
      <c r="AT21" s="128"/>
      <c r="AU21" s="129"/>
      <c r="AV21" s="198"/>
      <c r="AW21" s="112">
        <v>290921221</v>
      </c>
      <c r="AX21" s="162">
        <v>171058861</v>
      </c>
      <c r="AY21" s="162">
        <v>119862360</v>
      </c>
      <c r="AZ21" s="162">
        <v>9661876</v>
      </c>
      <c r="BA21" s="231">
        <f t="shared" si="10"/>
        <v>0.58799031714499783</v>
      </c>
      <c r="BB21" s="210">
        <v>91867</v>
      </c>
      <c r="BC21" s="115">
        <v>4410</v>
      </c>
      <c r="BD21" s="236"/>
    </row>
    <row r="22" spans="1:56" s="121" customFormat="1" ht="16.5" customHeight="1">
      <c r="A22" s="104" t="s">
        <v>2429</v>
      </c>
      <c r="B22" s="105" t="s">
        <v>223</v>
      </c>
      <c r="C22" s="106" t="s">
        <v>210</v>
      </c>
      <c r="D22" s="106" t="s">
        <v>2415</v>
      </c>
      <c r="E22" s="71" t="s">
        <v>2381</v>
      </c>
      <c r="F22" s="71" t="s">
        <v>187</v>
      </c>
      <c r="G22" s="109" t="s">
        <v>2058</v>
      </c>
      <c r="H22" s="130"/>
      <c r="I22" s="124"/>
      <c r="J22" s="124"/>
      <c r="K22" s="113">
        <f t="shared" si="0"/>
        <v>0</v>
      </c>
      <c r="L22" s="110">
        <v>1145</v>
      </c>
      <c r="M22" s="111">
        <v>31</v>
      </c>
      <c r="N22" s="112"/>
      <c r="O22" s="111"/>
      <c r="P22" s="114"/>
      <c r="Q22" s="111">
        <v>8397</v>
      </c>
      <c r="R22" s="124"/>
      <c r="S22" s="111">
        <f t="shared" si="7"/>
        <v>0</v>
      </c>
      <c r="T22" s="112">
        <v>326</v>
      </c>
      <c r="U22" s="116"/>
      <c r="V22" s="124"/>
      <c r="W22" s="113">
        <f t="shared" si="1"/>
        <v>1502</v>
      </c>
      <c r="X22" s="123"/>
      <c r="Y22" s="125"/>
      <c r="Z22" s="126"/>
      <c r="AA22" s="125"/>
      <c r="AB22" s="113">
        <f t="shared" si="8"/>
        <v>0</v>
      </c>
      <c r="AC22" s="123"/>
      <c r="AD22" s="125"/>
      <c r="AE22" s="124"/>
      <c r="AF22" s="197"/>
      <c r="AG22" s="125"/>
      <c r="AH22" s="124"/>
      <c r="AI22" s="124"/>
      <c r="AJ22" s="113">
        <f t="shared" si="9"/>
        <v>0</v>
      </c>
      <c r="AK22" s="143">
        <f t="shared" si="12"/>
        <v>58221.453999999998</v>
      </c>
      <c r="AL22" s="112">
        <f t="shared" si="12"/>
        <v>38211.906999999999</v>
      </c>
      <c r="AM22" s="112">
        <f t="shared" si="12"/>
        <v>20009.546999999999</v>
      </c>
      <c r="AN22" s="112">
        <f t="shared" si="12"/>
        <v>2071.9050000000002</v>
      </c>
      <c r="AO22" s="230">
        <f t="shared" si="4"/>
        <v>0.65632003968846264</v>
      </c>
      <c r="AP22" s="193">
        <f t="shared" si="11"/>
        <v>3573.9050000000002</v>
      </c>
      <c r="AQ22" s="194">
        <f t="shared" si="6"/>
        <v>-3573.9050000000002</v>
      </c>
      <c r="AR22" s="127"/>
      <c r="AS22" s="128"/>
      <c r="AT22" s="128"/>
      <c r="AU22" s="129"/>
      <c r="AV22" s="198"/>
      <c r="AW22" s="112">
        <v>58221454</v>
      </c>
      <c r="AX22" s="162">
        <v>38211907</v>
      </c>
      <c r="AY22" s="162">
        <v>20009547</v>
      </c>
      <c r="AZ22" s="162">
        <v>2071905</v>
      </c>
      <c r="BA22" s="231">
        <f t="shared" si="10"/>
        <v>0.65632003968846264</v>
      </c>
      <c r="BB22" s="210">
        <v>30473</v>
      </c>
      <c r="BC22" s="115"/>
      <c r="BD22" s="236">
        <v>399.5</v>
      </c>
    </row>
    <row r="23" spans="1:56" s="121" customFormat="1" ht="16.5" customHeight="1">
      <c r="A23" s="104" t="s">
        <v>2429</v>
      </c>
      <c r="B23" s="105" t="s">
        <v>231</v>
      </c>
      <c r="C23" s="106" t="s">
        <v>214</v>
      </c>
      <c r="D23" s="106" t="s">
        <v>2415</v>
      </c>
      <c r="E23" s="71" t="s">
        <v>215</v>
      </c>
      <c r="F23" s="71" t="s">
        <v>187</v>
      </c>
      <c r="G23" s="109" t="s">
        <v>2058</v>
      </c>
      <c r="H23" s="130"/>
      <c r="I23" s="124"/>
      <c r="J23" s="124"/>
      <c r="K23" s="113">
        <f t="shared" si="0"/>
        <v>0</v>
      </c>
      <c r="L23" s="110">
        <v>1479</v>
      </c>
      <c r="M23" s="111">
        <v>51</v>
      </c>
      <c r="N23" s="112"/>
      <c r="O23" s="111">
        <v>134</v>
      </c>
      <c r="P23" s="114"/>
      <c r="Q23" s="111">
        <v>8397</v>
      </c>
      <c r="R23" s="124"/>
      <c r="S23" s="111">
        <f t="shared" si="7"/>
        <v>0</v>
      </c>
      <c r="T23" s="112">
        <v>523</v>
      </c>
      <c r="U23" s="116"/>
      <c r="V23" s="124"/>
      <c r="W23" s="113">
        <f t="shared" si="1"/>
        <v>2187</v>
      </c>
      <c r="X23" s="123"/>
      <c r="Y23" s="125"/>
      <c r="Z23" s="126"/>
      <c r="AA23" s="125"/>
      <c r="AB23" s="113">
        <f t="shared" si="8"/>
        <v>0</v>
      </c>
      <c r="AC23" s="123"/>
      <c r="AD23" s="125"/>
      <c r="AE23" s="124"/>
      <c r="AF23" s="197"/>
      <c r="AG23" s="125"/>
      <c r="AH23" s="124"/>
      <c r="AI23" s="124"/>
      <c r="AJ23" s="113">
        <f t="shared" si="9"/>
        <v>0</v>
      </c>
      <c r="AK23" s="143">
        <f t="shared" si="12"/>
        <v>91275</v>
      </c>
      <c r="AL23" s="112">
        <f t="shared" si="12"/>
        <v>55710.036</v>
      </c>
      <c r="AM23" s="112">
        <f t="shared" si="12"/>
        <v>35564.964</v>
      </c>
      <c r="AN23" s="112">
        <f t="shared" si="12"/>
        <v>2164.1129999999998</v>
      </c>
      <c r="AO23" s="230">
        <f t="shared" si="4"/>
        <v>0.61035372226787177</v>
      </c>
      <c r="AP23" s="193">
        <f t="shared" si="11"/>
        <v>4351.1129999999994</v>
      </c>
      <c r="AQ23" s="194">
        <f t="shared" si="6"/>
        <v>-4351.1129999999994</v>
      </c>
      <c r="AR23" s="127"/>
      <c r="AS23" s="128"/>
      <c r="AT23" s="128"/>
      <c r="AU23" s="129"/>
      <c r="AV23" s="198"/>
      <c r="AW23" s="112">
        <v>91275000</v>
      </c>
      <c r="AX23" s="162">
        <v>55710036</v>
      </c>
      <c r="AY23" s="162">
        <v>35564964</v>
      </c>
      <c r="AZ23" s="162">
        <v>2164113</v>
      </c>
      <c r="BA23" s="231">
        <f t="shared" si="10"/>
        <v>0.61035372226787177</v>
      </c>
      <c r="BB23" s="210">
        <v>45143</v>
      </c>
      <c r="BC23" s="115">
        <v>968</v>
      </c>
      <c r="BD23" s="236"/>
    </row>
    <row r="24" spans="1:56" s="121" customFormat="1" ht="16.5" customHeight="1">
      <c r="A24" s="104" t="s">
        <v>2429</v>
      </c>
      <c r="B24" s="105" t="s">
        <v>236</v>
      </c>
      <c r="C24" s="106" t="s">
        <v>204</v>
      </c>
      <c r="D24" s="106" t="s">
        <v>2415</v>
      </c>
      <c r="E24" s="71" t="s">
        <v>205</v>
      </c>
      <c r="F24" s="71" t="s">
        <v>187</v>
      </c>
      <c r="G24" s="109" t="s">
        <v>2058</v>
      </c>
      <c r="H24" s="130"/>
      <c r="I24" s="124"/>
      <c r="J24" s="124"/>
      <c r="K24" s="113">
        <f t="shared" si="0"/>
        <v>0</v>
      </c>
      <c r="L24" s="110">
        <v>1044</v>
      </c>
      <c r="M24" s="111">
        <v>31</v>
      </c>
      <c r="N24" s="112"/>
      <c r="O24" s="111">
        <v>51</v>
      </c>
      <c r="P24" s="114"/>
      <c r="Q24" s="111">
        <v>8397</v>
      </c>
      <c r="R24" s="124"/>
      <c r="S24" s="111">
        <f t="shared" si="7"/>
        <v>0</v>
      </c>
      <c r="T24" s="112">
        <v>330</v>
      </c>
      <c r="U24" s="116"/>
      <c r="V24" s="124"/>
      <c r="W24" s="113">
        <f t="shared" si="1"/>
        <v>1456</v>
      </c>
      <c r="X24" s="123"/>
      <c r="Y24" s="125"/>
      <c r="Z24" s="126"/>
      <c r="AA24" s="125"/>
      <c r="AB24" s="113">
        <f t="shared" si="8"/>
        <v>0</v>
      </c>
      <c r="AC24" s="123"/>
      <c r="AD24" s="125"/>
      <c r="AE24" s="124"/>
      <c r="AF24" s="197"/>
      <c r="AG24" s="125"/>
      <c r="AH24" s="124"/>
      <c r="AI24" s="124"/>
      <c r="AJ24" s="113">
        <f t="shared" si="9"/>
        <v>0</v>
      </c>
      <c r="AK24" s="143">
        <f t="shared" si="12"/>
        <v>42587.601000000002</v>
      </c>
      <c r="AL24" s="112">
        <f t="shared" si="12"/>
        <v>26963.662</v>
      </c>
      <c r="AM24" s="112">
        <f t="shared" si="12"/>
        <v>15623.939</v>
      </c>
      <c r="AN24" s="112">
        <f t="shared" si="12"/>
        <v>860.42</v>
      </c>
      <c r="AO24" s="230">
        <f t="shared" si="4"/>
        <v>0.63313408989625874</v>
      </c>
      <c r="AP24" s="193">
        <f t="shared" si="11"/>
        <v>2316.42</v>
      </c>
      <c r="AQ24" s="194">
        <f t="shared" si="6"/>
        <v>-2316.42</v>
      </c>
      <c r="AR24" s="127"/>
      <c r="AS24" s="128"/>
      <c r="AT24" s="128"/>
      <c r="AU24" s="129"/>
      <c r="AV24" s="198"/>
      <c r="AW24" s="112">
        <v>42587601</v>
      </c>
      <c r="AX24" s="162">
        <v>26963662</v>
      </c>
      <c r="AY24" s="162">
        <v>15623939</v>
      </c>
      <c r="AZ24" s="162">
        <v>860420</v>
      </c>
      <c r="BA24" s="231">
        <f t="shared" si="10"/>
        <v>0.63313408989625874</v>
      </c>
      <c r="BB24" s="210">
        <v>28060</v>
      </c>
      <c r="BC24" s="115">
        <v>909</v>
      </c>
      <c r="BD24" s="236"/>
    </row>
    <row r="25" spans="1:56" s="121" customFormat="1" ht="16.5" customHeight="1">
      <c r="A25" s="104" t="s">
        <v>2429</v>
      </c>
      <c r="B25" s="105" t="s">
        <v>241</v>
      </c>
      <c r="C25" s="106" t="s">
        <v>219</v>
      </c>
      <c r="D25" s="106" t="s">
        <v>2415</v>
      </c>
      <c r="E25" s="71" t="s">
        <v>220</v>
      </c>
      <c r="F25" s="71" t="s">
        <v>187</v>
      </c>
      <c r="G25" s="109" t="s">
        <v>2058</v>
      </c>
      <c r="H25" s="130"/>
      <c r="I25" s="124"/>
      <c r="J25" s="124"/>
      <c r="K25" s="113">
        <f t="shared" si="0"/>
        <v>0</v>
      </c>
      <c r="L25" s="110">
        <v>1462</v>
      </c>
      <c r="M25" s="111">
        <v>57</v>
      </c>
      <c r="N25" s="112"/>
      <c r="O25" s="111">
        <v>365</v>
      </c>
      <c r="P25" s="114"/>
      <c r="Q25" s="111">
        <v>8397</v>
      </c>
      <c r="R25" s="124"/>
      <c r="S25" s="111">
        <f t="shared" si="7"/>
        <v>0</v>
      </c>
      <c r="T25" s="112">
        <v>538</v>
      </c>
      <c r="U25" s="116"/>
      <c r="V25" s="124"/>
      <c r="W25" s="113">
        <f t="shared" si="1"/>
        <v>2422</v>
      </c>
      <c r="X25" s="123"/>
      <c r="Y25" s="125"/>
      <c r="Z25" s="126"/>
      <c r="AA25" s="125"/>
      <c r="AB25" s="113">
        <f t="shared" si="8"/>
        <v>0</v>
      </c>
      <c r="AC25" s="123"/>
      <c r="AD25" s="125"/>
      <c r="AE25" s="124"/>
      <c r="AF25" s="197"/>
      <c r="AG25" s="125"/>
      <c r="AH25" s="124"/>
      <c r="AI25" s="124"/>
      <c r="AJ25" s="113">
        <f t="shared" si="9"/>
        <v>0</v>
      </c>
      <c r="AK25" s="143">
        <f t="shared" si="12"/>
        <v>108122.963</v>
      </c>
      <c r="AL25" s="112">
        <f t="shared" si="12"/>
        <v>52840.675000000003</v>
      </c>
      <c r="AM25" s="112">
        <f t="shared" si="12"/>
        <v>55282.288</v>
      </c>
      <c r="AN25" s="112">
        <f t="shared" si="12"/>
        <v>2427.7649999999999</v>
      </c>
      <c r="AO25" s="230">
        <f t="shared" si="4"/>
        <v>0.48870909133335533</v>
      </c>
      <c r="AP25" s="193">
        <f t="shared" si="11"/>
        <v>4849.7649999999994</v>
      </c>
      <c r="AQ25" s="194">
        <f t="shared" si="6"/>
        <v>-4849.7649999999994</v>
      </c>
      <c r="AR25" s="127"/>
      <c r="AS25" s="128"/>
      <c r="AT25" s="128"/>
      <c r="AU25" s="129"/>
      <c r="AV25" s="198"/>
      <c r="AW25" s="112">
        <v>108122963</v>
      </c>
      <c r="AX25" s="162">
        <v>52840675</v>
      </c>
      <c r="AY25" s="162">
        <v>55282288</v>
      </c>
      <c r="AZ25" s="162">
        <v>2427765</v>
      </c>
      <c r="BA25" s="231">
        <f t="shared" si="10"/>
        <v>0.48870909133335533</v>
      </c>
      <c r="BB25" s="210">
        <v>38268</v>
      </c>
      <c r="BC25" s="115">
        <v>1177</v>
      </c>
      <c r="BD25" s="236"/>
    </row>
    <row r="26" spans="1:56" s="121" customFormat="1" ht="16.5" customHeight="1">
      <c r="A26" s="104" t="s">
        <v>2429</v>
      </c>
      <c r="B26" s="105" t="s">
        <v>246</v>
      </c>
      <c r="C26" s="106" t="s">
        <v>224</v>
      </c>
      <c r="D26" s="106" t="s">
        <v>2415</v>
      </c>
      <c r="E26" s="71" t="s">
        <v>225</v>
      </c>
      <c r="F26" s="71" t="s">
        <v>187</v>
      </c>
      <c r="G26" s="109" t="s">
        <v>2058</v>
      </c>
      <c r="H26" s="130"/>
      <c r="I26" s="124"/>
      <c r="J26" s="124"/>
      <c r="K26" s="113">
        <f t="shared" si="0"/>
        <v>0</v>
      </c>
      <c r="L26" s="110">
        <v>46</v>
      </c>
      <c r="M26" s="112"/>
      <c r="N26" s="112"/>
      <c r="O26" s="112"/>
      <c r="P26" s="114"/>
      <c r="Q26" s="111">
        <v>8397</v>
      </c>
      <c r="R26" s="124"/>
      <c r="S26" s="111">
        <f t="shared" si="7"/>
        <v>0</v>
      </c>
      <c r="T26" s="124"/>
      <c r="U26" s="126"/>
      <c r="V26" s="124"/>
      <c r="W26" s="113">
        <f t="shared" si="1"/>
        <v>46</v>
      </c>
      <c r="X26" s="123"/>
      <c r="Y26" s="125"/>
      <c r="Z26" s="126"/>
      <c r="AA26" s="125"/>
      <c r="AB26" s="113">
        <f t="shared" si="8"/>
        <v>0</v>
      </c>
      <c r="AC26" s="123"/>
      <c r="AD26" s="125"/>
      <c r="AE26" s="124"/>
      <c r="AF26" s="197"/>
      <c r="AG26" s="125"/>
      <c r="AH26" s="124"/>
      <c r="AI26" s="124"/>
      <c r="AJ26" s="113">
        <f t="shared" si="9"/>
        <v>0</v>
      </c>
      <c r="AK26" s="143">
        <f t="shared" si="12"/>
        <v>4767.6000000000004</v>
      </c>
      <c r="AL26" s="112">
        <f t="shared" si="12"/>
        <v>1415.97</v>
      </c>
      <c r="AM26" s="112">
        <f t="shared" si="12"/>
        <v>3351.63</v>
      </c>
      <c r="AN26" s="112">
        <f t="shared" si="12"/>
        <v>157.33000000000001</v>
      </c>
      <c r="AO26" s="230">
        <f t="shared" si="4"/>
        <v>0.29699848980619181</v>
      </c>
      <c r="AP26" s="193">
        <f t="shared" si="11"/>
        <v>203.33</v>
      </c>
      <c r="AQ26" s="194">
        <f t="shared" si="6"/>
        <v>-203.33</v>
      </c>
      <c r="AR26" s="127"/>
      <c r="AS26" s="128"/>
      <c r="AT26" s="128"/>
      <c r="AU26" s="129"/>
      <c r="AV26" s="198"/>
      <c r="AW26" s="112">
        <v>4767600</v>
      </c>
      <c r="AX26" s="162">
        <v>1415970</v>
      </c>
      <c r="AY26" s="162">
        <v>3351630</v>
      </c>
      <c r="AZ26" s="162">
        <v>157330</v>
      </c>
      <c r="BA26" s="231">
        <f t="shared" si="10"/>
        <v>0.29699848980619181</v>
      </c>
      <c r="BB26" s="210">
        <v>1341</v>
      </c>
      <c r="BC26" s="115"/>
      <c r="BD26" s="236"/>
    </row>
    <row r="27" spans="1:56" s="121" customFormat="1" ht="16.5" customHeight="1">
      <c r="A27" s="104" t="s">
        <v>2429</v>
      </c>
      <c r="B27" s="105" t="s">
        <v>253</v>
      </c>
      <c r="C27" s="106" t="s">
        <v>247</v>
      </c>
      <c r="D27" s="106" t="s">
        <v>2415</v>
      </c>
      <c r="E27" s="71" t="s">
        <v>248</v>
      </c>
      <c r="F27" s="71" t="s">
        <v>187</v>
      </c>
      <c r="G27" s="109" t="s">
        <v>2058</v>
      </c>
      <c r="H27" s="130"/>
      <c r="I27" s="124"/>
      <c r="J27" s="124"/>
      <c r="K27" s="113">
        <f t="shared" si="0"/>
        <v>0</v>
      </c>
      <c r="L27" s="143"/>
      <c r="M27" s="112"/>
      <c r="N27" s="112"/>
      <c r="O27" s="112"/>
      <c r="P27" s="114"/>
      <c r="Q27" s="111">
        <v>8397</v>
      </c>
      <c r="R27" s="124"/>
      <c r="S27" s="111">
        <f t="shared" si="7"/>
        <v>0</v>
      </c>
      <c r="T27" s="124"/>
      <c r="U27" s="126"/>
      <c r="V27" s="124"/>
      <c r="W27" s="113">
        <f t="shared" si="1"/>
        <v>0</v>
      </c>
      <c r="X27" s="123"/>
      <c r="Y27" s="125"/>
      <c r="Z27" s="126"/>
      <c r="AA27" s="125"/>
      <c r="AB27" s="113">
        <f t="shared" si="8"/>
        <v>0</v>
      </c>
      <c r="AC27" s="123"/>
      <c r="AD27" s="125"/>
      <c r="AE27" s="124"/>
      <c r="AF27" s="197"/>
      <c r="AG27" s="125"/>
      <c r="AH27" s="124"/>
      <c r="AI27" s="124"/>
      <c r="AJ27" s="113">
        <f t="shared" si="9"/>
        <v>0</v>
      </c>
      <c r="AK27" s="143">
        <f t="shared" si="12"/>
        <v>10833.9</v>
      </c>
      <c r="AL27" s="112">
        <f t="shared" si="12"/>
        <v>10833.898999999999</v>
      </c>
      <c r="AM27" s="112">
        <f t="shared" si="12"/>
        <v>1E-3</v>
      </c>
      <c r="AN27" s="112">
        <f t="shared" si="12"/>
        <v>606.69899999999996</v>
      </c>
      <c r="AO27" s="230">
        <f t="shared" si="4"/>
        <v>0.99999990769713587</v>
      </c>
      <c r="AP27" s="193">
        <f t="shared" si="11"/>
        <v>606.69899999999996</v>
      </c>
      <c r="AQ27" s="194">
        <f t="shared" si="6"/>
        <v>-606.69899999999996</v>
      </c>
      <c r="AR27" s="127"/>
      <c r="AS27" s="128"/>
      <c r="AT27" s="128"/>
      <c r="AU27" s="129"/>
      <c r="AV27" s="198"/>
      <c r="AW27" s="112">
        <v>10833900</v>
      </c>
      <c r="AX27" s="162">
        <v>10833899</v>
      </c>
      <c r="AY27" s="162">
        <v>1</v>
      </c>
      <c r="AZ27" s="162">
        <v>606699</v>
      </c>
      <c r="BA27" s="231">
        <f t="shared" si="10"/>
        <v>0.99999990769713587</v>
      </c>
      <c r="BB27" s="210"/>
      <c r="BC27" s="115"/>
      <c r="BD27" s="236"/>
    </row>
    <row r="28" spans="1:56" s="121" customFormat="1" ht="16.5" customHeight="1">
      <c r="A28" s="104" t="s">
        <v>2429</v>
      </c>
      <c r="B28" s="105" t="s">
        <v>259</v>
      </c>
      <c r="C28" s="106" t="s">
        <v>254</v>
      </c>
      <c r="D28" s="106" t="s">
        <v>2415</v>
      </c>
      <c r="E28" s="71" t="s">
        <v>255</v>
      </c>
      <c r="F28" s="71" t="s">
        <v>187</v>
      </c>
      <c r="G28" s="109" t="s">
        <v>2058</v>
      </c>
      <c r="H28" s="130"/>
      <c r="I28" s="124"/>
      <c r="J28" s="124"/>
      <c r="K28" s="113">
        <f t="shared" si="0"/>
        <v>0</v>
      </c>
      <c r="L28" s="110">
        <v>22</v>
      </c>
      <c r="M28" s="112"/>
      <c r="N28" s="112"/>
      <c r="O28" s="111"/>
      <c r="P28" s="114"/>
      <c r="Q28" s="111">
        <v>8397</v>
      </c>
      <c r="R28" s="124"/>
      <c r="S28" s="111">
        <f t="shared" si="7"/>
        <v>0</v>
      </c>
      <c r="T28" s="124"/>
      <c r="U28" s="126"/>
      <c r="V28" s="124"/>
      <c r="W28" s="113">
        <f t="shared" si="1"/>
        <v>22</v>
      </c>
      <c r="X28" s="123"/>
      <c r="Y28" s="125"/>
      <c r="Z28" s="126"/>
      <c r="AA28" s="125"/>
      <c r="AB28" s="113">
        <f t="shared" si="8"/>
        <v>0</v>
      </c>
      <c r="AC28" s="123"/>
      <c r="AD28" s="125"/>
      <c r="AE28" s="124"/>
      <c r="AF28" s="197"/>
      <c r="AG28" s="125"/>
      <c r="AH28" s="124"/>
      <c r="AI28" s="124"/>
      <c r="AJ28" s="113">
        <f t="shared" si="9"/>
        <v>0</v>
      </c>
      <c r="AK28" s="143">
        <f t="shared" si="12"/>
        <v>15750</v>
      </c>
      <c r="AL28" s="112">
        <f t="shared" si="12"/>
        <v>7276.5</v>
      </c>
      <c r="AM28" s="112">
        <f t="shared" si="12"/>
        <v>8473.5</v>
      </c>
      <c r="AN28" s="112">
        <f t="shared" si="12"/>
        <v>519.75</v>
      </c>
      <c r="AO28" s="230">
        <f t="shared" si="4"/>
        <v>0.46200000000000002</v>
      </c>
      <c r="AP28" s="193">
        <f t="shared" si="11"/>
        <v>541.75</v>
      </c>
      <c r="AQ28" s="194">
        <f t="shared" si="6"/>
        <v>-541.75</v>
      </c>
      <c r="AR28" s="127"/>
      <c r="AS28" s="128"/>
      <c r="AT28" s="128"/>
      <c r="AU28" s="129"/>
      <c r="AV28" s="198"/>
      <c r="AW28" s="112">
        <v>15750000</v>
      </c>
      <c r="AX28" s="162">
        <v>7276500</v>
      </c>
      <c r="AY28" s="162">
        <v>8473500</v>
      </c>
      <c r="AZ28" s="162">
        <v>519750</v>
      </c>
      <c r="BA28" s="231">
        <f t="shared" si="10"/>
        <v>0.46200000000000002</v>
      </c>
      <c r="BB28" s="210">
        <v>319</v>
      </c>
      <c r="BC28" s="115"/>
      <c r="BD28" s="236"/>
    </row>
    <row r="29" spans="1:56" s="121" customFormat="1" ht="16.5" customHeight="1">
      <c r="A29" s="104" t="s">
        <v>2429</v>
      </c>
      <c r="B29" s="105" t="s">
        <v>272</v>
      </c>
      <c r="C29" s="106" t="s">
        <v>237</v>
      </c>
      <c r="D29" s="106" t="s">
        <v>2415</v>
      </c>
      <c r="E29" s="71" t="s">
        <v>238</v>
      </c>
      <c r="F29" s="71" t="s">
        <v>187</v>
      </c>
      <c r="G29" s="109" t="s">
        <v>2058</v>
      </c>
      <c r="H29" s="130"/>
      <c r="I29" s="124"/>
      <c r="J29" s="124"/>
      <c r="K29" s="113">
        <f t="shared" si="0"/>
        <v>0</v>
      </c>
      <c r="L29" s="110">
        <v>41</v>
      </c>
      <c r="M29" s="112"/>
      <c r="N29" s="112"/>
      <c r="O29" s="112"/>
      <c r="P29" s="114"/>
      <c r="Q29" s="111">
        <v>8397</v>
      </c>
      <c r="R29" s="124"/>
      <c r="S29" s="111">
        <f t="shared" si="7"/>
        <v>0</v>
      </c>
      <c r="T29" s="124"/>
      <c r="U29" s="126"/>
      <c r="V29" s="124"/>
      <c r="W29" s="113">
        <f t="shared" si="1"/>
        <v>41</v>
      </c>
      <c r="X29" s="123"/>
      <c r="Y29" s="125"/>
      <c r="Z29" s="126"/>
      <c r="AA29" s="125"/>
      <c r="AB29" s="113">
        <f t="shared" si="8"/>
        <v>0</v>
      </c>
      <c r="AC29" s="123"/>
      <c r="AD29" s="125"/>
      <c r="AE29" s="124"/>
      <c r="AF29" s="197"/>
      <c r="AG29" s="125"/>
      <c r="AH29" s="124"/>
      <c r="AI29" s="124"/>
      <c r="AJ29" s="113">
        <f t="shared" si="9"/>
        <v>0</v>
      </c>
      <c r="AK29" s="143">
        <f t="shared" si="12"/>
        <v>29116</v>
      </c>
      <c r="AL29" s="112">
        <f t="shared" si="12"/>
        <v>15722.64</v>
      </c>
      <c r="AM29" s="112">
        <f t="shared" si="12"/>
        <v>13393.36</v>
      </c>
      <c r="AN29" s="112">
        <f t="shared" si="12"/>
        <v>786.13199999999995</v>
      </c>
      <c r="AO29" s="230">
        <f t="shared" si="4"/>
        <v>0.54</v>
      </c>
      <c r="AP29" s="193">
        <f t="shared" si="11"/>
        <v>827.13199999999995</v>
      </c>
      <c r="AQ29" s="194">
        <f t="shared" si="6"/>
        <v>-827.13199999999995</v>
      </c>
      <c r="AR29" s="127"/>
      <c r="AS29" s="128"/>
      <c r="AT29" s="128"/>
      <c r="AU29" s="129"/>
      <c r="AV29" s="198"/>
      <c r="AW29" s="112">
        <v>29116000</v>
      </c>
      <c r="AX29" s="162">
        <v>15722640</v>
      </c>
      <c r="AY29" s="162">
        <v>13393360</v>
      </c>
      <c r="AZ29" s="162">
        <v>786132</v>
      </c>
      <c r="BA29" s="231">
        <f t="shared" si="10"/>
        <v>0.54</v>
      </c>
      <c r="BB29" s="210">
        <v>727</v>
      </c>
      <c r="BC29" s="115"/>
      <c r="BD29" s="236"/>
    </row>
    <row r="30" spans="1:56" s="121" customFormat="1" ht="16.5" customHeight="1">
      <c r="A30" s="104" t="s">
        <v>2429</v>
      </c>
      <c r="B30" s="105" t="s">
        <v>277</v>
      </c>
      <c r="C30" s="106" t="s">
        <v>232</v>
      </c>
      <c r="D30" s="106" t="s">
        <v>2415</v>
      </c>
      <c r="E30" s="71" t="s">
        <v>233</v>
      </c>
      <c r="F30" s="71" t="s">
        <v>187</v>
      </c>
      <c r="G30" s="109" t="s">
        <v>2058</v>
      </c>
      <c r="H30" s="130"/>
      <c r="I30" s="124"/>
      <c r="J30" s="124"/>
      <c r="K30" s="113">
        <f t="shared" si="0"/>
        <v>0</v>
      </c>
      <c r="L30" s="110">
        <v>40</v>
      </c>
      <c r="M30" s="112"/>
      <c r="N30" s="112"/>
      <c r="O30" s="112">
        <v>77</v>
      </c>
      <c r="P30" s="114"/>
      <c r="Q30" s="111">
        <v>8397</v>
      </c>
      <c r="R30" s="124"/>
      <c r="S30" s="111">
        <f t="shared" si="7"/>
        <v>0</v>
      </c>
      <c r="T30" s="124"/>
      <c r="U30" s="126"/>
      <c r="V30" s="124"/>
      <c r="W30" s="113">
        <f t="shared" si="1"/>
        <v>117</v>
      </c>
      <c r="X30" s="123"/>
      <c r="Y30" s="125"/>
      <c r="Z30" s="126"/>
      <c r="AA30" s="125"/>
      <c r="AB30" s="113">
        <f t="shared" si="8"/>
        <v>0</v>
      </c>
      <c r="AC30" s="123"/>
      <c r="AD30" s="125"/>
      <c r="AE30" s="124"/>
      <c r="AF30" s="197"/>
      <c r="AG30" s="125"/>
      <c r="AH30" s="124"/>
      <c r="AI30" s="124"/>
      <c r="AJ30" s="113">
        <f t="shared" si="9"/>
        <v>0</v>
      </c>
      <c r="AK30" s="143">
        <f t="shared" si="12"/>
        <v>21840</v>
      </c>
      <c r="AL30" s="112">
        <f t="shared" si="12"/>
        <v>12972.96</v>
      </c>
      <c r="AM30" s="112">
        <f t="shared" si="12"/>
        <v>8867.0400000000009</v>
      </c>
      <c r="AN30" s="112">
        <f t="shared" si="12"/>
        <v>589.67999999999995</v>
      </c>
      <c r="AO30" s="230">
        <f t="shared" si="4"/>
        <v>0.59399999999999997</v>
      </c>
      <c r="AP30" s="193">
        <f t="shared" si="11"/>
        <v>706.68</v>
      </c>
      <c r="AQ30" s="194">
        <f t="shared" si="6"/>
        <v>-706.68</v>
      </c>
      <c r="AR30" s="127"/>
      <c r="AS30" s="128"/>
      <c r="AT30" s="128"/>
      <c r="AU30" s="129"/>
      <c r="AV30" s="198"/>
      <c r="AW30" s="112">
        <v>21840000</v>
      </c>
      <c r="AX30" s="162">
        <v>12972960</v>
      </c>
      <c r="AY30" s="162">
        <v>8867040</v>
      </c>
      <c r="AZ30" s="162">
        <v>589680</v>
      </c>
      <c r="BA30" s="231">
        <f t="shared" si="10"/>
        <v>0.59399999999999997</v>
      </c>
      <c r="BB30" s="210">
        <v>1072</v>
      </c>
      <c r="BC30" s="115"/>
      <c r="BD30" s="236"/>
    </row>
    <row r="31" spans="1:56" s="121" customFormat="1" ht="16.5" customHeight="1">
      <c r="A31" s="104" t="s">
        <v>2429</v>
      </c>
      <c r="B31" s="105" t="s">
        <v>282</v>
      </c>
      <c r="C31" s="106" t="s">
        <v>242</v>
      </c>
      <c r="D31" s="106" t="s">
        <v>2415</v>
      </c>
      <c r="E31" s="71" t="s">
        <v>243</v>
      </c>
      <c r="F31" s="71" t="s">
        <v>187</v>
      </c>
      <c r="G31" s="109" t="s">
        <v>2058</v>
      </c>
      <c r="H31" s="130"/>
      <c r="I31" s="124"/>
      <c r="J31" s="124"/>
      <c r="K31" s="113">
        <f t="shared" si="0"/>
        <v>0</v>
      </c>
      <c r="L31" s="110">
        <v>38</v>
      </c>
      <c r="M31" s="112"/>
      <c r="N31" s="112"/>
      <c r="O31" s="112"/>
      <c r="P31" s="114"/>
      <c r="Q31" s="111">
        <v>8397</v>
      </c>
      <c r="R31" s="124"/>
      <c r="S31" s="111">
        <f t="shared" si="7"/>
        <v>0</v>
      </c>
      <c r="T31" s="124"/>
      <c r="U31" s="126"/>
      <c r="V31" s="124"/>
      <c r="W31" s="113">
        <f t="shared" si="1"/>
        <v>38</v>
      </c>
      <c r="X31" s="199"/>
      <c r="Y31" s="200"/>
      <c r="Z31" s="201"/>
      <c r="AA31" s="200"/>
      <c r="AB31" s="113">
        <f t="shared" si="8"/>
        <v>0</v>
      </c>
      <c r="AC31" s="199"/>
      <c r="AD31" s="200"/>
      <c r="AE31" s="202"/>
      <c r="AF31" s="203"/>
      <c r="AG31" s="200"/>
      <c r="AH31" s="202"/>
      <c r="AI31" s="202"/>
      <c r="AJ31" s="113">
        <f t="shared" si="9"/>
        <v>0</v>
      </c>
      <c r="AK31" s="143">
        <f t="shared" si="12"/>
        <v>14595</v>
      </c>
      <c r="AL31" s="112">
        <f t="shared" si="12"/>
        <v>5779.62</v>
      </c>
      <c r="AM31" s="112">
        <f t="shared" si="12"/>
        <v>8815.3799999999992</v>
      </c>
      <c r="AN31" s="112">
        <f t="shared" si="12"/>
        <v>481.63499999999999</v>
      </c>
      <c r="AO31" s="230">
        <f t="shared" si="4"/>
        <v>0.39600000000000002</v>
      </c>
      <c r="AP31" s="193">
        <f t="shared" si="11"/>
        <v>519.63499999999999</v>
      </c>
      <c r="AQ31" s="194">
        <f t="shared" si="6"/>
        <v>-519.63499999999999</v>
      </c>
      <c r="AR31" s="204"/>
      <c r="AS31" s="205"/>
      <c r="AT31" s="205"/>
      <c r="AU31" s="206"/>
      <c r="AV31" s="207"/>
      <c r="AW31" s="112">
        <v>14595000</v>
      </c>
      <c r="AX31" s="162">
        <v>5779620</v>
      </c>
      <c r="AY31" s="162">
        <v>8815380</v>
      </c>
      <c r="AZ31" s="162">
        <v>481635</v>
      </c>
      <c r="BA31" s="231">
        <f t="shared" si="10"/>
        <v>0.39600000000000002</v>
      </c>
      <c r="BB31" s="210">
        <v>996</v>
      </c>
      <c r="BC31" s="115"/>
      <c r="BD31" s="236"/>
    </row>
    <row r="32" spans="1:56" s="121" customFormat="1" ht="16.5" customHeight="1">
      <c r="A32" s="104" t="s">
        <v>2429</v>
      </c>
      <c r="B32" s="105" t="s">
        <v>289</v>
      </c>
      <c r="C32" s="107" t="s">
        <v>260</v>
      </c>
      <c r="D32" s="106" t="s">
        <v>2415</v>
      </c>
      <c r="E32" s="71" t="s">
        <v>261</v>
      </c>
      <c r="F32" s="131" t="s">
        <v>78</v>
      </c>
      <c r="G32" s="132" t="s">
        <v>180</v>
      </c>
      <c r="H32" s="133">
        <v>0</v>
      </c>
      <c r="I32" s="134">
        <v>0</v>
      </c>
      <c r="J32" s="134">
        <v>0</v>
      </c>
      <c r="K32" s="113">
        <f t="shared" si="0"/>
        <v>0</v>
      </c>
      <c r="L32" s="133">
        <v>220.005</v>
      </c>
      <c r="M32" s="135">
        <v>23.568000000000001</v>
      </c>
      <c r="N32" s="134">
        <v>0</v>
      </c>
      <c r="O32" s="135">
        <v>28.6</v>
      </c>
      <c r="P32" s="136">
        <v>2.4E-2</v>
      </c>
      <c r="Q32" s="111">
        <v>8397</v>
      </c>
      <c r="R32" s="134"/>
      <c r="S32" s="111">
        <f t="shared" si="7"/>
        <v>202</v>
      </c>
      <c r="T32" s="134">
        <v>0</v>
      </c>
      <c r="U32" s="137">
        <v>28.366</v>
      </c>
      <c r="V32" s="135">
        <v>100.22199999999999</v>
      </c>
      <c r="W32" s="113">
        <f t="shared" si="1"/>
        <v>602.76099999999997</v>
      </c>
      <c r="X32" s="133"/>
      <c r="Y32" s="135">
        <v>0</v>
      </c>
      <c r="Z32" s="137">
        <v>5.0000000000000001E-3</v>
      </c>
      <c r="AA32" s="135">
        <v>100.22199999999999</v>
      </c>
      <c r="AB32" s="113">
        <f t="shared" si="8"/>
        <v>100.22699999999999</v>
      </c>
      <c r="AC32" s="133">
        <v>0</v>
      </c>
      <c r="AD32" s="135">
        <v>0</v>
      </c>
      <c r="AE32" s="134">
        <v>0</v>
      </c>
      <c r="AF32" s="138">
        <v>0</v>
      </c>
      <c r="AG32" s="135">
        <v>0</v>
      </c>
      <c r="AH32" s="134">
        <v>0</v>
      </c>
      <c r="AI32" s="134">
        <v>3.718</v>
      </c>
      <c r="AJ32" s="113">
        <f t="shared" si="9"/>
        <v>3.718</v>
      </c>
      <c r="AK32" s="143">
        <f t="shared" si="12"/>
        <v>45186.3</v>
      </c>
      <c r="AL32" s="112">
        <f t="shared" si="12"/>
        <v>39386.156999999999</v>
      </c>
      <c r="AM32" s="112">
        <f t="shared" si="12"/>
        <v>5800.143</v>
      </c>
      <c r="AN32" s="112">
        <f t="shared" si="12"/>
        <v>412.49200000000002</v>
      </c>
      <c r="AO32" s="230">
        <f t="shared" si="4"/>
        <v>0.87163934643907559</v>
      </c>
      <c r="AP32" s="193">
        <f t="shared" si="11"/>
        <v>1015.2529999999999</v>
      </c>
      <c r="AQ32" s="194">
        <f t="shared" si="6"/>
        <v>-1015.2529999999999</v>
      </c>
      <c r="AR32" s="139"/>
      <c r="AS32" s="140"/>
      <c r="AT32" s="140"/>
      <c r="AU32" s="141"/>
      <c r="AV32" s="208"/>
      <c r="AW32" s="112">
        <v>45186300</v>
      </c>
      <c r="AX32" s="162">
        <v>39386157</v>
      </c>
      <c r="AY32" s="162">
        <v>5800143</v>
      </c>
      <c r="AZ32" s="162">
        <v>412492</v>
      </c>
      <c r="BA32" s="231">
        <f t="shared" si="10"/>
        <v>0.87163934643907559</v>
      </c>
      <c r="BB32" s="210">
        <v>3936</v>
      </c>
      <c r="BC32" s="115"/>
      <c r="BD32" s="236">
        <v>0</v>
      </c>
    </row>
    <row r="33" spans="1:56" s="121" customFormat="1" ht="16.5" customHeight="1">
      <c r="A33" s="104" t="s">
        <v>2429</v>
      </c>
      <c r="B33" s="105" t="s">
        <v>294</v>
      </c>
      <c r="C33" s="106" t="s">
        <v>273</v>
      </c>
      <c r="D33" s="106" t="s">
        <v>2415</v>
      </c>
      <c r="E33" s="71" t="s">
        <v>274</v>
      </c>
      <c r="F33" s="71" t="s">
        <v>78</v>
      </c>
      <c r="G33" s="109" t="s">
        <v>180</v>
      </c>
      <c r="H33" s="133">
        <v>0</v>
      </c>
      <c r="I33" s="134">
        <v>0</v>
      </c>
      <c r="J33" s="110">
        <v>46.2</v>
      </c>
      <c r="K33" s="113">
        <f t="shared" si="0"/>
        <v>46.2</v>
      </c>
      <c r="L33" s="110">
        <v>242.53100000000001</v>
      </c>
      <c r="M33" s="135">
        <v>23.568000000000001</v>
      </c>
      <c r="N33" s="134">
        <v>0</v>
      </c>
      <c r="O33" s="111">
        <v>27.763999999999999</v>
      </c>
      <c r="P33" s="136">
        <v>2.4E-2</v>
      </c>
      <c r="Q33" s="111">
        <v>8397</v>
      </c>
      <c r="R33" s="134"/>
      <c r="S33" s="111">
        <f t="shared" si="7"/>
        <v>202</v>
      </c>
      <c r="T33" s="112">
        <v>0</v>
      </c>
      <c r="U33" s="116">
        <v>33.865000000000002</v>
      </c>
      <c r="V33" s="135">
        <v>100.22199999999999</v>
      </c>
      <c r="W33" s="113">
        <f t="shared" si="1"/>
        <v>629.94999999999993</v>
      </c>
      <c r="X33" s="133"/>
      <c r="Y33" s="135">
        <v>0</v>
      </c>
      <c r="Z33" s="116">
        <v>116.10299999999999</v>
      </c>
      <c r="AA33" s="135">
        <v>100.22199999999999</v>
      </c>
      <c r="AB33" s="113">
        <f t="shared" si="8"/>
        <v>216.32499999999999</v>
      </c>
      <c r="AC33" s="110">
        <v>0</v>
      </c>
      <c r="AD33" s="111">
        <v>42.42</v>
      </c>
      <c r="AE33" s="112">
        <v>0</v>
      </c>
      <c r="AF33" s="117">
        <v>0</v>
      </c>
      <c r="AG33" s="111">
        <v>59.25</v>
      </c>
      <c r="AH33" s="112">
        <v>0</v>
      </c>
      <c r="AI33" s="112">
        <v>4.3150000000000004</v>
      </c>
      <c r="AJ33" s="113">
        <f t="shared" si="9"/>
        <v>105.985</v>
      </c>
      <c r="AK33" s="143">
        <f t="shared" si="12"/>
        <v>33622.199999999997</v>
      </c>
      <c r="AL33" s="112">
        <f t="shared" si="12"/>
        <v>32155.962</v>
      </c>
      <c r="AM33" s="112">
        <f t="shared" si="12"/>
        <v>1466.2380000000001</v>
      </c>
      <c r="AN33" s="112">
        <f t="shared" si="12"/>
        <v>88.734999999999999</v>
      </c>
      <c r="AO33" s="230">
        <f t="shared" si="4"/>
        <v>0.95639077752199442</v>
      </c>
      <c r="AP33" s="193">
        <f t="shared" si="11"/>
        <v>718.68499999999995</v>
      </c>
      <c r="AQ33" s="194">
        <f t="shared" si="6"/>
        <v>-672.4849999999999</v>
      </c>
      <c r="AR33" s="118"/>
      <c r="AS33" s="119"/>
      <c r="AT33" s="119"/>
      <c r="AU33" s="120"/>
      <c r="AV33" s="195"/>
      <c r="AW33" s="112">
        <v>33622200</v>
      </c>
      <c r="AX33" s="162">
        <v>32155962</v>
      </c>
      <c r="AY33" s="162">
        <v>1466238</v>
      </c>
      <c r="AZ33" s="162">
        <v>88735</v>
      </c>
      <c r="BA33" s="231">
        <f t="shared" si="10"/>
        <v>0.95639077752199442</v>
      </c>
      <c r="BB33" s="210">
        <v>3143</v>
      </c>
      <c r="BC33" s="115"/>
      <c r="BD33" s="236">
        <v>0</v>
      </c>
    </row>
    <row r="34" spans="1:56" s="121" customFormat="1" ht="16.5" customHeight="1">
      <c r="A34" s="104" t="s">
        <v>2429</v>
      </c>
      <c r="B34" s="105" t="s">
        <v>297</v>
      </c>
      <c r="C34" s="106" t="s">
        <v>278</v>
      </c>
      <c r="D34" s="106" t="s">
        <v>2415</v>
      </c>
      <c r="E34" s="71" t="s">
        <v>279</v>
      </c>
      <c r="F34" s="71" t="s">
        <v>78</v>
      </c>
      <c r="G34" s="109" t="s">
        <v>180</v>
      </c>
      <c r="H34" s="133">
        <v>0</v>
      </c>
      <c r="I34" s="134">
        <v>0</v>
      </c>
      <c r="J34" s="110">
        <v>114.6</v>
      </c>
      <c r="K34" s="113">
        <f t="shared" si="0"/>
        <v>114.6</v>
      </c>
      <c r="L34" s="110">
        <v>479.346</v>
      </c>
      <c r="M34" s="135">
        <v>23.568000000000001</v>
      </c>
      <c r="N34" s="134">
        <v>0</v>
      </c>
      <c r="O34" s="111">
        <v>66</v>
      </c>
      <c r="P34" s="136">
        <v>2.4E-2</v>
      </c>
      <c r="Q34" s="111">
        <v>8397</v>
      </c>
      <c r="R34" s="134"/>
      <c r="S34" s="111">
        <f t="shared" si="7"/>
        <v>202</v>
      </c>
      <c r="T34" s="112">
        <v>0</v>
      </c>
      <c r="U34" s="116">
        <v>33.865000000000002</v>
      </c>
      <c r="V34" s="135">
        <v>100.22199999999999</v>
      </c>
      <c r="W34" s="113">
        <f t="shared" si="1"/>
        <v>905.00099999999998</v>
      </c>
      <c r="X34" s="133"/>
      <c r="Y34" s="135">
        <v>0</v>
      </c>
      <c r="Z34" s="116">
        <v>209.803</v>
      </c>
      <c r="AA34" s="135">
        <v>100.22199999999999</v>
      </c>
      <c r="AB34" s="113">
        <f t="shared" si="8"/>
        <v>310.02499999999998</v>
      </c>
      <c r="AC34" s="110">
        <v>0</v>
      </c>
      <c r="AD34" s="111">
        <v>55</v>
      </c>
      <c r="AE34" s="112">
        <v>0</v>
      </c>
      <c r="AF34" s="117">
        <v>0</v>
      </c>
      <c r="AG34" s="111">
        <v>105</v>
      </c>
      <c r="AH34" s="112">
        <v>0</v>
      </c>
      <c r="AI34" s="112">
        <v>91.061999999999998</v>
      </c>
      <c r="AJ34" s="113">
        <f t="shared" si="9"/>
        <v>251.06200000000001</v>
      </c>
      <c r="AK34" s="143">
        <f t="shared" si="12"/>
        <v>89133.1</v>
      </c>
      <c r="AL34" s="112">
        <f t="shared" si="12"/>
        <v>81677.148000000001</v>
      </c>
      <c r="AM34" s="112">
        <f t="shared" si="12"/>
        <v>7455.9520000000002</v>
      </c>
      <c r="AN34" s="112">
        <f t="shared" si="12"/>
        <v>1143.902</v>
      </c>
      <c r="AO34" s="230">
        <f t="shared" si="4"/>
        <v>0.91635035693810718</v>
      </c>
      <c r="AP34" s="193">
        <f t="shared" si="11"/>
        <v>2048.9030000000002</v>
      </c>
      <c r="AQ34" s="194">
        <f t="shared" si="6"/>
        <v>-1934.3030000000003</v>
      </c>
      <c r="AR34" s="118"/>
      <c r="AS34" s="119"/>
      <c r="AT34" s="119"/>
      <c r="AU34" s="120"/>
      <c r="AV34" s="195"/>
      <c r="AW34" s="112">
        <v>89133100</v>
      </c>
      <c r="AX34" s="162">
        <v>81677148</v>
      </c>
      <c r="AY34" s="162">
        <v>7455952</v>
      </c>
      <c r="AZ34" s="162">
        <v>1143902</v>
      </c>
      <c r="BA34" s="231">
        <f t="shared" si="10"/>
        <v>0.91635035693810718</v>
      </c>
      <c r="BB34" s="210">
        <v>6742</v>
      </c>
      <c r="BC34" s="115"/>
      <c r="BD34" s="236">
        <v>2.6</v>
      </c>
    </row>
    <row r="35" spans="1:56" s="121" customFormat="1" ht="16.5" customHeight="1">
      <c r="A35" s="104" t="s">
        <v>2429</v>
      </c>
      <c r="B35" s="105" t="s">
        <v>301</v>
      </c>
      <c r="C35" s="106" t="s">
        <v>283</v>
      </c>
      <c r="D35" s="106" t="s">
        <v>2415</v>
      </c>
      <c r="E35" s="71" t="s">
        <v>284</v>
      </c>
      <c r="F35" s="71" t="s">
        <v>78</v>
      </c>
      <c r="G35" s="109" t="s">
        <v>180</v>
      </c>
      <c r="H35" s="133">
        <v>0</v>
      </c>
      <c r="I35" s="134">
        <v>0</v>
      </c>
      <c r="J35" s="110">
        <v>0</v>
      </c>
      <c r="K35" s="113">
        <f t="shared" si="0"/>
        <v>0</v>
      </c>
      <c r="L35" s="110">
        <v>138.81399999999999</v>
      </c>
      <c r="M35" s="135">
        <v>23.568000000000001</v>
      </c>
      <c r="N35" s="134"/>
      <c r="O35" s="111">
        <v>132</v>
      </c>
      <c r="P35" s="136">
        <v>2.4E-2</v>
      </c>
      <c r="Q35" s="111">
        <v>8397</v>
      </c>
      <c r="R35" s="134"/>
      <c r="S35" s="111">
        <f t="shared" si="7"/>
        <v>202</v>
      </c>
      <c r="T35" s="112">
        <v>0</v>
      </c>
      <c r="U35" s="116">
        <v>28.364999999999998</v>
      </c>
      <c r="V35" s="135">
        <v>100.22199999999999</v>
      </c>
      <c r="W35" s="113">
        <f t="shared" si="1"/>
        <v>624.96899999999994</v>
      </c>
      <c r="X35" s="133"/>
      <c r="Y35" s="135">
        <v>0</v>
      </c>
      <c r="Z35" s="116">
        <v>2E-3</v>
      </c>
      <c r="AA35" s="135">
        <v>100.22199999999999</v>
      </c>
      <c r="AB35" s="113">
        <f t="shared" si="8"/>
        <v>100.22399999999999</v>
      </c>
      <c r="AC35" s="110">
        <v>0</v>
      </c>
      <c r="AD35" s="111">
        <v>0</v>
      </c>
      <c r="AE35" s="112">
        <v>0</v>
      </c>
      <c r="AF35" s="117">
        <v>0</v>
      </c>
      <c r="AG35" s="111">
        <v>0</v>
      </c>
      <c r="AH35" s="112">
        <v>0</v>
      </c>
      <c r="AI35" s="112">
        <v>0</v>
      </c>
      <c r="AJ35" s="113">
        <f t="shared" si="9"/>
        <v>0</v>
      </c>
      <c r="AK35" s="143">
        <f t="shared" si="12"/>
        <v>48817.7</v>
      </c>
      <c r="AL35" s="112">
        <f t="shared" si="12"/>
        <v>37746.392</v>
      </c>
      <c r="AM35" s="112">
        <f t="shared" si="12"/>
        <v>11071.308000000001</v>
      </c>
      <c r="AN35" s="112">
        <f t="shared" si="12"/>
        <v>1112.7090000000001</v>
      </c>
      <c r="AO35" s="230">
        <f t="shared" si="4"/>
        <v>0.77321119184230314</v>
      </c>
      <c r="AP35" s="193">
        <f t="shared" si="11"/>
        <v>1737.6779999999999</v>
      </c>
      <c r="AQ35" s="194">
        <f t="shared" si="6"/>
        <v>-1737.6779999999999</v>
      </c>
      <c r="AR35" s="118"/>
      <c r="AS35" s="119"/>
      <c r="AT35" s="119"/>
      <c r="AU35" s="120"/>
      <c r="AV35" s="195"/>
      <c r="AW35" s="112">
        <v>48817700</v>
      </c>
      <c r="AX35" s="162">
        <v>37746392</v>
      </c>
      <c r="AY35" s="162">
        <v>11071308</v>
      </c>
      <c r="AZ35" s="162">
        <v>1112709</v>
      </c>
      <c r="BA35" s="231">
        <f t="shared" si="10"/>
        <v>0.77321119184230314</v>
      </c>
      <c r="BB35" s="210">
        <v>2087</v>
      </c>
      <c r="BC35" s="115"/>
      <c r="BD35" s="236">
        <v>0.1</v>
      </c>
    </row>
    <row r="36" spans="1:56" s="121" customFormat="1" ht="16.5" customHeight="1">
      <c r="A36" s="104" t="s">
        <v>2429</v>
      </c>
      <c r="B36" s="105" t="s">
        <v>310</v>
      </c>
      <c r="C36" s="106" t="s">
        <v>290</v>
      </c>
      <c r="D36" s="106" t="s">
        <v>2415</v>
      </c>
      <c r="E36" s="71" t="s">
        <v>291</v>
      </c>
      <c r="F36" s="71" t="s">
        <v>78</v>
      </c>
      <c r="G36" s="109" t="s">
        <v>180</v>
      </c>
      <c r="H36" s="133">
        <v>0</v>
      </c>
      <c r="I36" s="134">
        <v>0</v>
      </c>
      <c r="J36" s="110">
        <v>252.5</v>
      </c>
      <c r="K36" s="113">
        <f t="shared" si="0"/>
        <v>252.5</v>
      </c>
      <c r="L36" s="110">
        <v>762.05799999999999</v>
      </c>
      <c r="M36" s="135">
        <v>23.568000000000001</v>
      </c>
      <c r="N36" s="134">
        <v>1692.2840000000001</v>
      </c>
      <c r="O36" s="111">
        <v>39.6</v>
      </c>
      <c r="P36" s="136">
        <v>2.4E-2</v>
      </c>
      <c r="Q36" s="111">
        <v>8397</v>
      </c>
      <c r="R36" s="134"/>
      <c r="S36" s="111">
        <f t="shared" si="7"/>
        <v>202</v>
      </c>
      <c r="T36" s="112">
        <v>0</v>
      </c>
      <c r="U36" s="116">
        <v>33.865000000000002</v>
      </c>
      <c r="V36" s="135">
        <v>100.22199999999999</v>
      </c>
      <c r="W36" s="113">
        <f t="shared" si="1"/>
        <v>2853.5969999999998</v>
      </c>
      <c r="X36" s="133"/>
      <c r="Y36" s="135">
        <v>0</v>
      </c>
      <c r="Z36" s="116">
        <v>497.971</v>
      </c>
      <c r="AA36" s="135">
        <v>100.22199999999999</v>
      </c>
      <c r="AB36" s="113">
        <f t="shared" si="8"/>
        <v>598.19299999999998</v>
      </c>
      <c r="AC36" s="110">
        <v>0</v>
      </c>
      <c r="AD36" s="111">
        <v>72</v>
      </c>
      <c r="AE36" s="112">
        <v>0</v>
      </c>
      <c r="AF36" s="117">
        <v>0</v>
      </c>
      <c r="AG36" s="111">
        <v>269</v>
      </c>
      <c r="AH36" s="112">
        <v>0</v>
      </c>
      <c r="AI36" s="112">
        <v>175.93899999999999</v>
      </c>
      <c r="AJ36" s="113">
        <f t="shared" si="9"/>
        <v>516.93899999999996</v>
      </c>
      <c r="AK36" s="143">
        <f t="shared" si="12"/>
        <v>86574.281000000003</v>
      </c>
      <c r="AL36" s="112">
        <f t="shared" si="12"/>
        <v>71880.78</v>
      </c>
      <c r="AM36" s="112">
        <f t="shared" si="12"/>
        <v>14693.501</v>
      </c>
      <c r="AN36" s="112">
        <f t="shared" si="12"/>
        <v>2058.7159999999999</v>
      </c>
      <c r="AO36" s="230">
        <f t="shared" si="4"/>
        <v>0.83027868288042728</v>
      </c>
      <c r="AP36" s="193">
        <f t="shared" si="11"/>
        <v>4912.3130000000001</v>
      </c>
      <c r="AQ36" s="194">
        <f t="shared" si="6"/>
        <v>-4659.8130000000001</v>
      </c>
      <c r="AR36" s="118"/>
      <c r="AS36" s="119"/>
      <c r="AT36" s="119"/>
      <c r="AU36" s="120"/>
      <c r="AV36" s="195"/>
      <c r="AW36" s="112">
        <v>86574281</v>
      </c>
      <c r="AX36" s="162">
        <v>71880780</v>
      </c>
      <c r="AY36" s="162">
        <v>14693501</v>
      </c>
      <c r="AZ36" s="162">
        <v>2058716</v>
      </c>
      <c r="BA36" s="231">
        <f t="shared" si="10"/>
        <v>0.83027868288042728</v>
      </c>
      <c r="BB36" s="210">
        <v>20450</v>
      </c>
      <c r="BC36" s="115">
        <v>46</v>
      </c>
      <c r="BD36" s="236"/>
    </row>
    <row r="37" spans="1:56" s="121" customFormat="1" ht="16.5" customHeight="1">
      <c r="A37" s="104" t="s">
        <v>2429</v>
      </c>
      <c r="B37" s="105" t="s">
        <v>317</v>
      </c>
      <c r="C37" s="106" t="s">
        <v>295</v>
      </c>
      <c r="D37" s="106" t="s">
        <v>2415</v>
      </c>
      <c r="E37" s="71" t="s">
        <v>296</v>
      </c>
      <c r="F37" s="71" t="s">
        <v>78</v>
      </c>
      <c r="G37" s="109" t="s">
        <v>180</v>
      </c>
      <c r="H37" s="133">
        <v>0</v>
      </c>
      <c r="I37" s="134">
        <v>0</v>
      </c>
      <c r="J37" s="110">
        <v>263.3</v>
      </c>
      <c r="K37" s="113">
        <f t="shared" si="0"/>
        <v>263.3</v>
      </c>
      <c r="L37" s="110">
        <v>562.95000000000005</v>
      </c>
      <c r="M37" s="135">
        <v>23.568000000000001</v>
      </c>
      <c r="N37" s="134">
        <v>0</v>
      </c>
      <c r="O37" s="111">
        <v>49.8</v>
      </c>
      <c r="P37" s="136">
        <v>2.4E-2</v>
      </c>
      <c r="Q37" s="111">
        <v>8397</v>
      </c>
      <c r="R37" s="134"/>
      <c r="S37" s="111">
        <f t="shared" si="7"/>
        <v>202</v>
      </c>
      <c r="T37" s="112">
        <v>0</v>
      </c>
      <c r="U37" s="116">
        <v>28.364999999999998</v>
      </c>
      <c r="V37" s="135">
        <v>100.22199999999999</v>
      </c>
      <c r="W37" s="113">
        <f t="shared" si="1"/>
        <v>966.90499999999997</v>
      </c>
      <c r="X37" s="133"/>
      <c r="Y37" s="135">
        <v>0</v>
      </c>
      <c r="Z37" s="116">
        <v>462.55900000000003</v>
      </c>
      <c r="AA37" s="135">
        <v>100.22199999999999</v>
      </c>
      <c r="AB37" s="113">
        <f t="shared" si="8"/>
        <v>562.78100000000006</v>
      </c>
      <c r="AC37" s="110">
        <v>0</v>
      </c>
      <c r="AD37" s="111">
        <v>0</v>
      </c>
      <c r="AE37" s="112">
        <v>0</v>
      </c>
      <c r="AF37" s="117">
        <v>0</v>
      </c>
      <c r="AG37" s="111">
        <v>170</v>
      </c>
      <c r="AH37" s="112">
        <v>0</v>
      </c>
      <c r="AI37" s="112">
        <v>125.286</v>
      </c>
      <c r="AJ37" s="113">
        <f t="shared" si="9"/>
        <v>295.286</v>
      </c>
      <c r="AK37" s="143">
        <f t="shared" si="12"/>
        <v>82423.199999999997</v>
      </c>
      <c r="AL37" s="112">
        <f t="shared" si="12"/>
        <v>60758.116999999998</v>
      </c>
      <c r="AM37" s="112">
        <f t="shared" si="12"/>
        <v>21665.082999999999</v>
      </c>
      <c r="AN37" s="112">
        <f t="shared" si="12"/>
        <v>2059.0100000000002</v>
      </c>
      <c r="AO37" s="230">
        <f t="shared" si="4"/>
        <v>0.73714824224247544</v>
      </c>
      <c r="AP37" s="193">
        <f t="shared" si="11"/>
        <v>3025.915</v>
      </c>
      <c r="AQ37" s="194">
        <f t="shared" si="6"/>
        <v>-2762.6149999999998</v>
      </c>
      <c r="AR37" s="118"/>
      <c r="AS37" s="119"/>
      <c r="AT37" s="119"/>
      <c r="AU37" s="120"/>
      <c r="AV37" s="195"/>
      <c r="AW37" s="112">
        <v>82423200</v>
      </c>
      <c r="AX37" s="162">
        <v>60758117</v>
      </c>
      <c r="AY37" s="162">
        <v>21665083</v>
      </c>
      <c r="AZ37" s="162">
        <v>2059010</v>
      </c>
      <c r="BA37" s="231">
        <f t="shared" si="10"/>
        <v>0.73714824224247544</v>
      </c>
      <c r="BB37" s="210">
        <v>16988</v>
      </c>
      <c r="BC37" s="115">
        <v>2</v>
      </c>
      <c r="BD37" s="236"/>
    </row>
    <row r="38" spans="1:56" s="121" customFormat="1" ht="16.5" customHeight="1">
      <c r="A38" s="104" t="s">
        <v>2429</v>
      </c>
      <c r="B38" s="105" t="s">
        <v>322</v>
      </c>
      <c r="C38" s="106" t="s">
        <v>298</v>
      </c>
      <c r="D38" s="106" t="s">
        <v>2415</v>
      </c>
      <c r="E38" s="71" t="s">
        <v>2165</v>
      </c>
      <c r="F38" s="71" t="s">
        <v>78</v>
      </c>
      <c r="G38" s="109" t="s">
        <v>180</v>
      </c>
      <c r="H38" s="133">
        <v>0</v>
      </c>
      <c r="I38" s="134">
        <v>0</v>
      </c>
      <c r="J38" s="110">
        <v>70.400000000000006</v>
      </c>
      <c r="K38" s="113">
        <f t="shared" si="0"/>
        <v>70.400000000000006</v>
      </c>
      <c r="L38" s="110">
        <v>257.452</v>
      </c>
      <c r="M38" s="135">
        <v>23.568000000000001</v>
      </c>
      <c r="N38" s="134">
        <v>0</v>
      </c>
      <c r="O38" s="111">
        <v>393.8</v>
      </c>
      <c r="P38" s="136">
        <v>2.4E-2</v>
      </c>
      <c r="Q38" s="111">
        <v>8397</v>
      </c>
      <c r="R38" s="134"/>
      <c r="S38" s="111">
        <f t="shared" si="7"/>
        <v>202</v>
      </c>
      <c r="T38" s="112">
        <v>0</v>
      </c>
      <c r="U38" s="116">
        <v>28.364999999999998</v>
      </c>
      <c r="V38" s="135">
        <v>100.22199999999999</v>
      </c>
      <c r="W38" s="113">
        <f t="shared" si="1"/>
        <v>1005.4069999999999</v>
      </c>
      <c r="X38" s="133"/>
      <c r="Y38" s="135">
        <v>0</v>
      </c>
      <c r="Z38" s="116">
        <v>134.4</v>
      </c>
      <c r="AA38" s="135">
        <v>100.22199999999999</v>
      </c>
      <c r="AB38" s="113">
        <f t="shared" si="8"/>
        <v>234.62200000000001</v>
      </c>
      <c r="AC38" s="110">
        <v>0</v>
      </c>
      <c r="AD38" s="111">
        <v>20</v>
      </c>
      <c r="AE38" s="112">
        <v>0</v>
      </c>
      <c r="AF38" s="117">
        <v>0</v>
      </c>
      <c r="AG38" s="111">
        <v>90</v>
      </c>
      <c r="AH38" s="112">
        <v>0</v>
      </c>
      <c r="AI38" s="112">
        <v>27.561</v>
      </c>
      <c r="AJ38" s="113">
        <f t="shared" si="9"/>
        <v>137.56100000000001</v>
      </c>
      <c r="AK38" s="143">
        <f t="shared" si="12"/>
        <v>61779.5</v>
      </c>
      <c r="AL38" s="112">
        <f t="shared" si="12"/>
        <v>43290.343999999997</v>
      </c>
      <c r="AM38" s="112">
        <f t="shared" si="12"/>
        <v>18489.155999999999</v>
      </c>
      <c r="AN38" s="112">
        <f t="shared" si="12"/>
        <v>1627.056</v>
      </c>
      <c r="AO38" s="230">
        <f t="shared" si="4"/>
        <v>0.70072344386082763</v>
      </c>
      <c r="AP38" s="193">
        <f t="shared" si="11"/>
        <v>2632.4629999999997</v>
      </c>
      <c r="AQ38" s="194">
        <f t="shared" si="6"/>
        <v>-2562.0629999999996</v>
      </c>
      <c r="AR38" s="118"/>
      <c r="AS38" s="119"/>
      <c r="AT38" s="119"/>
      <c r="AU38" s="120"/>
      <c r="AV38" s="195"/>
      <c r="AW38" s="112">
        <v>61779500</v>
      </c>
      <c r="AX38" s="162">
        <v>43290344</v>
      </c>
      <c r="AY38" s="162">
        <v>18489156</v>
      </c>
      <c r="AZ38" s="162">
        <v>1627056</v>
      </c>
      <c r="BA38" s="231">
        <f t="shared" si="10"/>
        <v>0.70072344386082763</v>
      </c>
      <c r="BB38" s="210">
        <v>5542</v>
      </c>
      <c r="BC38" s="115">
        <v>0</v>
      </c>
      <c r="BD38" s="236"/>
    </row>
    <row r="39" spans="1:56" s="121" customFormat="1" ht="16.5" customHeight="1">
      <c r="A39" s="104" t="s">
        <v>2429</v>
      </c>
      <c r="B39" s="105" t="s">
        <v>326</v>
      </c>
      <c r="C39" s="106" t="s">
        <v>302</v>
      </c>
      <c r="D39" s="106" t="s">
        <v>2415</v>
      </c>
      <c r="E39" s="71" t="s">
        <v>303</v>
      </c>
      <c r="F39" s="71" t="s">
        <v>78</v>
      </c>
      <c r="G39" s="109" t="s">
        <v>2467</v>
      </c>
      <c r="H39" s="143"/>
      <c r="I39" s="112"/>
      <c r="J39" s="112"/>
      <c r="K39" s="113">
        <f t="shared" si="0"/>
        <v>0</v>
      </c>
      <c r="L39" s="110">
        <v>2384</v>
      </c>
      <c r="M39" s="111">
        <v>5508</v>
      </c>
      <c r="N39" s="112">
        <v>0</v>
      </c>
      <c r="O39" s="111">
        <v>136</v>
      </c>
      <c r="P39" s="142"/>
      <c r="Q39" s="111">
        <v>8397</v>
      </c>
      <c r="R39" s="112"/>
      <c r="S39" s="111">
        <f t="shared" si="7"/>
        <v>0</v>
      </c>
      <c r="T39" s="112">
        <v>86</v>
      </c>
      <c r="U39" s="116"/>
      <c r="V39" s="112"/>
      <c r="W39" s="113">
        <f t="shared" si="1"/>
        <v>8114</v>
      </c>
      <c r="X39" s="110">
        <v>0</v>
      </c>
      <c r="Y39" s="111">
        <v>0</v>
      </c>
      <c r="Z39" s="111">
        <v>0</v>
      </c>
      <c r="AA39" s="111">
        <v>0</v>
      </c>
      <c r="AB39" s="113">
        <f t="shared" si="8"/>
        <v>0</v>
      </c>
      <c r="AC39" s="110">
        <v>0</v>
      </c>
      <c r="AD39" s="111">
        <v>0</v>
      </c>
      <c r="AE39" s="111">
        <v>0</v>
      </c>
      <c r="AF39" s="111">
        <v>0</v>
      </c>
      <c r="AG39" s="111">
        <v>0</v>
      </c>
      <c r="AH39" s="111">
        <v>0</v>
      </c>
      <c r="AI39" s="111">
        <v>0</v>
      </c>
      <c r="AJ39" s="113">
        <f t="shared" si="9"/>
        <v>0</v>
      </c>
      <c r="AK39" s="143">
        <f t="shared" si="12"/>
        <v>118440</v>
      </c>
      <c r="AL39" s="112">
        <f t="shared" si="12"/>
        <v>112044.24</v>
      </c>
      <c r="AM39" s="112">
        <f t="shared" si="12"/>
        <v>6395.76</v>
      </c>
      <c r="AN39" s="112">
        <f t="shared" si="12"/>
        <v>2605.6799999999998</v>
      </c>
      <c r="AO39" s="230">
        <f t="shared" si="4"/>
        <v>0.94599999999999995</v>
      </c>
      <c r="AP39" s="193">
        <f t="shared" si="11"/>
        <v>10719.68</v>
      </c>
      <c r="AQ39" s="194">
        <f t="shared" si="6"/>
        <v>-10719.68</v>
      </c>
      <c r="AR39" s="118"/>
      <c r="AS39" s="119"/>
      <c r="AT39" s="119"/>
      <c r="AU39" s="120"/>
      <c r="AV39" s="209"/>
      <c r="AW39" s="112">
        <v>118440000</v>
      </c>
      <c r="AX39" s="162">
        <v>112044240</v>
      </c>
      <c r="AY39" s="162">
        <v>6395760</v>
      </c>
      <c r="AZ39" s="162">
        <v>2605680</v>
      </c>
      <c r="BA39" s="231">
        <f t="shared" si="10"/>
        <v>0.94599999999999995</v>
      </c>
      <c r="BB39" s="210">
        <v>134481</v>
      </c>
      <c r="BC39" s="115"/>
      <c r="BD39" s="236"/>
    </row>
    <row r="40" spans="1:56" s="121" customFormat="1" ht="16.5" customHeight="1">
      <c r="A40" s="104" t="s">
        <v>2429</v>
      </c>
      <c r="B40" s="105" t="s">
        <v>329</v>
      </c>
      <c r="C40" s="106" t="s">
        <v>311</v>
      </c>
      <c r="D40" s="106" t="s">
        <v>2415</v>
      </c>
      <c r="E40" s="71" t="s">
        <v>312</v>
      </c>
      <c r="F40" s="71" t="s">
        <v>78</v>
      </c>
      <c r="G40" s="109" t="s">
        <v>180</v>
      </c>
      <c r="H40" s="133">
        <v>0</v>
      </c>
      <c r="I40" s="134">
        <v>0</v>
      </c>
      <c r="J40" s="110">
        <v>109.6</v>
      </c>
      <c r="K40" s="113">
        <f t="shared" si="0"/>
        <v>109.6</v>
      </c>
      <c r="L40" s="110">
        <v>603.44500000000005</v>
      </c>
      <c r="M40" s="135">
        <v>23.568000000000001</v>
      </c>
      <c r="N40" s="134">
        <v>1740.67</v>
      </c>
      <c r="O40" s="111">
        <v>189.75</v>
      </c>
      <c r="P40" s="136">
        <v>2.4E-2</v>
      </c>
      <c r="Q40" s="111">
        <v>8397</v>
      </c>
      <c r="R40" s="134"/>
      <c r="S40" s="111">
        <f t="shared" si="7"/>
        <v>202</v>
      </c>
      <c r="T40" s="115">
        <v>0</v>
      </c>
      <c r="U40" s="144">
        <v>25.715</v>
      </c>
      <c r="V40" s="135">
        <v>100.22199999999999</v>
      </c>
      <c r="W40" s="113">
        <f t="shared" si="1"/>
        <v>2885.3700000000003</v>
      </c>
      <c r="X40" s="133"/>
      <c r="Y40" s="135">
        <v>0</v>
      </c>
      <c r="Z40" s="116">
        <v>372</v>
      </c>
      <c r="AA40" s="135">
        <v>100.22199999999999</v>
      </c>
      <c r="AB40" s="113">
        <f t="shared" si="8"/>
        <v>472.22199999999998</v>
      </c>
      <c r="AC40" s="110">
        <v>0</v>
      </c>
      <c r="AD40" s="111">
        <v>133.19999999999999</v>
      </c>
      <c r="AE40" s="112">
        <v>0</v>
      </c>
      <c r="AF40" s="117">
        <v>0</v>
      </c>
      <c r="AG40" s="111">
        <v>341.6</v>
      </c>
      <c r="AH40" s="112">
        <v>0</v>
      </c>
      <c r="AI40" s="112">
        <v>79.873000000000005</v>
      </c>
      <c r="AJ40" s="113">
        <f t="shared" si="9"/>
        <v>554.673</v>
      </c>
      <c r="AK40" s="143">
        <f t="shared" si="12"/>
        <v>100630.9</v>
      </c>
      <c r="AL40" s="112">
        <f t="shared" si="12"/>
        <v>76528.429999999993</v>
      </c>
      <c r="AM40" s="112">
        <f t="shared" si="12"/>
        <v>24102.47</v>
      </c>
      <c r="AN40" s="112">
        <f t="shared" si="12"/>
        <v>2213.8789999999999</v>
      </c>
      <c r="AO40" s="230">
        <f t="shared" si="4"/>
        <v>0.76048639135692908</v>
      </c>
      <c r="AP40" s="193">
        <f>W40+AN40</f>
        <v>5099.2489999999998</v>
      </c>
      <c r="AQ40" s="194">
        <f t="shared" si="6"/>
        <v>-4989.6489999999994</v>
      </c>
      <c r="AR40" s="118"/>
      <c r="AS40" s="119"/>
      <c r="AT40" s="119"/>
      <c r="AU40" s="120"/>
      <c r="AV40" s="195"/>
      <c r="AW40" s="112">
        <v>100630900</v>
      </c>
      <c r="AX40" s="162">
        <v>76528430</v>
      </c>
      <c r="AY40" s="162">
        <v>24102470</v>
      </c>
      <c r="AZ40" s="162">
        <v>2213879</v>
      </c>
      <c r="BA40" s="231">
        <f t="shared" si="10"/>
        <v>0.76048639135692908</v>
      </c>
      <c r="BB40" s="210">
        <v>12247</v>
      </c>
      <c r="BC40" s="115">
        <v>11</v>
      </c>
      <c r="BD40" s="236"/>
    </row>
    <row r="41" spans="1:56" s="121" customFormat="1" ht="16.5" customHeight="1">
      <c r="A41" s="104" t="s">
        <v>2429</v>
      </c>
      <c r="B41" s="105" t="s">
        <v>334</v>
      </c>
      <c r="C41" s="106" t="s">
        <v>318</v>
      </c>
      <c r="D41" s="106" t="s">
        <v>2415</v>
      </c>
      <c r="E41" s="71" t="s">
        <v>319</v>
      </c>
      <c r="F41" s="71" t="s">
        <v>78</v>
      </c>
      <c r="G41" s="109" t="s">
        <v>180</v>
      </c>
      <c r="H41" s="133">
        <v>0</v>
      </c>
      <c r="I41" s="134">
        <v>0</v>
      </c>
      <c r="J41" s="110">
        <v>15.6</v>
      </c>
      <c r="K41" s="113">
        <f t="shared" si="0"/>
        <v>15.6</v>
      </c>
      <c r="L41" s="110">
        <v>243.65899999999999</v>
      </c>
      <c r="M41" s="135">
        <v>23.568000000000001</v>
      </c>
      <c r="N41" s="134">
        <v>0</v>
      </c>
      <c r="O41" s="111">
        <v>49.5</v>
      </c>
      <c r="P41" s="136">
        <v>2.4E-2</v>
      </c>
      <c r="Q41" s="111">
        <v>8397</v>
      </c>
      <c r="R41" s="134"/>
      <c r="S41" s="111">
        <f t="shared" si="7"/>
        <v>202</v>
      </c>
      <c r="T41" s="115">
        <v>1958</v>
      </c>
      <c r="U41" s="144">
        <v>23.585999999999999</v>
      </c>
      <c r="V41" s="135">
        <v>100.22199999999999</v>
      </c>
      <c r="W41" s="113">
        <f t="shared" si="1"/>
        <v>2600.5349999999999</v>
      </c>
      <c r="X41" s="133"/>
      <c r="Y41" s="135">
        <v>0</v>
      </c>
      <c r="Z41" s="116">
        <v>49.7</v>
      </c>
      <c r="AA41" s="135">
        <v>100.22199999999999</v>
      </c>
      <c r="AB41" s="113">
        <f t="shared" si="8"/>
        <v>149.922</v>
      </c>
      <c r="AC41" s="110">
        <v>0</v>
      </c>
      <c r="AD41" s="111">
        <v>32.414000000000001</v>
      </c>
      <c r="AE41" s="112">
        <v>0</v>
      </c>
      <c r="AF41" s="117">
        <v>0</v>
      </c>
      <c r="AG41" s="111">
        <v>30</v>
      </c>
      <c r="AH41" s="112">
        <v>0</v>
      </c>
      <c r="AI41" s="112">
        <v>52.603999999999999</v>
      </c>
      <c r="AJ41" s="113">
        <f t="shared" si="9"/>
        <v>115.018</v>
      </c>
      <c r="AK41" s="143">
        <f t="shared" si="12"/>
        <v>39086.974999999999</v>
      </c>
      <c r="AL41" s="112">
        <f t="shared" si="12"/>
        <v>26547.062000000002</v>
      </c>
      <c r="AM41" s="112">
        <f t="shared" si="12"/>
        <v>12539.913</v>
      </c>
      <c r="AN41" s="112">
        <f t="shared" si="12"/>
        <v>1175.6400000000001</v>
      </c>
      <c r="AO41" s="230">
        <f t="shared" si="4"/>
        <v>0.67917924065497526</v>
      </c>
      <c r="AP41" s="193">
        <f t="shared" si="11"/>
        <v>3776.1750000000002</v>
      </c>
      <c r="AQ41" s="194">
        <f t="shared" si="6"/>
        <v>-3760.5750000000003</v>
      </c>
      <c r="AR41" s="118"/>
      <c r="AS41" s="119"/>
      <c r="AT41" s="119"/>
      <c r="AU41" s="120"/>
      <c r="AV41" s="195"/>
      <c r="AW41" s="112">
        <v>39086975</v>
      </c>
      <c r="AX41" s="162">
        <v>26547062</v>
      </c>
      <c r="AY41" s="162">
        <v>12539913</v>
      </c>
      <c r="AZ41" s="162">
        <v>1175640</v>
      </c>
      <c r="BA41" s="231">
        <f t="shared" si="10"/>
        <v>0.67917924065497526</v>
      </c>
      <c r="BB41" s="210">
        <v>2511</v>
      </c>
      <c r="BC41" s="115">
        <v>1</v>
      </c>
      <c r="BD41" s="236"/>
    </row>
    <row r="42" spans="1:56" s="121" customFormat="1" ht="16.5" customHeight="1">
      <c r="A42" s="104" t="s">
        <v>2429</v>
      </c>
      <c r="B42" s="105" t="s">
        <v>340</v>
      </c>
      <c r="C42" s="106" t="s">
        <v>323</v>
      </c>
      <c r="D42" s="106" t="s">
        <v>2415</v>
      </c>
      <c r="E42" s="71" t="s">
        <v>2166</v>
      </c>
      <c r="F42" s="71" t="s">
        <v>78</v>
      </c>
      <c r="G42" s="109" t="s">
        <v>180</v>
      </c>
      <c r="H42" s="133">
        <v>0</v>
      </c>
      <c r="I42" s="134">
        <v>0</v>
      </c>
      <c r="J42" s="110">
        <v>16.8</v>
      </c>
      <c r="K42" s="113">
        <f t="shared" si="0"/>
        <v>16.8</v>
      </c>
      <c r="L42" s="110">
        <v>208.86</v>
      </c>
      <c r="M42" s="135">
        <v>23.568000000000001</v>
      </c>
      <c r="N42" s="134">
        <v>0</v>
      </c>
      <c r="O42" s="111">
        <v>12.1</v>
      </c>
      <c r="P42" s="136">
        <v>2.4E-2</v>
      </c>
      <c r="Q42" s="111">
        <v>8397</v>
      </c>
      <c r="R42" s="134"/>
      <c r="S42" s="111">
        <f t="shared" si="7"/>
        <v>202</v>
      </c>
      <c r="T42" s="115">
        <v>0</v>
      </c>
      <c r="U42" s="144">
        <v>28.366</v>
      </c>
      <c r="V42" s="135">
        <v>100.22199999999999</v>
      </c>
      <c r="W42" s="113">
        <f t="shared" si="1"/>
        <v>575.11599999999999</v>
      </c>
      <c r="X42" s="133"/>
      <c r="Y42" s="135">
        <v>0</v>
      </c>
      <c r="Z42" s="116">
        <v>37.799999999999997</v>
      </c>
      <c r="AA42" s="135">
        <v>100.22199999999999</v>
      </c>
      <c r="AB42" s="113">
        <f t="shared" si="8"/>
        <v>138.02199999999999</v>
      </c>
      <c r="AC42" s="110">
        <v>0</v>
      </c>
      <c r="AD42" s="111">
        <v>48</v>
      </c>
      <c r="AE42" s="112">
        <v>0</v>
      </c>
      <c r="AF42" s="117">
        <v>64.239999999999995</v>
      </c>
      <c r="AG42" s="111">
        <v>10</v>
      </c>
      <c r="AH42" s="112">
        <v>0</v>
      </c>
      <c r="AI42" s="112">
        <v>73.873999999999995</v>
      </c>
      <c r="AJ42" s="113">
        <f t="shared" si="9"/>
        <v>196.11399999999998</v>
      </c>
      <c r="AK42" s="143">
        <f t="shared" si="12"/>
        <v>38555.449999999997</v>
      </c>
      <c r="AL42" s="112">
        <f t="shared" si="12"/>
        <v>30843.954000000002</v>
      </c>
      <c r="AM42" s="112">
        <f t="shared" si="12"/>
        <v>7711.4960000000001</v>
      </c>
      <c r="AN42" s="112">
        <f t="shared" si="12"/>
        <v>706.38499999999999</v>
      </c>
      <c r="AO42" s="230">
        <f t="shared" si="4"/>
        <v>0.79998946971180473</v>
      </c>
      <c r="AP42" s="193">
        <f t="shared" si="11"/>
        <v>1281.501</v>
      </c>
      <c r="AQ42" s="194">
        <f t="shared" si="6"/>
        <v>-1264.701</v>
      </c>
      <c r="AR42" s="118"/>
      <c r="AS42" s="119"/>
      <c r="AT42" s="119"/>
      <c r="AU42" s="120"/>
      <c r="AV42" s="195"/>
      <c r="AW42" s="112">
        <v>38555450</v>
      </c>
      <c r="AX42" s="162">
        <v>30843954</v>
      </c>
      <c r="AY42" s="162">
        <v>7711496</v>
      </c>
      <c r="AZ42" s="162">
        <v>706385</v>
      </c>
      <c r="BA42" s="231">
        <f t="shared" si="10"/>
        <v>0.79998946971180473</v>
      </c>
      <c r="BB42" s="210">
        <v>5834</v>
      </c>
      <c r="BC42" s="115">
        <v>2</v>
      </c>
      <c r="BD42" s="236"/>
    </row>
    <row r="43" spans="1:56" s="121" customFormat="1" ht="16.5" customHeight="1">
      <c r="A43" s="104" t="s">
        <v>2429</v>
      </c>
      <c r="B43" s="105" t="s">
        <v>346</v>
      </c>
      <c r="C43" s="106" t="s">
        <v>327</v>
      </c>
      <c r="D43" s="106" t="s">
        <v>2415</v>
      </c>
      <c r="E43" s="71" t="s">
        <v>108</v>
      </c>
      <c r="F43" s="71" t="s">
        <v>78</v>
      </c>
      <c r="G43" s="109" t="s">
        <v>180</v>
      </c>
      <c r="H43" s="133">
        <v>0</v>
      </c>
      <c r="I43" s="134">
        <v>0</v>
      </c>
      <c r="J43" s="110">
        <v>28.8</v>
      </c>
      <c r="K43" s="113">
        <f t="shared" si="0"/>
        <v>28.8</v>
      </c>
      <c r="L43" s="143">
        <v>876.24699999999996</v>
      </c>
      <c r="M43" s="135">
        <v>974.08299999999997</v>
      </c>
      <c r="N43" s="112">
        <v>1693.5519999999999</v>
      </c>
      <c r="O43" s="111">
        <v>44</v>
      </c>
      <c r="P43" s="136">
        <v>2.4E-2</v>
      </c>
      <c r="Q43" s="111">
        <v>8397</v>
      </c>
      <c r="R43" s="134">
        <v>1587</v>
      </c>
      <c r="S43" s="111">
        <f t="shared" si="7"/>
        <v>1789</v>
      </c>
      <c r="T43" s="115">
        <v>0</v>
      </c>
      <c r="U43" s="144">
        <v>51.765000000000001</v>
      </c>
      <c r="V43" s="135">
        <v>0</v>
      </c>
      <c r="W43" s="113">
        <f t="shared" si="1"/>
        <v>5428.6469999999999</v>
      </c>
      <c r="X43" s="133"/>
      <c r="Y43" s="135">
        <v>0</v>
      </c>
      <c r="Z43" s="116">
        <v>0</v>
      </c>
      <c r="AA43" s="135">
        <v>0</v>
      </c>
      <c r="AB43" s="113">
        <f t="shared" si="8"/>
        <v>0</v>
      </c>
      <c r="AC43" s="110">
        <v>0</v>
      </c>
      <c r="AD43" s="111">
        <v>0</v>
      </c>
      <c r="AE43" s="112">
        <v>0</v>
      </c>
      <c r="AF43" s="117">
        <v>0</v>
      </c>
      <c r="AG43" s="111">
        <v>0</v>
      </c>
      <c r="AH43" s="112">
        <v>0</v>
      </c>
      <c r="AI43" s="112">
        <v>0</v>
      </c>
      <c r="AJ43" s="113">
        <f t="shared" si="9"/>
        <v>0</v>
      </c>
      <c r="AK43" s="143">
        <f t="shared" si="12"/>
        <v>147193.06232197038</v>
      </c>
      <c r="AL43" s="112">
        <f t="shared" si="12"/>
        <v>132351.156554777</v>
      </c>
      <c r="AM43" s="112">
        <f t="shared" si="12"/>
        <v>14841.905767193359</v>
      </c>
      <c r="AN43" s="112">
        <f t="shared" si="12"/>
        <v>395.47037739550854</v>
      </c>
      <c r="AO43" s="230">
        <f t="shared" si="4"/>
        <v>0.89916708346804997</v>
      </c>
      <c r="AP43" s="193">
        <f t="shared" si="11"/>
        <v>5824.1173773955088</v>
      </c>
      <c r="AQ43" s="194">
        <f t="shared" si="6"/>
        <v>-5795.3173773955086</v>
      </c>
      <c r="AR43" s="118"/>
      <c r="AS43" s="119"/>
      <c r="AT43" s="119"/>
      <c r="AU43" s="120"/>
      <c r="AV43" s="195" t="s">
        <v>63</v>
      </c>
      <c r="AW43" s="112">
        <v>147193062.32197037</v>
      </c>
      <c r="AX43" s="162">
        <v>132351156.55477701</v>
      </c>
      <c r="AY43" s="162">
        <v>14841905.767193358</v>
      </c>
      <c r="AZ43" s="162">
        <v>395470.37739550852</v>
      </c>
      <c r="BA43" s="231">
        <f t="shared" si="10"/>
        <v>0.89916708346804997</v>
      </c>
      <c r="BB43" s="210">
        <v>21961</v>
      </c>
      <c r="BC43" s="115"/>
      <c r="BD43" s="236">
        <v>12</v>
      </c>
    </row>
    <row r="44" spans="1:56" s="121" customFormat="1" ht="16.5" customHeight="1">
      <c r="A44" s="104" t="s">
        <v>2429</v>
      </c>
      <c r="B44" s="105" t="s">
        <v>352</v>
      </c>
      <c r="C44" s="106" t="s">
        <v>330</v>
      </c>
      <c r="D44" s="106" t="s">
        <v>2415</v>
      </c>
      <c r="E44" s="71" t="s">
        <v>331</v>
      </c>
      <c r="F44" s="71" t="s">
        <v>78</v>
      </c>
      <c r="G44" s="109" t="s">
        <v>180</v>
      </c>
      <c r="H44" s="133">
        <v>0</v>
      </c>
      <c r="I44" s="134">
        <v>0</v>
      </c>
      <c r="J44" s="110">
        <v>0</v>
      </c>
      <c r="K44" s="113">
        <f t="shared" si="0"/>
        <v>0</v>
      </c>
      <c r="L44" s="110">
        <v>201.16300000000001</v>
      </c>
      <c r="M44" s="135">
        <v>23.568000000000001</v>
      </c>
      <c r="N44" s="115">
        <v>0</v>
      </c>
      <c r="O44" s="111">
        <v>940.5</v>
      </c>
      <c r="P44" s="136">
        <v>2.4E-2</v>
      </c>
      <c r="Q44" s="111">
        <v>8397</v>
      </c>
      <c r="R44" s="134"/>
      <c r="S44" s="111">
        <f t="shared" si="7"/>
        <v>202</v>
      </c>
      <c r="T44" s="115">
        <v>0</v>
      </c>
      <c r="U44" s="144">
        <v>28.364999999999998</v>
      </c>
      <c r="V44" s="135">
        <v>100.22199999999999</v>
      </c>
      <c r="W44" s="113">
        <f t="shared" si="1"/>
        <v>1495.818</v>
      </c>
      <c r="X44" s="133"/>
      <c r="Y44" s="135">
        <v>0</v>
      </c>
      <c r="Z44" s="116">
        <v>8.9999999999999993E-3</v>
      </c>
      <c r="AA44" s="135">
        <v>100.22199999999999</v>
      </c>
      <c r="AB44" s="113">
        <f t="shared" si="8"/>
        <v>100.23099999999999</v>
      </c>
      <c r="AC44" s="110">
        <v>0</v>
      </c>
      <c r="AD44" s="111">
        <v>100.22199999999999</v>
      </c>
      <c r="AE44" s="112">
        <v>0</v>
      </c>
      <c r="AF44" s="117">
        <v>0</v>
      </c>
      <c r="AG44" s="111">
        <v>0</v>
      </c>
      <c r="AH44" s="112">
        <v>0</v>
      </c>
      <c r="AI44" s="112">
        <v>0</v>
      </c>
      <c r="AJ44" s="113">
        <f t="shared" si="9"/>
        <v>100.22199999999999</v>
      </c>
      <c r="AK44" s="143">
        <f t="shared" si="12"/>
        <v>36705.199999999997</v>
      </c>
      <c r="AL44" s="112">
        <f t="shared" si="12"/>
        <v>34552.658000000003</v>
      </c>
      <c r="AM44" s="112">
        <f t="shared" si="12"/>
        <v>2152.5419999999999</v>
      </c>
      <c r="AN44" s="112">
        <f t="shared" si="12"/>
        <v>125.816</v>
      </c>
      <c r="AO44" s="230">
        <f t="shared" si="4"/>
        <v>0.94135593866809064</v>
      </c>
      <c r="AP44" s="193">
        <f t="shared" si="11"/>
        <v>1621.634</v>
      </c>
      <c r="AQ44" s="194">
        <f t="shared" si="6"/>
        <v>-1621.634</v>
      </c>
      <c r="AR44" s="118"/>
      <c r="AS44" s="119"/>
      <c r="AT44" s="119"/>
      <c r="AU44" s="120"/>
      <c r="AV44" s="195"/>
      <c r="AW44" s="112">
        <v>36705200</v>
      </c>
      <c r="AX44" s="162">
        <v>34552658</v>
      </c>
      <c r="AY44" s="162">
        <v>2152542</v>
      </c>
      <c r="AZ44" s="162">
        <v>125816</v>
      </c>
      <c r="BA44" s="231">
        <f t="shared" si="10"/>
        <v>0.94135593866809064</v>
      </c>
      <c r="BB44" s="210">
        <v>2109</v>
      </c>
      <c r="BC44" s="115">
        <v>0</v>
      </c>
      <c r="BD44" s="236"/>
    </row>
    <row r="45" spans="1:56" s="121" customFormat="1" ht="16.5" customHeight="1">
      <c r="A45" s="104" t="s">
        <v>2429</v>
      </c>
      <c r="B45" s="105" t="s">
        <v>359</v>
      </c>
      <c r="C45" s="106" t="s">
        <v>335</v>
      </c>
      <c r="D45" s="106" t="s">
        <v>2415</v>
      </c>
      <c r="E45" s="71" t="s">
        <v>336</v>
      </c>
      <c r="F45" s="71" t="s">
        <v>78</v>
      </c>
      <c r="G45" s="109" t="s">
        <v>180</v>
      </c>
      <c r="H45" s="133">
        <v>0</v>
      </c>
      <c r="I45" s="134">
        <v>0</v>
      </c>
      <c r="J45" s="110">
        <v>18.600000000000001</v>
      </c>
      <c r="K45" s="113">
        <f t="shared" si="0"/>
        <v>18.600000000000001</v>
      </c>
      <c r="L45" s="110">
        <v>517.00599999999997</v>
      </c>
      <c r="M45" s="135">
        <v>23.568000000000001</v>
      </c>
      <c r="N45" s="115">
        <v>0</v>
      </c>
      <c r="O45" s="111">
        <v>663.3</v>
      </c>
      <c r="P45" s="136">
        <v>2.4E-2</v>
      </c>
      <c r="Q45" s="111">
        <v>8397</v>
      </c>
      <c r="R45" s="134"/>
      <c r="S45" s="111">
        <f t="shared" si="7"/>
        <v>202</v>
      </c>
      <c r="T45" s="115">
        <v>0</v>
      </c>
      <c r="U45" s="144">
        <v>28.364999999999998</v>
      </c>
      <c r="V45" s="135">
        <v>100.22199999999999</v>
      </c>
      <c r="W45" s="113">
        <f t="shared" si="1"/>
        <v>1534.4609999999998</v>
      </c>
      <c r="X45" s="133"/>
      <c r="Y45" s="135">
        <v>0</v>
      </c>
      <c r="Z45" s="116">
        <v>164.3</v>
      </c>
      <c r="AA45" s="135">
        <v>100.22199999999999</v>
      </c>
      <c r="AB45" s="113">
        <f t="shared" si="8"/>
        <v>264.52199999999999</v>
      </c>
      <c r="AC45" s="110">
        <v>0</v>
      </c>
      <c r="AD45" s="111">
        <v>141.85400000000001</v>
      </c>
      <c r="AE45" s="112">
        <v>0</v>
      </c>
      <c r="AF45" s="117">
        <v>0</v>
      </c>
      <c r="AG45" s="111">
        <v>120</v>
      </c>
      <c r="AH45" s="112">
        <v>0</v>
      </c>
      <c r="AI45" s="112">
        <v>0</v>
      </c>
      <c r="AJ45" s="113">
        <f t="shared" si="9"/>
        <v>261.85400000000004</v>
      </c>
      <c r="AK45" s="143">
        <f t="shared" si="12"/>
        <v>81048.448999999993</v>
      </c>
      <c r="AL45" s="112">
        <f t="shared" si="12"/>
        <v>64738.307000000001</v>
      </c>
      <c r="AM45" s="112">
        <f t="shared" si="12"/>
        <v>16310.142</v>
      </c>
      <c r="AN45" s="112">
        <f t="shared" si="12"/>
        <v>1944.1669999999999</v>
      </c>
      <c r="AO45" s="230">
        <f t="shared" si="4"/>
        <v>0.7987605907177816</v>
      </c>
      <c r="AP45" s="193">
        <f t="shared" si="11"/>
        <v>3478.6279999999997</v>
      </c>
      <c r="AQ45" s="194">
        <f t="shared" si="6"/>
        <v>-3460.0279999999998</v>
      </c>
      <c r="AR45" s="118"/>
      <c r="AS45" s="119"/>
      <c r="AT45" s="119"/>
      <c r="AU45" s="120"/>
      <c r="AV45" s="195"/>
      <c r="AW45" s="112">
        <v>81048449</v>
      </c>
      <c r="AX45" s="162">
        <v>64738307</v>
      </c>
      <c r="AY45" s="162">
        <v>16310142</v>
      </c>
      <c r="AZ45" s="162">
        <v>1944167</v>
      </c>
      <c r="BA45" s="231">
        <f t="shared" si="10"/>
        <v>0.7987605907177816</v>
      </c>
      <c r="BB45" s="210">
        <v>7322</v>
      </c>
      <c r="BC45" s="115">
        <v>5</v>
      </c>
      <c r="BD45" s="236"/>
    </row>
    <row r="46" spans="1:56" s="121" customFormat="1" ht="16.5" customHeight="1">
      <c r="A46" s="104" t="s">
        <v>2429</v>
      </c>
      <c r="B46" s="105" t="s">
        <v>365</v>
      </c>
      <c r="C46" s="106" t="s">
        <v>341</v>
      </c>
      <c r="D46" s="106" t="s">
        <v>2415</v>
      </c>
      <c r="E46" s="71" t="s">
        <v>342</v>
      </c>
      <c r="F46" s="71" t="s">
        <v>78</v>
      </c>
      <c r="G46" s="109" t="s">
        <v>180</v>
      </c>
      <c r="H46" s="133">
        <v>0</v>
      </c>
      <c r="I46" s="134">
        <v>0</v>
      </c>
      <c r="J46" s="110">
        <v>36.6</v>
      </c>
      <c r="K46" s="113">
        <f t="shared" si="0"/>
        <v>36.6</v>
      </c>
      <c r="L46" s="110">
        <v>531.41399999999999</v>
      </c>
      <c r="M46" s="135">
        <v>23.568000000000001</v>
      </c>
      <c r="N46" s="115">
        <v>0</v>
      </c>
      <c r="O46" s="111">
        <v>150.04</v>
      </c>
      <c r="P46" s="136">
        <v>2.4E-2</v>
      </c>
      <c r="Q46" s="111">
        <v>8397</v>
      </c>
      <c r="R46" s="134"/>
      <c r="S46" s="111">
        <f t="shared" si="7"/>
        <v>202</v>
      </c>
      <c r="T46" s="115">
        <v>0</v>
      </c>
      <c r="U46" s="144">
        <v>28.364999999999998</v>
      </c>
      <c r="V46" s="135">
        <v>100.22199999999999</v>
      </c>
      <c r="W46" s="113">
        <f t="shared" si="1"/>
        <v>1035.6089999999999</v>
      </c>
      <c r="X46" s="133"/>
      <c r="Y46" s="135">
        <v>0</v>
      </c>
      <c r="Z46" s="116">
        <v>51.1</v>
      </c>
      <c r="AA46" s="135">
        <v>100.22199999999999</v>
      </c>
      <c r="AB46" s="113">
        <f t="shared" si="8"/>
        <v>151.322</v>
      </c>
      <c r="AC46" s="110">
        <v>0</v>
      </c>
      <c r="AD46" s="111">
        <v>14.5</v>
      </c>
      <c r="AE46" s="112">
        <v>0</v>
      </c>
      <c r="AF46" s="117">
        <v>0</v>
      </c>
      <c r="AG46" s="111">
        <v>108</v>
      </c>
      <c r="AH46" s="112">
        <v>0</v>
      </c>
      <c r="AI46" s="112">
        <v>100.56100000000001</v>
      </c>
      <c r="AJ46" s="113">
        <f t="shared" si="9"/>
        <v>223.06100000000001</v>
      </c>
      <c r="AK46" s="143">
        <f t="shared" si="12"/>
        <v>88379.782999999996</v>
      </c>
      <c r="AL46" s="112">
        <f t="shared" si="12"/>
        <v>71250.403000000006</v>
      </c>
      <c r="AM46" s="112">
        <f t="shared" si="12"/>
        <v>17129.38</v>
      </c>
      <c r="AN46" s="112">
        <f t="shared" si="12"/>
        <v>2807.7150000000001</v>
      </c>
      <c r="AO46" s="230">
        <f t="shared" si="4"/>
        <v>0.80618440758108678</v>
      </c>
      <c r="AP46" s="193">
        <f t="shared" si="11"/>
        <v>3843.3240000000001</v>
      </c>
      <c r="AQ46" s="194">
        <f t="shared" si="6"/>
        <v>-3806.7240000000002</v>
      </c>
      <c r="AR46" s="118"/>
      <c r="AS46" s="119"/>
      <c r="AT46" s="119"/>
      <c r="AU46" s="120"/>
      <c r="AV46" s="195"/>
      <c r="AW46" s="112">
        <v>88379783</v>
      </c>
      <c r="AX46" s="162">
        <v>71250403</v>
      </c>
      <c r="AY46" s="162">
        <v>17129380</v>
      </c>
      <c r="AZ46" s="162">
        <v>2807715</v>
      </c>
      <c r="BA46" s="231">
        <f t="shared" si="10"/>
        <v>0.80618440758108678</v>
      </c>
      <c r="BB46" s="210">
        <v>8026</v>
      </c>
      <c r="BC46" s="115">
        <v>2</v>
      </c>
      <c r="BD46" s="236"/>
    </row>
    <row r="47" spans="1:56" s="121" customFormat="1" ht="16.5" customHeight="1">
      <c r="A47" s="104" t="s">
        <v>2429</v>
      </c>
      <c r="B47" s="105" t="s">
        <v>372</v>
      </c>
      <c r="C47" s="106" t="s">
        <v>347</v>
      </c>
      <c r="D47" s="106" t="s">
        <v>2415</v>
      </c>
      <c r="E47" s="71" t="s">
        <v>348</v>
      </c>
      <c r="F47" s="71" t="s">
        <v>78</v>
      </c>
      <c r="G47" s="109" t="s">
        <v>180</v>
      </c>
      <c r="H47" s="133">
        <v>0</v>
      </c>
      <c r="I47" s="134">
        <v>0</v>
      </c>
      <c r="J47" s="110">
        <v>116.6</v>
      </c>
      <c r="K47" s="113">
        <f t="shared" si="0"/>
        <v>116.6</v>
      </c>
      <c r="L47" s="110">
        <v>158.173</v>
      </c>
      <c r="M47" s="135">
        <v>23.568000000000001</v>
      </c>
      <c r="N47" s="115">
        <v>0</v>
      </c>
      <c r="O47" s="111">
        <v>129.5</v>
      </c>
      <c r="P47" s="136">
        <v>2.4E-2</v>
      </c>
      <c r="Q47" s="111">
        <v>8397</v>
      </c>
      <c r="R47" s="134"/>
      <c r="S47" s="111">
        <f t="shared" si="7"/>
        <v>202</v>
      </c>
      <c r="T47" s="115">
        <v>0</v>
      </c>
      <c r="U47" s="144">
        <v>28.366</v>
      </c>
      <c r="V47" s="135">
        <v>100.22199999999999</v>
      </c>
      <c r="W47" s="113">
        <f t="shared" si="1"/>
        <v>641.82899999999995</v>
      </c>
      <c r="X47" s="133"/>
      <c r="Y47" s="135">
        <v>0</v>
      </c>
      <c r="Z47" s="116">
        <v>193</v>
      </c>
      <c r="AA47" s="135">
        <v>100.22199999999999</v>
      </c>
      <c r="AB47" s="113">
        <f t="shared" si="8"/>
        <v>293.22199999999998</v>
      </c>
      <c r="AC47" s="110">
        <v>0</v>
      </c>
      <c r="AD47" s="111">
        <v>105.71</v>
      </c>
      <c r="AE47" s="112">
        <v>0</v>
      </c>
      <c r="AF47" s="117">
        <v>0</v>
      </c>
      <c r="AG47" s="111">
        <v>170</v>
      </c>
      <c r="AH47" s="112">
        <v>0</v>
      </c>
      <c r="AI47" s="112">
        <v>17.196999999999999</v>
      </c>
      <c r="AJ47" s="113">
        <f t="shared" si="9"/>
        <v>292.90699999999998</v>
      </c>
      <c r="AK47" s="143">
        <f t="shared" si="12"/>
        <v>30221.545999999998</v>
      </c>
      <c r="AL47" s="112">
        <f t="shared" si="12"/>
        <v>20533.914000000001</v>
      </c>
      <c r="AM47" s="112">
        <f t="shared" si="12"/>
        <v>9687.6319999999996</v>
      </c>
      <c r="AN47" s="112">
        <f t="shared" si="12"/>
        <v>755.66300000000001</v>
      </c>
      <c r="AO47" s="230">
        <f t="shared" si="4"/>
        <v>0.67944618054946626</v>
      </c>
      <c r="AP47" s="193">
        <f t="shared" si="11"/>
        <v>1397.492</v>
      </c>
      <c r="AQ47" s="194">
        <f t="shared" si="6"/>
        <v>-1280.8920000000001</v>
      </c>
      <c r="AR47" s="118"/>
      <c r="AS47" s="119"/>
      <c r="AT47" s="119"/>
      <c r="AU47" s="120"/>
      <c r="AV47" s="195"/>
      <c r="AW47" s="112">
        <v>30221546</v>
      </c>
      <c r="AX47" s="162">
        <v>20533914</v>
      </c>
      <c r="AY47" s="162">
        <v>9687632</v>
      </c>
      <c r="AZ47" s="162">
        <v>755663</v>
      </c>
      <c r="BA47" s="231">
        <f t="shared" si="10"/>
        <v>0.67944618054946626</v>
      </c>
      <c r="BB47" s="210">
        <v>3976</v>
      </c>
      <c r="BC47" s="115">
        <v>5</v>
      </c>
      <c r="BD47" s="236"/>
    </row>
    <row r="48" spans="1:56" s="121" customFormat="1" ht="16.5" customHeight="1">
      <c r="A48" s="104" t="s">
        <v>2429</v>
      </c>
      <c r="B48" s="105" t="s">
        <v>379</v>
      </c>
      <c r="C48" s="106" t="s">
        <v>353</v>
      </c>
      <c r="D48" s="106" t="s">
        <v>2415</v>
      </c>
      <c r="E48" s="71" t="s">
        <v>354</v>
      </c>
      <c r="F48" s="71" t="s">
        <v>78</v>
      </c>
      <c r="G48" s="109" t="s">
        <v>180</v>
      </c>
      <c r="H48" s="133">
        <v>0</v>
      </c>
      <c r="I48" s="134">
        <v>0</v>
      </c>
      <c r="J48" s="110">
        <v>102.95</v>
      </c>
      <c r="K48" s="113">
        <f t="shared" si="0"/>
        <v>102.95</v>
      </c>
      <c r="L48" s="110">
        <v>263.48099999999999</v>
      </c>
      <c r="M48" s="135">
        <v>23.568000000000001</v>
      </c>
      <c r="N48" s="115">
        <v>0</v>
      </c>
      <c r="O48" s="111">
        <v>0</v>
      </c>
      <c r="P48" s="136">
        <v>2.4E-2</v>
      </c>
      <c r="Q48" s="111">
        <v>8397</v>
      </c>
      <c r="R48" s="134"/>
      <c r="S48" s="111">
        <f t="shared" si="7"/>
        <v>202</v>
      </c>
      <c r="T48" s="115">
        <v>0</v>
      </c>
      <c r="U48" s="144">
        <v>33.865000000000002</v>
      </c>
      <c r="V48" s="135">
        <v>100.22199999999999</v>
      </c>
      <c r="W48" s="113">
        <f t="shared" si="1"/>
        <v>623.13599999999997</v>
      </c>
      <c r="X48" s="133"/>
      <c r="Y48" s="135">
        <v>0</v>
      </c>
      <c r="Z48" s="116">
        <v>39.200000000000003</v>
      </c>
      <c r="AA48" s="135">
        <v>100.22199999999999</v>
      </c>
      <c r="AB48" s="113">
        <f t="shared" si="8"/>
        <v>139.422</v>
      </c>
      <c r="AC48" s="110">
        <v>0</v>
      </c>
      <c r="AD48" s="111">
        <v>0</v>
      </c>
      <c r="AE48" s="112">
        <v>0</v>
      </c>
      <c r="AF48" s="117">
        <v>0</v>
      </c>
      <c r="AG48" s="111">
        <v>0</v>
      </c>
      <c r="AH48" s="112">
        <v>0</v>
      </c>
      <c r="AI48" s="112">
        <v>98.453000000000003</v>
      </c>
      <c r="AJ48" s="113">
        <f t="shared" si="9"/>
        <v>98.453000000000003</v>
      </c>
      <c r="AK48" s="143">
        <f t="shared" si="12"/>
        <v>49620.92</v>
      </c>
      <c r="AL48" s="112">
        <f t="shared" si="12"/>
        <v>36749.82</v>
      </c>
      <c r="AM48" s="112">
        <f t="shared" si="12"/>
        <v>12871.1</v>
      </c>
      <c r="AN48" s="112">
        <f t="shared" si="12"/>
        <v>1266.9570000000001</v>
      </c>
      <c r="AO48" s="230">
        <f t="shared" si="4"/>
        <v>0.74061141953837217</v>
      </c>
      <c r="AP48" s="193">
        <f t="shared" si="11"/>
        <v>1890.0930000000001</v>
      </c>
      <c r="AQ48" s="194">
        <f t="shared" si="6"/>
        <v>-1787.143</v>
      </c>
      <c r="AR48" s="118"/>
      <c r="AS48" s="119"/>
      <c r="AT48" s="119"/>
      <c r="AU48" s="120"/>
      <c r="AV48" s="195"/>
      <c r="AW48" s="112">
        <v>49620920</v>
      </c>
      <c r="AX48" s="162">
        <v>36749820</v>
      </c>
      <c r="AY48" s="162">
        <v>12871100</v>
      </c>
      <c r="AZ48" s="162">
        <v>1266957</v>
      </c>
      <c r="BA48" s="231">
        <f t="shared" si="10"/>
        <v>0.74061141953837217</v>
      </c>
      <c r="BB48" s="210">
        <v>6982</v>
      </c>
      <c r="BC48" s="115">
        <v>0</v>
      </c>
      <c r="BD48" s="236"/>
    </row>
    <row r="49" spans="1:56" s="121" customFormat="1" ht="16.5" customHeight="1">
      <c r="A49" s="104" t="s">
        <v>2429</v>
      </c>
      <c r="B49" s="105" t="s">
        <v>385</v>
      </c>
      <c r="C49" s="106" t="s">
        <v>360</v>
      </c>
      <c r="D49" s="106" t="s">
        <v>2415</v>
      </c>
      <c r="E49" s="71" t="s">
        <v>361</v>
      </c>
      <c r="F49" s="71" t="s">
        <v>78</v>
      </c>
      <c r="G49" s="109" t="s">
        <v>180</v>
      </c>
      <c r="H49" s="133">
        <v>0</v>
      </c>
      <c r="I49" s="134">
        <v>0</v>
      </c>
      <c r="J49" s="110">
        <v>27.25</v>
      </c>
      <c r="K49" s="113">
        <f t="shared" si="0"/>
        <v>27.25</v>
      </c>
      <c r="L49" s="110">
        <v>0</v>
      </c>
      <c r="M49" s="135">
        <v>23.568000000000001</v>
      </c>
      <c r="N49" s="115">
        <v>0</v>
      </c>
      <c r="O49" s="111">
        <v>155.1</v>
      </c>
      <c r="P49" s="136">
        <v>2.4E-2</v>
      </c>
      <c r="Q49" s="111">
        <v>8397</v>
      </c>
      <c r="R49" s="134"/>
      <c r="S49" s="111">
        <f t="shared" si="7"/>
        <v>202</v>
      </c>
      <c r="T49" s="115">
        <v>0</v>
      </c>
      <c r="U49" s="144">
        <v>0</v>
      </c>
      <c r="V49" s="135">
        <v>16815.952000000001</v>
      </c>
      <c r="W49" s="113">
        <f t="shared" si="1"/>
        <v>17196.620000000003</v>
      </c>
      <c r="X49" s="133"/>
      <c r="Y49" s="135">
        <v>0</v>
      </c>
      <c r="Z49" s="116">
        <v>0</v>
      </c>
      <c r="AA49" s="135">
        <v>16815.952000000001</v>
      </c>
      <c r="AB49" s="113">
        <f t="shared" si="8"/>
        <v>16815.952000000001</v>
      </c>
      <c r="AC49" s="110">
        <v>0</v>
      </c>
      <c r="AD49" s="111">
        <v>0</v>
      </c>
      <c r="AE49" s="112">
        <v>0</v>
      </c>
      <c r="AF49" s="117">
        <v>0</v>
      </c>
      <c r="AG49" s="111">
        <v>0</v>
      </c>
      <c r="AH49" s="112">
        <v>0</v>
      </c>
      <c r="AI49" s="112">
        <v>0</v>
      </c>
      <c r="AJ49" s="113">
        <f t="shared" si="9"/>
        <v>0</v>
      </c>
      <c r="AK49" s="143">
        <f t="shared" si="12"/>
        <v>317495.05018320098</v>
      </c>
      <c r="AL49" s="112">
        <f t="shared" si="12"/>
        <v>71713.001794647513</v>
      </c>
      <c r="AM49" s="112">
        <f t="shared" si="12"/>
        <v>245782.04838855346</v>
      </c>
      <c r="AN49" s="112">
        <f t="shared" si="12"/>
        <v>12074.133989827445</v>
      </c>
      <c r="AO49" s="230">
        <f t="shared" si="4"/>
        <v>0.22587124351471838</v>
      </c>
      <c r="AP49" s="193">
        <f t="shared" si="11"/>
        <v>29270.753989827448</v>
      </c>
      <c r="AQ49" s="194">
        <f t="shared" si="6"/>
        <v>-29243.503989827448</v>
      </c>
      <c r="AR49" s="118"/>
      <c r="AS49" s="119"/>
      <c r="AT49" s="119"/>
      <c r="AU49" s="120"/>
      <c r="AV49" s="195" t="s">
        <v>63</v>
      </c>
      <c r="AW49" s="112">
        <v>317495050.18320096</v>
      </c>
      <c r="AX49" s="162">
        <v>71713001.794647515</v>
      </c>
      <c r="AY49" s="162">
        <v>245782048.38855347</v>
      </c>
      <c r="AZ49" s="162">
        <v>12074133.989827445</v>
      </c>
      <c r="BA49" s="231">
        <f t="shared" si="10"/>
        <v>0.22587124351471838</v>
      </c>
      <c r="BB49" s="210">
        <v>38912</v>
      </c>
      <c r="BC49" s="115">
        <v>9929</v>
      </c>
      <c r="BD49" s="236"/>
    </row>
    <row r="50" spans="1:56" s="121" customFormat="1" ht="16.5" customHeight="1">
      <c r="A50" s="104" t="s">
        <v>2429</v>
      </c>
      <c r="B50" s="105" t="s">
        <v>392</v>
      </c>
      <c r="C50" s="106" t="s">
        <v>366</v>
      </c>
      <c r="D50" s="106" t="s">
        <v>2415</v>
      </c>
      <c r="E50" s="71" t="s">
        <v>367</v>
      </c>
      <c r="F50" s="71" t="s">
        <v>78</v>
      </c>
      <c r="G50" s="109" t="s">
        <v>180</v>
      </c>
      <c r="H50" s="133">
        <v>0</v>
      </c>
      <c r="I50" s="134">
        <v>0</v>
      </c>
      <c r="J50" s="110">
        <v>0.2</v>
      </c>
      <c r="K50" s="113">
        <f t="shared" si="0"/>
        <v>0.2</v>
      </c>
      <c r="L50" s="110">
        <v>308.44799999999998</v>
      </c>
      <c r="M50" s="135">
        <v>23.568000000000001</v>
      </c>
      <c r="N50" s="115">
        <v>0</v>
      </c>
      <c r="O50" s="111">
        <v>0</v>
      </c>
      <c r="P50" s="136">
        <v>2.4E-2</v>
      </c>
      <c r="Q50" s="111">
        <v>8397</v>
      </c>
      <c r="R50" s="134"/>
      <c r="S50" s="111">
        <f t="shared" si="7"/>
        <v>202</v>
      </c>
      <c r="T50" s="115">
        <v>0</v>
      </c>
      <c r="U50" s="144">
        <v>39.365000000000002</v>
      </c>
      <c r="V50" s="135">
        <v>100.22199999999999</v>
      </c>
      <c r="W50" s="113">
        <f t="shared" si="1"/>
        <v>673.60299999999995</v>
      </c>
      <c r="X50" s="133"/>
      <c r="Y50" s="135">
        <v>0</v>
      </c>
      <c r="Z50" s="116">
        <v>0.7</v>
      </c>
      <c r="AA50" s="135">
        <v>100.22199999999999</v>
      </c>
      <c r="AB50" s="113">
        <f t="shared" si="8"/>
        <v>100.922</v>
      </c>
      <c r="AC50" s="110">
        <v>0</v>
      </c>
      <c r="AD50" s="111">
        <v>70</v>
      </c>
      <c r="AE50" s="112">
        <v>0</v>
      </c>
      <c r="AF50" s="117">
        <v>0</v>
      </c>
      <c r="AG50" s="111">
        <v>0</v>
      </c>
      <c r="AH50" s="112">
        <v>0</v>
      </c>
      <c r="AI50" s="112">
        <v>40</v>
      </c>
      <c r="AJ50" s="113">
        <f t="shared" si="9"/>
        <v>110</v>
      </c>
      <c r="AK50" s="143">
        <f t="shared" si="12"/>
        <v>60679.3</v>
      </c>
      <c r="AL50" s="112">
        <f t="shared" si="12"/>
        <v>50681.794999999998</v>
      </c>
      <c r="AM50" s="112">
        <f t="shared" si="12"/>
        <v>9997.5049999999992</v>
      </c>
      <c r="AN50" s="112">
        <f t="shared" si="12"/>
        <v>827.096</v>
      </c>
      <c r="AO50" s="230">
        <f t="shared" si="4"/>
        <v>0.8352402713940339</v>
      </c>
      <c r="AP50" s="193">
        <f t="shared" si="11"/>
        <v>1500.6990000000001</v>
      </c>
      <c r="AQ50" s="194">
        <f t="shared" si="6"/>
        <v>-1500.499</v>
      </c>
      <c r="AR50" s="118"/>
      <c r="AS50" s="119"/>
      <c r="AT50" s="119"/>
      <c r="AU50" s="120"/>
      <c r="AV50" s="195"/>
      <c r="AW50" s="112">
        <v>60679300</v>
      </c>
      <c r="AX50" s="162">
        <v>50681795</v>
      </c>
      <c r="AY50" s="162">
        <v>9997505</v>
      </c>
      <c r="AZ50" s="162">
        <v>827096</v>
      </c>
      <c r="BA50" s="231">
        <f t="shared" si="10"/>
        <v>0.8352402713940339</v>
      </c>
      <c r="BB50" s="210">
        <v>3794</v>
      </c>
      <c r="BC50" s="115"/>
      <c r="BD50" s="236">
        <v>0.1</v>
      </c>
    </row>
    <row r="51" spans="1:56" s="121" customFormat="1" ht="16.5" customHeight="1">
      <c r="A51" s="104" t="s">
        <v>2429</v>
      </c>
      <c r="B51" s="105" t="s">
        <v>399</v>
      </c>
      <c r="C51" s="106" t="s">
        <v>373</v>
      </c>
      <c r="D51" s="106" t="s">
        <v>2415</v>
      </c>
      <c r="E51" s="71" t="s">
        <v>374</v>
      </c>
      <c r="F51" s="71" t="s">
        <v>78</v>
      </c>
      <c r="G51" s="109" t="s">
        <v>180</v>
      </c>
      <c r="H51" s="133">
        <v>0</v>
      </c>
      <c r="I51" s="134">
        <v>0</v>
      </c>
      <c r="J51" s="110">
        <v>0</v>
      </c>
      <c r="K51" s="113">
        <f t="shared" si="0"/>
        <v>0</v>
      </c>
      <c r="L51" s="110">
        <v>302.69499999999999</v>
      </c>
      <c r="M51" s="135">
        <v>23.568000000000001</v>
      </c>
      <c r="N51" s="115">
        <v>0</v>
      </c>
      <c r="O51" s="111">
        <v>115.5</v>
      </c>
      <c r="P51" s="136">
        <v>2.4E-2</v>
      </c>
      <c r="Q51" s="111">
        <v>8397</v>
      </c>
      <c r="R51" s="134"/>
      <c r="S51" s="111">
        <f t="shared" si="7"/>
        <v>202</v>
      </c>
      <c r="T51" s="115">
        <v>0</v>
      </c>
      <c r="U51" s="144">
        <v>28.364999999999998</v>
      </c>
      <c r="V51" s="135">
        <v>100.22199999999999</v>
      </c>
      <c r="W51" s="113">
        <f t="shared" si="1"/>
        <v>772.34999999999991</v>
      </c>
      <c r="X51" s="133"/>
      <c r="Y51" s="135">
        <v>0</v>
      </c>
      <c r="Z51" s="116">
        <v>3.0000000000000001E-3</v>
      </c>
      <c r="AA51" s="135">
        <v>100.22199999999999</v>
      </c>
      <c r="AB51" s="113">
        <f t="shared" si="8"/>
        <v>100.22499999999999</v>
      </c>
      <c r="AC51" s="110">
        <v>0</v>
      </c>
      <c r="AD51" s="111">
        <v>0</v>
      </c>
      <c r="AE51" s="112">
        <v>0</v>
      </c>
      <c r="AF51" s="117">
        <v>0</v>
      </c>
      <c r="AG51" s="111">
        <v>0</v>
      </c>
      <c r="AH51" s="112">
        <v>0</v>
      </c>
      <c r="AI51" s="112">
        <v>56.533000000000001</v>
      </c>
      <c r="AJ51" s="113">
        <f t="shared" si="9"/>
        <v>56.533000000000001</v>
      </c>
      <c r="AK51" s="143">
        <f t="shared" si="12"/>
        <v>90775.05</v>
      </c>
      <c r="AL51" s="112">
        <f t="shared" si="12"/>
        <v>80681.633000000002</v>
      </c>
      <c r="AM51" s="112">
        <f t="shared" si="12"/>
        <v>10093.416999999999</v>
      </c>
      <c r="AN51" s="112">
        <f t="shared" si="12"/>
        <v>363.17599999999999</v>
      </c>
      <c r="AO51" s="230">
        <f t="shared" si="4"/>
        <v>0.88880846664364277</v>
      </c>
      <c r="AP51" s="193">
        <f t="shared" si="11"/>
        <v>1135.5259999999998</v>
      </c>
      <c r="AQ51" s="194">
        <f t="shared" si="6"/>
        <v>-1135.5259999999998</v>
      </c>
      <c r="AR51" s="118"/>
      <c r="AS51" s="119"/>
      <c r="AT51" s="119"/>
      <c r="AU51" s="120"/>
      <c r="AV51" s="195"/>
      <c r="AW51" s="112">
        <v>90775050</v>
      </c>
      <c r="AX51" s="162">
        <v>80681633</v>
      </c>
      <c r="AY51" s="162">
        <v>10093417</v>
      </c>
      <c r="AZ51" s="162">
        <v>363176</v>
      </c>
      <c r="BA51" s="231">
        <f t="shared" si="10"/>
        <v>0.88880846664364277</v>
      </c>
      <c r="BB51" s="210">
        <v>4048</v>
      </c>
      <c r="BC51" s="115"/>
      <c r="BD51" s="236">
        <v>0</v>
      </c>
    </row>
    <row r="52" spans="1:56" s="121" customFormat="1" ht="16.5" customHeight="1">
      <c r="A52" s="104" t="s">
        <v>2429</v>
      </c>
      <c r="B52" s="105" t="s">
        <v>405</v>
      </c>
      <c r="C52" s="106" t="s">
        <v>380</v>
      </c>
      <c r="D52" s="106" t="s">
        <v>2415</v>
      </c>
      <c r="E52" s="71" t="s">
        <v>381</v>
      </c>
      <c r="F52" s="71" t="s">
        <v>78</v>
      </c>
      <c r="G52" s="109" t="s">
        <v>180</v>
      </c>
      <c r="H52" s="133">
        <v>0</v>
      </c>
      <c r="I52" s="134">
        <v>0</v>
      </c>
      <c r="J52" s="110">
        <v>4.9809999999999999</v>
      </c>
      <c r="K52" s="113">
        <f t="shared" si="0"/>
        <v>4.9809999999999999</v>
      </c>
      <c r="L52" s="110">
        <v>237.87700000000001</v>
      </c>
      <c r="M52" s="135">
        <v>23.568000000000001</v>
      </c>
      <c r="N52" s="115">
        <v>0</v>
      </c>
      <c r="O52" s="111">
        <v>163.9</v>
      </c>
      <c r="P52" s="136">
        <v>2.4E-2</v>
      </c>
      <c r="Q52" s="111">
        <v>8397</v>
      </c>
      <c r="R52" s="134"/>
      <c r="S52" s="111">
        <f t="shared" si="7"/>
        <v>202</v>
      </c>
      <c r="T52" s="115">
        <v>770</v>
      </c>
      <c r="U52" s="144">
        <v>23.585999999999999</v>
      </c>
      <c r="V52" s="135">
        <v>100.22199999999999</v>
      </c>
      <c r="W52" s="113">
        <f t="shared" si="1"/>
        <v>1521.153</v>
      </c>
      <c r="X52" s="133"/>
      <c r="Y52" s="135">
        <v>0</v>
      </c>
      <c r="Z52" s="116">
        <v>680.00300000000004</v>
      </c>
      <c r="AA52" s="135">
        <v>100.22199999999999</v>
      </c>
      <c r="AB52" s="113">
        <f t="shared" si="8"/>
        <v>780.22500000000002</v>
      </c>
      <c r="AC52" s="110">
        <v>5.3760000000000003</v>
      </c>
      <c r="AD52" s="111">
        <v>0</v>
      </c>
      <c r="AE52" s="112">
        <v>0</v>
      </c>
      <c r="AF52" s="117">
        <v>0</v>
      </c>
      <c r="AG52" s="111">
        <v>660</v>
      </c>
      <c r="AH52" s="112">
        <v>0</v>
      </c>
      <c r="AI52" s="112">
        <v>114.849</v>
      </c>
      <c r="AJ52" s="113">
        <f t="shared" si="9"/>
        <v>780.22500000000002</v>
      </c>
      <c r="AK52" s="143">
        <f t="shared" si="12"/>
        <v>50943.9</v>
      </c>
      <c r="AL52" s="112">
        <f t="shared" si="12"/>
        <v>46020.794000000002</v>
      </c>
      <c r="AM52" s="112">
        <f t="shared" si="12"/>
        <v>4923.1059999999998</v>
      </c>
      <c r="AN52" s="112">
        <f t="shared" si="12"/>
        <v>165.143</v>
      </c>
      <c r="AO52" s="230">
        <f t="shared" si="4"/>
        <v>0.90336220823297786</v>
      </c>
      <c r="AP52" s="193">
        <f t="shared" si="11"/>
        <v>1686.296</v>
      </c>
      <c r="AQ52" s="194">
        <f t="shared" si="6"/>
        <v>-1681.3150000000001</v>
      </c>
      <c r="AR52" s="118"/>
      <c r="AS52" s="119"/>
      <c r="AT52" s="119"/>
      <c r="AU52" s="120"/>
      <c r="AV52" s="195"/>
      <c r="AW52" s="112">
        <v>50943900</v>
      </c>
      <c r="AX52" s="162">
        <v>46020794</v>
      </c>
      <c r="AY52" s="162">
        <v>4923106</v>
      </c>
      <c r="AZ52" s="162">
        <v>165143</v>
      </c>
      <c r="BA52" s="231">
        <f t="shared" si="10"/>
        <v>0.90336220823297786</v>
      </c>
      <c r="BB52" s="210">
        <v>6315</v>
      </c>
      <c r="BC52" s="115"/>
      <c r="BD52" s="236">
        <v>0.5</v>
      </c>
    </row>
    <row r="53" spans="1:56" s="121" customFormat="1" ht="16.5" customHeight="1">
      <c r="A53" s="104" t="s">
        <v>2429</v>
      </c>
      <c r="B53" s="105" t="s">
        <v>410</v>
      </c>
      <c r="C53" s="106" t="s">
        <v>386</v>
      </c>
      <c r="D53" s="106" t="s">
        <v>2415</v>
      </c>
      <c r="E53" s="71" t="s">
        <v>387</v>
      </c>
      <c r="F53" s="71" t="s">
        <v>78</v>
      </c>
      <c r="G53" s="109" t="s">
        <v>180</v>
      </c>
      <c r="H53" s="133">
        <v>0</v>
      </c>
      <c r="I53" s="134">
        <v>0</v>
      </c>
      <c r="J53" s="110">
        <v>2.2000000000000002</v>
      </c>
      <c r="K53" s="113">
        <f t="shared" si="0"/>
        <v>2.2000000000000002</v>
      </c>
      <c r="L53" s="110">
        <v>435.02300000000002</v>
      </c>
      <c r="M53" s="135">
        <v>23.568000000000001</v>
      </c>
      <c r="N53" s="115">
        <v>0</v>
      </c>
      <c r="O53" s="111">
        <v>73.7</v>
      </c>
      <c r="P53" s="136">
        <v>2.4E-2</v>
      </c>
      <c r="Q53" s="111">
        <v>8397</v>
      </c>
      <c r="R53" s="134"/>
      <c r="S53" s="111">
        <f t="shared" si="7"/>
        <v>202</v>
      </c>
      <c r="T53" s="115">
        <v>0</v>
      </c>
      <c r="U53" s="144">
        <v>28.364999999999998</v>
      </c>
      <c r="V53" s="135">
        <v>100.22199999999999</v>
      </c>
      <c r="W53" s="113">
        <f t="shared" si="1"/>
        <v>862.87800000000004</v>
      </c>
      <c r="X53" s="133"/>
      <c r="Y53" s="135">
        <v>0</v>
      </c>
      <c r="Z53" s="116">
        <v>3.4</v>
      </c>
      <c r="AA53" s="135">
        <v>100.22199999999999</v>
      </c>
      <c r="AB53" s="113">
        <f t="shared" si="8"/>
        <v>103.622</v>
      </c>
      <c r="AC53" s="110">
        <v>0</v>
      </c>
      <c r="AD53" s="111">
        <v>48</v>
      </c>
      <c r="AE53" s="112">
        <v>0</v>
      </c>
      <c r="AF53" s="117">
        <v>0</v>
      </c>
      <c r="AG53" s="111">
        <v>0</v>
      </c>
      <c r="AH53" s="112">
        <v>0</v>
      </c>
      <c r="AI53" s="112">
        <v>30.856999999999999</v>
      </c>
      <c r="AJ53" s="113">
        <f t="shared" si="9"/>
        <v>78.856999999999999</v>
      </c>
      <c r="AK53" s="143">
        <f t="shared" si="12"/>
        <v>90704.207999999999</v>
      </c>
      <c r="AL53" s="112">
        <f t="shared" si="12"/>
        <v>85086.46</v>
      </c>
      <c r="AM53" s="112">
        <f t="shared" si="12"/>
        <v>5617.7479999999996</v>
      </c>
      <c r="AN53" s="112">
        <f t="shared" si="12"/>
        <v>330.24099999999999</v>
      </c>
      <c r="AO53" s="230">
        <f t="shared" si="4"/>
        <v>0.93806518877271938</v>
      </c>
      <c r="AP53" s="193">
        <f t="shared" si="11"/>
        <v>1193.1190000000001</v>
      </c>
      <c r="AQ53" s="194">
        <f t="shared" si="6"/>
        <v>-1190.9190000000001</v>
      </c>
      <c r="AR53" s="118"/>
      <c r="AS53" s="119"/>
      <c r="AT53" s="119"/>
      <c r="AU53" s="120"/>
      <c r="AV53" s="195"/>
      <c r="AW53" s="112">
        <v>90704208</v>
      </c>
      <c r="AX53" s="162">
        <v>85086460</v>
      </c>
      <c r="AY53" s="162">
        <v>5617748</v>
      </c>
      <c r="AZ53" s="162">
        <v>330241</v>
      </c>
      <c r="BA53" s="231">
        <f t="shared" si="10"/>
        <v>0.93806518877271938</v>
      </c>
      <c r="BB53" s="210">
        <v>5330</v>
      </c>
      <c r="BC53" s="115"/>
      <c r="BD53" s="236">
        <v>0</v>
      </c>
    </row>
    <row r="54" spans="1:56" s="121" customFormat="1" ht="16.5" customHeight="1">
      <c r="A54" s="104" t="s">
        <v>2429</v>
      </c>
      <c r="B54" s="105" t="s">
        <v>416</v>
      </c>
      <c r="C54" s="106" t="s">
        <v>393</v>
      </c>
      <c r="D54" s="106" t="s">
        <v>2415</v>
      </c>
      <c r="E54" s="71" t="s">
        <v>394</v>
      </c>
      <c r="F54" s="71" t="s">
        <v>78</v>
      </c>
      <c r="G54" s="109" t="s">
        <v>180</v>
      </c>
      <c r="H54" s="133">
        <v>0</v>
      </c>
      <c r="I54" s="134">
        <v>0</v>
      </c>
      <c r="J54" s="110">
        <v>17.600000000000001</v>
      </c>
      <c r="K54" s="113">
        <f t="shared" si="0"/>
        <v>17.600000000000001</v>
      </c>
      <c r="L54" s="110">
        <v>370.12799999999999</v>
      </c>
      <c r="M54" s="135">
        <v>23.568000000000001</v>
      </c>
      <c r="N54" s="115">
        <v>0</v>
      </c>
      <c r="O54" s="111">
        <v>277.2</v>
      </c>
      <c r="P54" s="136">
        <v>2.4E-2</v>
      </c>
      <c r="Q54" s="111">
        <v>8397</v>
      </c>
      <c r="R54" s="134"/>
      <c r="S54" s="111">
        <f t="shared" si="7"/>
        <v>202</v>
      </c>
      <c r="T54" s="144">
        <v>5208.2979999999998</v>
      </c>
      <c r="U54" s="144">
        <v>35.865000000000002</v>
      </c>
      <c r="V54" s="135">
        <v>100.22199999999999</v>
      </c>
      <c r="W54" s="113">
        <f t="shared" si="1"/>
        <v>6217.280999999999</v>
      </c>
      <c r="X54" s="133"/>
      <c r="Y54" s="135">
        <v>0</v>
      </c>
      <c r="Z54" s="116">
        <v>61.6</v>
      </c>
      <c r="AA54" s="135">
        <v>100.22199999999999</v>
      </c>
      <c r="AB54" s="113">
        <f t="shared" si="8"/>
        <v>161.822</v>
      </c>
      <c r="AC54" s="110">
        <v>17.600000000000001</v>
      </c>
      <c r="AD54" s="111">
        <v>50</v>
      </c>
      <c r="AE54" s="112">
        <v>0</v>
      </c>
      <c r="AF54" s="117">
        <v>56.32</v>
      </c>
      <c r="AG54" s="111">
        <v>58</v>
      </c>
      <c r="AH54" s="112">
        <v>0</v>
      </c>
      <c r="AI54" s="112">
        <v>3.6280000000000001</v>
      </c>
      <c r="AJ54" s="113">
        <f t="shared" si="9"/>
        <v>185.548</v>
      </c>
      <c r="AK54" s="143">
        <f t="shared" si="12"/>
        <v>83506.722999999998</v>
      </c>
      <c r="AL54" s="112">
        <f t="shared" si="12"/>
        <v>65097.105000000003</v>
      </c>
      <c r="AM54" s="112">
        <f t="shared" si="12"/>
        <v>18409.617999999999</v>
      </c>
      <c r="AN54" s="112">
        <f t="shared" si="12"/>
        <v>2075.7829999999999</v>
      </c>
      <c r="AO54" s="230">
        <f t="shared" si="4"/>
        <v>0.77954328300010045</v>
      </c>
      <c r="AP54" s="193">
        <f t="shared" si="11"/>
        <v>8293.0639999999985</v>
      </c>
      <c r="AQ54" s="194">
        <f t="shared" si="6"/>
        <v>-8275.4639999999981</v>
      </c>
      <c r="AR54" s="118"/>
      <c r="AS54" s="119"/>
      <c r="AT54" s="119"/>
      <c r="AU54" s="120"/>
      <c r="AV54" s="195"/>
      <c r="AW54" s="112">
        <v>83506723</v>
      </c>
      <c r="AX54" s="162">
        <v>65097105</v>
      </c>
      <c r="AY54" s="162">
        <v>18409618</v>
      </c>
      <c r="AZ54" s="162">
        <v>2075783</v>
      </c>
      <c r="BA54" s="231">
        <f t="shared" si="10"/>
        <v>0.77954328300010045</v>
      </c>
      <c r="BB54" s="210">
        <v>6525</v>
      </c>
      <c r="BC54" s="115"/>
      <c r="BD54" s="236">
        <v>0.4</v>
      </c>
    </row>
    <row r="55" spans="1:56" s="121" customFormat="1" ht="16.5" customHeight="1">
      <c r="A55" s="104" t="s">
        <v>2429</v>
      </c>
      <c r="B55" s="105" t="s">
        <v>423</v>
      </c>
      <c r="C55" s="106" t="s">
        <v>400</v>
      </c>
      <c r="D55" s="106" t="s">
        <v>2415</v>
      </c>
      <c r="E55" s="71" t="s">
        <v>401</v>
      </c>
      <c r="F55" s="71" t="s">
        <v>78</v>
      </c>
      <c r="G55" s="109" t="s">
        <v>180</v>
      </c>
      <c r="H55" s="133">
        <v>0</v>
      </c>
      <c r="I55" s="134">
        <v>0</v>
      </c>
      <c r="J55" s="110">
        <v>0</v>
      </c>
      <c r="K55" s="113">
        <f t="shared" si="0"/>
        <v>0</v>
      </c>
      <c r="L55" s="110">
        <v>132.28200000000001</v>
      </c>
      <c r="M55" s="135">
        <v>23.568000000000001</v>
      </c>
      <c r="N55" s="115">
        <v>0</v>
      </c>
      <c r="O55" s="111">
        <v>142</v>
      </c>
      <c r="P55" s="136">
        <v>2.4E-2</v>
      </c>
      <c r="Q55" s="111">
        <v>8397</v>
      </c>
      <c r="R55" s="134"/>
      <c r="S55" s="111">
        <f t="shared" si="7"/>
        <v>202</v>
      </c>
      <c r="T55" s="115">
        <v>5566</v>
      </c>
      <c r="U55" s="144">
        <v>28.366</v>
      </c>
      <c r="V55" s="135">
        <v>100.22199999999999</v>
      </c>
      <c r="W55" s="113">
        <f t="shared" si="1"/>
        <v>6194.4380000000001</v>
      </c>
      <c r="X55" s="133"/>
      <c r="Y55" s="135">
        <v>0</v>
      </c>
      <c r="Z55" s="116">
        <v>2.0059999999999998</v>
      </c>
      <c r="AA55" s="135">
        <v>100.22199999999999</v>
      </c>
      <c r="AB55" s="113">
        <f t="shared" si="8"/>
        <v>102.22799999999999</v>
      </c>
      <c r="AC55" s="110">
        <v>0</v>
      </c>
      <c r="AD55" s="111">
        <v>0</v>
      </c>
      <c r="AE55" s="112">
        <v>0</v>
      </c>
      <c r="AF55" s="117">
        <v>0</v>
      </c>
      <c r="AG55" s="111">
        <v>0</v>
      </c>
      <c r="AH55" s="112">
        <v>0</v>
      </c>
      <c r="AI55" s="112">
        <v>60.768000000000001</v>
      </c>
      <c r="AJ55" s="113">
        <f t="shared" si="9"/>
        <v>60.768000000000001</v>
      </c>
      <c r="AK55" s="143">
        <f t="shared" si="12"/>
        <v>45154.667999999998</v>
      </c>
      <c r="AL55" s="112">
        <f t="shared" si="12"/>
        <v>22518.375</v>
      </c>
      <c r="AM55" s="112">
        <f t="shared" si="12"/>
        <v>22636.293000000001</v>
      </c>
      <c r="AN55" s="112">
        <f t="shared" si="12"/>
        <v>900.73500000000001</v>
      </c>
      <c r="AO55" s="230">
        <f t="shared" si="4"/>
        <v>0.49869428781981079</v>
      </c>
      <c r="AP55" s="193">
        <f t="shared" si="11"/>
        <v>7095.1729999999998</v>
      </c>
      <c r="AQ55" s="194">
        <f t="shared" si="6"/>
        <v>-7095.1729999999998</v>
      </c>
      <c r="AR55" s="118"/>
      <c r="AS55" s="119"/>
      <c r="AT55" s="119"/>
      <c r="AU55" s="120"/>
      <c r="AV55" s="195"/>
      <c r="AW55" s="112">
        <v>45154668</v>
      </c>
      <c r="AX55" s="162">
        <v>22518375</v>
      </c>
      <c r="AY55" s="162">
        <v>22636293</v>
      </c>
      <c r="AZ55" s="162">
        <v>900735</v>
      </c>
      <c r="BA55" s="231">
        <f t="shared" si="10"/>
        <v>0.49869428781981079</v>
      </c>
      <c r="BB55" s="210">
        <v>1585</v>
      </c>
      <c r="BC55" s="115"/>
      <c r="BD55" s="236">
        <v>0</v>
      </c>
    </row>
    <row r="56" spans="1:56" s="121" customFormat="1" ht="16.5" customHeight="1">
      <c r="A56" s="104" t="s">
        <v>2429</v>
      </c>
      <c r="B56" s="105" t="s">
        <v>429</v>
      </c>
      <c r="C56" s="106" t="s">
        <v>406</v>
      </c>
      <c r="D56" s="106" t="s">
        <v>2415</v>
      </c>
      <c r="E56" s="71" t="s">
        <v>407</v>
      </c>
      <c r="F56" s="71" t="s">
        <v>78</v>
      </c>
      <c r="G56" s="109" t="s">
        <v>180</v>
      </c>
      <c r="H56" s="133">
        <v>0</v>
      </c>
      <c r="I56" s="134">
        <v>0</v>
      </c>
      <c r="J56" s="110">
        <v>0</v>
      </c>
      <c r="K56" s="113">
        <f t="shared" si="0"/>
        <v>0</v>
      </c>
      <c r="L56" s="110">
        <v>136.732</v>
      </c>
      <c r="M56" s="135">
        <v>23.568000000000001</v>
      </c>
      <c r="N56" s="115">
        <v>0</v>
      </c>
      <c r="O56" s="111">
        <v>66</v>
      </c>
      <c r="P56" s="136">
        <v>2.4E-2</v>
      </c>
      <c r="Q56" s="111">
        <v>8397</v>
      </c>
      <c r="R56" s="134"/>
      <c r="S56" s="111">
        <f t="shared" si="7"/>
        <v>202</v>
      </c>
      <c r="T56" s="115">
        <v>0</v>
      </c>
      <c r="U56" s="144">
        <v>28.366</v>
      </c>
      <c r="V56" s="135">
        <v>100.22199999999999</v>
      </c>
      <c r="W56" s="113">
        <f t="shared" si="1"/>
        <v>556.88800000000003</v>
      </c>
      <c r="X56" s="133"/>
      <c r="Y56" s="135">
        <v>0</v>
      </c>
      <c r="Z56" s="116">
        <v>1E-3</v>
      </c>
      <c r="AA56" s="135">
        <v>100.22199999999999</v>
      </c>
      <c r="AB56" s="113">
        <f t="shared" si="8"/>
        <v>100.223</v>
      </c>
      <c r="AC56" s="110">
        <v>0</v>
      </c>
      <c r="AD56" s="111">
        <v>0</v>
      </c>
      <c r="AE56" s="112">
        <v>0</v>
      </c>
      <c r="AF56" s="117">
        <v>0</v>
      </c>
      <c r="AG56" s="111">
        <v>20.478000000000002</v>
      </c>
      <c r="AH56" s="112">
        <v>35.006</v>
      </c>
      <c r="AI56" s="112">
        <v>16.771000000000001</v>
      </c>
      <c r="AJ56" s="113">
        <f t="shared" si="9"/>
        <v>72.254999999999995</v>
      </c>
      <c r="AK56" s="143">
        <f t="shared" si="12"/>
        <v>38747</v>
      </c>
      <c r="AL56" s="112">
        <f t="shared" si="12"/>
        <v>20981.674999999999</v>
      </c>
      <c r="AM56" s="112">
        <f t="shared" si="12"/>
        <v>17765.325000000001</v>
      </c>
      <c r="AN56" s="112">
        <f t="shared" si="12"/>
        <v>852.43399999999997</v>
      </c>
      <c r="AO56" s="230">
        <f t="shared" si="4"/>
        <v>0.54150450357447033</v>
      </c>
      <c r="AP56" s="193">
        <f t="shared" si="11"/>
        <v>1409.3220000000001</v>
      </c>
      <c r="AQ56" s="194">
        <f t="shared" si="6"/>
        <v>-1409.3220000000001</v>
      </c>
      <c r="AR56" s="118"/>
      <c r="AS56" s="119"/>
      <c r="AT56" s="119"/>
      <c r="AU56" s="120"/>
      <c r="AV56" s="195"/>
      <c r="AW56" s="112">
        <v>38747000</v>
      </c>
      <c r="AX56" s="162">
        <v>20981675</v>
      </c>
      <c r="AY56" s="162">
        <v>17765325</v>
      </c>
      <c r="AZ56" s="162">
        <v>852434</v>
      </c>
      <c r="BA56" s="231">
        <f t="shared" si="10"/>
        <v>0.54150450357447033</v>
      </c>
      <c r="BB56" s="210">
        <v>2118</v>
      </c>
      <c r="BC56" s="115"/>
      <c r="BD56" s="236">
        <v>0</v>
      </c>
    </row>
    <row r="57" spans="1:56" s="121" customFormat="1" ht="16.5" customHeight="1">
      <c r="A57" s="104" t="s">
        <v>2429</v>
      </c>
      <c r="B57" s="105" t="s">
        <v>438</v>
      </c>
      <c r="C57" s="106" t="s">
        <v>411</v>
      </c>
      <c r="D57" s="106" t="s">
        <v>2415</v>
      </c>
      <c r="E57" s="71" t="s">
        <v>412</v>
      </c>
      <c r="F57" s="71" t="s">
        <v>78</v>
      </c>
      <c r="G57" s="109" t="s">
        <v>180</v>
      </c>
      <c r="H57" s="133">
        <v>0</v>
      </c>
      <c r="I57" s="134">
        <v>0</v>
      </c>
      <c r="J57" s="110">
        <v>0</v>
      </c>
      <c r="K57" s="113">
        <f t="shared" si="0"/>
        <v>0</v>
      </c>
      <c r="L57" s="110">
        <v>330.923</v>
      </c>
      <c r="M57" s="135">
        <v>23.568000000000001</v>
      </c>
      <c r="N57" s="115">
        <v>0</v>
      </c>
      <c r="O57" s="111">
        <v>66</v>
      </c>
      <c r="P57" s="136">
        <v>2.4E-2</v>
      </c>
      <c r="Q57" s="111">
        <v>8397</v>
      </c>
      <c r="R57" s="134"/>
      <c r="S57" s="111">
        <f t="shared" si="7"/>
        <v>202</v>
      </c>
      <c r="T57" s="115">
        <v>0</v>
      </c>
      <c r="U57" s="144">
        <v>33.865000000000002</v>
      </c>
      <c r="V57" s="135">
        <v>100.22199999999999</v>
      </c>
      <c r="W57" s="113">
        <f t="shared" si="1"/>
        <v>756.57799999999997</v>
      </c>
      <c r="X57" s="133"/>
      <c r="Y57" s="135">
        <v>0</v>
      </c>
      <c r="Z57" s="116">
        <v>2E-3</v>
      </c>
      <c r="AA57" s="135">
        <v>100.22199999999999</v>
      </c>
      <c r="AB57" s="113">
        <f t="shared" si="8"/>
        <v>100.22399999999999</v>
      </c>
      <c r="AC57" s="110">
        <v>0</v>
      </c>
      <c r="AD57" s="111">
        <v>16</v>
      </c>
      <c r="AE57" s="112">
        <v>0</v>
      </c>
      <c r="AF57" s="117">
        <v>0</v>
      </c>
      <c r="AG57" s="111">
        <v>0</v>
      </c>
      <c r="AH57" s="112">
        <v>0</v>
      </c>
      <c r="AI57" s="112">
        <v>7.0220000000000002</v>
      </c>
      <c r="AJ57" s="113">
        <f t="shared" si="9"/>
        <v>23.021999999999998</v>
      </c>
      <c r="AK57" s="143">
        <f t="shared" si="12"/>
        <v>48869.25</v>
      </c>
      <c r="AL57" s="112">
        <f t="shared" si="12"/>
        <v>39542.578999999998</v>
      </c>
      <c r="AM57" s="112">
        <f t="shared" si="12"/>
        <v>9326.6710000000003</v>
      </c>
      <c r="AN57" s="112">
        <f t="shared" si="12"/>
        <v>412.346</v>
      </c>
      <c r="AO57" s="230">
        <f t="shared" si="4"/>
        <v>0.8091505189868885</v>
      </c>
      <c r="AP57" s="193">
        <f t="shared" si="11"/>
        <v>1168.924</v>
      </c>
      <c r="AQ57" s="194">
        <f t="shared" si="6"/>
        <v>-1168.924</v>
      </c>
      <c r="AR57" s="118"/>
      <c r="AS57" s="119"/>
      <c r="AT57" s="119"/>
      <c r="AU57" s="120"/>
      <c r="AV57" s="195"/>
      <c r="AW57" s="112">
        <v>48869250</v>
      </c>
      <c r="AX57" s="162">
        <v>39542579</v>
      </c>
      <c r="AY57" s="162">
        <v>9326671</v>
      </c>
      <c r="AZ57" s="162">
        <v>412346</v>
      </c>
      <c r="BA57" s="231">
        <f t="shared" si="10"/>
        <v>0.8091505189868885</v>
      </c>
      <c r="BB57" s="210">
        <v>2565</v>
      </c>
      <c r="BC57" s="115"/>
      <c r="BD57" s="236">
        <v>0</v>
      </c>
    </row>
    <row r="58" spans="1:56" s="121" customFormat="1" ht="16.5" customHeight="1">
      <c r="A58" s="104" t="s">
        <v>2429</v>
      </c>
      <c r="B58" s="105" t="s">
        <v>446</v>
      </c>
      <c r="C58" s="106" t="s">
        <v>417</v>
      </c>
      <c r="D58" s="106" t="s">
        <v>2415</v>
      </c>
      <c r="E58" s="71" t="s">
        <v>418</v>
      </c>
      <c r="F58" s="71" t="s">
        <v>78</v>
      </c>
      <c r="G58" s="109" t="s">
        <v>180</v>
      </c>
      <c r="H58" s="133">
        <v>0</v>
      </c>
      <c r="I58" s="134">
        <v>0</v>
      </c>
      <c r="J58" s="110">
        <v>0</v>
      </c>
      <c r="K58" s="113">
        <f t="shared" si="0"/>
        <v>0</v>
      </c>
      <c r="L58" s="110">
        <v>231.86799999999999</v>
      </c>
      <c r="M58" s="135">
        <v>23.568000000000001</v>
      </c>
      <c r="N58" s="115">
        <v>0</v>
      </c>
      <c r="O58" s="111">
        <v>0</v>
      </c>
      <c r="P58" s="136">
        <v>2.4E-2</v>
      </c>
      <c r="Q58" s="111">
        <v>8397</v>
      </c>
      <c r="R58" s="134"/>
      <c r="S58" s="111">
        <f t="shared" si="7"/>
        <v>202</v>
      </c>
      <c r="T58" s="115">
        <v>0</v>
      </c>
      <c r="U58" s="144">
        <v>33.865000000000002</v>
      </c>
      <c r="V58" s="135">
        <v>100.22199999999999</v>
      </c>
      <c r="W58" s="113">
        <f t="shared" si="1"/>
        <v>591.52300000000002</v>
      </c>
      <c r="X58" s="133"/>
      <c r="Y58" s="135">
        <v>0</v>
      </c>
      <c r="Z58" s="116">
        <v>17</v>
      </c>
      <c r="AA58" s="135">
        <v>100.22199999999999</v>
      </c>
      <c r="AB58" s="113">
        <f t="shared" si="8"/>
        <v>117.22199999999999</v>
      </c>
      <c r="AC58" s="110">
        <v>0</v>
      </c>
      <c r="AD58" s="111">
        <v>60</v>
      </c>
      <c r="AE58" s="112">
        <v>0</v>
      </c>
      <c r="AF58" s="117">
        <v>0</v>
      </c>
      <c r="AG58" s="111">
        <v>0</v>
      </c>
      <c r="AH58" s="112">
        <v>0</v>
      </c>
      <c r="AI58" s="112">
        <v>57.162999999999997</v>
      </c>
      <c r="AJ58" s="113">
        <f t="shared" si="9"/>
        <v>117.163</v>
      </c>
      <c r="AK58" s="143">
        <f t="shared" si="12"/>
        <v>41307</v>
      </c>
      <c r="AL58" s="112">
        <f t="shared" si="12"/>
        <v>13631.31</v>
      </c>
      <c r="AM58" s="112">
        <f t="shared" si="12"/>
        <v>27675.69</v>
      </c>
      <c r="AN58" s="112">
        <f t="shared" si="12"/>
        <v>908.75400000000002</v>
      </c>
      <c r="AO58" s="230">
        <f t="shared" si="4"/>
        <v>0.33</v>
      </c>
      <c r="AP58" s="193">
        <f t="shared" si="11"/>
        <v>1500.277</v>
      </c>
      <c r="AQ58" s="194">
        <f t="shared" si="6"/>
        <v>-1500.277</v>
      </c>
      <c r="AR58" s="118"/>
      <c r="AS58" s="119"/>
      <c r="AT58" s="119"/>
      <c r="AU58" s="120"/>
      <c r="AV58" s="195"/>
      <c r="AW58" s="112">
        <v>41307000</v>
      </c>
      <c r="AX58" s="162">
        <v>13631310</v>
      </c>
      <c r="AY58" s="162">
        <v>27675690</v>
      </c>
      <c r="AZ58" s="162">
        <v>908754</v>
      </c>
      <c r="BA58" s="231">
        <f t="shared" si="10"/>
        <v>0.33</v>
      </c>
      <c r="BB58" s="210">
        <v>5135</v>
      </c>
      <c r="BC58" s="115">
        <v>8</v>
      </c>
      <c r="BD58" s="236"/>
    </row>
    <row r="59" spans="1:56" s="121" customFormat="1" ht="16.5" customHeight="1">
      <c r="A59" s="104" t="s">
        <v>2429</v>
      </c>
      <c r="B59" s="105" t="s">
        <v>452</v>
      </c>
      <c r="C59" s="106" t="s">
        <v>424</v>
      </c>
      <c r="D59" s="106" t="s">
        <v>2415</v>
      </c>
      <c r="E59" s="71" t="s">
        <v>425</v>
      </c>
      <c r="F59" s="71" t="s">
        <v>78</v>
      </c>
      <c r="G59" s="109" t="s">
        <v>180</v>
      </c>
      <c r="H59" s="133">
        <v>0</v>
      </c>
      <c r="I59" s="134">
        <v>0</v>
      </c>
      <c r="J59" s="110">
        <v>41.4</v>
      </c>
      <c r="K59" s="113">
        <f t="shared" si="0"/>
        <v>41.4</v>
      </c>
      <c r="L59" s="110">
        <v>204.453</v>
      </c>
      <c r="M59" s="135">
        <v>23.568000000000001</v>
      </c>
      <c r="N59" s="115">
        <v>0</v>
      </c>
      <c r="O59" s="111">
        <v>0</v>
      </c>
      <c r="P59" s="136">
        <v>2.4E-2</v>
      </c>
      <c r="Q59" s="111">
        <v>8397</v>
      </c>
      <c r="R59" s="134"/>
      <c r="S59" s="111">
        <f t="shared" si="7"/>
        <v>202</v>
      </c>
      <c r="T59" s="115">
        <v>0</v>
      </c>
      <c r="U59" s="144">
        <v>28.364999999999998</v>
      </c>
      <c r="V59" s="135">
        <v>100.22199999999999</v>
      </c>
      <c r="W59" s="113">
        <f t="shared" si="1"/>
        <v>558.60800000000006</v>
      </c>
      <c r="X59" s="133"/>
      <c r="Y59" s="135">
        <v>0</v>
      </c>
      <c r="Z59" s="116">
        <v>64</v>
      </c>
      <c r="AA59" s="135">
        <v>100.22199999999999</v>
      </c>
      <c r="AB59" s="113">
        <f t="shared" si="8"/>
        <v>164.22199999999998</v>
      </c>
      <c r="AC59" s="110">
        <v>0</v>
      </c>
      <c r="AD59" s="111">
        <v>0</v>
      </c>
      <c r="AE59" s="112">
        <v>0</v>
      </c>
      <c r="AF59" s="117">
        <v>0</v>
      </c>
      <c r="AG59" s="111">
        <v>150</v>
      </c>
      <c r="AH59" s="112">
        <v>0</v>
      </c>
      <c r="AI59" s="112">
        <v>20</v>
      </c>
      <c r="AJ59" s="113">
        <f t="shared" si="9"/>
        <v>170</v>
      </c>
      <c r="AK59" s="143">
        <f t="shared" si="12"/>
        <v>52504</v>
      </c>
      <c r="AL59" s="112">
        <f t="shared" si="12"/>
        <v>33940.093000000001</v>
      </c>
      <c r="AM59" s="112">
        <f t="shared" si="12"/>
        <v>18563.906999999999</v>
      </c>
      <c r="AN59" s="112">
        <f t="shared" si="12"/>
        <v>1155.088</v>
      </c>
      <c r="AO59" s="230">
        <f t="shared" si="4"/>
        <v>0.64642871019350912</v>
      </c>
      <c r="AP59" s="193">
        <f t="shared" si="11"/>
        <v>1713.6959999999999</v>
      </c>
      <c r="AQ59" s="194">
        <f t="shared" si="6"/>
        <v>-1672.2959999999998</v>
      </c>
      <c r="AR59" s="118"/>
      <c r="AS59" s="119"/>
      <c r="AT59" s="119"/>
      <c r="AU59" s="120"/>
      <c r="AV59" s="195"/>
      <c r="AW59" s="112">
        <v>52504000</v>
      </c>
      <c r="AX59" s="162">
        <v>33940093</v>
      </c>
      <c r="AY59" s="162">
        <v>18563907</v>
      </c>
      <c r="AZ59" s="162">
        <v>1155088</v>
      </c>
      <c r="BA59" s="231">
        <f t="shared" si="10"/>
        <v>0.64642871019350912</v>
      </c>
      <c r="BB59" s="210">
        <v>3455</v>
      </c>
      <c r="BC59" s="115"/>
      <c r="BD59" s="236">
        <v>0.2</v>
      </c>
    </row>
    <row r="60" spans="1:56" s="121" customFormat="1" ht="16.5" customHeight="1">
      <c r="A60" s="104" t="s">
        <v>2429</v>
      </c>
      <c r="B60" s="105" t="s">
        <v>453</v>
      </c>
      <c r="C60" s="106" t="s">
        <v>430</v>
      </c>
      <c r="D60" s="106" t="s">
        <v>2415</v>
      </c>
      <c r="E60" s="71" t="s">
        <v>431</v>
      </c>
      <c r="F60" s="71" t="s">
        <v>78</v>
      </c>
      <c r="G60" s="109" t="s">
        <v>180</v>
      </c>
      <c r="H60" s="133">
        <v>0</v>
      </c>
      <c r="I60" s="134">
        <v>0</v>
      </c>
      <c r="J60" s="110">
        <v>84.3</v>
      </c>
      <c r="K60" s="113">
        <f t="shared" si="0"/>
        <v>84.3</v>
      </c>
      <c r="L60" s="110">
        <v>113.568</v>
      </c>
      <c r="M60" s="135">
        <v>42.372</v>
      </c>
      <c r="N60" s="115">
        <v>0</v>
      </c>
      <c r="O60" s="111">
        <v>14.3</v>
      </c>
      <c r="P60" s="136">
        <v>2.4E-2</v>
      </c>
      <c r="Q60" s="111">
        <v>8397</v>
      </c>
      <c r="R60" s="134"/>
      <c r="S60" s="111">
        <f t="shared" si="7"/>
        <v>202</v>
      </c>
      <c r="T60" s="115">
        <v>0</v>
      </c>
      <c r="U60" s="144">
        <v>44.865000000000002</v>
      </c>
      <c r="V60" s="135">
        <v>100.22199999999999</v>
      </c>
      <c r="W60" s="113">
        <f t="shared" si="1"/>
        <v>517.327</v>
      </c>
      <c r="X60" s="133"/>
      <c r="Y60" s="135">
        <v>0</v>
      </c>
      <c r="Z60" s="116">
        <v>157.5</v>
      </c>
      <c r="AA60" s="135">
        <v>100.22199999999999</v>
      </c>
      <c r="AB60" s="113">
        <f t="shared" si="8"/>
        <v>257.72199999999998</v>
      </c>
      <c r="AC60" s="110">
        <v>0</v>
      </c>
      <c r="AD60" s="111">
        <v>0</v>
      </c>
      <c r="AE60" s="112">
        <v>0</v>
      </c>
      <c r="AF60" s="117">
        <v>0</v>
      </c>
      <c r="AG60" s="111">
        <v>150</v>
      </c>
      <c r="AH60" s="112">
        <v>0</v>
      </c>
      <c r="AI60" s="112">
        <v>0</v>
      </c>
      <c r="AJ60" s="113">
        <f t="shared" si="9"/>
        <v>150</v>
      </c>
      <c r="AK60" s="143">
        <f t="shared" si="12"/>
        <v>96280</v>
      </c>
      <c r="AL60" s="112">
        <f t="shared" si="12"/>
        <v>78207.747000000003</v>
      </c>
      <c r="AM60" s="112">
        <f t="shared" si="12"/>
        <v>18072.253000000001</v>
      </c>
      <c r="AN60" s="112">
        <f t="shared" si="12"/>
        <v>1644.874</v>
      </c>
      <c r="AO60" s="230">
        <f t="shared" si="4"/>
        <v>0.81229483797257995</v>
      </c>
      <c r="AP60" s="193">
        <f t="shared" si="11"/>
        <v>2162.201</v>
      </c>
      <c r="AQ60" s="194">
        <f t="shared" si="6"/>
        <v>-2077.9009999999998</v>
      </c>
      <c r="AR60" s="118"/>
      <c r="AS60" s="119"/>
      <c r="AT60" s="119"/>
      <c r="AU60" s="120"/>
      <c r="AV60" s="195"/>
      <c r="AW60" s="112">
        <v>96280000</v>
      </c>
      <c r="AX60" s="162">
        <v>78207747</v>
      </c>
      <c r="AY60" s="162">
        <v>18072253</v>
      </c>
      <c r="AZ60" s="162">
        <v>1644874</v>
      </c>
      <c r="BA60" s="231">
        <f t="shared" si="10"/>
        <v>0.81229483797257995</v>
      </c>
      <c r="BB60" s="210">
        <v>0</v>
      </c>
      <c r="BC60" s="115">
        <v>0</v>
      </c>
      <c r="BD60" s="236">
        <v>0.2</v>
      </c>
    </row>
    <row r="61" spans="1:56" s="121" customFormat="1" ht="16.5" customHeight="1">
      <c r="A61" s="104" t="s">
        <v>2429</v>
      </c>
      <c r="B61" s="105" t="s">
        <v>460</v>
      </c>
      <c r="C61" s="106" t="s">
        <v>439</v>
      </c>
      <c r="D61" s="106" t="s">
        <v>2415</v>
      </c>
      <c r="E61" s="71" t="s">
        <v>440</v>
      </c>
      <c r="F61" s="71" t="s">
        <v>78</v>
      </c>
      <c r="G61" s="109" t="s">
        <v>180</v>
      </c>
      <c r="H61" s="133">
        <v>0</v>
      </c>
      <c r="I61" s="134">
        <v>0</v>
      </c>
      <c r="J61" s="110">
        <v>75.3</v>
      </c>
      <c r="K61" s="113">
        <f t="shared" si="0"/>
        <v>75.3</v>
      </c>
      <c r="L61" s="110">
        <v>0</v>
      </c>
      <c r="M61" s="135">
        <v>891.13199999999995</v>
      </c>
      <c r="N61" s="115">
        <v>0</v>
      </c>
      <c r="O61" s="111">
        <v>356.4</v>
      </c>
      <c r="P61" s="136">
        <v>2.4E-2</v>
      </c>
      <c r="Q61" s="111">
        <v>8397</v>
      </c>
      <c r="R61" s="134"/>
      <c r="S61" s="111">
        <f t="shared" si="7"/>
        <v>202</v>
      </c>
      <c r="T61" s="115">
        <v>0</v>
      </c>
      <c r="U61" s="144">
        <v>31.215</v>
      </c>
      <c r="V61" s="135">
        <v>100.22199999999999</v>
      </c>
      <c r="W61" s="113">
        <f t="shared" si="1"/>
        <v>1580.9689999999998</v>
      </c>
      <c r="X61" s="133"/>
      <c r="Y61" s="135">
        <v>0</v>
      </c>
      <c r="Z61" s="116">
        <v>125</v>
      </c>
      <c r="AA61" s="135">
        <v>100.22199999999999</v>
      </c>
      <c r="AB61" s="113">
        <f t="shared" si="8"/>
        <v>225.22199999999998</v>
      </c>
      <c r="AC61" s="110">
        <v>0</v>
      </c>
      <c r="AD61" s="111">
        <v>0</v>
      </c>
      <c r="AE61" s="112">
        <v>0</v>
      </c>
      <c r="AF61" s="117">
        <v>0</v>
      </c>
      <c r="AG61" s="111">
        <v>120</v>
      </c>
      <c r="AH61" s="112">
        <v>0</v>
      </c>
      <c r="AI61" s="112">
        <v>0</v>
      </c>
      <c r="AJ61" s="113">
        <f t="shared" si="9"/>
        <v>120</v>
      </c>
      <c r="AK61" s="143">
        <f t="shared" si="12"/>
        <v>158400.9</v>
      </c>
      <c r="AL61" s="112">
        <f t="shared" si="12"/>
        <v>73181.198999999993</v>
      </c>
      <c r="AM61" s="112">
        <f t="shared" si="12"/>
        <v>85219.701000000001</v>
      </c>
      <c r="AN61" s="112">
        <f t="shared" si="12"/>
        <v>3484.819</v>
      </c>
      <c r="AO61" s="230">
        <f t="shared" si="4"/>
        <v>0.46199989393999658</v>
      </c>
      <c r="AP61" s="193">
        <f t="shared" si="11"/>
        <v>5065.7879999999996</v>
      </c>
      <c r="AQ61" s="194">
        <f t="shared" si="6"/>
        <v>-4990.4879999999994</v>
      </c>
      <c r="AR61" s="118"/>
      <c r="AS61" s="119"/>
      <c r="AT61" s="119"/>
      <c r="AU61" s="120"/>
      <c r="AV61" s="195"/>
      <c r="AW61" s="112">
        <v>158400900</v>
      </c>
      <c r="AX61" s="162">
        <v>73181199</v>
      </c>
      <c r="AY61" s="162">
        <v>85219701</v>
      </c>
      <c r="AZ61" s="162">
        <v>3484819</v>
      </c>
      <c r="BA61" s="231">
        <f t="shared" si="10"/>
        <v>0.46199989393999658</v>
      </c>
      <c r="BB61" s="210">
        <v>0</v>
      </c>
      <c r="BC61" s="115">
        <v>0</v>
      </c>
      <c r="BD61" s="236">
        <v>0</v>
      </c>
    </row>
    <row r="62" spans="1:56" s="121" customFormat="1" ht="16.5" customHeight="1">
      <c r="A62" s="104" t="s">
        <v>2429</v>
      </c>
      <c r="B62" s="105" t="s">
        <v>466</v>
      </c>
      <c r="C62" s="106" t="s">
        <v>447</v>
      </c>
      <c r="D62" s="106" t="s">
        <v>2415</v>
      </c>
      <c r="E62" s="71" t="s">
        <v>252</v>
      </c>
      <c r="F62" s="71" t="s">
        <v>78</v>
      </c>
      <c r="G62" s="109" t="s">
        <v>180</v>
      </c>
      <c r="H62" s="133">
        <v>0</v>
      </c>
      <c r="I62" s="134">
        <v>0</v>
      </c>
      <c r="J62" s="110">
        <v>19.100000000000001</v>
      </c>
      <c r="K62" s="113">
        <f t="shared" si="0"/>
        <v>19.100000000000001</v>
      </c>
      <c r="L62" s="110">
        <v>611.13900000000001</v>
      </c>
      <c r="M62" s="135">
        <v>23.568000000000001</v>
      </c>
      <c r="N62" s="115">
        <v>0</v>
      </c>
      <c r="O62" s="111">
        <v>311.3</v>
      </c>
      <c r="P62" s="136">
        <v>2.4E-2</v>
      </c>
      <c r="Q62" s="111">
        <v>8397</v>
      </c>
      <c r="R62" s="134"/>
      <c r="S62" s="111">
        <f t="shared" si="7"/>
        <v>202</v>
      </c>
      <c r="T62" s="115">
        <v>0</v>
      </c>
      <c r="U62" s="144">
        <v>28.364999999999998</v>
      </c>
      <c r="V62" s="135">
        <v>100.22199999999999</v>
      </c>
      <c r="W62" s="113">
        <f t="shared" si="1"/>
        <v>1276.5940000000001</v>
      </c>
      <c r="X62" s="133"/>
      <c r="Y62" s="135">
        <v>0</v>
      </c>
      <c r="Z62" s="135">
        <v>79</v>
      </c>
      <c r="AA62" s="135">
        <v>100.22199999999999</v>
      </c>
      <c r="AB62" s="113">
        <f t="shared" si="8"/>
        <v>179.22199999999998</v>
      </c>
      <c r="AC62" s="110">
        <v>0</v>
      </c>
      <c r="AD62" s="111">
        <v>0</v>
      </c>
      <c r="AE62" s="112">
        <v>0</v>
      </c>
      <c r="AF62" s="117">
        <v>0</v>
      </c>
      <c r="AG62" s="111">
        <v>100.22199999999999</v>
      </c>
      <c r="AH62" s="112">
        <v>0</v>
      </c>
      <c r="AI62" s="112">
        <v>25.702999999999999</v>
      </c>
      <c r="AJ62" s="113">
        <f t="shared" si="9"/>
        <v>125.925</v>
      </c>
      <c r="AK62" s="143">
        <f t="shared" si="12"/>
        <v>100815.75</v>
      </c>
      <c r="AL62" s="112">
        <f t="shared" si="12"/>
        <v>78837.907999999996</v>
      </c>
      <c r="AM62" s="112">
        <f t="shared" si="12"/>
        <v>21977.842000000001</v>
      </c>
      <c r="AN62" s="112">
        <f t="shared" si="12"/>
        <v>4637.5240000000003</v>
      </c>
      <c r="AO62" s="230">
        <f t="shared" si="4"/>
        <v>0.78199991568777694</v>
      </c>
      <c r="AP62" s="193">
        <f t="shared" si="11"/>
        <v>5914.1180000000004</v>
      </c>
      <c r="AQ62" s="194">
        <f t="shared" si="6"/>
        <v>-5895.018</v>
      </c>
      <c r="AR62" s="118"/>
      <c r="AS62" s="119"/>
      <c r="AT62" s="119"/>
      <c r="AU62" s="120"/>
      <c r="AV62" s="195"/>
      <c r="AW62" s="112">
        <v>100815750</v>
      </c>
      <c r="AX62" s="162">
        <v>78837908</v>
      </c>
      <c r="AY62" s="162">
        <v>21977842</v>
      </c>
      <c r="AZ62" s="162">
        <v>4637524</v>
      </c>
      <c r="BA62" s="231">
        <f t="shared" si="10"/>
        <v>0.78199991568777694</v>
      </c>
      <c r="BB62" s="210">
        <v>10246</v>
      </c>
      <c r="BC62" s="115">
        <v>0</v>
      </c>
      <c r="BD62" s="236">
        <v>0</v>
      </c>
    </row>
    <row r="63" spans="1:56" s="121" customFormat="1" ht="16.5" customHeight="1">
      <c r="A63" s="104" t="s">
        <v>2429</v>
      </c>
      <c r="B63" s="105" t="s">
        <v>56</v>
      </c>
      <c r="C63" s="106" t="s">
        <v>454</v>
      </c>
      <c r="D63" s="106" t="s">
        <v>2415</v>
      </c>
      <c r="E63" s="71" t="s">
        <v>455</v>
      </c>
      <c r="F63" s="71" t="s">
        <v>78</v>
      </c>
      <c r="G63" s="109" t="s">
        <v>180</v>
      </c>
      <c r="H63" s="133">
        <v>0</v>
      </c>
      <c r="I63" s="134">
        <v>0</v>
      </c>
      <c r="J63" s="110">
        <v>5.9</v>
      </c>
      <c r="K63" s="113">
        <f t="shared" si="0"/>
        <v>5.9</v>
      </c>
      <c r="L63" s="110">
        <v>236.46100000000001</v>
      </c>
      <c r="M63" s="135">
        <v>23.568000000000001</v>
      </c>
      <c r="N63" s="115">
        <v>0</v>
      </c>
      <c r="O63" s="111">
        <v>247.5</v>
      </c>
      <c r="P63" s="136">
        <v>2.4E-2</v>
      </c>
      <c r="Q63" s="111">
        <v>8397</v>
      </c>
      <c r="R63" s="134"/>
      <c r="S63" s="111">
        <f t="shared" si="7"/>
        <v>202</v>
      </c>
      <c r="T63" s="115">
        <v>0</v>
      </c>
      <c r="U63" s="144">
        <v>39.365000000000002</v>
      </c>
      <c r="V63" s="135">
        <v>100.22199999999999</v>
      </c>
      <c r="W63" s="113">
        <f t="shared" si="1"/>
        <v>849.11599999999999</v>
      </c>
      <c r="X63" s="133"/>
      <c r="Y63" s="135">
        <v>0</v>
      </c>
      <c r="Z63" s="116">
        <v>0</v>
      </c>
      <c r="AA63" s="135">
        <v>100.22199999999999</v>
      </c>
      <c r="AB63" s="113">
        <f t="shared" si="8"/>
        <v>100.22199999999999</v>
      </c>
      <c r="AC63" s="110">
        <v>0</v>
      </c>
      <c r="AD63" s="111">
        <v>60</v>
      </c>
      <c r="AE63" s="112">
        <v>0</v>
      </c>
      <c r="AF63" s="117">
        <v>0</v>
      </c>
      <c r="AG63" s="111">
        <v>0</v>
      </c>
      <c r="AH63" s="112">
        <v>0</v>
      </c>
      <c r="AI63" s="112">
        <v>37.383000000000003</v>
      </c>
      <c r="AJ63" s="113">
        <f t="shared" si="9"/>
        <v>97.38300000000001</v>
      </c>
      <c r="AK63" s="143">
        <f t="shared" si="12"/>
        <v>42144.9</v>
      </c>
      <c r="AL63" s="112">
        <f t="shared" si="12"/>
        <v>36160.292999999998</v>
      </c>
      <c r="AM63" s="112">
        <f t="shared" si="12"/>
        <v>5984.607</v>
      </c>
      <c r="AN63" s="112">
        <f t="shared" si="12"/>
        <v>927.18700000000001</v>
      </c>
      <c r="AO63" s="230">
        <f t="shared" si="4"/>
        <v>0.85799925969690283</v>
      </c>
      <c r="AP63" s="193">
        <f t="shared" si="11"/>
        <v>1776.3029999999999</v>
      </c>
      <c r="AQ63" s="194">
        <f t="shared" si="6"/>
        <v>-1770.4029999999998</v>
      </c>
      <c r="AR63" s="118"/>
      <c r="AS63" s="119"/>
      <c r="AT63" s="119"/>
      <c r="AU63" s="120"/>
      <c r="AV63" s="195"/>
      <c r="AW63" s="112">
        <v>42144900</v>
      </c>
      <c r="AX63" s="162">
        <v>36160293</v>
      </c>
      <c r="AY63" s="162">
        <v>5984607</v>
      </c>
      <c r="AZ63" s="162">
        <v>927187</v>
      </c>
      <c r="BA63" s="231">
        <f t="shared" si="10"/>
        <v>0.85799925969690283</v>
      </c>
      <c r="BB63" s="210">
        <v>1125</v>
      </c>
      <c r="BC63" s="115">
        <v>0</v>
      </c>
      <c r="BD63" s="236"/>
    </row>
    <row r="64" spans="1:56" s="121" customFormat="1" ht="16.5" customHeight="1">
      <c r="A64" s="104" t="s">
        <v>2429</v>
      </c>
      <c r="B64" s="105" t="s">
        <v>475</v>
      </c>
      <c r="C64" s="106" t="s">
        <v>461</v>
      </c>
      <c r="D64" s="106" t="s">
        <v>2415</v>
      </c>
      <c r="E64" s="71" t="s">
        <v>462</v>
      </c>
      <c r="F64" s="71" t="s">
        <v>78</v>
      </c>
      <c r="G64" s="109" t="s">
        <v>180</v>
      </c>
      <c r="H64" s="133">
        <v>0</v>
      </c>
      <c r="I64" s="134">
        <v>0</v>
      </c>
      <c r="J64" s="110">
        <v>48.5</v>
      </c>
      <c r="K64" s="113">
        <f t="shared" si="0"/>
        <v>48.5</v>
      </c>
      <c r="L64" s="110">
        <v>147.48500000000001</v>
      </c>
      <c r="M64" s="135">
        <v>23.568000000000001</v>
      </c>
      <c r="N64" s="115">
        <v>0</v>
      </c>
      <c r="O64" s="111">
        <v>0</v>
      </c>
      <c r="P64" s="136">
        <v>2.4E-2</v>
      </c>
      <c r="Q64" s="111">
        <v>8397</v>
      </c>
      <c r="R64" s="134"/>
      <c r="S64" s="111">
        <f t="shared" si="7"/>
        <v>202</v>
      </c>
      <c r="T64" s="115">
        <v>0</v>
      </c>
      <c r="U64" s="144">
        <v>28.366</v>
      </c>
      <c r="V64" s="135">
        <v>100.22199999999999</v>
      </c>
      <c r="W64" s="113">
        <f t="shared" si="1"/>
        <v>501.64099999999996</v>
      </c>
      <c r="X64" s="133"/>
      <c r="Y64" s="135">
        <v>0</v>
      </c>
      <c r="Z64" s="135">
        <v>75</v>
      </c>
      <c r="AA64" s="135">
        <v>100.22199999999999</v>
      </c>
      <c r="AB64" s="113">
        <f t="shared" si="8"/>
        <v>175.22199999999998</v>
      </c>
      <c r="AC64" s="110">
        <v>0</v>
      </c>
      <c r="AD64" s="111">
        <v>70</v>
      </c>
      <c r="AE64" s="112">
        <v>0</v>
      </c>
      <c r="AF64" s="117">
        <v>0</v>
      </c>
      <c r="AG64" s="111">
        <v>100</v>
      </c>
      <c r="AH64" s="112">
        <v>0</v>
      </c>
      <c r="AI64" s="112">
        <v>28</v>
      </c>
      <c r="AJ64" s="113">
        <f t="shared" si="9"/>
        <v>198</v>
      </c>
      <c r="AK64" s="143">
        <f t="shared" si="12"/>
        <v>55003.383000000002</v>
      </c>
      <c r="AL64" s="112">
        <f t="shared" si="12"/>
        <v>33863.606</v>
      </c>
      <c r="AM64" s="112">
        <f t="shared" si="12"/>
        <v>21139.776999999998</v>
      </c>
      <c r="AN64" s="112">
        <f t="shared" si="12"/>
        <v>1459.171</v>
      </c>
      <c r="AO64" s="230">
        <f t="shared" si="4"/>
        <v>0.61566405833619364</v>
      </c>
      <c r="AP64" s="193">
        <f t="shared" si="11"/>
        <v>1960.8119999999999</v>
      </c>
      <c r="AQ64" s="194">
        <f t="shared" si="6"/>
        <v>-1912.3119999999999</v>
      </c>
      <c r="AR64" s="118"/>
      <c r="AS64" s="119"/>
      <c r="AT64" s="119"/>
      <c r="AU64" s="120"/>
      <c r="AV64" s="195"/>
      <c r="AW64" s="112">
        <v>55003383</v>
      </c>
      <c r="AX64" s="162">
        <v>33863606</v>
      </c>
      <c r="AY64" s="162">
        <v>21139777</v>
      </c>
      <c r="AZ64" s="162">
        <v>1459171</v>
      </c>
      <c r="BA64" s="231">
        <f t="shared" si="10"/>
        <v>0.61566405833619364</v>
      </c>
      <c r="BB64" s="210">
        <v>1605</v>
      </c>
      <c r="BC64" s="115">
        <v>1</v>
      </c>
      <c r="BD64" s="236"/>
    </row>
    <row r="65" spans="1:56" s="121" customFormat="1" ht="16.5" customHeight="1">
      <c r="A65" s="104" t="s">
        <v>2429</v>
      </c>
      <c r="B65" s="105" t="s">
        <v>481</v>
      </c>
      <c r="C65" s="106" t="s">
        <v>467</v>
      </c>
      <c r="D65" s="106" t="s">
        <v>2415</v>
      </c>
      <c r="E65" s="71" t="s">
        <v>468</v>
      </c>
      <c r="F65" s="71" t="s">
        <v>78</v>
      </c>
      <c r="G65" s="109" t="s">
        <v>180</v>
      </c>
      <c r="H65" s="133">
        <v>0</v>
      </c>
      <c r="I65" s="134">
        <v>0</v>
      </c>
      <c r="J65" s="110">
        <v>0</v>
      </c>
      <c r="K65" s="113">
        <f t="shared" si="0"/>
        <v>0</v>
      </c>
      <c r="L65" s="110">
        <v>162.29900000000001</v>
      </c>
      <c r="M65" s="135">
        <v>23.568000000000001</v>
      </c>
      <c r="N65" s="115">
        <v>0</v>
      </c>
      <c r="O65" s="111">
        <v>201.3</v>
      </c>
      <c r="P65" s="136">
        <v>2.4E-2</v>
      </c>
      <c r="Q65" s="111">
        <v>8397</v>
      </c>
      <c r="R65" s="134"/>
      <c r="S65" s="111">
        <f t="shared" si="7"/>
        <v>202</v>
      </c>
      <c r="T65" s="115">
        <v>8877</v>
      </c>
      <c r="U65" s="144">
        <v>28.366</v>
      </c>
      <c r="V65" s="135">
        <v>100.22199999999999</v>
      </c>
      <c r="W65" s="113">
        <f t="shared" si="1"/>
        <v>9594.7549999999992</v>
      </c>
      <c r="X65" s="133"/>
      <c r="Y65" s="135">
        <v>0</v>
      </c>
      <c r="Z65" s="116">
        <v>0</v>
      </c>
      <c r="AA65" s="135">
        <v>100.22199999999999</v>
      </c>
      <c r="AB65" s="113">
        <f t="shared" si="8"/>
        <v>100.22199999999999</v>
      </c>
      <c r="AC65" s="110">
        <v>0</v>
      </c>
      <c r="AD65" s="111">
        <v>0</v>
      </c>
      <c r="AE65" s="112">
        <v>0</v>
      </c>
      <c r="AF65" s="117">
        <v>0</v>
      </c>
      <c r="AG65" s="111">
        <v>0</v>
      </c>
      <c r="AH65" s="112">
        <v>0</v>
      </c>
      <c r="AI65" s="112">
        <v>0</v>
      </c>
      <c r="AJ65" s="113">
        <f t="shared" si="9"/>
        <v>0</v>
      </c>
      <c r="AK65" s="143">
        <f t="shared" si="12"/>
        <v>48356.453000000001</v>
      </c>
      <c r="AL65" s="112">
        <f t="shared" si="12"/>
        <v>27475.992999999999</v>
      </c>
      <c r="AM65" s="112">
        <f t="shared" si="12"/>
        <v>20880.46</v>
      </c>
      <c r="AN65" s="112">
        <f t="shared" si="12"/>
        <v>974.56299999999999</v>
      </c>
      <c r="AO65" s="230">
        <f t="shared" si="4"/>
        <v>0.56819703049766701</v>
      </c>
      <c r="AP65" s="193">
        <f t="shared" si="11"/>
        <v>10569.317999999999</v>
      </c>
      <c r="AQ65" s="194">
        <f t="shared" si="6"/>
        <v>-10569.317999999999</v>
      </c>
      <c r="AR65" s="118"/>
      <c r="AS65" s="119"/>
      <c r="AT65" s="119"/>
      <c r="AU65" s="120"/>
      <c r="AV65" s="195"/>
      <c r="AW65" s="112">
        <v>48356453</v>
      </c>
      <c r="AX65" s="162">
        <v>27475993</v>
      </c>
      <c r="AY65" s="162">
        <v>20880460</v>
      </c>
      <c r="AZ65" s="162">
        <v>974563</v>
      </c>
      <c r="BA65" s="231">
        <f t="shared" si="10"/>
        <v>0.56819703049766701</v>
      </c>
      <c r="BB65" s="210">
        <v>2591</v>
      </c>
      <c r="BC65" s="115">
        <v>3</v>
      </c>
      <c r="BD65" s="236"/>
    </row>
    <row r="66" spans="1:56" s="121" customFormat="1" ht="16.5" customHeight="1">
      <c r="A66" s="104" t="s">
        <v>2429</v>
      </c>
      <c r="B66" s="105" t="s">
        <v>486</v>
      </c>
      <c r="C66" s="106" t="s">
        <v>471</v>
      </c>
      <c r="D66" s="106" t="s">
        <v>2415</v>
      </c>
      <c r="E66" s="71" t="s">
        <v>472</v>
      </c>
      <c r="F66" s="71" t="s">
        <v>78</v>
      </c>
      <c r="G66" s="109" t="s">
        <v>180</v>
      </c>
      <c r="H66" s="133">
        <v>0</v>
      </c>
      <c r="I66" s="134">
        <v>0</v>
      </c>
      <c r="J66" s="110">
        <v>0</v>
      </c>
      <c r="K66" s="113">
        <f t="shared" si="0"/>
        <v>0</v>
      </c>
      <c r="L66" s="110">
        <v>683.63800000000003</v>
      </c>
      <c r="M66" s="135">
        <v>133.584</v>
      </c>
      <c r="N66" s="115">
        <v>0</v>
      </c>
      <c r="O66" s="111">
        <v>47.3</v>
      </c>
      <c r="P66" s="136">
        <v>2.4E-2</v>
      </c>
      <c r="Q66" s="111">
        <v>8397</v>
      </c>
      <c r="R66" s="134"/>
      <c r="S66" s="111">
        <f t="shared" si="7"/>
        <v>202</v>
      </c>
      <c r="T66" s="115">
        <v>0</v>
      </c>
      <c r="U66" s="144">
        <v>57.865000000000002</v>
      </c>
      <c r="V66" s="135">
        <v>200.44399999999999</v>
      </c>
      <c r="W66" s="113">
        <f t="shared" si="1"/>
        <v>1324.8309999999999</v>
      </c>
      <c r="X66" s="133"/>
      <c r="Y66" s="135">
        <v>0</v>
      </c>
      <c r="Z66" s="135">
        <v>381.3</v>
      </c>
      <c r="AA66" s="135">
        <v>200.44399999999999</v>
      </c>
      <c r="AB66" s="113">
        <f t="shared" si="8"/>
        <v>581.74400000000003</v>
      </c>
      <c r="AC66" s="110">
        <v>0</v>
      </c>
      <c r="AD66" s="111">
        <v>34.32</v>
      </c>
      <c r="AE66" s="112">
        <v>0</v>
      </c>
      <c r="AF66" s="117">
        <v>0</v>
      </c>
      <c r="AG66" s="111">
        <v>350</v>
      </c>
      <c r="AH66" s="112">
        <v>0</v>
      </c>
      <c r="AI66" s="112">
        <v>209.42099999999999</v>
      </c>
      <c r="AJ66" s="113">
        <f t="shared" si="9"/>
        <v>593.74099999999999</v>
      </c>
      <c r="AK66" s="143">
        <f t="shared" si="12"/>
        <v>218508.77600000001</v>
      </c>
      <c r="AL66" s="112">
        <f t="shared" si="12"/>
        <v>193767.31700000001</v>
      </c>
      <c r="AM66" s="112">
        <f t="shared" si="12"/>
        <v>24741.458999999999</v>
      </c>
      <c r="AN66" s="112">
        <f t="shared" si="12"/>
        <v>718.09400000000005</v>
      </c>
      <c r="AO66" s="230">
        <f t="shared" si="4"/>
        <v>0.88677132583452845</v>
      </c>
      <c r="AP66" s="193">
        <f t="shared" si="11"/>
        <v>2042.925</v>
      </c>
      <c r="AQ66" s="194">
        <f t="shared" si="6"/>
        <v>-2042.925</v>
      </c>
      <c r="AR66" s="118"/>
      <c r="AS66" s="119"/>
      <c r="AT66" s="119"/>
      <c r="AU66" s="120"/>
      <c r="AV66" s="195"/>
      <c r="AW66" s="112">
        <v>218508776</v>
      </c>
      <c r="AX66" s="162">
        <v>193767317</v>
      </c>
      <c r="AY66" s="162">
        <v>24741459</v>
      </c>
      <c r="AZ66" s="162">
        <v>718094</v>
      </c>
      <c r="BA66" s="231">
        <f t="shared" si="10"/>
        <v>0.88677132583452845</v>
      </c>
      <c r="BB66" s="210">
        <v>13991</v>
      </c>
      <c r="BC66" s="115">
        <v>2</v>
      </c>
      <c r="BD66" s="236"/>
    </row>
    <row r="67" spans="1:56" s="121" customFormat="1" ht="16.5" customHeight="1">
      <c r="A67" s="104" t="s">
        <v>2429</v>
      </c>
      <c r="B67" s="105" t="s">
        <v>492</v>
      </c>
      <c r="C67" s="106" t="s">
        <v>476</v>
      </c>
      <c r="D67" s="106" t="s">
        <v>2415</v>
      </c>
      <c r="E67" s="71" t="s">
        <v>477</v>
      </c>
      <c r="F67" s="71" t="s">
        <v>78</v>
      </c>
      <c r="G67" s="109" t="s">
        <v>180</v>
      </c>
      <c r="H67" s="133">
        <v>0</v>
      </c>
      <c r="I67" s="134">
        <v>0</v>
      </c>
      <c r="J67" s="110">
        <v>15.079000000000001</v>
      </c>
      <c r="K67" s="113">
        <f t="shared" si="0"/>
        <v>15.079000000000001</v>
      </c>
      <c r="L67" s="110">
        <v>337.77100000000002</v>
      </c>
      <c r="M67" s="135">
        <v>23.568000000000001</v>
      </c>
      <c r="N67" s="115">
        <v>0</v>
      </c>
      <c r="O67" s="111">
        <v>0</v>
      </c>
      <c r="P67" s="136">
        <v>2.4E-2</v>
      </c>
      <c r="Q67" s="111">
        <v>8397</v>
      </c>
      <c r="R67" s="134"/>
      <c r="S67" s="111">
        <f t="shared" si="7"/>
        <v>202</v>
      </c>
      <c r="T67" s="115">
        <v>0</v>
      </c>
      <c r="U67" s="144">
        <v>41.365000000000002</v>
      </c>
      <c r="V67" s="135">
        <v>100.22199999999999</v>
      </c>
      <c r="W67" s="113">
        <f t="shared" si="1"/>
        <v>704.92599999999993</v>
      </c>
      <c r="X67" s="133"/>
      <c r="Y67" s="135">
        <v>0</v>
      </c>
      <c r="Z67" s="135">
        <v>37.700000000000003</v>
      </c>
      <c r="AA67" s="135">
        <v>100.22199999999999</v>
      </c>
      <c r="AB67" s="113">
        <f t="shared" si="8"/>
        <v>137.922</v>
      </c>
      <c r="AC67" s="110">
        <v>0</v>
      </c>
      <c r="AD67" s="111">
        <v>10</v>
      </c>
      <c r="AE67" s="112">
        <v>0</v>
      </c>
      <c r="AF67" s="117">
        <v>0</v>
      </c>
      <c r="AG67" s="111">
        <v>36</v>
      </c>
      <c r="AH67" s="112">
        <v>0</v>
      </c>
      <c r="AI67" s="112">
        <v>97.248999999999995</v>
      </c>
      <c r="AJ67" s="113">
        <f t="shared" si="9"/>
        <v>143.249</v>
      </c>
      <c r="AK67" s="143">
        <f t="shared" si="12"/>
        <v>88557.5</v>
      </c>
      <c r="AL67" s="112">
        <f t="shared" si="12"/>
        <v>80285.808999999994</v>
      </c>
      <c r="AM67" s="112">
        <f t="shared" si="12"/>
        <v>8271.6910000000007</v>
      </c>
      <c r="AN67" s="112">
        <f t="shared" si="12"/>
        <v>321.78300000000002</v>
      </c>
      <c r="AO67" s="230">
        <f t="shared" si="4"/>
        <v>0.9065952516726421</v>
      </c>
      <c r="AP67" s="193">
        <f t="shared" si="11"/>
        <v>1026.7089999999998</v>
      </c>
      <c r="AQ67" s="194">
        <f t="shared" si="6"/>
        <v>-1011.6299999999999</v>
      </c>
      <c r="AR67" s="118"/>
      <c r="AS67" s="119"/>
      <c r="AT67" s="119"/>
      <c r="AU67" s="120"/>
      <c r="AV67" s="195"/>
      <c r="AW67" s="112">
        <v>88557500</v>
      </c>
      <c r="AX67" s="162">
        <v>80285809</v>
      </c>
      <c r="AY67" s="162">
        <v>8271691</v>
      </c>
      <c r="AZ67" s="162">
        <v>321783</v>
      </c>
      <c r="BA67" s="231">
        <f t="shared" si="10"/>
        <v>0.9065952516726421</v>
      </c>
      <c r="BB67" s="210">
        <v>7568</v>
      </c>
      <c r="BC67" s="115"/>
      <c r="BD67" s="236">
        <v>6.8</v>
      </c>
    </row>
    <row r="68" spans="1:56" s="121" customFormat="1" ht="16.5" customHeight="1">
      <c r="A68" s="104" t="s">
        <v>2429</v>
      </c>
      <c r="B68" s="105" t="s">
        <v>499</v>
      </c>
      <c r="C68" s="106" t="s">
        <v>482</v>
      </c>
      <c r="D68" s="106" t="s">
        <v>2415</v>
      </c>
      <c r="E68" s="71" t="s">
        <v>483</v>
      </c>
      <c r="F68" s="71" t="s">
        <v>78</v>
      </c>
      <c r="G68" s="109" t="s">
        <v>180</v>
      </c>
      <c r="H68" s="133">
        <v>0</v>
      </c>
      <c r="I68" s="134">
        <v>0</v>
      </c>
      <c r="J68" s="110">
        <v>0</v>
      </c>
      <c r="K68" s="113">
        <f t="shared" ref="K68:K131" si="13">SUBTOTAL(9,H68:J68)</f>
        <v>0</v>
      </c>
      <c r="L68" s="110">
        <v>117.69799999999999</v>
      </c>
      <c r="M68" s="135">
        <v>23.568000000000001</v>
      </c>
      <c r="N68" s="115">
        <v>0</v>
      </c>
      <c r="O68" s="111">
        <v>0</v>
      </c>
      <c r="P68" s="136">
        <v>2.4E-2</v>
      </c>
      <c r="Q68" s="111">
        <v>8397</v>
      </c>
      <c r="R68" s="134"/>
      <c r="S68" s="111">
        <f t="shared" si="7"/>
        <v>202</v>
      </c>
      <c r="T68" s="115">
        <v>0</v>
      </c>
      <c r="U68" s="144">
        <v>33.865000000000002</v>
      </c>
      <c r="V68" s="135">
        <v>100.22199999999999</v>
      </c>
      <c r="W68" s="113">
        <f t="shared" ref="W68:W131" si="14">SUBTOTAL(9,L68:O68,S68:V68)</f>
        <v>477.35299999999995</v>
      </c>
      <c r="X68" s="133"/>
      <c r="Y68" s="135">
        <v>0</v>
      </c>
      <c r="Z68" s="135">
        <v>0</v>
      </c>
      <c r="AA68" s="135">
        <v>100.22199999999999</v>
      </c>
      <c r="AB68" s="113">
        <f t="shared" si="8"/>
        <v>100.22199999999999</v>
      </c>
      <c r="AC68" s="110">
        <v>0</v>
      </c>
      <c r="AD68" s="111">
        <v>0</v>
      </c>
      <c r="AE68" s="112">
        <v>0</v>
      </c>
      <c r="AF68" s="117">
        <v>0</v>
      </c>
      <c r="AG68" s="111">
        <v>10</v>
      </c>
      <c r="AH68" s="112">
        <v>0</v>
      </c>
      <c r="AI68" s="112">
        <v>57.72</v>
      </c>
      <c r="AJ68" s="113">
        <f t="shared" si="9"/>
        <v>67.72</v>
      </c>
      <c r="AK68" s="143">
        <f t="shared" si="12"/>
        <v>37489.5</v>
      </c>
      <c r="AL68" s="112">
        <f t="shared" si="12"/>
        <v>29328.155999999999</v>
      </c>
      <c r="AM68" s="112">
        <f t="shared" si="12"/>
        <v>8161.3440000000001</v>
      </c>
      <c r="AN68" s="112">
        <f t="shared" si="12"/>
        <v>824.76900000000001</v>
      </c>
      <c r="AO68" s="230">
        <f t="shared" ref="AO68:AO131" si="15">BA68</f>
        <v>0.78230320489737126</v>
      </c>
      <c r="AP68" s="193">
        <f t="shared" si="11"/>
        <v>1302.1219999999998</v>
      </c>
      <c r="AQ68" s="194">
        <f t="shared" ref="AQ68:AQ131" si="16">K68-AP68</f>
        <v>-1302.1219999999998</v>
      </c>
      <c r="AR68" s="118"/>
      <c r="AS68" s="119"/>
      <c r="AT68" s="119"/>
      <c r="AU68" s="120"/>
      <c r="AV68" s="195"/>
      <c r="AW68" s="112">
        <v>37489500</v>
      </c>
      <c r="AX68" s="162">
        <v>29328156</v>
      </c>
      <c r="AY68" s="162">
        <v>8161344</v>
      </c>
      <c r="AZ68" s="162">
        <v>824769</v>
      </c>
      <c r="BA68" s="231">
        <f t="shared" si="10"/>
        <v>0.78230320489737126</v>
      </c>
      <c r="BB68" s="210">
        <v>2281</v>
      </c>
      <c r="BC68" s="115">
        <v>0</v>
      </c>
      <c r="BD68" s="236">
        <v>0</v>
      </c>
    </row>
    <row r="69" spans="1:56" s="121" customFormat="1" ht="16.5" customHeight="1">
      <c r="A69" s="104" t="s">
        <v>2429</v>
      </c>
      <c r="B69" s="105" t="s">
        <v>505</v>
      </c>
      <c r="C69" s="106" t="s">
        <v>487</v>
      </c>
      <c r="D69" s="106" t="s">
        <v>2415</v>
      </c>
      <c r="E69" s="71" t="s">
        <v>488</v>
      </c>
      <c r="F69" s="71" t="s">
        <v>78</v>
      </c>
      <c r="G69" s="109" t="s">
        <v>180</v>
      </c>
      <c r="H69" s="133">
        <v>0</v>
      </c>
      <c r="I69" s="134">
        <v>0</v>
      </c>
      <c r="J69" s="110">
        <v>0</v>
      </c>
      <c r="K69" s="113">
        <f t="shared" si="13"/>
        <v>0</v>
      </c>
      <c r="L69" s="110">
        <v>391.09899999999999</v>
      </c>
      <c r="M69" s="135">
        <v>23.568000000000001</v>
      </c>
      <c r="N69" s="115">
        <v>0</v>
      </c>
      <c r="O69" s="111">
        <v>235.4</v>
      </c>
      <c r="P69" s="136">
        <v>2.4E-2</v>
      </c>
      <c r="Q69" s="111">
        <v>8397</v>
      </c>
      <c r="R69" s="134"/>
      <c r="S69" s="111">
        <f t="shared" ref="S69:S132" si="17">ROUND(P69*Q69,0)+R69</f>
        <v>202</v>
      </c>
      <c r="T69" s="115">
        <v>0</v>
      </c>
      <c r="U69" s="144">
        <v>46.82</v>
      </c>
      <c r="V69" s="135">
        <v>100.22199999999999</v>
      </c>
      <c r="W69" s="113">
        <f t="shared" si="14"/>
        <v>999.10900000000004</v>
      </c>
      <c r="X69" s="133"/>
      <c r="Y69" s="135">
        <v>0</v>
      </c>
      <c r="Z69" s="116">
        <v>270.00299999999999</v>
      </c>
      <c r="AA69" s="135">
        <v>100.22199999999999</v>
      </c>
      <c r="AB69" s="113">
        <f t="shared" ref="AB69:AB132" si="18">SUBTOTAL(9,X69:AA69)</f>
        <v>370.22499999999997</v>
      </c>
      <c r="AC69" s="110">
        <v>0</v>
      </c>
      <c r="AD69" s="111">
        <v>150</v>
      </c>
      <c r="AE69" s="112">
        <v>0</v>
      </c>
      <c r="AF69" s="117">
        <v>0</v>
      </c>
      <c r="AG69" s="111">
        <v>0</v>
      </c>
      <c r="AH69" s="112">
        <v>0</v>
      </c>
      <c r="AI69" s="112">
        <v>176.14400000000001</v>
      </c>
      <c r="AJ69" s="113">
        <f t="shared" ref="AJ69:AJ132" si="19">SUBTOTAL(9,AC69:AI69)</f>
        <v>326.14400000000001</v>
      </c>
      <c r="AK69" s="143">
        <f t="shared" si="12"/>
        <v>83334.100000000006</v>
      </c>
      <c r="AL69" s="112">
        <f t="shared" si="12"/>
        <v>78721.695000000007</v>
      </c>
      <c r="AM69" s="112">
        <f t="shared" si="12"/>
        <v>4612.4049999999997</v>
      </c>
      <c r="AN69" s="112">
        <f t="shared" si="12"/>
        <v>2272.7750000000001</v>
      </c>
      <c r="AO69" s="230">
        <f t="shared" si="15"/>
        <v>0.94465164920482736</v>
      </c>
      <c r="AP69" s="193">
        <f t="shared" si="11"/>
        <v>3271.884</v>
      </c>
      <c r="AQ69" s="194">
        <f t="shared" si="16"/>
        <v>-3271.884</v>
      </c>
      <c r="AR69" s="118"/>
      <c r="AS69" s="119"/>
      <c r="AT69" s="119"/>
      <c r="AU69" s="120"/>
      <c r="AV69" s="195"/>
      <c r="AW69" s="112">
        <v>83334100</v>
      </c>
      <c r="AX69" s="162">
        <v>78721695</v>
      </c>
      <c r="AY69" s="162">
        <v>4612405</v>
      </c>
      <c r="AZ69" s="162">
        <v>2272775</v>
      </c>
      <c r="BA69" s="231">
        <f t="shared" ref="BA69:BA132" si="20">AX69/AW69</f>
        <v>0.94465164920482736</v>
      </c>
      <c r="BB69" s="210">
        <v>6519</v>
      </c>
      <c r="BC69" s="115">
        <v>2</v>
      </c>
      <c r="BD69" s="236"/>
    </row>
    <row r="70" spans="1:56" s="121" customFormat="1" ht="16.5" customHeight="1">
      <c r="A70" s="104" t="s">
        <v>2429</v>
      </c>
      <c r="B70" s="105" t="s">
        <v>513</v>
      </c>
      <c r="C70" s="106" t="s">
        <v>493</v>
      </c>
      <c r="D70" s="106" t="s">
        <v>2415</v>
      </c>
      <c r="E70" s="71" t="s">
        <v>494</v>
      </c>
      <c r="F70" s="71" t="s">
        <v>78</v>
      </c>
      <c r="G70" s="109" t="s">
        <v>180</v>
      </c>
      <c r="H70" s="133">
        <v>0</v>
      </c>
      <c r="I70" s="134">
        <v>0</v>
      </c>
      <c r="J70" s="110">
        <v>0</v>
      </c>
      <c r="K70" s="113">
        <f t="shared" si="13"/>
        <v>0</v>
      </c>
      <c r="L70" s="110">
        <v>448.95499999999998</v>
      </c>
      <c r="M70" s="135">
        <v>23.568000000000001</v>
      </c>
      <c r="N70" s="115">
        <v>0</v>
      </c>
      <c r="O70" s="111">
        <v>96.8</v>
      </c>
      <c r="P70" s="136">
        <v>2.4E-2</v>
      </c>
      <c r="Q70" s="111">
        <v>8397</v>
      </c>
      <c r="R70" s="134"/>
      <c r="S70" s="111">
        <f t="shared" si="17"/>
        <v>202</v>
      </c>
      <c r="T70" s="115">
        <v>0</v>
      </c>
      <c r="U70" s="144">
        <v>39.75</v>
      </c>
      <c r="V70" s="135">
        <v>100.22199999999999</v>
      </c>
      <c r="W70" s="113">
        <f t="shared" si="14"/>
        <v>911.29499999999996</v>
      </c>
      <c r="X70" s="133"/>
      <c r="Y70" s="135">
        <v>0</v>
      </c>
      <c r="Z70" s="116">
        <v>190</v>
      </c>
      <c r="AA70" s="135">
        <v>100.22199999999999</v>
      </c>
      <c r="AB70" s="113">
        <f t="shared" si="18"/>
        <v>290.22199999999998</v>
      </c>
      <c r="AC70" s="110">
        <v>0</v>
      </c>
      <c r="AD70" s="111">
        <v>0</v>
      </c>
      <c r="AE70" s="112">
        <v>0</v>
      </c>
      <c r="AF70" s="117">
        <v>63.8</v>
      </c>
      <c r="AG70" s="111">
        <v>42.697000000000003</v>
      </c>
      <c r="AH70" s="112">
        <v>0</v>
      </c>
      <c r="AI70" s="112">
        <v>233.79599999999999</v>
      </c>
      <c r="AJ70" s="113">
        <f t="shared" si="19"/>
        <v>340.29300000000001</v>
      </c>
      <c r="AK70" s="143">
        <f t="shared" si="12"/>
        <v>100172.7</v>
      </c>
      <c r="AL70" s="112">
        <f t="shared" si="12"/>
        <v>79226.361999999994</v>
      </c>
      <c r="AM70" s="112">
        <f t="shared" si="12"/>
        <v>20946.338</v>
      </c>
      <c r="AN70" s="112">
        <f t="shared" si="12"/>
        <v>1862.3810000000001</v>
      </c>
      <c r="AO70" s="230">
        <f t="shared" si="15"/>
        <v>0.79089773960370435</v>
      </c>
      <c r="AP70" s="193">
        <f t="shared" si="11"/>
        <v>2773.6759999999999</v>
      </c>
      <c r="AQ70" s="194">
        <f t="shared" si="16"/>
        <v>-2773.6759999999999</v>
      </c>
      <c r="AR70" s="118"/>
      <c r="AS70" s="119"/>
      <c r="AT70" s="119"/>
      <c r="AU70" s="120"/>
      <c r="AV70" s="195"/>
      <c r="AW70" s="112">
        <v>100172700</v>
      </c>
      <c r="AX70" s="162">
        <v>79226362</v>
      </c>
      <c r="AY70" s="162">
        <v>20946338</v>
      </c>
      <c r="AZ70" s="162">
        <v>1862381</v>
      </c>
      <c r="BA70" s="231">
        <f t="shared" si="20"/>
        <v>0.79089773960370435</v>
      </c>
      <c r="BB70" s="210">
        <v>9400</v>
      </c>
      <c r="BC70" s="115">
        <v>9</v>
      </c>
      <c r="BD70" s="236"/>
    </row>
    <row r="71" spans="1:56" s="121" customFormat="1" ht="16.5" customHeight="1">
      <c r="A71" s="104" t="s">
        <v>2429</v>
      </c>
      <c r="B71" s="105" t="s">
        <v>518</v>
      </c>
      <c r="C71" s="106" t="s">
        <v>500</v>
      </c>
      <c r="D71" s="106" t="s">
        <v>2415</v>
      </c>
      <c r="E71" s="71" t="s">
        <v>501</v>
      </c>
      <c r="F71" s="71" t="s">
        <v>78</v>
      </c>
      <c r="G71" s="109" t="s">
        <v>180</v>
      </c>
      <c r="H71" s="133">
        <v>0</v>
      </c>
      <c r="I71" s="134">
        <v>0</v>
      </c>
      <c r="J71" s="110">
        <v>45.1</v>
      </c>
      <c r="K71" s="113">
        <f t="shared" si="13"/>
        <v>45.1</v>
      </c>
      <c r="L71" s="110">
        <v>182.06700000000001</v>
      </c>
      <c r="M71" s="135">
        <v>23.568000000000001</v>
      </c>
      <c r="N71" s="115">
        <v>0</v>
      </c>
      <c r="O71" s="111">
        <v>110</v>
      </c>
      <c r="P71" s="136">
        <v>2.4E-2</v>
      </c>
      <c r="Q71" s="111">
        <v>8397</v>
      </c>
      <c r="R71" s="134"/>
      <c r="S71" s="111">
        <f t="shared" si="17"/>
        <v>202</v>
      </c>
      <c r="T71" s="115">
        <v>0</v>
      </c>
      <c r="U71" s="144">
        <v>28.364999999999998</v>
      </c>
      <c r="V71" s="135">
        <v>100.22199999999999</v>
      </c>
      <c r="W71" s="113">
        <f t="shared" si="14"/>
        <v>646.22199999999998</v>
      </c>
      <c r="X71" s="133"/>
      <c r="Y71" s="135">
        <v>0</v>
      </c>
      <c r="Z71" s="116">
        <v>97.503</v>
      </c>
      <c r="AA71" s="135">
        <v>100.22199999999999</v>
      </c>
      <c r="AB71" s="113">
        <f t="shared" si="18"/>
        <v>197.72499999999999</v>
      </c>
      <c r="AC71" s="110">
        <v>0</v>
      </c>
      <c r="AD71" s="111">
        <v>60</v>
      </c>
      <c r="AE71" s="112">
        <v>0</v>
      </c>
      <c r="AF71" s="117">
        <v>1.823</v>
      </c>
      <c r="AG71" s="111">
        <v>57.18</v>
      </c>
      <c r="AH71" s="112">
        <v>0</v>
      </c>
      <c r="AI71" s="112">
        <v>41.482999999999997</v>
      </c>
      <c r="AJ71" s="113">
        <f t="shared" si="19"/>
        <v>160.48599999999999</v>
      </c>
      <c r="AK71" s="143">
        <f t="shared" si="12"/>
        <v>38725.5</v>
      </c>
      <c r="AL71" s="112">
        <f t="shared" si="12"/>
        <v>33641.398999999998</v>
      </c>
      <c r="AM71" s="112">
        <f t="shared" si="12"/>
        <v>5084.1009999999997</v>
      </c>
      <c r="AN71" s="112">
        <f t="shared" si="12"/>
        <v>185.03100000000001</v>
      </c>
      <c r="AO71" s="230">
        <f t="shared" si="15"/>
        <v>0.86871438716091465</v>
      </c>
      <c r="AP71" s="193">
        <f t="shared" si="11"/>
        <v>831.25299999999993</v>
      </c>
      <c r="AQ71" s="194">
        <f t="shared" si="16"/>
        <v>-786.15299999999991</v>
      </c>
      <c r="AR71" s="118"/>
      <c r="AS71" s="119"/>
      <c r="AT71" s="119"/>
      <c r="AU71" s="120"/>
      <c r="AV71" s="195"/>
      <c r="AW71" s="112">
        <v>38725500</v>
      </c>
      <c r="AX71" s="162">
        <v>33641399</v>
      </c>
      <c r="AY71" s="162">
        <v>5084101</v>
      </c>
      <c r="AZ71" s="162">
        <v>185031</v>
      </c>
      <c r="BA71" s="231">
        <f t="shared" si="20"/>
        <v>0.86871438716091465</v>
      </c>
      <c r="BB71" s="210">
        <v>2752</v>
      </c>
      <c r="BC71" s="115"/>
      <c r="BD71" s="236">
        <v>3.8</v>
      </c>
    </row>
    <row r="72" spans="1:56" s="121" customFormat="1" ht="16.5" customHeight="1">
      <c r="A72" s="104" t="s">
        <v>2429</v>
      </c>
      <c r="B72" s="105" t="s">
        <v>523</v>
      </c>
      <c r="C72" s="106" t="s">
        <v>506</v>
      </c>
      <c r="D72" s="106" t="s">
        <v>2415</v>
      </c>
      <c r="E72" s="71" t="s">
        <v>507</v>
      </c>
      <c r="F72" s="71" t="s">
        <v>78</v>
      </c>
      <c r="G72" s="109" t="s">
        <v>180</v>
      </c>
      <c r="H72" s="133">
        <v>0</v>
      </c>
      <c r="I72" s="134">
        <v>0</v>
      </c>
      <c r="J72" s="110">
        <v>64.599999999999994</v>
      </c>
      <c r="K72" s="113">
        <f t="shared" si="13"/>
        <v>64.599999999999994</v>
      </c>
      <c r="L72" s="110">
        <v>296.267</v>
      </c>
      <c r="M72" s="135">
        <v>23.568000000000001</v>
      </c>
      <c r="N72" s="115">
        <v>0</v>
      </c>
      <c r="O72" s="111">
        <v>0</v>
      </c>
      <c r="P72" s="136">
        <v>2.4E-2</v>
      </c>
      <c r="Q72" s="111">
        <v>8397</v>
      </c>
      <c r="R72" s="134"/>
      <c r="S72" s="111">
        <f t="shared" si="17"/>
        <v>202</v>
      </c>
      <c r="T72" s="115">
        <v>0</v>
      </c>
      <c r="U72" s="144">
        <v>30.364999999999998</v>
      </c>
      <c r="V72" s="135">
        <v>100.22199999999999</v>
      </c>
      <c r="W72" s="113">
        <f t="shared" si="14"/>
        <v>652.42200000000003</v>
      </c>
      <c r="X72" s="133"/>
      <c r="Y72" s="135">
        <v>0</v>
      </c>
      <c r="Z72" s="135">
        <v>155.5</v>
      </c>
      <c r="AA72" s="135">
        <v>100.22199999999999</v>
      </c>
      <c r="AB72" s="113">
        <f t="shared" si="18"/>
        <v>255.72199999999998</v>
      </c>
      <c r="AC72" s="110">
        <v>0</v>
      </c>
      <c r="AD72" s="111">
        <v>57.411999999999999</v>
      </c>
      <c r="AE72" s="112">
        <v>0</v>
      </c>
      <c r="AF72" s="117">
        <v>0</v>
      </c>
      <c r="AG72" s="111">
        <v>112</v>
      </c>
      <c r="AH72" s="112">
        <v>0</v>
      </c>
      <c r="AI72" s="112">
        <v>100.154</v>
      </c>
      <c r="AJ72" s="113">
        <f t="shared" si="19"/>
        <v>269.56600000000003</v>
      </c>
      <c r="AK72" s="143">
        <f t="shared" si="12"/>
        <v>83945.3</v>
      </c>
      <c r="AL72" s="112">
        <f t="shared" si="12"/>
        <v>71490.131999999998</v>
      </c>
      <c r="AM72" s="112">
        <f t="shared" si="12"/>
        <v>12455.168</v>
      </c>
      <c r="AN72" s="112">
        <f t="shared" si="12"/>
        <v>1846.796</v>
      </c>
      <c r="AO72" s="230">
        <f t="shared" si="15"/>
        <v>0.85162757176399395</v>
      </c>
      <c r="AP72" s="193">
        <f t="shared" si="11"/>
        <v>2499.2179999999998</v>
      </c>
      <c r="AQ72" s="194">
        <f t="shared" si="16"/>
        <v>-2434.6179999999999</v>
      </c>
      <c r="AR72" s="118"/>
      <c r="AS72" s="119"/>
      <c r="AT72" s="119"/>
      <c r="AU72" s="120"/>
      <c r="AV72" s="195"/>
      <c r="AW72" s="112">
        <v>83945300</v>
      </c>
      <c r="AX72" s="162">
        <v>71490132</v>
      </c>
      <c r="AY72" s="162">
        <v>12455168</v>
      </c>
      <c r="AZ72" s="162">
        <v>1846796</v>
      </c>
      <c r="BA72" s="231">
        <f t="shared" si="20"/>
        <v>0.85162757176399395</v>
      </c>
      <c r="BB72" s="210">
        <v>5040</v>
      </c>
      <c r="BC72" s="115">
        <v>13</v>
      </c>
      <c r="BD72" s="236"/>
    </row>
    <row r="73" spans="1:56" s="121" customFormat="1" ht="16.5" customHeight="1">
      <c r="A73" s="104" t="s">
        <v>2429</v>
      </c>
      <c r="B73" s="105" t="s">
        <v>526</v>
      </c>
      <c r="C73" s="106" t="s">
        <v>514</v>
      </c>
      <c r="D73" s="106" t="s">
        <v>2415</v>
      </c>
      <c r="E73" s="71" t="s">
        <v>515</v>
      </c>
      <c r="F73" s="71" t="s">
        <v>78</v>
      </c>
      <c r="G73" s="109" t="s">
        <v>180</v>
      </c>
      <c r="H73" s="133">
        <v>0</v>
      </c>
      <c r="I73" s="134">
        <v>0</v>
      </c>
      <c r="J73" s="110">
        <v>52.5</v>
      </c>
      <c r="K73" s="113">
        <f t="shared" si="13"/>
        <v>52.5</v>
      </c>
      <c r="L73" s="110">
        <v>273.43599999999998</v>
      </c>
      <c r="M73" s="135">
        <v>23.568000000000001</v>
      </c>
      <c r="N73" s="115">
        <v>0</v>
      </c>
      <c r="O73" s="111">
        <v>442.2</v>
      </c>
      <c r="P73" s="136">
        <v>2.4E-2</v>
      </c>
      <c r="Q73" s="111">
        <v>8397</v>
      </c>
      <c r="R73" s="134"/>
      <c r="S73" s="111">
        <f t="shared" si="17"/>
        <v>202</v>
      </c>
      <c r="T73" s="115">
        <v>0</v>
      </c>
      <c r="U73" s="144">
        <v>22.715</v>
      </c>
      <c r="V73" s="135">
        <v>100.22199999999999</v>
      </c>
      <c r="W73" s="113">
        <f t="shared" si="14"/>
        <v>1064.1410000000001</v>
      </c>
      <c r="X73" s="133"/>
      <c r="Y73" s="135">
        <v>0</v>
      </c>
      <c r="Z73" s="135">
        <v>81.900000000000006</v>
      </c>
      <c r="AA73" s="135">
        <v>100.22199999999999</v>
      </c>
      <c r="AB73" s="113">
        <f t="shared" si="18"/>
        <v>182.12200000000001</v>
      </c>
      <c r="AC73" s="110">
        <v>0</v>
      </c>
      <c r="AD73" s="111">
        <v>48.027999999999999</v>
      </c>
      <c r="AE73" s="112">
        <v>0</v>
      </c>
      <c r="AF73" s="117">
        <v>0</v>
      </c>
      <c r="AG73" s="111">
        <v>0</v>
      </c>
      <c r="AH73" s="112">
        <v>0</v>
      </c>
      <c r="AI73" s="112">
        <v>78.046999999999997</v>
      </c>
      <c r="AJ73" s="113">
        <f t="shared" si="19"/>
        <v>126.07499999999999</v>
      </c>
      <c r="AK73" s="143">
        <f t="shared" si="12"/>
        <v>96887</v>
      </c>
      <c r="AL73" s="112">
        <f t="shared" si="12"/>
        <v>72200.899000000005</v>
      </c>
      <c r="AM73" s="112">
        <f t="shared" si="12"/>
        <v>24686.100999999999</v>
      </c>
      <c r="AN73" s="112">
        <f t="shared" si="12"/>
        <v>2573.9340000000002</v>
      </c>
      <c r="AO73" s="230">
        <f t="shared" si="15"/>
        <v>0.74520729303208888</v>
      </c>
      <c r="AP73" s="193">
        <f t="shared" si="11"/>
        <v>3638.0750000000003</v>
      </c>
      <c r="AQ73" s="194">
        <f t="shared" si="16"/>
        <v>-3585.5750000000003</v>
      </c>
      <c r="AR73" s="118"/>
      <c r="AS73" s="119"/>
      <c r="AT73" s="119"/>
      <c r="AU73" s="120"/>
      <c r="AV73" s="195"/>
      <c r="AW73" s="112">
        <v>96887000</v>
      </c>
      <c r="AX73" s="162">
        <v>72200899</v>
      </c>
      <c r="AY73" s="162">
        <v>24686101</v>
      </c>
      <c r="AZ73" s="162">
        <v>2573934</v>
      </c>
      <c r="BA73" s="231">
        <f t="shared" si="20"/>
        <v>0.74520729303208888</v>
      </c>
      <c r="BB73" s="210">
        <v>4525</v>
      </c>
      <c r="BC73" s="115">
        <v>1</v>
      </c>
      <c r="BD73" s="236"/>
    </row>
    <row r="74" spans="1:56" s="121" customFormat="1" ht="16.5" customHeight="1">
      <c r="A74" s="104" t="s">
        <v>2429</v>
      </c>
      <c r="B74" s="105" t="s">
        <v>528</v>
      </c>
      <c r="C74" s="106" t="s">
        <v>519</v>
      </c>
      <c r="D74" s="106" t="s">
        <v>2415</v>
      </c>
      <c r="E74" s="71" t="s">
        <v>520</v>
      </c>
      <c r="F74" s="71" t="s">
        <v>78</v>
      </c>
      <c r="G74" s="109" t="s">
        <v>180</v>
      </c>
      <c r="H74" s="133">
        <v>0</v>
      </c>
      <c r="I74" s="134">
        <v>0</v>
      </c>
      <c r="J74" s="110">
        <v>131.30000000000001</v>
      </c>
      <c r="K74" s="113">
        <f t="shared" si="13"/>
        <v>131.30000000000001</v>
      </c>
      <c r="L74" s="110">
        <v>283.83</v>
      </c>
      <c r="M74" s="135">
        <v>23.568000000000001</v>
      </c>
      <c r="N74" s="115">
        <v>0</v>
      </c>
      <c r="O74" s="111">
        <v>53.9</v>
      </c>
      <c r="P74" s="136">
        <v>2.4E-2</v>
      </c>
      <c r="Q74" s="111">
        <v>8397</v>
      </c>
      <c r="R74" s="134"/>
      <c r="S74" s="111">
        <f t="shared" si="17"/>
        <v>202</v>
      </c>
      <c r="T74" s="115">
        <v>0</v>
      </c>
      <c r="U74" s="144">
        <v>28.364999999999998</v>
      </c>
      <c r="V74" s="135">
        <v>100.22199999999999</v>
      </c>
      <c r="W74" s="113">
        <f t="shared" si="14"/>
        <v>691.88499999999999</v>
      </c>
      <c r="X74" s="133"/>
      <c r="Y74" s="135">
        <v>0</v>
      </c>
      <c r="Z74" s="135">
        <v>233.5</v>
      </c>
      <c r="AA74" s="135">
        <v>100.22199999999999</v>
      </c>
      <c r="AB74" s="113">
        <f t="shared" si="18"/>
        <v>333.72199999999998</v>
      </c>
      <c r="AC74" s="110">
        <v>0</v>
      </c>
      <c r="AD74" s="111">
        <v>150</v>
      </c>
      <c r="AE74" s="112">
        <v>0</v>
      </c>
      <c r="AF74" s="117">
        <v>0</v>
      </c>
      <c r="AG74" s="111">
        <v>100.22199999999999</v>
      </c>
      <c r="AH74" s="112">
        <v>0</v>
      </c>
      <c r="AI74" s="112">
        <v>137.16200000000001</v>
      </c>
      <c r="AJ74" s="113">
        <f t="shared" si="19"/>
        <v>387.38400000000001</v>
      </c>
      <c r="AK74" s="143">
        <f t="shared" si="12"/>
        <v>51404.406000000003</v>
      </c>
      <c r="AL74" s="112">
        <f t="shared" si="12"/>
        <v>35688.190999999999</v>
      </c>
      <c r="AM74" s="112">
        <f t="shared" si="12"/>
        <v>15716.215</v>
      </c>
      <c r="AN74" s="112">
        <f t="shared" si="12"/>
        <v>1209.575</v>
      </c>
      <c r="AO74" s="230">
        <f t="shared" si="15"/>
        <v>0.69426326996172272</v>
      </c>
      <c r="AP74" s="193">
        <f t="shared" si="11"/>
        <v>1901.46</v>
      </c>
      <c r="AQ74" s="194">
        <f t="shared" si="16"/>
        <v>-1770.16</v>
      </c>
      <c r="AR74" s="118"/>
      <c r="AS74" s="119"/>
      <c r="AT74" s="119"/>
      <c r="AU74" s="120"/>
      <c r="AV74" s="195"/>
      <c r="AW74" s="112">
        <v>51404406</v>
      </c>
      <c r="AX74" s="162">
        <v>35688191</v>
      </c>
      <c r="AY74" s="162">
        <v>15716215</v>
      </c>
      <c r="AZ74" s="162">
        <v>1209575</v>
      </c>
      <c r="BA74" s="231">
        <f t="shared" si="20"/>
        <v>0.69426326996172272</v>
      </c>
      <c r="BB74" s="210">
        <v>8651</v>
      </c>
      <c r="BC74" s="115">
        <v>2</v>
      </c>
      <c r="BD74" s="236"/>
    </row>
    <row r="75" spans="1:56" s="121" customFormat="1" ht="16.5" customHeight="1">
      <c r="A75" s="104" t="s">
        <v>2429</v>
      </c>
      <c r="B75" s="105" t="s">
        <v>1966</v>
      </c>
      <c r="C75" s="106" t="s">
        <v>527</v>
      </c>
      <c r="D75" s="106" t="s">
        <v>2415</v>
      </c>
      <c r="E75" s="71" t="s">
        <v>2588</v>
      </c>
      <c r="F75" s="71" t="s">
        <v>78</v>
      </c>
      <c r="G75" s="109" t="s">
        <v>180</v>
      </c>
      <c r="H75" s="133">
        <v>0</v>
      </c>
      <c r="I75" s="134">
        <v>0</v>
      </c>
      <c r="J75" s="110">
        <v>15.7</v>
      </c>
      <c r="K75" s="113">
        <f t="shared" si="13"/>
        <v>15.7</v>
      </c>
      <c r="L75" s="110">
        <v>243.99600000000001</v>
      </c>
      <c r="M75" s="135">
        <v>23.568000000000001</v>
      </c>
      <c r="N75" s="115">
        <v>0</v>
      </c>
      <c r="O75" s="111">
        <v>0</v>
      </c>
      <c r="P75" s="136">
        <v>2.4E-2</v>
      </c>
      <c r="Q75" s="111">
        <v>8397</v>
      </c>
      <c r="R75" s="134"/>
      <c r="S75" s="111">
        <f t="shared" si="17"/>
        <v>202</v>
      </c>
      <c r="T75" s="115">
        <v>1265</v>
      </c>
      <c r="U75" s="144">
        <v>28.364999999999998</v>
      </c>
      <c r="V75" s="135">
        <v>100.22199999999999</v>
      </c>
      <c r="W75" s="113">
        <f t="shared" si="14"/>
        <v>1863.1510000000001</v>
      </c>
      <c r="X75" s="133"/>
      <c r="Y75" s="135">
        <v>0</v>
      </c>
      <c r="Z75" s="135">
        <v>21</v>
      </c>
      <c r="AA75" s="135">
        <v>100.22199999999999</v>
      </c>
      <c r="AB75" s="113">
        <f t="shared" si="18"/>
        <v>121.22199999999999</v>
      </c>
      <c r="AC75" s="110">
        <v>0</v>
      </c>
      <c r="AD75" s="111">
        <v>0</v>
      </c>
      <c r="AE75" s="112">
        <v>0</v>
      </c>
      <c r="AF75" s="117">
        <v>0</v>
      </c>
      <c r="AG75" s="111">
        <v>49</v>
      </c>
      <c r="AH75" s="112">
        <v>0</v>
      </c>
      <c r="AI75" s="112">
        <v>17.024000000000001</v>
      </c>
      <c r="AJ75" s="113">
        <f t="shared" si="19"/>
        <v>66.024000000000001</v>
      </c>
      <c r="AK75" s="143">
        <f t="shared" si="12"/>
        <v>50188.3</v>
      </c>
      <c r="AL75" s="112">
        <f t="shared" si="12"/>
        <v>42167.307000000001</v>
      </c>
      <c r="AM75" s="112">
        <f t="shared" si="12"/>
        <v>8020.9930000000004</v>
      </c>
      <c r="AN75" s="112">
        <f t="shared" si="12"/>
        <v>269.80799999999999</v>
      </c>
      <c r="AO75" s="230">
        <f t="shared" si="15"/>
        <v>0.84018201453326768</v>
      </c>
      <c r="AP75" s="193">
        <f t="shared" si="11"/>
        <v>2132.9589999999998</v>
      </c>
      <c r="AQ75" s="194">
        <f t="shared" si="16"/>
        <v>-2117.259</v>
      </c>
      <c r="AR75" s="118"/>
      <c r="AS75" s="119"/>
      <c r="AT75" s="119"/>
      <c r="AU75" s="120"/>
      <c r="AV75" s="195"/>
      <c r="AW75" s="112">
        <v>50188300</v>
      </c>
      <c r="AX75" s="162">
        <v>42167307</v>
      </c>
      <c r="AY75" s="162">
        <v>8020993</v>
      </c>
      <c r="AZ75" s="162">
        <v>269808</v>
      </c>
      <c r="BA75" s="231">
        <f t="shared" si="20"/>
        <v>0.84018201453326768</v>
      </c>
      <c r="BB75" s="210">
        <v>3824</v>
      </c>
      <c r="BC75" s="115"/>
      <c r="BD75" s="236">
        <v>0.4</v>
      </c>
    </row>
    <row r="76" spans="1:56" s="121" customFormat="1" ht="16.5" customHeight="1">
      <c r="A76" s="104" t="s">
        <v>2429</v>
      </c>
      <c r="B76" s="105" t="s">
        <v>2545</v>
      </c>
      <c r="C76" s="106" t="s">
        <v>2542</v>
      </c>
      <c r="D76" s="106" t="s">
        <v>2415</v>
      </c>
      <c r="E76" s="71" t="s">
        <v>2589</v>
      </c>
      <c r="F76" s="71" t="s">
        <v>78</v>
      </c>
      <c r="G76" s="109" t="s">
        <v>180</v>
      </c>
      <c r="H76" s="133"/>
      <c r="I76" s="134"/>
      <c r="J76" s="110"/>
      <c r="K76" s="113">
        <f t="shared" si="13"/>
        <v>0</v>
      </c>
      <c r="L76" s="110"/>
      <c r="M76" s="135"/>
      <c r="N76" s="115"/>
      <c r="O76" s="111"/>
      <c r="P76" s="136"/>
      <c r="Q76" s="111"/>
      <c r="R76" s="134"/>
      <c r="S76" s="111">
        <f t="shared" si="17"/>
        <v>0</v>
      </c>
      <c r="T76" s="115"/>
      <c r="U76" s="144"/>
      <c r="V76" s="135"/>
      <c r="W76" s="113">
        <f t="shared" si="14"/>
        <v>0</v>
      </c>
      <c r="X76" s="133"/>
      <c r="Y76" s="135"/>
      <c r="Z76" s="135"/>
      <c r="AA76" s="135"/>
      <c r="AB76" s="113">
        <f t="shared" si="18"/>
        <v>0</v>
      </c>
      <c r="AC76" s="110"/>
      <c r="AD76" s="111"/>
      <c r="AE76" s="112"/>
      <c r="AF76" s="117"/>
      <c r="AG76" s="111"/>
      <c r="AH76" s="112"/>
      <c r="AI76" s="112"/>
      <c r="AJ76" s="113">
        <f t="shared" si="19"/>
        <v>0</v>
      </c>
      <c r="AK76" s="143">
        <f t="shared" si="12"/>
        <v>260265.54500000001</v>
      </c>
      <c r="AL76" s="112">
        <f t="shared" si="12"/>
        <v>0</v>
      </c>
      <c r="AM76" s="112">
        <f t="shared" si="12"/>
        <v>260265.54500000001</v>
      </c>
      <c r="AN76" s="112">
        <f t="shared" si="12"/>
        <v>0</v>
      </c>
      <c r="AO76" s="230">
        <f t="shared" si="15"/>
        <v>0</v>
      </c>
      <c r="AP76" s="193">
        <f t="shared" si="11"/>
        <v>0</v>
      </c>
      <c r="AQ76" s="194">
        <f t="shared" si="16"/>
        <v>0</v>
      </c>
      <c r="AR76" s="118"/>
      <c r="AS76" s="119"/>
      <c r="AT76" s="119"/>
      <c r="AU76" s="120"/>
      <c r="AV76" s="195"/>
      <c r="AW76" s="112">
        <v>260265545</v>
      </c>
      <c r="AX76" s="162">
        <v>0</v>
      </c>
      <c r="AY76" s="162">
        <v>260265545</v>
      </c>
      <c r="AZ76" s="162">
        <v>0</v>
      </c>
      <c r="BA76" s="231">
        <f t="shared" si="20"/>
        <v>0</v>
      </c>
      <c r="BB76" s="210"/>
      <c r="BC76" s="115"/>
      <c r="BD76" s="236"/>
    </row>
    <row r="77" spans="1:56" s="121" customFormat="1" ht="16.5" customHeight="1">
      <c r="A77" s="104" t="s">
        <v>2429</v>
      </c>
      <c r="B77" s="105" t="s">
        <v>539</v>
      </c>
      <c r="C77" s="106" t="s">
        <v>529</v>
      </c>
      <c r="D77" s="106" t="s">
        <v>2415</v>
      </c>
      <c r="E77" s="71" t="s">
        <v>530</v>
      </c>
      <c r="F77" s="71" t="s">
        <v>78</v>
      </c>
      <c r="G77" s="109" t="s">
        <v>180</v>
      </c>
      <c r="H77" s="133">
        <v>0</v>
      </c>
      <c r="I77" s="134">
        <v>0</v>
      </c>
      <c r="J77" s="110">
        <v>86.15</v>
      </c>
      <c r="K77" s="113">
        <f t="shared" si="13"/>
        <v>86.15</v>
      </c>
      <c r="L77" s="110">
        <v>358.51400000000001</v>
      </c>
      <c r="M77" s="135">
        <v>23.568000000000001</v>
      </c>
      <c r="N77" s="115">
        <v>0</v>
      </c>
      <c r="O77" s="111">
        <v>452.37700000000001</v>
      </c>
      <c r="P77" s="136">
        <v>2.4E-2</v>
      </c>
      <c r="Q77" s="111">
        <v>8397</v>
      </c>
      <c r="R77" s="134"/>
      <c r="S77" s="111">
        <f t="shared" si="17"/>
        <v>202</v>
      </c>
      <c r="T77" s="115">
        <v>0</v>
      </c>
      <c r="U77" s="144">
        <v>39.365000000000002</v>
      </c>
      <c r="V77" s="135">
        <v>100.22199999999999</v>
      </c>
      <c r="W77" s="113">
        <f t="shared" si="14"/>
        <v>1176.046</v>
      </c>
      <c r="X77" s="133"/>
      <c r="Y77" s="135">
        <v>0</v>
      </c>
      <c r="Z77" s="135">
        <v>281.60000000000002</v>
      </c>
      <c r="AA77" s="135">
        <v>100.22199999999999</v>
      </c>
      <c r="AB77" s="113">
        <f t="shared" si="18"/>
        <v>381.822</v>
      </c>
      <c r="AC77" s="110">
        <v>0</v>
      </c>
      <c r="AD77" s="111">
        <v>0</v>
      </c>
      <c r="AE77" s="112">
        <v>0</v>
      </c>
      <c r="AF77" s="117">
        <v>0</v>
      </c>
      <c r="AG77" s="111">
        <v>0</v>
      </c>
      <c r="AH77" s="112">
        <v>0</v>
      </c>
      <c r="AI77" s="112">
        <v>52.51</v>
      </c>
      <c r="AJ77" s="113">
        <f t="shared" si="19"/>
        <v>52.51</v>
      </c>
      <c r="AK77" s="143">
        <f t="shared" si="12"/>
        <v>89486.7</v>
      </c>
      <c r="AL77" s="112">
        <f t="shared" si="12"/>
        <v>84063.082999999999</v>
      </c>
      <c r="AM77" s="112">
        <f t="shared" si="12"/>
        <v>5423.6170000000002</v>
      </c>
      <c r="AN77" s="112">
        <f t="shared" si="12"/>
        <v>301.53199999999998</v>
      </c>
      <c r="AO77" s="230">
        <f t="shared" si="15"/>
        <v>0.93939192081057854</v>
      </c>
      <c r="AP77" s="193">
        <f t="shared" si="11"/>
        <v>1477.578</v>
      </c>
      <c r="AQ77" s="194">
        <f t="shared" si="16"/>
        <v>-1391.4279999999999</v>
      </c>
      <c r="AR77" s="118"/>
      <c r="AS77" s="119"/>
      <c r="AT77" s="119"/>
      <c r="AU77" s="120"/>
      <c r="AV77" s="195"/>
      <c r="AW77" s="112">
        <v>89486700</v>
      </c>
      <c r="AX77" s="162">
        <v>84063083</v>
      </c>
      <c r="AY77" s="162">
        <v>5423617</v>
      </c>
      <c r="AZ77" s="162">
        <v>301532</v>
      </c>
      <c r="BA77" s="231">
        <f t="shared" si="20"/>
        <v>0.93939192081057854</v>
      </c>
      <c r="BB77" s="210">
        <v>8417</v>
      </c>
      <c r="BC77" s="115">
        <v>1</v>
      </c>
      <c r="BD77" s="236"/>
    </row>
    <row r="78" spans="1:56" s="121" customFormat="1" ht="16.5" customHeight="1">
      <c r="A78" s="104" t="s">
        <v>2429</v>
      </c>
      <c r="B78" s="105" t="s">
        <v>544</v>
      </c>
      <c r="C78" s="106" t="s">
        <v>534</v>
      </c>
      <c r="D78" s="106" t="s">
        <v>2415</v>
      </c>
      <c r="E78" s="71" t="s">
        <v>535</v>
      </c>
      <c r="F78" s="71" t="s">
        <v>78</v>
      </c>
      <c r="G78" s="109" t="s">
        <v>180</v>
      </c>
      <c r="H78" s="133">
        <v>0</v>
      </c>
      <c r="I78" s="134">
        <v>0</v>
      </c>
      <c r="J78" s="110">
        <v>68.400000000000006</v>
      </c>
      <c r="K78" s="113">
        <f t="shared" si="13"/>
        <v>68.400000000000006</v>
      </c>
      <c r="L78" s="110">
        <v>387.23</v>
      </c>
      <c r="M78" s="135">
        <v>23.568000000000001</v>
      </c>
      <c r="N78" s="115">
        <v>0</v>
      </c>
      <c r="O78" s="111">
        <v>61.6</v>
      </c>
      <c r="P78" s="136">
        <v>2.4E-2</v>
      </c>
      <c r="Q78" s="111">
        <v>8397</v>
      </c>
      <c r="R78" s="134"/>
      <c r="S78" s="111">
        <f t="shared" si="17"/>
        <v>202</v>
      </c>
      <c r="T78" s="115">
        <v>1188</v>
      </c>
      <c r="U78" s="144">
        <v>55.865000000000002</v>
      </c>
      <c r="V78" s="135">
        <v>100.22199999999999</v>
      </c>
      <c r="W78" s="113">
        <f t="shared" si="14"/>
        <v>2018.4850000000001</v>
      </c>
      <c r="X78" s="133"/>
      <c r="Y78" s="135">
        <v>0</v>
      </c>
      <c r="Z78" s="116">
        <v>130.95099999999999</v>
      </c>
      <c r="AA78" s="135">
        <v>100.22199999999999</v>
      </c>
      <c r="AB78" s="113">
        <f t="shared" si="18"/>
        <v>231.173</v>
      </c>
      <c r="AC78" s="110">
        <v>0</v>
      </c>
      <c r="AD78" s="111">
        <v>49.494999999999997</v>
      </c>
      <c r="AE78" s="112">
        <v>0</v>
      </c>
      <c r="AF78" s="117">
        <v>0</v>
      </c>
      <c r="AG78" s="111">
        <v>48</v>
      </c>
      <c r="AH78" s="112">
        <v>0</v>
      </c>
      <c r="AI78" s="112">
        <v>3.3530000000000002</v>
      </c>
      <c r="AJ78" s="113">
        <f t="shared" si="19"/>
        <v>100.848</v>
      </c>
      <c r="AK78" s="143">
        <f t="shared" ref="AK78:AN97" si="21">AW78/1000</f>
        <v>81662.3</v>
      </c>
      <c r="AL78" s="112">
        <f t="shared" si="21"/>
        <v>75941.794999999998</v>
      </c>
      <c r="AM78" s="112">
        <f t="shared" si="21"/>
        <v>5720.5050000000001</v>
      </c>
      <c r="AN78" s="112">
        <f t="shared" si="21"/>
        <v>137.67599999999999</v>
      </c>
      <c r="AO78" s="230">
        <f t="shared" si="15"/>
        <v>0.92994925442952259</v>
      </c>
      <c r="AP78" s="193">
        <f t="shared" si="11"/>
        <v>2156.1610000000001</v>
      </c>
      <c r="AQ78" s="194">
        <f t="shared" si="16"/>
        <v>-2087.761</v>
      </c>
      <c r="AR78" s="118"/>
      <c r="AS78" s="119"/>
      <c r="AT78" s="119"/>
      <c r="AU78" s="120"/>
      <c r="AV78" s="195"/>
      <c r="AW78" s="112">
        <v>81662300</v>
      </c>
      <c r="AX78" s="162">
        <v>75941795</v>
      </c>
      <c r="AY78" s="162">
        <v>5720505</v>
      </c>
      <c r="AZ78" s="162">
        <v>137676</v>
      </c>
      <c r="BA78" s="231">
        <f t="shared" si="20"/>
        <v>0.92994925442952259</v>
      </c>
      <c r="BB78" s="210">
        <v>7392</v>
      </c>
      <c r="BC78" s="115">
        <v>21</v>
      </c>
      <c r="BD78" s="236"/>
    </row>
    <row r="79" spans="1:56" s="121" customFormat="1" ht="16.5" customHeight="1">
      <c r="A79" s="104" t="s">
        <v>2429</v>
      </c>
      <c r="B79" s="105" t="s">
        <v>551</v>
      </c>
      <c r="C79" s="106" t="s">
        <v>540</v>
      </c>
      <c r="D79" s="106" t="s">
        <v>2415</v>
      </c>
      <c r="E79" s="71" t="s">
        <v>541</v>
      </c>
      <c r="F79" s="71" t="s">
        <v>78</v>
      </c>
      <c r="G79" s="109" t="s">
        <v>180</v>
      </c>
      <c r="H79" s="133">
        <v>0</v>
      </c>
      <c r="I79" s="134">
        <v>0</v>
      </c>
      <c r="J79" s="110">
        <v>37.9</v>
      </c>
      <c r="K79" s="113">
        <f t="shared" si="13"/>
        <v>37.9</v>
      </c>
      <c r="L79" s="110">
        <v>126.58499999999999</v>
      </c>
      <c r="M79" s="135">
        <v>23.568000000000001</v>
      </c>
      <c r="N79" s="115">
        <v>0</v>
      </c>
      <c r="O79" s="111">
        <v>290.39999999999998</v>
      </c>
      <c r="P79" s="136">
        <v>2.4E-2</v>
      </c>
      <c r="Q79" s="111">
        <v>8397</v>
      </c>
      <c r="R79" s="134"/>
      <c r="S79" s="111">
        <f t="shared" si="17"/>
        <v>202</v>
      </c>
      <c r="T79" s="115">
        <v>1468.702</v>
      </c>
      <c r="U79" s="144">
        <v>33.866</v>
      </c>
      <c r="V79" s="135">
        <v>100.22199999999999</v>
      </c>
      <c r="W79" s="113">
        <f t="shared" si="14"/>
        <v>2245.3430000000003</v>
      </c>
      <c r="X79" s="133"/>
      <c r="Y79" s="135">
        <v>0</v>
      </c>
      <c r="Z79" s="116">
        <v>82.900999999999996</v>
      </c>
      <c r="AA79" s="135">
        <v>100.22199999999999</v>
      </c>
      <c r="AB79" s="113">
        <f t="shared" si="18"/>
        <v>183.12299999999999</v>
      </c>
      <c r="AC79" s="110">
        <v>37.9</v>
      </c>
      <c r="AD79" s="111">
        <v>33.590000000000003</v>
      </c>
      <c r="AE79" s="112">
        <v>0</v>
      </c>
      <c r="AF79" s="117">
        <v>0</v>
      </c>
      <c r="AG79" s="111">
        <v>74</v>
      </c>
      <c r="AH79" s="112">
        <v>0</v>
      </c>
      <c r="AI79" s="112">
        <v>3.6640000000000001</v>
      </c>
      <c r="AJ79" s="113">
        <f t="shared" si="19"/>
        <v>149.154</v>
      </c>
      <c r="AK79" s="143">
        <f t="shared" si="21"/>
        <v>45878.334000000003</v>
      </c>
      <c r="AL79" s="112">
        <f t="shared" si="21"/>
        <v>31492.544000000002</v>
      </c>
      <c r="AM79" s="112">
        <f t="shared" si="21"/>
        <v>14385.79</v>
      </c>
      <c r="AN79" s="112">
        <f t="shared" si="21"/>
        <v>1085.8879999999999</v>
      </c>
      <c r="AO79" s="230">
        <f t="shared" si="15"/>
        <v>0.68643608549517077</v>
      </c>
      <c r="AP79" s="193">
        <f t="shared" si="11"/>
        <v>3331.2310000000002</v>
      </c>
      <c r="AQ79" s="194">
        <f t="shared" si="16"/>
        <v>-3293.3310000000001</v>
      </c>
      <c r="AR79" s="118"/>
      <c r="AS79" s="119"/>
      <c r="AT79" s="119"/>
      <c r="AU79" s="120"/>
      <c r="AV79" s="195"/>
      <c r="AW79" s="112">
        <v>45878334</v>
      </c>
      <c r="AX79" s="162">
        <v>31492544</v>
      </c>
      <c r="AY79" s="162">
        <v>14385790</v>
      </c>
      <c r="AZ79" s="162">
        <v>1085888</v>
      </c>
      <c r="BA79" s="231">
        <f t="shared" si="20"/>
        <v>0.68643608549517077</v>
      </c>
      <c r="BB79" s="210">
        <v>1830</v>
      </c>
      <c r="BC79" s="115">
        <v>1</v>
      </c>
      <c r="BD79" s="236"/>
    </row>
    <row r="80" spans="1:56" s="121" customFormat="1" ht="16.5" customHeight="1">
      <c r="A80" s="104" t="s">
        <v>2429</v>
      </c>
      <c r="B80" s="105" t="s">
        <v>556</v>
      </c>
      <c r="C80" s="106" t="s">
        <v>545</v>
      </c>
      <c r="D80" s="106" t="s">
        <v>2415</v>
      </c>
      <c r="E80" s="71" t="s">
        <v>546</v>
      </c>
      <c r="F80" s="71" t="s">
        <v>78</v>
      </c>
      <c r="G80" s="109" t="s">
        <v>180</v>
      </c>
      <c r="H80" s="133">
        <v>0</v>
      </c>
      <c r="I80" s="134">
        <v>0</v>
      </c>
      <c r="J80" s="110">
        <v>480.4</v>
      </c>
      <c r="K80" s="113">
        <f t="shared" si="13"/>
        <v>480.4</v>
      </c>
      <c r="L80" s="110">
        <v>526.95799999999997</v>
      </c>
      <c r="M80" s="135">
        <v>23.568000000000001</v>
      </c>
      <c r="N80" s="115">
        <v>0</v>
      </c>
      <c r="O80" s="111">
        <v>91.3</v>
      </c>
      <c r="P80" s="136">
        <v>2.4E-2</v>
      </c>
      <c r="Q80" s="111">
        <v>8397</v>
      </c>
      <c r="R80" s="134"/>
      <c r="S80" s="111">
        <f t="shared" si="17"/>
        <v>202</v>
      </c>
      <c r="T80" s="115">
        <v>0</v>
      </c>
      <c r="U80" s="144">
        <v>28.364999999999998</v>
      </c>
      <c r="V80" s="135">
        <v>100.22199999999999</v>
      </c>
      <c r="W80" s="113">
        <f t="shared" si="14"/>
        <v>972.4129999999999</v>
      </c>
      <c r="X80" s="133"/>
      <c r="Y80" s="135">
        <v>0</v>
      </c>
      <c r="Z80" s="116">
        <v>993.86300000000006</v>
      </c>
      <c r="AA80" s="135">
        <v>100.22199999999999</v>
      </c>
      <c r="AB80" s="113">
        <f t="shared" si="18"/>
        <v>1094.085</v>
      </c>
      <c r="AC80" s="110">
        <v>0</v>
      </c>
      <c r="AD80" s="111">
        <v>60</v>
      </c>
      <c r="AE80" s="112">
        <v>0</v>
      </c>
      <c r="AF80" s="117">
        <v>0</v>
      </c>
      <c r="AG80" s="111">
        <v>780</v>
      </c>
      <c r="AH80" s="112">
        <v>0</v>
      </c>
      <c r="AI80" s="112">
        <v>341.00700000000001</v>
      </c>
      <c r="AJ80" s="113">
        <f t="shared" si="19"/>
        <v>1181.0070000000001</v>
      </c>
      <c r="AK80" s="143">
        <f t="shared" si="21"/>
        <v>85390.55</v>
      </c>
      <c r="AL80" s="112">
        <f t="shared" si="21"/>
        <v>79980.119000000006</v>
      </c>
      <c r="AM80" s="112">
        <f t="shared" si="21"/>
        <v>5410.4309999999996</v>
      </c>
      <c r="AN80" s="112">
        <f t="shared" si="21"/>
        <v>190.69</v>
      </c>
      <c r="AO80" s="230">
        <f t="shared" si="15"/>
        <v>0.93663899576709597</v>
      </c>
      <c r="AP80" s="193">
        <f t="shared" si="11"/>
        <v>1163.1029999999998</v>
      </c>
      <c r="AQ80" s="194">
        <f t="shared" si="16"/>
        <v>-682.70299999999986</v>
      </c>
      <c r="AR80" s="118"/>
      <c r="AS80" s="119"/>
      <c r="AT80" s="119"/>
      <c r="AU80" s="120"/>
      <c r="AV80" s="195"/>
      <c r="AW80" s="112">
        <v>85390550</v>
      </c>
      <c r="AX80" s="162">
        <v>79980119</v>
      </c>
      <c r="AY80" s="162">
        <v>5410431</v>
      </c>
      <c r="AZ80" s="162">
        <v>190690</v>
      </c>
      <c r="BA80" s="231">
        <f t="shared" si="20"/>
        <v>0.93663899576709597</v>
      </c>
      <c r="BB80" s="210">
        <v>12289</v>
      </c>
      <c r="BC80" s="115">
        <v>17</v>
      </c>
      <c r="BD80" s="236"/>
    </row>
    <row r="81" spans="1:56" s="121" customFormat="1" ht="16.5" customHeight="1">
      <c r="A81" s="104" t="s">
        <v>2429</v>
      </c>
      <c r="B81" s="105" t="s">
        <v>562</v>
      </c>
      <c r="C81" s="106" t="s">
        <v>552</v>
      </c>
      <c r="D81" s="106" t="s">
        <v>2415</v>
      </c>
      <c r="E81" s="71" t="s">
        <v>553</v>
      </c>
      <c r="F81" s="71" t="s">
        <v>78</v>
      </c>
      <c r="G81" s="109" t="s">
        <v>180</v>
      </c>
      <c r="H81" s="133">
        <v>0</v>
      </c>
      <c r="I81" s="134">
        <v>0</v>
      </c>
      <c r="J81" s="110">
        <v>24.3</v>
      </c>
      <c r="K81" s="113">
        <f t="shared" si="13"/>
        <v>24.3</v>
      </c>
      <c r="L81" s="110">
        <v>182.90199999999999</v>
      </c>
      <c r="M81" s="135">
        <v>23.568000000000001</v>
      </c>
      <c r="N81" s="115">
        <v>0</v>
      </c>
      <c r="O81" s="111">
        <v>343.2</v>
      </c>
      <c r="P81" s="136">
        <v>2.4E-2</v>
      </c>
      <c r="Q81" s="111">
        <v>8397</v>
      </c>
      <c r="R81" s="134"/>
      <c r="S81" s="111">
        <f t="shared" si="17"/>
        <v>202</v>
      </c>
      <c r="T81" s="115">
        <v>0</v>
      </c>
      <c r="U81" s="144">
        <v>28.364999999999998</v>
      </c>
      <c r="V81" s="135">
        <v>100.22199999999999</v>
      </c>
      <c r="W81" s="113">
        <f t="shared" si="14"/>
        <v>880.25699999999995</v>
      </c>
      <c r="X81" s="133"/>
      <c r="Y81" s="135">
        <v>0</v>
      </c>
      <c r="Z81" s="135">
        <v>49</v>
      </c>
      <c r="AA81" s="135">
        <v>100.22199999999999</v>
      </c>
      <c r="AB81" s="113">
        <f t="shared" si="18"/>
        <v>149.22199999999998</v>
      </c>
      <c r="AC81" s="110">
        <v>0</v>
      </c>
      <c r="AD81" s="111">
        <v>0</v>
      </c>
      <c r="AE81" s="112">
        <v>0</v>
      </c>
      <c r="AF81" s="117">
        <v>0</v>
      </c>
      <c r="AG81" s="111">
        <v>50</v>
      </c>
      <c r="AH81" s="112">
        <v>0</v>
      </c>
      <c r="AI81" s="112">
        <v>133.15</v>
      </c>
      <c r="AJ81" s="113">
        <f t="shared" si="19"/>
        <v>183.15</v>
      </c>
      <c r="AK81" s="143">
        <f t="shared" si="21"/>
        <v>29554.5</v>
      </c>
      <c r="AL81" s="112">
        <f t="shared" si="21"/>
        <v>26384.589</v>
      </c>
      <c r="AM81" s="112">
        <f t="shared" si="21"/>
        <v>3169.9110000000001</v>
      </c>
      <c r="AN81" s="112">
        <f t="shared" si="21"/>
        <v>650.19899999999996</v>
      </c>
      <c r="AO81" s="230">
        <f t="shared" si="15"/>
        <v>0.8927435415926509</v>
      </c>
      <c r="AP81" s="193">
        <f t="shared" si="11"/>
        <v>1530.4559999999999</v>
      </c>
      <c r="AQ81" s="194">
        <f t="shared" si="16"/>
        <v>-1506.1559999999999</v>
      </c>
      <c r="AR81" s="118"/>
      <c r="AS81" s="119"/>
      <c r="AT81" s="119"/>
      <c r="AU81" s="120"/>
      <c r="AV81" s="195"/>
      <c r="AW81" s="112">
        <v>29554500</v>
      </c>
      <c r="AX81" s="162">
        <v>26384589</v>
      </c>
      <c r="AY81" s="162">
        <v>3169911</v>
      </c>
      <c r="AZ81" s="162">
        <v>650199</v>
      </c>
      <c r="BA81" s="231">
        <f t="shared" si="20"/>
        <v>0.8927435415926509</v>
      </c>
      <c r="BB81" s="210">
        <v>3766</v>
      </c>
      <c r="BC81" s="115">
        <v>2</v>
      </c>
      <c r="BD81" s="236"/>
    </row>
    <row r="82" spans="1:56" s="121" customFormat="1" ht="16.5" customHeight="1">
      <c r="A82" s="104" t="s">
        <v>2429</v>
      </c>
      <c r="B82" s="105" t="s">
        <v>568</v>
      </c>
      <c r="C82" s="106" t="s">
        <v>557</v>
      </c>
      <c r="D82" s="106" t="s">
        <v>2415</v>
      </c>
      <c r="E82" s="71" t="s">
        <v>558</v>
      </c>
      <c r="F82" s="71" t="s">
        <v>78</v>
      </c>
      <c r="G82" s="109" t="s">
        <v>180</v>
      </c>
      <c r="H82" s="133">
        <v>0</v>
      </c>
      <c r="I82" s="134">
        <v>0</v>
      </c>
      <c r="J82" s="110">
        <v>46.9</v>
      </c>
      <c r="K82" s="113">
        <f t="shared" si="13"/>
        <v>46.9</v>
      </c>
      <c r="L82" s="110">
        <v>232.696</v>
      </c>
      <c r="M82" s="135">
        <v>23.568000000000001</v>
      </c>
      <c r="N82" s="115">
        <v>623.678</v>
      </c>
      <c r="O82" s="111">
        <v>0</v>
      </c>
      <c r="P82" s="136">
        <v>2.4E-2</v>
      </c>
      <c r="Q82" s="111">
        <v>8397</v>
      </c>
      <c r="R82" s="134"/>
      <c r="S82" s="111">
        <f t="shared" si="17"/>
        <v>202</v>
      </c>
      <c r="T82" s="115">
        <v>0</v>
      </c>
      <c r="U82" s="144">
        <v>28.364999999999998</v>
      </c>
      <c r="V82" s="135">
        <v>100.22199999999999</v>
      </c>
      <c r="W82" s="113">
        <f t="shared" si="14"/>
        <v>1210.529</v>
      </c>
      <c r="X82" s="133"/>
      <c r="Y82" s="135">
        <v>0</v>
      </c>
      <c r="Z82" s="135">
        <v>128.1</v>
      </c>
      <c r="AA82" s="135">
        <v>100.22199999999999</v>
      </c>
      <c r="AB82" s="113">
        <f t="shared" si="18"/>
        <v>228.322</v>
      </c>
      <c r="AC82" s="110">
        <v>0</v>
      </c>
      <c r="AD82" s="111">
        <v>30</v>
      </c>
      <c r="AE82" s="112">
        <v>0</v>
      </c>
      <c r="AF82" s="117">
        <v>0</v>
      </c>
      <c r="AG82" s="111">
        <v>100.22199999999999</v>
      </c>
      <c r="AH82" s="112">
        <v>0</v>
      </c>
      <c r="AI82" s="112">
        <v>6.6230000000000002</v>
      </c>
      <c r="AJ82" s="113">
        <f t="shared" si="19"/>
        <v>136.84499999999997</v>
      </c>
      <c r="AK82" s="143">
        <f t="shared" si="21"/>
        <v>38229.800000000003</v>
      </c>
      <c r="AL82" s="112">
        <f t="shared" si="21"/>
        <v>33642.199999999997</v>
      </c>
      <c r="AM82" s="112">
        <f t="shared" si="21"/>
        <v>4587.6000000000004</v>
      </c>
      <c r="AN82" s="112">
        <f t="shared" si="21"/>
        <v>841.05499999999995</v>
      </c>
      <c r="AO82" s="230">
        <f t="shared" si="15"/>
        <v>0.87999937221748481</v>
      </c>
      <c r="AP82" s="193">
        <f t="shared" si="11"/>
        <v>2051.5839999999998</v>
      </c>
      <c r="AQ82" s="194">
        <f t="shared" si="16"/>
        <v>-2004.6839999999997</v>
      </c>
      <c r="AR82" s="118"/>
      <c r="AS82" s="119"/>
      <c r="AT82" s="119"/>
      <c r="AU82" s="120"/>
      <c r="AV82" s="195"/>
      <c r="AW82" s="112">
        <v>38229800</v>
      </c>
      <c r="AX82" s="162">
        <v>33642200</v>
      </c>
      <c r="AY82" s="162">
        <v>4587600</v>
      </c>
      <c r="AZ82" s="162">
        <v>841055</v>
      </c>
      <c r="BA82" s="231">
        <f t="shared" si="20"/>
        <v>0.87999937221748481</v>
      </c>
      <c r="BB82" s="210">
        <v>3825</v>
      </c>
      <c r="BC82" s="115">
        <v>3</v>
      </c>
      <c r="BD82" s="236"/>
    </row>
    <row r="83" spans="1:56" s="121" customFormat="1" ht="16.5" customHeight="1">
      <c r="A83" s="104" t="s">
        <v>2429</v>
      </c>
      <c r="B83" s="105" t="s">
        <v>574</v>
      </c>
      <c r="C83" s="106" t="s">
        <v>563</v>
      </c>
      <c r="D83" s="106" t="s">
        <v>2415</v>
      </c>
      <c r="E83" s="71" t="s">
        <v>564</v>
      </c>
      <c r="F83" s="71" t="s">
        <v>78</v>
      </c>
      <c r="G83" s="109" t="s">
        <v>180</v>
      </c>
      <c r="H83" s="133">
        <v>0</v>
      </c>
      <c r="I83" s="134">
        <v>0</v>
      </c>
      <c r="J83" s="110">
        <v>10.4</v>
      </c>
      <c r="K83" s="113">
        <f t="shared" si="13"/>
        <v>10.4</v>
      </c>
      <c r="L83" s="110">
        <v>285.55500000000001</v>
      </c>
      <c r="M83" s="135">
        <v>23.568000000000001</v>
      </c>
      <c r="N83" s="115">
        <v>0</v>
      </c>
      <c r="O83" s="111">
        <v>72.599999999999994</v>
      </c>
      <c r="P83" s="136">
        <v>2.4E-2</v>
      </c>
      <c r="Q83" s="111">
        <v>8397</v>
      </c>
      <c r="R83" s="134"/>
      <c r="S83" s="111">
        <f t="shared" si="17"/>
        <v>202</v>
      </c>
      <c r="T83" s="115">
        <v>0</v>
      </c>
      <c r="U83" s="144">
        <v>28.364999999999998</v>
      </c>
      <c r="V83" s="135">
        <v>100.22199999999999</v>
      </c>
      <c r="W83" s="113">
        <f t="shared" si="14"/>
        <v>712.31</v>
      </c>
      <c r="X83" s="133"/>
      <c r="Y83" s="135">
        <v>0</v>
      </c>
      <c r="Z83" s="135">
        <v>0</v>
      </c>
      <c r="AA83" s="135">
        <v>100.22199999999999</v>
      </c>
      <c r="AB83" s="113">
        <f t="shared" si="18"/>
        <v>100.22199999999999</v>
      </c>
      <c r="AC83" s="110">
        <v>0</v>
      </c>
      <c r="AD83" s="111">
        <v>0</v>
      </c>
      <c r="AE83" s="112">
        <v>0</v>
      </c>
      <c r="AF83" s="117">
        <v>0</v>
      </c>
      <c r="AG83" s="111">
        <v>55.2</v>
      </c>
      <c r="AH83" s="112">
        <v>0</v>
      </c>
      <c r="AI83" s="112">
        <v>11.605</v>
      </c>
      <c r="AJ83" s="113">
        <f t="shared" si="19"/>
        <v>66.805000000000007</v>
      </c>
      <c r="AK83" s="143">
        <f t="shared" si="21"/>
        <v>50335.995999999999</v>
      </c>
      <c r="AL83" s="112">
        <f t="shared" si="21"/>
        <v>37996.978999999999</v>
      </c>
      <c r="AM83" s="112">
        <f t="shared" si="21"/>
        <v>12339.017</v>
      </c>
      <c r="AN83" s="112">
        <f t="shared" si="21"/>
        <v>1110.261</v>
      </c>
      <c r="AO83" s="230">
        <f t="shared" si="15"/>
        <v>0.75486693458891729</v>
      </c>
      <c r="AP83" s="193">
        <f t="shared" si="11"/>
        <v>1822.5709999999999</v>
      </c>
      <c r="AQ83" s="194">
        <f t="shared" si="16"/>
        <v>-1812.1709999999998</v>
      </c>
      <c r="AR83" s="118"/>
      <c r="AS83" s="119"/>
      <c r="AT83" s="119"/>
      <c r="AU83" s="120"/>
      <c r="AV83" s="195"/>
      <c r="AW83" s="112">
        <v>50335996</v>
      </c>
      <c r="AX83" s="162">
        <v>37996979</v>
      </c>
      <c r="AY83" s="162">
        <v>12339017</v>
      </c>
      <c r="AZ83" s="162">
        <v>1110261</v>
      </c>
      <c r="BA83" s="231">
        <f t="shared" si="20"/>
        <v>0.75486693458891729</v>
      </c>
      <c r="BB83" s="210">
        <v>2825</v>
      </c>
      <c r="BC83" s="115">
        <v>16</v>
      </c>
      <c r="BD83" s="236"/>
    </row>
    <row r="84" spans="1:56" s="121" customFormat="1" ht="16.5" customHeight="1">
      <c r="A84" s="104" t="s">
        <v>2429</v>
      </c>
      <c r="B84" s="105" t="s">
        <v>580</v>
      </c>
      <c r="C84" s="106" t="s">
        <v>569</v>
      </c>
      <c r="D84" s="106" t="s">
        <v>2415</v>
      </c>
      <c r="E84" s="71" t="s">
        <v>570</v>
      </c>
      <c r="F84" s="71" t="s">
        <v>78</v>
      </c>
      <c r="G84" s="109" t="s">
        <v>180</v>
      </c>
      <c r="H84" s="133">
        <v>0</v>
      </c>
      <c r="I84" s="134">
        <v>0</v>
      </c>
      <c r="J84" s="110">
        <v>13.6</v>
      </c>
      <c r="K84" s="113">
        <f t="shared" si="13"/>
        <v>13.6</v>
      </c>
      <c r="L84" s="110">
        <v>253.87100000000001</v>
      </c>
      <c r="M84" s="135">
        <v>23.568000000000001</v>
      </c>
      <c r="N84" s="115">
        <v>0</v>
      </c>
      <c r="O84" s="111">
        <v>499.62</v>
      </c>
      <c r="P84" s="136">
        <v>2.4E-2</v>
      </c>
      <c r="Q84" s="111">
        <v>8397</v>
      </c>
      <c r="R84" s="134"/>
      <c r="S84" s="111">
        <f t="shared" si="17"/>
        <v>202</v>
      </c>
      <c r="T84" s="115">
        <v>0</v>
      </c>
      <c r="U84" s="144">
        <v>28.364999999999998</v>
      </c>
      <c r="V84" s="135">
        <v>100.22199999999999</v>
      </c>
      <c r="W84" s="113">
        <f t="shared" si="14"/>
        <v>1107.646</v>
      </c>
      <c r="X84" s="133"/>
      <c r="Y84" s="135">
        <v>0</v>
      </c>
      <c r="Z84" s="135">
        <v>10</v>
      </c>
      <c r="AA84" s="135">
        <v>100.22199999999999</v>
      </c>
      <c r="AB84" s="113">
        <f t="shared" si="18"/>
        <v>110.22199999999999</v>
      </c>
      <c r="AC84" s="110">
        <v>0</v>
      </c>
      <c r="AD84" s="111">
        <v>30.45</v>
      </c>
      <c r="AE84" s="112">
        <v>0</v>
      </c>
      <c r="AF84" s="117">
        <v>0</v>
      </c>
      <c r="AG84" s="111">
        <v>36</v>
      </c>
      <c r="AH84" s="112">
        <v>0</v>
      </c>
      <c r="AI84" s="112">
        <v>16.161999999999999</v>
      </c>
      <c r="AJ84" s="113">
        <f t="shared" si="19"/>
        <v>82.611999999999995</v>
      </c>
      <c r="AK84" s="143">
        <f t="shared" si="21"/>
        <v>40157.5</v>
      </c>
      <c r="AL84" s="112">
        <f t="shared" si="21"/>
        <v>32881.423000000003</v>
      </c>
      <c r="AM84" s="112">
        <f t="shared" si="21"/>
        <v>7276.0770000000002</v>
      </c>
      <c r="AN84" s="112">
        <f t="shared" si="21"/>
        <v>907.05899999999997</v>
      </c>
      <c r="AO84" s="230">
        <f t="shared" si="15"/>
        <v>0.81881150470024278</v>
      </c>
      <c r="AP84" s="193">
        <f t="shared" ref="AP84:AP147" si="22">W84+AN84</f>
        <v>2014.7049999999999</v>
      </c>
      <c r="AQ84" s="194">
        <f t="shared" si="16"/>
        <v>-2001.105</v>
      </c>
      <c r="AR84" s="118"/>
      <c r="AS84" s="119"/>
      <c r="AT84" s="119"/>
      <c r="AU84" s="120"/>
      <c r="AV84" s="195"/>
      <c r="AW84" s="112">
        <v>40157500</v>
      </c>
      <c r="AX84" s="162">
        <v>32881423</v>
      </c>
      <c r="AY84" s="162">
        <v>7276077</v>
      </c>
      <c r="AZ84" s="162">
        <v>907059</v>
      </c>
      <c r="BA84" s="231">
        <f t="shared" si="20"/>
        <v>0.81881150470024278</v>
      </c>
      <c r="BB84" s="210">
        <v>1415</v>
      </c>
      <c r="BC84" s="115">
        <v>0</v>
      </c>
      <c r="BD84" s="236"/>
    </row>
    <row r="85" spans="1:56" s="121" customFormat="1" ht="16.5" customHeight="1">
      <c r="A85" s="104" t="s">
        <v>2429</v>
      </c>
      <c r="B85" s="105" t="s">
        <v>586</v>
      </c>
      <c r="C85" s="106" t="s">
        <v>575</v>
      </c>
      <c r="D85" s="106" t="s">
        <v>2415</v>
      </c>
      <c r="E85" s="71" t="s">
        <v>119</v>
      </c>
      <c r="F85" s="71" t="s">
        <v>78</v>
      </c>
      <c r="G85" s="109" t="s">
        <v>180</v>
      </c>
      <c r="H85" s="133">
        <v>0</v>
      </c>
      <c r="I85" s="134">
        <v>0</v>
      </c>
      <c r="J85" s="110">
        <v>64.8</v>
      </c>
      <c r="K85" s="113">
        <f t="shared" si="13"/>
        <v>64.8</v>
      </c>
      <c r="L85" s="143">
        <v>427.97500000000002</v>
      </c>
      <c r="M85" s="135">
        <v>23.568000000000001</v>
      </c>
      <c r="N85" s="115">
        <v>0</v>
      </c>
      <c r="O85" s="111">
        <v>0</v>
      </c>
      <c r="P85" s="136">
        <v>2.4E-2</v>
      </c>
      <c r="Q85" s="111">
        <v>8397</v>
      </c>
      <c r="R85" s="134"/>
      <c r="S85" s="111">
        <f t="shared" si="17"/>
        <v>202</v>
      </c>
      <c r="T85" s="115">
        <v>0</v>
      </c>
      <c r="U85" s="144">
        <v>33.865000000000002</v>
      </c>
      <c r="V85" s="135">
        <v>100.22199999999999</v>
      </c>
      <c r="W85" s="113">
        <f t="shared" si="14"/>
        <v>787.63</v>
      </c>
      <c r="X85" s="133"/>
      <c r="Y85" s="135">
        <v>0</v>
      </c>
      <c r="Z85" s="135">
        <v>112.5</v>
      </c>
      <c r="AA85" s="135">
        <v>100.22199999999999</v>
      </c>
      <c r="AB85" s="113">
        <f t="shared" si="18"/>
        <v>212.72199999999998</v>
      </c>
      <c r="AC85" s="110">
        <v>0</v>
      </c>
      <c r="AD85" s="111">
        <v>66</v>
      </c>
      <c r="AE85" s="112">
        <v>0</v>
      </c>
      <c r="AF85" s="117">
        <v>0</v>
      </c>
      <c r="AG85" s="111">
        <v>60</v>
      </c>
      <c r="AH85" s="112">
        <v>0</v>
      </c>
      <c r="AI85" s="112">
        <v>93.536000000000001</v>
      </c>
      <c r="AJ85" s="113">
        <f t="shared" si="19"/>
        <v>219.536</v>
      </c>
      <c r="AK85" s="143">
        <f t="shared" si="21"/>
        <v>60744.598938841162</v>
      </c>
      <c r="AL85" s="112">
        <f t="shared" si="21"/>
        <v>51133.201287391821</v>
      </c>
      <c r="AM85" s="112">
        <f t="shared" si="21"/>
        <v>9611.3976514493443</v>
      </c>
      <c r="AN85" s="112">
        <f t="shared" si="21"/>
        <v>1455.0590126113952</v>
      </c>
      <c r="AO85" s="230">
        <f t="shared" si="15"/>
        <v>0.84177362564980818</v>
      </c>
      <c r="AP85" s="193">
        <f t="shared" si="22"/>
        <v>2242.6890126113954</v>
      </c>
      <c r="AQ85" s="194">
        <f t="shared" si="16"/>
        <v>-2177.8890126113952</v>
      </c>
      <c r="AR85" s="118"/>
      <c r="AS85" s="119"/>
      <c r="AT85" s="119"/>
      <c r="AU85" s="120"/>
      <c r="AV85" s="195" t="s">
        <v>63</v>
      </c>
      <c r="AW85" s="112">
        <v>60744598.938841164</v>
      </c>
      <c r="AX85" s="162">
        <v>51133201.287391819</v>
      </c>
      <c r="AY85" s="162">
        <v>9611397.6514493451</v>
      </c>
      <c r="AZ85" s="162">
        <v>1455059.0126113952</v>
      </c>
      <c r="BA85" s="231">
        <f t="shared" si="20"/>
        <v>0.84177362564980818</v>
      </c>
      <c r="BB85" s="210">
        <v>11496</v>
      </c>
      <c r="BC85" s="115">
        <v>53</v>
      </c>
      <c r="BD85" s="236"/>
    </row>
    <row r="86" spans="1:56" s="121" customFormat="1" ht="16.5" customHeight="1">
      <c r="A86" s="104" t="s">
        <v>2429</v>
      </c>
      <c r="B86" s="105" t="s">
        <v>591</v>
      </c>
      <c r="C86" s="106" t="s">
        <v>581</v>
      </c>
      <c r="D86" s="106" t="s">
        <v>2415</v>
      </c>
      <c r="E86" s="71" t="s">
        <v>582</v>
      </c>
      <c r="F86" s="71" t="s">
        <v>78</v>
      </c>
      <c r="G86" s="109" t="s">
        <v>180</v>
      </c>
      <c r="H86" s="133">
        <v>0</v>
      </c>
      <c r="I86" s="134">
        <v>0</v>
      </c>
      <c r="J86" s="110">
        <v>57.4</v>
      </c>
      <c r="K86" s="113">
        <f t="shared" si="13"/>
        <v>57.4</v>
      </c>
      <c r="L86" s="110">
        <v>302.05099999999999</v>
      </c>
      <c r="M86" s="135">
        <v>23.568000000000001</v>
      </c>
      <c r="N86" s="115">
        <v>0</v>
      </c>
      <c r="O86" s="111">
        <v>279.39999999999998</v>
      </c>
      <c r="P86" s="136">
        <v>2.4E-2</v>
      </c>
      <c r="Q86" s="111">
        <v>8397</v>
      </c>
      <c r="R86" s="134"/>
      <c r="S86" s="111">
        <f t="shared" si="17"/>
        <v>202</v>
      </c>
      <c r="T86" s="115">
        <v>0</v>
      </c>
      <c r="U86" s="144">
        <v>41.865000000000002</v>
      </c>
      <c r="V86" s="135">
        <v>100.22199999999999</v>
      </c>
      <c r="W86" s="113">
        <f t="shared" si="14"/>
        <v>949.10599999999999</v>
      </c>
      <c r="X86" s="133"/>
      <c r="Y86" s="135">
        <v>0</v>
      </c>
      <c r="Z86" s="116">
        <v>149.40100000000001</v>
      </c>
      <c r="AA86" s="135">
        <v>100.22199999999999</v>
      </c>
      <c r="AB86" s="113">
        <f t="shared" si="18"/>
        <v>249.62299999999999</v>
      </c>
      <c r="AC86" s="110">
        <v>57.4</v>
      </c>
      <c r="AD86" s="111">
        <v>35.64</v>
      </c>
      <c r="AE86" s="112">
        <v>0</v>
      </c>
      <c r="AF86" s="117">
        <v>0</v>
      </c>
      <c r="AG86" s="111">
        <v>134</v>
      </c>
      <c r="AH86" s="112">
        <v>0</v>
      </c>
      <c r="AI86" s="112">
        <v>4.4000000000000004</v>
      </c>
      <c r="AJ86" s="113">
        <f t="shared" si="19"/>
        <v>231.44</v>
      </c>
      <c r="AK86" s="143">
        <f t="shared" si="21"/>
        <v>36122.945</v>
      </c>
      <c r="AL86" s="112">
        <f t="shared" si="21"/>
        <v>27445.756000000001</v>
      </c>
      <c r="AM86" s="112">
        <f t="shared" si="21"/>
        <v>8677.1890000000003</v>
      </c>
      <c r="AN86" s="112">
        <f t="shared" si="21"/>
        <v>994.197</v>
      </c>
      <c r="AO86" s="230">
        <f t="shared" si="15"/>
        <v>0.75978733184683589</v>
      </c>
      <c r="AP86" s="193">
        <f t="shared" si="22"/>
        <v>1943.3029999999999</v>
      </c>
      <c r="AQ86" s="194">
        <f t="shared" si="16"/>
        <v>-1885.9029999999998</v>
      </c>
      <c r="AR86" s="118"/>
      <c r="AS86" s="119"/>
      <c r="AT86" s="119"/>
      <c r="AU86" s="120"/>
      <c r="AV86" s="195"/>
      <c r="AW86" s="112">
        <v>36122945</v>
      </c>
      <c r="AX86" s="162">
        <v>27445756</v>
      </c>
      <c r="AY86" s="162">
        <v>8677189</v>
      </c>
      <c r="AZ86" s="162">
        <v>994197</v>
      </c>
      <c r="BA86" s="231">
        <f t="shared" si="20"/>
        <v>0.75978733184683589</v>
      </c>
      <c r="BB86" s="210">
        <v>4065</v>
      </c>
      <c r="BC86" s="115">
        <v>1</v>
      </c>
      <c r="BD86" s="236"/>
    </row>
    <row r="87" spans="1:56" s="121" customFormat="1" ht="16.5" customHeight="1">
      <c r="A87" s="104" t="s">
        <v>2429</v>
      </c>
      <c r="B87" s="105" t="s">
        <v>597</v>
      </c>
      <c r="C87" s="106" t="s">
        <v>587</v>
      </c>
      <c r="D87" s="106" t="s">
        <v>2415</v>
      </c>
      <c r="E87" s="71" t="s">
        <v>588</v>
      </c>
      <c r="F87" s="71" t="s">
        <v>78</v>
      </c>
      <c r="G87" s="109" t="s">
        <v>180</v>
      </c>
      <c r="H87" s="133">
        <v>0</v>
      </c>
      <c r="I87" s="134">
        <v>0</v>
      </c>
      <c r="J87" s="110">
        <v>4.5999999999999996</v>
      </c>
      <c r="K87" s="113">
        <f t="shared" si="13"/>
        <v>4.5999999999999996</v>
      </c>
      <c r="L87" s="110">
        <v>129.066</v>
      </c>
      <c r="M87" s="135">
        <v>23.568000000000001</v>
      </c>
      <c r="N87" s="115">
        <v>0</v>
      </c>
      <c r="O87" s="111">
        <v>41.8</v>
      </c>
      <c r="P87" s="136">
        <v>2.4E-2</v>
      </c>
      <c r="Q87" s="111">
        <v>8397</v>
      </c>
      <c r="R87" s="134"/>
      <c r="S87" s="111">
        <f t="shared" si="17"/>
        <v>202</v>
      </c>
      <c r="T87" s="115">
        <v>0</v>
      </c>
      <c r="U87" s="144">
        <v>28.366</v>
      </c>
      <c r="V87" s="135">
        <v>100.22199999999999</v>
      </c>
      <c r="W87" s="113">
        <f t="shared" si="14"/>
        <v>525.02200000000005</v>
      </c>
      <c r="X87" s="133"/>
      <c r="Y87" s="135">
        <v>0</v>
      </c>
      <c r="Z87" s="135">
        <v>9.5</v>
      </c>
      <c r="AA87" s="135">
        <v>100.22199999999999</v>
      </c>
      <c r="AB87" s="113">
        <f t="shared" si="18"/>
        <v>109.72199999999999</v>
      </c>
      <c r="AC87" s="110">
        <v>0</v>
      </c>
      <c r="AD87" s="111">
        <v>15</v>
      </c>
      <c r="AE87" s="112">
        <v>0</v>
      </c>
      <c r="AF87" s="117">
        <v>0</v>
      </c>
      <c r="AG87" s="111">
        <v>35</v>
      </c>
      <c r="AH87" s="112">
        <v>0</v>
      </c>
      <c r="AI87" s="112">
        <v>126.57599999999999</v>
      </c>
      <c r="AJ87" s="113">
        <f t="shared" si="19"/>
        <v>176.57599999999999</v>
      </c>
      <c r="AK87" s="143">
        <f t="shared" si="21"/>
        <v>47078.5</v>
      </c>
      <c r="AL87" s="112">
        <f t="shared" si="21"/>
        <v>30384.535</v>
      </c>
      <c r="AM87" s="112">
        <f t="shared" si="21"/>
        <v>16693.965</v>
      </c>
      <c r="AN87" s="112">
        <f t="shared" si="21"/>
        <v>1258.796</v>
      </c>
      <c r="AO87" s="230">
        <f t="shared" si="15"/>
        <v>0.64540151024352943</v>
      </c>
      <c r="AP87" s="193">
        <f t="shared" si="22"/>
        <v>1783.8180000000002</v>
      </c>
      <c r="AQ87" s="194">
        <f t="shared" si="16"/>
        <v>-1779.2180000000003</v>
      </c>
      <c r="AR87" s="118"/>
      <c r="AS87" s="119"/>
      <c r="AT87" s="119"/>
      <c r="AU87" s="120"/>
      <c r="AV87" s="195"/>
      <c r="AW87" s="112">
        <v>47078500</v>
      </c>
      <c r="AX87" s="162">
        <v>30384535</v>
      </c>
      <c r="AY87" s="162">
        <v>16693965</v>
      </c>
      <c r="AZ87" s="162">
        <v>1258796</v>
      </c>
      <c r="BA87" s="231">
        <f t="shared" si="20"/>
        <v>0.64540151024352943</v>
      </c>
      <c r="BB87" s="210">
        <v>2658</v>
      </c>
      <c r="BC87" s="115">
        <v>2</v>
      </c>
      <c r="BD87" s="236"/>
    </row>
    <row r="88" spans="1:56" s="121" customFormat="1" ht="16.5" customHeight="1">
      <c r="A88" s="104" t="s">
        <v>2429</v>
      </c>
      <c r="B88" s="105" t="s">
        <v>600</v>
      </c>
      <c r="C88" s="106" t="s">
        <v>592</v>
      </c>
      <c r="D88" s="106" t="s">
        <v>2415</v>
      </c>
      <c r="E88" s="71" t="s">
        <v>593</v>
      </c>
      <c r="F88" s="71" t="s">
        <v>78</v>
      </c>
      <c r="G88" s="109" t="s">
        <v>180</v>
      </c>
      <c r="H88" s="110">
        <v>0</v>
      </c>
      <c r="I88" s="134">
        <v>0</v>
      </c>
      <c r="J88" s="110">
        <v>0</v>
      </c>
      <c r="K88" s="113">
        <f t="shared" si="13"/>
        <v>0</v>
      </c>
      <c r="L88" s="110">
        <v>225.11500000000001</v>
      </c>
      <c r="M88" s="135">
        <v>23.568000000000001</v>
      </c>
      <c r="N88" s="115">
        <v>717.42600000000004</v>
      </c>
      <c r="O88" s="111">
        <v>0</v>
      </c>
      <c r="P88" s="136">
        <v>2.4E-2</v>
      </c>
      <c r="Q88" s="111">
        <v>8397</v>
      </c>
      <c r="R88" s="134"/>
      <c r="S88" s="111">
        <f t="shared" si="17"/>
        <v>202</v>
      </c>
      <c r="T88" s="115">
        <v>0</v>
      </c>
      <c r="U88" s="144">
        <v>28.366</v>
      </c>
      <c r="V88" s="135">
        <v>100.22199999999999</v>
      </c>
      <c r="W88" s="113">
        <f t="shared" si="14"/>
        <v>1296.6969999999999</v>
      </c>
      <c r="X88" s="133"/>
      <c r="Y88" s="135">
        <v>0</v>
      </c>
      <c r="Z88" s="135">
        <v>0</v>
      </c>
      <c r="AA88" s="135">
        <v>100.22199999999999</v>
      </c>
      <c r="AB88" s="113">
        <f t="shared" si="18"/>
        <v>100.22199999999999</v>
      </c>
      <c r="AC88" s="110">
        <v>0</v>
      </c>
      <c r="AD88" s="111">
        <v>0</v>
      </c>
      <c r="AE88" s="112">
        <v>0</v>
      </c>
      <c r="AF88" s="117">
        <v>0</v>
      </c>
      <c r="AG88" s="111">
        <v>62</v>
      </c>
      <c r="AH88" s="112">
        <v>0</v>
      </c>
      <c r="AI88" s="112">
        <v>2.42</v>
      </c>
      <c r="AJ88" s="113">
        <f t="shared" si="19"/>
        <v>64.42</v>
      </c>
      <c r="AK88" s="143">
        <f t="shared" si="21"/>
        <v>49230.55</v>
      </c>
      <c r="AL88" s="112">
        <f t="shared" si="21"/>
        <v>35160.663999999997</v>
      </c>
      <c r="AM88" s="112">
        <f t="shared" si="21"/>
        <v>14069.886</v>
      </c>
      <c r="AN88" s="112">
        <f t="shared" si="21"/>
        <v>949.09100000000001</v>
      </c>
      <c r="AO88" s="230">
        <f t="shared" si="15"/>
        <v>0.7142041679404354</v>
      </c>
      <c r="AP88" s="193">
        <f t="shared" si="22"/>
        <v>2245.788</v>
      </c>
      <c r="AQ88" s="194">
        <f t="shared" si="16"/>
        <v>-2245.788</v>
      </c>
      <c r="AR88" s="118"/>
      <c r="AS88" s="119"/>
      <c r="AT88" s="119"/>
      <c r="AU88" s="120"/>
      <c r="AV88" s="195"/>
      <c r="AW88" s="112">
        <v>49230550</v>
      </c>
      <c r="AX88" s="162">
        <v>35160664</v>
      </c>
      <c r="AY88" s="162">
        <v>14069886</v>
      </c>
      <c r="AZ88" s="162">
        <v>949091</v>
      </c>
      <c r="BA88" s="231">
        <f t="shared" si="20"/>
        <v>0.7142041679404354</v>
      </c>
      <c r="BB88" s="210">
        <v>5307</v>
      </c>
      <c r="BC88" s="115">
        <v>1</v>
      </c>
      <c r="BD88" s="236"/>
    </row>
    <row r="89" spans="1:56" s="121" customFormat="1" ht="16.5" customHeight="1">
      <c r="A89" s="104" t="s">
        <v>2429</v>
      </c>
      <c r="B89" s="105" t="s">
        <v>605</v>
      </c>
      <c r="C89" s="106" t="s">
        <v>598</v>
      </c>
      <c r="D89" s="106" t="s">
        <v>2415</v>
      </c>
      <c r="E89" s="71" t="s">
        <v>163</v>
      </c>
      <c r="F89" s="71" t="s">
        <v>78</v>
      </c>
      <c r="G89" s="109" t="s">
        <v>156</v>
      </c>
      <c r="H89" s="110"/>
      <c r="I89" s="112"/>
      <c r="J89" s="112"/>
      <c r="K89" s="113">
        <f t="shared" si="13"/>
        <v>0</v>
      </c>
      <c r="L89" s="110"/>
      <c r="M89" s="111"/>
      <c r="N89" s="115"/>
      <c r="O89" s="111"/>
      <c r="P89" s="114"/>
      <c r="Q89" s="111">
        <v>8397</v>
      </c>
      <c r="R89" s="112"/>
      <c r="S89" s="111">
        <f t="shared" si="17"/>
        <v>0</v>
      </c>
      <c r="T89" s="115"/>
      <c r="U89" s="144"/>
      <c r="V89" s="111"/>
      <c r="W89" s="113">
        <f t="shared" si="14"/>
        <v>0</v>
      </c>
      <c r="X89" s="110"/>
      <c r="Y89" s="111"/>
      <c r="Z89" s="116"/>
      <c r="AA89" s="111"/>
      <c r="AB89" s="113">
        <f t="shared" si="18"/>
        <v>0</v>
      </c>
      <c r="AC89" s="110"/>
      <c r="AD89" s="111"/>
      <c r="AE89" s="112"/>
      <c r="AF89" s="117"/>
      <c r="AG89" s="111"/>
      <c r="AH89" s="112"/>
      <c r="AI89" s="112"/>
      <c r="AJ89" s="113">
        <f t="shared" si="19"/>
        <v>0</v>
      </c>
      <c r="AK89" s="143">
        <f t="shared" si="21"/>
        <v>0</v>
      </c>
      <c r="AL89" s="112">
        <f t="shared" si="21"/>
        <v>0</v>
      </c>
      <c r="AM89" s="112">
        <f t="shared" si="21"/>
        <v>0</v>
      </c>
      <c r="AN89" s="112">
        <f t="shared" si="21"/>
        <v>0</v>
      </c>
      <c r="AO89" s="230" t="str">
        <f t="shared" si="15"/>
        <v>-</v>
      </c>
      <c r="AP89" s="193">
        <f t="shared" si="22"/>
        <v>0</v>
      </c>
      <c r="AQ89" s="194">
        <f t="shared" si="16"/>
        <v>0</v>
      </c>
      <c r="AR89" s="118"/>
      <c r="AS89" s="119"/>
      <c r="AT89" s="119"/>
      <c r="AU89" s="120"/>
      <c r="AV89" s="195"/>
      <c r="AW89" s="112">
        <v>0</v>
      </c>
      <c r="AX89" s="162">
        <v>0</v>
      </c>
      <c r="AY89" s="162">
        <v>0</v>
      </c>
      <c r="AZ89" s="162">
        <v>0</v>
      </c>
      <c r="BA89" s="231" t="s">
        <v>1966</v>
      </c>
      <c r="BB89" s="210"/>
      <c r="BC89" s="115"/>
      <c r="BD89" s="236"/>
    </row>
    <row r="90" spans="1:56" s="121" customFormat="1" ht="16.5" customHeight="1">
      <c r="A90" s="104" t="s">
        <v>2429</v>
      </c>
      <c r="B90" s="105" t="s">
        <v>611</v>
      </c>
      <c r="C90" s="106" t="s">
        <v>601</v>
      </c>
      <c r="D90" s="106" t="s">
        <v>2415</v>
      </c>
      <c r="E90" s="71" t="s">
        <v>602</v>
      </c>
      <c r="F90" s="71" t="s">
        <v>78</v>
      </c>
      <c r="G90" s="109" t="s">
        <v>180</v>
      </c>
      <c r="H90" s="110">
        <v>0</v>
      </c>
      <c r="I90" s="134">
        <v>0</v>
      </c>
      <c r="J90" s="110">
        <v>31.875</v>
      </c>
      <c r="K90" s="113">
        <f t="shared" si="13"/>
        <v>31.875</v>
      </c>
      <c r="L90" s="110">
        <v>197.489</v>
      </c>
      <c r="M90" s="135">
        <v>23.568000000000001</v>
      </c>
      <c r="N90" s="115">
        <v>0</v>
      </c>
      <c r="O90" s="111">
        <v>0</v>
      </c>
      <c r="P90" s="136">
        <v>2.4E-2</v>
      </c>
      <c r="Q90" s="111">
        <v>8397</v>
      </c>
      <c r="R90" s="134"/>
      <c r="S90" s="111">
        <f t="shared" si="17"/>
        <v>202</v>
      </c>
      <c r="T90" s="115">
        <v>0</v>
      </c>
      <c r="U90" s="144">
        <v>28.364999999999998</v>
      </c>
      <c r="V90" s="135">
        <v>100.22199999999999</v>
      </c>
      <c r="W90" s="113">
        <f t="shared" si="14"/>
        <v>551.64400000000001</v>
      </c>
      <c r="X90" s="133"/>
      <c r="Y90" s="135">
        <v>0</v>
      </c>
      <c r="Z90" s="116">
        <v>68.900000000000006</v>
      </c>
      <c r="AA90" s="135">
        <v>100.22199999999999</v>
      </c>
      <c r="AB90" s="113">
        <f t="shared" si="18"/>
        <v>169.12200000000001</v>
      </c>
      <c r="AC90" s="110">
        <v>0</v>
      </c>
      <c r="AD90" s="111">
        <v>0</v>
      </c>
      <c r="AE90" s="112">
        <v>0</v>
      </c>
      <c r="AF90" s="117">
        <v>0</v>
      </c>
      <c r="AG90" s="111">
        <v>149</v>
      </c>
      <c r="AH90" s="112">
        <v>0</v>
      </c>
      <c r="AI90" s="112">
        <v>3.41</v>
      </c>
      <c r="AJ90" s="113">
        <f t="shared" si="19"/>
        <v>152.41</v>
      </c>
      <c r="AK90" s="143">
        <f t="shared" si="21"/>
        <v>58534</v>
      </c>
      <c r="AL90" s="112">
        <f t="shared" si="21"/>
        <v>44511.38</v>
      </c>
      <c r="AM90" s="112">
        <f t="shared" si="21"/>
        <v>14022.62</v>
      </c>
      <c r="AN90" s="112">
        <f t="shared" si="21"/>
        <v>1496.5930000000001</v>
      </c>
      <c r="AO90" s="230">
        <f t="shared" si="15"/>
        <v>0.76043632760446922</v>
      </c>
      <c r="AP90" s="193">
        <f t="shared" si="22"/>
        <v>2048.2370000000001</v>
      </c>
      <c r="AQ90" s="194">
        <f t="shared" si="16"/>
        <v>-2016.3620000000001</v>
      </c>
      <c r="AR90" s="118"/>
      <c r="AS90" s="119"/>
      <c r="AT90" s="119"/>
      <c r="AU90" s="120"/>
      <c r="AV90" s="195"/>
      <c r="AW90" s="112">
        <v>58534000</v>
      </c>
      <c r="AX90" s="162">
        <v>44511380</v>
      </c>
      <c r="AY90" s="162">
        <v>14022620</v>
      </c>
      <c r="AZ90" s="162">
        <v>1496593</v>
      </c>
      <c r="BA90" s="231">
        <f t="shared" si="20"/>
        <v>0.76043632760446922</v>
      </c>
      <c r="BB90" s="210">
        <v>3908</v>
      </c>
      <c r="BC90" s="115">
        <v>1</v>
      </c>
      <c r="BD90" s="236"/>
    </row>
    <row r="91" spans="1:56" s="121" customFormat="1" ht="16.5" customHeight="1">
      <c r="A91" s="104" t="s">
        <v>2429</v>
      </c>
      <c r="B91" s="105" t="s">
        <v>618</v>
      </c>
      <c r="C91" s="106" t="s">
        <v>606</v>
      </c>
      <c r="D91" s="106" t="s">
        <v>2415</v>
      </c>
      <c r="E91" s="71" t="s">
        <v>607</v>
      </c>
      <c r="F91" s="71" t="s">
        <v>78</v>
      </c>
      <c r="G91" s="109" t="s">
        <v>180</v>
      </c>
      <c r="H91" s="110">
        <v>0</v>
      </c>
      <c r="I91" s="134">
        <v>0</v>
      </c>
      <c r="J91" s="110">
        <v>192.8</v>
      </c>
      <c r="K91" s="113">
        <f t="shared" si="13"/>
        <v>192.8</v>
      </c>
      <c r="L91" s="110">
        <v>567.41899999999998</v>
      </c>
      <c r="M91" s="135">
        <v>23.568000000000001</v>
      </c>
      <c r="N91" s="115">
        <v>0</v>
      </c>
      <c r="O91" s="111">
        <v>330</v>
      </c>
      <c r="P91" s="136">
        <v>2.4E-2</v>
      </c>
      <c r="Q91" s="111">
        <v>8397</v>
      </c>
      <c r="R91" s="134"/>
      <c r="S91" s="111">
        <f t="shared" si="17"/>
        <v>202</v>
      </c>
      <c r="T91" s="115">
        <v>0</v>
      </c>
      <c r="U91" s="144">
        <v>36.365000000000002</v>
      </c>
      <c r="V91" s="135">
        <v>100.22199999999999</v>
      </c>
      <c r="W91" s="113">
        <f t="shared" si="14"/>
        <v>1259.5740000000001</v>
      </c>
      <c r="X91" s="133"/>
      <c r="Y91" s="135">
        <v>0</v>
      </c>
      <c r="Z91" s="116">
        <v>303.51299999999998</v>
      </c>
      <c r="AA91" s="135">
        <v>100.22199999999999</v>
      </c>
      <c r="AB91" s="113">
        <f t="shared" si="18"/>
        <v>403.73499999999996</v>
      </c>
      <c r="AC91" s="110">
        <v>0</v>
      </c>
      <c r="AD91" s="111">
        <v>132.52000000000001</v>
      </c>
      <c r="AE91" s="112">
        <v>0</v>
      </c>
      <c r="AF91" s="117">
        <v>0</v>
      </c>
      <c r="AG91" s="111">
        <v>66</v>
      </c>
      <c r="AH91" s="112">
        <v>0</v>
      </c>
      <c r="AI91" s="112">
        <v>94.159000000000006</v>
      </c>
      <c r="AJ91" s="113">
        <f t="shared" si="19"/>
        <v>292.67900000000003</v>
      </c>
      <c r="AK91" s="143">
        <f t="shared" si="21"/>
        <v>105886.02800000001</v>
      </c>
      <c r="AL91" s="112">
        <f t="shared" si="21"/>
        <v>90662.222999999998</v>
      </c>
      <c r="AM91" s="112">
        <f t="shared" si="21"/>
        <v>15223.805</v>
      </c>
      <c r="AN91" s="112">
        <f t="shared" si="21"/>
        <v>2538.4349999999999</v>
      </c>
      <c r="AO91" s="230">
        <f t="shared" si="15"/>
        <v>0.85622460972849035</v>
      </c>
      <c r="AP91" s="193">
        <f t="shared" si="22"/>
        <v>3798.009</v>
      </c>
      <c r="AQ91" s="194">
        <f t="shared" si="16"/>
        <v>-3605.2089999999998</v>
      </c>
      <c r="AR91" s="118"/>
      <c r="AS91" s="119"/>
      <c r="AT91" s="119"/>
      <c r="AU91" s="120"/>
      <c r="AV91" s="195"/>
      <c r="AW91" s="112">
        <v>105886028</v>
      </c>
      <c r="AX91" s="162">
        <v>90662223</v>
      </c>
      <c r="AY91" s="162">
        <v>15223805</v>
      </c>
      <c r="AZ91" s="162">
        <v>2538435</v>
      </c>
      <c r="BA91" s="231">
        <f t="shared" si="20"/>
        <v>0.85622460972849035</v>
      </c>
      <c r="BB91" s="210">
        <v>12619</v>
      </c>
      <c r="BC91" s="115">
        <v>3</v>
      </c>
      <c r="BD91" s="236"/>
    </row>
    <row r="92" spans="1:56" s="121" customFormat="1" ht="16.5" customHeight="1">
      <c r="A92" s="104" t="s">
        <v>2429</v>
      </c>
      <c r="B92" s="105" t="s">
        <v>621</v>
      </c>
      <c r="C92" s="106" t="s">
        <v>612</v>
      </c>
      <c r="D92" s="106" t="s">
        <v>2415</v>
      </c>
      <c r="E92" s="71" t="s">
        <v>613</v>
      </c>
      <c r="F92" s="71" t="s">
        <v>78</v>
      </c>
      <c r="G92" s="109" t="s">
        <v>180</v>
      </c>
      <c r="H92" s="110">
        <v>0</v>
      </c>
      <c r="I92" s="134">
        <v>0</v>
      </c>
      <c r="J92" s="110">
        <v>149.9</v>
      </c>
      <c r="K92" s="113">
        <f t="shared" si="13"/>
        <v>149.9</v>
      </c>
      <c r="L92" s="110">
        <v>573.37900000000002</v>
      </c>
      <c r="M92" s="135">
        <v>23.568000000000001</v>
      </c>
      <c r="N92" s="115">
        <v>0</v>
      </c>
      <c r="O92" s="111">
        <v>936.98</v>
      </c>
      <c r="P92" s="136">
        <v>2.4E-2</v>
      </c>
      <c r="Q92" s="111">
        <v>8397</v>
      </c>
      <c r="R92" s="134"/>
      <c r="S92" s="111">
        <f t="shared" si="17"/>
        <v>202</v>
      </c>
      <c r="T92" s="115">
        <v>0</v>
      </c>
      <c r="U92" s="144">
        <v>33.865000000000002</v>
      </c>
      <c r="V92" s="135">
        <v>100.22199999999999</v>
      </c>
      <c r="W92" s="113">
        <f t="shared" si="14"/>
        <v>1870.0140000000001</v>
      </c>
      <c r="X92" s="133"/>
      <c r="Y92" s="135">
        <v>0</v>
      </c>
      <c r="Z92" s="116">
        <v>172.9</v>
      </c>
      <c r="AA92" s="135">
        <v>100.22199999999999</v>
      </c>
      <c r="AB92" s="113">
        <f t="shared" si="18"/>
        <v>273.12200000000001</v>
      </c>
      <c r="AC92" s="110">
        <v>0</v>
      </c>
      <c r="AD92" s="111">
        <v>0</v>
      </c>
      <c r="AE92" s="112">
        <v>0</v>
      </c>
      <c r="AF92" s="117">
        <v>0</v>
      </c>
      <c r="AG92" s="111">
        <v>245</v>
      </c>
      <c r="AH92" s="112">
        <v>0</v>
      </c>
      <c r="AI92" s="112">
        <v>71.938000000000002</v>
      </c>
      <c r="AJ92" s="113">
        <f t="shared" si="19"/>
        <v>316.93799999999999</v>
      </c>
      <c r="AK92" s="143">
        <f t="shared" si="21"/>
        <v>96764.048999999999</v>
      </c>
      <c r="AL92" s="112">
        <f t="shared" si="21"/>
        <v>71570.297999999995</v>
      </c>
      <c r="AM92" s="112">
        <f t="shared" si="21"/>
        <v>25193.751</v>
      </c>
      <c r="AN92" s="112">
        <f t="shared" si="21"/>
        <v>2156.5149999999999</v>
      </c>
      <c r="AO92" s="230">
        <f t="shared" si="15"/>
        <v>0.73963727995714612</v>
      </c>
      <c r="AP92" s="193">
        <f t="shared" si="22"/>
        <v>4026.529</v>
      </c>
      <c r="AQ92" s="194">
        <f t="shared" si="16"/>
        <v>-3876.6289999999999</v>
      </c>
      <c r="AR92" s="118"/>
      <c r="AS92" s="119"/>
      <c r="AT92" s="119"/>
      <c r="AU92" s="120"/>
      <c r="AV92" s="195"/>
      <c r="AW92" s="112">
        <v>96764049</v>
      </c>
      <c r="AX92" s="162">
        <v>71570298</v>
      </c>
      <c r="AY92" s="162">
        <v>25193751</v>
      </c>
      <c r="AZ92" s="162">
        <v>2156515</v>
      </c>
      <c r="BA92" s="231">
        <f t="shared" si="20"/>
        <v>0.73963727995714612</v>
      </c>
      <c r="BB92" s="210">
        <v>13044</v>
      </c>
      <c r="BC92" s="115">
        <v>25</v>
      </c>
      <c r="BD92" s="236"/>
    </row>
    <row r="93" spans="1:56" s="121" customFormat="1" ht="16.5" customHeight="1">
      <c r="A93" s="104" t="s">
        <v>2429</v>
      </c>
      <c r="B93" s="105" t="s">
        <v>624</v>
      </c>
      <c r="C93" s="106" t="s">
        <v>619</v>
      </c>
      <c r="D93" s="106" t="s">
        <v>2415</v>
      </c>
      <c r="E93" s="71" t="s">
        <v>620</v>
      </c>
      <c r="F93" s="71" t="s">
        <v>78</v>
      </c>
      <c r="G93" s="109" t="s">
        <v>180</v>
      </c>
      <c r="H93" s="110">
        <v>0</v>
      </c>
      <c r="I93" s="134">
        <v>0</v>
      </c>
      <c r="J93" s="110">
        <v>105.2</v>
      </c>
      <c r="K93" s="113">
        <f t="shared" si="13"/>
        <v>105.2</v>
      </c>
      <c r="L93" s="110">
        <v>516.59799999999996</v>
      </c>
      <c r="M93" s="135">
        <v>23.568000000000001</v>
      </c>
      <c r="N93" s="115">
        <v>0</v>
      </c>
      <c r="O93" s="111">
        <v>0</v>
      </c>
      <c r="P93" s="136">
        <v>2.4E-2</v>
      </c>
      <c r="Q93" s="111">
        <v>8397</v>
      </c>
      <c r="R93" s="134"/>
      <c r="S93" s="111">
        <f t="shared" si="17"/>
        <v>202</v>
      </c>
      <c r="T93" s="115">
        <v>0</v>
      </c>
      <c r="U93" s="144">
        <v>28.364999999999998</v>
      </c>
      <c r="V93" s="135">
        <v>100.22199999999999</v>
      </c>
      <c r="W93" s="113">
        <f t="shared" si="14"/>
        <v>870.75299999999993</v>
      </c>
      <c r="X93" s="133"/>
      <c r="Y93" s="135">
        <v>0</v>
      </c>
      <c r="Z93" s="116">
        <v>378.80200000000002</v>
      </c>
      <c r="AA93" s="135">
        <v>100.22199999999999</v>
      </c>
      <c r="AB93" s="113">
        <f t="shared" si="18"/>
        <v>479.024</v>
      </c>
      <c r="AC93" s="110">
        <v>0</v>
      </c>
      <c r="AD93" s="111">
        <v>116.277</v>
      </c>
      <c r="AE93" s="112">
        <v>0</v>
      </c>
      <c r="AF93" s="117">
        <v>5.4059999999999997</v>
      </c>
      <c r="AG93" s="111">
        <v>180</v>
      </c>
      <c r="AH93" s="112">
        <v>0</v>
      </c>
      <c r="AI93" s="112">
        <v>227.11699999999999</v>
      </c>
      <c r="AJ93" s="113">
        <f t="shared" si="19"/>
        <v>528.79999999999995</v>
      </c>
      <c r="AK93" s="143">
        <f t="shared" si="21"/>
        <v>95520.823999999993</v>
      </c>
      <c r="AL93" s="112">
        <f t="shared" si="21"/>
        <v>84644.407000000007</v>
      </c>
      <c r="AM93" s="112">
        <f t="shared" si="21"/>
        <v>10876.416999999999</v>
      </c>
      <c r="AN93" s="112">
        <f t="shared" si="21"/>
        <v>397.22800000000001</v>
      </c>
      <c r="AO93" s="230">
        <f t="shared" si="15"/>
        <v>0.88613564514476972</v>
      </c>
      <c r="AP93" s="193">
        <f t="shared" si="22"/>
        <v>1267.981</v>
      </c>
      <c r="AQ93" s="194">
        <f t="shared" si="16"/>
        <v>-1162.7809999999999</v>
      </c>
      <c r="AR93" s="118"/>
      <c r="AS93" s="119"/>
      <c r="AT93" s="119"/>
      <c r="AU93" s="120"/>
      <c r="AV93" s="195"/>
      <c r="AW93" s="112">
        <v>95520824</v>
      </c>
      <c r="AX93" s="162">
        <v>84644407</v>
      </c>
      <c r="AY93" s="162">
        <v>10876417</v>
      </c>
      <c r="AZ93" s="162">
        <v>397228</v>
      </c>
      <c r="BA93" s="231">
        <f t="shared" si="20"/>
        <v>0.88613564514476972</v>
      </c>
      <c r="BB93" s="210">
        <v>11358</v>
      </c>
      <c r="BC93" s="115">
        <v>17</v>
      </c>
      <c r="BD93" s="236"/>
    </row>
    <row r="94" spans="1:56" s="121" customFormat="1" ht="16.5" customHeight="1">
      <c r="A94" s="104" t="s">
        <v>2429</v>
      </c>
      <c r="B94" s="105" t="s">
        <v>627</v>
      </c>
      <c r="C94" s="106" t="s">
        <v>622</v>
      </c>
      <c r="D94" s="106" t="s">
        <v>2415</v>
      </c>
      <c r="E94" s="71" t="s">
        <v>623</v>
      </c>
      <c r="F94" s="71" t="s">
        <v>78</v>
      </c>
      <c r="G94" s="109" t="s">
        <v>180</v>
      </c>
      <c r="H94" s="110">
        <v>0</v>
      </c>
      <c r="I94" s="134">
        <v>0</v>
      </c>
      <c r="J94" s="110">
        <v>39.4</v>
      </c>
      <c r="K94" s="113">
        <f t="shared" si="13"/>
        <v>39.4</v>
      </c>
      <c r="L94" s="110">
        <v>173.595</v>
      </c>
      <c r="M94" s="135">
        <v>23.568000000000001</v>
      </c>
      <c r="N94" s="115">
        <v>0</v>
      </c>
      <c r="O94" s="111">
        <v>60.5</v>
      </c>
      <c r="P94" s="136">
        <v>2.4E-2</v>
      </c>
      <c r="Q94" s="111">
        <v>8397</v>
      </c>
      <c r="R94" s="134"/>
      <c r="S94" s="111">
        <f t="shared" si="17"/>
        <v>202</v>
      </c>
      <c r="T94" s="115">
        <v>0</v>
      </c>
      <c r="U94" s="144">
        <v>28.364999999999998</v>
      </c>
      <c r="V94" s="135">
        <v>100.22199999999999</v>
      </c>
      <c r="W94" s="113">
        <f t="shared" si="14"/>
        <v>588.25</v>
      </c>
      <c r="X94" s="133"/>
      <c r="Y94" s="135">
        <v>0</v>
      </c>
      <c r="Z94" s="135">
        <v>57</v>
      </c>
      <c r="AA94" s="135">
        <v>100.22199999999999</v>
      </c>
      <c r="AB94" s="113">
        <f t="shared" si="18"/>
        <v>157.22199999999998</v>
      </c>
      <c r="AC94" s="110">
        <v>0</v>
      </c>
      <c r="AD94" s="111">
        <v>0</v>
      </c>
      <c r="AE94" s="112">
        <v>0</v>
      </c>
      <c r="AF94" s="117">
        <v>0</v>
      </c>
      <c r="AG94" s="111">
        <v>0</v>
      </c>
      <c r="AH94" s="112">
        <v>0</v>
      </c>
      <c r="AI94" s="112">
        <v>96.387</v>
      </c>
      <c r="AJ94" s="113">
        <f t="shared" si="19"/>
        <v>96.387</v>
      </c>
      <c r="AK94" s="143">
        <f t="shared" si="21"/>
        <v>34460</v>
      </c>
      <c r="AL94" s="112">
        <f t="shared" si="21"/>
        <v>32725.399000000001</v>
      </c>
      <c r="AM94" s="112">
        <f t="shared" si="21"/>
        <v>1734.6010000000001</v>
      </c>
      <c r="AN94" s="112">
        <f t="shared" si="21"/>
        <v>80.849999999999994</v>
      </c>
      <c r="AO94" s="230">
        <f t="shared" si="15"/>
        <v>0.94966334881021475</v>
      </c>
      <c r="AP94" s="193">
        <f t="shared" si="22"/>
        <v>669.1</v>
      </c>
      <c r="AQ94" s="194">
        <f t="shared" si="16"/>
        <v>-629.70000000000005</v>
      </c>
      <c r="AR94" s="118"/>
      <c r="AS94" s="119"/>
      <c r="AT94" s="119"/>
      <c r="AU94" s="120"/>
      <c r="AV94" s="195"/>
      <c r="AW94" s="112">
        <v>34460000</v>
      </c>
      <c r="AX94" s="162">
        <v>32725399</v>
      </c>
      <c r="AY94" s="162">
        <v>1734601</v>
      </c>
      <c r="AZ94" s="162">
        <v>80850</v>
      </c>
      <c r="BA94" s="231">
        <f t="shared" si="20"/>
        <v>0.94966334881021475</v>
      </c>
      <c r="BB94" s="210">
        <v>4722</v>
      </c>
      <c r="BC94" s="115">
        <v>0</v>
      </c>
      <c r="BD94" s="236">
        <v>0</v>
      </c>
    </row>
    <row r="95" spans="1:56" s="121" customFormat="1" ht="16.5" customHeight="1">
      <c r="A95" s="104" t="s">
        <v>2429</v>
      </c>
      <c r="B95" s="105" t="s">
        <v>634</v>
      </c>
      <c r="C95" s="106" t="s">
        <v>625</v>
      </c>
      <c r="D95" s="106" t="s">
        <v>2415</v>
      </c>
      <c r="E95" s="71" t="s">
        <v>626</v>
      </c>
      <c r="F95" s="71" t="s">
        <v>78</v>
      </c>
      <c r="G95" s="109" t="s">
        <v>180</v>
      </c>
      <c r="H95" s="110">
        <v>0</v>
      </c>
      <c r="I95" s="134">
        <v>0</v>
      </c>
      <c r="J95" s="110">
        <v>105.2</v>
      </c>
      <c r="K95" s="113">
        <f t="shared" si="13"/>
        <v>105.2</v>
      </c>
      <c r="L95" s="110">
        <v>311.45999999999998</v>
      </c>
      <c r="M95" s="135">
        <v>23.568000000000001</v>
      </c>
      <c r="N95" s="115">
        <v>0</v>
      </c>
      <c r="O95" s="111">
        <v>8.8000000000000007</v>
      </c>
      <c r="P95" s="136">
        <v>2.4E-2</v>
      </c>
      <c r="Q95" s="111">
        <v>8397</v>
      </c>
      <c r="R95" s="134"/>
      <c r="S95" s="111">
        <f t="shared" si="17"/>
        <v>202</v>
      </c>
      <c r="T95" s="115">
        <v>0</v>
      </c>
      <c r="U95" s="144">
        <v>28.364999999999998</v>
      </c>
      <c r="V95" s="135">
        <v>100.22199999999999</v>
      </c>
      <c r="W95" s="113">
        <f t="shared" si="14"/>
        <v>674.41499999999996</v>
      </c>
      <c r="X95" s="133"/>
      <c r="Y95" s="135">
        <v>0</v>
      </c>
      <c r="Z95" s="135">
        <v>78.900000000000006</v>
      </c>
      <c r="AA95" s="135">
        <v>100.22199999999999</v>
      </c>
      <c r="AB95" s="113">
        <f t="shared" si="18"/>
        <v>179.12200000000001</v>
      </c>
      <c r="AC95" s="110">
        <v>0</v>
      </c>
      <c r="AD95" s="111">
        <v>58.271000000000001</v>
      </c>
      <c r="AE95" s="112">
        <v>0</v>
      </c>
      <c r="AF95" s="117">
        <v>0</v>
      </c>
      <c r="AG95" s="111">
        <v>58</v>
      </c>
      <c r="AH95" s="112">
        <v>0</v>
      </c>
      <c r="AI95" s="112">
        <v>76.353999999999999</v>
      </c>
      <c r="AJ95" s="113">
        <f t="shared" si="19"/>
        <v>192.625</v>
      </c>
      <c r="AK95" s="143">
        <f t="shared" si="21"/>
        <v>31621.5</v>
      </c>
      <c r="AL95" s="112">
        <f t="shared" si="21"/>
        <v>27510.417000000001</v>
      </c>
      <c r="AM95" s="112">
        <f t="shared" si="21"/>
        <v>4111.0829999999996</v>
      </c>
      <c r="AN95" s="112">
        <f t="shared" si="21"/>
        <v>731.97299999999996</v>
      </c>
      <c r="AO95" s="230">
        <f t="shared" si="15"/>
        <v>0.86999089227266257</v>
      </c>
      <c r="AP95" s="193">
        <f t="shared" si="22"/>
        <v>1406.3879999999999</v>
      </c>
      <c r="AQ95" s="194">
        <f t="shared" si="16"/>
        <v>-1301.1879999999999</v>
      </c>
      <c r="AR95" s="118"/>
      <c r="AS95" s="119"/>
      <c r="AT95" s="119"/>
      <c r="AU95" s="120"/>
      <c r="AV95" s="195"/>
      <c r="AW95" s="112">
        <v>31621500</v>
      </c>
      <c r="AX95" s="162">
        <v>27510417</v>
      </c>
      <c r="AY95" s="162">
        <v>4111083</v>
      </c>
      <c r="AZ95" s="162">
        <v>731973</v>
      </c>
      <c r="BA95" s="231">
        <f t="shared" si="20"/>
        <v>0.86999089227266257</v>
      </c>
      <c r="BB95" s="210">
        <v>4287</v>
      </c>
      <c r="BC95" s="115"/>
      <c r="BD95" s="236">
        <v>2.2000000000000002</v>
      </c>
    </row>
    <row r="96" spans="1:56" s="121" customFormat="1" ht="16.5" customHeight="1">
      <c r="A96" s="104" t="s">
        <v>2429</v>
      </c>
      <c r="B96" s="105" t="s">
        <v>639</v>
      </c>
      <c r="C96" s="106" t="s">
        <v>628</v>
      </c>
      <c r="D96" s="106" t="s">
        <v>2415</v>
      </c>
      <c r="E96" s="71" t="s">
        <v>629</v>
      </c>
      <c r="F96" s="71" t="s">
        <v>78</v>
      </c>
      <c r="G96" s="109" t="s">
        <v>180</v>
      </c>
      <c r="H96" s="110">
        <v>0</v>
      </c>
      <c r="I96" s="134">
        <v>0</v>
      </c>
      <c r="J96" s="110">
        <v>0</v>
      </c>
      <c r="K96" s="113">
        <f t="shared" si="13"/>
        <v>0</v>
      </c>
      <c r="L96" s="110">
        <v>254.357</v>
      </c>
      <c r="M96" s="135">
        <v>23.568000000000001</v>
      </c>
      <c r="N96" s="115">
        <v>0</v>
      </c>
      <c r="O96" s="111">
        <v>608.29999999999995</v>
      </c>
      <c r="P96" s="136">
        <v>2.4E-2</v>
      </c>
      <c r="Q96" s="111">
        <v>8397</v>
      </c>
      <c r="R96" s="134"/>
      <c r="S96" s="111">
        <f t="shared" si="17"/>
        <v>202</v>
      </c>
      <c r="T96" s="115">
        <v>0</v>
      </c>
      <c r="U96" s="144">
        <v>39.365000000000002</v>
      </c>
      <c r="V96" s="135">
        <v>100.22199999999999</v>
      </c>
      <c r="W96" s="113">
        <f t="shared" si="14"/>
        <v>1227.8119999999999</v>
      </c>
      <c r="X96" s="133"/>
      <c r="Y96" s="135">
        <v>0</v>
      </c>
      <c r="Z96" s="116">
        <v>0</v>
      </c>
      <c r="AA96" s="135">
        <v>100.22199999999999</v>
      </c>
      <c r="AB96" s="113">
        <f t="shared" si="18"/>
        <v>100.22199999999999</v>
      </c>
      <c r="AC96" s="110">
        <v>0</v>
      </c>
      <c r="AD96" s="111">
        <v>60</v>
      </c>
      <c r="AE96" s="112">
        <v>0</v>
      </c>
      <c r="AF96" s="117">
        <v>0</v>
      </c>
      <c r="AG96" s="111">
        <v>30</v>
      </c>
      <c r="AH96" s="112">
        <v>0</v>
      </c>
      <c r="AI96" s="112">
        <v>10.222</v>
      </c>
      <c r="AJ96" s="113">
        <f t="shared" si="19"/>
        <v>100.22199999999999</v>
      </c>
      <c r="AK96" s="143">
        <f t="shared" si="21"/>
        <v>35807</v>
      </c>
      <c r="AL96" s="112">
        <f t="shared" si="21"/>
        <v>32781.648999999998</v>
      </c>
      <c r="AM96" s="112">
        <f t="shared" si="21"/>
        <v>3025.3510000000001</v>
      </c>
      <c r="AN96" s="112">
        <f t="shared" si="21"/>
        <v>164.24100000000001</v>
      </c>
      <c r="AO96" s="230">
        <f t="shared" si="15"/>
        <v>0.91550950931382136</v>
      </c>
      <c r="AP96" s="193">
        <f t="shared" si="22"/>
        <v>1392.0529999999999</v>
      </c>
      <c r="AQ96" s="194">
        <f t="shared" si="16"/>
        <v>-1392.0529999999999</v>
      </c>
      <c r="AR96" s="118"/>
      <c r="AS96" s="119"/>
      <c r="AT96" s="119"/>
      <c r="AU96" s="120"/>
      <c r="AV96" s="195"/>
      <c r="AW96" s="112">
        <v>35807000</v>
      </c>
      <c r="AX96" s="162">
        <v>32781649</v>
      </c>
      <c r="AY96" s="162">
        <v>3025351</v>
      </c>
      <c r="AZ96" s="162">
        <v>164241</v>
      </c>
      <c r="BA96" s="231">
        <f t="shared" si="20"/>
        <v>0.91550950931382136</v>
      </c>
      <c r="BB96" s="210">
        <v>3407</v>
      </c>
      <c r="BC96" s="115">
        <v>0</v>
      </c>
      <c r="BD96" s="236">
        <v>0</v>
      </c>
    </row>
    <row r="97" spans="1:56" s="121" customFormat="1" ht="16.5" customHeight="1">
      <c r="A97" s="104" t="s">
        <v>2429</v>
      </c>
      <c r="B97" s="105" t="s">
        <v>645</v>
      </c>
      <c r="C97" s="106" t="s">
        <v>635</v>
      </c>
      <c r="D97" s="106" t="s">
        <v>2415</v>
      </c>
      <c r="E97" s="71" t="s">
        <v>636</v>
      </c>
      <c r="F97" s="71" t="s">
        <v>78</v>
      </c>
      <c r="G97" s="109" t="s">
        <v>180</v>
      </c>
      <c r="H97" s="110">
        <v>0</v>
      </c>
      <c r="I97" s="134">
        <v>0</v>
      </c>
      <c r="J97" s="110">
        <v>0</v>
      </c>
      <c r="K97" s="113">
        <f t="shared" si="13"/>
        <v>0</v>
      </c>
      <c r="L97" s="110">
        <v>730.10299999999995</v>
      </c>
      <c r="M97" s="135">
        <v>23.568000000000001</v>
      </c>
      <c r="N97" s="115">
        <v>0</v>
      </c>
      <c r="O97" s="111">
        <v>482.9</v>
      </c>
      <c r="P97" s="136">
        <v>2.4E-2</v>
      </c>
      <c r="Q97" s="111">
        <v>8397</v>
      </c>
      <c r="R97" s="134"/>
      <c r="S97" s="111">
        <f t="shared" si="17"/>
        <v>202</v>
      </c>
      <c r="T97" s="115">
        <v>0</v>
      </c>
      <c r="U97" s="144">
        <v>61.472999999999999</v>
      </c>
      <c r="V97" s="135">
        <v>100.22199999999999</v>
      </c>
      <c r="W97" s="113">
        <f t="shared" si="14"/>
        <v>1600.2659999999998</v>
      </c>
      <c r="X97" s="133"/>
      <c r="Y97" s="135">
        <v>0</v>
      </c>
      <c r="Z97" s="116">
        <v>325</v>
      </c>
      <c r="AA97" s="135">
        <v>100.22199999999999</v>
      </c>
      <c r="AB97" s="113">
        <f t="shared" si="18"/>
        <v>425.22199999999998</v>
      </c>
      <c r="AC97" s="110">
        <v>0</v>
      </c>
      <c r="AD97" s="111">
        <v>180</v>
      </c>
      <c r="AE97" s="112">
        <v>0</v>
      </c>
      <c r="AF97" s="117">
        <v>0</v>
      </c>
      <c r="AG97" s="111">
        <v>200</v>
      </c>
      <c r="AH97" s="112">
        <v>0</v>
      </c>
      <c r="AI97" s="112">
        <v>98.611000000000004</v>
      </c>
      <c r="AJ97" s="113">
        <f t="shared" si="19"/>
        <v>478.61099999999999</v>
      </c>
      <c r="AK97" s="143">
        <f t="shared" si="21"/>
        <v>118378.95</v>
      </c>
      <c r="AL97" s="112">
        <f t="shared" si="21"/>
        <v>96866.44</v>
      </c>
      <c r="AM97" s="112">
        <f t="shared" si="21"/>
        <v>21512.51</v>
      </c>
      <c r="AN97" s="112">
        <f t="shared" si="21"/>
        <v>665.58600000000001</v>
      </c>
      <c r="AO97" s="230">
        <f t="shared" si="15"/>
        <v>0.81827419486319142</v>
      </c>
      <c r="AP97" s="193">
        <f t="shared" si="22"/>
        <v>2265.8519999999999</v>
      </c>
      <c r="AQ97" s="194">
        <f t="shared" si="16"/>
        <v>-2265.8519999999999</v>
      </c>
      <c r="AR97" s="118"/>
      <c r="AS97" s="119"/>
      <c r="AT97" s="119"/>
      <c r="AU97" s="120"/>
      <c r="AV97" s="195"/>
      <c r="AW97" s="112">
        <v>118378950</v>
      </c>
      <c r="AX97" s="162">
        <v>96866440</v>
      </c>
      <c r="AY97" s="162">
        <v>21512510</v>
      </c>
      <c r="AZ97" s="162">
        <v>665586</v>
      </c>
      <c r="BA97" s="231">
        <f t="shared" si="20"/>
        <v>0.81827419486319142</v>
      </c>
      <c r="BB97" s="210">
        <v>21190</v>
      </c>
      <c r="BC97" s="115"/>
      <c r="BD97" s="236">
        <v>7</v>
      </c>
    </row>
    <row r="98" spans="1:56" s="121" customFormat="1" ht="16.5" customHeight="1">
      <c r="A98" s="104" t="s">
        <v>2429</v>
      </c>
      <c r="B98" s="105" t="s">
        <v>652</v>
      </c>
      <c r="C98" s="106" t="s">
        <v>640</v>
      </c>
      <c r="D98" s="106" t="s">
        <v>2415</v>
      </c>
      <c r="E98" s="71" t="s">
        <v>641</v>
      </c>
      <c r="F98" s="71" t="s">
        <v>78</v>
      </c>
      <c r="G98" s="109" t="s">
        <v>180</v>
      </c>
      <c r="H98" s="110">
        <v>0</v>
      </c>
      <c r="I98" s="134">
        <v>0</v>
      </c>
      <c r="J98" s="110">
        <v>0</v>
      </c>
      <c r="K98" s="113">
        <f t="shared" si="13"/>
        <v>0</v>
      </c>
      <c r="L98" s="110">
        <v>253.09899999999999</v>
      </c>
      <c r="M98" s="135">
        <v>23.568000000000001</v>
      </c>
      <c r="N98" s="115">
        <v>0</v>
      </c>
      <c r="O98" s="111">
        <v>555.5</v>
      </c>
      <c r="P98" s="136">
        <v>2.4E-2</v>
      </c>
      <c r="Q98" s="111">
        <v>8397</v>
      </c>
      <c r="R98" s="134"/>
      <c r="S98" s="111">
        <f t="shared" si="17"/>
        <v>202</v>
      </c>
      <c r="T98" s="115">
        <v>0</v>
      </c>
      <c r="U98" s="144">
        <v>28.364999999999998</v>
      </c>
      <c r="V98" s="135">
        <v>100.22199999999999</v>
      </c>
      <c r="W98" s="113">
        <f t="shared" si="14"/>
        <v>1162.7539999999999</v>
      </c>
      <c r="X98" s="133"/>
      <c r="Y98" s="135">
        <v>0</v>
      </c>
      <c r="Z98" s="135">
        <v>40.5</v>
      </c>
      <c r="AA98" s="135">
        <v>100.22199999999999</v>
      </c>
      <c r="AB98" s="113">
        <f t="shared" si="18"/>
        <v>140.72199999999998</v>
      </c>
      <c r="AC98" s="110">
        <v>0</v>
      </c>
      <c r="AD98" s="111">
        <v>7.8</v>
      </c>
      <c r="AE98" s="112">
        <v>0</v>
      </c>
      <c r="AF98" s="117">
        <v>0</v>
      </c>
      <c r="AG98" s="111">
        <v>30</v>
      </c>
      <c r="AH98" s="112">
        <v>0</v>
      </c>
      <c r="AI98" s="112">
        <v>25.45</v>
      </c>
      <c r="AJ98" s="113">
        <f t="shared" si="19"/>
        <v>63.25</v>
      </c>
      <c r="AK98" s="143">
        <f t="shared" ref="AK98:AN113" si="23">AW98/1000</f>
        <v>35518</v>
      </c>
      <c r="AL98" s="112">
        <f t="shared" si="23"/>
        <v>28363.224999999999</v>
      </c>
      <c r="AM98" s="112">
        <f t="shared" si="23"/>
        <v>7154.7749999999996</v>
      </c>
      <c r="AN98" s="112">
        <f t="shared" si="23"/>
        <v>825.56100000000004</v>
      </c>
      <c r="AO98" s="230">
        <f t="shared" si="15"/>
        <v>0.79855918126020609</v>
      </c>
      <c r="AP98" s="193">
        <f t="shared" si="22"/>
        <v>1988.3150000000001</v>
      </c>
      <c r="AQ98" s="194">
        <f t="shared" si="16"/>
        <v>-1988.3150000000001</v>
      </c>
      <c r="AR98" s="118"/>
      <c r="AS98" s="119"/>
      <c r="AT98" s="119"/>
      <c r="AU98" s="120"/>
      <c r="AV98" s="195"/>
      <c r="AW98" s="112">
        <v>35518000</v>
      </c>
      <c r="AX98" s="162">
        <v>28363225</v>
      </c>
      <c r="AY98" s="162">
        <v>7154775</v>
      </c>
      <c r="AZ98" s="162">
        <v>825561</v>
      </c>
      <c r="BA98" s="231">
        <f t="shared" si="20"/>
        <v>0.79855918126020609</v>
      </c>
      <c r="BB98" s="210">
        <v>1698</v>
      </c>
      <c r="BC98" s="115">
        <v>1</v>
      </c>
      <c r="BD98" s="236"/>
    </row>
    <row r="99" spans="1:56" s="121" customFormat="1" ht="16.5" customHeight="1">
      <c r="A99" s="104" t="s">
        <v>2429</v>
      </c>
      <c r="B99" s="105" t="s">
        <v>658</v>
      </c>
      <c r="C99" s="106" t="s">
        <v>646</v>
      </c>
      <c r="D99" s="106" t="s">
        <v>2415</v>
      </c>
      <c r="E99" s="71" t="s">
        <v>647</v>
      </c>
      <c r="F99" s="71" t="s">
        <v>78</v>
      </c>
      <c r="G99" s="109" t="s">
        <v>180</v>
      </c>
      <c r="H99" s="110">
        <v>0</v>
      </c>
      <c r="I99" s="134">
        <v>0</v>
      </c>
      <c r="J99" s="110">
        <v>14.7</v>
      </c>
      <c r="K99" s="113">
        <f t="shared" si="13"/>
        <v>14.7</v>
      </c>
      <c r="L99" s="110">
        <v>520.79</v>
      </c>
      <c r="M99" s="135">
        <v>23.568000000000001</v>
      </c>
      <c r="N99" s="115">
        <v>0</v>
      </c>
      <c r="O99" s="111">
        <v>288.2</v>
      </c>
      <c r="P99" s="136">
        <v>2.4E-2</v>
      </c>
      <c r="Q99" s="111">
        <v>8397</v>
      </c>
      <c r="R99" s="134"/>
      <c r="S99" s="111">
        <f t="shared" si="17"/>
        <v>202</v>
      </c>
      <c r="T99" s="115">
        <v>1540</v>
      </c>
      <c r="U99" s="144">
        <v>28.364999999999998</v>
      </c>
      <c r="V99" s="135">
        <v>100.22199999999999</v>
      </c>
      <c r="W99" s="113">
        <f t="shared" si="14"/>
        <v>2703.145</v>
      </c>
      <c r="X99" s="133"/>
      <c r="Y99" s="135">
        <v>0</v>
      </c>
      <c r="Z99" s="135">
        <v>27.3</v>
      </c>
      <c r="AA99" s="135">
        <v>100.22199999999999</v>
      </c>
      <c r="AB99" s="113">
        <f t="shared" si="18"/>
        <v>127.52199999999999</v>
      </c>
      <c r="AC99" s="110">
        <v>0</v>
      </c>
      <c r="AD99" s="111">
        <v>0</v>
      </c>
      <c r="AE99" s="112">
        <v>0</v>
      </c>
      <c r="AF99" s="117">
        <v>0</v>
      </c>
      <c r="AG99" s="111">
        <v>100.22199999999999</v>
      </c>
      <c r="AH99" s="112">
        <v>0</v>
      </c>
      <c r="AI99" s="112">
        <v>5.5149999999999997</v>
      </c>
      <c r="AJ99" s="113">
        <f t="shared" si="19"/>
        <v>105.73699999999999</v>
      </c>
      <c r="AK99" s="143">
        <f t="shared" si="23"/>
        <v>140811.723</v>
      </c>
      <c r="AL99" s="112">
        <f t="shared" si="23"/>
        <v>93654.928</v>
      </c>
      <c r="AM99" s="112">
        <f t="shared" si="23"/>
        <v>47156.794999999998</v>
      </c>
      <c r="AN99" s="112">
        <f t="shared" si="23"/>
        <v>4333.6540000000005</v>
      </c>
      <c r="AO99" s="230">
        <f t="shared" si="15"/>
        <v>0.66510746409942023</v>
      </c>
      <c r="AP99" s="193">
        <f t="shared" si="22"/>
        <v>7036.7990000000009</v>
      </c>
      <c r="AQ99" s="194">
        <f t="shared" si="16"/>
        <v>-7022.0990000000011</v>
      </c>
      <c r="AR99" s="118"/>
      <c r="AS99" s="119"/>
      <c r="AT99" s="119"/>
      <c r="AU99" s="120"/>
      <c r="AV99" s="195"/>
      <c r="AW99" s="112">
        <v>140811723</v>
      </c>
      <c r="AX99" s="162">
        <v>93654928</v>
      </c>
      <c r="AY99" s="162">
        <v>47156795</v>
      </c>
      <c r="AZ99" s="162">
        <v>4333654</v>
      </c>
      <c r="BA99" s="231">
        <f t="shared" si="20"/>
        <v>0.66510746409942023</v>
      </c>
      <c r="BB99" s="210">
        <v>9471</v>
      </c>
      <c r="BC99" s="115">
        <v>17</v>
      </c>
      <c r="BD99" s="236"/>
    </row>
    <row r="100" spans="1:56" s="121" customFormat="1" ht="16.5" customHeight="1">
      <c r="A100" s="104" t="s">
        <v>2429</v>
      </c>
      <c r="B100" s="105" t="s">
        <v>666</v>
      </c>
      <c r="C100" s="106" t="s">
        <v>653</v>
      </c>
      <c r="D100" s="106" t="s">
        <v>2415</v>
      </c>
      <c r="E100" s="71" t="s">
        <v>654</v>
      </c>
      <c r="F100" s="71" t="s">
        <v>78</v>
      </c>
      <c r="G100" s="109" t="s">
        <v>180</v>
      </c>
      <c r="H100" s="110">
        <v>0</v>
      </c>
      <c r="I100" s="134">
        <v>0</v>
      </c>
      <c r="J100" s="110">
        <v>2.6</v>
      </c>
      <c r="K100" s="113">
        <f t="shared" si="13"/>
        <v>2.6</v>
      </c>
      <c r="L100" s="110">
        <v>255.745</v>
      </c>
      <c r="M100" s="135">
        <v>23.568000000000001</v>
      </c>
      <c r="N100" s="115">
        <v>0</v>
      </c>
      <c r="O100" s="111">
        <v>170.5</v>
      </c>
      <c r="P100" s="136">
        <v>2.4E-2</v>
      </c>
      <c r="Q100" s="111">
        <v>8397</v>
      </c>
      <c r="R100" s="134"/>
      <c r="S100" s="111">
        <f t="shared" si="17"/>
        <v>202</v>
      </c>
      <c r="T100" s="115">
        <v>0</v>
      </c>
      <c r="U100" s="144">
        <v>41.865000000000002</v>
      </c>
      <c r="V100" s="135">
        <v>100.22199999999999</v>
      </c>
      <c r="W100" s="113">
        <f t="shared" si="14"/>
        <v>793.9</v>
      </c>
      <c r="X100" s="133"/>
      <c r="Y100" s="135">
        <v>0</v>
      </c>
      <c r="Z100" s="135">
        <v>5.5</v>
      </c>
      <c r="AA100" s="135">
        <v>100.22199999999999</v>
      </c>
      <c r="AB100" s="113">
        <f t="shared" si="18"/>
        <v>105.72199999999999</v>
      </c>
      <c r="AC100" s="110">
        <v>0</v>
      </c>
      <c r="AD100" s="111">
        <v>0</v>
      </c>
      <c r="AE100" s="112">
        <v>0</v>
      </c>
      <c r="AF100" s="117">
        <v>0</v>
      </c>
      <c r="AG100" s="111">
        <v>76</v>
      </c>
      <c r="AH100" s="112">
        <v>0</v>
      </c>
      <c r="AI100" s="112">
        <v>4.1470000000000002</v>
      </c>
      <c r="AJ100" s="113">
        <f t="shared" si="19"/>
        <v>80.147000000000006</v>
      </c>
      <c r="AK100" s="143">
        <f t="shared" si="23"/>
        <v>74721.2</v>
      </c>
      <c r="AL100" s="112">
        <f t="shared" si="23"/>
        <v>44131.58</v>
      </c>
      <c r="AM100" s="112">
        <f t="shared" si="23"/>
        <v>30589.62</v>
      </c>
      <c r="AN100" s="112">
        <f t="shared" si="23"/>
        <v>1844.6780000000001</v>
      </c>
      <c r="AO100" s="230">
        <f t="shared" si="15"/>
        <v>0.59061658538674433</v>
      </c>
      <c r="AP100" s="193">
        <f t="shared" si="22"/>
        <v>2638.578</v>
      </c>
      <c r="AQ100" s="194">
        <f t="shared" si="16"/>
        <v>-2635.9780000000001</v>
      </c>
      <c r="AR100" s="118"/>
      <c r="AS100" s="119"/>
      <c r="AT100" s="119"/>
      <c r="AU100" s="120"/>
      <c r="AV100" s="195"/>
      <c r="AW100" s="112">
        <v>74721200</v>
      </c>
      <c r="AX100" s="162">
        <v>44131580</v>
      </c>
      <c r="AY100" s="162">
        <v>30589620</v>
      </c>
      <c r="AZ100" s="162">
        <v>1844678</v>
      </c>
      <c r="BA100" s="231">
        <f t="shared" si="20"/>
        <v>0.59061658538674433</v>
      </c>
      <c r="BB100" s="210">
        <v>4769</v>
      </c>
      <c r="BC100" s="115">
        <v>19</v>
      </c>
      <c r="BD100" s="236"/>
    </row>
    <row r="101" spans="1:56" s="121" customFormat="1" ht="16.5" customHeight="1">
      <c r="A101" s="104" t="s">
        <v>2429</v>
      </c>
      <c r="B101" s="105" t="s">
        <v>667</v>
      </c>
      <c r="C101" s="106" t="s">
        <v>659</v>
      </c>
      <c r="D101" s="106" t="s">
        <v>2415</v>
      </c>
      <c r="E101" s="71" t="s">
        <v>660</v>
      </c>
      <c r="F101" s="71" t="s">
        <v>78</v>
      </c>
      <c r="G101" s="109" t="s">
        <v>180</v>
      </c>
      <c r="H101" s="110">
        <v>0</v>
      </c>
      <c r="I101" s="134">
        <v>0</v>
      </c>
      <c r="J101" s="110">
        <v>0</v>
      </c>
      <c r="K101" s="113">
        <f t="shared" si="13"/>
        <v>0</v>
      </c>
      <c r="L101" s="110">
        <v>656.04700000000003</v>
      </c>
      <c r="M101" s="135">
        <v>23.568000000000001</v>
      </c>
      <c r="N101" s="115">
        <v>0</v>
      </c>
      <c r="O101" s="111">
        <v>146.30000000000001</v>
      </c>
      <c r="P101" s="136">
        <v>2.4E-2</v>
      </c>
      <c r="Q101" s="111">
        <v>8397</v>
      </c>
      <c r="R101" s="134"/>
      <c r="S101" s="111">
        <f t="shared" si="17"/>
        <v>202</v>
      </c>
      <c r="T101" s="115">
        <v>0</v>
      </c>
      <c r="U101" s="144">
        <v>55.865000000000002</v>
      </c>
      <c r="V101" s="135">
        <v>100.22199999999999</v>
      </c>
      <c r="W101" s="113">
        <f t="shared" si="14"/>
        <v>1184.002</v>
      </c>
      <c r="X101" s="133"/>
      <c r="Y101" s="135">
        <v>0</v>
      </c>
      <c r="Z101" s="135">
        <v>0</v>
      </c>
      <c r="AA101" s="135">
        <v>100.22199999999999</v>
      </c>
      <c r="AB101" s="113">
        <f t="shared" si="18"/>
        <v>100.22199999999999</v>
      </c>
      <c r="AC101" s="110">
        <v>0</v>
      </c>
      <c r="AD101" s="111">
        <v>0</v>
      </c>
      <c r="AE101" s="112">
        <v>0</v>
      </c>
      <c r="AF101" s="117">
        <v>0</v>
      </c>
      <c r="AG101" s="111">
        <v>90</v>
      </c>
      <c r="AH101" s="112">
        <v>0</v>
      </c>
      <c r="AI101" s="112">
        <v>8.7650000000000006</v>
      </c>
      <c r="AJ101" s="113">
        <f t="shared" si="19"/>
        <v>98.765000000000001</v>
      </c>
      <c r="AK101" s="143">
        <f t="shared" si="23"/>
        <v>104049.75</v>
      </c>
      <c r="AL101" s="112">
        <f t="shared" si="23"/>
        <v>100929.82</v>
      </c>
      <c r="AM101" s="112">
        <f t="shared" si="23"/>
        <v>3119.93</v>
      </c>
      <c r="AN101" s="112">
        <f t="shared" si="23"/>
        <v>90.552000000000007</v>
      </c>
      <c r="AO101" s="230">
        <f t="shared" si="15"/>
        <v>0.97001501685491798</v>
      </c>
      <c r="AP101" s="193">
        <f t="shared" si="22"/>
        <v>1274.5539999999999</v>
      </c>
      <c r="AQ101" s="194">
        <f t="shared" si="16"/>
        <v>-1274.5539999999999</v>
      </c>
      <c r="AR101" s="118"/>
      <c r="AS101" s="119"/>
      <c r="AT101" s="119"/>
      <c r="AU101" s="120"/>
      <c r="AV101" s="195"/>
      <c r="AW101" s="112">
        <v>104049750</v>
      </c>
      <c r="AX101" s="162">
        <v>100929820</v>
      </c>
      <c r="AY101" s="162">
        <v>3119930</v>
      </c>
      <c r="AZ101" s="162">
        <v>90552</v>
      </c>
      <c r="BA101" s="231">
        <f t="shared" si="20"/>
        <v>0.97001501685491798</v>
      </c>
      <c r="BB101" s="210">
        <v>13036</v>
      </c>
      <c r="BC101" s="115">
        <v>246</v>
      </c>
      <c r="BD101" s="236"/>
    </row>
    <row r="102" spans="1:56" s="121" customFormat="1" ht="16.5" customHeight="1">
      <c r="A102" s="104" t="s">
        <v>2429</v>
      </c>
      <c r="B102" s="105" t="s">
        <v>672</v>
      </c>
      <c r="C102" s="106" t="s">
        <v>668</v>
      </c>
      <c r="D102" s="106" t="s">
        <v>2415</v>
      </c>
      <c r="E102" s="71" t="s">
        <v>669</v>
      </c>
      <c r="F102" s="71" t="s">
        <v>78</v>
      </c>
      <c r="G102" s="109" t="s">
        <v>180</v>
      </c>
      <c r="H102" s="110">
        <v>0</v>
      </c>
      <c r="I102" s="134">
        <v>0</v>
      </c>
      <c r="J102" s="110">
        <v>0</v>
      </c>
      <c r="K102" s="113">
        <f t="shared" si="13"/>
        <v>0</v>
      </c>
      <c r="L102" s="110">
        <v>140.25899999999999</v>
      </c>
      <c r="M102" s="135">
        <v>23.568000000000001</v>
      </c>
      <c r="N102" s="115">
        <v>0</v>
      </c>
      <c r="O102" s="111">
        <v>49.5</v>
      </c>
      <c r="P102" s="136">
        <v>2.4E-2</v>
      </c>
      <c r="Q102" s="111">
        <v>8397</v>
      </c>
      <c r="R102" s="134"/>
      <c r="S102" s="111">
        <f t="shared" si="17"/>
        <v>202</v>
      </c>
      <c r="T102" s="115">
        <v>0</v>
      </c>
      <c r="U102" s="144">
        <v>28.366</v>
      </c>
      <c r="V102" s="135">
        <v>100.22199999999999</v>
      </c>
      <c r="W102" s="113">
        <f t="shared" si="14"/>
        <v>543.91499999999996</v>
      </c>
      <c r="X102" s="133"/>
      <c r="Y102" s="135">
        <v>0</v>
      </c>
      <c r="Z102" s="135">
        <v>0</v>
      </c>
      <c r="AA102" s="135">
        <v>100.22199999999999</v>
      </c>
      <c r="AB102" s="113">
        <f t="shared" si="18"/>
        <v>100.22199999999999</v>
      </c>
      <c r="AC102" s="110">
        <v>0</v>
      </c>
      <c r="AD102" s="111">
        <v>0</v>
      </c>
      <c r="AE102" s="112">
        <v>0</v>
      </c>
      <c r="AF102" s="117">
        <v>0</v>
      </c>
      <c r="AG102" s="111">
        <v>72</v>
      </c>
      <c r="AH102" s="112">
        <v>0</v>
      </c>
      <c r="AI102" s="112">
        <v>15.073</v>
      </c>
      <c r="AJ102" s="113">
        <f t="shared" si="19"/>
        <v>87.073000000000008</v>
      </c>
      <c r="AK102" s="143">
        <f t="shared" si="23"/>
        <v>34737.129999999997</v>
      </c>
      <c r="AL102" s="112">
        <f t="shared" si="23"/>
        <v>21794.528999999999</v>
      </c>
      <c r="AM102" s="112">
        <f t="shared" si="23"/>
        <v>12942.601000000001</v>
      </c>
      <c r="AN102" s="112">
        <f t="shared" si="23"/>
        <v>914.51099999999997</v>
      </c>
      <c r="AO102" s="230">
        <f t="shared" si="15"/>
        <v>0.62741305916752477</v>
      </c>
      <c r="AP102" s="193">
        <f t="shared" si="22"/>
        <v>1458.4259999999999</v>
      </c>
      <c r="AQ102" s="194">
        <f t="shared" si="16"/>
        <v>-1458.4259999999999</v>
      </c>
      <c r="AR102" s="118"/>
      <c r="AS102" s="119"/>
      <c r="AT102" s="119"/>
      <c r="AU102" s="120"/>
      <c r="AV102" s="195"/>
      <c r="AW102" s="112">
        <v>34737130</v>
      </c>
      <c r="AX102" s="162">
        <v>21794529</v>
      </c>
      <c r="AY102" s="162">
        <v>12942601</v>
      </c>
      <c r="AZ102" s="162">
        <v>914511</v>
      </c>
      <c r="BA102" s="231">
        <f t="shared" si="20"/>
        <v>0.62741305916752477</v>
      </c>
      <c r="BB102" s="210">
        <v>2141</v>
      </c>
      <c r="BC102" s="115">
        <v>0</v>
      </c>
      <c r="BD102" s="236"/>
    </row>
    <row r="103" spans="1:56" s="121" customFormat="1" ht="16.5" customHeight="1">
      <c r="A103" s="104" t="s">
        <v>2429</v>
      </c>
      <c r="B103" s="105" t="s">
        <v>676</v>
      </c>
      <c r="C103" s="106" t="s">
        <v>673</v>
      </c>
      <c r="D103" s="106" t="s">
        <v>2415</v>
      </c>
      <c r="E103" s="71" t="s">
        <v>674</v>
      </c>
      <c r="F103" s="71" t="s">
        <v>78</v>
      </c>
      <c r="G103" s="109" t="s">
        <v>180</v>
      </c>
      <c r="H103" s="110">
        <v>0</v>
      </c>
      <c r="I103" s="134">
        <v>0</v>
      </c>
      <c r="J103" s="110">
        <v>9</v>
      </c>
      <c r="K103" s="113">
        <f t="shared" si="13"/>
        <v>9</v>
      </c>
      <c r="L103" s="110">
        <v>164.08199999999999</v>
      </c>
      <c r="M103" s="135">
        <v>23.568000000000001</v>
      </c>
      <c r="N103" s="115">
        <v>0</v>
      </c>
      <c r="O103" s="111">
        <v>0</v>
      </c>
      <c r="P103" s="136">
        <v>2.4E-2</v>
      </c>
      <c r="Q103" s="111">
        <v>8397</v>
      </c>
      <c r="R103" s="134"/>
      <c r="S103" s="111">
        <f t="shared" si="17"/>
        <v>202</v>
      </c>
      <c r="T103" s="115">
        <v>0</v>
      </c>
      <c r="U103" s="144">
        <v>28.366</v>
      </c>
      <c r="V103" s="135">
        <v>100.22199999999999</v>
      </c>
      <c r="W103" s="113">
        <f t="shared" si="14"/>
        <v>518.23799999999994</v>
      </c>
      <c r="X103" s="133"/>
      <c r="Y103" s="135">
        <v>0</v>
      </c>
      <c r="Z103" s="135">
        <v>6.5</v>
      </c>
      <c r="AA103" s="135">
        <v>100.22199999999999</v>
      </c>
      <c r="AB103" s="113">
        <f t="shared" si="18"/>
        <v>106.72199999999999</v>
      </c>
      <c r="AC103" s="110">
        <v>0</v>
      </c>
      <c r="AD103" s="111">
        <v>40</v>
      </c>
      <c r="AE103" s="112">
        <v>0</v>
      </c>
      <c r="AF103" s="117">
        <v>0</v>
      </c>
      <c r="AG103" s="111">
        <v>44</v>
      </c>
      <c r="AH103" s="112">
        <v>0</v>
      </c>
      <c r="AI103" s="112">
        <v>27.349</v>
      </c>
      <c r="AJ103" s="113">
        <f t="shared" si="19"/>
        <v>111.349</v>
      </c>
      <c r="AK103" s="143">
        <f t="shared" si="23"/>
        <v>42077.5</v>
      </c>
      <c r="AL103" s="112">
        <f t="shared" si="23"/>
        <v>33981.642</v>
      </c>
      <c r="AM103" s="112">
        <f t="shared" si="23"/>
        <v>8095.8580000000002</v>
      </c>
      <c r="AN103" s="112">
        <f t="shared" si="23"/>
        <v>756.61300000000006</v>
      </c>
      <c r="AO103" s="230">
        <f t="shared" si="15"/>
        <v>0.8075965064464381</v>
      </c>
      <c r="AP103" s="193">
        <f t="shared" si="22"/>
        <v>1274.8510000000001</v>
      </c>
      <c r="AQ103" s="194">
        <f t="shared" si="16"/>
        <v>-1265.8510000000001</v>
      </c>
      <c r="AR103" s="118"/>
      <c r="AS103" s="119"/>
      <c r="AT103" s="119"/>
      <c r="AU103" s="120"/>
      <c r="AV103" s="195"/>
      <c r="AW103" s="112">
        <v>42077500</v>
      </c>
      <c r="AX103" s="162">
        <v>33981642</v>
      </c>
      <c r="AY103" s="162">
        <v>8095858</v>
      </c>
      <c r="AZ103" s="162">
        <v>756613</v>
      </c>
      <c r="BA103" s="231">
        <f t="shared" si="20"/>
        <v>0.8075965064464381</v>
      </c>
      <c r="BB103" s="210">
        <v>1981</v>
      </c>
      <c r="BC103" s="115"/>
      <c r="BD103" s="236">
        <v>0.1</v>
      </c>
    </row>
    <row r="104" spans="1:56" s="121" customFormat="1" ht="16.5" customHeight="1">
      <c r="A104" s="104" t="s">
        <v>2429</v>
      </c>
      <c r="B104" s="105" t="s">
        <v>111</v>
      </c>
      <c r="C104" s="106" t="s">
        <v>677</v>
      </c>
      <c r="D104" s="106" t="s">
        <v>2415</v>
      </c>
      <c r="E104" s="71" t="s">
        <v>678</v>
      </c>
      <c r="F104" s="71" t="s">
        <v>78</v>
      </c>
      <c r="G104" s="109" t="s">
        <v>180</v>
      </c>
      <c r="H104" s="110">
        <v>0</v>
      </c>
      <c r="I104" s="134">
        <v>0</v>
      </c>
      <c r="J104" s="110">
        <v>0</v>
      </c>
      <c r="K104" s="113">
        <f t="shared" si="13"/>
        <v>0</v>
      </c>
      <c r="L104" s="110">
        <v>130.59399999999999</v>
      </c>
      <c r="M104" s="135">
        <v>23.568000000000001</v>
      </c>
      <c r="N104" s="115">
        <v>0</v>
      </c>
      <c r="O104" s="111">
        <v>0</v>
      </c>
      <c r="P104" s="136">
        <v>2.4E-2</v>
      </c>
      <c r="Q104" s="111">
        <v>8397</v>
      </c>
      <c r="R104" s="134"/>
      <c r="S104" s="111">
        <f t="shared" si="17"/>
        <v>202</v>
      </c>
      <c r="T104" s="115">
        <v>0</v>
      </c>
      <c r="U104" s="144">
        <v>39.365000000000002</v>
      </c>
      <c r="V104" s="135">
        <v>100.22199999999999</v>
      </c>
      <c r="W104" s="113">
        <f t="shared" si="14"/>
        <v>495.74900000000002</v>
      </c>
      <c r="X104" s="133"/>
      <c r="Y104" s="135">
        <v>0</v>
      </c>
      <c r="Z104" s="116">
        <v>17.95</v>
      </c>
      <c r="AA104" s="135">
        <v>100.22199999999999</v>
      </c>
      <c r="AB104" s="113">
        <f t="shared" si="18"/>
        <v>118.172</v>
      </c>
      <c r="AC104" s="110">
        <v>0</v>
      </c>
      <c r="AD104" s="111">
        <v>96</v>
      </c>
      <c r="AE104" s="112">
        <v>0</v>
      </c>
      <c r="AF104" s="117">
        <v>0</v>
      </c>
      <c r="AG104" s="111">
        <v>0</v>
      </c>
      <c r="AH104" s="112">
        <v>9.5869999999999997</v>
      </c>
      <c r="AI104" s="112">
        <v>1.413</v>
      </c>
      <c r="AJ104" s="113">
        <f t="shared" si="19"/>
        <v>107</v>
      </c>
      <c r="AK104" s="143">
        <f t="shared" si="23"/>
        <v>46257.5</v>
      </c>
      <c r="AL104" s="112">
        <f t="shared" si="23"/>
        <v>32106.855</v>
      </c>
      <c r="AM104" s="112">
        <f t="shared" si="23"/>
        <v>14150.645</v>
      </c>
      <c r="AN104" s="112">
        <f t="shared" si="23"/>
        <v>1017.665</v>
      </c>
      <c r="AO104" s="230">
        <f t="shared" si="15"/>
        <v>0.6940897151813219</v>
      </c>
      <c r="AP104" s="193">
        <f t="shared" si="22"/>
        <v>1513.414</v>
      </c>
      <c r="AQ104" s="194">
        <f t="shared" si="16"/>
        <v>-1513.414</v>
      </c>
      <c r="AR104" s="118"/>
      <c r="AS104" s="119"/>
      <c r="AT104" s="119"/>
      <c r="AU104" s="120"/>
      <c r="AV104" s="195"/>
      <c r="AW104" s="112">
        <v>46257500</v>
      </c>
      <c r="AX104" s="162">
        <v>32106855</v>
      </c>
      <c r="AY104" s="162">
        <v>14150645</v>
      </c>
      <c r="AZ104" s="162">
        <v>1017665</v>
      </c>
      <c r="BA104" s="231">
        <f t="shared" si="20"/>
        <v>0.6940897151813219</v>
      </c>
      <c r="BB104" s="210">
        <v>1335</v>
      </c>
      <c r="BC104" s="115">
        <v>0</v>
      </c>
      <c r="BD104" s="236"/>
    </row>
    <row r="105" spans="1:56" s="121" customFormat="1" ht="16.5" customHeight="1">
      <c r="A105" s="104" t="s">
        <v>2429</v>
      </c>
      <c r="B105" s="105" t="s">
        <v>689</v>
      </c>
      <c r="C105" s="106" t="s">
        <v>2122</v>
      </c>
      <c r="D105" s="106" t="s">
        <v>2415</v>
      </c>
      <c r="E105" s="234" t="s">
        <v>2154</v>
      </c>
      <c r="F105" s="234" t="s">
        <v>170</v>
      </c>
      <c r="G105" s="235" t="s">
        <v>683</v>
      </c>
      <c r="H105" s="110">
        <v>1584</v>
      </c>
      <c r="I105" s="111">
        <v>465</v>
      </c>
      <c r="J105" s="112">
        <v>337</v>
      </c>
      <c r="K105" s="113">
        <f t="shared" si="13"/>
        <v>2386</v>
      </c>
      <c r="L105" s="110">
        <v>0</v>
      </c>
      <c r="M105" s="111">
        <v>0</v>
      </c>
      <c r="N105" s="112">
        <v>0</v>
      </c>
      <c r="O105" s="111">
        <v>0</v>
      </c>
      <c r="P105" s="114">
        <v>4</v>
      </c>
      <c r="Q105" s="111">
        <v>8397</v>
      </c>
      <c r="R105" s="115">
        <v>14808</v>
      </c>
      <c r="S105" s="111">
        <f t="shared" si="17"/>
        <v>48396</v>
      </c>
      <c r="T105" s="112">
        <v>5793</v>
      </c>
      <c r="U105" s="116"/>
      <c r="V105" s="111">
        <v>26337</v>
      </c>
      <c r="W105" s="113">
        <f t="shared" si="14"/>
        <v>80526</v>
      </c>
      <c r="X105" s="110"/>
      <c r="Y105" s="111"/>
      <c r="Z105" s="116"/>
      <c r="AA105" s="111"/>
      <c r="AB105" s="113">
        <f t="shared" si="18"/>
        <v>0</v>
      </c>
      <c r="AC105" s="110"/>
      <c r="AD105" s="111"/>
      <c r="AE105" s="112"/>
      <c r="AF105" s="117"/>
      <c r="AG105" s="111"/>
      <c r="AH105" s="112"/>
      <c r="AI105" s="112"/>
      <c r="AJ105" s="113">
        <f t="shared" si="19"/>
        <v>0</v>
      </c>
      <c r="AK105" s="143">
        <f t="shared" si="23"/>
        <v>369090.12657740584</v>
      </c>
      <c r="AL105" s="112">
        <f t="shared" si="23"/>
        <v>116676.17856957551</v>
      </c>
      <c r="AM105" s="112">
        <f t="shared" si="23"/>
        <v>252413.94800783039</v>
      </c>
      <c r="AN105" s="112">
        <f t="shared" si="23"/>
        <v>10035.962436767493</v>
      </c>
      <c r="AO105" s="230">
        <f t="shared" si="15"/>
        <v>0.31611839539442699</v>
      </c>
      <c r="AP105" s="193">
        <f t="shared" si="22"/>
        <v>90561.962436767499</v>
      </c>
      <c r="AQ105" s="194">
        <f t="shared" si="16"/>
        <v>-88175.962436767499</v>
      </c>
      <c r="AR105" s="118"/>
      <c r="AS105" s="119"/>
      <c r="AT105" s="119"/>
      <c r="AU105" s="120"/>
      <c r="AV105" s="195" t="s">
        <v>63</v>
      </c>
      <c r="AW105" s="112">
        <v>369090126.57740587</v>
      </c>
      <c r="AX105" s="162">
        <v>116676178.5695755</v>
      </c>
      <c r="AY105" s="162">
        <v>252413948.00783038</v>
      </c>
      <c r="AZ105" s="162">
        <v>10035962.436767492</v>
      </c>
      <c r="BA105" s="231">
        <f t="shared" si="20"/>
        <v>0.31611839539442699</v>
      </c>
      <c r="BB105" s="210"/>
      <c r="BC105" s="115"/>
      <c r="BD105" s="236"/>
    </row>
    <row r="106" spans="1:56" s="121" customFormat="1" ht="16.5" customHeight="1">
      <c r="A106" s="104" t="s">
        <v>2429</v>
      </c>
      <c r="B106" s="105" t="s">
        <v>699</v>
      </c>
      <c r="C106" s="106" t="s">
        <v>690</v>
      </c>
      <c r="D106" s="106" t="s">
        <v>2415</v>
      </c>
      <c r="E106" s="71" t="s">
        <v>691</v>
      </c>
      <c r="F106" s="71" t="s">
        <v>170</v>
      </c>
      <c r="G106" s="109" t="s">
        <v>692</v>
      </c>
      <c r="H106" s="110">
        <v>0</v>
      </c>
      <c r="I106" s="112">
        <v>0</v>
      </c>
      <c r="J106" s="112">
        <v>228</v>
      </c>
      <c r="K106" s="113">
        <f t="shared" si="13"/>
        <v>228</v>
      </c>
      <c r="L106" s="210">
        <v>0</v>
      </c>
      <c r="M106" s="115">
        <v>0</v>
      </c>
      <c r="N106" s="115">
        <v>0</v>
      </c>
      <c r="O106" s="115">
        <v>0</v>
      </c>
      <c r="P106" s="122">
        <v>0.5</v>
      </c>
      <c r="Q106" s="111">
        <v>8397</v>
      </c>
      <c r="R106" s="112">
        <v>0</v>
      </c>
      <c r="S106" s="111">
        <f t="shared" si="17"/>
        <v>4199</v>
      </c>
      <c r="T106" s="112">
        <v>5616</v>
      </c>
      <c r="U106" s="144">
        <v>0</v>
      </c>
      <c r="V106" s="111">
        <v>114955</v>
      </c>
      <c r="W106" s="113">
        <f t="shared" si="14"/>
        <v>124770</v>
      </c>
      <c r="X106" s="110">
        <v>28310</v>
      </c>
      <c r="Y106" s="111">
        <v>9499</v>
      </c>
      <c r="Z106" s="116">
        <v>3385</v>
      </c>
      <c r="AA106" s="111">
        <v>114955</v>
      </c>
      <c r="AB106" s="113">
        <f t="shared" si="18"/>
        <v>156149</v>
      </c>
      <c r="AC106" s="110">
        <v>12581</v>
      </c>
      <c r="AD106" s="111">
        <v>22867</v>
      </c>
      <c r="AE106" s="112">
        <v>0</v>
      </c>
      <c r="AF106" s="117">
        <v>1473</v>
      </c>
      <c r="AG106" s="111">
        <v>44654</v>
      </c>
      <c r="AH106" s="112">
        <v>59522</v>
      </c>
      <c r="AI106" s="112">
        <v>7586</v>
      </c>
      <c r="AJ106" s="113">
        <f t="shared" si="19"/>
        <v>148683</v>
      </c>
      <c r="AK106" s="143">
        <f t="shared" si="23"/>
        <v>2680668.757545243</v>
      </c>
      <c r="AL106" s="112">
        <f t="shared" si="23"/>
        <v>1193725.3121289574</v>
      </c>
      <c r="AM106" s="112">
        <f t="shared" si="23"/>
        <v>1486943.4454162852</v>
      </c>
      <c r="AN106" s="112">
        <f t="shared" si="23"/>
        <v>69929.461074744293</v>
      </c>
      <c r="AO106" s="230">
        <f t="shared" si="15"/>
        <v>0.44530877183874151</v>
      </c>
      <c r="AP106" s="193">
        <f t="shared" si="22"/>
        <v>194699.46107474429</v>
      </c>
      <c r="AQ106" s="194">
        <f t="shared" si="16"/>
        <v>-194471.46107474429</v>
      </c>
      <c r="AR106" s="118"/>
      <c r="AS106" s="119"/>
      <c r="AT106" s="119"/>
      <c r="AU106" s="120"/>
      <c r="AV106" s="195" t="s">
        <v>63</v>
      </c>
      <c r="AW106" s="112">
        <v>2680668757.5452428</v>
      </c>
      <c r="AX106" s="162">
        <v>1193725312.1289573</v>
      </c>
      <c r="AY106" s="162">
        <v>1486943445.4162853</v>
      </c>
      <c r="AZ106" s="162">
        <v>69929461.074744299</v>
      </c>
      <c r="BA106" s="231">
        <f t="shared" si="20"/>
        <v>0.44530877183874151</v>
      </c>
      <c r="BB106" s="210">
        <v>593231</v>
      </c>
      <c r="BC106" s="115">
        <v>8389</v>
      </c>
      <c r="BD106" s="236">
        <v>0</v>
      </c>
    </row>
    <row r="107" spans="1:56" s="121" customFormat="1" ht="16.5" customHeight="1">
      <c r="A107" s="104" t="s">
        <v>2429</v>
      </c>
      <c r="B107" s="105" t="s">
        <v>705</v>
      </c>
      <c r="C107" s="106" t="s">
        <v>700</v>
      </c>
      <c r="D107" s="106" t="s">
        <v>2415</v>
      </c>
      <c r="E107" s="71" t="s">
        <v>701</v>
      </c>
      <c r="F107" s="71" t="s">
        <v>170</v>
      </c>
      <c r="G107" s="109" t="s">
        <v>692</v>
      </c>
      <c r="H107" s="110">
        <v>5184</v>
      </c>
      <c r="I107" s="112">
        <v>0</v>
      </c>
      <c r="J107" s="112">
        <v>293</v>
      </c>
      <c r="K107" s="113">
        <f t="shared" si="13"/>
        <v>5477</v>
      </c>
      <c r="L107" s="210">
        <v>0</v>
      </c>
      <c r="M107" s="115">
        <v>0</v>
      </c>
      <c r="N107" s="115">
        <v>0</v>
      </c>
      <c r="O107" s="115">
        <v>0</v>
      </c>
      <c r="P107" s="122">
        <v>0.6</v>
      </c>
      <c r="Q107" s="111">
        <v>8397</v>
      </c>
      <c r="R107" s="112">
        <v>0</v>
      </c>
      <c r="S107" s="111">
        <f t="shared" si="17"/>
        <v>5038</v>
      </c>
      <c r="T107" s="112">
        <v>1087</v>
      </c>
      <c r="U107" s="144">
        <v>0</v>
      </c>
      <c r="V107" s="111">
        <v>65441</v>
      </c>
      <c r="W107" s="113">
        <f t="shared" si="14"/>
        <v>71566</v>
      </c>
      <c r="X107" s="110">
        <v>0</v>
      </c>
      <c r="Y107" s="111">
        <v>8091</v>
      </c>
      <c r="Z107" s="116">
        <v>22</v>
      </c>
      <c r="AA107" s="111">
        <v>65441</v>
      </c>
      <c r="AB107" s="113">
        <f t="shared" si="18"/>
        <v>73554</v>
      </c>
      <c r="AC107" s="110">
        <v>8475</v>
      </c>
      <c r="AD107" s="111">
        <v>14306</v>
      </c>
      <c r="AE107" s="112">
        <v>0</v>
      </c>
      <c r="AF107" s="117">
        <v>2380</v>
      </c>
      <c r="AG107" s="111">
        <v>34728</v>
      </c>
      <c r="AH107" s="112">
        <v>6760</v>
      </c>
      <c r="AI107" s="112">
        <v>3899</v>
      </c>
      <c r="AJ107" s="113">
        <f t="shared" si="19"/>
        <v>70548</v>
      </c>
      <c r="AK107" s="143">
        <f t="shared" si="23"/>
        <v>1221998.336616674</v>
      </c>
      <c r="AL107" s="112">
        <f t="shared" si="23"/>
        <v>705115.33522378013</v>
      </c>
      <c r="AM107" s="112">
        <f t="shared" si="23"/>
        <v>516883.00139289396</v>
      </c>
      <c r="AN107" s="112">
        <f t="shared" si="23"/>
        <v>17688.880239412789</v>
      </c>
      <c r="AO107" s="230">
        <f t="shared" si="15"/>
        <v>0.57701824470237906</v>
      </c>
      <c r="AP107" s="193">
        <f t="shared" si="22"/>
        <v>89254.880239412785</v>
      </c>
      <c r="AQ107" s="194">
        <f t="shared" si="16"/>
        <v>-83777.880239412785</v>
      </c>
      <c r="AR107" s="118"/>
      <c r="AS107" s="119"/>
      <c r="AT107" s="119"/>
      <c r="AU107" s="120"/>
      <c r="AV107" s="195" t="s">
        <v>63</v>
      </c>
      <c r="AW107" s="112">
        <v>1221998336.6166739</v>
      </c>
      <c r="AX107" s="162">
        <v>705115335.22378016</v>
      </c>
      <c r="AY107" s="162">
        <v>516883001.39289397</v>
      </c>
      <c r="AZ107" s="162">
        <v>17688880.239412788</v>
      </c>
      <c r="BA107" s="231">
        <f t="shared" si="20"/>
        <v>0.57701824470237906</v>
      </c>
      <c r="BB107" s="210">
        <f>316483+2974</f>
        <v>319457</v>
      </c>
      <c r="BC107" s="115">
        <v>15679</v>
      </c>
      <c r="BD107" s="236">
        <v>0</v>
      </c>
    </row>
    <row r="108" spans="1:56" s="121" customFormat="1" ht="16.5" customHeight="1">
      <c r="A108" s="104" t="s">
        <v>2429</v>
      </c>
      <c r="B108" s="105" t="s">
        <v>715</v>
      </c>
      <c r="C108" s="106" t="s">
        <v>706</v>
      </c>
      <c r="D108" s="106" t="s">
        <v>2415</v>
      </c>
      <c r="E108" s="71" t="s">
        <v>707</v>
      </c>
      <c r="F108" s="71" t="s">
        <v>708</v>
      </c>
      <c r="G108" s="109" t="s">
        <v>709</v>
      </c>
      <c r="H108" s="110">
        <v>17244</v>
      </c>
      <c r="I108" s="111">
        <v>0</v>
      </c>
      <c r="J108" s="112">
        <v>0</v>
      </c>
      <c r="K108" s="113">
        <f t="shared" si="13"/>
        <v>17244</v>
      </c>
      <c r="L108" s="110">
        <v>0</v>
      </c>
      <c r="M108" s="111">
        <v>0</v>
      </c>
      <c r="N108" s="112">
        <v>0</v>
      </c>
      <c r="O108" s="111">
        <v>0</v>
      </c>
      <c r="P108" s="122">
        <v>0.45</v>
      </c>
      <c r="Q108" s="111">
        <v>8397</v>
      </c>
      <c r="R108" s="115"/>
      <c r="S108" s="111">
        <f t="shared" si="17"/>
        <v>3779</v>
      </c>
      <c r="T108" s="112"/>
      <c r="U108" s="116">
        <f>(140920+283512+150920)/1000</f>
        <v>575.35199999999998</v>
      </c>
      <c r="V108" s="111">
        <f>(61378286+6809000)/1000</f>
        <v>68187.285999999993</v>
      </c>
      <c r="W108" s="113">
        <f t="shared" si="14"/>
        <v>72541.637999999992</v>
      </c>
      <c r="X108" s="110">
        <v>0</v>
      </c>
      <c r="Y108" s="111">
        <v>204</v>
      </c>
      <c r="Z108" s="116">
        <v>0</v>
      </c>
      <c r="AA108" s="111">
        <f>(61378286+6809000)/1000</f>
        <v>68187.285999999993</v>
      </c>
      <c r="AB108" s="113">
        <f t="shared" si="18"/>
        <v>68391.285999999993</v>
      </c>
      <c r="AC108" s="110">
        <v>10347</v>
      </c>
      <c r="AD108" s="111">
        <v>17833</v>
      </c>
      <c r="AE108" s="112">
        <v>0</v>
      </c>
      <c r="AF108" s="117">
        <v>924</v>
      </c>
      <c r="AG108" s="111">
        <f>(39891153+4878098)/1000</f>
        <v>44769.250999999997</v>
      </c>
      <c r="AH108" s="112">
        <v>757</v>
      </c>
      <c r="AI108" s="112">
        <f>(18002050+1131450)/1000</f>
        <v>19133.5</v>
      </c>
      <c r="AJ108" s="113">
        <f t="shared" si="19"/>
        <v>93763.750999999989</v>
      </c>
      <c r="AK108" s="143">
        <f t="shared" si="23"/>
        <v>3005766.5554225948</v>
      </c>
      <c r="AL108" s="112">
        <f t="shared" si="23"/>
        <v>950178.10043042456</v>
      </c>
      <c r="AM108" s="112">
        <f t="shared" si="23"/>
        <v>2055588.4549921697</v>
      </c>
      <c r="AN108" s="112">
        <f t="shared" si="23"/>
        <v>81730.065563232507</v>
      </c>
      <c r="AO108" s="230">
        <f t="shared" si="15"/>
        <v>0.31611839539442699</v>
      </c>
      <c r="AP108" s="193">
        <f t="shared" si="22"/>
        <v>154271.7035632325</v>
      </c>
      <c r="AQ108" s="194">
        <f t="shared" si="16"/>
        <v>-137027.7035632325</v>
      </c>
      <c r="AR108" s="118"/>
      <c r="AS108" s="119"/>
      <c r="AT108" s="119"/>
      <c r="AU108" s="120"/>
      <c r="AV108" s="195" t="s">
        <v>63</v>
      </c>
      <c r="AW108" s="112">
        <v>3005766555.4225945</v>
      </c>
      <c r="AX108" s="162">
        <v>950178100.43042457</v>
      </c>
      <c r="AY108" s="162">
        <v>2055588454.9921699</v>
      </c>
      <c r="AZ108" s="162">
        <v>81730065.563232511</v>
      </c>
      <c r="BA108" s="231">
        <f t="shared" si="20"/>
        <v>0.31611839539442699</v>
      </c>
      <c r="BB108" s="210">
        <v>359251</v>
      </c>
      <c r="BC108" s="115">
        <v>11101</v>
      </c>
      <c r="BD108" s="236"/>
    </row>
    <row r="109" spans="1:56" s="121" customFormat="1" ht="16.5" customHeight="1">
      <c r="A109" s="104" t="s">
        <v>2429</v>
      </c>
      <c r="B109" s="105" t="s">
        <v>719</v>
      </c>
      <c r="C109" s="106" t="s">
        <v>716</v>
      </c>
      <c r="D109" s="106" t="s">
        <v>2415</v>
      </c>
      <c r="E109" s="71" t="s">
        <v>2370</v>
      </c>
      <c r="F109" s="71" t="s">
        <v>708</v>
      </c>
      <c r="G109" s="109" t="s">
        <v>709</v>
      </c>
      <c r="H109" s="110">
        <v>383</v>
      </c>
      <c r="I109" s="111">
        <v>0</v>
      </c>
      <c r="J109" s="112">
        <v>2831</v>
      </c>
      <c r="K109" s="113">
        <f t="shared" si="13"/>
        <v>3214</v>
      </c>
      <c r="L109" s="110"/>
      <c r="M109" s="111"/>
      <c r="N109" s="112"/>
      <c r="O109" s="111"/>
      <c r="P109" s="122">
        <v>0.35</v>
      </c>
      <c r="Q109" s="111">
        <v>8397</v>
      </c>
      <c r="R109" s="115"/>
      <c r="S109" s="111">
        <f t="shared" si="17"/>
        <v>2939</v>
      </c>
      <c r="T109" s="112">
        <v>168</v>
      </c>
      <c r="U109" s="116"/>
      <c r="V109" s="111">
        <v>49510</v>
      </c>
      <c r="W109" s="113">
        <f t="shared" si="14"/>
        <v>52617</v>
      </c>
      <c r="X109" s="110">
        <v>0</v>
      </c>
      <c r="Y109" s="111">
        <v>182</v>
      </c>
      <c r="Z109" s="116">
        <v>2096</v>
      </c>
      <c r="AA109" s="111">
        <v>49510</v>
      </c>
      <c r="AB109" s="113">
        <f t="shared" si="18"/>
        <v>51788</v>
      </c>
      <c r="AC109" s="110">
        <v>2847</v>
      </c>
      <c r="AD109" s="111">
        <v>5376</v>
      </c>
      <c r="AE109" s="112">
        <v>0</v>
      </c>
      <c r="AF109" s="117">
        <v>1169</v>
      </c>
      <c r="AG109" s="111">
        <v>30178</v>
      </c>
      <c r="AH109" s="112">
        <v>9002</v>
      </c>
      <c r="AI109" s="112">
        <v>516</v>
      </c>
      <c r="AJ109" s="113">
        <f t="shared" si="19"/>
        <v>49088</v>
      </c>
      <c r="AK109" s="143">
        <f t="shared" si="23"/>
        <v>873785.06164413819</v>
      </c>
      <c r="AL109" s="112">
        <f t="shared" si="23"/>
        <v>337699.3902954986</v>
      </c>
      <c r="AM109" s="112">
        <f t="shared" si="23"/>
        <v>536085.67134863965</v>
      </c>
      <c r="AN109" s="112">
        <f t="shared" si="23"/>
        <v>20344.462302336535</v>
      </c>
      <c r="AO109" s="230">
        <f t="shared" si="15"/>
        <v>0.38647878651080858</v>
      </c>
      <c r="AP109" s="193">
        <f t="shared" si="22"/>
        <v>72961.462302336528</v>
      </c>
      <c r="AQ109" s="194">
        <f t="shared" si="16"/>
        <v>-69747.462302336528</v>
      </c>
      <c r="AR109" s="118"/>
      <c r="AS109" s="119"/>
      <c r="AT109" s="119"/>
      <c r="AU109" s="120"/>
      <c r="AV109" s="195" t="s">
        <v>63</v>
      </c>
      <c r="AW109" s="112">
        <v>873785061.64413822</v>
      </c>
      <c r="AX109" s="162">
        <v>337699390.29549861</v>
      </c>
      <c r="AY109" s="162">
        <v>536085671.34863961</v>
      </c>
      <c r="AZ109" s="162">
        <v>20344462.302336536</v>
      </c>
      <c r="BA109" s="231">
        <f t="shared" si="20"/>
        <v>0.38647878651080858</v>
      </c>
      <c r="BB109" s="210">
        <v>95672</v>
      </c>
      <c r="BC109" s="115">
        <v>7318</v>
      </c>
      <c r="BD109" s="236"/>
    </row>
    <row r="110" spans="1:56" s="121" customFormat="1" ht="16.5" customHeight="1">
      <c r="A110" s="104" t="s">
        <v>2429</v>
      </c>
      <c r="B110" s="105" t="s">
        <v>728</v>
      </c>
      <c r="C110" s="106" t="s">
        <v>720</v>
      </c>
      <c r="D110" s="106" t="s">
        <v>2415</v>
      </c>
      <c r="E110" s="71" t="s">
        <v>1994</v>
      </c>
      <c r="F110" s="71" t="s">
        <v>708</v>
      </c>
      <c r="G110" s="109" t="s">
        <v>721</v>
      </c>
      <c r="H110" s="110">
        <v>687</v>
      </c>
      <c r="I110" s="112"/>
      <c r="J110" s="112">
        <v>157</v>
      </c>
      <c r="K110" s="113">
        <f t="shared" si="13"/>
        <v>844</v>
      </c>
      <c r="L110" s="210"/>
      <c r="M110" s="115"/>
      <c r="N110" s="115"/>
      <c r="O110" s="111"/>
      <c r="P110" s="145">
        <v>0.26</v>
      </c>
      <c r="Q110" s="111">
        <v>8397</v>
      </c>
      <c r="R110" s="112"/>
      <c r="S110" s="111">
        <f>ROUND(P110*Q110,0)+R110</f>
        <v>2183</v>
      </c>
      <c r="T110" s="112"/>
      <c r="U110" s="144">
        <v>1856</v>
      </c>
      <c r="V110" s="111">
        <v>168281</v>
      </c>
      <c r="W110" s="113">
        <f t="shared" si="14"/>
        <v>172320</v>
      </c>
      <c r="X110" s="110">
        <v>40821</v>
      </c>
      <c r="Y110" s="111">
        <v>15333</v>
      </c>
      <c r="Z110" s="116">
        <v>9911</v>
      </c>
      <c r="AA110" s="111">
        <v>168281</v>
      </c>
      <c r="AB110" s="113">
        <f t="shared" si="18"/>
        <v>234346</v>
      </c>
      <c r="AC110" s="110">
        <v>33288</v>
      </c>
      <c r="AD110" s="111">
        <v>106906</v>
      </c>
      <c r="AE110" s="112">
        <v>0</v>
      </c>
      <c r="AF110" s="117">
        <v>2841</v>
      </c>
      <c r="AG110" s="111">
        <v>47197</v>
      </c>
      <c r="AH110" s="112">
        <v>22513</v>
      </c>
      <c r="AI110" s="112">
        <v>3569</v>
      </c>
      <c r="AJ110" s="113">
        <f t="shared" si="19"/>
        <v>216314</v>
      </c>
      <c r="AK110" s="143">
        <f t="shared" si="23"/>
        <v>7832856.5240000002</v>
      </c>
      <c r="AL110" s="112">
        <f t="shared" si="23"/>
        <v>3534395.3909999998</v>
      </c>
      <c r="AM110" s="112">
        <f t="shared" si="23"/>
        <v>4298461.1330000004</v>
      </c>
      <c r="AN110" s="112">
        <f t="shared" si="23"/>
        <v>174212.00700000001</v>
      </c>
      <c r="AO110" s="230">
        <f t="shared" si="15"/>
        <v>0.45122687747063345</v>
      </c>
      <c r="AP110" s="193">
        <f t="shared" si="22"/>
        <v>346532.00699999998</v>
      </c>
      <c r="AQ110" s="194">
        <f t="shared" si="16"/>
        <v>-345688.00699999998</v>
      </c>
      <c r="AR110" s="118"/>
      <c r="AS110" s="119"/>
      <c r="AT110" s="119"/>
      <c r="AU110" s="120"/>
      <c r="AV110" s="195"/>
      <c r="AW110" s="112">
        <v>7832856524</v>
      </c>
      <c r="AX110" s="162">
        <v>3534395391</v>
      </c>
      <c r="AY110" s="162">
        <v>4298461133</v>
      </c>
      <c r="AZ110" s="162">
        <v>174212007</v>
      </c>
      <c r="BA110" s="231">
        <f t="shared" si="20"/>
        <v>0.45122687747063345</v>
      </c>
      <c r="BB110" s="210">
        <v>1444523</v>
      </c>
      <c r="BC110" s="115">
        <v>37884</v>
      </c>
      <c r="BD110" s="236">
        <v>0</v>
      </c>
    </row>
    <row r="111" spans="1:56" s="121" customFormat="1" ht="16.5" customHeight="1">
      <c r="A111" s="104" t="s">
        <v>2429</v>
      </c>
      <c r="B111" s="105" t="s">
        <v>735</v>
      </c>
      <c r="C111" s="106" t="s">
        <v>729</v>
      </c>
      <c r="D111" s="106" t="s">
        <v>2415</v>
      </c>
      <c r="E111" s="71" t="s">
        <v>1996</v>
      </c>
      <c r="F111" s="71" t="s">
        <v>708</v>
      </c>
      <c r="G111" s="109" t="s">
        <v>721</v>
      </c>
      <c r="H111" s="110">
        <v>2604</v>
      </c>
      <c r="I111" s="112"/>
      <c r="J111" s="112">
        <v>589</v>
      </c>
      <c r="K111" s="113">
        <f t="shared" si="13"/>
        <v>3193</v>
      </c>
      <c r="L111" s="210"/>
      <c r="M111" s="115"/>
      <c r="N111" s="115"/>
      <c r="O111" s="111"/>
      <c r="P111" s="145">
        <v>0.31</v>
      </c>
      <c r="Q111" s="111">
        <v>8397</v>
      </c>
      <c r="R111" s="112"/>
      <c r="S111" s="111">
        <f t="shared" si="17"/>
        <v>2603</v>
      </c>
      <c r="T111" s="112"/>
      <c r="U111" s="144">
        <v>1600</v>
      </c>
      <c r="V111" s="111">
        <v>80233</v>
      </c>
      <c r="W111" s="113">
        <f t="shared" si="14"/>
        <v>84436</v>
      </c>
      <c r="X111" s="110">
        <v>18496</v>
      </c>
      <c r="Y111" s="111">
        <v>2469</v>
      </c>
      <c r="Z111" s="116">
        <v>3417</v>
      </c>
      <c r="AA111" s="111">
        <v>80233</v>
      </c>
      <c r="AB111" s="113">
        <f t="shared" si="18"/>
        <v>104615</v>
      </c>
      <c r="AC111" s="110">
        <v>10065</v>
      </c>
      <c r="AD111" s="111">
        <v>27731</v>
      </c>
      <c r="AE111" s="112">
        <v>0</v>
      </c>
      <c r="AF111" s="117">
        <v>2731</v>
      </c>
      <c r="AG111" s="111">
        <v>45569</v>
      </c>
      <c r="AH111" s="112">
        <v>10174</v>
      </c>
      <c r="AI111" s="112">
        <v>1365</v>
      </c>
      <c r="AJ111" s="113">
        <f t="shared" si="19"/>
        <v>97635</v>
      </c>
      <c r="AK111" s="143">
        <f t="shared" si="23"/>
        <v>2777033.5290000001</v>
      </c>
      <c r="AL111" s="112">
        <f t="shared" si="23"/>
        <v>1613823.699</v>
      </c>
      <c r="AM111" s="112">
        <f t="shared" si="23"/>
        <v>1163209.83</v>
      </c>
      <c r="AN111" s="112">
        <f t="shared" si="23"/>
        <v>61119.31</v>
      </c>
      <c r="AO111" s="230">
        <f t="shared" si="15"/>
        <v>0.581132234143796</v>
      </c>
      <c r="AP111" s="193">
        <f t="shared" si="22"/>
        <v>145555.31</v>
      </c>
      <c r="AQ111" s="194">
        <f t="shared" si="16"/>
        <v>-142362.31</v>
      </c>
      <c r="AR111" s="118"/>
      <c r="AS111" s="119"/>
      <c r="AT111" s="119"/>
      <c r="AU111" s="120"/>
      <c r="AV111" s="195"/>
      <c r="AW111" s="112">
        <v>2777033529</v>
      </c>
      <c r="AX111" s="162">
        <v>1613823699</v>
      </c>
      <c r="AY111" s="162">
        <v>1163209830</v>
      </c>
      <c r="AZ111" s="162">
        <v>61119310</v>
      </c>
      <c r="BA111" s="231">
        <f t="shared" si="20"/>
        <v>0.581132234143796</v>
      </c>
      <c r="BB111" s="210">
        <v>387012</v>
      </c>
      <c r="BC111" s="115">
        <v>29563</v>
      </c>
      <c r="BD111" s="236">
        <v>0</v>
      </c>
    </row>
    <row r="112" spans="1:56" s="121" customFormat="1" ht="16.5" customHeight="1">
      <c r="A112" s="104" t="s">
        <v>2429</v>
      </c>
      <c r="B112" s="105" t="s">
        <v>742</v>
      </c>
      <c r="C112" s="106" t="s">
        <v>736</v>
      </c>
      <c r="D112" s="106" t="s">
        <v>2415</v>
      </c>
      <c r="E112" s="71" t="s">
        <v>1998</v>
      </c>
      <c r="F112" s="71" t="s">
        <v>708</v>
      </c>
      <c r="G112" s="109" t="s">
        <v>721</v>
      </c>
      <c r="H112" s="110">
        <v>1860</v>
      </c>
      <c r="I112" s="112"/>
      <c r="J112" s="112"/>
      <c r="K112" s="113">
        <f t="shared" si="13"/>
        <v>1860</v>
      </c>
      <c r="L112" s="210"/>
      <c r="M112" s="115"/>
      <c r="N112" s="115"/>
      <c r="O112" s="111">
        <v>803</v>
      </c>
      <c r="P112" s="145">
        <v>0.52</v>
      </c>
      <c r="Q112" s="111">
        <v>8397</v>
      </c>
      <c r="R112" s="112"/>
      <c r="S112" s="111">
        <f t="shared" si="17"/>
        <v>4366</v>
      </c>
      <c r="T112" s="112"/>
      <c r="U112" s="144">
        <v>1082</v>
      </c>
      <c r="V112" s="111">
        <v>83569</v>
      </c>
      <c r="W112" s="113">
        <f t="shared" si="14"/>
        <v>89820</v>
      </c>
      <c r="X112" s="110">
        <v>9814</v>
      </c>
      <c r="Y112" s="111">
        <v>5724</v>
      </c>
      <c r="Z112" s="116">
        <v>6724</v>
      </c>
      <c r="AA112" s="111">
        <v>83569</v>
      </c>
      <c r="AB112" s="113">
        <f t="shared" si="18"/>
        <v>105831</v>
      </c>
      <c r="AC112" s="110">
        <v>12248</v>
      </c>
      <c r="AD112" s="111">
        <v>21622</v>
      </c>
      <c r="AE112" s="112">
        <v>0</v>
      </c>
      <c r="AF112" s="117">
        <v>1533</v>
      </c>
      <c r="AG112" s="111">
        <v>44610</v>
      </c>
      <c r="AH112" s="112">
        <v>16832</v>
      </c>
      <c r="AI112" s="112">
        <v>6448</v>
      </c>
      <c r="AJ112" s="113">
        <f t="shared" si="19"/>
        <v>103293</v>
      </c>
      <c r="AK112" s="143">
        <f t="shared" si="23"/>
        <v>1744070.8019999999</v>
      </c>
      <c r="AL112" s="112">
        <f t="shared" si="23"/>
        <v>1088093.253</v>
      </c>
      <c r="AM112" s="112">
        <f t="shared" si="23"/>
        <v>655977.549</v>
      </c>
      <c r="AN112" s="112">
        <f t="shared" si="23"/>
        <v>41044.231</v>
      </c>
      <c r="AO112" s="230">
        <f t="shared" si="15"/>
        <v>0.62388135375710507</v>
      </c>
      <c r="AP112" s="193">
        <f t="shared" si="22"/>
        <v>130864.231</v>
      </c>
      <c r="AQ112" s="194">
        <f t="shared" si="16"/>
        <v>-129004.231</v>
      </c>
      <c r="AR112" s="118"/>
      <c r="AS112" s="119"/>
      <c r="AT112" s="119"/>
      <c r="AU112" s="120"/>
      <c r="AV112" s="195"/>
      <c r="AW112" s="112">
        <v>1744070802</v>
      </c>
      <c r="AX112" s="162">
        <v>1088093253</v>
      </c>
      <c r="AY112" s="162">
        <v>655977549</v>
      </c>
      <c r="AZ112" s="162">
        <v>41044231</v>
      </c>
      <c r="BA112" s="231">
        <f t="shared" si="20"/>
        <v>0.62388135375710507</v>
      </c>
      <c r="BB112" s="210">
        <v>231577</v>
      </c>
      <c r="BC112" s="115">
        <v>14323</v>
      </c>
      <c r="BD112" s="236">
        <v>0</v>
      </c>
    </row>
    <row r="113" spans="1:56" s="121" customFormat="1" ht="16.5" customHeight="1">
      <c r="A113" s="104" t="s">
        <v>2429</v>
      </c>
      <c r="B113" s="105" t="s">
        <v>1966</v>
      </c>
      <c r="C113" s="106" t="s">
        <v>2519</v>
      </c>
      <c r="D113" s="106" t="s">
        <v>2415</v>
      </c>
      <c r="E113" s="71" t="s">
        <v>744</v>
      </c>
      <c r="F113" s="71" t="s">
        <v>170</v>
      </c>
      <c r="G113" s="109" t="s">
        <v>745</v>
      </c>
      <c r="H113" s="143">
        <v>0</v>
      </c>
      <c r="I113" s="111">
        <v>244</v>
      </c>
      <c r="J113" s="112">
        <v>19</v>
      </c>
      <c r="K113" s="113">
        <f t="shared" si="13"/>
        <v>263</v>
      </c>
      <c r="L113" s="110">
        <v>174</v>
      </c>
      <c r="M113" s="112">
        <v>2265</v>
      </c>
      <c r="N113" s="112">
        <v>0</v>
      </c>
      <c r="O113" s="111">
        <v>321</v>
      </c>
      <c r="P113" s="111">
        <v>6</v>
      </c>
      <c r="Q113" s="111">
        <v>8397</v>
      </c>
      <c r="R113" s="115"/>
      <c r="S113" s="111">
        <f>ROUND(P113*Q113,0)+R113</f>
        <v>50382</v>
      </c>
      <c r="T113" s="115">
        <v>5695</v>
      </c>
      <c r="U113" s="116">
        <v>0</v>
      </c>
      <c r="V113" s="114">
        <v>0</v>
      </c>
      <c r="W113" s="113">
        <f t="shared" si="14"/>
        <v>58837</v>
      </c>
      <c r="X113" s="110"/>
      <c r="Y113" s="112"/>
      <c r="Z113" s="116"/>
      <c r="AA113" s="111"/>
      <c r="AB113" s="113">
        <f t="shared" si="18"/>
        <v>0</v>
      </c>
      <c r="AC113" s="110"/>
      <c r="AD113" s="112"/>
      <c r="AE113" s="112"/>
      <c r="AF113" s="117"/>
      <c r="AG113" s="111"/>
      <c r="AH113" s="112"/>
      <c r="AI113" s="113"/>
      <c r="AJ113" s="113">
        <f t="shared" si="19"/>
        <v>0</v>
      </c>
      <c r="AK113" s="143">
        <f t="shared" si="23"/>
        <v>453531.2</v>
      </c>
      <c r="AL113" s="112">
        <f t="shared" si="23"/>
        <v>448461.37800000003</v>
      </c>
      <c r="AM113" s="112">
        <f t="shared" si="23"/>
        <v>5069.8220000000001</v>
      </c>
      <c r="AN113" s="112">
        <f t="shared" si="23"/>
        <v>1157.867</v>
      </c>
      <c r="AO113" s="230">
        <f t="shared" si="15"/>
        <v>0.98882144822671514</v>
      </c>
      <c r="AP113" s="193">
        <f t="shared" si="22"/>
        <v>59994.866999999998</v>
      </c>
      <c r="AQ113" s="194">
        <f t="shared" si="16"/>
        <v>-59731.866999999998</v>
      </c>
      <c r="AR113" s="118"/>
      <c r="AS113" s="119"/>
      <c r="AT113" s="119"/>
      <c r="AU113" s="120"/>
      <c r="AV113" s="195"/>
      <c r="AW113" s="112">
        <v>453531200</v>
      </c>
      <c r="AX113" s="162">
        <v>448461378</v>
      </c>
      <c r="AY113" s="162">
        <v>5069822</v>
      </c>
      <c r="AZ113" s="162">
        <v>1157867</v>
      </c>
      <c r="BA113" s="231">
        <f t="shared" si="20"/>
        <v>0.98882144822671514</v>
      </c>
      <c r="BB113" s="210" t="s">
        <v>2458</v>
      </c>
      <c r="BC113" s="115">
        <v>0</v>
      </c>
      <c r="BD113" s="236">
        <v>0</v>
      </c>
    </row>
    <row r="114" spans="1:56" s="121" customFormat="1" ht="16.5" customHeight="1">
      <c r="A114" s="104" t="s">
        <v>2429</v>
      </c>
      <c r="B114" s="105" t="s">
        <v>748</v>
      </c>
      <c r="C114" s="106" t="s">
        <v>2544</v>
      </c>
      <c r="D114" s="106" t="s">
        <v>2415</v>
      </c>
      <c r="E114" s="71" t="s">
        <v>2517</v>
      </c>
      <c r="F114" s="71" t="s">
        <v>2520</v>
      </c>
      <c r="G114" s="109" t="s">
        <v>2521</v>
      </c>
      <c r="H114" s="143"/>
      <c r="I114" s="111"/>
      <c r="J114" s="112"/>
      <c r="K114" s="113">
        <f t="shared" si="13"/>
        <v>0</v>
      </c>
      <c r="L114" s="110"/>
      <c r="M114" s="112"/>
      <c r="N114" s="112"/>
      <c r="O114" s="111"/>
      <c r="P114" s="111"/>
      <c r="Q114" s="111"/>
      <c r="R114" s="115"/>
      <c r="S114" s="111"/>
      <c r="T114" s="115"/>
      <c r="U114" s="116"/>
      <c r="V114" s="114"/>
      <c r="W114" s="113"/>
      <c r="X114" s="110"/>
      <c r="Y114" s="112"/>
      <c r="Z114" s="116"/>
      <c r="AA114" s="111"/>
      <c r="AB114" s="113"/>
      <c r="AC114" s="110"/>
      <c r="AD114" s="112"/>
      <c r="AE114" s="112"/>
      <c r="AF114" s="117"/>
      <c r="AG114" s="111"/>
      <c r="AH114" s="112"/>
      <c r="AI114" s="113"/>
      <c r="AJ114" s="113"/>
      <c r="AK114" s="143">
        <f t="shared" ref="AK114:AN129" si="24">AW114/1000</f>
        <v>1439510.1029999999</v>
      </c>
      <c r="AL114" s="112">
        <f t="shared" si="24"/>
        <v>0</v>
      </c>
      <c r="AM114" s="112">
        <f t="shared" si="24"/>
        <v>1439510.1029999999</v>
      </c>
      <c r="AN114" s="112">
        <f t="shared" si="24"/>
        <v>0</v>
      </c>
      <c r="AO114" s="230">
        <f t="shared" si="15"/>
        <v>0</v>
      </c>
      <c r="AP114" s="193">
        <f t="shared" si="22"/>
        <v>0</v>
      </c>
      <c r="AQ114" s="194">
        <f t="shared" si="16"/>
        <v>0</v>
      </c>
      <c r="AR114" s="118"/>
      <c r="AS114" s="119"/>
      <c r="AT114" s="119"/>
      <c r="AU114" s="120"/>
      <c r="AV114" s="195"/>
      <c r="AW114" s="112">
        <v>1439510103</v>
      </c>
      <c r="AX114" s="162">
        <v>0</v>
      </c>
      <c r="AY114" s="162">
        <v>1439510103</v>
      </c>
      <c r="AZ114" s="162">
        <v>0</v>
      </c>
      <c r="BA114" s="231">
        <f t="shared" si="20"/>
        <v>0</v>
      </c>
      <c r="BB114" s="210"/>
      <c r="BC114" s="115"/>
      <c r="BD114" s="236"/>
    </row>
    <row r="115" spans="1:56" s="121" customFormat="1" ht="16.5" customHeight="1">
      <c r="A115" s="104" t="s">
        <v>2429</v>
      </c>
      <c r="B115" s="105" t="s">
        <v>752</v>
      </c>
      <c r="C115" s="106" t="s">
        <v>749</v>
      </c>
      <c r="D115" s="106" t="s">
        <v>2415</v>
      </c>
      <c r="E115" s="71" t="s">
        <v>2549</v>
      </c>
      <c r="F115" s="71" t="s">
        <v>170</v>
      </c>
      <c r="G115" s="109" t="s">
        <v>2550</v>
      </c>
      <c r="H115" s="143"/>
      <c r="I115" s="112"/>
      <c r="J115" s="112"/>
      <c r="K115" s="113">
        <f t="shared" si="13"/>
        <v>0</v>
      </c>
      <c r="L115" s="110">
        <v>33.192999999999998</v>
      </c>
      <c r="M115" s="111"/>
      <c r="N115" s="115"/>
      <c r="O115" s="111"/>
      <c r="P115" s="114">
        <v>0</v>
      </c>
      <c r="Q115" s="111">
        <v>8397</v>
      </c>
      <c r="R115" s="112"/>
      <c r="S115" s="111">
        <f t="shared" si="17"/>
        <v>0</v>
      </c>
      <c r="T115" s="115"/>
      <c r="U115" s="144"/>
      <c r="V115" s="112"/>
      <c r="W115" s="113">
        <f t="shared" si="14"/>
        <v>33.192999999999998</v>
      </c>
      <c r="X115" s="110"/>
      <c r="Y115" s="111"/>
      <c r="Z115" s="116"/>
      <c r="AA115" s="111"/>
      <c r="AB115" s="113">
        <f t="shared" si="18"/>
        <v>0</v>
      </c>
      <c r="AC115" s="110"/>
      <c r="AD115" s="111"/>
      <c r="AE115" s="112"/>
      <c r="AF115" s="117"/>
      <c r="AG115" s="111"/>
      <c r="AH115" s="112"/>
      <c r="AI115" s="112"/>
      <c r="AJ115" s="113">
        <f t="shared" si="19"/>
        <v>0</v>
      </c>
      <c r="AK115" s="143">
        <f t="shared" si="24"/>
        <v>6462.4</v>
      </c>
      <c r="AL115" s="112">
        <f t="shared" si="24"/>
        <v>6462.3990000000003</v>
      </c>
      <c r="AM115" s="112">
        <f t="shared" si="24"/>
        <v>1E-3</v>
      </c>
      <c r="AN115" s="112">
        <f t="shared" si="24"/>
        <v>0</v>
      </c>
      <c r="AO115" s="230">
        <f t="shared" si="15"/>
        <v>0.99999984525872743</v>
      </c>
      <c r="AP115" s="193">
        <f t="shared" si="22"/>
        <v>33.192999999999998</v>
      </c>
      <c r="AQ115" s="194">
        <f t="shared" si="16"/>
        <v>-33.192999999999998</v>
      </c>
      <c r="AR115" s="118"/>
      <c r="AS115" s="119"/>
      <c r="AT115" s="119"/>
      <c r="AU115" s="120"/>
      <c r="AV115" s="195"/>
      <c r="AW115" s="112">
        <v>6462400</v>
      </c>
      <c r="AX115" s="162">
        <v>6462399</v>
      </c>
      <c r="AY115" s="162">
        <v>1</v>
      </c>
      <c r="AZ115" s="162">
        <v>0</v>
      </c>
      <c r="BA115" s="231">
        <f t="shared" si="20"/>
        <v>0.99999984525872743</v>
      </c>
      <c r="BB115" s="210">
        <v>0</v>
      </c>
      <c r="BC115" s="115">
        <v>0</v>
      </c>
      <c r="BD115" s="236">
        <v>0</v>
      </c>
    </row>
    <row r="116" spans="1:56" s="121" customFormat="1" ht="16.5" customHeight="1">
      <c r="A116" s="104" t="s">
        <v>2429</v>
      </c>
      <c r="B116" s="105" t="s">
        <v>760</v>
      </c>
      <c r="C116" s="106" t="s">
        <v>2075</v>
      </c>
      <c r="D116" s="106" t="s">
        <v>2415</v>
      </c>
      <c r="E116" s="71" t="s">
        <v>2365</v>
      </c>
      <c r="F116" s="71" t="s">
        <v>2085</v>
      </c>
      <c r="G116" s="109" t="s">
        <v>2550</v>
      </c>
      <c r="H116" s="143"/>
      <c r="I116" s="112"/>
      <c r="J116" s="112"/>
      <c r="K116" s="113">
        <f t="shared" si="13"/>
        <v>0</v>
      </c>
      <c r="L116" s="110">
        <v>504</v>
      </c>
      <c r="M116" s="111">
        <v>556.30600000000004</v>
      </c>
      <c r="N116" s="115"/>
      <c r="O116" s="111">
        <v>225.2</v>
      </c>
      <c r="P116" s="114">
        <v>0</v>
      </c>
      <c r="Q116" s="111">
        <v>8397</v>
      </c>
      <c r="R116" s="112">
        <v>4967</v>
      </c>
      <c r="S116" s="111">
        <f t="shared" si="17"/>
        <v>4967</v>
      </c>
      <c r="T116" s="115"/>
      <c r="U116" s="144"/>
      <c r="V116" s="112"/>
      <c r="W116" s="113">
        <f t="shared" si="14"/>
        <v>6252.5060000000003</v>
      </c>
      <c r="X116" s="110"/>
      <c r="Y116" s="111"/>
      <c r="Z116" s="116"/>
      <c r="AA116" s="111"/>
      <c r="AB116" s="113">
        <f t="shared" si="18"/>
        <v>0</v>
      </c>
      <c r="AC116" s="110"/>
      <c r="AD116" s="111"/>
      <c r="AE116" s="112"/>
      <c r="AF116" s="117"/>
      <c r="AG116" s="111"/>
      <c r="AH116" s="112"/>
      <c r="AI116" s="112"/>
      <c r="AJ116" s="113">
        <f t="shared" si="19"/>
        <v>0</v>
      </c>
      <c r="AK116" s="143">
        <f t="shared" si="24"/>
        <v>79546.611000000004</v>
      </c>
      <c r="AL116" s="112">
        <f t="shared" si="24"/>
        <v>57702.769</v>
      </c>
      <c r="AM116" s="112">
        <f t="shared" si="24"/>
        <v>21843.842000000001</v>
      </c>
      <c r="AN116" s="112">
        <f t="shared" si="24"/>
        <v>1638.1579999999999</v>
      </c>
      <c r="AO116" s="230">
        <f t="shared" si="15"/>
        <v>0.72539569284730432</v>
      </c>
      <c r="AP116" s="193">
        <f t="shared" si="22"/>
        <v>7890.6640000000007</v>
      </c>
      <c r="AQ116" s="194">
        <f t="shared" si="16"/>
        <v>-7890.6640000000007</v>
      </c>
      <c r="AR116" s="118"/>
      <c r="AS116" s="119"/>
      <c r="AT116" s="119"/>
      <c r="AU116" s="120"/>
      <c r="AV116" s="195"/>
      <c r="AW116" s="112">
        <v>79546611</v>
      </c>
      <c r="AX116" s="162">
        <v>57702769</v>
      </c>
      <c r="AY116" s="162">
        <v>21843842</v>
      </c>
      <c r="AZ116" s="162">
        <v>1638158</v>
      </c>
      <c r="BA116" s="231">
        <f t="shared" si="20"/>
        <v>0.72539569284730432</v>
      </c>
      <c r="BB116" s="210" t="s">
        <v>2459</v>
      </c>
      <c r="BC116" s="115">
        <v>0</v>
      </c>
      <c r="BD116" s="236">
        <v>0</v>
      </c>
    </row>
    <row r="117" spans="1:56" s="121" customFormat="1" ht="16.5" customHeight="1">
      <c r="A117" s="104" t="s">
        <v>2429</v>
      </c>
      <c r="B117" s="105" t="s">
        <v>768</v>
      </c>
      <c r="C117" s="106" t="s">
        <v>753</v>
      </c>
      <c r="D117" s="106" t="s">
        <v>2415</v>
      </c>
      <c r="E117" s="71" t="s">
        <v>754</v>
      </c>
      <c r="F117" s="71" t="s">
        <v>2103</v>
      </c>
      <c r="G117" s="109" t="s">
        <v>2475</v>
      </c>
      <c r="H117" s="110">
        <f>(14462+325000)/1000</f>
        <v>339.46199999999999</v>
      </c>
      <c r="I117" s="111">
        <v>0</v>
      </c>
      <c r="J117" s="112">
        <f>(9069+(13823+26307))/1000</f>
        <v>49.198999999999998</v>
      </c>
      <c r="K117" s="113">
        <f t="shared" si="13"/>
        <v>388.661</v>
      </c>
      <c r="L117" s="210">
        <v>0</v>
      </c>
      <c r="M117" s="115">
        <v>0</v>
      </c>
      <c r="N117" s="115">
        <v>0</v>
      </c>
      <c r="O117" s="115">
        <v>0</v>
      </c>
      <c r="P117" s="122">
        <v>1.1000000000000001</v>
      </c>
      <c r="Q117" s="111">
        <v>8397</v>
      </c>
      <c r="R117" s="112">
        <v>0</v>
      </c>
      <c r="S117" s="111">
        <f t="shared" si="17"/>
        <v>9237</v>
      </c>
      <c r="T117" s="115">
        <f>2345322/1000</f>
        <v>2345.3220000000001</v>
      </c>
      <c r="U117" s="144">
        <f>1499300/1000</f>
        <v>1499.3</v>
      </c>
      <c r="V117" s="111">
        <v>108604</v>
      </c>
      <c r="W117" s="113">
        <f t="shared" si="14"/>
        <v>121685.622</v>
      </c>
      <c r="X117" s="110">
        <v>26781</v>
      </c>
      <c r="Y117" s="111">
        <v>1921</v>
      </c>
      <c r="Z117" s="116">
        <v>2744</v>
      </c>
      <c r="AA117" s="111">
        <v>108604</v>
      </c>
      <c r="AB117" s="113">
        <f t="shared" si="18"/>
        <v>140050</v>
      </c>
      <c r="AC117" s="110">
        <v>9017</v>
      </c>
      <c r="AD117" s="111">
        <v>13280</v>
      </c>
      <c r="AE117" s="112">
        <v>0</v>
      </c>
      <c r="AF117" s="117">
        <v>4252</v>
      </c>
      <c r="AG117" s="111">
        <v>81641</v>
      </c>
      <c r="AH117" s="112">
        <v>23766</v>
      </c>
      <c r="AI117" s="112">
        <v>6898</v>
      </c>
      <c r="AJ117" s="113">
        <f t="shared" si="19"/>
        <v>138854</v>
      </c>
      <c r="AK117" s="143">
        <f t="shared" si="24"/>
        <v>1201370.912</v>
      </c>
      <c r="AL117" s="112">
        <f t="shared" si="24"/>
        <v>650924.93500000006</v>
      </c>
      <c r="AM117" s="112">
        <f t="shared" si="24"/>
        <v>550445.97699999996</v>
      </c>
      <c r="AN117" s="112">
        <f t="shared" si="24"/>
        <v>30758.006000000001</v>
      </c>
      <c r="AO117" s="230">
        <f t="shared" si="15"/>
        <v>0.54181845797844652</v>
      </c>
      <c r="AP117" s="193">
        <f t="shared" si="22"/>
        <v>152443.628</v>
      </c>
      <c r="AQ117" s="194">
        <f t="shared" si="16"/>
        <v>-152054.967</v>
      </c>
      <c r="AR117" s="118"/>
      <c r="AS117" s="237" t="s">
        <v>2476</v>
      </c>
      <c r="AT117" s="119"/>
      <c r="AU117" s="120"/>
      <c r="AV117" s="195"/>
      <c r="AW117" s="112">
        <v>1201370912</v>
      </c>
      <c r="AX117" s="162">
        <v>650924935</v>
      </c>
      <c r="AY117" s="162">
        <v>550445977</v>
      </c>
      <c r="AZ117" s="162">
        <v>30758006</v>
      </c>
      <c r="BA117" s="231">
        <f t="shared" si="20"/>
        <v>0.54181845797844652</v>
      </c>
      <c r="BB117" s="210">
        <v>241362</v>
      </c>
      <c r="BC117" s="115">
        <v>31118</v>
      </c>
      <c r="BD117" s="236">
        <v>0</v>
      </c>
    </row>
    <row r="118" spans="1:56" s="121" customFormat="1" ht="16.5" customHeight="1">
      <c r="A118" s="104" t="s">
        <v>2429</v>
      </c>
      <c r="B118" s="105" t="s">
        <v>777</v>
      </c>
      <c r="C118" s="106" t="s">
        <v>761</v>
      </c>
      <c r="D118" s="106" t="s">
        <v>2415</v>
      </c>
      <c r="E118" s="71" t="s">
        <v>762</v>
      </c>
      <c r="F118" s="71" t="s">
        <v>2473</v>
      </c>
      <c r="G118" s="109" t="s">
        <v>2477</v>
      </c>
      <c r="H118" s="110">
        <v>325</v>
      </c>
      <c r="I118" s="111">
        <v>0</v>
      </c>
      <c r="J118" s="112">
        <v>26</v>
      </c>
      <c r="K118" s="113">
        <f t="shared" si="13"/>
        <v>351</v>
      </c>
      <c r="L118" s="210">
        <v>0</v>
      </c>
      <c r="M118" s="115">
        <v>0</v>
      </c>
      <c r="N118" s="115">
        <v>0</v>
      </c>
      <c r="O118" s="115">
        <v>0</v>
      </c>
      <c r="P118" s="122">
        <v>1.05</v>
      </c>
      <c r="Q118" s="111">
        <v>8397</v>
      </c>
      <c r="R118" s="112">
        <v>0</v>
      </c>
      <c r="S118" s="111">
        <f t="shared" si="17"/>
        <v>8817</v>
      </c>
      <c r="T118" s="115">
        <v>19</v>
      </c>
      <c r="U118" s="144">
        <v>0</v>
      </c>
      <c r="V118" s="111">
        <v>18724</v>
      </c>
      <c r="W118" s="113">
        <f t="shared" si="14"/>
        <v>27560</v>
      </c>
      <c r="X118" s="110">
        <v>0</v>
      </c>
      <c r="Y118" s="111">
        <v>316</v>
      </c>
      <c r="Z118" s="116">
        <v>0</v>
      </c>
      <c r="AA118" s="111">
        <v>18724</v>
      </c>
      <c r="AB118" s="113">
        <f t="shared" si="18"/>
        <v>19040</v>
      </c>
      <c r="AC118" s="110">
        <v>1235</v>
      </c>
      <c r="AD118" s="111">
        <v>429</v>
      </c>
      <c r="AE118" s="112">
        <v>0</v>
      </c>
      <c r="AF118" s="117">
        <v>400</v>
      </c>
      <c r="AG118" s="111">
        <v>11992</v>
      </c>
      <c r="AH118" s="112">
        <v>1714</v>
      </c>
      <c r="AI118" s="112">
        <v>3218</v>
      </c>
      <c r="AJ118" s="113">
        <f t="shared" si="19"/>
        <v>18988</v>
      </c>
      <c r="AK118" s="143">
        <f t="shared" si="24"/>
        <v>97860</v>
      </c>
      <c r="AL118" s="112">
        <f t="shared" si="24"/>
        <v>55486.62</v>
      </c>
      <c r="AM118" s="112">
        <f t="shared" si="24"/>
        <v>42373.38</v>
      </c>
      <c r="AN118" s="112">
        <f t="shared" si="24"/>
        <v>2642.22</v>
      </c>
      <c r="AO118" s="230">
        <f t="shared" si="15"/>
        <v>0.56699999999999995</v>
      </c>
      <c r="AP118" s="193">
        <f t="shared" si="22"/>
        <v>30202.22</v>
      </c>
      <c r="AQ118" s="194">
        <f t="shared" si="16"/>
        <v>-29851.22</v>
      </c>
      <c r="AR118" s="146"/>
      <c r="AS118" s="119"/>
      <c r="AT118" s="119"/>
      <c r="AU118" s="120"/>
      <c r="AV118" s="195"/>
      <c r="AW118" s="112">
        <v>97860000</v>
      </c>
      <c r="AX118" s="162">
        <v>55486620</v>
      </c>
      <c r="AY118" s="162">
        <v>42373380</v>
      </c>
      <c r="AZ118" s="162">
        <v>2642220</v>
      </c>
      <c r="BA118" s="231">
        <f t="shared" si="20"/>
        <v>0.56699999999999995</v>
      </c>
      <c r="BB118" s="210">
        <v>21064</v>
      </c>
      <c r="BC118" s="115">
        <v>0</v>
      </c>
      <c r="BD118" s="236">
        <v>0</v>
      </c>
    </row>
    <row r="119" spans="1:56" s="121" customFormat="1" ht="16.5" customHeight="1">
      <c r="A119" s="104" t="s">
        <v>2429</v>
      </c>
      <c r="B119" s="105" t="s">
        <v>785</v>
      </c>
      <c r="C119" s="106" t="s">
        <v>769</v>
      </c>
      <c r="D119" s="106" t="s">
        <v>2415</v>
      </c>
      <c r="E119" s="71" t="s">
        <v>770</v>
      </c>
      <c r="F119" s="71" t="s">
        <v>2085</v>
      </c>
      <c r="G119" s="109" t="s">
        <v>2129</v>
      </c>
      <c r="H119" s="110">
        <v>8895</v>
      </c>
      <c r="I119" s="111">
        <v>1114</v>
      </c>
      <c r="J119" s="112">
        <v>0</v>
      </c>
      <c r="K119" s="113">
        <f t="shared" si="13"/>
        <v>10009</v>
      </c>
      <c r="L119" s="110">
        <v>5566</v>
      </c>
      <c r="M119" s="111">
        <v>5660</v>
      </c>
      <c r="N119" s="112">
        <v>0</v>
      </c>
      <c r="O119" s="111">
        <v>1997</v>
      </c>
      <c r="P119" s="114">
        <v>4</v>
      </c>
      <c r="Q119" s="111">
        <v>8397</v>
      </c>
      <c r="R119" s="115">
        <v>11715</v>
      </c>
      <c r="S119" s="111">
        <f t="shared" si="17"/>
        <v>45303</v>
      </c>
      <c r="T119" s="112">
        <v>8894</v>
      </c>
      <c r="U119" s="116">
        <v>0</v>
      </c>
      <c r="V119" s="112"/>
      <c r="W119" s="113">
        <f t="shared" si="14"/>
        <v>67420</v>
      </c>
      <c r="X119" s="110"/>
      <c r="Y119" s="111"/>
      <c r="Z119" s="116"/>
      <c r="AA119" s="111"/>
      <c r="AB119" s="113">
        <f t="shared" si="18"/>
        <v>0</v>
      </c>
      <c r="AC119" s="110"/>
      <c r="AD119" s="111"/>
      <c r="AE119" s="112"/>
      <c r="AF119" s="117"/>
      <c r="AG119" s="111"/>
      <c r="AH119" s="112"/>
      <c r="AI119" s="112"/>
      <c r="AJ119" s="113">
        <f t="shared" si="19"/>
        <v>0</v>
      </c>
      <c r="AK119" s="143">
        <f t="shared" si="24"/>
        <v>1098739.9450000001</v>
      </c>
      <c r="AL119" s="112">
        <f t="shared" si="24"/>
        <v>716636.71900000004</v>
      </c>
      <c r="AM119" s="112">
        <f t="shared" si="24"/>
        <v>382103.22600000002</v>
      </c>
      <c r="AN119" s="112">
        <f t="shared" si="24"/>
        <v>21965.279999999999</v>
      </c>
      <c r="AO119" s="230">
        <f t="shared" si="15"/>
        <v>0.6522350645948346</v>
      </c>
      <c r="AP119" s="193">
        <f t="shared" si="22"/>
        <v>89385.279999999999</v>
      </c>
      <c r="AQ119" s="194">
        <f t="shared" si="16"/>
        <v>-79376.28</v>
      </c>
      <c r="AR119" s="147"/>
      <c r="AS119" s="148"/>
      <c r="AT119" s="148"/>
      <c r="AU119" s="149"/>
      <c r="AV119" s="195"/>
      <c r="AW119" s="112">
        <v>1098739945</v>
      </c>
      <c r="AX119" s="162">
        <v>716636719</v>
      </c>
      <c r="AY119" s="162">
        <v>382103226</v>
      </c>
      <c r="AZ119" s="162">
        <v>21965280</v>
      </c>
      <c r="BA119" s="231">
        <f t="shared" si="20"/>
        <v>0.6522350645948346</v>
      </c>
      <c r="BB119" s="210">
        <v>284302</v>
      </c>
      <c r="BC119" s="115"/>
      <c r="BD119" s="236"/>
    </row>
    <row r="120" spans="1:56" s="121" customFormat="1" ht="16.5" customHeight="1">
      <c r="A120" s="104" t="s">
        <v>2429</v>
      </c>
      <c r="B120" s="105" t="s">
        <v>790</v>
      </c>
      <c r="C120" s="106" t="s">
        <v>778</v>
      </c>
      <c r="D120" s="106" t="s">
        <v>2415</v>
      </c>
      <c r="E120" s="71" t="s">
        <v>779</v>
      </c>
      <c r="F120" s="71" t="s">
        <v>708</v>
      </c>
      <c r="G120" s="109" t="s">
        <v>780</v>
      </c>
      <c r="H120" s="110">
        <v>232</v>
      </c>
      <c r="I120" s="111"/>
      <c r="J120" s="112">
        <v>4247</v>
      </c>
      <c r="K120" s="113">
        <f t="shared" si="13"/>
        <v>4479</v>
      </c>
      <c r="L120" s="210"/>
      <c r="M120" s="115"/>
      <c r="N120" s="112">
        <v>275</v>
      </c>
      <c r="O120" s="115">
        <v>330</v>
      </c>
      <c r="P120" s="122">
        <v>0.6</v>
      </c>
      <c r="Q120" s="111">
        <v>8397</v>
      </c>
      <c r="R120" s="112"/>
      <c r="S120" s="111">
        <f t="shared" si="17"/>
        <v>5038</v>
      </c>
      <c r="T120" s="112"/>
      <c r="U120" s="144"/>
      <c r="V120" s="111">
        <v>16003</v>
      </c>
      <c r="W120" s="113">
        <f t="shared" si="14"/>
        <v>21646</v>
      </c>
      <c r="X120" s="110"/>
      <c r="Y120" s="111"/>
      <c r="Z120" s="116"/>
      <c r="AA120" s="111">
        <v>16003</v>
      </c>
      <c r="AB120" s="113">
        <f t="shared" si="18"/>
        <v>16003</v>
      </c>
      <c r="AC120" s="110">
        <v>2207</v>
      </c>
      <c r="AD120" s="111">
        <v>1865</v>
      </c>
      <c r="AE120" s="112"/>
      <c r="AF120" s="117">
        <v>314</v>
      </c>
      <c r="AG120" s="111">
        <v>6285</v>
      </c>
      <c r="AH120" s="112">
        <v>962</v>
      </c>
      <c r="AI120" s="112">
        <v>50</v>
      </c>
      <c r="AJ120" s="113">
        <f t="shared" si="19"/>
        <v>11683</v>
      </c>
      <c r="AK120" s="143">
        <f t="shared" si="24"/>
        <v>144289.69899999999</v>
      </c>
      <c r="AL120" s="112">
        <f t="shared" si="24"/>
        <v>87858.210999999996</v>
      </c>
      <c r="AM120" s="112">
        <f t="shared" si="24"/>
        <v>56431.487999999998</v>
      </c>
      <c r="AN120" s="112">
        <f t="shared" si="24"/>
        <v>3080.6439999999998</v>
      </c>
      <c r="AO120" s="230">
        <f t="shared" si="15"/>
        <v>0.6089014781297728</v>
      </c>
      <c r="AP120" s="193">
        <f t="shared" si="22"/>
        <v>24726.644</v>
      </c>
      <c r="AQ120" s="194">
        <f t="shared" si="16"/>
        <v>-20247.644</v>
      </c>
      <c r="AR120" s="118"/>
      <c r="AS120" s="119"/>
      <c r="AT120" s="119"/>
      <c r="AU120" s="120"/>
      <c r="AV120" s="195"/>
      <c r="AW120" s="112">
        <v>144289699</v>
      </c>
      <c r="AX120" s="162">
        <v>87858211</v>
      </c>
      <c r="AY120" s="162">
        <v>56431488</v>
      </c>
      <c r="AZ120" s="162">
        <v>3080644</v>
      </c>
      <c r="BA120" s="231">
        <f t="shared" si="20"/>
        <v>0.6089014781297728</v>
      </c>
      <c r="BB120" s="210"/>
      <c r="BC120" s="115"/>
      <c r="BD120" s="236"/>
    </row>
    <row r="121" spans="1:56" s="121" customFormat="1" ht="16.5" customHeight="1">
      <c r="A121" s="104" t="s">
        <v>2429</v>
      </c>
      <c r="B121" s="105" t="s">
        <v>1966</v>
      </c>
      <c r="C121" s="106" t="s">
        <v>786</v>
      </c>
      <c r="D121" s="106" t="s">
        <v>2415</v>
      </c>
      <c r="E121" s="71" t="s">
        <v>787</v>
      </c>
      <c r="F121" s="71" t="s">
        <v>708</v>
      </c>
      <c r="G121" s="109" t="s">
        <v>721</v>
      </c>
      <c r="H121" s="110"/>
      <c r="I121" s="111"/>
      <c r="J121" s="112"/>
      <c r="K121" s="113">
        <f t="shared" si="13"/>
        <v>0</v>
      </c>
      <c r="L121" s="210"/>
      <c r="M121" s="115"/>
      <c r="N121" s="115"/>
      <c r="O121" s="111"/>
      <c r="P121" s="145">
        <v>0.18</v>
      </c>
      <c r="Q121" s="111">
        <v>8397</v>
      </c>
      <c r="R121" s="112"/>
      <c r="S121" s="111">
        <f t="shared" si="17"/>
        <v>1511</v>
      </c>
      <c r="T121" s="112"/>
      <c r="U121" s="144">
        <v>464</v>
      </c>
      <c r="V121" s="111">
        <v>45983</v>
      </c>
      <c r="W121" s="113">
        <f t="shared" si="14"/>
        <v>47958</v>
      </c>
      <c r="X121" s="110">
        <v>55</v>
      </c>
      <c r="Y121" s="111">
        <v>1325</v>
      </c>
      <c r="Z121" s="116">
        <v>694</v>
      </c>
      <c r="AA121" s="111">
        <v>45983</v>
      </c>
      <c r="AB121" s="113">
        <f t="shared" si="18"/>
        <v>48057</v>
      </c>
      <c r="AC121" s="110">
        <v>1719</v>
      </c>
      <c r="AD121" s="111">
        <v>2729</v>
      </c>
      <c r="AE121" s="112">
        <v>0</v>
      </c>
      <c r="AF121" s="117">
        <v>194</v>
      </c>
      <c r="AG121" s="111">
        <v>30661</v>
      </c>
      <c r="AH121" s="112">
        <v>10168</v>
      </c>
      <c r="AI121" s="112">
        <v>858</v>
      </c>
      <c r="AJ121" s="113">
        <f t="shared" si="19"/>
        <v>46329</v>
      </c>
      <c r="AK121" s="143">
        <f t="shared" si="24"/>
        <v>282709.85200000001</v>
      </c>
      <c r="AL121" s="112">
        <f t="shared" si="24"/>
        <v>178193.23699999999</v>
      </c>
      <c r="AM121" s="112">
        <f t="shared" si="24"/>
        <v>104516.61500000001</v>
      </c>
      <c r="AN121" s="112">
        <f t="shared" si="24"/>
        <v>9739.5630000000001</v>
      </c>
      <c r="AO121" s="230">
        <f t="shared" si="15"/>
        <v>0.6303043057728317</v>
      </c>
      <c r="AP121" s="193">
        <f t="shared" si="22"/>
        <v>57697.563000000002</v>
      </c>
      <c r="AQ121" s="194">
        <f t="shared" si="16"/>
        <v>-57697.563000000002</v>
      </c>
      <c r="AR121" s="118"/>
      <c r="AS121" s="119"/>
      <c r="AT121" s="119"/>
      <c r="AU121" s="120"/>
      <c r="AV121" s="195"/>
      <c r="AW121" s="112">
        <v>282709852</v>
      </c>
      <c r="AX121" s="162">
        <v>178193237</v>
      </c>
      <c r="AY121" s="162">
        <v>104516615</v>
      </c>
      <c r="AZ121" s="162">
        <v>9739563</v>
      </c>
      <c r="BA121" s="231">
        <f t="shared" si="20"/>
        <v>0.6303043057728317</v>
      </c>
      <c r="BB121" s="210">
        <v>253146</v>
      </c>
      <c r="BC121" s="115">
        <v>0</v>
      </c>
      <c r="BD121" s="236">
        <v>0</v>
      </c>
    </row>
    <row r="122" spans="1:56" s="121" customFormat="1" ht="16.5" customHeight="1">
      <c r="A122" s="104" t="s">
        <v>2429</v>
      </c>
      <c r="B122" s="105" t="s">
        <v>1966</v>
      </c>
      <c r="C122" s="106" t="s">
        <v>791</v>
      </c>
      <c r="D122" s="106" t="s">
        <v>2415</v>
      </c>
      <c r="E122" s="71" t="s">
        <v>792</v>
      </c>
      <c r="F122" s="71" t="s">
        <v>708</v>
      </c>
      <c r="G122" s="109" t="s">
        <v>721</v>
      </c>
      <c r="H122" s="143"/>
      <c r="I122" s="112"/>
      <c r="J122" s="112"/>
      <c r="K122" s="113">
        <f t="shared" si="13"/>
        <v>0</v>
      </c>
      <c r="L122" s="210"/>
      <c r="M122" s="115"/>
      <c r="N122" s="115"/>
      <c r="O122" s="115"/>
      <c r="P122" s="145">
        <v>0.22</v>
      </c>
      <c r="Q122" s="111">
        <v>8397</v>
      </c>
      <c r="R122" s="112"/>
      <c r="S122" s="111">
        <f t="shared" si="17"/>
        <v>1847</v>
      </c>
      <c r="T122" s="115">
        <v>47020</v>
      </c>
      <c r="U122" s="116"/>
      <c r="V122" s="112">
        <v>0</v>
      </c>
      <c r="W122" s="113">
        <f t="shared" si="14"/>
        <v>48867</v>
      </c>
      <c r="X122" s="110"/>
      <c r="Y122" s="111"/>
      <c r="Z122" s="116"/>
      <c r="AA122" s="111"/>
      <c r="AB122" s="113">
        <f t="shared" si="18"/>
        <v>0</v>
      </c>
      <c r="AC122" s="110"/>
      <c r="AD122" s="111"/>
      <c r="AE122" s="112"/>
      <c r="AF122" s="117"/>
      <c r="AG122" s="111"/>
      <c r="AH122" s="112"/>
      <c r="AI122" s="112"/>
      <c r="AJ122" s="113">
        <f t="shared" si="19"/>
        <v>0</v>
      </c>
      <c r="AK122" s="143">
        <f t="shared" si="24"/>
        <v>0</v>
      </c>
      <c r="AL122" s="112">
        <f t="shared" si="24"/>
        <v>0</v>
      </c>
      <c r="AM122" s="112">
        <f t="shared" si="24"/>
        <v>0</v>
      </c>
      <c r="AN122" s="112">
        <f t="shared" si="24"/>
        <v>0</v>
      </c>
      <c r="AO122" s="230" t="str">
        <f t="shared" si="15"/>
        <v>-</v>
      </c>
      <c r="AP122" s="193">
        <f t="shared" si="22"/>
        <v>48867</v>
      </c>
      <c r="AQ122" s="194">
        <f t="shared" si="16"/>
        <v>-48867</v>
      </c>
      <c r="AR122" s="118"/>
      <c r="AS122" s="119"/>
      <c r="AT122" s="119"/>
      <c r="AU122" s="120"/>
      <c r="AV122" s="195"/>
      <c r="AW122" s="112">
        <v>0</v>
      </c>
      <c r="AX122" s="162">
        <v>0</v>
      </c>
      <c r="AY122" s="162">
        <v>0</v>
      </c>
      <c r="AZ122" s="162">
        <v>0</v>
      </c>
      <c r="BA122" s="231" t="s">
        <v>1966</v>
      </c>
      <c r="BB122" s="238" t="s">
        <v>2460</v>
      </c>
      <c r="BC122" s="115">
        <v>0</v>
      </c>
      <c r="BD122" s="236">
        <v>0</v>
      </c>
    </row>
    <row r="123" spans="1:56" s="121" customFormat="1" ht="16.5" customHeight="1">
      <c r="A123" s="104" t="s">
        <v>2429</v>
      </c>
      <c r="B123" s="105" t="s">
        <v>1966</v>
      </c>
      <c r="C123" s="106" t="s">
        <v>794</v>
      </c>
      <c r="D123" s="106" t="s">
        <v>2415</v>
      </c>
      <c r="E123" s="71" t="s">
        <v>788</v>
      </c>
      <c r="F123" s="71" t="s">
        <v>708</v>
      </c>
      <c r="G123" s="109" t="s">
        <v>721</v>
      </c>
      <c r="H123" s="110"/>
      <c r="I123" s="111"/>
      <c r="J123" s="112"/>
      <c r="K123" s="113">
        <f t="shared" si="13"/>
        <v>0</v>
      </c>
      <c r="L123" s="210"/>
      <c r="M123" s="115"/>
      <c r="N123" s="115"/>
      <c r="O123" s="111"/>
      <c r="P123" s="145">
        <v>0.18</v>
      </c>
      <c r="Q123" s="111">
        <v>8397</v>
      </c>
      <c r="R123" s="112"/>
      <c r="S123" s="111">
        <f t="shared" si="17"/>
        <v>1511</v>
      </c>
      <c r="T123" s="115"/>
      <c r="U123" s="144">
        <v>17</v>
      </c>
      <c r="V123" s="111">
        <v>35943</v>
      </c>
      <c r="W123" s="113">
        <f t="shared" si="14"/>
        <v>37471</v>
      </c>
      <c r="X123" s="110">
        <v>0</v>
      </c>
      <c r="Y123" s="111">
        <v>2200</v>
      </c>
      <c r="Z123" s="116">
        <v>136</v>
      </c>
      <c r="AA123" s="111">
        <v>35943</v>
      </c>
      <c r="AB123" s="113">
        <f t="shared" si="18"/>
        <v>38279</v>
      </c>
      <c r="AC123" s="110">
        <v>0</v>
      </c>
      <c r="AD123" s="111">
        <v>1381</v>
      </c>
      <c r="AE123" s="112">
        <v>0</v>
      </c>
      <c r="AF123" s="117">
        <v>78</v>
      </c>
      <c r="AG123" s="111">
        <v>31280</v>
      </c>
      <c r="AH123" s="112">
        <v>4340</v>
      </c>
      <c r="AI123" s="112">
        <v>154</v>
      </c>
      <c r="AJ123" s="113">
        <f t="shared" si="19"/>
        <v>37233</v>
      </c>
      <c r="AK123" s="143">
        <f t="shared" si="24"/>
        <v>861938.85499999998</v>
      </c>
      <c r="AL123" s="112">
        <f t="shared" si="24"/>
        <v>550539.07499999995</v>
      </c>
      <c r="AM123" s="112">
        <f t="shared" si="24"/>
        <v>311399.78000000003</v>
      </c>
      <c r="AN123" s="112">
        <f t="shared" si="24"/>
        <v>17238.776999999998</v>
      </c>
      <c r="AO123" s="230">
        <f t="shared" si="15"/>
        <v>0.63872172812072614</v>
      </c>
      <c r="AP123" s="193">
        <f t="shared" si="22"/>
        <v>54709.777000000002</v>
      </c>
      <c r="AQ123" s="194">
        <f t="shared" si="16"/>
        <v>-54709.777000000002</v>
      </c>
      <c r="AR123" s="118"/>
      <c r="AS123" s="119"/>
      <c r="AT123" s="119"/>
      <c r="AU123" s="120"/>
      <c r="AV123" s="195"/>
      <c r="AW123" s="112">
        <v>861938855</v>
      </c>
      <c r="AX123" s="162">
        <v>550539075</v>
      </c>
      <c r="AY123" s="162">
        <v>311399780</v>
      </c>
      <c r="AZ123" s="162">
        <v>17238777</v>
      </c>
      <c r="BA123" s="231">
        <f t="shared" si="20"/>
        <v>0.63872172812072614</v>
      </c>
      <c r="BB123" s="238" t="s">
        <v>2460</v>
      </c>
      <c r="BC123" s="115">
        <v>0</v>
      </c>
      <c r="BD123" s="236">
        <v>0</v>
      </c>
    </row>
    <row r="124" spans="1:56" s="121" customFormat="1" ht="16.5" customHeight="1">
      <c r="A124" s="104" t="s">
        <v>2429</v>
      </c>
      <c r="B124" s="105" t="s">
        <v>1966</v>
      </c>
      <c r="C124" s="106" t="s">
        <v>796</v>
      </c>
      <c r="D124" s="106" t="s">
        <v>2415</v>
      </c>
      <c r="E124" s="71" t="s">
        <v>797</v>
      </c>
      <c r="F124" s="71" t="s">
        <v>708</v>
      </c>
      <c r="G124" s="109" t="s">
        <v>721</v>
      </c>
      <c r="H124" s="110"/>
      <c r="I124" s="111"/>
      <c r="J124" s="112"/>
      <c r="K124" s="113">
        <f t="shared" si="13"/>
        <v>0</v>
      </c>
      <c r="L124" s="210"/>
      <c r="M124" s="115"/>
      <c r="N124" s="115"/>
      <c r="O124" s="111"/>
      <c r="P124" s="145">
        <v>0.18</v>
      </c>
      <c r="Q124" s="111">
        <v>8397</v>
      </c>
      <c r="R124" s="112"/>
      <c r="S124" s="111">
        <f t="shared" si="17"/>
        <v>1511</v>
      </c>
      <c r="T124" s="115"/>
      <c r="U124" s="144"/>
      <c r="V124" s="111">
        <v>9100</v>
      </c>
      <c r="W124" s="113">
        <f t="shared" si="14"/>
        <v>10611</v>
      </c>
      <c r="X124" s="110">
        <v>0</v>
      </c>
      <c r="Y124" s="111">
        <v>0</v>
      </c>
      <c r="Z124" s="116">
        <v>220</v>
      </c>
      <c r="AA124" s="111">
        <v>9100</v>
      </c>
      <c r="AB124" s="113">
        <f t="shared" si="18"/>
        <v>9320</v>
      </c>
      <c r="AC124" s="110">
        <v>94</v>
      </c>
      <c r="AD124" s="111">
        <v>1058</v>
      </c>
      <c r="AE124" s="112">
        <v>0</v>
      </c>
      <c r="AF124" s="117">
        <v>0</v>
      </c>
      <c r="AG124" s="111">
        <v>8065</v>
      </c>
      <c r="AH124" s="112">
        <v>0</v>
      </c>
      <c r="AI124" s="112">
        <v>102</v>
      </c>
      <c r="AJ124" s="113">
        <f t="shared" si="19"/>
        <v>9319</v>
      </c>
      <c r="AK124" s="143">
        <f t="shared" si="24"/>
        <v>587769.89300000004</v>
      </c>
      <c r="AL124" s="112">
        <f t="shared" si="24"/>
        <v>127867.44</v>
      </c>
      <c r="AM124" s="112">
        <f t="shared" si="24"/>
        <v>459902.45299999998</v>
      </c>
      <c r="AN124" s="112">
        <f t="shared" si="24"/>
        <v>6437.4719999999998</v>
      </c>
      <c r="AO124" s="230">
        <f t="shared" si="15"/>
        <v>0.21754676706450496</v>
      </c>
      <c r="AP124" s="193">
        <f t="shared" si="22"/>
        <v>17048.472000000002</v>
      </c>
      <c r="AQ124" s="194">
        <f t="shared" si="16"/>
        <v>-17048.472000000002</v>
      </c>
      <c r="AR124" s="118"/>
      <c r="AS124" s="119"/>
      <c r="AT124" s="119"/>
      <c r="AU124" s="120"/>
      <c r="AV124" s="195"/>
      <c r="AW124" s="112">
        <v>587769893</v>
      </c>
      <c r="AX124" s="162">
        <v>127867440</v>
      </c>
      <c r="AY124" s="162">
        <v>459902453</v>
      </c>
      <c r="AZ124" s="162">
        <v>6437472</v>
      </c>
      <c r="BA124" s="231">
        <f t="shared" si="20"/>
        <v>0.21754676706450496</v>
      </c>
      <c r="BB124" s="238" t="s">
        <v>2460</v>
      </c>
      <c r="BC124" s="115">
        <v>0</v>
      </c>
      <c r="BD124" s="236">
        <v>0</v>
      </c>
    </row>
    <row r="125" spans="1:56" s="121" customFormat="1" ht="16.5" customHeight="1">
      <c r="A125" s="104" t="s">
        <v>2429</v>
      </c>
      <c r="B125" s="105" t="s">
        <v>793</v>
      </c>
      <c r="C125" s="106" t="s">
        <v>800</v>
      </c>
      <c r="D125" s="106" t="s">
        <v>2415</v>
      </c>
      <c r="E125" s="71" t="s">
        <v>801</v>
      </c>
      <c r="F125" s="71" t="s">
        <v>170</v>
      </c>
      <c r="G125" s="109" t="s">
        <v>802</v>
      </c>
      <c r="H125" s="110">
        <v>1328</v>
      </c>
      <c r="I125" s="111">
        <v>3131</v>
      </c>
      <c r="J125" s="112">
        <v>99</v>
      </c>
      <c r="K125" s="113">
        <f t="shared" si="13"/>
        <v>4558</v>
      </c>
      <c r="L125" s="110">
        <v>10402</v>
      </c>
      <c r="M125" s="111">
        <v>29723</v>
      </c>
      <c r="N125" s="112"/>
      <c r="O125" s="111">
        <v>11615</v>
      </c>
      <c r="P125" s="114">
        <v>5.95</v>
      </c>
      <c r="Q125" s="111">
        <v>8397</v>
      </c>
      <c r="R125" s="115">
        <v>52390.248091603054</v>
      </c>
      <c r="S125" s="111">
        <f t="shared" si="17"/>
        <v>102352.24809160305</v>
      </c>
      <c r="T125" s="112">
        <v>60800</v>
      </c>
      <c r="U125" s="116"/>
      <c r="V125" s="112"/>
      <c r="W125" s="113">
        <f t="shared" si="14"/>
        <v>214892.24809160305</v>
      </c>
      <c r="X125" s="110"/>
      <c r="Y125" s="111"/>
      <c r="Z125" s="116"/>
      <c r="AA125" s="111"/>
      <c r="AB125" s="113">
        <f t="shared" si="18"/>
        <v>0</v>
      </c>
      <c r="AC125" s="110"/>
      <c r="AD125" s="111"/>
      <c r="AE125" s="112"/>
      <c r="AF125" s="117"/>
      <c r="AG125" s="111"/>
      <c r="AH125" s="112"/>
      <c r="AI125" s="112"/>
      <c r="AJ125" s="113">
        <f t="shared" si="19"/>
        <v>0</v>
      </c>
      <c r="AK125" s="143">
        <f t="shared" si="24"/>
        <v>1937026.6</v>
      </c>
      <c r="AL125" s="112">
        <f t="shared" si="24"/>
        <v>696545.96</v>
      </c>
      <c r="AM125" s="112">
        <f t="shared" si="24"/>
        <v>1240480.6399999999</v>
      </c>
      <c r="AN125" s="112">
        <f t="shared" si="24"/>
        <v>70492.244000000006</v>
      </c>
      <c r="AO125" s="230">
        <f t="shared" si="15"/>
        <v>0.35959545418736116</v>
      </c>
      <c r="AP125" s="193">
        <f t="shared" si="22"/>
        <v>285384.49209160305</v>
      </c>
      <c r="AQ125" s="194">
        <f t="shared" si="16"/>
        <v>-280826.49209160305</v>
      </c>
      <c r="AR125" s="118"/>
      <c r="AS125" s="119"/>
      <c r="AT125" s="119"/>
      <c r="AU125" s="120"/>
      <c r="AV125" s="195"/>
      <c r="AW125" s="112">
        <v>1937026600</v>
      </c>
      <c r="AX125" s="162">
        <v>696545960</v>
      </c>
      <c r="AY125" s="162">
        <v>1240480640</v>
      </c>
      <c r="AZ125" s="162">
        <v>70492244</v>
      </c>
      <c r="BA125" s="231">
        <f t="shared" si="20"/>
        <v>0.35959545418736116</v>
      </c>
      <c r="BB125" s="210">
        <v>449463</v>
      </c>
      <c r="BC125" s="115">
        <v>13366</v>
      </c>
      <c r="BD125" s="236"/>
    </row>
    <row r="126" spans="1:56" s="121" customFormat="1" ht="16.5" customHeight="1">
      <c r="A126" s="104" t="s">
        <v>2429</v>
      </c>
      <c r="B126" s="105" t="s">
        <v>795</v>
      </c>
      <c r="C126" s="106" t="s">
        <v>812</v>
      </c>
      <c r="D126" s="106" t="s">
        <v>2415</v>
      </c>
      <c r="E126" s="71" t="s">
        <v>813</v>
      </c>
      <c r="F126" s="71" t="s">
        <v>170</v>
      </c>
      <c r="G126" s="109" t="s">
        <v>802</v>
      </c>
      <c r="H126" s="110"/>
      <c r="I126" s="111"/>
      <c r="J126" s="112"/>
      <c r="K126" s="113">
        <f t="shared" si="13"/>
        <v>0</v>
      </c>
      <c r="L126" s="110"/>
      <c r="M126" s="111"/>
      <c r="N126" s="112"/>
      <c r="O126" s="111"/>
      <c r="P126" s="122">
        <v>0.3</v>
      </c>
      <c r="Q126" s="111">
        <v>8397</v>
      </c>
      <c r="R126" s="112"/>
      <c r="S126" s="111">
        <f t="shared" si="17"/>
        <v>2519</v>
      </c>
      <c r="T126" s="112">
        <v>5600</v>
      </c>
      <c r="U126" s="116"/>
      <c r="V126" s="111">
        <v>35508</v>
      </c>
      <c r="W126" s="113">
        <f t="shared" si="14"/>
        <v>43627</v>
      </c>
      <c r="X126" s="110"/>
      <c r="Y126" s="111">
        <v>6</v>
      </c>
      <c r="Z126" s="116">
        <v>69</v>
      </c>
      <c r="AA126" s="111">
        <v>35508</v>
      </c>
      <c r="AB126" s="113">
        <f t="shared" si="18"/>
        <v>35583</v>
      </c>
      <c r="AC126" s="110"/>
      <c r="AD126" s="111"/>
      <c r="AE126" s="112"/>
      <c r="AF126" s="117"/>
      <c r="AG126" s="111">
        <v>34268</v>
      </c>
      <c r="AH126" s="112">
        <v>1604</v>
      </c>
      <c r="AI126" s="112"/>
      <c r="AJ126" s="113">
        <f t="shared" si="19"/>
        <v>35872</v>
      </c>
      <c r="AK126" s="143">
        <f t="shared" si="24"/>
        <v>374729.02045475721</v>
      </c>
      <c r="AL126" s="112">
        <f t="shared" si="24"/>
        <v>166870.11987104261</v>
      </c>
      <c r="AM126" s="112">
        <f t="shared" si="24"/>
        <v>207858.9005837146</v>
      </c>
      <c r="AN126" s="112">
        <f t="shared" si="24"/>
        <v>9775.3959252556942</v>
      </c>
      <c r="AO126" s="230">
        <f t="shared" si="15"/>
        <v>0.44530877183874157</v>
      </c>
      <c r="AP126" s="193">
        <f t="shared" si="22"/>
        <v>53402.395925255696</v>
      </c>
      <c r="AQ126" s="194">
        <f t="shared" si="16"/>
        <v>-53402.395925255696</v>
      </c>
      <c r="AR126" s="118"/>
      <c r="AS126" s="119"/>
      <c r="AT126" s="119"/>
      <c r="AU126" s="120"/>
      <c r="AV126" s="195" t="s">
        <v>63</v>
      </c>
      <c r="AW126" s="112">
        <v>374729020.45475721</v>
      </c>
      <c r="AX126" s="162">
        <v>166870119.87104261</v>
      </c>
      <c r="AY126" s="162">
        <v>207858900.5837146</v>
      </c>
      <c r="AZ126" s="162">
        <v>9775395.9252556935</v>
      </c>
      <c r="BA126" s="231">
        <f t="shared" si="20"/>
        <v>0.44530877183874157</v>
      </c>
      <c r="BB126" s="210"/>
      <c r="BC126" s="115"/>
      <c r="BD126" s="236"/>
    </row>
    <row r="127" spans="1:56" s="121" customFormat="1" ht="16.5" customHeight="1">
      <c r="A127" s="104" t="s">
        <v>2429</v>
      </c>
      <c r="B127" s="105" t="s">
        <v>799</v>
      </c>
      <c r="C127" s="106" t="s">
        <v>818</v>
      </c>
      <c r="D127" s="106" t="s">
        <v>2415</v>
      </c>
      <c r="E127" s="71" t="s">
        <v>819</v>
      </c>
      <c r="F127" s="71" t="s">
        <v>170</v>
      </c>
      <c r="G127" s="109" t="s">
        <v>802</v>
      </c>
      <c r="H127" s="110"/>
      <c r="I127" s="111"/>
      <c r="J127" s="112"/>
      <c r="K127" s="113">
        <f t="shared" si="13"/>
        <v>0</v>
      </c>
      <c r="L127" s="110"/>
      <c r="M127" s="115"/>
      <c r="N127" s="115"/>
      <c r="O127" s="115"/>
      <c r="P127" s="122">
        <v>0.3</v>
      </c>
      <c r="Q127" s="111">
        <v>8397</v>
      </c>
      <c r="R127" s="112"/>
      <c r="S127" s="111">
        <f t="shared" si="17"/>
        <v>2519</v>
      </c>
      <c r="T127" s="115">
        <v>5996</v>
      </c>
      <c r="U127" s="116"/>
      <c r="V127" s="111">
        <v>28461</v>
      </c>
      <c r="W127" s="113">
        <f t="shared" si="14"/>
        <v>36976</v>
      </c>
      <c r="X127" s="110"/>
      <c r="Y127" s="111">
        <v>28</v>
      </c>
      <c r="Z127" s="116">
        <v>5</v>
      </c>
      <c r="AA127" s="111">
        <v>28461</v>
      </c>
      <c r="AB127" s="113">
        <f t="shared" si="18"/>
        <v>28494</v>
      </c>
      <c r="AC127" s="110"/>
      <c r="AD127" s="111"/>
      <c r="AE127" s="112"/>
      <c r="AF127" s="117">
        <v>83</v>
      </c>
      <c r="AG127" s="111">
        <v>26684</v>
      </c>
      <c r="AH127" s="112">
        <v>1476</v>
      </c>
      <c r="AI127" s="112"/>
      <c r="AJ127" s="113">
        <f t="shared" si="19"/>
        <v>28243</v>
      </c>
      <c r="AK127" s="143">
        <f t="shared" si="24"/>
        <v>256155.1797699398</v>
      </c>
      <c r="AL127" s="112">
        <f t="shared" si="24"/>
        <v>147806.21220227302</v>
      </c>
      <c r="AM127" s="112">
        <f t="shared" si="24"/>
        <v>108348.96756766681</v>
      </c>
      <c r="AN127" s="112">
        <f t="shared" si="24"/>
        <v>3707.9414610341396</v>
      </c>
      <c r="AO127" s="230">
        <f t="shared" si="15"/>
        <v>0.57701824470237895</v>
      </c>
      <c r="AP127" s="193">
        <f t="shared" si="22"/>
        <v>40683.941461034141</v>
      </c>
      <c r="AQ127" s="194">
        <f t="shared" si="16"/>
        <v>-40683.941461034141</v>
      </c>
      <c r="AR127" s="118"/>
      <c r="AS127" s="119"/>
      <c r="AT127" s="119"/>
      <c r="AU127" s="120"/>
      <c r="AV127" s="195" t="s">
        <v>63</v>
      </c>
      <c r="AW127" s="112">
        <v>256155179.76993981</v>
      </c>
      <c r="AX127" s="162">
        <v>147806212.20227301</v>
      </c>
      <c r="AY127" s="162">
        <v>108348967.56766681</v>
      </c>
      <c r="AZ127" s="162">
        <v>3707941.4610341396</v>
      </c>
      <c r="BA127" s="231">
        <f t="shared" si="20"/>
        <v>0.57701824470237895</v>
      </c>
      <c r="BB127" s="210"/>
      <c r="BC127" s="115"/>
      <c r="BD127" s="236"/>
    </row>
    <row r="128" spans="1:56" s="121" customFormat="1" ht="16.5" customHeight="1">
      <c r="A128" s="104" t="s">
        <v>2429</v>
      </c>
      <c r="B128" s="105" t="s">
        <v>811</v>
      </c>
      <c r="C128" s="106" t="s">
        <v>822</v>
      </c>
      <c r="D128" s="106" t="s">
        <v>2415</v>
      </c>
      <c r="E128" s="71" t="s">
        <v>823</v>
      </c>
      <c r="F128" s="71" t="s">
        <v>170</v>
      </c>
      <c r="G128" s="109" t="s">
        <v>802</v>
      </c>
      <c r="H128" s="110"/>
      <c r="I128" s="111"/>
      <c r="J128" s="112"/>
      <c r="K128" s="113">
        <f t="shared" si="13"/>
        <v>0</v>
      </c>
      <c r="L128" s="110"/>
      <c r="M128" s="111">
        <v>90</v>
      </c>
      <c r="N128" s="112"/>
      <c r="O128" s="111"/>
      <c r="P128" s="114"/>
      <c r="Q128" s="111">
        <v>8397</v>
      </c>
      <c r="R128" s="115">
        <v>11452.751908396947</v>
      </c>
      <c r="S128" s="111">
        <f t="shared" si="17"/>
        <v>11452.751908396947</v>
      </c>
      <c r="T128" s="112"/>
      <c r="U128" s="116"/>
      <c r="V128" s="112"/>
      <c r="W128" s="113">
        <f t="shared" si="14"/>
        <v>11542.751908396947</v>
      </c>
      <c r="X128" s="110"/>
      <c r="Y128" s="111"/>
      <c r="Z128" s="116"/>
      <c r="AA128" s="111"/>
      <c r="AB128" s="113">
        <f t="shared" si="18"/>
        <v>0</v>
      </c>
      <c r="AC128" s="110"/>
      <c r="AD128" s="111"/>
      <c r="AE128" s="112"/>
      <c r="AF128" s="117"/>
      <c r="AG128" s="111"/>
      <c r="AH128" s="112"/>
      <c r="AI128" s="112"/>
      <c r="AJ128" s="113">
        <f t="shared" si="19"/>
        <v>0</v>
      </c>
      <c r="AK128" s="143">
        <f t="shared" si="24"/>
        <v>18354</v>
      </c>
      <c r="AL128" s="112">
        <f t="shared" si="24"/>
        <v>4037.88</v>
      </c>
      <c r="AM128" s="112">
        <f t="shared" si="24"/>
        <v>14316.12</v>
      </c>
      <c r="AN128" s="112">
        <f t="shared" si="24"/>
        <v>367.08</v>
      </c>
      <c r="AO128" s="230">
        <f t="shared" si="15"/>
        <v>0.22</v>
      </c>
      <c r="AP128" s="193">
        <f t="shared" si="22"/>
        <v>11909.831908396947</v>
      </c>
      <c r="AQ128" s="194">
        <f t="shared" si="16"/>
        <v>-11909.831908396947</v>
      </c>
      <c r="AR128" s="118"/>
      <c r="AS128" s="119"/>
      <c r="AT128" s="119"/>
      <c r="AU128" s="120"/>
      <c r="AV128" s="195"/>
      <c r="AW128" s="112">
        <v>18354000</v>
      </c>
      <c r="AX128" s="162">
        <v>4037880</v>
      </c>
      <c r="AY128" s="162">
        <v>14316120</v>
      </c>
      <c r="AZ128" s="162">
        <v>367080</v>
      </c>
      <c r="BA128" s="231">
        <f t="shared" si="20"/>
        <v>0.22</v>
      </c>
      <c r="BB128" s="210"/>
      <c r="BC128" s="115"/>
      <c r="BD128" s="236"/>
    </row>
    <row r="129" spans="1:56" s="121" customFormat="1" ht="16.5" customHeight="1">
      <c r="A129" s="104" t="s">
        <v>2429</v>
      </c>
      <c r="B129" s="105" t="s">
        <v>817</v>
      </c>
      <c r="C129" s="106" t="s">
        <v>830</v>
      </c>
      <c r="D129" s="106" t="s">
        <v>2415</v>
      </c>
      <c r="E129" s="71" t="s">
        <v>831</v>
      </c>
      <c r="F129" s="71" t="s">
        <v>170</v>
      </c>
      <c r="G129" s="109" t="s">
        <v>802</v>
      </c>
      <c r="H129" s="110"/>
      <c r="I129" s="111"/>
      <c r="J129" s="112"/>
      <c r="K129" s="113">
        <f t="shared" si="13"/>
        <v>0</v>
      </c>
      <c r="L129" s="110"/>
      <c r="M129" s="111"/>
      <c r="N129" s="112"/>
      <c r="O129" s="111"/>
      <c r="P129" s="122">
        <v>0.3</v>
      </c>
      <c r="Q129" s="111">
        <v>8397</v>
      </c>
      <c r="R129" s="112"/>
      <c r="S129" s="111">
        <f t="shared" si="17"/>
        <v>2519</v>
      </c>
      <c r="T129" s="112">
        <v>540</v>
      </c>
      <c r="U129" s="116"/>
      <c r="V129" s="111">
        <v>9885</v>
      </c>
      <c r="W129" s="113">
        <f t="shared" si="14"/>
        <v>12944</v>
      </c>
      <c r="X129" s="110"/>
      <c r="Y129" s="111"/>
      <c r="Z129" s="116"/>
      <c r="AA129" s="111">
        <v>9885</v>
      </c>
      <c r="AB129" s="113">
        <f t="shared" si="18"/>
        <v>9885</v>
      </c>
      <c r="AC129" s="110">
        <v>239</v>
      </c>
      <c r="AD129" s="111"/>
      <c r="AE129" s="112"/>
      <c r="AF129" s="117"/>
      <c r="AG129" s="111">
        <v>8785</v>
      </c>
      <c r="AH129" s="112">
        <v>166</v>
      </c>
      <c r="AI129" s="112"/>
      <c r="AJ129" s="113">
        <f t="shared" si="19"/>
        <v>9190</v>
      </c>
      <c r="AK129" s="143">
        <f t="shared" si="24"/>
        <v>30040.109657080389</v>
      </c>
      <c r="AL129" s="112">
        <f t="shared" si="24"/>
        <v>6785.1969235632478</v>
      </c>
      <c r="AM129" s="112">
        <f t="shared" si="24"/>
        <v>23254.91273351714</v>
      </c>
      <c r="AN129" s="112">
        <f t="shared" si="24"/>
        <v>1142.4061851024387</v>
      </c>
      <c r="AO129" s="230">
        <f t="shared" si="15"/>
        <v>0.22587124351471838</v>
      </c>
      <c r="AP129" s="193">
        <f t="shared" si="22"/>
        <v>14086.406185102438</v>
      </c>
      <c r="AQ129" s="194">
        <f t="shared" si="16"/>
        <v>-14086.406185102438</v>
      </c>
      <c r="AR129" s="118"/>
      <c r="AS129" s="119"/>
      <c r="AT129" s="119"/>
      <c r="AU129" s="120"/>
      <c r="AV129" s="195" t="s">
        <v>63</v>
      </c>
      <c r="AW129" s="112">
        <v>30040109.65708039</v>
      </c>
      <c r="AX129" s="162">
        <v>6785196.9235632475</v>
      </c>
      <c r="AY129" s="162">
        <v>23254912.73351714</v>
      </c>
      <c r="AZ129" s="162">
        <v>1142406.1851024388</v>
      </c>
      <c r="BA129" s="231">
        <f t="shared" si="20"/>
        <v>0.22587124351471838</v>
      </c>
      <c r="BB129" s="210"/>
      <c r="BC129" s="115"/>
      <c r="BD129" s="236"/>
    </row>
    <row r="130" spans="1:56" s="121" customFormat="1" ht="16.5" customHeight="1">
      <c r="A130" s="104" t="s">
        <v>2429</v>
      </c>
      <c r="B130" s="105" t="s">
        <v>821</v>
      </c>
      <c r="C130" s="106" t="s">
        <v>834</v>
      </c>
      <c r="D130" s="106" t="s">
        <v>2415</v>
      </c>
      <c r="E130" s="71" t="s">
        <v>835</v>
      </c>
      <c r="F130" s="71" t="s">
        <v>170</v>
      </c>
      <c r="G130" s="109" t="s">
        <v>2187</v>
      </c>
      <c r="H130" s="110">
        <v>465</v>
      </c>
      <c r="I130" s="111"/>
      <c r="J130" s="112">
        <v>79</v>
      </c>
      <c r="K130" s="113">
        <f t="shared" si="13"/>
        <v>544</v>
      </c>
      <c r="L130" s="110">
        <v>11380</v>
      </c>
      <c r="M130" s="111">
        <v>4712</v>
      </c>
      <c r="N130" s="112"/>
      <c r="O130" s="111">
        <v>4678</v>
      </c>
      <c r="P130" s="115">
        <v>1</v>
      </c>
      <c r="Q130" s="111">
        <v>8397</v>
      </c>
      <c r="R130" s="115">
        <v>11889</v>
      </c>
      <c r="S130" s="111">
        <f t="shared" si="17"/>
        <v>20286</v>
      </c>
      <c r="T130" s="112">
        <f>22851+29</f>
        <v>22880</v>
      </c>
      <c r="U130" s="116">
        <v>52</v>
      </c>
      <c r="V130" s="111"/>
      <c r="W130" s="113">
        <f t="shared" si="14"/>
        <v>63988</v>
      </c>
      <c r="X130" s="110"/>
      <c r="Y130" s="111"/>
      <c r="Z130" s="116"/>
      <c r="AA130" s="111"/>
      <c r="AB130" s="113">
        <f t="shared" si="18"/>
        <v>0</v>
      </c>
      <c r="AC130" s="110"/>
      <c r="AD130" s="111"/>
      <c r="AE130" s="112"/>
      <c r="AF130" s="117"/>
      <c r="AG130" s="111"/>
      <c r="AH130" s="112"/>
      <c r="AI130" s="112"/>
      <c r="AJ130" s="113">
        <f t="shared" si="19"/>
        <v>0</v>
      </c>
      <c r="AK130" s="143">
        <f t="shared" ref="AK130:AN175" si="25">AW130/1000</f>
        <v>2318558.8190000001</v>
      </c>
      <c r="AL130" s="112">
        <f t="shared" si="25"/>
        <v>1684081.774</v>
      </c>
      <c r="AM130" s="112">
        <f t="shared" si="25"/>
        <v>634477.04500000004</v>
      </c>
      <c r="AN130" s="112">
        <f t="shared" si="25"/>
        <v>60621.05</v>
      </c>
      <c r="AO130" s="230">
        <f t="shared" si="15"/>
        <v>0.72634852314264275</v>
      </c>
      <c r="AP130" s="193">
        <f t="shared" si="22"/>
        <v>124609.05</v>
      </c>
      <c r="AQ130" s="194">
        <f t="shared" si="16"/>
        <v>-124065.05</v>
      </c>
      <c r="AR130" s="118"/>
      <c r="AS130" s="119"/>
      <c r="AT130" s="119"/>
      <c r="AU130" s="120"/>
      <c r="AV130" s="195"/>
      <c r="AW130" s="112">
        <v>2318558819</v>
      </c>
      <c r="AX130" s="162">
        <v>1684081774</v>
      </c>
      <c r="AY130" s="162">
        <v>634477045</v>
      </c>
      <c r="AZ130" s="162">
        <v>60621050</v>
      </c>
      <c r="BA130" s="231">
        <f t="shared" si="20"/>
        <v>0.72634852314264275</v>
      </c>
      <c r="BB130" s="210">
        <v>264165</v>
      </c>
      <c r="BC130" s="115">
        <v>32474</v>
      </c>
      <c r="BD130" s="236">
        <v>0</v>
      </c>
    </row>
    <row r="131" spans="1:56" s="121" customFormat="1" ht="16.5" customHeight="1">
      <c r="A131" s="104" t="s">
        <v>2429</v>
      </c>
      <c r="B131" s="105" t="s">
        <v>829</v>
      </c>
      <c r="C131" s="106" t="s">
        <v>850</v>
      </c>
      <c r="D131" s="106" t="s">
        <v>2415</v>
      </c>
      <c r="E131" s="71" t="s">
        <v>851</v>
      </c>
      <c r="F131" s="71" t="s">
        <v>170</v>
      </c>
      <c r="G131" s="109" t="s">
        <v>2187</v>
      </c>
      <c r="H131" s="110">
        <v>342</v>
      </c>
      <c r="I131" s="111"/>
      <c r="J131" s="112">
        <v>10</v>
      </c>
      <c r="K131" s="113">
        <f t="shared" si="13"/>
        <v>352</v>
      </c>
      <c r="L131" s="110">
        <v>9267</v>
      </c>
      <c r="M131" s="111">
        <v>4495</v>
      </c>
      <c r="N131" s="112"/>
      <c r="O131" s="111">
        <v>3699</v>
      </c>
      <c r="P131" s="115">
        <v>1</v>
      </c>
      <c r="Q131" s="111">
        <v>8397</v>
      </c>
      <c r="R131" s="115">
        <v>9567</v>
      </c>
      <c r="S131" s="111">
        <f t="shared" si="17"/>
        <v>17964</v>
      </c>
      <c r="T131" s="112">
        <f>21079+20</f>
        <v>21099</v>
      </c>
      <c r="U131" s="116">
        <v>35</v>
      </c>
      <c r="V131" s="111"/>
      <c r="W131" s="113">
        <f t="shared" si="14"/>
        <v>56559</v>
      </c>
      <c r="X131" s="110"/>
      <c r="Y131" s="111"/>
      <c r="Z131" s="116"/>
      <c r="AA131" s="111"/>
      <c r="AB131" s="113">
        <f t="shared" si="18"/>
        <v>0</v>
      </c>
      <c r="AC131" s="110"/>
      <c r="AD131" s="111"/>
      <c r="AE131" s="112"/>
      <c r="AF131" s="117"/>
      <c r="AG131" s="111"/>
      <c r="AH131" s="112"/>
      <c r="AI131" s="112"/>
      <c r="AJ131" s="113">
        <f t="shared" si="19"/>
        <v>0</v>
      </c>
      <c r="AK131" s="143">
        <f t="shared" si="25"/>
        <v>2637005.8259999999</v>
      </c>
      <c r="AL131" s="112">
        <f t="shared" si="25"/>
        <v>1690788.814</v>
      </c>
      <c r="AM131" s="112">
        <f t="shared" si="25"/>
        <v>946217.01199999999</v>
      </c>
      <c r="AN131" s="112">
        <f t="shared" si="25"/>
        <v>53082.845999999998</v>
      </c>
      <c r="AO131" s="230">
        <f t="shared" si="15"/>
        <v>0.64117750417135411</v>
      </c>
      <c r="AP131" s="193">
        <f t="shared" si="22"/>
        <v>109641.84599999999</v>
      </c>
      <c r="AQ131" s="194">
        <f t="shared" si="16"/>
        <v>-109289.84599999999</v>
      </c>
      <c r="AR131" s="118"/>
      <c r="AS131" s="119"/>
      <c r="AT131" s="119"/>
      <c r="AU131" s="120"/>
      <c r="AV131" s="195"/>
      <c r="AW131" s="112">
        <v>2637005826</v>
      </c>
      <c r="AX131" s="162">
        <v>1690788814</v>
      </c>
      <c r="AY131" s="162">
        <v>946217012</v>
      </c>
      <c r="AZ131" s="162">
        <v>53082846</v>
      </c>
      <c r="BA131" s="231">
        <f t="shared" si="20"/>
        <v>0.64117750417135411</v>
      </c>
      <c r="BB131" s="210">
        <v>143754</v>
      </c>
      <c r="BC131" s="115">
        <v>43440</v>
      </c>
      <c r="BD131" s="236">
        <v>0</v>
      </c>
    </row>
    <row r="132" spans="1:56" s="121" customFormat="1" ht="16.5" customHeight="1">
      <c r="A132" s="104" t="s">
        <v>2429</v>
      </c>
      <c r="B132" s="105" t="s">
        <v>833</v>
      </c>
      <c r="C132" s="106" t="s">
        <v>856</v>
      </c>
      <c r="D132" s="106" t="s">
        <v>2415</v>
      </c>
      <c r="E132" s="71" t="s">
        <v>857</v>
      </c>
      <c r="F132" s="71" t="s">
        <v>170</v>
      </c>
      <c r="G132" s="109" t="s">
        <v>2187</v>
      </c>
      <c r="H132" s="110">
        <v>461</v>
      </c>
      <c r="I132" s="111"/>
      <c r="J132" s="112">
        <v>58</v>
      </c>
      <c r="K132" s="113">
        <f t="shared" ref="K132:K195" si="26">SUBTOTAL(9,H132:J132)</f>
        <v>519</v>
      </c>
      <c r="L132" s="110">
        <v>8879</v>
      </c>
      <c r="M132" s="111">
        <v>4337</v>
      </c>
      <c r="N132" s="112"/>
      <c r="O132" s="111">
        <v>1057</v>
      </c>
      <c r="P132" s="115">
        <v>1</v>
      </c>
      <c r="Q132" s="111">
        <v>8397</v>
      </c>
      <c r="R132" s="115">
        <v>8093</v>
      </c>
      <c r="S132" s="111">
        <f t="shared" si="17"/>
        <v>16490</v>
      </c>
      <c r="T132" s="112">
        <f>16172+14</f>
        <v>16186</v>
      </c>
      <c r="U132" s="116">
        <v>33</v>
      </c>
      <c r="V132" s="111"/>
      <c r="W132" s="113">
        <f t="shared" ref="W132:W195" si="27">SUBTOTAL(9,L132:O132,S132:V132)</f>
        <v>46982</v>
      </c>
      <c r="X132" s="110"/>
      <c r="Y132" s="111"/>
      <c r="Z132" s="116"/>
      <c r="AA132" s="111"/>
      <c r="AB132" s="113">
        <f t="shared" si="18"/>
        <v>0</v>
      </c>
      <c r="AC132" s="110"/>
      <c r="AD132" s="111"/>
      <c r="AE132" s="112"/>
      <c r="AF132" s="117"/>
      <c r="AG132" s="111"/>
      <c r="AH132" s="112"/>
      <c r="AI132" s="112"/>
      <c r="AJ132" s="113">
        <f t="shared" si="19"/>
        <v>0</v>
      </c>
      <c r="AK132" s="143">
        <f t="shared" si="25"/>
        <v>2969354.1910000001</v>
      </c>
      <c r="AL132" s="112">
        <f t="shared" si="25"/>
        <v>1758294.5379999999</v>
      </c>
      <c r="AM132" s="112">
        <f t="shared" si="25"/>
        <v>1211059.6529999999</v>
      </c>
      <c r="AN132" s="112">
        <f t="shared" si="25"/>
        <v>50390.591</v>
      </c>
      <c r="AO132" s="230">
        <f t="shared" ref="AO132:AO195" si="28">BA132</f>
        <v>0.5921471218655302</v>
      </c>
      <c r="AP132" s="193">
        <f t="shared" si="22"/>
        <v>97372.591</v>
      </c>
      <c r="AQ132" s="194">
        <f t="shared" ref="AQ132:AQ195" si="29">K132-AP132</f>
        <v>-96853.591</v>
      </c>
      <c r="AR132" s="118"/>
      <c r="AS132" s="119"/>
      <c r="AT132" s="119"/>
      <c r="AU132" s="120"/>
      <c r="AV132" s="195"/>
      <c r="AW132" s="112">
        <v>2969354191</v>
      </c>
      <c r="AX132" s="162">
        <v>1758294538</v>
      </c>
      <c r="AY132" s="162">
        <v>1211059653</v>
      </c>
      <c r="AZ132" s="162">
        <v>50390591</v>
      </c>
      <c r="BA132" s="231">
        <f t="shared" si="20"/>
        <v>0.5921471218655302</v>
      </c>
      <c r="BB132" s="210">
        <v>149190</v>
      </c>
      <c r="BC132" s="115">
        <v>42234</v>
      </c>
      <c r="BD132" s="236">
        <v>0</v>
      </c>
    </row>
    <row r="133" spans="1:56" s="121" customFormat="1" ht="16.5" customHeight="1">
      <c r="A133" s="104" t="s">
        <v>2429</v>
      </c>
      <c r="B133" s="105" t="s">
        <v>849</v>
      </c>
      <c r="C133" s="106" t="s">
        <v>864</v>
      </c>
      <c r="D133" s="106" t="s">
        <v>2415</v>
      </c>
      <c r="E133" s="71" t="s">
        <v>865</v>
      </c>
      <c r="F133" s="71" t="s">
        <v>170</v>
      </c>
      <c r="G133" s="109" t="s">
        <v>2187</v>
      </c>
      <c r="H133" s="110">
        <v>81</v>
      </c>
      <c r="I133" s="111"/>
      <c r="J133" s="112">
        <v>19</v>
      </c>
      <c r="K133" s="113">
        <f t="shared" si="26"/>
        <v>100</v>
      </c>
      <c r="L133" s="110">
        <v>12764</v>
      </c>
      <c r="M133" s="111">
        <v>3671</v>
      </c>
      <c r="N133" s="112"/>
      <c r="O133" s="111">
        <v>2239</v>
      </c>
      <c r="P133" s="115">
        <v>1</v>
      </c>
      <c r="Q133" s="111">
        <v>8397</v>
      </c>
      <c r="R133" s="115">
        <v>7153</v>
      </c>
      <c r="S133" s="111">
        <f t="shared" ref="S133:S196" si="30">ROUND(P133*Q133,0)+R133</f>
        <v>15550</v>
      </c>
      <c r="T133" s="112">
        <f>9301+39</f>
        <v>9340</v>
      </c>
      <c r="U133" s="116">
        <v>49</v>
      </c>
      <c r="V133" s="111"/>
      <c r="W133" s="113">
        <f t="shared" si="27"/>
        <v>43613</v>
      </c>
      <c r="X133" s="110"/>
      <c r="Y133" s="111"/>
      <c r="Z133" s="116"/>
      <c r="AA133" s="111"/>
      <c r="AB133" s="113">
        <f t="shared" ref="AB133:AB196" si="31">SUBTOTAL(9,X133:AA133)</f>
        <v>0</v>
      </c>
      <c r="AC133" s="110"/>
      <c r="AD133" s="111"/>
      <c r="AE133" s="112"/>
      <c r="AF133" s="117"/>
      <c r="AG133" s="111"/>
      <c r="AH133" s="112"/>
      <c r="AI133" s="112"/>
      <c r="AJ133" s="113">
        <f t="shared" ref="AJ133:AJ196" si="32">SUBTOTAL(9,AC133:AI133)</f>
        <v>0</v>
      </c>
      <c r="AK133" s="143">
        <f t="shared" si="25"/>
        <v>1900691.798</v>
      </c>
      <c r="AL133" s="112">
        <f t="shared" si="25"/>
        <v>1294807.0149999999</v>
      </c>
      <c r="AM133" s="112">
        <f t="shared" si="25"/>
        <v>605884.78300000005</v>
      </c>
      <c r="AN133" s="112">
        <f t="shared" si="25"/>
        <v>47779.718000000001</v>
      </c>
      <c r="AO133" s="230">
        <f t="shared" si="28"/>
        <v>0.68122933784554585</v>
      </c>
      <c r="AP133" s="193">
        <f t="shared" si="22"/>
        <v>91392.717999999993</v>
      </c>
      <c r="AQ133" s="194">
        <f t="shared" si="29"/>
        <v>-91292.717999999993</v>
      </c>
      <c r="AR133" s="118"/>
      <c r="AS133" s="119"/>
      <c r="AT133" s="119"/>
      <c r="AU133" s="120"/>
      <c r="AV133" s="195"/>
      <c r="AW133" s="112">
        <v>1900691798</v>
      </c>
      <c r="AX133" s="162">
        <v>1294807015</v>
      </c>
      <c r="AY133" s="162">
        <v>605884783</v>
      </c>
      <c r="AZ133" s="162">
        <v>47779718</v>
      </c>
      <c r="BA133" s="231">
        <f t="shared" ref="BA133:BA196" si="33">AX133/AW133</f>
        <v>0.68122933784554585</v>
      </c>
      <c r="BB133" s="210">
        <v>182716</v>
      </c>
      <c r="BC133" s="115">
        <v>0</v>
      </c>
      <c r="BD133" s="236">
        <v>9797</v>
      </c>
    </row>
    <row r="134" spans="1:56" s="121" customFormat="1" ht="16.5" customHeight="1">
      <c r="A134" s="104" t="s">
        <v>2429</v>
      </c>
      <c r="B134" s="105" t="s">
        <v>855</v>
      </c>
      <c r="C134" s="106" t="s">
        <v>870</v>
      </c>
      <c r="D134" s="106" t="s">
        <v>2415</v>
      </c>
      <c r="E134" s="71" t="s">
        <v>871</v>
      </c>
      <c r="F134" s="71" t="s">
        <v>170</v>
      </c>
      <c r="G134" s="109" t="s">
        <v>2187</v>
      </c>
      <c r="H134" s="110">
        <v>286</v>
      </c>
      <c r="I134" s="111"/>
      <c r="J134" s="112">
        <f>37+1014</f>
        <v>1051</v>
      </c>
      <c r="K134" s="113">
        <f t="shared" si="26"/>
        <v>1337</v>
      </c>
      <c r="L134" s="110">
        <v>11345</v>
      </c>
      <c r="M134" s="111">
        <v>3005</v>
      </c>
      <c r="N134" s="112"/>
      <c r="O134" s="111">
        <v>3730</v>
      </c>
      <c r="P134" s="115">
        <v>1</v>
      </c>
      <c r="Q134" s="111">
        <v>8397</v>
      </c>
      <c r="R134" s="115">
        <v>9654</v>
      </c>
      <c r="S134" s="111">
        <f t="shared" si="30"/>
        <v>18051</v>
      </c>
      <c r="T134" s="112">
        <f>13857+24</f>
        <v>13881</v>
      </c>
      <c r="U134" s="116">
        <v>25</v>
      </c>
      <c r="V134" s="111"/>
      <c r="W134" s="113">
        <f t="shared" si="27"/>
        <v>50037</v>
      </c>
      <c r="X134" s="110"/>
      <c r="Y134" s="111"/>
      <c r="Z134" s="116"/>
      <c r="AA134" s="111"/>
      <c r="AB134" s="113">
        <f t="shared" si="31"/>
        <v>0</v>
      </c>
      <c r="AC134" s="110"/>
      <c r="AD134" s="111"/>
      <c r="AE134" s="112"/>
      <c r="AF134" s="117"/>
      <c r="AG134" s="111"/>
      <c r="AH134" s="112"/>
      <c r="AI134" s="112"/>
      <c r="AJ134" s="113">
        <f t="shared" si="32"/>
        <v>0</v>
      </c>
      <c r="AK134" s="143">
        <f t="shared" si="25"/>
        <v>2220062.2790000001</v>
      </c>
      <c r="AL134" s="112">
        <f t="shared" si="25"/>
        <v>1361076.084</v>
      </c>
      <c r="AM134" s="112">
        <f t="shared" si="25"/>
        <v>858986.19499999995</v>
      </c>
      <c r="AN134" s="112">
        <f t="shared" si="25"/>
        <v>37192.063999999998</v>
      </c>
      <c r="AO134" s="230">
        <f t="shared" si="28"/>
        <v>0.6130801360280218</v>
      </c>
      <c r="AP134" s="193">
        <f t="shared" si="22"/>
        <v>87229.063999999998</v>
      </c>
      <c r="AQ134" s="194">
        <f t="shared" si="29"/>
        <v>-85892.063999999998</v>
      </c>
      <c r="AR134" s="118"/>
      <c r="AS134" s="119"/>
      <c r="AT134" s="119"/>
      <c r="AU134" s="120"/>
      <c r="AV134" s="195"/>
      <c r="AW134" s="112">
        <v>2220062279</v>
      </c>
      <c r="AX134" s="162">
        <v>1361076084</v>
      </c>
      <c r="AY134" s="162">
        <v>858986195</v>
      </c>
      <c r="AZ134" s="162">
        <v>37192064</v>
      </c>
      <c r="BA134" s="231">
        <f t="shared" si="33"/>
        <v>0.6130801360280218</v>
      </c>
      <c r="BB134" s="210">
        <v>293115</v>
      </c>
      <c r="BC134" s="115">
        <v>34507</v>
      </c>
      <c r="BD134" s="236">
        <v>0</v>
      </c>
    </row>
    <row r="135" spans="1:56" s="121" customFormat="1" ht="16.5" customHeight="1">
      <c r="A135" s="104" t="s">
        <v>2429</v>
      </c>
      <c r="B135" s="105" t="s">
        <v>863</v>
      </c>
      <c r="C135" s="106" t="s">
        <v>877</v>
      </c>
      <c r="D135" s="106" t="s">
        <v>2415</v>
      </c>
      <c r="E135" s="71" t="s">
        <v>878</v>
      </c>
      <c r="F135" s="71" t="s">
        <v>170</v>
      </c>
      <c r="G135" s="109" t="s">
        <v>2187</v>
      </c>
      <c r="H135" s="110">
        <v>274</v>
      </c>
      <c r="I135" s="111"/>
      <c r="J135" s="112">
        <v>58</v>
      </c>
      <c r="K135" s="113">
        <f t="shared" si="26"/>
        <v>332</v>
      </c>
      <c r="L135" s="110">
        <v>12398</v>
      </c>
      <c r="M135" s="111">
        <v>2982</v>
      </c>
      <c r="N135" s="112"/>
      <c r="O135" s="111">
        <v>3144</v>
      </c>
      <c r="P135" s="115">
        <v>0</v>
      </c>
      <c r="Q135" s="111">
        <v>8397</v>
      </c>
      <c r="R135" s="115">
        <v>13746</v>
      </c>
      <c r="S135" s="111">
        <f t="shared" si="30"/>
        <v>13746</v>
      </c>
      <c r="T135" s="112">
        <f>16585+18</f>
        <v>16603</v>
      </c>
      <c r="U135" s="116">
        <v>79</v>
      </c>
      <c r="V135" s="111"/>
      <c r="W135" s="113">
        <f t="shared" si="27"/>
        <v>48952</v>
      </c>
      <c r="X135" s="110"/>
      <c r="Y135" s="111"/>
      <c r="Z135" s="116"/>
      <c r="AA135" s="111"/>
      <c r="AB135" s="113">
        <f t="shared" si="31"/>
        <v>0</v>
      </c>
      <c r="AC135" s="110"/>
      <c r="AD135" s="111"/>
      <c r="AE135" s="112"/>
      <c r="AF135" s="117"/>
      <c r="AG135" s="111"/>
      <c r="AH135" s="112"/>
      <c r="AI135" s="112"/>
      <c r="AJ135" s="113">
        <f t="shared" si="32"/>
        <v>0</v>
      </c>
      <c r="AK135" s="143">
        <f t="shared" si="25"/>
        <v>2807551.5320000001</v>
      </c>
      <c r="AL135" s="112">
        <f t="shared" si="25"/>
        <v>1693710.162</v>
      </c>
      <c r="AM135" s="112">
        <f t="shared" si="25"/>
        <v>1113841.3700000001</v>
      </c>
      <c r="AN135" s="112">
        <f t="shared" si="25"/>
        <v>47078.232000000004</v>
      </c>
      <c r="AO135" s="230">
        <f t="shared" si="28"/>
        <v>0.60326948328298757</v>
      </c>
      <c r="AP135" s="193">
        <f t="shared" si="22"/>
        <v>96030.232000000004</v>
      </c>
      <c r="AQ135" s="194">
        <f t="shared" si="29"/>
        <v>-95698.232000000004</v>
      </c>
      <c r="AR135" s="118"/>
      <c r="AS135" s="119"/>
      <c r="AT135" s="119"/>
      <c r="AU135" s="120"/>
      <c r="AV135" s="195"/>
      <c r="AW135" s="112">
        <v>2807551532</v>
      </c>
      <c r="AX135" s="162">
        <v>1693710162</v>
      </c>
      <c r="AY135" s="162">
        <v>1113841370</v>
      </c>
      <c r="AZ135" s="162">
        <v>47078232</v>
      </c>
      <c r="BA135" s="231">
        <f t="shared" si="33"/>
        <v>0.60326948328298757</v>
      </c>
      <c r="BB135" s="210">
        <v>310660</v>
      </c>
      <c r="BC135" s="115">
        <v>42626</v>
      </c>
      <c r="BD135" s="236">
        <v>0</v>
      </c>
    </row>
    <row r="136" spans="1:56" s="121" customFormat="1" ht="16.5" customHeight="1">
      <c r="A136" s="104" t="s">
        <v>2429</v>
      </c>
      <c r="B136" s="105" t="s">
        <v>869</v>
      </c>
      <c r="C136" s="106" t="s">
        <v>883</v>
      </c>
      <c r="D136" s="106" t="s">
        <v>2415</v>
      </c>
      <c r="E136" s="71" t="s">
        <v>884</v>
      </c>
      <c r="F136" s="71" t="s">
        <v>170</v>
      </c>
      <c r="G136" s="109" t="s">
        <v>2187</v>
      </c>
      <c r="H136" s="110">
        <v>253</v>
      </c>
      <c r="I136" s="111"/>
      <c r="J136" s="112">
        <v>22</v>
      </c>
      <c r="K136" s="113">
        <f t="shared" si="26"/>
        <v>275</v>
      </c>
      <c r="L136" s="110">
        <v>9001</v>
      </c>
      <c r="M136" s="111">
        <v>2918</v>
      </c>
      <c r="N136" s="112"/>
      <c r="O136" s="111">
        <v>3623</v>
      </c>
      <c r="P136" s="115">
        <v>1</v>
      </c>
      <c r="Q136" s="111">
        <v>8397</v>
      </c>
      <c r="R136" s="115">
        <v>8940</v>
      </c>
      <c r="S136" s="111">
        <f t="shared" si="30"/>
        <v>17337</v>
      </c>
      <c r="T136" s="112">
        <f>15696+55</f>
        <v>15751</v>
      </c>
      <c r="U136" s="116">
        <v>0</v>
      </c>
      <c r="V136" s="111"/>
      <c r="W136" s="113">
        <f t="shared" si="27"/>
        <v>48630</v>
      </c>
      <c r="X136" s="110"/>
      <c r="Y136" s="111"/>
      <c r="Z136" s="116"/>
      <c r="AA136" s="111"/>
      <c r="AB136" s="113">
        <f t="shared" si="31"/>
        <v>0</v>
      </c>
      <c r="AC136" s="110"/>
      <c r="AD136" s="111"/>
      <c r="AE136" s="112"/>
      <c r="AF136" s="117"/>
      <c r="AG136" s="111"/>
      <c r="AH136" s="112"/>
      <c r="AI136" s="112"/>
      <c r="AJ136" s="113">
        <f t="shared" si="32"/>
        <v>0</v>
      </c>
      <c r="AK136" s="143">
        <f t="shared" si="25"/>
        <v>1791438.9080000001</v>
      </c>
      <c r="AL136" s="112">
        <f t="shared" si="25"/>
        <v>1237291.3570000001</v>
      </c>
      <c r="AM136" s="112">
        <f t="shared" si="25"/>
        <v>554147.55099999998</v>
      </c>
      <c r="AN136" s="112">
        <f t="shared" si="25"/>
        <v>27307.117999999999</v>
      </c>
      <c r="AO136" s="230">
        <f t="shared" si="28"/>
        <v>0.69066902112857309</v>
      </c>
      <c r="AP136" s="193">
        <f t="shared" si="22"/>
        <v>75937.118000000002</v>
      </c>
      <c r="AQ136" s="194">
        <f t="shared" si="29"/>
        <v>-75662.118000000002</v>
      </c>
      <c r="AR136" s="118"/>
      <c r="AS136" s="119"/>
      <c r="AT136" s="119"/>
      <c r="AU136" s="120"/>
      <c r="AV136" s="195"/>
      <c r="AW136" s="112">
        <v>1791438908</v>
      </c>
      <c r="AX136" s="162">
        <v>1237291357</v>
      </c>
      <c r="AY136" s="162">
        <v>554147551</v>
      </c>
      <c r="AZ136" s="162">
        <v>27307118</v>
      </c>
      <c r="BA136" s="231">
        <f t="shared" si="33"/>
        <v>0.69066902112857309</v>
      </c>
      <c r="BB136" s="210">
        <v>225025</v>
      </c>
      <c r="BC136" s="115">
        <v>17663</v>
      </c>
      <c r="BD136" s="236">
        <v>0</v>
      </c>
    </row>
    <row r="137" spans="1:56" s="121" customFormat="1" ht="16.5" customHeight="1">
      <c r="A137" s="104" t="s">
        <v>2429</v>
      </c>
      <c r="B137" s="105" t="s">
        <v>876</v>
      </c>
      <c r="C137" s="106" t="s">
        <v>889</v>
      </c>
      <c r="D137" s="106" t="s">
        <v>2415</v>
      </c>
      <c r="E137" s="71" t="s">
        <v>890</v>
      </c>
      <c r="F137" s="71" t="s">
        <v>170</v>
      </c>
      <c r="G137" s="109" t="s">
        <v>2187</v>
      </c>
      <c r="H137" s="110">
        <v>339</v>
      </c>
      <c r="I137" s="111"/>
      <c r="J137" s="112">
        <v>40</v>
      </c>
      <c r="K137" s="113">
        <f t="shared" si="26"/>
        <v>379</v>
      </c>
      <c r="L137" s="110">
        <v>6977</v>
      </c>
      <c r="M137" s="111">
        <v>3521</v>
      </c>
      <c r="N137" s="112"/>
      <c r="O137" s="111">
        <v>1823</v>
      </c>
      <c r="P137" s="115">
        <v>1</v>
      </c>
      <c r="Q137" s="111">
        <v>8397</v>
      </c>
      <c r="R137" s="115">
        <v>7233</v>
      </c>
      <c r="S137" s="111">
        <f t="shared" si="30"/>
        <v>15630</v>
      </c>
      <c r="T137" s="112">
        <f>15338+16</f>
        <v>15354</v>
      </c>
      <c r="U137" s="116">
        <v>78</v>
      </c>
      <c r="V137" s="111"/>
      <c r="W137" s="113">
        <f t="shared" si="27"/>
        <v>43383</v>
      </c>
      <c r="X137" s="110"/>
      <c r="Y137" s="111"/>
      <c r="Z137" s="116"/>
      <c r="AA137" s="111"/>
      <c r="AB137" s="113">
        <f t="shared" si="31"/>
        <v>0</v>
      </c>
      <c r="AC137" s="110"/>
      <c r="AD137" s="111"/>
      <c r="AE137" s="112"/>
      <c r="AF137" s="117"/>
      <c r="AG137" s="111"/>
      <c r="AH137" s="112"/>
      <c r="AI137" s="112"/>
      <c r="AJ137" s="113">
        <f t="shared" si="32"/>
        <v>0</v>
      </c>
      <c r="AK137" s="143">
        <f t="shared" si="25"/>
        <v>2750747.156</v>
      </c>
      <c r="AL137" s="112">
        <f t="shared" si="25"/>
        <v>1410110.2350000001</v>
      </c>
      <c r="AM137" s="112">
        <f t="shared" si="25"/>
        <v>1340636.9210000001</v>
      </c>
      <c r="AN137" s="112">
        <f t="shared" si="25"/>
        <v>47335.762000000002</v>
      </c>
      <c r="AO137" s="230">
        <f t="shared" si="28"/>
        <v>0.51262808067409305</v>
      </c>
      <c r="AP137" s="193">
        <f t="shared" si="22"/>
        <v>90718.762000000002</v>
      </c>
      <c r="AQ137" s="194">
        <f t="shared" si="29"/>
        <v>-90339.762000000002</v>
      </c>
      <c r="AR137" s="118"/>
      <c r="AS137" s="119"/>
      <c r="AT137" s="119"/>
      <c r="AU137" s="120"/>
      <c r="AV137" s="195"/>
      <c r="AW137" s="112">
        <v>2750747156</v>
      </c>
      <c r="AX137" s="162">
        <v>1410110235</v>
      </c>
      <c r="AY137" s="162">
        <v>1340636921</v>
      </c>
      <c r="AZ137" s="162">
        <v>47335762</v>
      </c>
      <c r="BA137" s="231">
        <f t="shared" si="33"/>
        <v>0.51262808067409305</v>
      </c>
      <c r="BB137" s="210">
        <v>143032</v>
      </c>
      <c r="BC137" s="115">
        <v>28661</v>
      </c>
      <c r="BD137" s="236">
        <v>0</v>
      </c>
    </row>
    <row r="138" spans="1:56" s="121" customFormat="1" ht="16.5" customHeight="1">
      <c r="A138" s="104" t="s">
        <v>2429</v>
      </c>
      <c r="B138" s="105" t="s">
        <v>882</v>
      </c>
      <c r="C138" s="106" t="s">
        <v>896</v>
      </c>
      <c r="D138" s="106" t="s">
        <v>2415</v>
      </c>
      <c r="E138" s="71" t="s">
        <v>897</v>
      </c>
      <c r="F138" s="71" t="s">
        <v>170</v>
      </c>
      <c r="G138" s="109" t="s">
        <v>2187</v>
      </c>
      <c r="H138" s="110">
        <v>222</v>
      </c>
      <c r="I138" s="111"/>
      <c r="J138" s="112">
        <f>26+947</f>
        <v>973</v>
      </c>
      <c r="K138" s="113">
        <f t="shared" si="26"/>
        <v>1195</v>
      </c>
      <c r="L138" s="110">
        <v>10369</v>
      </c>
      <c r="M138" s="111">
        <v>2780</v>
      </c>
      <c r="N138" s="112"/>
      <c r="O138" s="111">
        <v>3310</v>
      </c>
      <c r="P138" s="115">
        <v>0</v>
      </c>
      <c r="Q138" s="111">
        <v>8397</v>
      </c>
      <c r="R138" s="115">
        <v>10436</v>
      </c>
      <c r="S138" s="111">
        <f t="shared" si="30"/>
        <v>10436</v>
      </c>
      <c r="T138" s="112">
        <f>12828+50</f>
        <v>12878</v>
      </c>
      <c r="U138" s="116">
        <v>24</v>
      </c>
      <c r="V138" s="111"/>
      <c r="W138" s="113">
        <f t="shared" si="27"/>
        <v>39797</v>
      </c>
      <c r="X138" s="110"/>
      <c r="Y138" s="111"/>
      <c r="Z138" s="116"/>
      <c r="AA138" s="111"/>
      <c r="AB138" s="113">
        <f t="shared" si="31"/>
        <v>0</v>
      </c>
      <c r="AC138" s="110"/>
      <c r="AD138" s="111"/>
      <c r="AE138" s="112"/>
      <c r="AF138" s="117"/>
      <c r="AG138" s="111"/>
      <c r="AH138" s="112"/>
      <c r="AI138" s="112"/>
      <c r="AJ138" s="113">
        <f t="shared" si="32"/>
        <v>0</v>
      </c>
      <c r="AK138" s="143">
        <f t="shared" si="25"/>
        <v>2138764.696</v>
      </c>
      <c r="AL138" s="112">
        <f t="shared" si="25"/>
        <v>1482697.0390000001</v>
      </c>
      <c r="AM138" s="112">
        <f t="shared" si="25"/>
        <v>656067.65700000001</v>
      </c>
      <c r="AN138" s="112">
        <f t="shared" si="25"/>
        <v>24098.391</v>
      </c>
      <c r="AO138" s="230">
        <f t="shared" si="28"/>
        <v>0.69324925821573413</v>
      </c>
      <c r="AP138" s="193">
        <f t="shared" si="22"/>
        <v>63895.391000000003</v>
      </c>
      <c r="AQ138" s="194">
        <f t="shared" si="29"/>
        <v>-62700.391000000003</v>
      </c>
      <c r="AR138" s="118"/>
      <c r="AS138" s="119"/>
      <c r="AT138" s="119"/>
      <c r="AU138" s="120"/>
      <c r="AV138" s="195"/>
      <c r="AW138" s="112">
        <v>2138764696</v>
      </c>
      <c r="AX138" s="162">
        <v>1482697039</v>
      </c>
      <c r="AY138" s="162">
        <v>656067657</v>
      </c>
      <c r="AZ138" s="162">
        <v>24098391</v>
      </c>
      <c r="BA138" s="231">
        <f t="shared" si="33"/>
        <v>0.69324925821573413</v>
      </c>
      <c r="BB138" s="210">
        <v>299880</v>
      </c>
      <c r="BC138" s="115">
        <v>17618</v>
      </c>
      <c r="BD138" s="236">
        <v>0</v>
      </c>
    </row>
    <row r="139" spans="1:56" s="121" customFormat="1" ht="16.5" customHeight="1">
      <c r="A139" s="104" t="s">
        <v>2429</v>
      </c>
      <c r="B139" s="105" t="s">
        <v>888</v>
      </c>
      <c r="C139" s="106" t="s">
        <v>901</v>
      </c>
      <c r="D139" s="106" t="s">
        <v>2415</v>
      </c>
      <c r="E139" s="71" t="s">
        <v>902</v>
      </c>
      <c r="F139" s="71" t="s">
        <v>170</v>
      </c>
      <c r="G139" s="109" t="s">
        <v>2187</v>
      </c>
      <c r="H139" s="110">
        <v>327</v>
      </c>
      <c r="I139" s="111"/>
      <c r="J139" s="112">
        <f>12+611</f>
        <v>623</v>
      </c>
      <c r="K139" s="113">
        <f t="shared" si="26"/>
        <v>950</v>
      </c>
      <c r="L139" s="110">
        <v>7553</v>
      </c>
      <c r="M139" s="111">
        <v>3181</v>
      </c>
      <c r="N139" s="112"/>
      <c r="O139" s="111">
        <v>2920</v>
      </c>
      <c r="P139" s="115">
        <v>1</v>
      </c>
      <c r="Q139" s="111">
        <v>8397</v>
      </c>
      <c r="R139" s="115">
        <v>9317</v>
      </c>
      <c r="S139" s="111">
        <f t="shared" si="30"/>
        <v>17714</v>
      </c>
      <c r="T139" s="112">
        <f>10082+14</f>
        <v>10096</v>
      </c>
      <c r="U139" s="116">
        <v>58</v>
      </c>
      <c r="V139" s="111"/>
      <c r="W139" s="113">
        <f t="shared" si="27"/>
        <v>41522</v>
      </c>
      <c r="X139" s="110"/>
      <c r="Y139" s="111"/>
      <c r="Z139" s="116"/>
      <c r="AA139" s="111"/>
      <c r="AB139" s="113">
        <f t="shared" si="31"/>
        <v>0</v>
      </c>
      <c r="AC139" s="110"/>
      <c r="AD139" s="111"/>
      <c r="AE139" s="112"/>
      <c r="AF139" s="117"/>
      <c r="AG139" s="111"/>
      <c r="AH139" s="112"/>
      <c r="AI139" s="112"/>
      <c r="AJ139" s="113">
        <f t="shared" si="32"/>
        <v>0</v>
      </c>
      <c r="AK139" s="143">
        <f t="shared" si="25"/>
        <v>2165516.1630000002</v>
      </c>
      <c r="AL139" s="112">
        <f t="shared" si="25"/>
        <v>1092044.2760000001</v>
      </c>
      <c r="AM139" s="112">
        <f t="shared" si="25"/>
        <v>1073471.8870000001</v>
      </c>
      <c r="AN139" s="112">
        <f t="shared" si="25"/>
        <v>47141.875999999997</v>
      </c>
      <c r="AO139" s="230">
        <f t="shared" si="28"/>
        <v>0.50428821297142168</v>
      </c>
      <c r="AP139" s="193">
        <f t="shared" si="22"/>
        <v>88663.875999999989</v>
      </c>
      <c r="AQ139" s="194">
        <f t="shared" si="29"/>
        <v>-87713.875999999989</v>
      </c>
      <c r="AR139" s="118"/>
      <c r="AS139" s="119"/>
      <c r="AT139" s="119"/>
      <c r="AU139" s="120"/>
      <c r="AV139" s="195"/>
      <c r="AW139" s="112">
        <v>2165516163</v>
      </c>
      <c r="AX139" s="162">
        <v>1092044276</v>
      </c>
      <c r="AY139" s="162">
        <v>1073471887</v>
      </c>
      <c r="AZ139" s="162">
        <v>47141876</v>
      </c>
      <c r="BA139" s="231">
        <f t="shared" si="33"/>
        <v>0.50428821297142168</v>
      </c>
      <c r="BB139" s="210">
        <v>192555</v>
      </c>
      <c r="BC139" s="115">
        <v>28279</v>
      </c>
      <c r="BD139" s="236">
        <v>0</v>
      </c>
    </row>
    <row r="140" spans="1:56" s="121" customFormat="1" ht="16.5" customHeight="1">
      <c r="A140" s="104" t="s">
        <v>2429</v>
      </c>
      <c r="B140" s="105" t="s">
        <v>895</v>
      </c>
      <c r="C140" s="106" t="s">
        <v>906</v>
      </c>
      <c r="D140" s="106" t="s">
        <v>2415</v>
      </c>
      <c r="E140" s="71" t="s">
        <v>907</v>
      </c>
      <c r="F140" s="71" t="s">
        <v>170</v>
      </c>
      <c r="G140" s="109" t="s">
        <v>2187</v>
      </c>
      <c r="H140" s="110">
        <v>136</v>
      </c>
      <c r="I140" s="111"/>
      <c r="J140" s="112">
        <v>16</v>
      </c>
      <c r="K140" s="113">
        <f t="shared" si="26"/>
        <v>152</v>
      </c>
      <c r="L140" s="110">
        <v>9537</v>
      </c>
      <c r="M140" s="111">
        <v>3368</v>
      </c>
      <c r="N140" s="112"/>
      <c r="O140" s="111">
        <v>2593</v>
      </c>
      <c r="P140" s="115">
        <v>0</v>
      </c>
      <c r="Q140" s="111">
        <v>8397</v>
      </c>
      <c r="R140" s="115">
        <v>9347</v>
      </c>
      <c r="S140" s="111">
        <f t="shared" si="30"/>
        <v>9347</v>
      </c>
      <c r="T140" s="112">
        <f>14737+45</f>
        <v>14782</v>
      </c>
      <c r="U140" s="116">
        <v>37</v>
      </c>
      <c r="V140" s="111"/>
      <c r="W140" s="113">
        <f t="shared" si="27"/>
        <v>39664</v>
      </c>
      <c r="X140" s="110"/>
      <c r="Y140" s="111"/>
      <c r="Z140" s="116"/>
      <c r="AA140" s="111"/>
      <c r="AB140" s="113">
        <f t="shared" si="31"/>
        <v>0</v>
      </c>
      <c r="AC140" s="110"/>
      <c r="AD140" s="111"/>
      <c r="AE140" s="112"/>
      <c r="AF140" s="117"/>
      <c r="AG140" s="111"/>
      <c r="AH140" s="112"/>
      <c r="AI140" s="112"/>
      <c r="AJ140" s="113">
        <f t="shared" si="32"/>
        <v>0</v>
      </c>
      <c r="AK140" s="143">
        <f t="shared" si="25"/>
        <v>2234621.5630000001</v>
      </c>
      <c r="AL140" s="112">
        <f t="shared" si="25"/>
        <v>1247224.6780000001</v>
      </c>
      <c r="AM140" s="112">
        <f t="shared" si="25"/>
        <v>987396.88500000001</v>
      </c>
      <c r="AN140" s="112">
        <f t="shared" si="25"/>
        <v>21519.234</v>
      </c>
      <c r="AO140" s="230">
        <f t="shared" si="28"/>
        <v>0.55813686695369991</v>
      </c>
      <c r="AP140" s="193">
        <f t="shared" si="22"/>
        <v>61183.233999999997</v>
      </c>
      <c r="AQ140" s="194">
        <f t="shared" si="29"/>
        <v>-61031.233999999997</v>
      </c>
      <c r="AR140" s="118"/>
      <c r="AS140" s="119"/>
      <c r="AT140" s="119"/>
      <c r="AU140" s="120"/>
      <c r="AV140" s="195"/>
      <c r="AW140" s="112">
        <v>2234621563</v>
      </c>
      <c r="AX140" s="162">
        <v>1247224678</v>
      </c>
      <c r="AY140" s="162">
        <v>987396885</v>
      </c>
      <c r="AZ140" s="162">
        <v>21519234</v>
      </c>
      <c r="BA140" s="231">
        <f t="shared" si="33"/>
        <v>0.55813686695369991</v>
      </c>
      <c r="BB140" s="210">
        <v>213926</v>
      </c>
      <c r="BC140" s="115">
        <v>27276</v>
      </c>
      <c r="BD140" s="236">
        <v>0</v>
      </c>
    </row>
    <row r="141" spans="1:56" s="121" customFormat="1" ht="16.5" customHeight="1">
      <c r="A141" s="104" t="s">
        <v>2429</v>
      </c>
      <c r="B141" s="105" t="s">
        <v>900</v>
      </c>
      <c r="C141" s="106" t="s">
        <v>911</v>
      </c>
      <c r="D141" s="106" t="s">
        <v>2415</v>
      </c>
      <c r="E141" s="71" t="s">
        <v>912</v>
      </c>
      <c r="F141" s="71" t="s">
        <v>170</v>
      </c>
      <c r="G141" s="109" t="s">
        <v>2187</v>
      </c>
      <c r="H141" s="110">
        <v>236</v>
      </c>
      <c r="I141" s="111"/>
      <c r="J141" s="112">
        <v>54</v>
      </c>
      <c r="K141" s="113">
        <f t="shared" si="26"/>
        <v>290</v>
      </c>
      <c r="L141" s="110">
        <v>10383</v>
      </c>
      <c r="M141" s="111">
        <v>4026</v>
      </c>
      <c r="N141" s="112"/>
      <c r="O141" s="111">
        <v>2048</v>
      </c>
      <c r="P141" s="115">
        <v>0</v>
      </c>
      <c r="Q141" s="111">
        <v>8397</v>
      </c>
      <c r="R141" s="115">
        <v>11261</v>
      </c>
      <c r="S141" s="111">
        <f t="shared" si="30"/>
        <v>11261</v>
      </c>
      <c r="T141" s="112">
        <f>16737+53</f>
        <v>16790</v>
      </c>
      <c r="U141" s="116">
        <v>57</v>
      </c>
      <c r="V141" s="111"/>
      <c r="W141" s="113">
        <f t="shared" si="27"/>
        <v>44565</v>
      </c>
      <c r="X141" s="110"/>
      <c r="Y141" s="111"/>
      <c r="Z141" s="116"/>
      <c r="AA141" s="111"/>
      <c r="AB141" s="113">
        <f t="shared" si="31"/>
        <v>0</v>
      </c>
      <c r="AC141" s="110"/>
      <c r="AD141" s="111"/>
      <c r="AE141" s="112"/>
      <c r="AF141" s="117"/>
      <c r="AG141" s="111"/>
      <c r="AH141" s="112"/>
      <c r="AI141" s="112"/>
      <c r="AJ141" s="113">
        <f t="shared" si="32"/>
        <v>0</v>
      </c>
      <c r="AK141" s="143">
        <f t="shared" si="25"/>
        <v>1974218.094</v>
      </c>
      <c r="AL141" s="112">
        <f t="shared" si="25"/>
        <v>1281980.4839999999</v>
      </c>
      <c r="AM141" s="112">
        <f t="shared" si="25"/>
        <v>692237.61</v>
      </c>
      <c r="AN141" s="112">
        <f t="shared" si="25"/>
        <v>33328.453999999998</v>
      </c>
      <c r="AO141" s="230">
        <f t="shared" si="28"/>
        <v>0.64936112575209737</v>
      </c>
      <c r="AP141" s="193">
        <f t="shared" si="22"/>
        <v>77893.453999999998</v>
      </c>
      <c r="AQ141" s="194">
        <f t="shared" si="29"/>
        <v>-77603.453999999998</v>
      </c>
      <c r="AR141" s="118"/>
      <c r="AS141" s="119"/>
      <c r="AT141" s="119"/>
      <c r="AU141" s="120"/>
      <c r="AV141" s="195"/>
      <c r="AW141" s="112">
        <v>1974218094</v>
      </c>
      <c r="AX141" s="162">
        <v>1281980484</v>
      </c>
      <c r="AY141" s="162">
        <v>692237610</v>
      </c>
      <c r="AZ141" s="162">
        <v>33328454</v>
      </c>
      <c r="BA141" s="231">
        <f t="shared" si="33"/>
        <v>0.64936112575209737</v>
      </c>
      <c r="BB141" s="210">
        <v>241267</v>
      </c>
      <c r="BC141" s="115">
        <v>37306</v>
      </c>
      <c r="BD141" s="236">
        <v>0</v>
      </c>
    </row>
    <row r="142" spans="1:56" s="121" customFormat="1" ht="16.5" customHeight="1">
      <c r="A142" s="104" t="s">
        <v>2429</v>
      </c>
      <c r="B142" s="105" t="s">
        <v>905</v>
      </c>
      <c r="C142" s="106" t="s">
        <v>916</v>
      </c>
      <c r="D142" s="106" t="s">
        <v>2415</v>
      </c>
      <c r="E142" s="71" t="s">
        <v>917</v>
      </c>
      <c r="F142" s="71" t="s">
        <v>170</v>
      </c>
      <c r="G142" s="109" t="s">
        <v>2187</v>
      </c>
      <c r="H142" s="110">
        <v>163</v>
      </c>
      <c r="I142" s="111"/>
      <c r="J142" s="112">
        <v>69</v>
      </c>
      <c r="K142" s="113">
        <f t="shared" si="26"/>
        <v>232</v>
      </c>
      <c r="L142" s="110">
        <v>12406</v>
      </c>
      <c r="M142" s="111">
        <v>3873</v>
      </c>
      <c r="N142" s="112"/>
      <c r="O142" s="111">
        <v>3313</v>
      </c>
      <c r="P142" s="115">
        <v>1</v>
      </c>
      <c r="Q142" s="111">
        <v>8397</v>
      </c>
      <c r="R142" s="115">
        <v>8804</v>
      </c>
      <c r="S142" s="111">
        <f t="shared" si="30"/>
        <v>17201</v>
      </c>
      <c r="T142" s="112">
        <f>14084+40</f>
        <v>14124</v>
      </c>
      <c r="U142" s="116">
        <v>79</v>
      </c>
      <c r="V142" s="111"/>
      <c r="W142" s="113">
        <f t="shared" si="27"/>
        <v>50996</v>
      </c>
      <c r="X142" s="110"/>
      <c r="Y142" s="111"/>
      <c r="Z142" s="116"/>
      <c r="AA142" s="111"/>
      <c r="AB142" s="113">
        <f t="shared" si="31"/>
        <v>0</v>
      </c>
      <c r="AC142" s="110"/>
      <c r="AD142" s="111"/>
      <c r="AE142" s="112"/>
      <c r="AF142" s="117"/>
      <c r="AG142" s="111"/>
      <c r="AH142" s="112"/>
      <c r="AI142" s="112"/>
      <c r="AJ142" s="113">
        <f t="shared" si="32"/>
        <v>0</v>
      </c>
      <c r="AK142" s="143">
        <f t="shared" si="25"/>
        <v>2227396.338</v>
      </c>
      <c r="AL142" s="112">
        <f t="shared" si="25"/>
        <v>1483410.2209999999</v>
      </c>
      <c r="AM142" s="112">
        <f t="shared" si="25"/>
        <v>743986.11699999997</v>
      </c>
      <c r="AN142" s="112">
        <f t="shared" si="25"/>
        <v>26339.79</v>
      </c>
      <c r="AO142" s="230">
        <f t="shared" si="28"/>
        <v>0.66598395431141277</v>
      </c>
      <c r="AP142" s="193">
        <f t="shared" si="22"/>
        <v>77335.790000000008</v>
      </c>
      <c r="AQ142" s="194">
        <f t="shared" si="29"/>
        <v>-77103.790000000008</v>
      </c>
      <c r="AR142" s="118"/>
      <c r="AS142" s="119"/>
      <c r="AT142" s="119"/>
      <c r="AU142" s="120"/>
      <c r="AV142" s="195"/>
      <c r="AW142" s="112">
        <v>2227396338</v>
      </c>
      <c r="AX142" s="162">
        <v>1483410221</v>
      </c>
      <c r="AY142" s="162">
        <v>743986117</v>
      </c>
      <c r="AZ142" s="162">
        <v>26339790</v>
      </c>
      <c r="BA142" s="231">
        <f t="shared" si="33"/>
        <v>0.66598395431141277</v>
      </c>
      <c r="BB142" s="210">
        <v>288111</v>
      </c>
      <c r="BC142" s="115">
        <v>53701</v>
      </c>
      <c r="BD142" s="236">
        <v>0</v>
      </c>
    </row>
    <row r="143" spans="1:56" s="121" customFormat="1" ht="16.5" customHeight="1">
      <c r="A143" s="104" t="s">
        <v>2429</v>
      </c>
      <c r="B143" s="105" t="s">
        <v>910</v>
      </c>
      <c r="C143" s="106" t="s">
        <v>921</v>
      </c>
      <c r="D143" s="106" t="s">
        <v>2415</v>
      </c>
      <c r="E143" s="71" t="s">
        <v>922</v>
      </c>
      <c r="F143" s="71" t="s">
        <v>170</v>
      </c>
      <c r="G143" s="109" t="s">
        <v>2187</v>
      </c>
      <c r="H143" s="110">
        <v>157</v>
      </c>
      <c r="I143" s="111"/>
      <c r="J143" s="112">
        <v>17</v>
      </c>
      <c r="K143" s="113">
        <f t="shared" si="26"/>
        <v>174</v>
      </c>
      <c r="L143" s="110">
        <v>5853</v>
      </c>
      <c r="M143" s="111">
        <v>3454</v>
      </c>
      <c r="N143" s="112"/>
      <c r="O143" s="111">
        <v>4926</v>
      </c>
      <c r="P143" s="115">
        <v>1</v>
      </c>
      <c r="Q143" s="111">
        <v>8397</v>
      </c>
      <c r="R143" s="115">
        <v>7149</v>
      </c>
      <c r="S143" s="111">
        <f t="shared" si="30"/>
        <v>15546</v>
      </c>
      <c r="T143" s="112">
        <f>8793+39</f>
        <v>8832</v>
      </c>
      <c r="U143" s="116">
        <v>1</v>
      </c>
      <c r="V143" s="111"/>
      <c r="W143" s="113">
        <f t="shared" si="27"/>
        <v>38612</v>
      </c>
      <c r="X143" s="110"/>
      <c r="Y143" s="111"/>
      <c r="Z143" s="116"/>
      <c r="AA143" s="111"/>
      <c r="AB143" s="113">
        <f t="shared" si="31"/>
        <v>0</v>
      </c>
      <c r="AC143" s="110"/>
      <c r="AD143" s="111"/>
      <c r="AE143" s="112"/>
      <c r="AF143" s="117"/>
      <c r="AG143" s="111"/>
      <c r="AH143" s="112"/>
      <c r="AI143" s="112"/>
      <c r="AJ143" s="113">
        <f t="shared" si="32"/>
        <v>0</v>
      </c>
      <c r="AK143" s="143">
        <f t="shared" si="25"/>
        <v>1511100.5449999999</v>
      </c>
      <c r="AL143" s="112">
        <f t="shared" si="25"/>
        <v>1193566.675</v>
      </c>
      <c r="AM143" s="112">
        <f t="shared" si="25"/>
        <v>317533.87</v>
      </c>
      <c r="AN143" s="112">
        <f t="shared" si="25"/>
        <v>22829.093000000001</v>
      </c>
      <c r="AO143" s="230">
        <f t="shared" si="28"/>
        <v>0.78986582259488236</v>
      </c>
      <c r="AP143" s="193">
        <f t="shared" si="22"/>
        <v>61441.093000000001</v>
      </c>
      <c r="AQ143" s="194">
        <f t="shared" si="29"/>
        <v>-61267.093000000001</v>
      </c>
      <c r="AR143" s="118"/>
      <c r="AS143" s="119"/>
      <c r="AT143" s="119"/>
      <c r="AU143" s="120"/>
      <c r="AV143" s="195"/>
      <c r="AW143" s="112">
        <v>1511100545</v>
      </c>
      <c r="AX143" s="162">
        <v>1193566675</v>
      </c>
      <c r="AY143" s="162">
        <v>317533870</v>
      </c>
      <c r="AZ143" s="162">
        <v>22829093</v>
      </c>
      <c r="BA143" s="231">
        <f t="shared" si="33"/>
        <v>0.78986582259488236</v>
      </c>
      <c r="BB143" s="210">
        <v>116796</v>
      </c>
      <c r="BC143" s="115">
        <v>19862</v>
      </c>
      <c r="BD143" s="236">
        <v>0</v>
      </c>
    </row>
    <row r="144" spans="1:56" s="121" customFormat="1" ht="16.5" customHeight="1">
      <c r="A144" s="104" t="s">
        <v>2429</v>
      </c>
      <c r="B144" s="105" t="s">
        <v>915</v>
      </c>
      <c r="C144" s="106" t="s">
        <v>926</v>
      </c>
      <c r="D144" s="106" t="s">
        <v>2415</v>
      </c>
      <c r="E144" s="71" t="s">
        <v>927</v>
      </c>
      <c r="F144" s="71" t="s">
        <v>170</v>
      </c>
      <c r="G144" s="109" t="s">
        <v>2187</v>
      </c>
      <c r="H144" s="110">
        <v>232</v>
      </c>
      <c r="I144" s="111"/>
      <c r="J144" s="112">
        <v>30</v>
      </c>
      <c r="K144" s="113">
        <f t="shared" si="26"/>
        <v>262</v>
      </c>
      <c r="L144" s="110">
        <v>10185</v>
      </c>
      <c r="M144" s="111">
        <v>3568</v>
      </c>
      <c r="N144" s="112"/>
      <c r="O144" s="111">
        <v>6060</v>
      </c>
      <c r="P144" s="115">
        <v>0</v>
      </c>
      <c r="Q144" s="111">
        <v>8397</v>
      </c>
      <c r="R144" s="115">
        <v>11783</v>
      </c>
      <c r="S144" s="111">
        <f t="shared" si="30"/>
        <v>11783</v>
      </c>
      <c r="T144" s="112">
        <f>13562+18</f>
        <v>13580</v>
      </c>
      <c r="U144" s="116">
        <v>28</v>
      </c>
      <c r="V144" s="111"/>
      <c r="W144" s="113">
        <f t="shared" si="27"/>
        <v>45204</v>
      </c>
      <c r="X144" s="110"/>
      <c r="Y144" s="111"/>
      <c r="Z144" s="116"/>
      <c r="AA144" s="111"/>
      <c r="AB144" s="113">
        <f t="shared" si="31"/>
        <v>0</v>
      </c>
      <c r="AC144" s="110"/>
      <c r="AD144" s="111"/>
      <c r="AE144" s="112"/>
      <c r="AF144" s="117"/>
      <c r="AG144" s="111"/>
      <c r="AH144" s="112"/>
      <c r="AI144" s="112"/>
      <c r="AJ144" s="113">
        <f t="shared" si="32"/>
        <v>0</v>
      </c>
      <c r="AK144" s="143">
        <f t="shared" si="25"/>
        <v>2014030.436</v>
      </c>
      <c r="AL144" s="112">
        <f t="shared" si="25"/>
        <v>1481332.5190000001</v>
      </c>
      <c r="AM144" s="112">
        <f t="shared" si="25"/>
        <v>532697.91700000002</v>
      </c>
      <c r="AN144" s="112">
        <f t="shared" si="25"/>
        <v>46419.489000000001</v>
      </c>
      <c r="AO144" s="230">
        <f t="shared" si="28"/>
        <v>0.73550652091535718</v>
      </c>
      <c r="AP144" s="193">
        <f t="shared" si="22"/>
        <v>91623.489000000001</v>
      </c>
      <c r="AQ144" s="194">
        <f t="shared" si="29"/>
        <v>-91361.489000000001</v>
      </c>
      <c r="AR144" s="118"/>
      <c r="AS144" s="119"/>
      <c r="AT144" s="119"/>
      <c r="AU144" s="120"/>
      <c r="AV144" s="195"/>
      <c r="AW144" s="112">
        <v>2014030436</v>
      </c>
      <c r="AX144" s="162">
        <v>1481332519</v>
      </c>
      <c r="AY144" s="162">
        <v>532697917</v>
      </c>
      <c r="AZ144" s="162">
        <v>46419489</v>
      </c>
      <c r="BA144" s="231">
        <f t="shared" si="33"/>
        <v>0.73550652091535718</v>
      </c>
      <c r="BB144" s="210">
        <v>198446</v>
      </c>
      <c r="BC144" s="115">
        <v>44420</v>
      </c>
      <c r="BD144" s="236">
        <v>0</v>
      </c>
    </row>
    <row r="145" spans="1:56" s="121" customFormat="1" ht="16.5" customHeight="1">
      <c r="A145" s="104" t="s">
        <v>2429</v>
      </c>
      <c r="B145" s="105" t="s">
        <v>920</v>
      </c>
      <c r="C145" s="106" t="s">
        <v>931</v>
      </c>
      <c r="D145" s="106" t="s">
        <v>2415</v>
      </c>
      <c r="E145" s="71" t="s">
        <v>932</v>
      </c>
      <c r="F145" s="71" t="s">
        <v>170</v>
      </c>
      <c r="G145" s="109" t="s">
        <v>2187</v>
      </c>
      <c r="H145" s="110">
        <v>245</v>
      </c>
      <c r="I145" s="111"/>
      <c r="J145" s="112">
        <v>29</v>
      </c>
      <c r="K145" s="113">
        <f t="shared" si="26"/>
        <v>274</v>
      </c>
      <c r="L145" s="110">
        <v>12464</v>
      </c>
      <c r="M145" s="111">
        <v>3977</v>
      </c>
      <c r="N145" s="112"/>
      <c r="O145" s="111">
        <v>3584</v>
      </c>
      <c r="P145" s="115">
        <v>1</v>
      </c>
      <c r="Q145" s="111">
        <v>8397</v>
      </c>
      <c r="R145" s="115">
        <v>9045</v>
      </c>
      <c r="S145" s="111">
        <f t="shared" si="30"/>
        <v>17442</v>
      </c>
      <c r="T145" s="112">
        <f>10799+40</f>
        <v>10839</v>
      </c>
      <c r="U145" s="116">
        <v>79</v>
      </c>
      <c r="V145" s="111"/>
      <c r="W145" s="113">
        <f t="shared" si="27"/>
        <v>48385</v>
      </c>
      <c r="X145" s="110"/>
      <c r="Y145" s="111"/>
      <c r="Z145" s="116"/>
      <c r="AA145" s="111"/>
      <c r="AB145" s="113">
        <f t="shared" si="31"/>
        <v>0</v>
      </c>
      <c r="AC145" s="211"/>
      <c r="AD145" s="111"/>
      <c r="AE145" s="112"/>
      <c r="AF145" s="111"/>
      <c r="AG145" s="111"/>
      <c r="AH145" s="112"/>
      <c r="AI145" s="112"/>
      <c r="AJ145" s="113">
        <f t="shared" si="32"/>
        <v>0</v>
      </c>
      <c r="AK145" s="143">
        <f t="shared" si="25"/>
        <v>1751319.5730000001</v>
      </c>
      <c r="AL145" s="112">
        <f t="shared" si="25"/>
        <v>1240493.4909999999</v>
      </c>
      <c r="AM145" s="112">
        <f t="shared" si="25"/>
        <v>510826.08199999999</v>
      </c>
      <c r="AN145" s="112">
        <f t="shared" si="25"/>
        <v>37465.663999999997</v>
      </c>
      <c r="AO145" s="230">
        <f t="shared" si="28"/>
        <v>0.70831932111341733</v>
      </c>
      <c r="AP145" s="193">
        <f t="shared" si="22"/>
        <v>85850.66399999999</v>
      </c>
      <c r="AQ145" s="194">
        <f t="shared" si="29"/>
        <v>-85576.66399999999</v>
      </c>
      <c r="AR145" s="118"/>
      <c r="AS145" s="119"/>
      <c r="AT145" s="119"/>
      <c r="AU145" s="120"/>
      <c r="AV145" s="195"/>
      <c r="AW145" s="112">
        <v>1751319573</v>
      </c>
      <c r="AX145" s="162">
        <v>1240493491</v>
      </c>
      <c r="AY145" s="162">
        <v>510826082</v>
      </c>
      <c r="AZ145" s="162">
        <v>37465664</v>
      </c>
      <c r="BA145" s="231">
        <f t="shared" si="33"/>
        <v>0.70831932111341733</v>
      </c>
      <c r="BB145" s="210">
        <v>281021</v>
      </c>
      <c r="BC145" s="115">
        <v>55700</v>
      </c>
      <c r="BD145" s="236">
        <v>0</v>
      </c>
    </row>
    <row r="146" spans="1:56" s="121" customFormat="1" ht="16.5" customHeight="1">
      <c r="A146" s="104" t="s">
        <v>2429</v>
      </c>
      <c r="B146" s="105" t="s">
        <v>925</v>
      </c>
      <c r="C146" s="106" t="s">
        <v>936</v>
      </c>
      <c r="D146" s="106" t="s">
        <v>2415</v>
      </c>
      <c r="E146" s="71" t="s">
        <v>937</v>
      </c>
      <c r="F146" s="71" t="s">
        <v>170</v>
      </c>
      <c r="G146" s="109" t="s">
        <v>2187</v>
      </c>
      <c r="H146" s="110">
        <v>238</v>
      </c>
      <c r="I146" s="111"/>
      <c r="J146" s="112">
        <v>30</v>
      </c>
      <c r="K146" s="113">
        <f t="shared" si="26"/>
        <v>268</v>
      </c>
      <c r="L146" s="110">
        <v>10536</v>
      </c>
      <c r="M146" s="111">
        <v>2974</v>
      </c>
      <c r="N146" s="112"/>
      <c r="O146" s="111">
        <v>4454</v>
      </c>
      <c r="P146" s="115">
        <v>0</v>
      </c>
      <c r="Q146" s="111">
        <v>8397</v>
      </c>
      <c r="R146" s="115">
        <v>8752</v>
      </c>
      <c r="S146" s="111">
        <f t="shared" si="30"/>
        <v>8752</v>
      </c>
      <c r="T146" s="112">
        <f>13581+40</f>
        <v>13621</v>
      </c>
      <c r="U146" s="116">
        <v>69</v>
      </c>
      <c r="V146" s="111"/>
      <c r="W146" s="113">
        <f t="shared" si="27"/>
        <v>40406</v>
      </c>
      <c r="X146" s="110"/>
      <c r="Y146" s="111"/>
      <c r="Z146" s="116"/>
      <c r="AA146" s="111"/>
      <c r="AB146" s="113">
        <f t="shared" si="31"/>
        <v>0</v>
      </c>
      <c r="AC146" s="211"/>
      <c r="AD146" s="111"/>
      <c r="AE146" s="112"/>
      <c r="AF146" s="111"/>
      <c r="AG146" s="111"/>
      <c r="AH146" s="112"/>
      <c r="AI146" s="112"/>
      <c r="AJ146" s="113">
        <f t="shared" si="32"/>
        <v>0</v>
      </c>
      <c r="AK146" s="143">
        <f t="shared" si="25"/>
        <v>1593024.142</v>
      </c>
      <c r="AL146" s="112">
        <f t="shared" si="25"/>
        <v>1131417.06</v>
      </c>
      <c r="AM146" s="112">
        <f t="shared" si="25"/>
        <v>461607.08199999999</v>
      </c>
      <c r="AN146" s="112">
        <f t="shared" si="25"/>
        <v>38912.485000000001</v>
      </c>
      <c r="AO146" s="230">
        <f t="shared" si="28"/>
        <v>0.71023221191082242</v>
      </c>
      <c r="AP146" s="193">
        <f t="shared" si="22"/>
        <v>79318.485000000001</v>
      </c>
      <c r="AQ146" s="194">
        <f t="shared" si="29"/>
        <v>-79050.485000000001</v>
      </c>
      <c r="AR146" s="118"/>
      <c r="AS146" s="119"/>
      <c r="AT146" s="119"/>
      <c r="AU146" s="120"/>
      <c r="AV146" s="195"/>
      <c r="AW146" s="112">
        <v>1593024142</v>
      </c>
      <c r="AX146" s="162">
        <v>1131417060</v>
      </c>
      <c r="AY146" s="162">
        <v>461607082</v>
      </c>
      <c r="AZ146" s="162">
        <v>38912485</v>
      </c>
      <c r="BA146" s="231">
        <f t="shared" si="33"/>
        <v>0.71023221191082242</v>
      </c>
      <c r="BB146" s="210">
        <v>277395</v>
      </c>
      <c r="BC146" s="115">
        <v>33930</v>
      </c>
      <c r="BD146" s="236">
        <v>0</v>
      </c>
    </row>
    <row r="147" spans="1:56" s="121" customFormat="1" ht="16.5" customHeight="1">
      <c r="A147" s="104" t="s">
        <v>2429</v>
      </c>
      <c r="B147" s="105" t="s">
        <v>930</v>
      </c>
      <c r="C147" s="106" t="s">
        <v>941</v>
      </c>
      <c r="D147" s="106" t="s">
        <v>2415</v>
      </c>
      <c r="E147" s="71" t="s">
        <v>942</v>
      </c>
      <c r="F147" s="71" t="s">
        <v>2085</v>
      </c>
      <c r="G147" s="109" t="s">
        <v>2130</v>
      </c>
      <c r="H147" s="110">
        <f>2456*4+22</f>
        <v>9846</v>
      </c>
      <c r="I147" s="112">
        <v>0</v>
      </c>
      <c r="J147" s="112">
        <v>0</v>
      </c>
      <c r="K147" s="113">
        <f t="shared" si="26"/>
        <v>9846</v>
      </c>
      <c r="L147" s="110">
        <f>244+16</f>
        <v>260</v>
      </c>
      <c r="M147" s="111">
        <v>138</v>
      </c>
      <c r="N147" s="112">
        <v>0</v>
      </c>
      <c r="O147" s="111">
        <v>12</v>
      </c>
      <c r="P147" s="114">
        <v>0</v>
      </c>
      <c r="Q147" s="111">
        <v>8397</v>
      </c>
      <c r="R147" s="111">
        <f>2894*11+268</f>
        <v>32102</v>
      </c>
      <c r="S147" s="111">
        <f t="shared" si="30"/>
        <v>32102</v>
      </c>
      <c r="T147" s="112">
        <f>2159*4+28</f>
        <v>8664</v>
      </c>
      <c r="U147" s="144">
        <v>0</v>
      </c>
      <c r="V147" s="144">
        <v>0</v>
      </c>
      <c r="W147" s="113">
        <f t="shared" si="27"/>
        <v>41176</v>
      </c>
      <c r="X147" s="211"/>
      <c r="Y147" s="111"/>
      <c r="Z147" s="212"/>
      <c r="AA147" s="111"/>
      <c r="AB147" s="113">
        <f t="shared" si="31"/>
        <v>0</v>
      </c>
      <c r="AC147" s="211"/>
      <c r="AD147" s="111"/>
      <c r="AE147" s="111"/>
      <c r="AF147" s="111"/>
      <c r="AG147" s="111"/>
      <c r="AH147" s="111"/>
      <c r="AI147" s="111"/>
      <c r="AJ147" s="113">
        <f t="shared" si="32"/>
        <v>0</v>
      </c>
      <c r="AK147" s="143">
        <f t="shared" si="25"/>
        <v>89620.52</v>
      </c>
      <c r="AL147" s="112">
        <f t="shared" si="25"/>
        <v>30445.154999999999</v>
      </c>
      <c r="AM147" s="112">
        <f t="shared" si="25"/>
        <v>59175.364999999998</v>
      </c>
      <c r="AN147" s="112">
        <f t="shared" si="25"/>
        <v>3382.7950000000001</v>
      </c>
      <c r="AO147" s="230">
        <f t="shared" si="28"/>
        <v>0.33971187625334021</v>
      </c>
      <c r="AP147" s="193">
        <f t="shared" si="22"/>
        <v>44558.794999999998</v>
      </c>
      <c r="AQ147" s="194">
        <f t="shared" si="29"/>
        <v>-34712.794999999998</v>
      </c>
      <c r="AR147" s="118"/>
      <c r="AS147" s="119"/>
      <c r="AT147" s="119"/>
      <c r="AU147" s="120"/>
      <c r="AV147" s="195"/>
      <c r="AW147" s="112">
        <v>89620520</v>
      </c>
      <c r="AX147" s="162">
        <v>30445155</v>
      </c>
      <c r="AY147" s="162">
        <v>59175365</v>
      </c>
      <c r="AZ147" s="162">
        <v>3382795</v>
      </c>
      <c r="BA147" s="231">
        <f t="shared" si="33"/>
        <v>0.33971187625334021</v>
      </c>
      <c r="BB147" s="210"/>
      <c r="BC147" s="115"/>
      <c r="BD147" s="236"/>
    </row>
    <row r="148" spans="1:56" s="121" customFormat="1" ht="16.5" customHeight="1">
      <c r="A148" s="104" t="s">
        <v>2429</v>
      </c>
      <c r="B148" s="105" t="s">
        <v>935</v>
      </c>
      <c r="C148" s="106" t="s">
        <v>949</v>
      </c>
      <c r="D148" s="106" t="s">
        <v>2415</v>
      </c>
      <c r="E148" s="71" t="s">
        <v>950</v>
      </c>
      <c r="F148" s="71" t="s">
        <v>2085</v>
      </c>
      <c r="G148" s="109" t="s">
        <v>2130</v>
      </c>
      <c r="H148" s="110">
        <f>2456*3</f>
        <v>7368</v>
      </c>
      <c r="I148" s="112">
        <v>0</v>
      </c>
      <c r="J148" s="112">
        <v>0</v>
      </c>
      <c r="K148" s="113">
        <f t="shared" si="26"/>
        <v>7368</v>
      </c>
      <c r="L148" s="110">
        <v>244</v>
      </c>
      <c r="M148" s="115">
        <v>325</v>
      </c>
      <c r="N148" s="112">
        <v>0</v>
      </c>
      <c r="O148" s="111">
        <f>747+3</f>
        <v>750</v>
      </c>
      <c r="P148" s="114">
        <v>0</v>
      </c>
      <c r="Q148" s="111">
        <v>8397</v>
      </c>
      <c r="R148" s="111">
        <f>2894*8</f>
        <v>23152</v>
      </c>
      <c r="S148" s="111">
        <f t="shared" si="30"/>
        <v>23152</v>
      </c>
      <c r="T148" s="112">
        <f>2159*3</f>
        <v>6477</v>
      </c>
      <c r="U148" s="144">
        <v>0</v>
      </c>
      <c r="V148" s="144">
        <v>0</v>
      </c>
      <c r="W148" s="113">
        <f t="shared" si="27"/>
        <v>30948</v>
      </c>
      <c r="X148" s="211"/>
      <c r="Y148" s="111"/>
      <c r="Z148" s="212"/>
      <c r="AA148" s="111"/>
      <c r="AB148" s="113">
        <f t="shared" si="31"/>
        <v>0</v>
      </c>
      <c r="AC148" s="211"/>
      <c r="AD148" s="111"/>
      <c r="AE148" s="111"/>
      <c r="AF148" s="111"/>
      <c r="AG148" s="111"/>
      <c r="AH148" s="111"/>
      <c r="AI148" s="111"/>
      <c r="AJ148" s="113">
        <f t="shared" si="32"/>
        <v>0</v>
      </c>
      <c r="AK148" s="143">
        <f t="shared" si="25"/>
        <v>39488.332840311152</v>
      </c>
      <c r="AL148" s="112">
        <f t="shared" si="25"/>
        <v>823.75563302256455</v>
      </c>
      <c r="AM148" s="112">
        <f t="shared" si="25"/>
        <v>38664.577207288596</v>
      </c>
      <c r="AN148" s="112">
        <f t="shared" si="25"/>
        <v>823.75563302256455</v>
      </c>
      <c r="AO148" s="230">
        <f t="shared" si="28"/>
        <v>2.0860734646706691E-2</v>
      </c>
      <c r="AP148" s="193">
        <f t="shared" ref="AP148:AP211" si="34">W148+AN148</f>
        <v>31771.755633022563</v>
      </c>
      <c r="AQ148" s="194">
        <f t="shared" si="29"/>
        <v>-24403.755633022563</v>
      </c>
      <c r="AR148" s="118"/>
      <c r="AS148" s="119"/>
      <c r="AT148" s="119"/>
      <c r="AU148" s="120"/>
      <c r="AV148" s="195" t="s">
        <v>63</v>
      </c>
      <c r="AW148" s="112">
        <v>39488332.840311155</v>
      </c>
      <c r="AX148" s="162">
        <v>823755.63302256458</v>
      </c>
      <c r="AY148" s="162">
        <v>38664577.207288593</v>
      </c>
      <c r="AZ148" s="162">
        <v>823755.63302256458</v>
      </c>
      <c r="BA148" s="231">
        <f t="shared" si="33"/>
        <v>2.0860734646706691E-2</v>
      </c>
      <c r="BB148" s="210"/>
      <c r="BC148" s="115"/>
      <c r="BD148" s="236"/>
    </row>
    <row r="149" spans="1:56" s="121" customFormat="1" ht="16.5" customHeight="1">
      <c r="A149" s="104" t="s">
        <v>2429</v>
      </c>
      <c r="B149" s="105" t="s">
        <v>940</v>
      </c>
      <c r="C149" s="106" t="s">
        <v>952</v>
      </c>
      <c r="D149" s="106" t="s">
        <v>2415</v>
      </c>
      <c r="E149" s="71" t="s">
        <v>862</v>
      </c>
      <c r="F149" s="71" t="s">
        <v>2085</v>
      </c>
      <c r="G149" s="109" t="s">
        <v>2130</v>
      </c>
      <c r="H149" s="110">
        <f>2456*4</f>
        <v>9824</v>
      </c>
      <c r="I149" s="112">
        <v>0</v>
      </c>
      <c r="J149" s="112">
        <v>0</v>
      </c>
      <c r="K149" s="113">
        <f t="shared" si="26"/>
        <v>9824</v>
      </c>
      <c r="L149" s="110">
        <v>244</v>
      </c>
      <c r="M149" s="115">
        <v>0</v>
      </c>
      <c r="N149" s="112">
        <v>0</v>
      </c>
      <c r="O149" s="111">
        <v>0</v>
      </c>
      <c r="P149" s="114">
        <v>0</v>
      </c>
      <c r="Q149" s="111">
        <v>8397</v>
      </c>
      <c r="R149" s="111">
        <f>2894*10</f>
        <v>28940</v>
      </c>
      <c r="S149" s="111">
        <f t="shared" si="30"/>
        <v>28940</v>
      </c>
      <c r="T149" s="112">
        <f>2159*4</f>
        <v>8636</v>
      </c>
      <c r="U149" s="144">
        <v>0</v>
      </c>
      <c r="V149" s="144">
        <v>0</v>
      </c>
      <c r="W149" s="113">
        <f t="shared" si="27"/>
        <v>37820</v>
      </c>
      <c r="X149" s="211"/>
      <c r="Y149" s="111"/>
      <c r="Z149" s="212"/>
      <c r="AA149" s="111"/>
      <c r="AB149" s="113">
        <f t="shared" si="31"/>
        <v>0</v>
      </c>
      <c r="AC149" s="211"/>
      <c r="AD149" s="111"/>
      <c r="AE149" s="111"/>
      <c r="AF149" s="111"/>
      <c r="AG149" s="111"/>
      <c r="AH149" s="111"/>
      <c r="AI149" s="111"/>
      <c r="AJ149" s="113">
        <f t="shared" si="32"/>
        <v>0</v>
      </c>
      <c r="AK149" s="143">
        <f t="shared" si="25"/>
        <v>9180</v>
      </c>
      <c r="AL149" s="112">
        <f t="shared" si="25"/>
        <v>9179.9989999999998</v>
      </c>
      <c r="AM149" s="112">
        <f t="shared" si="25"/>
        <v>1E-3</v>
      </c>
      <c r="AN149" s="112">
        <f t="shared" si="25"/>
        <v>0</v>
      </c>
      <c r="AO149" s="230">
        <f t="shared" si="28"/>
        <v>0.99999989106753817</v>
      </c>
      <c r="AP149" s="193">
        <f t="shared" si="34"/>
        <v>37820</v>
      </c>
      <c r="AQ149" s="194">
        <f t="shared" si="29"/>
        <v>-27996</v>
      </c>
      <c r="AR149" s="118"/>
      <c r="AS149" s="119"/>
      <c r="AT149" s="119"/>
      <c r="AU149" s="120"/>
      <c r="AV149" s="195"/>
      <c r="AW149" s="112">
        <v>9180000</v>
      </c>
      <c r="AX149" s="162">
        <v>9179999</v>
      </c>
      <c r="AY149" s="162">
        <v>1</v>
      </c>
      <c r="AZ149" s="162">
        <v>0</v>
      </c>
      <c r="BA149" s="231">
        <f t="shared" si="33"/>
        <v>0.99999989106753817</v>
      </c>
      <c r="BB149" s="210"/>
      <c r="BC149" s="115"/>
      <c r="BD149" s="236"/>
    </row>
    <row r="150" spans="1:56" s="121" customFormat="1" ht="16.5" customHeight="1">
      <c r="A150" s="104" t="s">
        <v>2429</v>
      </c>
      <c r="B150" s="105" t="s">
        <v>948</v>
      </c>
      <c r="C150" s="106" t="s">
        <v>954</v>
      </c>
      <c r="D150" s="106" t="s">
        <v>2415</v>
      </c>
      <c r="E150" s="71" t="s">
        <v>868</v>
      </c>
      <c r="F150" s="71" t="s">
        <v>2085</v>
      </c>
      <c r="G150" s="109" t="s">
        <v>2130</v>
      </c>
      <c r="H150" s="110">
        <f>2456*1</f>
        <v>2456</v>
      </c>
      <c r="I150" s="112">
        <v>0</v>
      </c>
      <c r="J150" s="112">
        <v>0</v>
      </c>
      <c r="K150" s="113">
        <f t="shared" si="26"/>
        <v>2456</v>
      </c>
      <c r="L150" s="110">
        <v>244</v>
      </c>
      <c r="M150" s="115">
        <v>0</v>
      </c>
      <c r="N150" s="112">
        <v>0</v>
      </c>
      <c r="O150" s="111">
        <v>558</v>
      </c>
      <c r="P150" s="114">
        <v>0</v>
      </c>
      <c r="Q150" s="111">
        <v>8397</v>
      </c>
      <c r="R150" s="111">
        <f>2894*4</f>
        <v>11576</v>
      </c>
      <c r="S150" s="111">
        <f t="shared" si="30"/>
        <v>11576</v>
      </c>
      <c r="T150" s="112">
        <f>2159*1</f>
        <v>2159</v>
      </c>
      <c r="U150" s="144">
        <v>0</v>
      </c>
      <c r="V150" s="144">
        <v>0</v>
      </c>
      <c r="W150" s="113">
        <f t="shared" si="27"/>
        <v>14537</v>
      </c>
      <c r="X150" s="211"/>
      <c r="Y150" s="111"/>
      <c r="Z150" s="212"/>
      <c r="AA150" s="111"/>
      <c r="AB150" s="113">
        <f t="shared" si="31"/>
        <v>0</v>
      </c>
      <c r="AC150" s="211"/>
      <c r="AD150" s="111"/>
      <c r="AE150" s="111"/>
      <c r="AF150" s="111"/>
      <c r="AG150" s="111"/>
      <c r="AH150" s="111"/>
      <c r="AI150" s="111"/>
      <c r="AJ150" s="113">
        <f t="shared" si="32"/>
        <v>0</v>
      </c>
      <c r="AK150" s="143">
        <f t="shared" si="25"/>
        <v>0</v>
      </c>
      <c r="AL150" s="112">
        <f t="shared" si="25"/>
        <v>0</v>
      </c>
      <c r="AM150" s="112">
        <f t="shared" si="25"/>
        <v>0</v>
      </c>
      <c r="AN150" s="112">
        <f t="shared" si="25"/>
        <v>0</v>
      </c>
      <c r="AO150" s="230" t="str">
        <f t="shared" si="28"/>
        <v>-</v>
      </c>
      <c r="AP150" s="193">
        <f t="shared" si="34"/>
        <v>14537</v>
      </c>
      <c r="AQ150" s="194">
        <f t="shared" si="29"/>
        <v>-12081</v>
      </c>
      <c r="AR150" s="118"/>
      <c r="AS150" s="119"/>
      <c r="AT150" s="119"/>
      <c r="AU150" s="120"/>
      <c r="AV150" s="195"/>
      <c r="AW150" s="112">
        <v>0</v>
      </c>
      <c r="AX150" s="162">
        <v>0</v>
      </c>
      <c r="AY150" s="162">
        <v>0</v>
      </c>
      <c r="AZ150" s="162">
        <v>0</v>
      </c>
      <c r="BA150" s="231" t="s">
        <v>1966</v>
      </c>
      <c r="BB150" s="210"/>
      <c r="BC150" s="115"/>
      <c r="BD150" s="236"/>
    </row>
    <row r="151" spans="1:56" s="121" customFormat="1" ht="16.5" customHeight="1">
      <c r="A151" s="104" t="s">
        <v>2429</v>
      </c>
      <c r="B151" s="105" t="s">
        <v>951</v>
      </c>
      <c r="C151" s="106" t="s">
        <v>956</v>
      </c>
      <c r="D151" s="106" t="s">
        <v>2415</v>
      </c>
      <c r="E151" s="71" t="s">
        <v>875</v>
      </c>
      <c r="F151" s="71" t="s">
        <v>2085</v>
      </c>
      <c r="G151" s="109" t="s">
        <v>2130</v>
      </c>
      <c r="H151" s="110">
        <f>2456*2</f>
        <v>4912</v>
      </c>
      <c r="I151" s="112">
        <v>0</v>
      </c>
      <c r="J151" s="112">
        <v>0</v>
      </c>
      <c r="K151" s="113">
        <f t="shared" si="26"/>
        <v>4912</v>
      </c>
      <c r="L151" s="110">
        <v>244</v>
      </c>
      <c r="M151" s="115">
        <v>0</v>
      </c>
      <c r="N151" s="112">
        <v>0</v>
      </c>
      <c r="O151" s="111">
        <v>559</v>
      </c>
      <c r="P151" s="114">
        <v>0</v>
      </c>
      <c r="Q151" s="111">
        <v>8397</v>
      </c>
      <c r="R151" s="111">
        <f>2894*6</f>
        <v>17364</v>
      </c>
      <c r="S151" s="111">
        <f t="shared" si="30"/>
        <v>17364</v>
      </c>
      <c r="T151" s="112">
        <f>2159*2</f>
        <v>4318</v>
      </c>
      <c r="U151" s="144">
        <v>0</v>
      </c>
      <c r="V151" s="144">
        <v>0</v>
      </c>
      <c r="W151" s="113">
        <f t="shared" si="27"/>
        <v>22485</v>
      </c>
      <c r="X151" s="211"/>
      <c r="Y151" s="111"/>
      <c r="Z151" s="212"/>
      <c r="AA151" s="111"/>
      <c r="AB151" s="113">
        <f t="shared" si="31"/>
        <v>0</v>
      </c>
      <c r="AC151" s="211"/>
      <c r="AD151" s="111"/>
      <c r="AE151" s="111"/>
      <c r="AF151" s="111"/>
      <c r="AG151" s="111"/>
      <c r="AH151" s="111"/>
      <c r="AI151" s="111"/>
      <c r="AJ151" s="113">
        <f t="shared" si="32"/>
        <v>0</v>
      </c>
      <c r="AK151" s="143">
        <f t="shared" si="25"/>
        <v>0</v>
      </c>
      <c r="AL151" s="112">
        <f t="shared" si="25"/>
        <v>0</v>
      </c>
      <c r="AM151" s="112">
        <f t="shared" si="25"/>
        <v>0</v>
      </c>
      <c r="AN151" s="112">
        <f t="shared" si="25"/>
        <v>0</v>
      </c>
      <c r="AO151" s="230" t="str">
        <f t="shared" si="28"/>
        <v>-</v>
      </c>
      <c r="AP151" s="193">
        <f t="shared" si="34"/>
        <v>22485</v>
      </c>
      <c r="AQ151" s="194">
        <f t="shared" si="29"/>
        <v>-17573</v>
      </c>
      <c r="AR151" s="118"/>
      <c r="AS151" s="119"/>
      <c r="AT151" s="119"/>
      <c r="AU151" s="120"/>
      <c r="AV151" s="195"/>
      <c r="AW151" s="112">
        <v>0</v>
      </c>
      <c r="AX151" s="162">
        <v>0</v>
      </c>
      <c r="AY151" s="162">
        <v>0</v>
      </c>
      <c r="AZ151" s="162">
        <v>0</v>
      </c>
      <c r="BA151" s="231" t="s">
        <v>1966</v>
      </c>
      <c r="BB151" s="210"/>
      <c r="BC151" s="115"/>
      <c r="BD151" s="236"/>
    </row>
    <row r="152" spans="1:56" s="121" customFormat="1" ht="16.5" customHeight="1">
      <c r="A152" s="104" t="s">
        <v>2429</v>
      </c>
      <c r="B152" s="105" t="s">
        <v>953</v>
      </c>
      <c r="C152" s="106" t="s">
        <v>958</v>
      </c>
      <c r="D152" s="106" t="s">
        <v>2415</v>
      </c>
      <c r="E152" s="71" t="s">
        <v>881</v>
      </c>
      <c r="F152" s="71" t="s">
        <v>2085</v>
      </c>
      <c r="G152" s="109" t="s">
        <v>2130</v>
      </c>
      <c r="H152" s="110">
        <f>2456*2</f>
        <v>4912</v>
      </c>
      <c r="I152" s="112">
        <v>0</v>
      </c>
      <c r="J152" s="112">
        <v>0</v>
      </c>
      <c r="K152" s="113">
        <f t="shared" si="26"/>
        <v>4912</v>
      </c>
      <c r="L152" s="110">
        <v>244</v>
      </c>
      <c r="M152" s="115">
        <v>0</v>
      </c>
      <c r="N152" s="112">
        <v>0</v>
      </c>
      <c r="O152" s="111">
        <v>0</v>
      </c>
      <c r="P152" s="114">
        <v>0</v>
      </c>
      <c r="Q152" s="111">
        <v>8397</v>
      </c>
      <c r="R152" s="111">
        <f>2894*6</f>
        <v>17364</v>
      </c>
      <c r="S152" s="111">
        <f t="shared" si="30"/>
        <v>17364</v>
      </c>
      <c r="T152" s="112">
        <f>2159*2</f>
        <v>4318</v>
      </c>
      <c r="U152" s="144">
        <v>0</v>
      </c>
      <c r="V152" s="144">
        <v>0</v>
      </c>
      <c r="W152" s="113">
        <f t="shared" si="27"/>
        <v>21926</v>
      </c>
      <c r="X152" s="211"/>
      <c r="Y152" s="111"/>
      <c r="Z152" s="212"/>
      <c r="AA152" s="111"/>
      <c r="AB152" s="113">
        <f t="shared" si="31"/>
        <v>0</v>
      </c>
      <c r="AC152" s="211"/>
      <c r="AD152" s="111"/>
      <c r="AE152" s="111"/>
      <c r="AF152" s="111"/>
      <c r="AG152" s="111"/>
      <c r="AH152" s="111"/>
      <c r="AI152" s="111"/>
      <c r="AJ152" s="113">
        <f t="shared" si="32"/>
        <v>0</v>
      </c>
      <c r="AK152" s="143">
        <f t="shared" si="25"/>
        <v>0</v>
      </c>
      <c r="AL152" s="112">
        <f t="shared" si="25"/>
        <v>0</v>
      </c>
      <c r="AM152" s="112">
        <f t="shared" si="25"/>
        <v>0</v>
      </c>
      <c r="AN152" s="112">
        <f t="shared" si="25"/>
        <v>0</v>
      </c>
      <c r="AO152" s="230" t="str">
        <f t="shared" si="28"/>
        <v>-</v>
      </c>
      <c r="AP152" s="193">
        <f t="shared" si="34"/>
        <v>21926</v>
      </c>
      <c r="AQ152" s="194">
        <f t="shared" si="29"/>
        <v>-17014</v>
      </c>
      <c r="AR152" s="118"/>
      <c r="AS152" s="119"/>
      <c r="AT152" s="119"/>
      <c r="AU152" s="120"/>
      <c r="AV152" s="195"/>
      <c r="AW152" s="112">
        <v>0</v>
      </c>
      <c r="AX152" s="162">
        <v>0</v>
      </c>
      <c r="AY152" s="162">
        <v>0</v>
      </c>
      <c r="AZ152" s="162">
        <v>0</v>
      </c>
      <c r="BA152" s="231" t="s">
        <v>1966</v>
      </c>
      <c r="BB152" s="210"/>
      <c r="BC152" s="115"/>
      <c r="BD152" s="236"/>
    </row>
    <row r="153" spans="1:56" s="121" customFormat="1" ht="16.5" customHeight="1">
      <c r="A153" s="104" t="s">
        <v>2429</v>
      </c>
      <c r="B153" s="105" t="s">
        <v>955</v>
      </c>
      <c r="C153" s="106" t="s">
        <v>960</v>
      </c>
      <c r="D153" s="106" t="s">
        <v>2415</v>
      </c>
      <c r="E153" s="71" t="s">
        <v>887</v>
      </c>
      <c r="F153" s="71" t="s">
        <v>2085</v>
      </c>
      <c r="G153" s="109" t="s">
        <v>2130</v>
      </c>
      <c r="H153" s="110">
        <f>2456*2</f>
        <v>4912</v>
      </c>
      <c r="I153" s="112">
        <v>0</v>
      </c>
      <c r="J153" s="112">
        <v>0</v>
      </c>
      <c r="K153" s="113">
        <f t="shared" si="26"/>
        <v>4912</v>
      </c>
      <c r="L153" s="110">
        <v>244</v>
      </c>
      <c r="M153" s="115">
        <v>0</v>
      </c>
      <c r="N153" s="112">
        <v>0</v>
      </c>
      <c r="O153" s="111">
        <v>159</v>
      </c>
      <c r="P153" s="114">
        <v>0</v>
      </c>
      <c r="Q153" s="111">
        <v>8397</v>
      </c>
      <c r="R153" s="111">
        <f>2894*4</f>
        <v>11576</v>
      </c>
      <c r="S153" s="111">
        <f t="shared" si="30"/>
        <v>11576</v>
      </c>
      <c r="T153" s="112">
        <f>2159*2</f>
        <v>4318</v>
      </c>
      <c r="U153" s="144">
        <v>0</v>
      </c>
      <c r="V153" s="144">
        <v>0</v>
      </c>
      <c r="W153" s="113">
        <f t="shared" si="27"/>
        <v>16297</v>
      </c>
      <c r="X153" s="211"/>
      <c r="Y153" s="111"/>
      <c r="Z153" s="212"/>
      <c r="AA153" s="111"/>
      <c r="AB153" s="113">
        <f t="shared" si="31"/>
        <v>0</v>
      </c>
      <c r="AC153" s="211"/>
      <c r="AD153" s="111"/>
      <c r="AE153" s="111"/>
      <c r="AF153" s="111"/>
      <c r="AG153" s="111"/>
      <c r="AH153" s="111"/>
      <c r="AI153" s="111"/>
      <c r="AJ153" s="113">
        <f t="shared" si="32"/>
        <v>0</v>
      </c>
      <c r="AK153" s="143">
        <f t="shared" si="25"/>
        <v>0</v>
      </c>
      <c r="AL153" s="112">
        <f t="shared" si="25"/>
        <v>0</v>
      </c>
      <c r="AM153" s="112">
        <f t="shared" si="25"/>
        <v>0</v>
      </c>
      <c r="AN153" s="112">
        <f t="shared" si="25"/>
        <v>0</v>
      </c>
      <c r="AO153" s="230" t="str">
        <f t="shared" si="28"/>
        <v>-</v>
      </c>
      <c r="AP153" s="193">
        <f t="shared" si="34"/>
        <v>16297</v>
      </c>
      <c r="AQ153" s="194">
        <f t="shared" si="29"/>
        <v>-11385</v>
      </c>
      <c r="AR153" s="118"/>
      <c r="AS153" s="119"/>
      <c r="AT153" s="119"/>
      <c r="AU153" s="120"/>
      <c r="AV153" s="195"/>
      <c r="AW153" s="112">
        <v>0</v>
      </c>
      <c r="AX153" s="162">
        <v>0</v>
      </c>
      <c r="AY153" s="162">
        <v>0</v>
      </c>
      <c r="AZ153" s="162">
        <v>0</v>
      </c>
      <c r="BA153" s="231" t="s">
        <v>1966</v>
      </c>
      <c r="BB153" s="210"/>
      <c r="BC153" s="115"/>
      <c r="BD153" s="236"/>
    </row>
    <row r="154" spans="1:56" s="121" customFormat="1" ht="16.5" customHeight="1">
      <c r="A154" s="104" t="s">
        <v>2429</v>
      </c>
      <c r="B154" s="105" t="s">
        <v>957</v>
      </c>
      <c r="C154" s="106" t="s">
        <v>962</v>
      </c>
      <c r="D154" s="106" t="s">
        <v>2415</v>
      </c>
      <c r="E154" s="71" t="s">
        <v>894</v>
      </c>
      <c r="F154" s="71" t="s">
        <v>2085</v>
      </c>
      <c r="G154" s="109" t="s">
        <v>2130</v>
      </c>
      <c r="H154" s="110">
        <f>2456*3</f>
        <v>7368</v>
      </c>
      <c r="I154" s="112">
        <v>0</v>
      </c>
      <c r="J154" s="112">
        <v>0</v>
      </c>
      <c r="K154" s="113">
        <f t="shared" si="26"/>
        <v>7368</v>
      </c>
      <c r="L154" s="110">
        <v>244</v>
      </c>
      <c r="M154" s="111">
        <v>129</v>
      </c>
      <c r="N154" s="112">
        <v>0</v>
      </c>
      <c r="O154" s="111">
        <v>269</v>
      </c>
      <c r="P154" s="114">
        <v>0</v>
      </c>
      <c r="Q154" s="111">
        <v>8397</v>
      </c>
      <c r="R154" s="111">
        <f>2894*6</f>
        <v>17364</v>
      </c>
      <c r="S154" s="111">
        <f t="shared" si="30"/>
        <v>17364</v>
      </c>
      <c r="T154" s="112">
        <f>2159*3</f>
        <v>6477</v>
      </c>
      <c r="U154" s="144">
        <v>0</v>
      </c>
      <c r="V154" s="144">
        <v>0</v>
      </c>
      <c r="W154" s="113">
        <f t="shared" si="27"/>
        <v>24483</v>
      </c>
      <c r="X154" s="211"/>
      <c r="Y154" s="111"/>
      <c r="Z154" s="212"/>
      <c r="AA154" s="111"/>
      <c r="AB154" s="113">
        <f t="shared" si="31"/>
        <v>0</v>
      </c>
      <c r="AC154" s="211"/>
      <c r="AD154" s="111"/>
      <c r="AE154" s="111"/>
      <c r="AF154" s="111"/>
      <c r="AG154" s="111"/>
      <c r="AH154" s="111"/>
      <c r="AI154" s="111"/>
      <c r="AJ154" s="113">
        <f t="shared" si="32"/>
        <v>0</v>
      </c>
      <c r="AK154" s="143">
        <f t="shared" si="25"/>
        <v>21835.02</v>
      </c>
      <c r="AL154" s="112">
        <f t="shared" si="25"/>
        <v>11973.602000000001</v>
      </c>
      <c r="AM154" s="112">
        <f t="shared" si="25"/>
        <v>9861.4179999999997</v>
      </c>
      <c r="AN154" s="112">
        <f t="shared" si="25"/>
        <v>815.36199999999997</v>
      </c>
      <c r="AO154" s="230">
        <f t="shared" si="28"/>
        <v>0.54836688951967982</v>
      </c>
      <c r="AP154" s="193">
        <f t="shared" si="34"/>
        <v>25298.362000000001</v>
      </c>
      <c r="AQ154" s="194">
        <f t="shared" si="29"/>
        <v>-17930.362000000001</v>
      </c>
      <c r="AR154" s="118"/>
      <c r="AS154" s="119"/>
      <c r="AT154" s="119"/>
      <c r="AU154" s="120"/>
      <c r="AV154" s="195"/>
      <c r="AW154" s="112">
        <v>21835020</v>
      </c>
      <c r="AX154" s="162">
        <v>11973602</v>
      </c>
      <c r="AY154" s="162">
        <v>9861418</v>
      </c>
      <c r="AZ154" s="162">
        <v>815362</v>
      </c>
      <c r="BA154" s="231">
        <f t="shared" si="33"/>
        <v>0.54836688951967982</v>
      </c>
      <c r="BB154" s="210"/>
      <c r="BC154" s="115"/>
      <c r="BD154" s="236"/>
    </row>
    <row r="155" spans="1:56" s="121" customFormat="1" ht="16.5" customHeight="1">
      <c r="A155" s="104" t="s">
        <v>2429</v>
      </c>
      <c r="B155" s="105" t="s">
        <v>959</v>
      </c>
      <c r="C155" s="106" t="s">
        <v>964</v>
      </c>
      <c r="D155" s="106" t="s">
        <v>2415</v>
      </c>
      <c r="E155" s="71" t="s">
        <v>899</v>
      </c>
      <c r="F155" s="71" t="s">
        <v>2085</v>
      </c>
      <c r="G155" s="109" t="s">
        <v>2130</v>
      </c>
      <c r="H155" s="110">
        <f>2456*2</f>
        <v>4912</v>
      </c>
      <c r="I155" s="112">
        <v>0</v>
      </c>
      <c r="J155" s="112">
        <v>0</v>
      </c>
      <c r="K155" s="113">
        <f t="shared" si="26"/>
        <v>4912</v>
      </c>
      <c r="L155" s="110">
        <v>244</v>
      </c>
      <c r="M155" s="111">
        <v>134</v>
      </c>
      <c r="N155" s="112">
        <v>0</v>
      </c>
      <c r="O155" s="111">
        <v>213</v>
      </c>
      <c r="P155" s="114">
        <v>0</v>
      </c>
      <c r="Q155" s="111">
        <v>8397</v>
      </c>
      <c r="R155" s="111">
        <f>2894*4</f>
        <v>11576</v>
      </c>
      <c r="S155" s="111">
        <f t="shared" si="30"/>
        <v>11576</v>
      </c>
      <c r="T155" s="112">
        <f>2159*2</f>
        <v>4318</v>
      </c>
      <c r="U155" s="144">
        <v>0</v>
      </c>
      <c r="V155" s="144">
        <v>0</v>
      </c>
      <c r="W155" s="113">
        <f t="shared" si="27"/>
        <v>16485</v>
      </c>
      <c r="X155" s="211"/>
      <c r="Y155" s="111"/>
      <c r="Z155" s="212"/>
      <c r="AA155" s="111"/>
      <c r="AB155" s="113">
        <f t="shared" si="31"/>
        <v>0</v>
      </c>
      <c r="AC155" s="211"/>
      <c r="AD155" s="111"/>
      <c r="AE155" s="111"/>
      <c r="AF155" s="111"/>
      <c r="AG155" s="111"/>
      <c r="AH155" s="111"/>
      <c r="AI155" s="111"/>
      <c r="AJ155" s="113">
        <f t="shared" si="32"/>
        <v>0</v>
      </c>
      <c r="AK155" s="143">
        <f t="shared" si="25"/>
        <v>31920</v>
      </c>
      <c r="AL155" s="112">
        <f t="shared" si="25"/>
        <v>14555.52</v>
      </c>
      <c r="AM155" s="112">
        <f t="shared" si="25"/>
        <v>17364.48</v>
      </c>
      <c r="AN155" s="112">
        <f t="shared" si="25"/>
        <v>1212.96</v>
      </c>
      <c r="AO155" s="230">
        <f t="shared" si="28"/>
        <v>0.45600000000000002</v>
      </c>
      <c r="AP155" s="193">
        <f t="shared" si="34"/>
        <v>17697.96</v>
      </c>
      <c r="AQ155" s="194">
        <f t="shared" si="29"/>
        <v>-12785.96</v>
      </c>
      <c r="AR155" s="118"/>
      <c r="AS155" s="119"/>
      <c r="AT155" s="119"/>
      <c r="AU155" s="120"/>
      <c r="AV155" s="195"/>
      <c r="AW155" s="112">
        <v>31920000</v>
      </c>
      <c r="AX155" s="162">
        <v>14555520</v>
      </c>
      <c r="AY155" s="162">
        <v>17364480</v>
      </c>
      <c r="AZ155" s="162">
        <v>1212960</v>
      </c>
      <c r="BA155" s="231">
        <f t="shared" si="33"/>
        <v>0.45600000000000002</v>
      </c>
      <c r="BB155" s="210"/>
      <c r="BC155" s="115"/>
      <c r="BD155" s="236"/>
    </row>
    <row r="156" spans="1:56" s="121" customFormat="1" ht="16.5" customHeight="1">
      <c r="A156" s="104" t="s">
        <v>2429</v>
      </c>
      <c r="B156" s="105" t="s">
        <v>961</v>
      </c>
      <c r="C156" s="106" t="s">
        <v>967</v>
      </c>
      <c r="D156" s="106" t="s">
        <v>2415</v>
      </c>
      <c r="E156" s="71" t="s">
        <v>904</v>
      </c>
      <c r="F156" s="71" t="s">
        <v>2085</v>
      </c>
      <c r="G156" s="109" t="s">
        <v>2130</v>
      </c>
      <c r="H156" s="110">
        <f>2456*3</f>
        <v>7368</v>
      </c>
      <c r="I156" s="112">
        <v>0</v>
      </c>
      <c r="J156" s="112">
        <v>0</v>
      </c>
      <c r="K156" s="113">
        <f t="shared" si="26"/>
        <v>7368</v>
      </c>
      <c r="L156" s="110">
        <v>244</v>
      </c>
      <c r="M156" s="115">
        <v>0</v>
      </c>
      <c r="N156" s="112">
        <v>0</v>
      </c>
      <c r="O156" s="112">
        <v>0</v>
      </c>
      <c r="P156" s="114">
        <v>0</v>
      </c>
      <c r="Q156" s="111">
        <v>8397</v>
      </c>
      <c r="R156" s="111">
        <f>2894*9</f>
        <v>26046</v>
      </c>
      <c r="S156" s="111">
        <f t="shared" si="30"/>
        <v>26046</v>
      </c>
      <c r="T156" s="112">
        <f>2159*3</f>
        <v>6477</v>
      </c>
      <c r="U156" s="144">
        <v>0</v>
      </c>
      <c r="V156" s="144">
        <v>0</v>
      </c>
      <c r="W156" s="113">
        <f t="shared" si="27"/>
        <v>32767</v>
      </c>
      <c r="X156" s="211"/>
      <c r="Y156" s="111"/>
      <c r="Z156" s="212"/>
      <c r="AA156" s="111"/>
      <c r="AB156" s="113">
        <f t="shared" si="31"/>
        <v>0</v>
      </c>
      <c r="AC156" s="211"/>
      <c r="AD156" s="111"/>
      <c r="AE156" s="111"/>
      <c r="AF156" s="111"/>
      <c r="AG156" s="111"/>
      <c r="AH156" s="111"/>
      <c r="AI156" s="111"/>
      <c r="AJ156" s="113">
        <f t="shared" si="32"/>
        <v>0</v>
      </c>
      <c r="AK156" s="143">
        <f t="shared" si="25"/>
        <v>22912.998</v>
      </c>
      <c r="AL156" s="112">
        <f t="shared" si="25"/>
        <v>11700.394</v>
      </c>
      <c r="AM156" s="112">
        <f t="shared" si="25"/>
        <v>11212.603999999999</v>
      </c>
      <c r="AN156" s="112">
        <f t="shared" si="25"/>
        <v>907.75599999999997</v>
      </c>
      <c r="AO156" s="230">
        <f t="shared" si="28"/>
        <v>0.51064439494124692</v>
      </c>
      <c r="AP156" s="193">
        <f t="shared" si="34"/>
        <v>33674.756000000001</v>
      </c>
      <c r="AQ156" s="194">
        <f t="shared" si="29"/>
        <v>-26306.756000000001</v>
      </c>
      <c r="AR156" s="118"/>
      <c r="AS156" s="119"/>
      <c r="AT156" s="119"/>
      <c r="AU156" s="120"/>
      <c r="AV156" s="195"/>
      <c r="AW156" s="112">
        <v>22912998</v>
      </c>
      <c r="AX156" s="162">
        <v>11700394</v>
      </c>
      <c r="AY156" s="162">
        <v>11212604</v>
      </c>
      <c r="AZ156" s="162">
        <v>907756</v>
      </c>
      <c r="BA156" s="231">
        <f t="shared" si="33"/>
        <v>0.51064439494124692</v>
      </c>
      <c r="BB156" s="210"/>
      <c r="BC156" s="115"/>
      <c r="BD156" s="236"/>
    </row>
    <row r="157" spans="1:56" s="121" customFormat="1" ht="16.5" customHeight="1">
      <c r="A157" s="104" t="s">
        <v>2429</v>
      </c>
      <c r="B157" s="105" t="s">
        <v>963</v>
      </c>
      <c r="C157" s="106" t="s">
        <v>969</v>
      </c>
      <c r="D157" s="106" t="s">
        <v>2415</v>
      </c>
      <c r="E157" s="71" t="s">
        <v>909</v>
      </c>
      <c r="F157" s="71" t="s">
        <v>2085</v>
      </c>
      <c r="G157" s="109" t="s">
        <v>2130</v>
      </c>
      <c r="H157" s="110">
        <f>2456*1</f>
        <v>2456</v>
      </c>
      <c r="I157" s="112">
        <v>0</v>
      </c>
      <c r="J157" s="112">
        <v>0</v>
      </c>
      <c r="K157" s="113">
        <f t="shared" si="26"/>
        <v>2456</v>
      </c>
      <c r="L157" s="110">
        <v>244</v>
      </c>
      <c r="M157" s="115">
        <v>0</v>
      </c>
      <c r="N157" s="112">
        <v>0</v>
      </c>
      <c r="O157" s="112">
        <v>0</v>
      </c>
      <c r="P157" s="114">
        <v>0</v>
      </c>
      <c r="Q157" s="111">
        <v>8397</v>
      </c>
      <c r="R157" s="111">
        <f>2894*3</f>
        <v>8682</v>
      </c>
      <c r="S157" s="111">
        <f t="shared" si="30"/>
        <v>8682</v>
      </c>
      <c r="T157" s="112">
        <f>2159*1</f>
        <v>2159</v>
      </c>
      <c r="U157" s="144">
        <v>0</v>
      </c>
      <c r="V157" s="144">
        <v>0</v>
      </c>
      <c r="W157" s="113">
        <f t="shared" si="27"/>
        <v>11085</v>
      </c>
      <c r="X157" s="211"/>
      <c r="Y157" s="111"/>
      <c r="Z157" s="212"/>
      <c r="AA157" s="111"/>
      <c r="AB157" s="113">
        <f t="shared" si="31"/>
        <v>0</v>
      </c>
      <c r="AC157" s="211"/>
      <c r="AD157" s="111"/>
      <c r="AE157" s="111"/>
      <c r="AF157" s="111"/>
      <c r="AG157" s="111"/>
      <c r="AH157" s="111"/>
      <c r="AI157" s="111"/>
      <c r="AJ157" s="113">
        <f t="shared" si="32"/>
        <v>0</v>
      </c>
      <c r="AK157" s="143">
        <f t="shared" si="25"/>
        <v>0</v>
      </c>
      <c r="AL157" s="112">
        <f t="shared" si="25"/>
        <v>0</v>
      </c>
      <c r="AM157" s="112">
        <f t="shared" si="25"/>
        <v>0</v>
      </c>
      <c r="AN157" s="112">
        <f t="shared" si="25"/>
        <v>0</v>
      </c>
      <c r="AO157" s="230" t="str">
        <f t="shared" si="28"/>
        <v>-</v>
      </c>
      <c r="AP157" s="193">
        <f t="shared" si="34"/>
        <v>11085</v>
      </c>
      <c r="AQ157" s="194">
        <f t="shared" si="29"/>
        <v>-8629</v>
      </c>
      <c r="AR157" s="118"/>
      <c r="AS157" s="119"/>
      <c r="AT157" s="119"/>
      <c r="AU157" s="120"/>
      <c r="AV157" s="195"/>
      <c r="AW157" s="112">
        <v>0</v>
      </c>
      <c r="AX157" s="162">
        <v>0</v>
      </c>
      <c r="AY157" s="162">
        <v>0</v>
      </c>
      <c r="AZ157" s="162">
        <v>0</v>
      </c>
      <c r="BA157" s="231" t="s">
        <v>1966</v>
      </c>
      <c r="BB157" s="210"/>
      <c r="BC157" s="115"/>
      <c r="BD157" s="236"/>
    </row>
    <row r="158" spans="1:56" s="121" customFormat="1" ht="16.5" customHeight="1">
      <c r="A158" s="104" t="s">
        <v>2429</v>
      </c>
      <c r="B158" s="105" t="s">
        <v>966</v>
      </c>
      <c r="C158" s="106" t="s">
        <v>972</v>
      </c>
      <c r="D158" s="106" t="s">
        <v>2415</v>
      </c>
      <c r="E158" s="71" t="s">
        <v>914</v>
      </c>
      <c r="F158" s="71" t="s">
        <v>2085</v>
      </c>
      <c r="G158" s="109" t="s">
        <v>2130</v>
      </c>
      <c r="H158" s="110">
        <f>2456*2</f>
        <v>4912</v>
      </c>
      <c r="I158" s="112">
        <v>0</v>
      </c>
      <c r="J158" s="112">
        <v>0</v>
      </c>
      <c r="K158" s="113">
        <f t="shared" si="26"/>
        <v>4912</v>
      </c>
      <c r="L158" s="110">
        <v>244</v>
      </c>
      <c r="M158" s="115">
        <v>0</v>
      </c>
      <c r="N158" s="112">
        <v>0</v>
      </c>
      <c r="O158" s="112">
        <v>0</v>
      </c>
      <c r="P158" s="114">
        <v>0</v>
      </c>
      <c r="Q158" s="111">
        <v>8397</v>
      </c>
      <c r="R158" s="111">
        <f>2894*6</f>
        <v>17364</v>
      </c>
      <c r="S158" s="111">
        <f t="shared" si="30"/>
        <v>17364</v>
      </c>
      <c r="T158" s="112">
        <f>2159*2</f>
        <v>4318</v>
      </c>
      <c r="U158" s="144">
        <v>0</v>
      </c>
      <c r="V158" s="144">
        <v>0</v>
      </c>
      <c r="W158" s="113">
        <f t="shared" si="27"/>
        <v>21926</v>
      </c>
      <c r="X158" s="211"/>
      <c r="Y158" s="111"/>
      <c r="Z158" s="212"/>
      <c r="AA158" s="111"/>
      <c r="AB158" s="113">
        <f t="shared" si="31"/>
        <v>0</v>
      </c>
      <c r="AC158" s="211"/>
      <c r="AD158" s="111"/>
      <c r="AE158" s="111"/>
      <c r="AF158" s="111"/>
      <c r="AG158" s="111"/>
      <c r="AH158" s="111"/>
      <c r="AI158" s="111"/>
      <c r="AJ158" s="113">
        <f t="shared" si="32"/>
        <v>0</v>
      </c>
      <c r="AK158" s="143">
        <f t="shared" si="25"/>
        <v>0</v>
      </c>
      <c r="AL158" s="112">
        <f t="shared" si="25"/>
        <v>0</v>
      </c>
      <c r="AM158" s="112">
        <f t="shared" si="25"/>
        <v>0</v>
      </c>
      <c r="AN158" s="112">
        <f t="shared" si="25"/>
        <v>0</v>
      </c>
      <c r="AO158" s="230" t="str">
        <f t="shared" si="28"/>
        <v>-</v>
      </c>
      <c r="AP158" s="193">
        <f t="shared" si="34"/>
        <v>21926</v>
      </c>
      <c r="AQ158" s="194">
        <f t="shared" si="29"/>
        <v>-17014</v>
      </c>
      <c r="AR158" s="118"/>
      <c r="AS158" s="119"/>
      <c r="AT158" s="119"/>
      <c r="AU158" s="120"/>
      <c r="AV158" s="195"/>
      <c r="AW158" s="112">
        <v>0</v>
      </c>
      <c r="AX158" s="162">
        <v>0</v>
      </c>
      <c r="AY158" s="162">
        <v>0</v>
      </c>
      <c r="AZ158" s="162">
        <v>0</v>
      </c>
      <c r="BA158" s="231" t="s">
        <v>1966</v>
      </c>
      <c r="BB158" s="210"/>
      <c r="BC158" s="115"/>
      <c r="BD158" s="236"/>
    </row>
    <row r="159" spans="1:56" s="121" customFormat="1" ht="16.5" customHeight="1">
      <c r="A159" s="104" t="s">
        <v>2429</v>
      </c>
      <c r="B159" s="105" t="s">
        <v>325</v>
      </c>
      <c r="C159" s="106" t="s">
        <v>975</v>
      </c>
      <c r="D159" s="106" t="s">
        <v>2415</v>
      </c>
      <c r="E159" s="71" t="s">
        <v>919</v>
      </c>
      <c r="F159" s="71" t="s">
        <v>2085</v>
      </c>
      <c r="G159" s="109" t="s">
        <v>2130</v>
      </c>
      <c r="H159" s="110">
        <f>2456*2</f>
        <v>4912</v>
      </c>
      <c r="I159" s="112">
        <v>0</v>
      </c>
      <c r="J159" s="112">
        <v>0</v>
      </c>
      <c r="K159" s="113">
        <f t="shared" si="26"/>
        <v>4912</v>
      </c>
      <c r="L159" s="110">
        <v>244</v>
      </c>
      <c r="M159" s="115">
        <v>0</v>
      </c>
      <c r="N159" s="112">
        <v>0</v>
      </c>
      <c r="O159" s="112">
        <v>0</v>
      </c>
      <c r="P159" s="114">
        <v>0</v>
      </c>
      <c r="Q159" s="111">
        <v>8397</v>
      </c>
      <c r="R159" s="111">
        <f>2894*6</f>
        <v>17364</v>
      </c>
      <c r="S159" s="111">
        <f t="shared" si="30"/>
        <v>17364</v>
      </c>
      <c r="T159" s="112">
        <f>2159*2</f>
        <v>4318</v>
      </c>
      <c r="U159" s="144">
        <v>0</v>
      </c>
      <c r="V159" s="144">
        <v>0</v>
      </c>
      <c r="W159" s="113">
        <f t="shared" si="27"/>
        <v>21926</v>
      </c>
      <c r="X159" s="211"/>
      <c r="Y159" s="111"/>
      <c r="Z159" s="212"/>
      <c r="AA159" s="111"/>
      <c r="AB159" s="113">
        <f t="shared" si="31"/>
        <v>0</v>
      </c>
      <c r="AC159" s="211"/>
      <c r="AD159" s="111"/>
      <c r="AE159" s="111"/>
      <c r="AF159" s="111"/>
      <c r="AG159" s="111"/>
      <c r="AH159" s="111"/>
      <c r="AI159" s="111"/>
      <c r="AJ159" s="113">
        <f t="shared" si="32"/>
        <v>0</v>
      </c>
      <c r="AK159" s="143">
        <f t="shared" si="25"/>
        <v>0</v>
      </c>
      <c r="AL159" s="112">
        <f t="shared" si="25"/>
        <v>0</v>
      </c>
      <c r="AM159" s="112">
        <f t="shared" si="25"/>
        <v>0</v>
      </c>
      <c r="AN159" s="112">
        <f t="shared" si="25"/>
        <v>0</v>
      </c>
      <c r="AO159" s="230" t="str">
        <f t="shared" si="28"/>
        <v>-</v>
      </c>
      <c r="AP159" s="193">
        <f t="shared" si="34"/>
        <v>21926</v>
      </c>
      <c r="AQ159" s="194">
        <f t="shared" si="29"/>
        <v>-17014</v>
      </c>
      <c r="AR159" s="118"/>
      <c r="AS159" s="119"/>
      <c r="AT159" s="119"/>
      <c r="AU159" s="120"/>
      <c r="AV159" s="195"/>
      <c r="AW159" s="112">
        <v>0</v>
      </c>
      <c r="AX159" s="162">
        <v>0</v>
      </c>
      <c r="AY159" s="162">
        <v>0</v>
      </c>
      <c r="AZ159" s="162">
        <v>0</v>
      </c>
      <c r="BA159" s="231" t="s">
        <v>1966</v>
      </c>
      <c r="BB159" s="210"/>
      <c r="BC159" s="115"/>
      <c r="BD159" s="236"/>
    </row>
    <row r="160" spans="1:56" s="121" customFormat="1" ht="16.5" customHeight="1">
      <c r="A160" s="104" t="s">
        <v>2429</v>
      </c>
      <c r="B160" s="105" t="s">
        <v>971</v>
      </c>
      <c r="C160" s="106" t="s">
        <v>978</v>
      </c>
      <c r="D160" s="106" t="s">
        <v>2415</v>
      </c>
      <c r="E160" s="71" t="s">
        <v>924</v>
      </c>
      <c r="F160" s="71" t="s">
        <v>2085</v>
      </c>
      <c r="G160" s="109" t="s">
        <v>2130</v>
      </c>
      <c r="H160" s="110">
        <f>2456*1</f>
        <v>2456</v>
      </c>
      <c r="I160" s="112">
        <v>0</v>
      </c>
      <c r="J160" s="112">
        <v>0</v>
      </c>
      <c r="K160" s="113">
        <f t="shared" si="26"/>
        <v>2456</v>
      </c>
      <c r="L160" s="110">
        <v>244</v>
      </c>
      <c r="M160" s="115">
        <v>0</v>
      </c>
      <c r="N160" s="112">
        <v>0</v>
      </c>
      <c r="O160" s="112">
        <v>0</v>
      </c>
      <c r="P160" s="114">
        <v>0</v>
      </c>
      <c r="Q160" s="111">
        <v>8397</v>
      </c>
      <c r="R160" s="111">
        <f>2894*2</f>
        <v>5788</v>
      </c>
      <c r="S160" s="111">
        <f t="shared" si="30"/>
        <v>5788</v>
      </c>
      <c r="T160" s="112">
        <f>2159*1</f>
        <v>2159</v>
      </c>
      <c r="U160" s="144">
        <v>0</v>
      </c>
      <c r="V160" s="144">
        <v>0</v>
      </c>
      <c r="W160" s="113">
        <f t="shared" si="27"/>
        <v>8191</v>
      </c>
      <c r="X160" s="211"/>
      <c r="Y160" s="111"/>
      <c r="Z160" s="212"/>
      <c r="AA160" s="111"/>
      <c r="AB160" s="113">
        <f t="shared" si="31"/>
        <v>0</v>
      </c>
      <c r="AC160" s="211"/>
      <c r="AD160" s="111"/>
      <c r="AE160" s="111"/>
      <c r="AF160" s="111"/>
      <c r="AG160" s="111"/>
      <c r="AH160" s="111"/>
      <c r="AI160" s="111"/>
      <c r="AJ160" s="113">
        <f t="shared" si="32"/>
        <v>0</v>
      </c>
      <c r="AK160" s="143">
        <f t="shared" si="25"/>
        <v>503.25400000000002</v>
      </c>
      <c r="AL160" s="112">
        <f t="shared" si="25"/>
        <v>134.87200000000001</v>
      </c>
      <c r="AM160" s="112">
        <f t="shared" si="25"/>
        <v>368.38200000000001</v>
      </c>
      <c r="AN160" s="112">
        <f t="shared" si="25"/>
        <v>33.718000000000004</v>
      </c>
      <c r="AO160" s="230">
        <f t="shared" si="28"/>
        <v>0.26799985693109246</v>
      </c>
      <c r="AP160" s="193">
        <f t="shared" si="34"/>
        <v>8224.7180000000008</v>
      </c>
      <c r="AQ160" s="194">
        <f t="shared" si="29"/>
        <v>-5768.7180000000008</v>
      </c>
      <c r="AR160" s="118"/>
      <c r="AS160" s="119"/>
      <c r="AT160" s="119"/>
      <c r="AU160" s="120"/>
      <c r="AV160" s="195"/>
      <c r="AW160" s="112">
        <v>503254</v>
      </c>
      <c r="AX160" s="162">
        <v>134872</v>
      </c>
      <c r="AY160" s="162">
        <v>368382</v>
      </c>
      <c r="AZ160" s="162">
        <v>33718</v>
      </c>
      <c r="BA160" s="231">
        <f t="shared" si="33"/>
        <v>0.26799985693109246</v>
      </c>
      <c r="BB160" s="210"/>
      <c r="BC160" s="115"/>
      <c r="BD160" s="236"/>
    </row>
    <row r="161" spans="1:56" s="121" customFormat="1" ht="16.5" customHeight="1">
      <c r="A161" s="104" t="s">
        <v>2429</v>
      </c>
      <c r="B161" s="105" t="s">
        <v>974</v>
      </c>
      <c r="C161" s="106" t="s">
        <v>981</v>
      </c>
      <c r="D161" s="106" t="s">
        <v>2415</v>
      </c>
      <c r="E161" s="71" t="s">
        <v>929</v>
      </c>
      <c r="F161" s="71" t="s">
        <v>2085</v>
      </c>
      <c r="G161" s="109" t="s">
        <v>2130</v>
      </c>
      <c r="H161" s="110">
        <f>2456*2</f>
        <v>4912</v>
      </c>
      <c r="I161" s="112">
        <v>0</v>
      </c>
      <c r="J161" s="112">
        <v>0</v>
      </c>
      <c r="K161" s="113">
        <f t="shared" si="26"/>
        <v>4912</v>
      </c>
      <c r="L161" s="110">
        <v>244</v>
      </c>
      <c r="M161" s="111">
        <v>134</v>
      </c>
      <c r="N161" s="112">
        <v>0</v>
      </c>
      <c r="O161" s="112">
        <v>0</v>
      </c>
      <c r="P161" s="114">
        <v>0</v>
      </c>
      <c r="Q161" s="111">
        <v>8397</v>
      </c>
      <c r="R161" s="111">
        <f>2894*4</f>
        <v>11576</v>
      </c>
      <c r="S161" s="111">
        <f t="shared" si="30"/>
        <v>11576</v>
      </c>
      <c r="T161" s="112">
        <f>2159*2</f>
        <v>4318</v>
      </c>
      <c r="U161" s="144">
        <v>0</v>
      </c>
      <c r="V161" s="144">
        <v>0</v>
      </c>
      <c r="W161" s="113">
        <f t="shared" si="27"/>
        <v>16272</v>
      </c>
      <c r="X161" s="211"/>
      <c r="Y161" s="111"/>
      <c r="Z161" s="212"/>
      <c r="AA161" s="111"/>
      <c r="AB161" s="113">
        <f t="shared" si="31"/>
        <v>0</v>
      </c>
      <c r="AC161" s="211"/>
      <c r="AD161" s="111"/>
      <c r="AE161" s="111"/>
      <c r="AF161" s="111"/>
      <c r="AG161" s="111"/>
      <c r="AH161" s="111"/>
      <c r="AI161" s="111"/>
      <c r="AJ161" s="113">
        <f t="shared" si="32"/>
        <v>0</v>
      </c>
      <c r="AK161" s="143">
        <f t="shared" si="25"/>
        <v>32529</v>
      </c>
      <c r="AL161" s="112">
        <f t="shared" si="25"/>
        <v>16249.915000000001</v>
      </c>
      <c r="AM161" s="112">
        <f t="shared" si="25"/>
        <v>16279.084999999999</v>
      </c>
      <c r="AN161" s="112">
        <f t="shared" si="25"/>
        <v>1477.2650000000001</v>
      </c>
      <c r="AO161" s="230">
        <f t="shared" si="28"/>
        <v>0.49955163085247012</v>
      </c>
      <c r="AP161" s="193">
        <f t="shared" si="34"/>
        <v>17749.264999999999</v>
      </c>
      <c r="AQ161" s="194">
        <f t="shared" si="29"/>
        <v>-12837.264999999999</v>
      </c>
      <c r="AR161" s="118"/>
      <c r="AS161" s="119"/>
      <c r="AT161" s="119"/>
      <c r="AU161" s="120"/>
      <c r="AV161" s="195"/>
      <c r="AW161" s="112">
        <v>32529000</v>
      </c>
      <c r="AX161" s="162">
        <v>16249915</v>
      </c>
      <c r="AY161" s="162">
        <v>16279085</v>
      </c>
      <c r="AZ161" s="162">
        <v>1477265</v>
      </c>
      <c r="BA161" s="231">
        <f t="shared" si="33"/>
        <v>0.49955163085247012</v>
      </c>
      <c r="BB161" s="210"/>
      <c r="BC161" s="115"/>
      <c r="BD161" s="236"/>
    </row>
    <row r="162" spans="1:56" s="121" customFormat="1" ht="16.5" customHeight="1">
      <c r="A162" s="104" t="s">
        <v>2429</v>
      </c>
      <c r="B162" s="105" t="s">
        <v>977</v>
      </c>
      <c r="C162" s="106" t="s">
        <v>983</v>
      </c>
      <c r="D162" s="106" t="s">
        <v>2415</v>
      </c>
      <c r="E162" s="71" t="s">
        <v>934</v>
      </c>
      <c r="F162" s="71" t="s">
        <v>2085</v>
      </c>
      <c r="G162" s="109" t="s">
        <v>2130</v>
      </c>
      <c r="H162" s="110">
        <f>2456*2</f>
        <v>4912</v>
      </c>
      <c r="I162" s="112">
        <v>0</v>
      </c>
      <c r="J162" s="112">
        <v>0</v>
      </c>
      <c r="K162" s="113">
        <f t="shared" si="26"/>
        <v>4912</v>
      </c>
      <c r="L162" s="110">
        <v>244</v>
      </c>
      <c r="M162" s="115">
        <v>0</v>
      </c>
      <c r="N162" s="112">
        <v>0</v>
      </c>
      <c r="O162" s="111">
        <v>26</v>
      </c>
      <c r="P162" s="114">
        <v>0</v>
      </c>
      <c r="Q162" s="111">
        <v>8397</v>
      </c>
      <c r="R162" s="111">
        <f>2894*8</f>
        <v>23152</v>
      </c>
      <c r="S162" s="111">
        <f t="shared" si="30"/>
        <v>23152</v>
      </c>
      <c r="T162" s="112">
        <f>2159*2</f>
        <v>4318</v>
      </c>
      <c r="U162" s="144">
        <v>0</v>
      </c>
      <c r="V162" s="144">
        <v>0</v>
      </c>
      <c r="W162" s="113">
        <f t="shared" si="27"/>
        <v>27740</v>
      </c>
      <c r="X162" s="211"/>
      <c r="Y162" s="111"/>
      <c r="Z162" s="212"/>
      <c r="AA162" s="111"/>
      <c r="AB162" s="113">
        <f t="shared" si="31"/>
        <v>0</v>
      </c>
      <c r="AC162" s="211"/>
      <c r="AD162" s="111"/>
      <c r="AE162" s="111"/>
      <c r="AF162" s="111"/>
      <c r="AG162" s="111"/>
      <c r="AH162" s="111"/>
      <c r="AI162" s="111"/>
      <c r="AJ162" s="113">
        <f t="shared" si="32"/>
        <v>0</v>
      </c>
      <c r="AK162" s="143">
        <f t="shared" si="25"/>
        <v>897.05</v>
      </c>
      <c r="AL162" s="112">
        <f t="shared" si="25"/>
        <v>0</v>
      </c>
      <c r="AM162" s="112">
        <f t="shared" si="25"/>
        <v>897.05</v>
      </c>
      <c r="AN162" s="112">
        <f t="shared" si="25"/>
        <v>0</v>
      </c>
      <c r="AO162" s="230">
        <f t="shared" si="28"/>
        <v>0</v>
      </c>
      <c r="AP162" s="193">
        <f t="shared" si="34"/>
        <v>27740</v>
      </c>
      <c r="AQ162" s="194">
        <f t="shared" si="29"/>
        <v>-22828</v>
      </c>
      <c r="AR162" s="118"/>
      <c r="AS162" s="119"/>
      <c r="AT162" s="119"/>
      <c r="AU162" s="120"/>
      <c r="AV162" s="195"/>
      <c r="AW162" s="112">
        <v>897050</v>
      </c>
      <c r="AX162" s="162">
        <v>0</v>
      </c>
      <c r="AY162" s="162">
        <v>897050</v>
      </c>
      <c r="AZ162" s="162">
        <v>0</v>
      </c>
      <c r="BA162" s="231">
        <f t="shared" si="33"/>
        <v>0</v>
      </c>
      <c r="BB162" s="210"/>
      <c r="BC162" s="115"/>
      <c r="BD162" s="236"/>
    </row>
    <row r="163" spans="1:56" s="121" customFormat="1" ht="16.5" customHeight="1">
      <c r="A163" s="104" t="s">
        <v>2429</v>
      </c>
      <c r="B163" s="105" t="s">
        <v>980</v>
      </c>
      <c r="C163" s="106" t="s">
        <v>986</v>
      </c>
      <c r="D163" s="106" t="s">
        <v>2415</v>
      </c>
      <c r="E163" s="71" t="s">
        <v>939</v>
      </c>
      <c r="F163" s="71" t="s">
        <v>2085</v>
      </c>
      <c r="G163" s="109" t="s">
        <v>2130</v>
      </c>
      <c r="H163" s="110">
        <f>2456*2</f>
        <v>4912</v>
      </c>
      <c r="I163" s="112">
        <v>0</v>
      </c>
      <c r="J163" s="112">
        <v>0</v>
      </c>
      <c r="K163" s="113">
        <f t="shared" si="26"/>
        <v>4912</v>
      </c>
      <c r="L163" s="110">
        <v>244</v>
      </c>
      <c r="M163" s="115">
        <v>0</v>
      </c>
      <c r="N163" s="112">
        <v>0</v>
      </c>
      <c r="O163" s="111">
        <v>0</v>
      </c>
      <c r="P163" s="114">
        <v>0</v>
      </c>
      <c r="Q163" s="111">
        <v>8397</v>
      </c>
      <c r="R163" s="111">
        <f>2894*6</f>
        <v>17364</v>
      </c>
      <c r="S163" s="111">
        <f t="shared" si="30"/>
        <v>17364</v>
      </c>
      <c r="T163" s="112">
        <f>2159*2</f>
        <v>4318</v>
      </c>
      <c r="U163" s="144">
        <v>0</v>
      </c>
      <c r="V163" s="144">
        <v>0</v>
      </c>
      <c r="W163" s="113">
        <f t="shared" si="27"/>
        <v>21926</v>
      </c>
      <c r="X163" s="211"/>
      <c r="Y163" s="111"/>
      <c r="Z163" s="212"/>
      <c r="AA163" s="111"/>
      <c r="AB163" s="113">
        <f t="shared" si="31"/>
        <v>0</v>
      </c>
      <c r="AC163" s="211"/>
      <c r="AD163" s="111"/>
      <c r="AE163" s="111"/>
      <c r="AF163" s="111"/>
      <c r="AG163" s="111"/>
      <c r="AH163" s="111"/>
      <c r="AI163" s="111"/>
      <c r="AJ163" s="113">
        <f t="shared" si="32"/>
        <v>0</v>
      </c>
      <c r="AK163" s="143">
        <f t="shared" si="25"/>
        <v>0</v>
      </c>
      <c r="AL163" s="112">
        <f t="shared" si="25"/>
        <v>0</v>
      </c>
      <c r="AM163" s="112">
        <f t="shared" si="25"/>
        <v>0</v>
      </c>
      <c r="AN163" s="112">
        <f t="shared" si="25"/>
        <v>0</v>
      </c>
      <c r="AO163" s="230" t="str">
        <f t="shared" si="28"/>
        <v>-</v>
      </c>
      <c r="AP163" s="193">
        <f t="shared" si="34"/>
        <v>21926</v>
      </c>
      <c r="AQ163" s="194">
        <f t="shared" si="29"/>
        <v>-17014</v>
      </c>
      <c r="AR163" s="118"/>
      <c r="AS163" s="119"/>
      <c r="AT163" s="119"/>
      <c r="AU163" s="120"/>
      <c r="AV163" s="195"/>
      <c r="AW163" s="112">
        <v>0</v>
      </c>
      <c r="AX163" s="162">
        <v>0</v>
      </c>
      <c r="AY163" s="162">
        <v>0</v>
      </c>
      <c r="AZ163" s="162">
        <v>0</v>
      </c>
      <c r="BA163" s="231" t="s">
        <v>1966</v>
      </c>
      <c r="BB163" s="210"/>
      <c r="BC163" s="115"/>
      <c r="BD163" s="236"/>
    </row>
    <row r="164" spans="1:56" s="121" customFormat="1" ht="16.5" customHeight="1">
      <c r="A164" s="104" t="s">
        <v>2429</v>
      </c>
      <c r="B164" s="105" t="s">
        <v>982</v>
      </c>
      <c r="C164" s="106" t="s">
        <v>989</v>
      </c>
      <c r="D164" s="106" t="s">
        <v>2415</v>
      </c>
      <c r="E164" s="71" t="s">
        <v>990</v>
      </c>
      <c r="F164" s="71" t="s">
        <v>170</v>
      </c>
      <c r="G164" s="109" t="s">
        <v>2187</v>
      </c>
      <c r="H164" s="110">
        <v>301</v>
      </c>
      <c r="I164" s="111"/>
      <c r="J164" s="112">
        <v>44</v>
      </c>
      <c r="K164" s="113">
        <f t="shared" si="26"/>
        <v>345</v>
      </c>
      <c r="L164" s="110">
        <v>14342</v>
      </c>
      <c r="M164" s="111">
        <v>4381</v>
      </c>
      <c r="N164" s="112"/>
      <c r="O164" s="111">
        <v>2375</v>
      </c>
      <c r="P164" s="115">
        <v>1</v>
      </c>
      <c r="Q164" s="111">
        <v>8397</v>
      </c>
      <c r="R164" s="115">
        <v>8934</v>
      </c>
      <c r="S164" s="111">
        <f t="shared" si="30"/>
        <v>17331</v>
      </c>
      <c r="T164" s="112">
        <f>30206+84</f>
        <v>30290</v>
      </c>
      <c r="U164" s="116">
        <v>74</v>
      </c>
      <c r="V164" s="111"/>
      <c r="W164" s="113">
        <f t="shared" si="27"/>
        <v>68793</v>
      </c>
      <c r="X164" s="110"/>
      <c r="Y164" s="111"/>
      <c r="Z164" s="116"/>
      <c r="AA164" s="111"/>
      <c r="AB164" s="113">
        <f t="shared" si="31"/>
        <v>0</v>
      </c>
      <c r="AC164" s="110"/>
      <c r="AD164" s="111"/>
      <c r="AE164" s="112"/>
      <c r="AF164" s="117"/>
      <c r="AG164" s="111"/>
      <c r="AH164" s="112"/>
      <c r="AI164" s="112"/>
      <c r="AJ164" s="113">
        <f t="shared" si="32"/>
        <v>0</v>
      </c>
      <c r="AK164" s="143">
        <f t="shared" si="25"/>
        <v>2505181.61</v>
      </c>
      <c r="AL164" s="112">
        <f t="shared" si="25"/>
        <v>1456141.8119999999</v>
      </c>
      <c r="AM164" s="112">
        <f t="shared" si="25"/>
        <v>1049039.798</v>
      </c>
      <c r="AN164" s="112">
        <f t="shared" si="25"/>
        <v>38094.508999999998</v>
      </c>
      <c r="AO164" s="230">
        <f t="shared" si="28"/>
        <v>0.58125199633730351</v>
      </c>
      <c r="AP164" s="193">
        <f t="shared" si="34"/>
        <v>106887.50899999999</v>
      </c>
      <c r="AQ164" s="194">
        <f t="shared" si="29"/>
        <v>-106542.50899999999</v>
      </c>
      <c r="AR164" s="118"/>
      <c r="AS164" s="119"/>
      <c r="AT164" s="119"/>
      <c r="AU164" s="120"/>
      <c r="AV164" s="195"/>
      <c r="AW164" s="112">
        <v>2505181610</v>
      </c>
      <c r="AX164" s="162">
        <v>1456141812</v>
      </c>
      <c r="AY164" s="162">
        <v>1049039798</v>
      </c>
      <c r="AZ164" s="162">
        <v>38094509</v>
      </c>
      <c r="BA164" s="231">
        <f t="shared" si="33"/>
        <v>0.58125199633730351</v>
      </c>
      <c r="BB164" s="210">
        <v>311180</v>
      </c>
      <c r="BC164" s="115">
        <v>58270</v>
      </c>
      <c r="BD164" s="236">
        <v>0</v>
      </c>
    </row>
    <row r="165" spans="1:56" s="121" customFormat="1" ht="16.5" customHeight="1">
      <c r="A165" s="104" t="s">
        <v>2429</v>
      </c>
      <c r="B165" s="105" t="s">
        <v>985</v>
      </c>
      <c r="C165" s="106" t="s">
        <v>998</v>
      </c>
      <c r="D165" s="106" t="s">
        <v>2415</v>
      </c>
      <c r="E165" s="71" t="s">
        <v>999</v>
      </c>
      <c r="F165" s="71" t="s">
        <v>170</v>
      </c>
      <c r="G165" s="109" t="s">
        <v>2187</v>
      </c>
      <c r="H165" s="110">
        <v>224</v>
      </c>
      <c r="I165" s="111"/>
      <c r="J165" s="112">
        <v>19</v>
      </c>
      <c r="K165" s="113">
        <f t="shared" si="26"/>
        <v>243</v>
      </c>
      <c r="L165" s="110">
        <v>8827</v>
      </c>
      <c r="M165" s="111">
        <v>4026</v>
      </c>
      <c r="N165" s="112"/>
      <c r="O165" s="111">
        <v>1601</v>
      </c>
      <c r="P165" s="115">
        <v>1</v>
      </c>
      <c r="Q165" s="111">
        <v>8397</v>
      </c>
      <c r="R165" s="115">
        <v>4595</v>
      </c>
      <c r="S165" s="111">
        <f t="shared" si="30"/>
        <v>12992</v>
      </c>
      <c r="T165" s="112">
        <f>27007+78</f>
        <v>27085</v>
      </c>
      <c r="U165" s="116">
        <v>74</v>
      </c>
      <c r="V165" s="111"/>
      <c r="W165" s="113">
        <f t="shared" si="27"/>
        <v>54605</v>
      </c>
      <c r="X165" s="110"/>
      <c r="Y165" s="111"/>
      <c r="Z165" s="116"/>
      <c r="AA165" s="111"/>
      <c r="AB165" s="113">
        <f t="shared" si="31"/>
        <v>0</v>
      </c>
      <c r="AC165" s="110"/>
      <c r="AD165" s="111"/>
      <c r="AE165" s="112"/>
      <c r="AF165" s="117"/>
      <c r="AG165" s="111"/>
      <c r="AH165" s="112"/>
      <c r="AI165" s="112"/>
      <c r="AJ165" s="113">
        <f t="shared" si="32"/>
        <v>0</v>
      </c>
      <c r="AK165" s="143">
        <f t="shared" si="25"/>
        <v>2616584.048</v>
      </c>
      <c r="AL165" s="112">
        <f t="shared" si="25"/>
        <v>1430792.2309999999</v>
      </c>
      <c r="AM165" s="112">
        <f t="shared" si="25"/>
        <v>1185791.817</v>
      </c>
      <c r="AN165" s="112">
        <f t="shared" si="25"/>
        <v>37598.925000000003</v>
      </c>
      <c r="AO165" s="230">
        <f t="shared" si="28"/>
        <v>0.5468168439281107</v>
      </c>
      <c r="AP165" s="193">
        <f t="shared" si="34"/>
        <v>92203.925000000003</v>
      </c>
      <c r="AQ165" s="194">
        <f t="shared" si="29"/>
        <v>-91960.925000000003</v>
      </c>
      <c r="AR165" s="118"/>
      <c r="AS165" s="119"/>
      <c r="AT165" s="119"/>
      <c r="AU165" s="120"/>
      <c r="AV165" s="195"/>
      <c r="AW165" s="112">
        <v>2616584048</v>
      </c>
      <c r="AX165" s="162">
        <v>1430792231</v>
      </c>
      <c r="AY165" s="162">
        <v>1185791817</v>
      </c>
      <c r="AZ165" s="162">
        <v>37598925</v>
      </c>
      <c r="BA165" s="231">
        <f t="shared" si="33"/>
        <v>0.5468168439281107</v>
      </c>
      <c r="BB165" s="210">
        <v>150065</v>
      </c>
      <c r="BC165" s="115">
        <v>41890</v>
      </c>
      <c r="BD165" s="236">
        <v>0</v>
      </c>
    </row>
    <row r="166" spans="1:56" s="121" customFormat="1" ht="16.5" customHeight="1">
      <c r="A166" s="104" t="s">
        <v>2429</v>
      </c>
      <c r="B166" s="105" t="s">
        <v>988</v>
      </c>
      <c r="C166" s="106" t="s">
        <v>1003</v>
      </c>
      <c r="D166" s="106" t="s">
        <v>2415</v>
      </c>
      <c r="E166" s="71" t="s">
        <v>1004</v>
      </c>
      <c r="F166" s="71" t="s">
        <v>170</v>
      </c>
      <c r="G166" s="109" t="s">
        <v>2187</v>
      </c>
      <c r="H166" s="110">
        <v>288</v>
      </c>
      <c r="I166" s="111"/>
      <c r="J166" s="112">
        <v>7</v>
      </c>
      <c r="K166" s="113">
        <f t="shared" si="26"/>
        <v>295</v>
      </c>
      <c r="L166" s="110">
        <v>10153</v>
      </c>
      <c r="M166" s="111">
        <v>4336</v>
      </c>
      <c r="N166" s="112"/>
      <c r="O166" s="111">
        <v>3099</v>
      </c>
      <c r="P166" s="115">
        <v>1</v>
      </c>
      <c r="Q166" s="111">
        <v>8397</v>
      </c>
      <c r="R166" s="115">
        <v>4809</v>
      </c>
      <c r="S166" s="111">
        <f t="shared" si="30"/>
        <v>13206</v>
      </c>
      <c r="T166" s="112">
        <f>31928+89</f>
        <v>32017</v>
      </c>
      <c r="U166" s="116">
        <v>73</v>
      </c>
      <c r="V166" s="111"/>
      <c r="W166" s="113">
        <f t="shared" si="27"/>
        <v>62884</v>
      </c>
      <c r="X166" s="110"/>
      <c r="Y166" s="111"/>
      <c r="Z166" s="116"/>
      <c r="AA166" s="111"/>
      <c r="AB166" s="113">
        <f t="shared" si="31"/>
        <v>0</v>
      </c>
      <c r="AC166" s="110"/>
      <c r="AD166" s="111"/>
      <c r="AE166" s="112"/>
      <c r="AF166" s="117"/>
      <c r="AG166" s="111"/>
      <c r="AH166" s="112"/>
      <c r="AI166" s="112"/>
      <c r="AJ166" s="113">
        <f t="shared" si="32"/>
        <v>0</v>
      </c>
      <c r="AK166" s="143">
        <f t="shared" si="25"/>
        <v>2871892.156</v>
      </c>
      <c r="AL166" s="112">
        <f t="shared" si="25"/>
        <v>1780492.3049999999</v>
      </c>
      <c r="AM166" s="112">
        <f t="shared" si="25"/>
        <v>1091399.851</v>
      </c>
      <c r="AN166" s="112">
        <f t="shared" si="25"/>
        <v>36076.061000000002</v>
      </c>
      <c r="AO166" s="230">
        <f t="shared" si="28"/>
        <v>0.6199718541938174</v>
      </c>
      <c r="AP166" s="193">
        <f t="shared" si="34"/>
        <v>98960.061000000002</v>
      </c>
      <c r="AQ166" s="194">
        <f t="shared" si="29"/>
        <v>-98665.061000000002</v>
      </c>
      <c r="AR166" s="118"/>
      <c r="AS166" s="119"/>
      <c r="AT166" s="119"/>
      <c r="AU166" s="120"/>
      <c r="AV166" s="195"/>
      <c r="AW166" s="112">
        <v>2871892156</v>
      </c>
      <c r="AX166" s="162">
        <v>1780492305</v>
      </c>
      <c r="AY166" s="162">
        <v>1091399851</v>
      </c>
      <c r="AZ166" s="162">
        <v>36076061</v>
      </c>
      <c r="BA166" s="231">
        <f t="shared" si="33"/>
        <v>0.6199718541938174</v>
      </c>
      <c r="BB166" s="210">
        <v>263582</v>
      </c>
      <c r="BC166" s="115">
        <v>40761</v>
      </c>
      <c r="BD166" s="236">
        <v>0</v>
      </c>
    </row>
    <row r="167" spans="1:56" s="121" customFormat="1" ht="16.5" customHeight="1">
      <c r="A167" s="104" t="s">
        <v>2429</v>
      </c>
      <c r="B167" s="105" t="s">
        <v>997</v>
      </c>
      <c r="C167" s="106" t="s">
        <v>1008</v>
      </c>
      <c r="D167" s="106" t="s">
        <v>2415</v>
      </c>
      <c r="E167" s="71" t="s">
        <v>1009</v>
      </c>
      <c r="F167" s="71" t="s">
        <v>170</v>
      </c>
      <c r="G167" s="109" t="s">
        <v>2187</v>
      </c>
      <c r="H167" s="110">
        <v>304</v>
      </c>
      <c r="I167" s="111"/>
      <c r="J167" s="112">
        <v>44</v>
      </c>
      <c r="K167" s="113">
        <f t="shared" si="26"/>
        <v>348</v>
      </c>
      <c r="L167" s="110">
        <v>11055</v>
      </c>
      <c r="M167" s="111">
        <v>3520</v>
      </c>
      <c r="N167" s="112"/>
      <c r="O167" s="111">
        <v>6695</v>
      </c>
      <c r="P167" s="115">
        <v>0</v>
      </c>
      <c r="Q167" s="111">
        <v>8397</v>
      </c>
      <c r="R167" s="115">
        <v>7087</v>
      </c>
      <c r="S167" s="111">
        <f t="shared" si="30"/>
        <v>7087</v>
      </c>
      <c r="T167" s="112">
        <f>29126+22</f>
        <v>29148</v>
      </c>
      <c r="U167" s="116">
        <v>69</v>
      </c>
      <c r="V167" s="111"/>
      <c r="W167" s="113">
        <f t="shared" si="27"/>
        <v>57574</v>
      </c>
      <c r="X167" s="110"/>
      <c r="Y167" s="111"/>
      <c r="Z167" s="116"/>
      <c r="AA167" s="111"/>
      <c r="AB167" s="113">
        <f t="shared" si="31"/>
        <v>0</v>
      </c>
      <c r="AC167" s="110"/>
      <c r="AD167" s="111"/>
      <c r="AE167" s="112"/>
      <c r="AF167" s="117"/>
      <c r="AG167" s="111"/>
      <c r="AH167" s="112"/>
      <c r="AI167" s="112"/>
      <c r="AJ167" s="113">
        <f t="shared" si="32"/>
        <v>0</v>
      </c>
      <c r="AK167" s="143">
        <f t="shared" si="25"/>
        <v>1930533.1129999999</v>
      </c>
      <c r="AL167" s="112">
        <f t="shared" si="25"/>
        <v>1571757.148</v>
      </c>
      <c r="AM167" s="112">
        <f t="shared" si="25"/>
        <v>358775.96500000003</v>
      </c>
      <c r="AN167" s="112">
        <f t="shared" si="25"/>
        <v>38422.476999999999</v>
      </c>
      <c r="AO167" s="230">
        <f t="shared" si="28"/>
        <v>0.8141570519645368</v>
      </c>
      <c r="AP167" s="193">
        <f t="shared" si="34"/>
        <v>95996.476999999999</v>
      </c>
      <c r="AQ167" s="194">
        <f t="shared" si="29"/>
        <v>-95648.476999999999</v>
      </c>
      <c r="AR167" s="118"/>
      <c r="AS167" s="119"/>
      <c r="AT167" s="119"/>
      <c r="AU167" s="120"/>
      <c r="AV167" s="195"/>
      <c r="AW167" s="112">
        <v>1930533113</v>
      </c>
      <c r="AX167" s="162">
        <v>1571757148</v>
      </c>
      <c r="AY167" s="162">
        <v>358775965</v>
      </c>
      <c r="AZ167" s="162">
        <v>38422477</v>
      </c>
      <c r="BA167" s="231">
        <f t="shared" si="33"/>
        <v>0.8141570519645368</v>
      </c>
      <c r="BB167" s="210">
        <v>304752</v>
      </c>
      <c r="BC167" s="115">
        <v>30671</v>
      </c>
      <c r="BD167" s="236">
        <v>0</v>
      </c>
    </row>
    <row r="168" spans="1:56" s="121" customFormat="1" ht="16.5" customHeight="1">
      <c r="A168" s="104" t="s">
        <v>2429</v>
      </c>
      <c r="B168" s="105" t="s">
        <v>1002</v>
      </c>
      <c r="C168" s="106" t="s">
        <v>1013</v>
      </c>
      <c r="D168" s="106" t="s">
        <v>2415</v>
      </c>
      <c r="E168" s="71" t="s">
        <v>1014</v>
      </c>
      <c r="F168" s="71" t="s">
        <v>170</v>
      </c>
      <c r="G168" s="109" t="s">
        <v>2187</v>
      </c>
      <c r="H168" s="110">
        <v>325</v>
      </c>
      <c r="I168" s="111"/>
      <c r="J168" s="112">
        <v>17</v>
      </c>
      <c r="K168" s="113">
        <f t="shared" si="26"/>
        <v>342</v>
      </c>
      <c r="L168" s="110">
        <v>15786</v>
      </c>
      <c r="M168" s="111">
        <v>4224</v>
      </c>
      <c r="N168" s="112"/>
      <c r="O168" s="111">
        <v>4966</v>
      </c>
      <c r="P168" s="115">
        <v>1</v>
      </c>
      <c r="Q168" s="111">
        <v>8397</v>
      </c>
      <c r="R168" s="115">
        <v>9195</v>
      </c>
      <c r="S168" s="111">
        <f t="shared" si="30"/>
        <v>17592</v>
      </c>
      <c r="T168" s="112">
        <f>27453+83</f>
        <v>27536</v>
      </c>
      <c r="U168" s="116">
        <v>71</v>
      </c>
      <c r="V168" s="111"/>
      <c r="W168" s="113">
        <f t="shared" si="27"/>
        <v>70175</v>
      </c>
      <c r="X168" s="110"/>
      <c r="Y168" s="111"/>
      <c r="Z168" s="116"/>
      <c r="AA168" s="111"/>
      <c r="AB168" s="113">
        <f t="shared" si="31"/>
        <v>0</v>
      </c>
      <c r="AC168" s="110"/>
      <c r="AD168" s="111"/>
      <c r="AE168" s="112"/>
      <c r="AF168" s="117"/>
      <c r="AG168" s="111"/>
      <c r="AH168" s="112"/>
      <c r="AI168" s="112"/>
      <c r="AJ168" s="113">
        <f t="shared" si="32"/>
        <v>0</v>
      </c>
      <c r="AK168" s="143">
        <f t="shared" si="25"/>
        <v>2563047.0120000001</v>
      </c>
      <c r="AL168" s="112">
        <f t="shared" si="25"/>
        <v>1823046.0220000001</v>
      </c>
      <c r="AM168" s="112">
        <f t="shared" si="25"/>
        <v>740000.99</v>
      </c>
      <c r="AN168" s="112">
        <f t="shared" si="25"/>
        <v>37537.296999999999</v>
      </c>
      <c r="AO168" s="230">
        <f t="shared" si="28"/>
        <v>0.71128075820093462</v>
      </c>
      <c r="AP168" s="193">
        <f t="shared" si="34"/>
        <v>107712.29699999999</v>
      </c>
      <c r="AQ168" s="194">
        <f t="shared" si="29"/>
        <v>-107370.29699999999</v>
      </c>
      <c r="AR168" s="118"/>
      <c r="AS168" s="119"/>
      <c r="AT168" s="119"/>
      <c r="AU168" s="120"/>
      <c r="AV168" s="195"/>
      <c r="AW168" s="112">
        <v>2563047012</v>
      </c>
      <c r="AX168" s="162">
        <v>1823046022</v>
      </c>
      <c r="AY168" s="162">
        <v>740000990</v>
      </c>
      <c r="AZ168" s="162">
        <v>37537297</v>
      </c>
      <c r="BA168" s="231">
        <f t="shared" si="33"/>
        <v>0.71128075820093462</v>
      </c>
      <c r="BB168" s="210">
        <v>281446</v>
      </c>
      <c r="BC168" s="115">
        <v>56986</v>
      </c>
      <c r="BD168" s="236">
        <v>0</v>
      </c>
    </row>
    <row r="169" spans="1:56" s="121" customFormat="1" ht="16.5" customHeight="1">
      <c r="A169" s="104" t="s">
        <v>2429</v>
      </c>
      <c r="B169" s="105" t="s">
        <v>1007</v>
      </c>
      <c r="C169" s="106" t="s">
        <v>1017</v>
      </c>
      <c r="D169" s="106" t="s">
        <v>2415</v>
      </c>
      <c r="E169" s="71" t="s">
        <v>1018</v>
      </c>
      <c r="F169" s="71" t="s">
        <v>170</v>
      </c>
      <c r="G169" s="109" t="s">
        <v>2187</v>
      </c>
      <c r="H169" s="110">
        <v>215</v>
      </c>
      <c r="I169" s="111"/>
      <c r="J169" s="112">
        <v>51</v>
      </c>
      <c r="K169" s="113">
        <f t="shared" si="26"/>
        <v>266</v>
      </c>
      <c r="L169" s="110">
        <v>12437</v>
      </c>
      <c r="M169" s="111">
        <v>3829</v>
      </c>
      <c r="N169" s="112"/>
      <c r="O169" s="111">
        <v>6159</v>
      </c>
      <c r="P169" s="115">
        <v>1</v>
      </c>
      <c r="Q169" s="111">
        <v>8397</v>
      </c>
      <c r="R169" s="115">
        <v>8941</v>
      </c>
      <c r="S169" s="111">
        <f t="shared" si="30"/>
        <v>17338</v>
      </c>
      <c r="T169" s="112">
        <f>19978+95</f>
        <v>20073</v>
      </c>
      <c r="U169" s="116">
        <v>73</v>
      </c>
      <c r="V169" s="111"/>
      <c r="W169" s="113">
        <f t="shared" si="27"/>
        <v>59909</v>
      </c>
      <c r="X169" s="110"/>
      <c r="Y169" s="111"/>
      <c r="Z169" s="116"/>
      <c r="AA169" s="111"/>
      <c r="AB169" s="113">
        <f t="shared" si="31"/>
        <v>0</v>
      </c>
      <c r="AC169" s="110"/>
      <c r="AD169" s="111"/>
      <c r="AE169" s="112"/>
      <c r="AF169" s="117"/>
      <c r="AG169" s="111"/>
      <c r="AH169" s="112"/>
      <c r="AI169" s="112"/>
      <c r="AJ169" s="113">
        <f t="shared" si="32"/>
        <v>0</v>
      </c>
      <c r="AK169" s="143">
        <f t="shared" si="25"/>
        <v>2284248.3360000001</v>
      </c>
      <c r="AL169" s="112">
        <f t="shared" si="25"/>
        <v>1763271.8740000001</v>
      </c>
      <c r="AM169" s="112">
        <f t="shared" si="25"/>
        <v>520976.462</v>
      </c>
      <c r="AN169" s="112">
        <f t="shared" si="25"/>
        <v>36007.868999999999</v>
      </c>
      <c r="AO169" s="230">
        <f t="shared" si="28"/>
        <v>0.7719265222658348</v>
      </c>
      <c r="AP169" s="193">
        <f t="shared" si="34"/>
        <v>95916.869000000006</v>
      </c>
      <c r="AQ169" s="194">
        <f t="shared" si="29"/>
        <v>-95650.869000000006</v>
      </c>
      <c r="AR169" s="118"/>
      <c r="AS169" s="119"/>
      <c r="AT169" s="119"/>
      <c r="AU169" s="120"/>
      <c r="AV169" s="195"/>
      <c r="AW169" s="112">
        <v>2284248336</v>
      </c>
      <c r="AX169" s="162">
        <v>1763271874</v>
      </c>
      <c r="AY169" s="162">
        <v>520976462</v>
      </c>
      <c r="AZ169" s="162">
        <v>36007869</v>
      </c>
      <c r="BA169" s="231">
        <f t="shared" si="33"/>
        <v>0.7719265222658348</v>
      </c>
      <c r="BB169" s="210">
        <v>297062</v>
      </c>
      <c r="BC169" s="115">
        <v>55408</v>
      </c>
      <c r="BD169" s="236">
        <v>0</v>
      </c>
    </row>
    <row r="170" spans="1:56" s="121" customFormat="1" ht="16.5" customHeight="1">
      <c r="A170" s="104" t="s">
        <v>2429</v>
      </c>
      <c r="B170" s="105" t="s">
        <v>1012</v>
      </c>
      <c r="C170" s="106" t="s">
        <v>1022</v>
      </c>
      <c r="D170" s="106" t="s">
        <v>2415</v>
      </c>
      <c r="E170" s="71" t="s">
        <v>1023</v>
      </c>
      <c r="F170" s="71" t="s">
        <v>170</v>
      </c>
      <c r="G170" s="109" t="s">
        <v>2187</v>
      </c>
      <c r="H170" s="110">
        <v>213</v>
      </c>
      <c r="I170" s="111"/>
      <c r="J170" s="112">
        <v>4</v>
      </c>
      <c r="K170" s="113">
        <f t="shared" si="26"/>
        <v>217</v>
      </c>
      <c r="L170" s="110">
        <v>11206</v>
      </c>
      <c r="M170" s="111">
        <v>4109</v>
      </c>
      <c r="N170" s="112"/>
      <c r="O170" s="111">
        <v>3526</v>
      </c>
      <c r="P170" s="115">
        <v>1</v>
      </c>
      <c r="Q170" s="111">
        <v>8397</v>
      </c>
      <c r="R170" s="115">
        <v>8981</v>
      </c>
      <c r="S170" s="111">
        <f t="shared" si="30"/>
        <v>17378</v>
      </c>
      <c r="T170" s="112">
        <f>23443+44</f>
        <v>23487</v>
      </c>
      <c r="U170" s="116">
        <v>33</v>
      </c>
      <c r="V170" s="111"/>
      <c r="W170" s="113">
        <f t="shared" si="27"/>
        <v>59739</v>
      </c>
      <c r="X170" s="110"/>
      <c r="Y170" s="111"/>
      <c r="Z170" s="116"/>
      <c r="AA170" s="111"/>
      <c r="AB170" s="113">
        <f t="shared" si="31"/>
        <v>0</v>
      </c>
      <c r="AC170" s="110"/>
      <c r="AD170" s="111"/>
      <c r="AE170" s="112"/>
      <c r="AF170" s="117"/>
      <c r="AG170" s="111"/>
      <c r="AH170" s="112"/>
      <c r="AI170" s="112"/>
      <c r="AJ170" s="113">
        <f t="shared" si="32"/>
        <v>0</v>
      </c>
      <c r="AK170" s="143">
        <f t="shared" si="25"/>
        <v>2162352.11</v>
      </c>
      <c r="AL170" s="112">
        <f t="shared" si="25"/>
        <v>1361947.7450000001</v>
      </c>
      <c r="AM170" s="112">
        <f t="shared" si="25"/>
        <v>800404.36499999999</v>
      </c>
      <c r="AN170" s="112">
        <f t="shared" si="25"/>
        <v>53189.512000000002</v>
      </c>
      <c r="AO170" s="230">
        <f t="shared" si="28"/>
        <v>0.62984549958424674</v>
      </c>
      <c r="AP170" s="193">
        <f t="shared" si="34"/>
        <v>112928.512</v>
      </c>
      <c r="AQ170" s="194">
        <f t="shared" si="29"/>
        <v>-112711.512</v>
      </c>
      <c r="AR170" s="118"/>
      <c r="AS170" s="119"/>
      <c r="AT170" s="119"/>
      <c r="AU170" s="120"/>
      <c r="AV170" s="195"/>
      <c r="AW170" s="112">
        <v>2162352110</v>
      </c>
      <c r="AX170" s="162">
        <v>1361947745</v>
      </c>
      <c r="AY170" s="162">
        <v>800404365</v>
      </c>
      <c r="AZ170" s="162">
        <v>53189512</v>
      </c>
      <c r="BA170" s="231">
        <f t="shared" si="33"/>
        <v>0.62984549958424674</v>
      </c>
      <c r="BB170" s="210">
        <v>320259</v>
      </c>
      <c r="BC170" s="115">
        <v>32351</v>
      </c>
      <c r="BD170" s="236">
        <v>0</v>
      </c>
    </row>
    <row r="171" spans="1:56" s="121" customFormat="1" ht="16.5" customHeight="1">
      <c r="A171" s="104" t="s">
        <v>2429</v>
      </c>
      <c r="B171" s="105" t="s">
        <v>1016</v>
      </c>
      <c r="C171" s="106" t="s">
        <v>1026</v>
      </c>
      <c r="D171" s="106" t="s">
        <v>2415</v>
      </c>
      <c r="E171" s="71" t="s">
        <v>1027</v>
      </c>
      <c r="F171" s="71" t="s">
        <v>170</v>
      </c>
      <c r="G171" s="109" t="s">
        <v>2187</v>
      </c>
      <c r="H171" s="110">
        <v>152</v>
      </c>
      <c r="I171" s="111"/>
      <c r="J171" s="112">
        <v>16</v>
      </c>
      <c r="K171" s="113">
        <f t="shared" si="26"/>
        <v>168</v>
      </c>
      <c r="L171" s="110">
        <v>6959</v>
      </c>
      <c r="M171" s="111">
        <v>3506</v>
      </c>
      <c r="N171" s="112"/>
      <c r="O171" s="111">
        <v>483</v>
      </c>
      <c r="P171" s="115">
        <v>1</v>
      </c>
      <c r="Q171" s="111">
        <v>8397</v>
      </c>
      <c r="R171" s="115">
        <v>3938</v>
      </c>
      <c r="S171" s="111">
        <f t="shared" si="30"/>
        <v>12335</v>
      </c>
      <c r="T171" s="112">
        <f>22055+13</f>
        <v>22068</v>
      </c>
      <c r="U171" s="116">
        <v>50</v>
      </c>
      <c r="V171" s="111"/>
      <c r="W171" s="113">
        <f t="shared" si="27"/>
        <v>45401</v>
      </c>
      <c r="X171" s="110"/>
      <c r="Y171" s="111"/>
      <c r="Z171" s="116"/>
      <c r="AA171" s="111"/>
      <c r="AB171" s="113">
        <f t="shared" si="31"/>
        <v>0</v>
      </c>
      <c r="AC171" s="110"/>
      <c r="AD171" s="111"/>
      <c r="AE171" s="112"/>
      <c r="AF171" s="117"/>
      <c r="AG171" s="111"/>
      <c r="AH171" s="112"/>
      <c r="AI171" s="112"/>
      <c r="AJ171" s="113">
        <f t="shared" si="32"/>
        <v>0</v>
      </c>
      <c r="AK171" s="143">
        <f t="shared" si="25"/>
        <v>2413263.5819999999</v>
      </c>
      <c r="AL171" s="112">
        <f t="shared" si="25"/>
        <v>1297696.3359999999</v>
      </c>
      <c r="AM171" s="112">
        <f t="shared" si="25"/>
        <v>1115567.246</v>
      </c>
      <c r="AN171" s="112">
        <f t="shared" si="25"/>
        <v>88510.24</v>
      </c>
      <c r="AO171" s="230">
        <f t="shared" si="28"/>
        <v>0.53773501812202795</v>
      </c>
      <c r="AP171" s="193">
        <f t="shared" si="34"/>
        <v>133911.24</v>
      </c>
      <c r="AQ171" s="194">
        <f t="shared" si="29"/>
        <v>-133743.24</v>
      </c>
      <c r="AR171" s="118"/>
      <c r="AS171" s="119"/>
      <c r="AT171" s="119"/>
      <c r="AU171" s="120"/>
      <c r="AV171" s="195"/>
      <c r="AW171" s="112">
        <v>2413263582</v>
      </c>
      <c r="AX171" s="162">
        <v>1297696336</v>
      </c>
      <c r="AY171" s="162">
        <v>1115567246</v>
      </c>
      <c r="AZ171" s="162">
        <v>88510240</v>
      </c>
      <c r="BA171" s="231">
        <f t="shared" si="33"/>
        <v>0.53773501812202795</v>
      </c>
      <c r="BB171" s="210">
        <v>187131</v>
      </c>
      <c r="BC171" s="115">
        <v>26253</v>
      </c>
      <c r="BD171" s="236">
        <v>0</v>
      </c>
    </row>
    <row r="172" spans="1:56" s="121" customFormat="1" ht="16.5" customHeight="1">
      <c r="A172" s="104" t="s">
        <v>2429</v>
      </c>
      <c r="B172" s="105" t="s">
        <v>1021</v>
      </c>
      <c r="C172" s="106" t="s">
        <v>1030</v>
      </c>
      <c r="D172" s="106" t="s">
        <v>2415</v>
      </c>
      <c r="E172" s="71" t="s">
        <v>1031</v>
      </c>
      <c r="F172" s="71" t="s">
        <v>170</v>
      </c>
      <c r="G172" s="109" t="s">
        <v>2187</v>
      </c>
      <c r="H172" s="110">
        <v>92614</v>
      </c>
      <c r="I172" s="111">
        <v>0</v>
      </c>
      <c r="J172" s="112">
        <v>253</v>
      </c>
      <c r="K172" s="113">
        <f t="shared" si="26"/>
        <v>92867</v>
      </c>
      <c r="L172" s="110">
        <v>15550</v>
      </c>
      <c r="M172" s="111">
        <v>4498</v>
      </c>
      <c r="N172" s="112">
        <v>0</v>
      </c>
      <c r="O172" s="111">
        <v>6617</v>
      </c>
      <c r="P172" s="115">
        <v>64</v>
      </c>
      <c r="Q172" s="111">
        <v>8397</v>
      </c>
      <c r="R172" s="115">
        <v>26865.207999999999</v>
      </c>
      <c r="S172" s="111">
        <f t="shared" si="30"/>
        <v>564273.20799999998</v>
      </c>
      <c r="T172" s="112">
        <v>56508</v>
      </c>
      <c r="U172" s="116">
        <v>0</v>
      </c>
      <c r="V172" s="111"/>
      <c r="W172" s="113">
        <f t="shared" si="27"/>
        <v>647446.20799999998</v>
      </c>
      <c r="X172" s="110"/>
      <c r="Y172" s="111"/>
      <c r="Z172" s="116"/>
      <c r="AA172" s="111"/>
      <c r="AB172" s="113">
        <f t="shared" si="31"/>
        <v>0</v>
      </c>
      <c r="AC172" s="110"/>
      <c r="AD172" s="111"/>
      <c r="AE172" s="112"/>
      <c r="AF172" s="117"/>
      <c r="AG172" s="111"/>
      <c r="AH172" s="112"/>
      <c r="AI172" s="112"/>
      <c r="AJ172" s="113">
        <f t="shared" si="32"/>
        <v>0</v>
      </c>
      <c r="AK172" s="143">
        <f t="shared" si="25"/>
        <v>2990889.227</v>
      </c>
      <c r="AL172" s="112">
        <f t="shared" si="25"/>
        <v>2048979.0120000001</v>
      </c>
      <c r="AM172" s="112">
        <f t="shared" si="25"/>
        <v>941910.21499999997</v>
      </c>
      <c r="AN172" s="112">
        <f t="shared" si="25"/>
        <v>47928.769</v>
      </c>
      <c r="AO172" s="230">
        <f t="shared" si="28"/>
        <v>0.68507352044435976</v>
      </c>
      <c r="AP172" s="193">
        <f t="shared" si="34"/>
        <v>695374.97699999996</v>
      </c>
      <c r="AQ172" s="194">
        <f t="shared" si="29"/>
        <v>-602507.97699999996</v>
      </c>
      <c r="AR172" s="118"/>
      <c r="AS172" s="119"/>
      <c r="AT172" s="119"/>
      <c r="AU172" s="120"/>
      <c r="AV172" s="195"/>
      <c r="AW172" s="112">
        <v>2990889227</v>
      </c>
      <c r="AX172" s="162">
        <v>2048979012</v>
      </c>
      <c r="AY172" s="162">
        <v>941910215</v>
      </c>
      <c r="AZ172" s="162">
        <v>47928769</v>
      </c>
      <c r="BA172" s="231">
        <f t="shared" si="33"/>
        <v>0.68507352044435976</v>
      </c>
      <c r="BB172" s="210"/>
      <c r="BC172" s="115"/>
      <c r="BD172" s="236"/>
    </row>
    <row r="173" spans="1:56" s="121" customFormat="1" ht="16.5" customHeight="1">
      <c r="A173" s="104" t="s">
        <v>2429</v>
      </c>
      <c r="B173" s="105" t="s">
        <v>1025</v>
      </c>
      <c r="C173" s="106" t="s">
        <v>1038</v>
      </c>
      <c r="D173" s="106" t="s">
        <v>2415</v>
      </c>
      <c r="E173" s="71" t="s">
        <v>1039</v>
      </c>
      <c r="F173" s="71" t="s">
        <v>170</v>
      </c>
      <c r="G173" s="109" t="s">
        <v>2187</v>
      </c>
      <c r="H173" s="110">
        <v>20</v>
      </c>
      <c r="I173" s="111"/>
      <c r="J173" s="112">
        <v>901</v>
      </c>
      <c r="K173" s="113">
        <f t="shared" si="26"/>
        <v>921</v>
      </c>
      <c r="L173" s="110">
        <v>5212</v>
      </c>
      <c r="M173" s="111">
        <v>9956</v>
      </c>
      <c r="N173" s="112"/>
      <c r="O173" s="117">
        <v>1318</v>
      </c>
      <c r="P173" s="115">
        <v>0</v>
      </c>
      <c r="Q173" s="111">
        <v>8397</v>
      </c>
      <c r="R173" s="115">
        <v>36900</v>
      </c>
      <c r="S173" s="111">
        <f t="shared" si="30"/>
        <v>36900</v>
      </c>
      <c r="T173" s="112">
        <f>38925+114</f>
        <v>39039</v>
      </c>
      <c r="U173" s="116">
        <v>25</v>
      </c>
      <c r="V173" s="111"/>
      <c r="W173" s="113">
        <f t="shared" si="27"/>
        <v>92450</v>
      </c>
      <c r="X173" s="110"/>
      <c r="Y173" s="111"/>
      <c r="Z173" s="116"/>
      <c r="AA173" s="111"/>
      <c r="AB173" s="113">
        <f t="shared" si="31"/>
        <v>0</v>
      </c>
      <c r="AC173" s="110"/>
      <c r="AD173" s="111"/>
      <c r="AE173" s="112"/>
      <c r="AF173" s="117"/>
      <c r="AG173" s="111"/>
      <c r="AH173" s="112"/>
      <c r="AI173" s="112"/>
      <c r="AJ173" s="113">
        <f t="shared" si="32"/>
        <v>0</v>
      </c>
      <c r="AK173" s="143">
        <f t="shared" si="25"/>
        <v>1027331.818</v>
      </c>
      <c r="AL173" s="112">
        <f t="shared" si="25"/>
        <v>697919.14099999995</v>
      </c>
      <c r="AM173" s="112">
        <f t="shared" si="25"/>
        <v>329412.67700000003</v>
      </c>
      <c r="AN173" s="112">
        <f t="shared" si="25"/>
        <v>21042.958999999999</v>
      </c>
      <c r="AO173" s="230">
        <f t="shared" si="28"/>
        <v>0.67935123664202524</v>
      </c>
      <c r="AP173" s="193">
        <f t="shared" si="34"/>
        <v>113492.959</v>
      </c>
      <c r="AQ173" s="194">
        <f t="shared" si="29"/>
        <v>-112571.959</v>
      </c>
      <c r="AR173" s="118"/>
      <c r="AS173" s="119"/>
      <c r="AT173" s="119"/>
      <c r="AU173" s="120"/>
      <c r="AV173" s="195"/>
      <c r="AW173" s="112">
        <v>1027331818</v>
      </c>
      <c r="AX173" s="162">
        <v>697919141</v>
      </c>
      <c r="AY173" s="162">
        <v>329412677</v>
      </c>
      <c r="AZ173" s="162">
        <v>21042959</v>
      </c>
      <c r="BA173" s="231">
        <f t="shared" si="33"/>
        <v>0.67935123664202524</v>
      </c>
      <c r="BB173" s="210">
        <v>178589</v>
      </c>
      <c r="BC173" s="115">
        <v>6183</v>
      </c>
      <c r="BD173" s="236">
        <v>0</v>
      </c>
    </row>
    <row r="174" spans="1:56" s="121" customFormat="1" ht="16.5" customHeight="1">
      <c r="A174" s="104" t="s">
        <v>2429</v>
      </c>
      <c r="B174" s="105" t="s">
        <v>1029</v>
      </c>
      <c r="C174" s="106" t="s">
        <v>2076</v>
      </c>
      <c r="D174" s="106" t="s">
        <v>2415</v>
      </c>
      <c r="E174" s="71" t="s">
        <v>1045</v>
      </c>
      <c r="F174" s="71" t="s">
        <v>170</v>
      </c>
      <c r="G174" s="109" t="s">
        <v>1046</v>
      </c>
      <c r="H174" s="110"/>
      <c r="I174" s="111">
        <v>251</v>
      </c>
      <c r="J174" s="112"/>
      <c r="K174" s="113">
        <f t="shared" si="26"/>
        <v>251</v>
      </c>
      <c r="L174" s="110">
        <v>38852</v>
      </c>
      <c r="M174" s="111">
        <v>18098</v>
      </c>
      <c r="N174" s="112"/>
      <c r="O174" s="111">
        <v>4310</v>
      </c>
      <c r="P174" s="114">
        <v>9</v>
      </c>
      <c r="Q174" s="111">
        <v>8397</v>
      </c>
      <c r="R174" s="115">
        <v>102264</v>
      </c>
      <c r="S174" s="111">
        <f>ROUND(P174*Q174,0)+R174</f>
        <v>177837</v>
      </c>
      <c r="T174" s="112">
        <v>649690</v>
      </c>
      <c r="U174" s="116">
        <v>33310</v>
      </c>
      <c r="V174" s="111"/>
      <c r="W174" s="113">
        <f t="shared" si="27"/>
        <v>922097</v>
      </c>
      <c r="X174" s="110"/>
      <c r="Y174" s="111"/>
      <c r="Z174" s="116"/>
      <c r="AA174" s="111"/>
      <c r="AB174" s="113">
        <f t="shared" si="31"/>
        <v>0</v>
      </c>
      <c r="AC174" s="110"/>
      <c r="AD174" s="111"/>
      <c r="AE174" s="112"/>
      <c r="AF174" s="117"/>
      <c r="AG174" s="111"/>
      <c r="AH174" s="112"/>
      <c r="AI174" s="112"/>
      <c r="AJ174" s="113">
        <f t="shared" si="32"/>
        <v>0</v>
      </c>
      <c r="AK174" s="143">
        <f t="shared" si="25"/>
        <v>1752483.01</v>
      </c>
      <c r="AL174" s="112">
        <f t="shared" si="25"/>
        <v>1243837.1059999999</v>
      </c>
      <c r="AM174" s="112">
        <f t="shared" si="25"/>
        <v>508645.90399999998</v>
      </c>
      <c r="AN174" s="112">
        <f t="shared" si="25"/>
        <v>50361.033000000003</v>
      </c>
      <c r="AO174" s="230">
        <f t="shared" si="28"/>
        <v>0.70975701270849978</v>
      </c>
      <c r="AP174" s="193">
        <f t="shared" si="34"/>
        <v>972458.03300000005</v>
      </c>
      <c r="AQ174" s="194">
        <f t="shared" si="29"/>
        <v>-972207.03300000005</v>
      </c>
      <c r="AR174" s="118"/>
      <c r="AS174" s="119"/>
      <c r="AT174" s="119"/>
      <c r="AU174" s="120"/>
      <c r="AV174" s="195"/>
      <c r="AW174" s="112">
        <v>1752483010</v>
      </c>
      <c r="AX174" s="162">
        <v>1243837106</v>
      </c>
      <c r="AY174" s="162">
        <v>508645904</v>
      </c>
      <c r="AZ174" s="162">
        <v>50361033</v>
      </c>
      <c r="BA174" s="231">
        <f t="shared" si="33"/>
        <v>0.70975701270849978</v>
      </c>
      <c r="BB174" s="210"/>
      <c r="BC174" s="115"/>
      <c r="BD174" s="236"/>
    </row>
    <row r="175" spans="1:56" s="121" customFormat="1" ht="16.5" customHeight="1">
      <c r="A175" s="104" t="s">
        <v>2429</v>
      </c>
      <c r="B175" s="105" t="s">
        <v>1037</v>
      </c>
      <c r="C175" s="106" t="s">
        <v>2138</v>
      </c>
      <c r="D175" s="106" t="s">
        <v>2415</v>
      </c>
      <c r="E175" s="71" t="s">
        <v>2133</v>
      </c>
      <c r="F175" s="71" t="s">
        <v>2085</v>
      </c>
      <c r="G175" s="109" t="s">
        <v>2452</v>
      </c>
      <c r="H175" s="110"/>
      <c r="I175" s="111">
        <v>173</v>
      </c>
      <c r="J175" s="112"/>
      <c r="K175" s="113">
        <f t="shared" si="26"/>
        <v>173</v>
      </c>
      <c r="L175" s="110">
        <v>34529</v>
      </c>
      <c r="M175" s="111">
        <v>14170</v>
      </c>
      <c r="N175" s="112"/>
      <c r="O175" s="111">
        <v>1928</v>
      </c>
      <c r="P175" s="114">
        <v>2</v>
      </c>
      <c r="Q175" s="111">
        <v>8397</v>
      </c>
      <c r="R175" s="115">
        <v>1752</v>
      </c>
      <c r="S175" s="111">
        <f t="shared" ref="S175:S193" si="35">ROUND(P175*Q175,0)+R175</f>
        <v>18546</v>
      </c>
      <c r="T175" s="112">
        <v>429344</v>
      </c>
      <c r="U175" s="116">
        <v>87</v>
      </c>
      <c r="V175" s="111"/>
      <c r="W175" s="113">
        <f t="shared" si="27"/>
        <v>498604</v>
      </c>
      <c r="X175" s="110"/>
      <c r="Y175" s="111"/>
      <c r="Z175" s="116"/>
      <c r="AA175" s="111"/>
      <c r="AB175" s="113">
        <f t="shared" si="31"/>
        <v>0</v>
      </c>
      <c r="AC175" s="110"/>
      <c r="AD175" s="111"/>
      <c r="AE175" s="112"/>
      <c r="AF175" s="117"/>
      <c r="AG175" s="111"/>
      <c r="AH175" s="112"/>
      <c r="AI175" s="112"/>
      <c r="AJ175" s="113">
        <f t="shared" si="32"/>
        <v>0</v>
      </c>
      <c r="AK175" s="143">
        <f t="shared" si="25"/>
        <v>1826821.0870000001</v>
      </c>
      <c r="AL175" s="112">
        <f t="shared" si="25"/>
        <v>380288.43300000002</v>
      </c>
      <c r="AM175" s="112">
        <f t="shared" si="25"/>
        <v>1446532.6540000001</v>
      </c>
      <c r="AN175" s="112">
        <f t="shared" si="25"/>
        <v>94823.922999999995</v>
      </c>
      <c r="AO175" s="230">
        <f t="shared" si="28"/>
        <v>0.20816950039946633</v>
      </c>
      <c r="AP175" s="193">
        <f t="shared" si="34"/>
        <v>593427.92299999995</v>
      </c>
      <c r="AQ175" s="194">
        <f t="shared" si="29"/>
        <v>-593254.92299999995</v>
      </c>
      <c r="AR175" s="118"/>
      <c r="AS175" s="119"/>
      <c r="AT175" s="119"/>
      <c r="AU175" s="120"/>
      <c r="AV175" s="195"/>
      <c r="AW175" s="112">
        <v>1826821087</v>
      </c>
      <c r="AX175" s="162">
        <v>380288433</v>
      </c>
      <c r="AY175" s="162">
        <v>1446532654</v>
      </c>
      <c r="AZ175" s="162">
        <v>94823923</v>
      </c>
      <c r="BA175" s="231">
        <f t="shared" si="33"/>
        <v>0.20816950039946633</v>
      </c>
      <c r="BB175" s="210"/>
      <c r="BC175" s="115"/>
      <c r="BD175" s="236"/>
    </row>
    <row r="176" spans="1:56" s="121" customFormat="1" ht="16.5" customHeight="1">
      <c r="A176" s="104" t="s">
        <v>2429</v>
      </c>
      <c r="B176" s="105" t="s">
        <v>1043</v>
      </c>
      <c r="C176" s="106" t="s">
        <v>1055</v>
      </c>
      <c r="D176" s="106" t="s">
        <v>2415</v>
      </c>
      <c r="E176" s="71" t="s">
        <v>1056</v>
      </c>
      <c r="F176" s="71" t="s">
        <v>2085</v>
      </c>
      <c r="G176" s="213" t="s">
        <v>2188</v>
      </c>
      <c r="H176" s="110">
        <v>29274</v>
      </c>
      <c r="I176" s="111">
        <v>133</v>
      </c>
      <c r="J176" s="112">
        <v>5657</v>
      </c>
      <c r="K176" s="113">
        <f t="shared" si="26"/>
        <v>35064</v>
      </c>
      <c r="L176" s="110">
        <v>6089</v>
      </c>
      <c r="M176" s="111">
        <f>1211+1106</f>
        <v>2317</v>
      </c>
      <c r="N176" s="112"/>
      <c r="O176" s="117">
        <v>1620</v>
      </c>
      <c r="P176" s="115">
        <v>22</v>
      </c>
      <c r="Q176" s="111">
        <v>8397</v>
      </c>
      <c r="R176" s="115">
        <v>72470</v>
      </c>
      <c r="S176" s="111">
        <f t="shared" si="35"/>
        <v>257204</v>
      </c>
      <c r="T176" s="112">
        <f>15905+28+2315</f>
        <v>18248</v>
      </c>
      <c r="U176" s="144">
        <v>0</v>
      </c>
      <c r="V176" s="111"/>
      <c r="W176" s="113">
        <f t="shared" si="27"/>
        <v>285478</v>
      </c>
      <c r="X176" s="110"/>
      <c r="Y176" s="111"/>
      <c r="Z176" s="116"/>
      <c r="AA176" s="111"/>
      <c r="AB176" s="113">
        <f t="shared" si="31"/>
        <v>0</v>
      </c>
      <c r="AC176" s="110"/>
      <c r="AD176" s="111"/>
      <c r="AE176" s="112"/>
      <c r="AF176" s="117"/>
      <c r="AG176" s="111"/>
      <c r="AH176" s="112"/>
      <c r="AI176" s="112"/>
      <c r="AJ176" s="113">
        <f t="shared" si="32"/>
        <v>0</v>
      </c>
      <c r="AK176" s="143">
        <f t="shared" ref="AK176:AN228" si="36">AW176/1000</f>
        <v>171840.65</v>
      </c>
      <c r="AL176" s="112">
        <f t="shared" si="36"/>
        <v>165413.78899999999</v>
      </c>
      <c r="AM176" s="112">
        <f t="shared" si="36"/>
        <v>6426.8609999999999</v>
      </c>
      <c r="AN176" s="112">
        <f t="shared" si="36"/>
        <v>76.23</v>
      </c>
      <c r="AO176" s="230">
        <f t="shared" si="28"/>
        <v>0.96259987959775528</v>
      </c>
      <c r="AP176" s="193">
        <f t="shared" si="34"/>
        <v>285554.23</v>
      </c>
      <c r="AQ176" s="194">
        <f t="shared" si="29"/>
        <v>-250490.22999999998</v>
      </c>
      <c r="AR176" s="118"/>
      <c r="AS176" s="119"/>
      <c r="AT176" s="119"/>
      <c r="AU176" s="120"/>
      <c r="AV176" s="195"/>
      <c r="AW176" s="112">
        <v>171840650</v>
      </c>
      <c r="AX176" s="162">
        <v>165413789</v>
      </c>
      <c r="AY176" s="162">
        <v>6426861</v>
      </c>
      <c r="AZ176" s="162">
        <v>76230</v>
      </c>
      <c r="BA176" s="231">
        <f t="shared" si="33"/>
        <v>0.96259987959775528</v>
      </c>
      <c r="BB176" s="210">
        <v>56579</v>
      </c>
      <c r="BC176" s="115">
        <v>19259</v>
      </c>
      <c r="BD176" s="236">
        <v>0</v>
      </c>
    </row>
    <row r="177" spans="1:56" s="121" customFormat="1" ht="16.5" customHeight="1">
      <c r="A177" s="104" t="s">
        <v>2429</v>
      </c>
      <c r="B177" s="105" t="s">
        <v>1966</v>
      </c>
      <c r="C177" s="106" t="s">
        <v>1068</v>
      </c>
      <c r="D177" s="106" t="s">
        <v>2415</v>
      </c>
      <c r="E177" s="71" t="s">
        <v>1069</v>
      </c>
      <c r="F177" s="71" t="s">
        <v>2085</v>
      </c>
      <c r="G177" s="213" t="s">
        <v>2188</v>
      </c>
      <c r="H177" s="110">
        <v>17974</v>
      </c>
      <c r="I177" s="111">
        <v>133</v>
      </c>
      <c r="J177" s="112">
        <v>3692</v>
      </c>
      <c r="K177" s="113">
        <f t="shared" si="26"/>
        <v>21799</v>
      </c>
      <c r="L177" s="110">
        <v>3410</v>
      </c>
      <c r="M177" s="111">
        <f>999+564</f>
        <v>1563</v>
      </c>
      <c r="N177" s="112"/>
      <c r="O177" s="117">
        <v>862</v>
      </c>
      <c r="P177" s="115">
        <v>17</v>
      </c>
      <c r="Q177" s="111">
        <v>8397</v>
      </c>
      <c r="R177" s="115">
        <v>54295</v>
      </c>
      <c r="S177" s="111">
        <f t="shared" si="35"/>
        <v>197044</v>
      </c>
      <c r="T177" s="112">
        <f>11050+70+1401</f>
        <v>12521</v>
      </c>
      <c r="U177" s="144">
        <v>0</v>
      </c>
      <c r="V177" s="111"/>
      <c r="W177" s="113">
        <f>SUBTOTAL(9,L177:O177,S177:V177)</f>
        <v>215400</v>
      </c>
      <c r="X177" s="110"/>
      <c r="Y177" s="111"/>
      <c r="Z177" s="116"/>
      <c r="AA177" s="111"/>
      <c r="AB177" s="113">
        <f t="shared" si="31"/>
        <v>0</v>
      </c>
      <c r="AC177" s="110"/>
      <c r="AD177" s="111"/>
      <c r="AE177" s="112"/>
      <c r="AF177" s="117"/>
      <c r="AG177" s="111"/>
      <c r="AH177" s="112"/>
      <c r="AI177" s="112"/>
      <c r="AJ177" s="113">
        <f t="shared" si="32"/>
        <v>0</v>
      </c>
      <c r="AK177" s="143">
        <f t="shared" si="36"/>
        <v>179099.4</v>
      </c>
      <c r="AL177" s="112">
        <f t="shared" si="36"/>
        <v>130130.53599999999</v>
      </c>
      <c r="AM177" s="112">
        <f t="shared" si="36"/>
        <v>48968.864000000001</v>
      </c>
      <c r="AN177" s="112">
        <f t="shared" si="36"/>
        <v>3940.1860000000001</v>
      </c>
      <c r="AO177" s="230">
        <f t="shared" si="28"/>
        <v>0.72658275795452132</v>
      </c>
      <c r="AP177" s="193">
        <f t="shared" si="34"/>
        <v>219340.18599999999</v>
      </c>
      <c r="AQ177" s="194">
        <f t="shared" si="29"/>
        <v>-197541.18599999999</v>
      </c>
      <c r="AR177" s="118"/>
      <c r="AS177" s="119"/>
      <c r="AT177" s="119"/>
      <c r="AU177" s="120"/>
      <c r="AV177" s="195"/>
      <c r="AW177" s="112">
        <v>179099400</v>
      </c>
      <c r="AX177" s="162">
        <v>130130536</v>
      </c>
      <c r="AY177" s="162">
        <v>48968864</v>
      </c>
      <c r="AZ177" s="162">
        <v>3940186</v>
      </c>
      <c r="BA177" s="231">
        <f t="shared" si="33"/>
        <v>0.72658275795452132</v>
      </c>
      <c r="BB177" s="210">
        <v>82568</v>
      </c>
      <c r="BC177" s="115">
        <v>2819</v>
      </c>
      <c r="BD177" s="236">
        <v>0</v>
      </c>
    </row>
    <row r="178" spans="1:56" s="121" customFormat="1" ht="16.5" customHeight="1">
      <c r="A178" s="104" t="s">
        <v>2429</v>
      </c>
      <c r="B178" s="105" t="s">
        <v>1054</v>
      </c>
      <c r="C178" s="106" t="s">
        <v>1071</v>
      </c>
      <c r="D178" s="106" t="s">
        <v>2415</v>
      </c>
      <c r="E178" s="71" t="s">
        <v>1072</v>
      </c>
      <c r="F178" s="71" t="s">
        <v>2085</v>
      </c>
      <c r="G178" s="213" t="s">
        <v>2188</v>
      </c>
      <c r="H178" s="110">
        <v>17649</v>
      </c>
      <c r="I178" s="111">
        <v>65</v>
      </c>
      <c r="J178" s="112">
        <f>7841+5</f>
        <v>7846</v>
      </c>
      <c r="K178" s="113">
        <f t="shared" si="26"/>
        <v>25560</v>
      </c>
      <c r="L178" s="110">
        <v>5090</v>
      </c>
      <c r="M178" s="111">
        <f>2163+599</f>
        <v>2762</v>
      </c>
      <c r="N178" s="112"/>
      <c r="O178" s="117">
        <v>935</v>
      </c>
      <c r="P178" s="115">
        <v>20</v>
      </c>
      <c r="Q178" s="111">
        <v>8397</v>
      </c>
      <c r="R178" s="115">
        <v>58849</v>
      </c>
      <c r="S178" s="111">
        <f t="shared" si="35"/>
        <v>226789</v>
      </c>
      <c r="T178" s="112">
        <f>15817+2275</f>
        <v>18092</v>
      </c>
      <c r="U178" s="144">
        <v>0</v>
      </c>
      <c r="V178" s="111"/>
      <c r="W178" s="113">
        <f>SUBTOTAL(9,L178:O178,S178:V178)</f>
        <v>253668</v>
      </c>
      <c r="X178" s="110"/>
      <c r="Y178" s="111"/>
      <c r="Z178" s="116"/>
      <c r="AA178" s="111"/>
      <c r="AB178" s="113">
        <f t="shared" si="31"/>
        <v>0</v>
      </c>
      <c r="AC178" s="110"/>
      <c r="AD178" s="111"/>
      <c r="AE178" s="112"/>
      <c r="AF178" s="117"/>
      <c r="AG178" s="111"/>
      <c r="AH178" s="112"/>
      <c r="AI178" s="112"/>
      <c r="AJ178" s="113">
        <f t="shared" si="32"/>
        <v>0</v>
      </c>
      <c r="AK178" s="143">
        <f t="shared" si="36"/>
        <v>443194.5</v>
      </c>
      <c r="AL178" s="112">
        <f t="shared" si="36"/>
        <v>137540.772</v>
      </c>
      <c r="AM178" s="112">
        <f t="shared" si="36"/>
        <v>305653.728</v>
      </c>
      <c r="AN178" s="112">
        <f t="shared" si="36"/>
        <v>15282.308000000001</v>
      </c>
      <c r="AO178" s="230">
        <f t="shared" si="28"/>
        <v>0.31033952813042581</v>
      </c>
      <c r="AP178" s="193">
        <f t="shared" si="34"/>
        <v>268950.30800000002</v>
      </c>
      <c r="AQ178" s="194">
        <f t="shared" si="29"/>
        <v>-243390.30800000002</v>
      </c>
      <c r="AR178" s="118"/>
      <c r="AS178" s="119"/>
      <c r="AT178" s="119"/>
      <c r="AU178" s="120"/>
      <c r="AV178" s="195"/>
      <c r="AW178" s="112">
        <v>443194500</v>
      </c>
      <c r="AX178" s="162">
        <v>137540772</v>
      </c>
      <c r="AY178" s="162">
        <v>305653728</v>
      </c>
      <c r="AZ178" s="162">
        <v>15282308</v>
      </c>
      <c r="BA178" s="231">
        <f t="shared" si="33"/>
        <v>0.31033952813042581</v>
      </c>
      <c r="BB178" s="210">
        <v>61268</v>
      </c>
      <c r="BC178" s="115">
        <v>23711</v>
      </c>
      <c r="BD178" s="236">
        <v>0</v>
      </c>
    </row>
    <row r="179" spans="1:56" s="121" customFormat="1" ht="16.5" customHeight="1">
      <c r="A179" s="104" t="s">
        <v>2429</v>
      </c>
      <c r="B179" s="105" t="s">
        <v>1067</v>
      </c>
      <c r="C179" s="106" t="s">
        <v>1077</v>
      </c>
      <c r="D179" s="106" t="s">
        <v>2415</v>
      </c>
      <c r="E179" s="71" t="s">
        <v>1078</v>
      </c>
      <c r="F179" s="71" t="s">
        <v>2085</v>
      </c>
      <c r="G179" s="213" t="s">
        <v>2188</v>
      </c>
      <c r="H179" s="110">
        <v>22918</v>
      </c>
      <c r="I179" s="111">
        <v>133</v>
      </c>
      <c r="J179" s="112">
        <v>7706</v>
      </c>
      <c r="K179" s="113">
        <f t="shared" si="26"/>
        <v>30757</v>
      </c>
      <c r="L179" s="110">
        <v>3940</v>
      </c>
      <c r="M179" s="111">
        <f>1026+1106</f>
        <v>2132</v>
      </c>
      <c r="N179" s="112"/>
      <c r="O179" s="117">
        <v>2057</v>
      </c>
      <c r="P179" s="115">
        <v>22</v>
      </c>
      <c r="Q179" s="111">
        <v>8397</v>
      </c>
      <c r="R179" s="115">
        <v>64979</v>
      </c>
      <c r="S179" s="111">
        <f t="shared" si="35"/>
        <v>249713</v>
      </c>
      <c r="T179" s="112">
        <f>18948+84+2353</f>
        <v>21385</v>
      </c>
      <c r="U179" s="144">
        <v>0</v>
      </c>
      <c r="V179" s="111"/>
      <c r="W179" s="113">
        <f t="shared" si="27"/>
        <v>279227</v>
      </c>
      <c r="X179" s="110"/>
      <c r="Y179" s="111"/>
      <c r="Z179" s="116"/>
      <c r="AA179" s="111"/>
      <c r="AB179" s="113">
        <f t="shared" si="31"/>
        <v>0</v>
      </c>
      <c r="AC179" s="110"/>
      <c r="AD179" s="111"/>
      <c r="AE179" s="112"/>
      <c r="AF179" s="117"/>
      <c r="AG179" s="111"/>
      <c r="AH179" s="112"/>
      <c r="AI179" s="112"/>
      <c r="AJ179" s="113">
        <f t="shared" si="32"/>
        <v>0</v>
      </c>
      <c r="AK179" s="143">
        <f t="shared" si="36"/>
        <v>152216.84599999999</v>
      </c>
      <c r="AL179" s="112">
        <f t="shared" si="36"/>
        <v>113553.85</v>
      </c>
      <c r="AM179" s="112">
        <f t="shared" si="36"/>
        <v>38662.995999999999</v>
      </c>
      <c r="AN179" s="112">
        <f t="shared" si="36"/>
        <v>1682.434</v>
      </c>
      <c r="AO179" s="230">
        <f t="shared" si="28"/>
        <v>0.74600054451266185</v>
      </c>
      <c r="AP179" s="193">
        <f t="shared" si="34"/>
        <v>280909.43400000001</v>
      </c>
      <c r="AQ179" s="194">
        <f t="shared" si="29"/>
        <v>-250152.43400000001</v>
      </c>
      <c r="AR179" s="118"/>
      <c r="AS179" s="119"/>
      <c r="AT179" s="119"/>
      <c r="AU179" s="120"/>
      <c r="AV179" s="195"/>
      <c r="AW179" s="112">
        <v>152216846</v>
      </c>
      <c r="AX179" s="162">
        <v>113553850</v>
      </c>
      <c r="AY179" s="162">
        <v>38662996</v>
      </c>
      <c r="AZ179" s="162">
        <v>1682434</v>
      </c>
      <c r="BA179" s="231">
        <f t="shared" si="33"/>
        <v>0.74600054451266185</v>
      </c>
      <c r="BB179" s="210">
        <v>112556</v>
      </c>
      <c r="BC179" s="115">
        <v>0</v>
      </c>
      <c r="BD179" s="236">
        <v>2177</v>
      </c>
    </row>
    <row r="180" spans="1:56" s="121" customFormat="1" ht="16.5" customHeight="1">
      <c r="A180" s="104" t="s">
        <v>2429</v>
      </c>
      <c r="B180" s="105" t="s">
        <v>181</v>
      </c>
      <c r="C180" s="106" t="s">
        <v>1083</v>
      </c>
      <c r="D180" s="106" t="s">
        <v>2415</v>
      </c>
      <c r="E180" s="71" t="s">
        <v>1084</v>
      </c>
      <c r="F180" s="71" t="s">
        <v>2085</v>
      </c>
      <c r="G180" s="213" t="s">
        <v>2188</v>
      </c>
      <c r="H180" s="110">
        <v>15529</v>
      </c>
      <c r="I180" s="111">
        <v>133</v>
      </c>
      <c r="J180" s="112">
        <v>3596</v>
      </c>
      <c r="K180" s="113">
        <f t="shared" si="26"/>
        <v>19258</v>
      </c>
      <c r="L180" s="110">
        <v>2749</v>
      </c>
      <c r="M180" s="111">
        <f>1166+564</f>
        <v>1730</v>
      </c>
      <c r="N180" s="112"/>
      <c r="O180" s="117">
        <v>421</v>
      </c>
      <c r="P180" s="115">
        <v>17</v>
      </c>
      <c r="Q180" s="111">
        <v>8397</v>
      </c>
      <c r="R180" s="115">
        <v>58646</v>
      </c>
      <c r="S180" s="111">
        <f t="shared" si="35"/>
        <v>201395</v>
      </c>
      <c r="T180" s="112">
        <f>12112+63+1529</f>
        <v>13704</v>
      </c>
      <c r="U180" s="144">
        <v>0</v>
      </c>
      <c r="V180" s="111"/>
      <c r="W180" s="113">
        <f t="shared" si="27"/>
        <v>219999</v>
      </c>
      <c r="X180" s="110"/>
      <c r="Y180" s="111"/>
      <c r="Z180" s="116"/>
      <c r="AA180" s="111"/>
      <c r="AB180" s="113">
        <f t="shared" si="31"/>
        <v>0</v>
      </c>
      <c r="AC180" s="110"/>
      <c r="AD180" s="111"/>
      <c r="AE180" s="112"/>
      <c r="AF180" s="117"/>
      <c r="AG180" s="111"/>
      <c r="AH180" s="112"/>
      <c r="AI180" s="112"/>
      <c r="AJ180" s="113">
        <f t="shared" si="32"/>
        <v>0</v>
      </c>
      <c r="AK180" s="143">
        <f t="shared" si="36"/>
        <v>171984.9</v>
      </c>
      <c r="AL180" s="112">
        <f t="shared" si="36"/>
        <v>164070.89600000001</v>
      </c>
      <c r="AM180" s="112">
        <f t="shared" si="36"/>
        <v>7914.0039999999999</v>
      </c>
      <c r="AN180" s="112">
        <f t="shared" si="36"/>
        <v>621.03300000000002</v>
      </c>
      <c r="AO180" s="230">
        <f t="shared" si="28"/>
        <v>0.95398430908760012</v>
      </c>
      <c r="AP180" s="193">
        <f t="shared" si="34"/>
        <v>220620.033</v>
      </c>
      <c r="AQ180" s="194">
        <f t="shared" si="29"/>
        <v>-201362.033</v>
      </c>
      <c r="AR180" s="118"/>
      <c r="AS180" s="119"/>
      <c r="AT180" s="119"/>
      <c r="AU180" s="120"/>
      <c r="AV180" s="195"/>
      <c r="AW180" s="112">
        <v>171984900</v>
      </c>
      <c r="AX180" s="162">
        <v>164070896</v>
      </c>
      <c r="AY180" s="162">
        <v>7914004</v>
      </c>
      <c r="AZ180" s="162">
        <v>621033</v>
      </c>
      <c r="BA180" s="231">
        <f t="shared" si="33"/>
        <v>0.95398430908760012</v>
      </c>
      <c r="BB180" s="210">
        <v>73812</v>
      </c>
      <c r="BC180" s="115">
        <v>0</v>
      </c>
      <c r="BD180" s="236">
        <v>953</v>
      </c>
    </row>
    <row r="181" spans="1:56" s="121" customFormat="1" ht="16.5" customHeight="1">
      <c r="A181" s="104" t="s">
        <v>2429</v>
      </c>
      <c r="B181" s="105" t="s">
        <v>1076</v>
      </c>
      <c r="C181" s="106" t="s">
        <v>1088</v>
      </c>
      <c r="D181" s="106" t="s">
        <v>2415</v>
      </c>
      <c r="E181" s="71" t="s">
        <v>1089</v>
      </c>
      <c r="F181" s="71" t="s">
        <v>2085</v>
      </c>
      <c r="G181" s="213" t="s">
        <v>2188</v>
      </c>
      <c r="H181" s="110">
        <v>14488</v>
      </c>
      <c r="I181" s="111">
        <v>133</v>
      </c>
      <c r="J181" s="112">
        <v>6815</v>
      </c>
      <c r="K181" s="113">
        <f t="shared" si="26"/>
        <v>21436</v>
      </c>
      <c r="L181" s="110">
        <v>3664</v>
      </c>
      <c r="M181" s="111">
        <f>1842+1106</f>
        <v>2948</v>
      </c>
      <c r="N181" s="112"/>
      <c r="O181" s="117">
        <v>380</v>
      </c>
      <c r="P181" s="115">
        <v>16</v>
      </c>
      <c r="Q181" s="111">
        <v>8397</v>
      </c>
      <c r="R181" s="115">
        <v>55248</v>
      </c>
      <c r="S181" s="111">
        <f t="shared" si="35"/>
        <v>189600</v>
      </c>
      <c r="T181" s="112">
        <f>14721+2049</f>
        <v>16770</v>
      </c>
      <c r="U181" s="144">
        <v>0</v>
      </c>
      <c r="V181" s="111"/>
      <c r="W181" s="113">
        <f t="shared" si="27"/>
        <v>213362</v>
      </c>
      <c r="X181" s="110"/>
      <c r="Y181" s="111"/>
      <c r="Z181" s="116"/>
      <c r="AA181" s="111"/>
      <c r="AB181" s="113">
        <f t="shared" si="31"/>
        <v>0</v>
      </c>
      <c r="AC181" s="110"/>
      <c r="AD181" s="111"/>
      <c r="AE181" s="112"/>
      <c r="AF181" s="117"/>
      <c r="AG181" s="111"/>
      <c r="AH181" s="112"/>
      <c r="AI181" s="112"/>
      <c r="AJ181" s="113">
        <f t="shared" si="32"/>
        <v>0</v>
      </c>
      <c r="AK181" s="143">
        <f t="shared" si="36"/>
        <v>374673.6</v>
      </c>
      <c r="AL181" s="112">
        <f t="shared" si="36"/>
        <v>82521.653999999995</v>
      </c>
      <c r="AM181" s="112">
        <f t="shared" si="36"/>
        <v>292151.946</v>
      </c>
      <c r="AN181" s="112">
        <f t="shared" si="36"/>
        <v>13753.609</v>
      </c>
      <c r="AO181" s="230">
        <f t="shared" si="28"/>
        <v>0.2202494491205145</v>
      </c>
      <c r="AP181" s="193">
        <f t="shared" si="34"/>
        <v>227115.609</v>
      </c>
      <c r="AQ181" s="194">
        <f t="shared" si="29"/>
        <v>-205679.609</v>
      </c>
      <c r="AR181" s="118"/>
      <c r="AS181" s="119"/>
      <c r="AT181" s="119"/>
      <c r="AU181" s="120"/>
      <c r="AV181" s="195"/>
      <c r="AW181" s="112">
        <v>374673600</v>
      </c>
      <c r="AX181" s="162">
        <v>82521654</v>
      </c>
      <c r="AY181" s="162">
        <v>292151946</v>
      </c>
      <c r="AZ181" s="162">
        <v>13753609</v>
      </c>
      <c r="BA181" s="231">
        <f t="shared" si="33"/>
        <v>0.2202494491205145</v>
      </c>
      <c r="BB181" s="210">
        <v>47156</v>
      </c>
      <c r="BC181" s="115">
        <v>14958</v>
      </c>
      <c r="BD181" s="236">
        <v>0</v>
      </c>
    </row>
    <row r="182" spans="1:56" s="121" customFormat="1" ht="16.5" customHeight="1">
      <c r="A182" s="104" t="s">
        <v>2429</v>
      </c>
      <c r="B182" s="105" t="s">
        <v>2546</v>
      </c>
      <c r="C182" s="106" t="s">
        <v>1092</v>
      </c>
      <c r="D182" s="106" t="s">
        <v>2415</v>
      </c>
      <c r="E182" s="71" t="s">
        <v>1093</v>
      </c>
      <c r="F182" s="71" t="s">
        <v>170</v>
      </c>
      <c r="G182" s="150" t="s">
        <v>2188</v>
      </c>
      <c r="H182" s="110">
        <f>495+11</f>
        <v>506</v>
      </c>
      <c r="I182" s="111"/>
      <c r="J182" s="112"/>
      <c r="K182" s="113">
        <f t="shared" si="26"/>
        <v>506</v>
      </c>
      <c r="L182" s="110">
        <v>1155</v>
      </c>
      <c r="M182" s="111">
        <v>623</v>
      </c>
      <c r="N182" s="112"/>
      <c r="O182" s="111">
        <v>2695</v>
      </c>
      <c r="P182" s="115">
        <v>6</v>
      </c>
      <c r="Q182" s="111">
        <v>8397</v>
      </c>
      <c r="R182" s="115">
        <v>16520</v>
      </c>
      <c r="S182" s="111">
        <f t="shared" si="35"/>
        <v>66902</v>
      </c>
      <c r="T182" s="112">
        <f>1653+35+134</f>
        <v>1822</v>
      </c>
      <c r="U182" s="116">
        <v>17</v>
      </c>
      <c r="V182" s="111"/>
      <c r="W182" s="113">
        <f t="shared" si="27"/>
        <v>73214</v>
      </c>
      <c r="X182" s="110"/>
      <c r="Y182" s="111"/>
      <c r="Z182" s="116"/>
      <c r="AA182" s="111"/>
      <c r="AB182" s="113">
        <f t="shared" si="31"/>
        <v>0</v>
      </c>
      <c r="AC182" s="110"/>
      <c r="AD182" s="111"/>
      <c r="AE182" s="112"/>
      <c r="AF182" s="117"/>
      <c r="AG182" s="111"/>
      <c r="AH182" s="112"/>
      <c r="AI182" s="112"/>
      <c r="AJ182" s="113">
        <f t="shared" si="32"/>
        <v>0</v>
      </c>
      <c r="AK182" s="143">
        <f t="shared" si="36"/>
        <v>289785.02100000001</v>
      </c>
      <c r="AL182" s="112">
        <f t="shared" si="36"/>
        <v>170966.486</v>
      </c>
      <c r="AM182" s="112">
        <f t="shared" si="36"/>
        <v>118818.535</v>
      </c>
      <c r="AN182" s="112">
        <f t="shared" si="36"/>
        <v>5912.6719999999996</v>
      </c>
      <c r="AO182" s="230">
        <f t="shared" si="28"/>
        <v>0.58997696088646345</v>
      </c>
      <c r="AP182" s="193">
        <f t="shared" si="34"/>
        <v>79126.672000000006</v>
      </c>
      <c r="AQ182" s="194">
        <f t="shared" si="29"/>
        <v>-78620.672000000006</v>
      </c>
      <c r="AR182" s="118"/>
      <c r="AS182" s="119"/>
      <c r="AT182" s="119"/>
      <c r="AU182" s="120"/>
      <c r="AV182" s="195"/>
      <c r="AW182" s="112">
        <v>289785021</v>
      </c>
      <c r="AX182" s="162">
        <v>170966486</v>
      </c>
      <c r="AY182" s="162">
        <v>118818535</v>
      </c>
      <c r="AZ182" s="162">
        <v>5912672</v>
      </c>
      <c r="BA182" s="231">
        <f t="shared" si="33"/>
        <v>0.58997696088646345</v>
      </c>
      <c r="BB182" s="210">
        <v>11804</v>
      </c>
      <c r="BC182" s="115">
        <v>3064</v>
      </c>
      <c r="BD182" s="236">
        <v>0</v>
      </c>
    </row>
    <row r="183" spans="1:56" s="121" customFormat="1" ht="16.5" customHeight="1">
      <c r="A183" s="104" t="s">
        <v>2429</v>
      </c>
      <c r="B183" s="105" t="s">
        <v>1081</v>
      </c>
      <c r="C183" s="106" t="s">
        <v>1104</v>
      </c>
      <c r="D183" s="106" t="s">
        <v>2415</v>
      </c>
      <c r="E183" s="71" t="s">
        <v>1105</v>
      </c>
      <c r="F183" s="71" t="s">
        <v>170</v>
      </c>
      <c r="G183" s="150" t="s">
        <v>2188</v>
      </c>
      <c r="H183" s="110">
        <f>355+13</f>
        <v>368</v>
      </c>
      <c r="I183" s="111"/>
      <c r="J183" s="112"/>
      <c r="K183" s="113">
        <f t="shared" si="26"/>
        <v>368</v>
      </c>
      <c r="L183" s="110">
        <v>980</v>
      </c>
      <c r="M183" s="111">
        <v>566</v>
      </c>
      <c r="N183" s="112"/>
      <c r="O183" s="111">
        <v>1987</v>
      </c>
      <c r="P183" s="115">
        <v>6</v>
      </c>
      <c r="Q183" s="111">
        <v>8397</v>
      </c>
      <c r="R183" s="115">
        <v>18212</v>
      </c>
      <c r="S183" s="111">
        <f t="shared" si="35"/>
        <v>68594</v>
      </c>
      <c r="T183" s="112">
        <f>1581+134</f>
        <v>1715</v>
      </c>
      <c r="U183" s="116">
        <v>17</v>
      </c>
      <c r="V183" s="111"/>
      <c r="W183" s="113">
        <f t="shared" si="27"/>
        <v>73859</v>
      </c>
      <c r="X183" s="110"/>
      <c r="Y183" s="111"/>
      <c r="Z183" s="116"/>
      <c r="AA183" s="111"/>
      <c r="AB183" s="113">
        <f t="shared" si="31"/>
        <v>0</v>
      </c>
      <c r="AC183" s="110"/>
      <c r="AD183" s="111"/>
      <c r="AE183" s="112"/>
      <c r="AF183" s="117"/>
      <c r="AG183" s="111"/>
      <c r="AH183" s="112"/>
      <c r="AI183" s="112"/>
      <c r="AJ183" s="113">
        <f t="shared" si="32"/>
        <v>0</v>
      </c>
      <c r="AK183" s="143">
        <f t="shared" si="36"/>
        <v>150144.649</v>
      </c>
      <c r="AL183" s="112">
        <f t="shared" si="36"/>
        <v>127335.65700000001</v>
      </c>
      <c r="AM183" s="112">
        <f t="shared" si="36"/>
        <v>22808.991999999998</v>
      </c>
      <c r="AN183" s="112">
        <f t="shared" si="36"/>
        <v>1008.2670000000001</v>
      </c>
      <c r="AO183" s="230">
        <f t="shared" si="28"/>
        <v>0.84808654752657886</v>
      </c>
      <c r="AP183" s="193">
        <f t="shared" si="34"/>
        <v>74867.267000000007</v>
      </c>
      <c r="AQ183" s="194">
        <f t="shared" si="29"/>
        <v>-74499.267000000007</v>
      </c>
      <c r="AR183" s="118"/>
      <c r="AS183" s="119"/>
      <c r="AT183" s="119"/>
      <c r="AU183" s="120"/>
      <c r="AV183" s="195"/>
      <c r="AW183" s="112">
        <v>150144649</v>
      </c>
      <c r="AX183" s="162">
        <v>127335657</v>
      </c>
      <c r="AY183" s="162">
        <v>22808992</v>
      </c>
      <c r="AZ183" s="162">
        <v>1008267</v>
      </c>
      <c r="BA183" s="231">
        <f t="shared" si="33"/>
        <v>0.84808654752657886</v>
      </c>
      <c r="BB183" s="210">
        <v>25144</v>
      </c>
      <c r="BC183" s="115">
        <v>17</v>
      </c>
      <c r="BD183" s="236">
        <v>0</v>
      </c>
    </row>
    <row r="184" spans="1:56" s="121" customFormat="1" ht="16.5" customHeight="1">
      <c r="A184" s="104" t="s">
        <v>2429</v>
      </c>
      <c r="B184" s="105" t="s">
        <v>1082</v>
      </c>
      <c r="C184" s="106" t="s">
        <v>1108</v>
      </c>
      <c r="D184" s="106" t="s">
        <v>2415</v>
      </c>
      <c r="E184" s="71" t="s">
        <v>1109</v>
      </c>
      <c r="F184" s="71" t="s">
        <v>170</v>
      </c>
      <c r="G184" s="150" t="s">
        <v>2188</v>
      </c>
      <c r="H184" s="110">
        <f>417+6</f>
        <v>423</v>
      </c>
      <c r="I184" s="111"/>
      <c r="J184" s="112"/>
      <c r="K184" s="113">
        <f t="shared" si="26"/>
        <v>423</v>
      </c>
      <c r="L184" s="110">
        <v>1073</v>
      </c>
      <c r="M184" s="111">
        <v>401</v>
      </c>
      <c r="N184" s="112"/>
      <c r="O184" s="111">
        <v>871</v>
      </c>
      <c r="P184" s="115">
        <v>4</v>
      </c>
      <c r="Q184" s="111">
        <v>8397</v>
      </c>
      <c r="R184" s="115">
        <v>10236</v>
      </c>
      <c r="S184" s="111">
        <f t="shared" si="35"/>
        <v>43824</v>
      </c>
      <c r="T184" s="112">
        <f>1554+14+134</f>
        <v>1702</v>
      </c>
      <c r="U184" s="116">
        <v>17</v>
      </c>
      <c r="V184" s="111"/>
      <c r="W184" s="113">
        <f t="shared" si="27"/>
        <v>47888</v>
      </c>
      <c r="X184" s="110"/>
      <c r="Y184" s="111"/>
      <c r="Z184" s="116"/>
      <c r="AA184" s="111"/>
      <c r="AB184" s="113">
        <f t="shared" si="31"/>
        <v>0</v>
      </c>
      <c r="AC184" s="110"/>
      <c r="AD184" s="111"/>
      <c r="AE184" s="112"/>
      <c r="AF184" s="117"/>
      <c r="AG184" s="111"/>
      <c r="AH184" s="112"/>
      <c r="AI184" s="112"/>
      <c r="AJ184" s="113">
        <f t="shared" si="32"/>
        <v>0</v>
      </c>
      <c r="AK184" s="143">
        <f t="shared" si="36"/>
        <v>102380.125</v>
      </c>
      <c r="AL184" s="112">
        <f t="shared" si="36"/>
        <v>90079.34</v>
      </c>
      <c r="AM184" s="112">
        <f t="shared" si="36"/>
        <v>12300.785</v>
      </c>
      <c r="AN184" s="112">
        <f t="shared" si="36"/>
        <v>859.42399999999998</v>
      </c>
      <c r="AO184" s="230">
        <f t="shared" si="28"/>
        <v>0.87985182670952977</v>
      </c>
      <c r="AP184" s="193">
        <f t="shared" si="34"/>
        <v>48747.423999999999</v>
      </c>
      <c r="AQ184" s="194">
        <f t="shared" si="29"/>
        <v>-48324.423999999999</v>
      </c>
      <c r="AR184" s="118"/>
      <c r="AS184" s="119"/>
      <c r="AT184" s="119"/>
      <c r="AU184" s="120"/>
      <c r="AV184" s="195"/>
      <c r="AW184" s="112">
        <v>102380125</v>
      </c>
      <c r="AX184" s="162">
        <v>90079340</v>
      </c>
      <c r="AY184" s="162">
        <v>12300785</v>
      </c>
      <c r="AZ184" s="162">
        <v>859424</v>
      </c>
      <c r="BA184" s="231">
        <f t="shared" si="33"/>
        <v>0.87985182670952977</v>
      </c>
      <c r="BB184" s="210">
        <v>35213</v>
      </c>
      <c r="BC184" s="115">
        <v>3</v>
      </c>
      <c r="BD184" s="236">
        <v>0</v>
      </c>
    </row>
    <row r="185" spans="1:56" s="121" customFormat="1" ht="16.5" customHeight="1">
      <c r="A185" s="104" t="s">
        <v>2429</v>
      </c>
      <c r="B185" s="105" t="s">
        <v>1966</v>
      </c>
      <c r="C185" s="106" t="s">
        <v>1113</v>
      </c>
      <c r="D185" s="106" t="s">
        <v>2415</v>
      </c>
      <c r="E185" s="71" t="s">
        <v>1114</v>
      </c>
      <c r="F185" s="71" t="s">
        <v>170</v>
      </c>
      <c r="G185" s="150" t="s">
        <v>2188</v>
      </c>
      <c r="H185" s="110">
        <f>219+8</f>
        <v>227</v>
      </c>
      <c r="I185" s="111"/>
      <c r="J185" s="112"/>
      <c r="K185" s="113">
        <f t="shared" si="26"/>
        <v>227</v>
      </c>
      <c r="L185" s="110">
        <v>1531</v>
      </c>
      <c r="M185" s="111">
        <v>484</v>
      </c>
      <c r="N185" s="112"/>
      <c r="O185" s="111">
        <v>297</v>
      </c>
      <c r="P185" s="115">
        <v>4</v>
      </c>
      <c r="Q185" s="111">
        <v>8397</v>
      </c>
      <c r="R185" s="115">
        <v>11377</v>
      </c>
      <c r="S185" s="111">
        <f t="shared" si="35"/>
        <v>44965</v>
      </c>
      <c r="T185" s="112">
        <f>1410+21+134</f>
        <v>1565</v>
      </c>
      <c r="U185" s="116">
        <v>17</v>
      </c>
      <c r="V185" s="111"/>
      <c r="W185" s="113">
        <f t="shared" si="27"/>
        <v>48859</v>
      </c>
      <c r="X185" s="110"/>
      <c r="Y185" s="111"/>
      <c r="Z185" s="116"/>
      <c r="AA185" s="111"/>
      <c r="AB185" s="113">
        <f t="shared" si="31"/>
        <v>0</v>
      </c>
      <c r="AC185" s="110"/>
      <c r="AD185" s="111"/>
      <c r="AE185" s="112"/>
      <c r="AF185" s="117"/>
      <c r="AG185" s="111"/>
      <c r="AH185" s="112"/>
      <c r="AI185" s="112"/>
      <c r="AJ185" s="113">
        <f t="shared" si="32"/>
        <v>0</v>
      </c>
      <c r="AK185" s="143">
        <f t="shared" si="36"/>
        <v>128270.39999999999</v>
      </c>
      <c r="AL185" s="112">
        <f t="shared" si="36"/>
        <v>123667.61900000001</v>
      </c>
      <c r="AM185" s="112">
        <f t="shared" si="36"/>
        <v>4602.7809999999999</v>
      </c>
      <c r="AN185" s="112">
        <f t="shared" si="36"/>
        <v>129.822</v>
      </c>
      <c r="AO185" s="230">
        <f t="shared" si="28"/>
        <v>0.96411657716823207</v>
      </c>
      <c r="AP185" s="193">
        <f t="shared" si="34"/>
        <v>48988.822</v>
      </c>
      <c r="AQ185" s="194">
        <f t="shared" si="29"/>
        <v>-48761.822</v>
      </c>
      <c r="AR185" s="118"/>
      <c r="AS185" s="119"/>
      <c r="AT185" s="119"/>
      <c r="AU185" s="120"/>
      <c r="AV185" s="195"/>
      <c r="AW185" s="112">
        <v>128270400</v>
      </c>
      <c r="AX185" s="162">
        <v>123667619</v>
      </c>
      <c r="AY185" s="162">
        <v>4602781</v>
      </c>
      <c r="AZ185" s="162">
        <v>129822</v>
      </c>
      <c r="BA185" s="231">
        <f t="shared" si="33"/>
        <v>0.96411657716823207</v>
      </c>
      <c r="BB185" s="210">
        <v>32712</v>
      </c>
      <c r="BC185" s="115">
        <v>22</v>
      </c>
      <c r="BD185" s="236">
        <v>0</v>
      </c>
    </row>
    <row r="186" spans="1:56" s="121" customFormat="1" ht="16.5" customHeight="1">
      <c r="A186" s="104" t="s">
        <v>2429</v>
      </c>
      <c r="B186" s="105" t="s">
        <v>1966</v>
      </c>
      <c r="C186" s="106" t="s">
        <v>1117</v>
      </c>
      <c r="D186" s="106" t="s">
        <v>2415</v>
      </c>
      <c r="E186" s="71" t="s">
        <v>1118</v>
      </c>
      <c r="F186" s="71" t="s">
        <v>170</v>
      </c>
      <c r="G186" s="150" t="s">
        <v>2188</v>
      </c>
      <c r="H186" s="110">
        <f>161+10</f>
        <v>171</v>
      </c>
      <c r="I186" s="111"/>
      <c r="J186" s="112"/>
      <c r="K186" s="113">
        <f t="shared" si="26"/>
        <v>171</v>
      </c>
      <c r="L186" s="110">
        <v>1903</v>
      </c>
      <c r="M186" s="111">
        <v>687</v>
      </c>
      <c r="N186" s="112"/>
      <c r="O186" s="111">
        <v>614</v>
      </c>
      <c r="P186" s="115">
        <v>6</v>
      </c>
      <c r="Q186" s="111">
        <v>8397</v>
      </c>
      <c r="R186" s="115">
        <v>12184</v>
      </c>
      <c r="S186" s="111">
        <f t="shared" si="35"/>
        <v>62566</v>
      </c>
      <c r="T186" s="112">
        <f>1747+66+134</f>
        <v>1947</v>
      </c>
      <c r="U186" s="116">
        <v>17</v>
      </c>
      <c r="V186" s="111"/>
      <c r="W186" s="113">
        <f t="shared" si="27"/>
        <v>67734</v>
      </c>
      <c r="X186" s="110"/>
      <c r="Y186" s="111"/>
      <c r="Z186" s="116"/>
      <c r="AA186" s="111"/>
      <c r="AB186" s="113">
        <f t="shared" si="31"/>
        <v>0</v>
      </c>
      <c r="AC186" s="110"/>
      <c r="AD186" s="111"/>
      <c r="AE186" s="112"/>
      <c r="AF186" s="117"/>
      <c r="AG186" s="111"/>
      <c r="AH186" s="112"/>
      <c r="AI186" s="112"/>
      <c r="AJ186" s="113">
        <f t="shared" si="32"/>
        <v>0</v>
      </c>
      <c r="AK186" s="143">
        <f t="shared" si="36"/>
        <v>167451.95000000001</v>
      </c>
      <c r="AL186" s="112">
        <f t="shared" si="36"/>
        <v>155159.50399999999</v>
      </c>
      <c r="AM186" s="112">
        <f t="shared" si="36"/>
        <v>12292.446</v>
      </c>
      <c r="AN186" s="112">
        <f t="shared" si="36"/>
        <v>409.60700000000003</v>
      </c>
      <c r="AO186" s="230">
        <f t="shared" si="28"/>
        <v>0.92659120422306218</v>
      </c>
      <c r="AP186" s="193">
        <f t="shared" si="34"/>
        <v>68143.607000000004</v>
      </c>
      <c r="AQ186" s="194">
        <f t="shared" si="29"/>
        <v>-67972.607000000004</v>
      </c>
      <c r="AR186" s="118"/>
      <c r="AS186" s="119"/>
      <c r="AT186" s="119"/>
      <c r="AU186" s="120"/>
      <c r="AV186" s="195"/>
      <c r="AW186" s="112">
        <v>167451950</v>
      </c>
      <c r="AX186" s="162">
        <v>155159504</v>
      </c>
      <c r="AY186" s="162">
        <v>12292446</v>
      </c>
      <c r="AZ186" s="162">
        <v>409607</v>
      </c>
      <c r="BA186" s="231">
        <f t="shared" si="33"/>
        <v>0.92659120422306218</v>
      </c>
      <c r="BB186" s="210">
        <v>38667</v>
      </c>
      <c r="BC186" s="115">
        <v>47</v>
      </c>
      <c r="BD186" s="236">
        <v>0</v>
      </c>
    </row>
    <row r="187" spans="1:56" s="121" customFormat="1" ht="16.5" customHeight="1">
      <c r="A187" s="104" t="s">
        <v>2429</v>
      </c>
      <c r="B187" s="105" t="s">
        <v>1087</v>
      </c>
      <c r="C187" s="106" t="s">
        <v>1121</v>
      </c>
      <c r="D187" s="106" t="s">
        <v>2415</v>
      </c>
      <c r="E187" s="71" t="s">
        <v>1122</v>
      </c>
      <c r="F187" s="71" t="s">
        <v>170</v>
      </c>
      <c r="G187" s="150" t="s">
        <v>2188</v>
      </c>
      <c r="H187" s="110">
        <f>640+14</f>
        <v>654</v>
      </c>
      <c r="I187" s="111"/>
      <c r="J187" s="112"/>
      <c r="K187" s="113">
        <f t="shared" si="26"/>
        <v>654</v>
      </c>
      <c r="L187" s="110">
        <v>1323</v>
      </c>
      <c r="M187" s="111">
        <v>1157</v>
      </c>
      <c r="N187" s="112"/>
      <c r="O187" s="111">
        <v>808</v>
      </c>
      <c r="P187" s="115">
        <v>7</v>
      </c>
      <c r="Q187" s="111">
        <v>8397</v>
      </c>
      <c r="R187" s="115">
        <v>7844</v>
      </c>
      <c r="S187" s="111">
        <f t="shared" si="35"/>
        <v>66623</v>
      </c>
      <c r="T187" s="112">
        <f>1765+134</f>
        <v>1899</v>
      </c>
      <c r="U187" s="116">
        <v>17</v>
      </c>
      <c r="V187" s="111"/>
      <c r="W187" s="113">
        <f t="shared" si="27"/>
        <v>71827</v>
      </c>
      <c r="X187" s="110"/>
      <c r="Y187" s="111"/>
      <c r="Z187" s="116"/>
      <c r="AA187" s="111"/>
      <c r="AB187" s="113">
        <f t="shared" si="31"/>
        <v>0</v>
      </c>
      <c r="AC187" s="110"/>
      <c r="AD187" s="111"/>
      <c r="AE187" s="112"/>
      <c r="AF187" s="117"/>
      <c r="AG187" s="111"/>
      <c r="AH187" s="112"/>
      <c r="AI187" s="112"/>
      <c r="AJ187" s="113">
        <f t="shared" si="32"/>
        <v>0</v>
      </c>
      <c r="AK187" s="143">
        <f t="shared" si="36"/>
        <v>189117.709</v>
      </c>
      <c r="AL187" s="112">
        <f t="shared" si="36"/>
        <v>146078.79399999999</v>
      </c>
      <c r="AM187" s="112">
        <f t="shared" si="36"/>
        <v>43038.915000000001</v>
      </c>
      <c r="AN187" s="112">
        <f t="shared" si="36"/>
        <v>5160.1790000000001</v>
      </c>
      <c r="AO187" s="230">
        <f t="shared" si="28"/>
        <v>0.77242260797480367</v>
      </c>
      <c r="AP187" s="193">
        <f t="shared" si="34"/>
        <v>76987.179000000004</v>
      </c>
      <c r="AQ187" s="194">
        <f t="shared" si="29"/>
        <v>-76333.179000000004</v>
      </c>
      <c r="AR187" s="118"/>
      <c r="AS187" s="119"/>
      <c r="AT187" s="119"/>
      <c r="AU187" s="120"/>
      <c r="AV187" s="195"/>
      <c r="AW187" s="112">
        <v>189117709</v>
      </c>
      <c r="AX187" s="162">
        <v>146078794</v>
      </c>
      <c r="AY187" s="162">
        <v>43038915</v>
      </c>
      <c r="AZ187" s="162">
        <v>5160179</v>
      </c>
      <c r="BA187" s="231">
        <f t="shared" si="33"/>
        <v>0.77242260797480367</v>
      </c>
      <c r="BB187" s="210">
        <v>14966</v>
      </c>
      <c r="BC187" s="115">
        <v>3291</v>
      </c>
      <c r="BD187" s="236">
        <v>0</v>
      </c>
    </row>
    <row r="188" spans="1:56" s="121" customFormat="1" ht="16.5" customHeight="1">
      <c r="A188" s="104" t="s">
        <v>2429</v>
      </c>
      <c r="B188" s="105" t="s">
        <v>1091</v>
      </c>
      <c r="C188" s="106" t="s">
        <v>1125</v>
      </c>
      <c r="D188" s="106" t="s">
        <v>2415</v>
      </c>
      <c r="E188" s="71" t="s">
        <v>1126</v>
      </c>
      <c r="F188" s="71" t="s">
        <v>170</v>
      </c>
      <c r="G188" s="150" t="s">
        <v>2188</v>
      </c>
      <c r="H188" s="110">
        <f>189+9</f>
        <v>198</v>
      </c>
      <c r="I188" s="111"/>
      <c r="J188" s="112"/>
      <c r="K188" s="113">
        <f t="shared" si="26"/>
        <v>198</v>
      </c>
      <c r="L188" s="110">
        <v>1463</v>
      </c>
      <c r="M188" s="111">
        <v>794</v>
      </c>
      <c r="N188" s="112"/>
      <c r="O188" s="111">
        <v>1054</v>
      </c>
      <c r="P188" s="115">
        <v>6</v>
      </c>
      <c r="Q188" s="111">
        <v>8397</v>
      </c>
      <c r="R188" s="115">
        <v>10927</v>
      </c>
      <c r="S188" s="111">
        <f t="shared" si="35"/>
        <v>61309</v>
      </c>
      <c r="T188" s="112">
        <f>1651+31+134</f>
        <v>1816</v>
      </c>
      <c r="U188" s="116">
        <v>17</v>
      </c>
      <c r="V188" s="111"/>
      <c r="W188" s="113">
        <f t="shared" si="27"/>
        <v>66453</v>
      </c>
      <c r="X188" s="110"/>
      <c r="Y188" s="111"/>
      <c r="Z188" s="116"/>
      <c r="AA188" s="111"/>
      <c r="AB188" s="113">
        <f t="shared" si="31"/>
        <v>0</v>
      </c>
      <c r="AC188" s="110"/>
      <c r="AD188" s="111"/>
      <c r="AE188" s="112"/>
      <c r="AF188" s="117"/>
      <c r="AG188" s="111"/>
      <c r="AH188" s="112"/>
      <c r="AI188" s="112"/>
      <c r="AJ188" s="113">
        <f t="shared" si="32"/>
        <v>0</v>
      </c>
      <c r="AK188" s="143">
        <f t="shared" si="36"/>
        <v>155127.92000000001</v>
      </c>
      <c r="AL188" s="112">
        <f t="shared" si="36"/>
        <v>127005.406</v>
      </c>
      <c r="AM188" s="112">
        <f t="shared" si="36"/>
        <v>28122.513999999999</v>
      </c>
      <c r="AN188" s="112">
        <f t="shared" si="36"/>
        <v>4147.9560000000001</v>
      </c>
      <c r="AO188" s="230">
        <f t="shared" si="28"/>
        <v>0.81871403935539133</v>
      </c>
      <c r="AP188" s="193">
        <f t="shared" si="34"/>
        <v>70600.956000000006</v>
      </c>
      <c r="AQ188" s="194">
        <f t="shared" si="29"/>
        <v>-70402.956000000006</v>
      </c>
      <c r="AR188" s="118"/>
      <c r="AS188" s="119"/>
      <c r="AT188" s="119"/>
      <c r="AU188" s="120"/>
      <c r="AV188" s="195"/>
      <c r="AW188" s="112">
        <v>155127920</v>
      </c>
      <c r="AX188" s="162">
        <v>127005406</v>
      </c>
      <c r="AY188" s="162">
        <v>28122514</v>
      </c>
      <c r="AZ188" s="162">
        <v>4147956</v>
      </c>
      <c r="BA188" s="231">
        <f t="shared" si="33"/>
        <v>0.81871403935539133</v>
      </c>
      <c r="BB188" s="210">
        <v>40747</v>
      </c>
      <c r="BC188" s="115">
        <v>1</v>
      </c>
      <c r="BD188" s="236">
        <v>0</v>
      </c>
    </row>
    <row r="189" spans="1:56" s="121" customFormat="1" ht="16.5" customHeight="1">
      <c r="A189" s="104" t="s">
        <v>2429</v>
      </c>
      <c r="B189" s="105" t="s">
        <v>1100</v>
      </c>
      <c r="C189" s="106" t="s">
        <v>1129</v>
      </c>
      <c r="D189" s="106" t="s">
        <v>2415</v>
      </c>
      <c r="E189" s="71" t="s">
        <v>1130</v>
      </c>
      <c r="F189" s="71" t="s">
        <v>170</v>
      </c>
      <c r="G189" s="150" t="s">
        <v>2188</v>
      </c>
      <c r="H189" s="110">
        <f>144+14</f>
        <v>158</v>
      </c>
      <c r="I189" s="111"/>
      <c r="J189" s="112"/>
      <c r="K189" s="113">
        <f t="shared" si="26"/>
        <v>158</v>
      </c>
      <c r="L189" s="110">
        <v>1327</v>
      </c>
      <c r="M189" s="111">
        <v>547</v>
      </c>
      <c r="N189" s="112"/>
      <c r="O189" s="111">
        <v>780</v>
      </c>
      <c r="P189" s="115">
        <v>3</v>
      </c>
      <c r="Q189" s="111">
        <v>8397</v>
      </c>
      <c r="R189" s="115">
        <v>13341</v>
      </c>
      <c r="S189" s="111">
        <f t="shared" si="35"/>
        <v>38532</v>
      </c>
      <c r="T189" s="112">
        <f>1755+134</f>
        <v>1889</v>
      </c>
      <c r="U189" s="116">
        <v>27</v>
      </c>
      <c r="V189" s="111"/>
      <c r="W189" s="113">
        <f t="shared" si="27"/>
        <v>43102</v>
      </c>
      <c r="X189" s="110"/>
      <c r="Y189" s="111"/>
      <c r="Z189" s="116"/>
      <c r="AA189" s="111"/>
      <c r="AB189" s="113">
        <f t="shared" si="31"/>
        <v>0</v>
      </c>
      <c r="AC189" s="110"/>
      <c r="AD189" s="111"/>
      <c r="AE189" s="112"/>
      <c r="AF189" s="117"/>
      <c r="AG189" s="111"/>
      <c r="AH189" s="112"/>
      <c r="AI189" s="112"/>
      <c r="AJ189" s="113">
        <f t="shared" si="32"/>
        <v>0</v>
      </c>
      <c r="AK189" s="143">
        <f t="shared" si="36"/>
        <v>101856.414</v>
      </c>
      <c r="AL189" s="112">
        <f t="shared" si="36"/>
        <v>76089.062999999995</v>
      </c>
      <c r="AM189" s="112">
        <f t="shared" si="36"/>
        <v>25767.350999999999</v>
      </c>
      <c r="AN189" s="112">
        <f t="shared" si="36"/>
        <v>1878.2329999999999</v>
      </c>
      <c r="AO189" s="230">
        <f t="shared" si="28"/>
        <v>0.74702279426409024</v>
      </c>
      <c r="AP189" s="193">
        <f t="shared" si="34"/>
        <v>44980.233</v>
      </c>
      <c r="AQ189" s="194">
        <f t="shared" si="29"/>
        <v>-44822.233</v>
      </c>
      <c r="AR189" s="118"/>
      <c r="AS189" s="119"/>
      <c r="AT189" s="119"/>
      <c r="AU189" s="120"/>
      <c r="AV189" s="195"/>
      <c r="AW189" s="112">
        <v>101856414</v>
      </c>
      <c r="AX189" s="162">
        <v>76089063</v>
      </c>
      <c r="AY189" s="162">
        <v>25767351</v>
      </c>
      <c r="AZ189" s="162">
        <v>1878233</v>
      </c>
      <c r="BA189" s="231">
        <f t="shared" si="33"/>
        <v>0.74702279426409024</v>
      </c>
      <c r="BB189" s="210">
        <v>36218</v>
      </c>
      <c r="BC189" s="115">
        <v>0</v>
      </c>
      <c r="BD189" s="236">
        <v>0</v>
      </c>
    </row>
    <row r="190" spans="1:56" s="121" customFormat="1" ht="16.5" customHeight="1">
      <c r="A190" s="104" t="s">
        <v>2429</v>
      </c>
      <c r="B190" s="105" t="s">
        <v>1101</v>
      </c>
      <c r="C190" s="152" t="s">
        <v>2094</v>
      </c>
      <c r="D190" s="106" t="s">
        <v>2415</v>
      </c>
      <c r="E190" s="153" t="s">
        <v>2140</v>
      </c>
      <c r="F190" s="71" t="s">
        <v>170</v>
      </c>
      <c r="G190" s="150" t="s">
        <v>2188</v>
      </c>
      <c r="H190" s="110">
        <v>32696</v>
      </c>
      <c r="I190" s="111">
        <v>65</v>
      </c>
      <c r="J190" s="112">
        <v>12430</v>
      </c>
      <c r="K190" s="113">
        <f t="shared" si="26"/>
        <v>45191</v>
      </c>
      <c r="L190" s="110">
        <v>8066</v>
      </c>
      <c r="M190" s="111">
        <f>2255+599</f>
        <v>2854</v>
      </c>
      <c r="N190" s="112"/>
      <c r="O190" s="117">
        <v>332</v>
      </c>
      <c r="P190" s="115">
        <v>30</v>
      </c>
      <c r="Q190" s="111">
        <v>8397</v>
      </c>
      <c r="R190" s="115">
        <v>73491</v>
      </c>
      <c r="S190" s="111">
        <f t="shared" si="35"/>
        <v>325401</v>
      </c>
      <c r="T190" s="112">
        <f>24565+2023</f>
        <v>26588</v>
      </c>
      <c r="U190" s="116">
        <v>0</v>
      </c>
      <c r="V190" s="111"/>
      <c r="W190" s="113">
        <f t="shared" si="27"/>
        <v>363241</v>
      </c>
      <c r="X190" s="110"/>
      <c r="Y190" s="111"/>
      <c r="Z190" s="116"/>
      <c r="AA190" s="111"/>
      <c r="AB190" s="113">
        <f t="shared" si="31"/>
        <v>0</v>
      </c>
      <c r="AC190" s="110"/>
      <c r="AD190" s="111"/>
      <c r="AE190" s="112"/>
      <c r="AF190" s="117"/>
      <c r="AG190" s="111"/>
      <c r="AH190" s="112"/>
      <c r="AI190" s="112"/>
      <c r="AJ190" s="113">
        <f t="shared" si="32"/>
        <v>0</v>
      </c>
      <c r="AK190" s="143">
        <f t="shared" si="36"/>
        <v>1151273.7009999999</v>
      </c>
      <c r="AL190" s="112">
        <f t="shared" si="36"/>
        <v>77989.063999999998</v>
      </c>
      <c r="AM190" s="112">
        <f t="shared" si="36"/>
        <v>1073284.6370000001</v>
      </c>
      <c r="AN190" s="112">
        <f t="shared" si="36"/>
        <v>38994.531999999999</v>
      </c>
      <c r="AO190" s="230">
        <f t="shared" si="28"/>
        <v>6.7741549148789257E-2</v>
      </c>
      <c r="AP190" s="193">
        <f t="shared" si="34"/>
        <v>402235.53200000001</v>
      </c>
      <c r="AQ190" s="194">
        <f t="shared" si="29"/>
        <v>-357044.53200000001</v>
      </c>
      <c r="AR190" s="118"/>
      <c r="AS190" s="119"/>
      <c r="AT190" s="119"/>
      <c r="AU190" s="120"/>
      <c r="AV190" s="195"/>
      <c r="AW190" s="112">
        <v>1151273701</v>
      </c>
      <c r="AX190" s="162">
        <v>77989064</v>
      </c>
      <c r="AY190" s="162">
        <v>1073284637</v>
      </c>
      <c r="AZ190" s="162">
        <v>38994532</v>
      </c>
      <c r="BA190" s="231">
        <f t="shared" si="33"/>
        <v>6.7741549148789257E-2</v>
      </c>
      <c r="BB190" s="210">
        <v>162801</v>
      </c>
      <c r="BC190" s="115">
        <v>23909</v>
      </c>
      <c r="BD190" s="236">
        <v>0</v>
      </c>
    </row>
    <row r="191" spans="1:56" s="121" customFormat="1" ht="16.5" customHeight="1">
      <c r="A191" s="104" t="s">
        <v>2429</v>
      </c>
      <c r="B191" s="105" t="s">
        <v>1102</v>
      </c>
      <c r="C191" s="152" t="s">
        <v>2095</v>
      </c>
      <c r="D191" s="106" t="s">
        <v>2415</v>
      </c>
      <c r="E191" s="153" t="s">
        <v>2139</v>
      </c>
      <c r="F191" s="71" t="s">
        <v>170</v>
      </c>
      <c r="G191" s="150" t="s">
        <v>2188</v>
      </c>
      <c r="H191" s="110">
        <v>7911</v>
      </c>
      <c r="I191" s="111">
        <v>65</v>
      </c>
      <c r="J191" s="112">
        <v>7495</v>
      </c>
      <c r="K191" s="113">
        <f t="shared" si="26"/>
        <v>15471</v>
      </c>
      <c r="L191" s="110">
        <v>7994</v>
      </c>
      <c r="M191" s="111">
        <f>2260+599</f>
        <v>2859</v>
      </c>
      <c r="N191" s="112">
        <v>864</v>
      </c>
      <c r="O191" s="117">
        <v>79</v>
      </c>
      <c r="P191" s="115">
        <v>23</v>
      </c>
      <c r="Q191" s="111">
        <v>8397</v>
      </c>
      <c r="R191" s="115">
        <v>56661</v>
      </c>
      <c r="S191" s="111">
        <f t="shared" si="35"/>
        <v>249792</v>
      </c>
      <c r="T191" s="112">
        <f>14345+1837</f>
        <v>16182</v>
      </c>
      <c r="U191" s="116">
        <v>21</v>
      </c>
      <c r="V191" s="111"/>
      <c r="W191" s="113">
        <f t="shared" si="27"/>
        <v>277791</v>
      </c>
      <c r="X191" s="110"/>
      <c r="Y191" s="111"/>
      <c r="Z191" s="116"/>
      <c r="AA191" s="111"/>
      <c r="AB191" s="113">
        <f t="shared" si="31"/>
        <v>0</v>
      </c>
      <c r="AC191" s="110"/>
      <c r="AD191" s="111"/>
      <c r="AE191" s="112"/>
      <c r="AF191" s="117"/>
      <c r="AG191" s="111"/>
      <c r="AH191" s="112"/>
      <c r="AI191" s="112"/>
      <c r="AJ191" s="113">
        <f t="shared" si="32"/>
        <v>0</v>
      </c>
      <c r="AK191" s="143">
        <f t="shared" si="36"/>
        <v>908998.39500000002</v>
      </c>
      <c r="AL191" s="112">
        <f t="shared" si="36"/>
        <v>127127.38400000001</v>
      </c>
      <c r="AM191" s="112">
        <f t="shared" si="36"/>
        <v>781871.01100000006</v>
      </c>
      <c r="AN191" s="112">
        <f t="shared" si="36"/>
        <v>63563.692000000003</v>
      </c>
      <c r="AO191" s="230">
        <f t="shared" si="28"/>
        <v>0.13985435474833816</v>
      </c>
      <c r="AP191" s="193">
        <f t="shared" si="34"/>
        <v>341354.69199999998</v>
      </c>
      <c r="AQ191" s="194">
        <f t="shared" si="29"/>
        <v>-325883.69199999998</v>
      </c>
      <c r="AR191" s="118"/>
      <c r="AS191" s="119"/>
      <c r="AT191" s="119"/>
      <c r="AU191" s="120"/>
      <c r="AV191" s="195"/>
      <c r="AW191" s="112">
        <v>908998395</v>
      </c>
      <c r="AX191" s="162">
        <v>127127384</v>
      </c>
      <c r="AY191" s="162">
        <v>781871011</v>
      </c>
      <c r="AZ191" s="162">
        <v>63563692</v>
      </c>
      <c r="BA191" s="231">
        <f t="shared" si="33"/>
        <v>0.13985435474833816</v>
      </c>
      <c r="BB191" s="210">
        <v>148566</v>
      </c>
      <c r="BC191" s="115">
        <v>31579</v>
      </c>
      <c r="BD191" s="236">
        <v>0</v>
      </c>
    </row>
    <row r="192" spans="1:56" s="121" customFormat="1" ht="16.5" customHeight="1">
      <c r="A192" s="104" t="s">
        <v>2429</v>
      </c>
      <c r="B192" s="105" t="s">
        <v>126</v>
      </c>
      <c r="C192" s="152" t="s">
        <v>2096</v>
      </c>
      <c r="D192" s="106" t="s">
        <v>2415</v>
      </c>
      <c r="E192" s="153" t="s">
        <v>2427</v>
      </c>
      <c r="F192" s="71" t="s">
        <v>170</v>
      </c>
      <c r="G192" s="150" t="s">
        <v>2188</v>
      </c>
      <c r="H192" s="110">
        <v>16938</v>
      </c>
      <c r="I192" s="111">
        <v>133</v>
      </c>
      <c r="J192" s="112">
        <v>5521</v>
      </c>
      <c r="K192" s="113">
        <f t="shared" si="26"/>
        <v>22592</v>
      </c>
      <c r="L192" s="110">
        <v>3998</v>
      </c>
      <c r="M192" s="111">
        <f>1287+1106</f>
        <v>2393</v>
      </c>
      <c r="N192" s="112"/>
      <c r="O192" s="117">
        <v>83</v>
      </c>
      <c r="P192" s="115">
        <v>16</v>
      </c>
      <c r="Q192" s="111">
        <v>8397</v>
      </c>
      <c r="R192" s="115">
        <v>43990</v>
      </c>
      <c r="S192" s="111">
        <f t="shared" si="35"/>
        <v>178342</v>
      </c>
      <c r="T192" s="112">
        <f>13454+2036</f>
        <v>15490</v>
      </c>
      <c r="U192" s="116">
        <v>0</v>
      </c>
      <c r="V192" s="111"/>
      <c r="W192" s="113">
        <f t="shared" si="27"/>
        <v>200306</v>
      </c>
      <c r="X192" s="110"/>
      <c r="Y192" s="111"/>
      <c r="Z192" s="116"/>
      <c r="AA192" s="111"/>
      <c r="AB192" s="113">
        <f t="shared" si="31"/>
        <v>0</v>
      </c>
      <c r="AC192" s="110"/>
      <c r="AD192" s="111"/>
      <c r="AE192" s="112"/>
      <c r="AF192" s="117"/>
      <c r="AG192" s="111"/>
      <c r="AH192" s="112"/>
      <c r="AI192" s="112"/>
      <c r="AJ192" s="113">
        <f t="shared" si="32"/>
        <v>0</v>
      </c>
      <c r="AK192" s="143">
        <f t="shared" si="36"/>
        <v>431049.81300000002</v>
      </c>
      <c r="AL192" s="112">
        <f t="shared" si="36"/>
        <v>31407.93</v>
      </c>
      <c r="AM192" s="112">
        <f t="shared" si="36"/>
        <v>399641.88299999997</v>
      </c>
      <c r="AN192" s="112">
        <f t="shared" si="36"/>
        <v>15703.965</v>
      </c>
      <c r="AO192" s="230">
        <f t="shared" si="28"/>
        <v>7.2863806114213531E-2</v>
      </c>
      <c r="AP192" s="193">
        <f t="shared" si="34"/>
        <v>216009.965</v>
      </c>
      <c r="AQ192" s="194">
        <f t="shared" si="29"/>
        <v>-193417.965</v>
      </c>
      <c r="AR192" s="118"/>
      <c r="AS192" s="119"/>
      <c r="AT192" s="119"/>
      <c r="AU192" s="120"/>
      <c r="AV192" s="195"/>
      <c r="AW192" s="112">
        <v>431049813</v>
      </c>
      <c r="AX192" s="162">
        <v>31407930</v>
      </c>
      <c r="AY192" s="162">
        <v>399641883</v>
      </c>
      <c r="AZ192" s="162">
        <v>15703965</v>
      </c>
      <c r="BA192" s="231">
        <f t="shared" si="33"/>
        <v>7.2863806114213531E-2</v>
      </c>
      <c r="BB192" s="210">
        <v>53863</v>
      </c>
      <c r="BC192" s="115">
        <v>14612</v>
      </c>
      <c r="BD192" s="236">
        <v>0</v>
      </c>
    </row>
    <row r="193" spans="1:56" s="121" customFormat="1" ht="16.5" customHeight="1">
      <c r="A193" s="104" t="s">
        <v>2429</v>
      </c>
      <c r="B193" s="105" t="s">
        <v>2547</v>
      </c>
      <c r="C193" s="152" t="s">
        <v>2543</v>
      </c>
      <c r="D193" s="106" t="s">
        <v>2415</v>
      </c>
      <c r="E193" s="153" t="s">
        <v>2501</v>
      </c>
      <c r="F193" s="71" t="s">
        <v>170</v>
      </c>
      <c r="G193" s="150" t="s">
        <v>2188</v>
      </c>
      <c r="H193" s="110"/>
      <c r="I193" s="111"/>
      <c r="J193" s="112"/>
      <c r="K193" s="113">
        <f t="shared" si="26"/>
        <v>0</v>
      </c>
      <c r="L193" s="110"/>
      <c r="M193" s="111"/>
      <c r="N193" s="112"/>
      <c r="O193" s="117"/>
      <c r="P193" s="115"/>
      <c r="Q193" s="111"/>
      <c r="R193" s="115"/>
      <c r="S193" s="111">
        <f t="shared" si="35"/>
        <v>0</v>
      </c>
      <c r="T193" s="112"/>
      <c r="U193" s="116"/>
      <c r="V193" s="111"/>
      <c r="W193" s="113">
        <f t="shared" si="27"/>
        <v>0</v>
      </c>
      <c r="X193" s="110"/>
      <c r="Y193" s="111"/>
      <c r="Z193" s="116"/>
      <c r="AA193" s="111"/>
      <c r="AB193" s="113">
        <f t="shared" si="31"/>
        <v>0</v>
      </c>
      <c r="AC193" s="110"/>
      <c r="AD193" s="111"/>
      <c r="AE193" s="112"/>
      <c r="AF193" s="117"/>
      <c r="AG193" s="111"/>
      <c r="AH193" s="112"/>
      <c r="AI193" s="112"/>
      <c r="AJ193" s="113">
        <f t="shared" si="32"/>
        <v>0</v>
      </c>
      <c r="AK193" s="143">
        <f t="shared" si="36"/>
        <v>1035225.42</v>
      </c>
      <c r="AL193" s="112">
        <f t="shared" si="36"/>
        <v>0</v>
      </c>
      <c r="AM193" s="112">
        <f t="shared" si="36"/>
        <v>1035225.42</v>
      </c>
      <c r="AN193" s="112">
        <f t="shared" si="36"/>
        <v>0</v>
      </c>
      <c r="AO193" s="230">
        <f t="shared" si="28"/>
        <v>0</v>
      </c>
      <c r="AP193" s="193">
        <f t="shared" si="34"/>
        <v>0</v>
      </c>
      <c r="AQ193" s="194">
        <f t="shared" si="29"/>
        <v>0</v>
      </c>
      <c r="AR193" s="118"/>
      <c r="AS193" s="119"/>
      <c r="AT193" s="119"/>
      <c r="AU193" s="120"/>
      <c r="AV193" s="195"/>
      <c r="AW193" s="112">
        <v>1035225420</v>
      </c>
      <c r="AX193" s="162">
        <v>0</v>
      </c>
      <c r="AY193" s="162">
        <v>1035225420</v>
      </c>
      <c r="AZ193" s="162">
        <v>0</v>
      </c>
      <c r="BA193" s="231">
        <f t="shared" si="33"/>
        <v>0</v>
      </c>
      <c r="BB193" s="210"/>
      <c r="BC193" s="115"/>
      <c r="BD193" s="236"/>
    </row>
    <row r="194" spans="1:56" s="121" customFormat="1" ht="16.5" customHeight="1">
      <c r="A194" s="104" t="s">
        <v>2429</v>
      </c>
      <c r="B194" s="105" t="s">
        <v>1103</v>
      </c>
      <c r="C194" s="106" t="s">
        <v>1133</v>
      </c>
      <c r="D194" s="106" t="s">
        <v>2415</v>
      </c>
      <c r="E194" s="71" t="s">
        <v>1134</v>
      </c>
      <c r="F194" s="71" t="s">
        <v>139</v>
      </c>
      <c r="G194" s="109" t="s">
        <v>1135</v>
      </c>
      <c r="H194" s="110">
        <v>0</v>
      </c>
      <c r="I194" s="112">
        <v>0</v>
      </c>
      <c r="J194" s="112">
        <v>0</v>
      </c>
      <c r="K194" s="113">
        <f t="shared" si="26"/>
        <v>0</v>
      </c>
      <c r="L194" s="210">
        <v>0</v>
      </c>
      <c r="M194" s="115">
        <v>0</v>
      </c>
      <c r="N194" s="115">
        <v>0</v>
      </c>
      <c r="O194" s="115">
        <v>671</v>
      </c>
      <c r="P194" s="122">
        <v>0.4</v>
      </c>
      <c r="Q194" s="111">
        <v>8397</v>
      </c>
      <c r="R194" s="112">
        <v>0</v>
      </c>
      <c r="S194" s="111">
        <f t="shared" si="30"/>
        <v>3359</v>
      </c>
      <c r="T194" s="115">
        <v>0</v>
      </c>
      <c r="U194" s="144">
        <v>0</v>
      </c>
      <c r="V194" s="111">
        <v>24683</v>
      </c>
      <c r="W194" s="113">
        <f t="shared" si="27"/>
        <v>28713</v>
      </c>
      <c r="X194" s="110">
        <v>0</v>
      </c>
      <c r="Y194" s="111">
        <v>0</v>
      </c>
      <c r="Z194" s="116">
        <v>0</v>
      </c>
      <c r="AA194" s="111">
        <v>24683</v>
      </c>
      <c r="AB194" s="113">
        <f t="shared" si="31"/>
        <v>24683</v>
      </c>
      <c r="AC194" s="110">
        <v>5183</v>
      </c>
      <c r="AD194" s="111">
        <v>9834</v>
      </c>
      <c r="AE194" s="112">
        <v>0</v>
      </c>
      <c r="AF194" s="117">
        <v>279</v>
      </c>
      <c r="AG194" s="111">
        <v>8119</v>
      </c>
      <c r="AH194" s="112">
        <v>1747</v>
      </c>
      <c r="AI194" s="112">
        <v>113</v>
      </c>
      <c r="AJ194" s="113">
        <f t="shared" si="32"/>
        <v>25275</v>
      </c>
      <c r="AK194" s="143">
        <f t="shared" si="36"/>
        <v>570874.5</v>
      </c>
      <c r="AL194" s="112">
        <f t="shared" si="36"/>
        <v>228349.8</v>
      </c>
      <c r="AM194" s="112">
        <f t="shared" si="36"/>
        <v>342524.7</v>
      </c>
      <c r="AN194" s="112">
        <f t="shared" si="36"/>
        <v>11417.49</v>
      </c>
      <c r="AO194" s="230">
        <f t="shared" si="28"/>
        <v>0.4</v>
      </c>
      <c r="AP194" s="193">
        <f t="shared" si="34"/>
        <v>40130.49</v>
      </c>
      <c r="AQ194" s="194">
        <f t="shared" si="29"/>
        <v>-40130.49</v>
      </c>
      <c r="AR194" s="118"/>
      <c r="AS194" s="119"/>
      <c r="AT194" s="119"/>
      <c r="AU194" s="120"/>
      <c r="AV194" s="195"/>
      <c r="AW194" s="112">
        <v>570874500</v>
      </c>
      <c r="AX194" s="162">
        <v>228349800</v>
      </c>
      <c r="AY194" s="162">
        <v>342524700</v>
      </c>
      <c r="AZ194" s="162">
        <v>11417490</v>
      </c>
      <c r="BA194" s="231">
        <f t="shared" si="33"/>
        <v>0.4</v>
      </c>
      <c r="BB194" s="210">
        <v>107821</v>
      </c>
      <c r="BC194" s="115">
        <v>19900</v>
      </c>
      <c r="BD194" s="236">
        <v>0</v>
      </c>
    </row>
    <row r="195" spans="1:56" s="121" customFormat="1" ht="16.5" customHeight="1">
      <c r="A195" s="104" t="s">
        <v>2429</v>
      </c>
      <c r="B195" s="105" t="s">
        <v>80</v>
      </c>
      <c r="C195" s="106" t="s">
        <v>1146</v>
      </c>
      <c r="D195" s="106" t="s">
        <v>2415</v>
      </c>
      <c r="E195" s="71" t="s">
        <v>1147</v>
      </c>
      <c r="F195" s="71" t="s">
        <v>139</v>
      </c>
      <c r="G195" s="109" t="s">
        <v>1135</v>
      </c>
      <c r="H195" s="110">
        <v>0</v>
      </c>
      <c r="I195" s="112">
        <v>0</v>
      </c>
      <c r="J195" s="112">
        <v>0</v>
      </c>
      <c r="K195" s="113">
        <f t="shared" si="26"/>
        <v>0</v>
      </c>
      <c r="L195" s="210">
        <v>0</v>
      </c>
      <c r="M195" s="115">
        <v>0</v>
      </c>
      <c r="N195" s="115">
        <v>0</v>
      </c>
      <c r="O195" s="115">
        <v>1597</v>
      </c>
      <c r="P195" s="122">
        <v>0.3</v>
      </c>
      <c r="Q195" s="111">
        <v>8397</v>
      </c>
      <c r="R195" s="112">
        <v>0</v>
      </c>
      <c r="S195" s="111">
        <f t="shared" si="30"/>
        <v>2519</v>
      </c>
      <c r="T195" s="115">
        <v>0</v>
      </c>
      <c r="U195" s="144">
        <v>0</v>
      </c>
      <c r="V195" s="111">
        <v>56321</v>
      </c>
      <c r="W195" s="113">
        <f t="shared" si="27"/>
        <v>60437</v>
      </c>
      <c r="X195" s="110">
        <v>328</v>
      </c>
      <c r="Y195" s="111">
        <v>1425</v>
      </c>
      <c r="Z195" s="116">
        <v>148</v>
      </c>
      <c r="AA195" s="111">
        <v>56321</v>
      </c>
      <c r="AB195" s="113">
        <f t="shared" si="31"/>
        <v>58222</v>
      </c>
      <c r="AC195" s="110">
        <v>7011</v>
      </c>
      <c r="AD195" s="111">
        <v>20019</v>
      </c>
      <c r="AE195" s="112">
        <v>0</v>
      </c>
      <c r="AF195" s="117">
        <v>1389</v>
      </c>
      <c r="AG195" s="111">
        <v>20240</v>
      </c>
      <c r="AH195" s="112">
        <v>1936</v>
      </c>
      <c r="AI195" s="112">
        <v>3060</v>
      </c>
      <c r="AJ195" s="113">
        <f t="shared" si="32"/>
        <v>53655</v>
      </c>
      <c r="AK195" s="143">
        <f t="shared" si="36"/>
        <v>983773.69</v>
      </c>
      <c r="AL195" s="112">
        <f t="shared" si="36"/>
        <v>618050.34699999995</v>
      </c>
      <c r="AM195" s="112">
        <f t="shared" si="36"/>
        <v>365723.34299999999</v>
      </c>
      <c r="AN195" s="112">
        <f t="shared" si="36"/>
        <v>21969.3</v>
      </c>
      <c r="AO195" s="230">
        <f t="shared" si="28"/>
        <v>0.62824443597388746</v>
      </c>
      <c r="AP195" s="193">
        <f t="shared" si="34"/>
        <v>82406.3</v>
      </c>
      <c r="AQ195" s="194">
        <f t="shared" si="29"/>
        <v>-82406.3</v>
      </c>
      <c r="AR195" s="118"/>
      <c r="AS195" s="119"/>
      <c r="AT195" s="119"/>
      <c r="AU195" s="120"/>
      <c r="AV195" s="195"/>
      <c r="AW195" s="112">
        <v>983773690</v>
      </c>
      <c r="AX195" s="162">
        <v>618050347</v>
      </c>
      <c r="AY195" s="162">
        <v>365723343</v>
      </c>
      <c r="AZ195" s="162">
        <v>21969300</v>
      </c>
      <c r="BA195" s="231">
        <f t="shared" si="33"/>
        <v>0.62824443597388746</v>
      </c>
      <c r="BB195" s="210">
        <v>277460</v>
      </c>
      <c r="BC195" s="115">
        <v>346</v>
      </c>
      <c r="BD195" s="236">
        <v>0</v>
      </c>
    </row>
    <row r="196" spans="1:56" s="121" customFormat="1" ht="16.5" customHeight="1">
      <c r="A196" s="104" t="s">
        <v>2429</v>
      </c>
      <c r="B196" s="105" t="s">
        <v>1107</v>
      </c>
      <c r="C196" s="106" t="s">
        <v>1156</v>
      </c>
      <c r="D196" s="106" t="s">
        <v>2415</v>
      </c>
      <c r="E196" s="71" t="s">
        <v>1157</v>
      </c>
      <c r="F196" s="71" t="s">
        <v>139</v>
      </c>
      <c r="G196" s="109" t="s">
        <v>1135</v>
      </c>
      <c r="H196" s="110">
        <v>0</v>
      </c>
      <c r="I196" s="111">
        <v>0</v>
      </c>
      <c r="J196" s="112">
        <v>0</v>
      </c>
      <c r="K196" s="113">
        <f t="shared" ref="K196:K259" si="37">SUBTOTAL(9,H196:J196)</f>
        <v>0</v>
      </c>
      <c r="L196" s="210">
        <v>0</v>
      </c>
      <c r="M196" s="115">
        <v>0</v>
      </c>
      <c r="N196" s="115">
        <v>0</v>
      </c>
      <c r="O196" s="115">
        <v>485</v>
      </c>
      <c r="P196" s="122">
        <v>0.2</v>
      </c>
      <c r="Q196" s="111">
        <v>8397</v>
      </c>
      <c r="R196" s="112">
        <v>0</v>
      </c>
      <c r="S196" s="111">
        <f t="shared" si="30"/>
        <v>1679</v>
      </c>
      <c r="T196" s="115">
        <v>0</v>
      </c>
      <c r="U196" s="144">
        <v>0</v>
      </c>
      <c r="V196" s="111">
        <v>31604</v>
      </c>
      <c r="W196" s="113">
        <f t="shared" ref="W196:W258" si="38">SUBTOTAL(9,L196:O196,S196:V196)</f>
        <v>33768</v>
      </c>
      <c r="X196" s="110">
        <v>97</v>
      </c>
      <c r="Y196" s="111">
        <v>2830</v>
      </c>
      <c r="Z196" s="116">
        <v>126</v>
      </c>
      <c r="AA196" s="111">
        <v>31604</v>
      </c>
      <c r="AB196" s="113">
        <f t="shared" si="31"/>
        <v>34657</v>
      </c>
      <c r="AC196" s="110">
        <v>5451</v>
      </c>
      <c r="AD196" s="111">
        <v>2013</v>
      </c>
      <c r="AE196" s="112">
        <v>0</v>
      </c>
      <c r="AF196" s="117">
        <v>489</v>
      </c>
      <c r="AG196" s="111">
        <v>20256</v>
      </c>
      <c r="AH196" s="112">
        <v>5135</v>
      </c>
      <c r="AI196" s="112">
        <v>1312</v>
      </c>
      <c r="AJ196" s="113">
        <f t="shared" si="32"/>
        <v>34656</v>
      </c>
      <c r="AK196" s="143">
        <f t="shared" si="36"/>
        <v>349755</v>
      </c>
      <c r="AL196" s="112">
        <f t="shared" si="36"/>
        <v>160887.29999999999</v>
      </c>
      <c r="AM196" s="112">
        <f t="shared" si="36"/>
        <v>188867.7</v>
      </c>
      <c r="AN196" s="112">
        <f t="shared" si="36"/>
        <v>6995.1</v>
      </c>
      <c r="AO196" s="230">
        <f t="shared" ref="AO196:AO259" si="39">BA196</f>
        <v>0.46</v>
      </c>
      <c r="AP196" s="193">
        <f t="shared" si="34"/>
        <v>40763.1</v>
      </c>
      <c r="AQ196" s="194">
        <f t="shared" ref="AQ196:AQ259" si="40">K196-AP196</f>
        <v>-40763.1</v>
      </c>
      <c r="AR196" s="239"/>
      <c r="AS196" s="119"/>
      <c r="AT196" s="119"/>
      <c r="AU196" s="120"/>
      <c r="AV196" s="195"/>
      <c r="AW196" s="112">
        <v>349755000</v>
      </c>
      <c r="AX196" s="162">
        <v>160887300</v>
      </c>
      <c r="AY196" s="162">
        <v>188867700</v>
      </c>
      <c r="AZ196" s="162">
        <v>6995100</v>
      </c>
      <c r="BA196" s="231">
        <f t="shared" si="33"/>
        <v>0.46</v>
      </c>
      <c r="BB196" s="210">
        <v>201162</v>
      </c>
      <c r="BC196" s="115">
        <v>0</v>
      </c>
      <c r="BD196" s="236">
        <v>19</v>
      </c>
    </row>
    <row r="197" spans="1:56" s="121" customFormat="1" ht="16.5" customHeight="1">
      <c r="A197" s="104" t="s">
        <v>2429</v>
      </c>
      <c r="B197" s="105" t="s">
        <v>1111</v>
      </c>
      <c r="C197" s="106" t="s">
        <v>1165</v>
      </c>
      <c r="D197" s="106" t="s">
        <v>2415</v>
      </c>
      <c r="E197" s="71" t="s">
        <v>1166</v>
      </c>
      <c r="F197" s="71" t="s">
        <v>139</v>
      </c>
      <c r="G197" s="109" t="s">
        <v>1135</v>
      </c>
      <c r="H197" s="110">
        <v>0</v>
      </c>
      <c r="I197" s="112">
        <v>0</v>
      </c>
      <c r="J197" s="112">
        <v>0</v>
      </c>
      <c r="K197" s="113">
        <f t="shared" si="37"/>
        <v>0</v>
      </c>
      <c r="L197" s="210">
        <v>0</v>
      </c>
      <c r="M197" s="115">
        <v>0</v>
      </c>
      <c r="N197" s="115">
        <v>0</v>
      </c>
      <c r="O197" s="111">
        <v>0</v>
      </c>
      <c r="P197" s="122">
        <v>0.1</v>
      </c>
      <c r="Q197" s="111">
        <v>8397</v>
      </c>
      <c r="R197" s="112">
        <v>0</v>
      </c>
      <c r="S197" s="111">
        <f>ROUND(P197*Q197,0)+R197</f>
        <v>840</v>
      </c>
      <c r="T197" s="115">
        <v>0</v>
      </c>
      <c r="U197" s="144">
        <v>0</v>
      </c>
      <c r="V197" s="111">
        <v>97</v>
      </c>
      <c r="W197" s="113">
        <f t="shared" si="38"/>
        <v>937</v>
      </c>
      <c r="X197" s="110">
        <v>0</v>
      </c>
      <c r="Y197" s="111">
        <v>0</v>
      </c>
      <c r="Z197" s="116">
        <v>0</v>
      </c>
      <c r="AA197" s="111">
        <v>97</v>
      </c>
      <c r="AB197" s="113">
        <f t="shared" ref="AB197:AB259" si="41">SUBTOTAL(9,X197:AA197)</f>
        <v>97</v>
      </c>
      <c r="AC197" s="110">
        <v>0</v>
      </c>
      <c r="AD197" s="111">
        <v>0</v>
      </c>
      <c r="AE197" s="112">
        <v>0</v>
      </c>
      <c r="AF197" s="117">
        <v>0</v>
      </c>
      <c r="AG197" s="111">
        <v>0</v>
      </c>
      <c r="AH197" s="112">
        <v>97</v>
      </c>
      <c r="AI197" s="112">
        <v>0</v>
      </c>
      <c r="AJ197" s="113">
        <f t="shared" ref="AJ197:AJ259" si="42">SUBTOTAL(9,AC197:AI197)</f>
        <v>97</v>
      </c>
      <c r="AK197" s="143">
        <f t="shared" si="36"/>
        <v>68490.75</v>
      </c>
      <c r="AL197" s="112">
        <f t="shared" si="36"/>
        <v>54792.6</v>
      </c>
      <c r="AM197" s="112">
        <f t="shared" si="36"/>
        <v>13698.15</v>
      </c>
      <c r="AN197" s="112">
        <f t="shared" si="36"/>
        <v>1369.8150000000001</v>
      </c>
      <c r="AO197" s="230">
        <f t="shared" si="39"/>
        <v>0.8</v>
      </c>
      <c r="AP197" s="193">
        <f t="shared" si="34"/>
        <v>2306.8150000000001</v>
      </c>
      <c r="AQ197" s="194">
        <f t="shared" si="40"/>
        <v>-2306.8150000000001</v>
      </c>
      <c r="AR197" s="118"/>
      <c r="AS197" s="119"/>
      <c r="AT197" s="119"/>
      <c r="AU197" s="120"/>
      <c r="AV197" s="195"/>
      <c r="AW197" s="112">
        <v>68490750</v>
      </c>
      <c r="AX197" s="162">
        <v>54792600</v>
      </c>
      <c r="AY197" s="162">
        <v>13698150</v>
      </c>
      <c r="AZ197" s="162">
        <v>1369815</v>
      </c>
      <c r="BA197" s="231">
        <f t="shared" ref="BA197:BA259" si="43">AX197/AW197</f>
        <v>0.8</v>
      </c>
      <c r="BB197" s="210">
        <v>0</v>
      </c>
      <c r="BC197" s="115">
        <v>0</v>
      </c>
      <c r="BD197" s="236">
        <v>0</v>
      </c>
    </row>
    <row r="198" spans="1:56" s="121" customFormat="1" ht="16.5" customHeight="1">
      <c r="A198" s="104" t="s">
        <v>2429</v>
      </c>
      <c r="B198" s="105" t="s">
        <v>1112</v>
      </c>
      <c r="C198" s="106" t="s">
        <v>1171</v>
      </c>
      <c r="D198" s="106" t="s">
        <v>2415</v>
      </c>
      <c r="E198" s="71" t="s">
        <v>1172</v>
      </c>
      <c r="F198" s="71" t="s">
        <v>78</v>
      </c>
      <c r="G198" s="109" t="s">
        <v>156</v>
      </c>
      <c r="H198" s="110">
        <v>7151</v>
      </c>
      <c r="I198" s="112"/>
      <c r="J198" s="112"/>
      <c r="K198" s="113">
        <f t="shared" si="37"/>
        <v>7151</v>
      </c>
      <c r="L198" s="110">
        <v>7556</v>
      </c>
      <c r="M198" s="111">
        <v>3358</v>
      </c>
      <c r="N198" s="115"/>
      <c r="O198" s="111">
        <v>1745</v>
      </c>
      <c r="P198" s="114">
        <v>1</v>
      </c>
      <c r="Q198" s="111">
        <v>8397</v>
      </c>
      <c r="R198" s="112">
        <v>2312</v>
      </c>
      <c r="S198" s="111">
        <f>ROUND(P198*Q198,0)+R198</f>
        <v>10709</v>
      </c>
      <c r="T198" s="112">
        <v>362</v>
      </c>
      <c r="U198" s="144"/>
      <c r="V198" s="112"/>
      <c r="W198" s="113">
        <f t="shared" si="38"/>
        <v>23730</v>
      </c>
      <c r="X198" s="110"/>
      <c r="Y198" s="111"/>
      <c r="Z198" s="116"/>
      <c r="AA198" s="111"/>
      <c r="AB198" s="113">
        <f t="shared" si="41"/>
        <v>0</v>
      </c>
      <c r="AC198" s="110"/>
      <c r="AD198" s="111"/>
      <c r="AE198" s="112"/>
      <c r="AF198" s="117"/>
      <c r="AG198" s="111"/>
      <c r="AH198" s="112"/>
      <c r="AI198" s="112"/>
      <c r="AJ198" s="113">
        <f t="shared" si="42"/>
        <v>0</v>
      </c>
      <c r="AK198" s="143">
        <f t="shared" si="36"/>
        <v>486488.45400000003</v>
      </c>
      <c r="AL198" s="112">
        <f t="shared" si="36"/>
        <v>275251.52399999998</v>
      </c>
      <c r="AM198" s="112">
        <f t="shared" si="36"/>
        <v>211236.93</v>
      </c>
      <c r="AN198" s="112">
        <f t="shared" si="36"/>
        <v>11884.42</v>
      </c>
      <c r="AO198" s="230">
        <f t="shared" si="39"/>
        <v>0.56579251107982098</v>
      </c>
      <c r="AP198" s="193">
        <f t="shared" si="34"/>
        <v>35614.42</v>
      </c>
      <c r="AQ198" s="194">
        <f t="shared" si="40"/>
        <v>-28463.42</v>
      </c>
      <c r="AR198" s="118"/>
      <c r="AS198" s="119"/>
      <c r="AT198" s="119"/>
      <c r="AU198" s="120"/>
      <c r="AV198" s="195"/>
      <c r="AW198" s="112">
        <v>486488454</v>
      </c>
      <c r="AX198" s="162">
        <v>275251524</v>
      </c>
      <c r="AY198" s="162">
        <v>211236930</v>
      </c>
      <c r="AZ198" s="162">
        <v>11884420</v>
      </c>
      <c r="BA198" s="231">
        <f t="shared" si="43"/>
        <v>0.56579251107982098</v>
      </c>
      <c r="BB198" s="210">
        <v>150249</v>
      </c>
      <c r="BC198" s="115">
        <v>33988</v>
      </c>
      <c r="BD198" s="236"/>
    </row>
    <row r="199" spans="1:56" s="121" customFormat="1" ht="16.5" customHeight="1">
      <c r="A199" s="104" t="s">
        <v>2429</v>
      </c>
      <c r="B199" s="105" t="s">
        <v>1116</v>
      </c>
      <c r="C199" s="106" t="s">
        <v>1178</v>
      </c>
      <c r="D199" s="106" t="s">
        <v>2415</v>
      </c>
      <c r="E199" s="71" t="s">
        <v>1179</v>
      </c>
      <c r="F199" s="71" t="s">
        <v>139</v>
      </c>
      <c r="G199" s="109" t="s">
        <v>1180</v>
      </c>
      <c r="H199" s="110">
        <v>233</v>
      </c>
      <c r="I199" s="112">
        <v>640</v>
      </c>
      <c r="J199" s="112">
        <v>0</v>
      </c>
      <c r="K199" s="113">
        <f t="shared" si="37"/>
        <v>873</v>
      </c>
      <c r="L199" s="210">
        <v>0</v>
      </c>
      <c r="M199" s="115">
        <v>0</v>
      </c>
      <c r="N199" s="115">
        <v>0</v>
      </c>
      <c r="O199" s="115">
        <v>394</v>
      </c>
      <c r="P199" s="114">
        <v>0.18</v>
      </c>
      <c r="Q199" s="111">
        <v>8397</v>
      </c>
      <c r="R199" s="112">
        <v>0</v>
      </c>
      <c r="S199" s="111">
        <f>ROUND(P199*Q199,0)+R199</f>
        <v>1511</v>
      </c>
      <c r="T199" s="115">
        <v>347</v>
      </c>
      <c r="U199" s="144"/>
      <c r="V199" s="111">
        <v>62375</v>
      </c>
      <c r="W199" s="113">
        <f t="shared" si="38"/>
        <v>64627</v>
      </c>
      <c r="X199" s="110">
        <v>560</v>
      </c>
      <c r="Y199" s="111">
        <v>114</v>
      </c>
      <c r="Z199" s="116">
        <v>0</v>
      </c>
      <c r="AA199" s="111">
        <v>62375</v>
      </c>
      <c r="AB199" s="113">
        <f t="shared" si="41"/>
        <v>63049</v>
      </c>
      <c r="AC199" s="110">
        <v>7166</v>
      </c>
      <c r="AD199" s="111">
        <v>14832</v>
      </c>
      <c r="AE199" s="112">
        <v>257</v>
      </c>
      <c r="AF199" s="117">
        <v>1300</v>
      </c>
      <c r="AG199" s="111">
        <v>32205</v>
      </c>
      <c r="AH199" s="112">
        <v>5412</v>
      </c>
      <c r="AI199" s="112">
        <v>1220</v>
      </c>
      <c r="AJ199" s="113">
        <f t="shared" si="42"/>
        <v>62392</v>
      </c>
      <c r="AK199" s="143">
        <f t="shared" si="36"/>
        <v>1275094.2819999999</v>
      </c>
      <c r="AL199" s="112">
        <f t="shared" si="36"/>
        <v>662114.68500000006</v>
      </c>
      <c r="AM199" s="112">
        <f t="shared" si="36"/>
        <v>612979.59699999995</v>
      </c>
      <c r="AN199" s="112">
        <f t="shared" si="36"/>
        <v>28484.695</v>
      </c>
      <c r="AO199" s="230">
        <f t="shared" si="39"/>
        <v>0.51926723721281653</v>
      </c>
      <c r="AP199" s="193">
        <f t="shared" si="34"/>
        <v>93111.695000000007</v>
      </c>
      <c r="AQ199" s="194">
        <f t="shared" si="40"/>
        <v>-92238.695000000007</v>
      </c>
      <c r="AR199" s="118"/>
      <c r="AS199" s="119" t="s">
        <v>2456</v>
      </c>
      <c r="AT199" s="119"/>
      <c r="AU199" s="120"/>
      <c r="AV199" s="195"/>
      <c r="AW199" s="112">
        <v>1275094282</v>
      </c>
      <c r="AX199" s="162">
        <v>662114685</v>
      </c>
      <c r="AY199" s="162">
        <v>612979597</v>
      </c>
      <c r="AZ199" s="162">
        <v>28484695</v>
      </c>
      <c r="BA199" s="231">
        <f t="shared" si="43"/>
        <v>0.51926723721281653</v>
      </c>
      <c r="BB199" s="210">
        <v>238368</v>
      </c>
      <c r="BC199" s="115">
        <v>19648</v>
      </c>
      <c r="BD199" s="236">
        <v>0</v>
      </c>
    </row>
    <row r="200" spans="1:56" s="121" customFormat="1" ht="16.5" customHeight="1">
      <c r="A200" s="104" t="s">
        <v>2429</v>
      </c>
      <c r="B200" s="105" t="s">
        <v>1119</v>
      </c>
      <c r="C200" s="106" t="s">
        <v>1190</v>
      </c>
      <c r="D200" s="106" t="s">
        <v>2415</v>
      </c>
      <c r="E200" s="71" t="s">
        <v>1191</v>
      </c>
      <c r="F200" s="71" t="s">
        <v>139</v>
      </c>
      <c r="G200" s="109" t="s">
        <v>1180</v>
      </c>
      <c r="H200" s="110">
        <v>0</v>
      </c>
      <c r="I200" s="111">
        <v>85363</v>
      </c>
      <c r="J200" s="112">
        <v>0</v>
      </c>
      <c r="K200" s="113">
        <f t="shared" si="37"/>
        <v>85363</v>
      </c>
      <c r="L200" s="210">
        <v>0</v>
      </c>
      <c r="M200" s="115">
        <v>9471</v>
      </c>
      <c r="N200" s="115">
        <v>0</v>
      </c>
      <c r="O200" s="111">
        <v>0</v>
      </c>
      <c r="P200" s="114">
        <v>0.2</v>
      </c>
      <c r="Q200" s="111">
        <v>8397</v>
      </c>
      <c r="R200" s="112">
        <v>0</v>
      </c>
      <c r="S200" s="111">
        <f>ROUND(P200*Q200,0)+R200</f>
        <v>1679</v>
      </c>
      <c r="T200" s="112">
        <v>1385</v>
      </c>
      <c r="U200" s="144"/>
      <c r="V200" s="111">
        <v>158463</v>
      </c>
      <c r="W200" s="113">
        <f t="shared" si="38"/>
        <v>170998</v>
      </c>
      <c r="X200" s="110">
        <v>0</v>
      </c>
      <c r="Y200" s="111">
        <v>4570</v>
      </c>
      <c r="Z200" s="116">
        <v>4</v>
      </c>
      <c r="AA200" s="111">
        <v>158463</v>
      </c>
      <c r="AB200" s="113">
        <f t="shared" si="41"/>
        <v>163037</v>
      </c>
      <c r="AC200" s="110">
        <v>3812</v>
      </c>
      <c r="AD200" s="111">
        <v>11570</v>
      </c>
      <c r="AE200" s="112">
        <v>0</v>
      </c>
      <c r="AF200" s="117">
        <v>225</v>
      </c>
      <c r="AG200" s="111">
        <v>136084</v>
      </c>
      <c r="AH200" s="112">
        <v>7324</v>
      </c>
      <c r="AI200" s="112">
        <v>1458</v>
      </c>
      <c r="AJ200" s="113">
        <f t="shared" si="42"/>
        <v>160473</v>
      </c>
      <c r="AK200" s="143">
        <f t="shared" si="36"/>
        <v>411880.5</v>
      </c>
      <c r="AL200" s="112">
        <f t="shared" si="36"/>
        <v>183893.97</v>
      </c>
      <c r="AM200" s="112">
        <f t="shared" si="36"/>
        <v>227986.53</v>
      </c>
      <c r="AN200" s="112">
        <f t="shared" si="36"/>
        <v>8237.61</v>
      </c>
      <c r="AO200" s="230">
        <f t="shared" si="39"/>
        <v>0.44647408653723591</v>
      </c>
      <c r="AP200" s="193">
        <f t="shared" si="34"/>
        <v>179235.61</v>
      </c>
      <c r="AQ200" s="194">
        <f t="shared" si="40"/>
        <v>-93872.609999999986</v>
      </c>
      <c r="AR200" s="118"/>
      <c r="AS200" s="119" t="s">
        <v>2457</v>
      </c>
      <c r="AT200" s="119"/>
      <c r="AU200" s="120"/>
      <c r="AV200" s="195"/>
      <c r="AW200" s="112">
        <v>411880500</v>
      </c>
      <c r="AX200" s="162">
        <v>183893970</v>
      </c>
      <c r="AY200" s="162">
        <v>227986530</v>
      </c>
      <c r="AZ200" s="162">
        <v>8237610</v>
      </c>
      <c r="BA200" s="231">
        <f t="shared" si="43"/>
        <v>0.44647408653723591</v>
      </c>
      <c r="BB200" s="210">
        <v>111296</v>
      </c>
      <c r="BC200" s="115">
        <v>4557</v>
      </c>
      <c r="BD200" s="236">
        <v>0</v>
      </c>
    </row>
    <row r="201" spans="1:56" s="121" customFormat="1" ht="16.5" customHeight="1">
      <c r="A201" s="104" t="s">
        <v>2429</v>
      </c>
      <c r="B201" s="105" t="s">
        <v>1120</v>
      </c>
      <c r="C201" s="106" t="s">
        <v>1199</v>
      </c>
      <c r="D201" s="106" t="s">
        <v>2415</v>
      </c>
      <c r="E201" s="71" t="s">
        <v>1200</v>
      </c>
      <c r="F201" s="71" t="s">
        <v>170</v>
      </c>
      <c r="G201" s="109" t="s">
        <v>2132</v>
      </c>
      <c r="H201" s="110">
        <v>178271</v>
      </c>
      <c r="I201" s="111">
        <v>50</v>
      </c>
      <c r="J201" s="112">
        <v>2044</v>
      </c>
      <c r="K201" s="113">
        <f t="shared" si="37"/>
        <v>180365</v>
      </c>
      <c r="L201" s="110">
        <v>4299</v>
      </c>
      <c r="M201" s="111">
        <v>7373</v>
      </c>
      <c r="N201" s="112">
        <v>0</v>
      </c>
      <c r="O201" s="111">
        <v>841</v>
      </c>
      <c r="P201" s="114">
        <v>25.9</v>
      </c>
      <c r="Q201" s="111">
        <v>8397</v>
      </c>
      <c r="R201" s="115">
        <v>132009</v>
      </c>
      <c r="S201" s="111">
        <f>ROUND(P201*Q201,0)+R201</f>
        <v>349491</v>
      </c>
      <c r="T201" s="112">
        <v>36194</v>
      </c>
      <c r="U201" s="116"/>
      <c r="V201" s="111"/>
      <c r="W201" s="113">
        <f t="shared" si="38"/>
        <v>398198</v>
      </c>
      <c r="X201" s="110"/>
      <c r="Y201" s="111"/>
      <c r="Z201" s="116"/>
      <c r="AA201" s="111"/>
      <c r="AB201" s="113">
        <f t="shared" si="41"/>
        <v>0</v>
      </c>
      <c r="AC201" s="110"/>
      <c r="AD201" s="111"/>
      <c r="AE201" s="112"/>
      <c r="AF201" s="117"/>
      <c r="AG201" s="111"/>
      <c r="AH201" s="112"/>
      <c r="AI201" s="112"/>
      <c r="AJ201" s="113">
        <f t="shared" si="42"/>
        <v>0</v>
      </c>
      <c r="AK201" s="143">
        <f t="shared" si="36"/>
        <v>987403.65599999996</v>
      </c>
      <c r="AL201" s="112">
        <f t="shared" si="36"/>
        <v>211495.014</v>
      </c>
      <c r="AM201" s="112">
        <f t="shared" si="36"/>
        <v>775908.64199999999</v>
      </c>
      <c r="AN201" s="112">
        <f t="shared" si="36"/>
        <v>35249.169000000002</v>
      </c>
      <c r="AO201" s="230">
        <f t="shared" si="39"/>
        <v>0.21419306351039072</v>
      </c>
      <c r="AP201" s="193">
        <f t="shared" si="34"/>
        <v>433447.16899999999</v>
      </c>
      <c r="AQ201" s="194">
        <f t="shared" si="40"/>
        <v>-253082.16899999999</v>
      </c>
      <c r="AR201" s="118"/>
      <c r="AS201" s="119"/>
      <c r="AT201" s="119"/>
      <c r="AU201" s="120"/>
      <c r="AV201" s="195"/>
      <c r="AW201" s="112">
        <v>987403656</v>
      </c>
      <c r="AX201" s="162">
        <v>211495014</v>
      </c>
      <c r="AY201" s="162">
        <v>775908642</v>
      </c>
      <c r="AZ201" s="162">
        <v>35249169</v>
      </c>
      <c r="BA201" s="231">
        <f t="shared" si="43"/>
        <v>0.21419306351039072</v>
      </c>
      <c r="BB201" s="210">
        <v>112005</v>
      </c>
      <c r="BC201" s="115">
        <v>16105</v>
      </c>
      <c r="BD201" s="236">
        <v>0</v>
      </c>
    </row>
    <row r="202" spans="1:56" s="121" customFormat="1" ht="16.5" customHeight="1">
      <c r="A202" s="104" t="s">
        <v>2429</v>
      </c>
      <c r="B202" s="105" t="s">
        <v>1124</v>
      </c>
      <c r="C202" s="106" t="s">
        <v>1205</v>
      </c>
      <c r="D202" s="106" t="s">
        <v>2415</v>
      </c>
      <c r="E202" s="71" t="s">
        <v>1206</v>
      </c>
      <c r="F202" s="71" t="s">
        <v>708</v>
      </c>
      <c r="G202" s="109" t="s">
        <v>1207</v>
      </c>
      <c r="H202" s="240">
        <v>33756.895202020205</v>
      </c>
      <c r="I202" s="111"/>
      <c r="J202" s="112"/>
      <c r="K202" s="113">
        <f t="shared" si="37"/>
        <v>33756.895202020205</v>
      </c>
      <c r="L202" s="110"/>
      <c r="M202" s="111"/>
      <c r="N202" s="112"/>
      <c r="O202" s="111">
        <v>4203</v>
      </c>
      <c r="P202" s="154">
        <v>0.38500000000000001</v>
      </c>
      <c r="Q202" s="111">
        <v>8397</v>
      </c>
      <c r="R202" s="112">
        <v>308.0391414141414</v>
      </c>
      <c r="S202" s="111">
        <f t="shared" ref="S202:S258" si="44">ROUND(P202*Q202,0)+R202</f>
        <v>3541.0391414141413</v>
      </c>
      <c r="T202" s="112">
        <v>210.72188636363637</v>
      </c>
      <c r="U202" s="116"/>
      <c r="V202" s="111">
        <v>9536.943181818182</v>
      </c>
      <c r="W202" s="113">
        <f t="shared" si="38"/>
        <v>17491.704209595959</v>
      </c>
      <c r="X202" s="110"/>
      <c r="Y202" s="111"/>
      <c r="Z202" s="116"/>
      <c r="AA202" s="111">
        <f>V202</f>
        <v>9536.943181818182</v>
      </c>
      <c r="AB202" s="113">
        <f t="shared" si="41"/>
        <v>9536.943181818182</v>
      </c>
      <c r="AC202" s="110">
        <v>19.261363636363637</v>
      </c>
      <c r="AD202" s="111">
        <v>1652.625</v>
      </c>
      <c r="AE202" s="112">
        <v>135.97095959595958</v>
      </c>
      <c r="AF202" s="117">
        <v>4618.232954545455</v>
      </c>
      <c r="AG202" s="111">
        <v>2539.8604797979797</v>
      </c>
      <c r="AH202" s="112">
        <v>332.00883838383839</v>
      </c>
      <c r="AI202" s="112">
        <v>161.43876262626262</v>
      </c>
      <c r="AJ202" s="113">
        <f t="shared" si="42"/>
        <v>9459.3983585858605</v>
      </c>
      <c r="AK202" s="143">
        <f t="shared" si="36"/>
        <v>1937809.5</v>
      </c>
      <c r="AL202" s="112">
        <f t="shared" si="36"/>
        <v>1013650.171</v>
      </c>
      <c r="AM202" s="112">
        <f t="shared" si="36"/>
        <v>924159.32900000003</v>
      </c>
      <c r="AN202" s="112">
        <f t="shared" si="36"/>
        <v>42631.807000000001</v>
      </c>
      <c r="AO202" s="230">
        <f t="shared" si="39"/>
        <v>0.52309072228204068</v>
      </c>
      <c r="AP202" s="193">
        <f t="shared" si="34"/>
        <v>60123.511209595963</v>
      </c>
      <c r="AQ202" s="194">
        <f t="shared" si="40"/>
        <v>-26366.616007575758</v>
      </c>
      <c r="AR202" s="147">
        <v>113</v>
      </c>
      <c r="AS202" s="148"/>
      <c r="AT202" s="119"/>
      <c r="AU202" s="120"/>
      <c r="AV202" s="195"/>
      <c r="AW202" s="112">
        <v>1937809500</v>
      </c>
      <c r="AX202" s="162">
        <v>1013650171</v>
      </c>
      <c r="AY202" s="162">
        <v>924159329</v>
      </c>
      <c r="AZ202" s="162">
        <v>42631807</v>
      </c>
      <c r="BA202" s="231">
        <f t="shared" si="43"/>
        <v>0.52309072228204068</v>
      </c>
      <c r="BB202" s="210"/>
      <c r="BC202" s="115"/>
      <c r="BD202" s="236"/>
    </row>
    <row r="203" spans="1:56" s="121" customFormat="1" ht="16.5" customHeight="1">
      <c r="A203" s="104" t="s">
        <v>2429</v>
      </c>
      <c r="B203" s="105" t="s">
        <v>1128</v>
      </c>
      <c r="C203" s="106" t="s">
        <v>1217</v>
      </c>
      <c r="D203" s="106" t="s">
        <v>2415</v>
      </c>
      <c r="E203" s="71" t="s">
        <v>1218</v>
      </c>
      <c r="F203" s="71" t="s">
        <v>708</v>
      </c>
      <c r="G203" s="109" t="s">
        <v>1207</v>
      </c>
      <c r="H203" s="240">
        <v>11650.609848484848</v>
      </c>
      <c r="I203" s="111"/>
      <c r="J203" s="112"/>
      <c r="K203" s="113">
        <f t="shared" si="37"/>
        <v>11650.609848484848</v>
      </c>
      <c r="L203" s="110"/>
      <c r="M203" s="111"/>
      <c r="N203" s="112"/>
      <c r="O203" s="111">
        <v>1683</v>
      </c>
      <c r="P203" s="154">
        <v>0.11</v>
      </c>
      <c r="Q203" s="111">
        <v>8397</v>
      </c>
      <c r="R203" s="112">
        <v>106.31439393939394</v>
      </c>
      <c r="S203" s="111">
        <f t="shared" si="44"/>
        <v>1030.314393939394</v>
      </c>
      <c r="T203" s="112">
        <v>72.727022727272725</v>
      </c>
      <c r="U203" s="116"/>
      <c r="V203" s="111">
        <v>3291.5113636363635</v>
      </c>
      <c r="W203" s="113">
        <f t="shared" si="38"/>
        <v>6077.5527803030309</v>
      </c>
      <c r="X203" s="110"/>
      <c r="Y203" s="111"/>
      <c r="Z203" s="116"/>
      <c r="AA203" s="111">
        <f t="shared" ref="AA203:AA226" si="45">V203</f>
        <v>3291.5113636363635</v>
      </c>
      <c r="AB203" s="113">
        <f t="shared" si="41"/>
        <v>3291.5113636363635</v>
      </c>
      <c r="AC203" s="110">
        <v>6.6477272727272725</v>
      </c>
      <c r="AD203" s="111">
        <v>570.375</v>
      </c>
      <c r="AE203" s="112">
        <v>46.928030303030305</v>
      </c>
      <c r="AF203" s="117">
        <v>1593.903409090909</v>
      </c>
      <c r="AG203" s="111">
        <v>876.58901515151513</v>
      </c>
      <c r="AH203" s="112">
        <v>114.5871212121212</v>
      </c>
      <c r="AI203" s="112">
        <v>55.717803030303031</v>
      </c>
      <c r="AJ203" s="113">
        <f t="shared" si="42"/>
        <v>3264.7481060606056</v>
      </c>
      <c r="AK203" s="143">
        <f t="shared" si="36"/>
        <v>618571.4</v>
      </c>
      <c r="AL203" s="112">
        <f t="shared" si="36"/>
        <v>312254.41600000003</v>
      </c>
      <c r="AM203" s="112">
        <f t="shared" si="36"/>
        <v>306316.984</v>
      </c>
      <c r="AN203" s="112">
        <f t="shared" si="36"/>
        <v>13608.57</v>
      </c>
      <c r="AO203" s="230">
        <f t="shared" si="39"/>
        <v>0.5047993101523931</v>
      </c>
      <c r="AP203" s="193">
        <f t="shared" si="34"/>
        <v>19686.122780303031</v>
      </c>
      <c r="AQ203" s="194">
        <f t="shared" si="40"/>
        <v>-8035.5129318181826</v>
      </c>
      <c r="AR203" s="147">
        <v>39</v>
      </c>
      <c r="AS203" s="148"/>
      <c r="AT203" s="119"/>
      <c r="AU203" s="120"/>
      <c r="AV203" s="195"/>
      <c r="AW203" s="112">
        <v>618571400</v>
      </c>
      <c r="AX203" s="162">
        <v>312254416</v>
      </c>
      <c r="AY203" s="162">
        <v>306316984</v>
      </c>
      <c r="AZ203" s="162">
        <v>13608570</v>
      </c>
      <c r="BA203" s="231">
        <f t="shared" si="43"/>
        <v>0.5047993101523931</v>
      </c>
      <c r="BB203" s="210"/>
      <c r="BC203" s="115"/>
      <c r="BD203" s="236"/>
    </row>
    <row r="204" spans="1:56" s="121" customFormat="1" ht="16.5" customHeight="1">
      <c r="A204" s="104" t="s">
        <v>2429</v>
      </c>
      <c r="B204" s="105" t="s">
        <v>1132</v>
      </c>
      <c r="C204" s="106" t="s">
        <v>1222</v>
      </c>
      <c r="D204" s="106" t="s">
        <v>2415</v>
      </c>
      <c r="E204" s="71" t="s">
        <v>1223</v>
      </c>
      <c r="F204" s="71" t="s">
        <v>708</v>
      </c>
      <c r="G204" s="109" t="s">
        <v>1207</v>
      </c>
      <c r="H204" s="240">
        <v>27483.489898989897</v>
      </c>
      <c r="I204" s="111"/>
      <c r="J204" s="112"/>
      <c r="K204" s="113">
        <f t="shared" si="37"/>
        <v>27483.489898989897</v>
      </c>
      <c r="L204" s="110">
        <f>212+7</f>
        <v>219</v>
      </c>
      <c r="M204" s="111"/>
      <c r="N204" s="112"/>
      <c r="O204" s="111">
        <v>4223</v>
      </c>
      <c r="P204" s="154">
        <v>0.32999999999999996</v>
      </c>
      <c r="Q204" s="111">
        <v>8397</v>
      </c>
      <c r="R204" s="112">
        <v>250.7929292929293</v>
      </c>
      <c r="S204" s="111">
        <f t="shared" si="44"/>
        <v>3021.7929292929293</v>
      </c>
      <c r="T204" s="112">
        <v>171.56118181818184</v>
      </c>
      <c r="U204" s="116"/>
      <c r="V204" s="111">
        <v>7764.590909090909</v>
      </c>
      <c r="W204" s="113">
        <f t="shared" si="38"/>
        <v>15399.94502020202</v>
      </c>
      <c r="X204" s="110"/>
      <c r="Y204" s="111"/>
      <c r="Z204" s="116"/>
      <c r="AA204" s="111">
        <f t="shared" si="45"/>
        <v>7764.590909090909</v>
      </c>
      <c r="AB204" s="113">
        <f t="shared" si="41"/>
        <v>7764.590909090909</v>
      </c>
      <c r="AC204" s="110">
        <v>15.681818181818182</v>
      </c>
      <c r="AD204" s="111">
        <v>1345.5</v>
      </c>
      <c r="AE204" s="112">
        <v>110.70202020202021</v>
      </c>
      <c r="AF204" s="117">
        <v>3759.9772727272725</v>
      </c>
      <c r="AG204" s="111">
        <v>2067.8510101010102</v>
      </c>
      <c r="AH204" s="112">
        <v>270.30808080808083</v>
      </c>
      <c r="AI204" s="112">
        <v>131.43686868686868</v>
      </c>
      <c r="AJ204" s="113">
        <f t="shared" si="42"/>
        <v>7701.4570707070716</v>
      </c>
      <c r="AK204" s="143">
        <f t="shared" si="36"/>
        <v>1477623.04</v>
      </c>
      <c r="AL204" s="112">
        <f t="shared" si="36"/>
        <v>1264657.575</v>
      </c>
      <c r="AM204" s="112">
        <f t="shared" si="36"/>
        <v>212965.465</v>
      </c>
      <c r="AN204" s="112">
        <f t="shared" si="36"/>
        <v>18119.527999999998</v>
      </c>
      <c r="AO204" s="230">
        <f t="shared" si="39"/>
        <v>0.8558729396910324</v>
      </c>
      <c r="AP204" s="193">
        <f t="shared" si="34"/>
        <v>33519.473020202015</v>
      </c>
      <c r="AQ204" s="194">
        <f t="shared" si="40"/>
        <v>-6035.9831212121171</v>
      </c>
      <c r="AR204" s="147">
        <v>92</v>
      </c>
      <c r="AS204" s="148"/>
      <c r="AT204" s="119"/>
      <c r="AU204" s="120"/>
      <c r="AV204" s="195"/>
      <c r="AW204" s="112">
        <v>1477623040</v>
      </c>
      <c r="AX204" s="162">
        <v>1264657575</v>
      </c>
      <c r="AY204" s="162">
        <v>212965465</v>
      </c>
      <c r="AZ204" s="162">
        <v>18119528</v>
      </c>
      <c r="BA204" s="231">
        <f t="shared" si="43"/>
        <v>0.8558729396910324</v>
      </c>
      <c r="BB204" s="210"/>
      <c r="BC204" s="115"/>
      <c r="BD204" s="236"/>
    </row>
    <row r="205" spans="1:56" s="121" customFormat="1" ht="16.5" customHeight="1">
      <c r="A205" s="104" t="s">
        <v>2429</v>
      </c>
      <c r="B205" s="105" t="s">
        <v>1145</v>
      </c>
      <c r="C205" s="106" t="s">
        <v>1226</v>
      </c>
      <c r="D205" s="106" t="s">
        <v>2415</v>
      </c>
      <c r="E205" s="71" t="s">
        <v>1227</v>
      </c>
      <c r="F205" s="71" t="s">
        <v>708</v>
      </c>
      <c r="G205" s="109" t="s">
        <v>1207</v>
      </c>
      <c r="H205" s="240">
        <v>4779.7373737373746</v>
      </c>
      <c r="I205" s="111"/>
      <c r="J205" s="112"/>
      <c r="K205" s="113">
        <f t="shared" si="37"/>
        <v>4779.7373737373746</v>
      </c>
      <c r="L205" s="110">
        <f>4+7</f>
        <v>11</v>
      </c>
      <c r="M205" s="111"/>
      <c r="N205" s="112"/>
      <c r="O205" s="111">
        <v>265</v>
      </c>
      <c r="P205" s="154">
        <v>5.5E-2</v>
      </c>
      <c r="Q205" s="111">
        <v>8397</v>
      </c>
      <c r="R205" s="112">
        <v>43.616161616161619</v>
      </c>
      <c r="S205" s="111">
        <f t="shared" si="44"/>
        <v>505.61616161616161</v>
      </c>
      <c r="T205" s="112">
        <v>29.836727272727277</v>
      </c>
      <c r="U205" s="116"/>
      <c r="V205" s="111">
        <v>1350.3636363636365</v>
      </c>
      <c r="W205" s="113">
        <f t="shared" si="38"/>
        <v>2161.8165252525255</v>
      </c>
      <c r="X205" s="110"/>
      <c r="Y205" s="111"/>
      <c r="Z205" s="116"/>
      <c r="AA205" s="111">
        <f t="shared" si="45"/>
        <v>1350.3636363636365</v>
      </c>
      <c r="AB205" s="113">
        <f t="shared" si="41"/>
        <v>1350.3636363636365</v>
      </c>
      <c r="AC205" s="110">
        <v>2.7272727272727275</v>
      </c>
      <c r="AD205" s="111">
        <v>234.00000000000003</v>
      </c>
      <c r="AE205" s="112">
        <v>19.252525252525253</v>
      </c>
      <c r="AF205" s="117">
        <v>653.90909090909099</v>
      </c>
      <c r="AG205" s="111">
        <v>359.62626262626264</v>
      </c>
      <c r="AH205" s="112">
        <v>47.010101010101017</v>
      </c>
      <c r="AI205" s="112">
        <v>22.858585858585862</v>
      </c>
      <c r="AJ205" s="113">
        <f t="shared" si="42"/>
        <v>1339.3838383838386</v>
      </c>
      <c r="AK205" s="143">
        <f t="shared" si="36"/>
        <v>429539.52799999999</v>
      </c>
      <c r="AL205" s="112">
        <f t="shared" si="36"/>
        <v>404464.23100000003</v>
      </c>
      <c r="AM205" s="112">
        <f t="shared" si="36"/>
        <v>25075.296999999999</v>
      </c>
      <c r="AN205" s="112">
        <f t="shared" si="36"/>
        <v>760.17899999999997</v>
      </c>
      <c r="AO205" s="230">
        <f t="shared" si="39"/>
        <v>0.94162284175159772</v>
      </c>
      <c r="AP205" s="193">
        <f t="shared" si="34"/>
        <v>2921.9955252525256</v>
      </c>
      <c r="AQ205" s="194">
        <f t="shared" si="40"/>
        <v>1857.741848484849</v>
      </c>
      <c r="AR205" s="147">
        <v>16</v>
      </c>
      <c r="AS205" s="148"/>
      <c r="AT205" s="119"/>
      <c r="AU205" s="120"/>
      <c r="AV205" s="195"/>
      <c r="AW205" s="112">
        <v>429539528</v>
      </c>
      <c r="AX205" s="162">
        <v>404464231</v>
      </c>
      <c r="AY205" s="162">
        <v>25075297</v>
      </c>
      <c r="AZ205" s="162">
        <v>760179</v>
      </c>
      <c r="BA205" s="231">
        <f t="shared" si="43"/>
        <v>0.94162284175159772</v>
      </c>
      <c r="BB205" s="210"/>
      <c r="BC205" s="115"/>
      <c r="BD205" s="236"/>
    </row>
    <row r="206" spans="1:56" s="121" customFormat="1" ht="16.5" customHeight="1">
      <c r="A206" s="104" t="s">
        <v>2429</v>
      </c>
      <c r="B206" s="105" t="s">
        <v>1155</v>
      </c>
      <c r="C206" s="106" t="s">
        <v>1229</v>
      </c>
      <c r="D206" s="106" t="s">
        <v>2415</v>
      </c>
      <c r="E206" s="71" t="s">
        <v>1230</v>
      </c>
      <c r="F206" s="71" t="s">
        <v>708</v>
      </c>
      <c r="G206" s="109" t="s">
        <v>1207</v>
      </c>
      <c r="H206" s="240">
        <v>4182.2702020202023</v>
      </c>
      <c r="I206" s="111"/>
      <c r="J206" s="112"/>
      <c r="K206" s="113">
        <f t="shared" si="37"/>
        <v>4182.2702020202023</v>
      </c>
      <c r="L206" s="110">
        <f>4+7</f>
        <v>11</v>
      </c>
      <c r="M206" s="111"/>
      <c r="N206" s="112"/>
      <c r="O206" s="111">
        <v>265</v>
      </c>
      <c r="P206" s="154">
        <v>5.5E-2</v>
      </c>
      <c r="Q206" s="111">
        <v>8397</v>
      </c>
      <c r="R206" s="112">
        <v>38.164141414141412</v>
      </c>
      <c r="S206" s="111">
        <f t="shared" si="44"/>
        <v>500.1641414141414</v>
      </c>
      <c r="T206" s="112">
        <v>26.107136363636364</v>
      </c>
      <c r="U206" s="116"/>
      <c r="V206" s="111">
        <v>1181.5681818181818</v>
      </c>
      <c r="W206" s="113">
        <f t="shared" si="38"/>
        <v>1983.8394595959594</v>
      </c>
      <c r="X206" s="110"/>
      <c r="Y206" s="111"/>
      <c r="Z206" s="116"/>
      <c r="AA206" s="111">
        <f t="shared" si="45"/>
        <v>1181.5681818181818</v>
      </c>
      <c r="AB206" s="113">
        <f t="shared" si="41"/>
        <v>1181.5681818181818</v>
      </c>
      <c r="AC206" s="110">
        <v>2.3863636363636362</v>
      </c>
      <c r="AD206" s="111">
        <v>204.75</v>
      </c>
      <c r="AE206" s="112">
        <v>16.845959595959595</v>
      </c>
      <c r="AF206" s="117">
        <v>572.1704545454545</v>
      </c>
      <c r="AG206" s="111">
        <v>314.67297979797979</v>
      </c>
      <c r="AH206" s="112">
        <v>41.133838383838381</v>
      </c>
      <c r="AI206" s="112">
        <v>20.001262626262626</v>
      </c>
      <c r="AJ206" s="113">
        <f t="shared" si="42"/>
        <v>1171.9608585858584</v>
      </c>
      <c r="AK206" s="143">
        <f t="shared" si="36"/>
        <v>267523.40000000002</v>
      </c>
      <c r="AL206" s="112">
        <f t="shared" si="36"/>
        <v>246454.253</v>
      </c>
      <c r="AM206" s="112">
        <f t="shared" si="36"/>
        <v>21069.147000000001</v>
      </c>
      <c r="AN206" s="112">
        <f t="shared" si="36"/>
        <v>557.97699999999998</v>
      </c>
      <c r="AO206" s="230">
        <f t="shared" si="39"/>
        <v>0.92124372297899926</v>
      </c>
      <c r="AP206" s="193">
        <f t="shared" si="34"/>
        <v>2541.8164595959593</v>
      </c>
      <c r="AQ206" s="194">
        <f t="shared" si="40"/>
        <v>1640.453742424243</v>
      </c>
      <c r="AR206" s="147">
        <v>14</v>
      </c>
      <c r="AS206" s="148"/>
      <c r="AT206" s="119"/>
      <c r="AU206" s="120"/>
      <c r="AV206" s="195"/>
      <c r="AW206" s="112">
        <v>267523400</v>
      </c>
      <c r="AX206" s="162">
        <v>246454253</v>
      </c>
      <c r="AY206" s="162">
        <v>21069147</v>
      </c>
      <c r="AZ206" s="162">
        <v>557977</v>
      </c>
      <c r="BA206" s="231">
        <f t="shared" si="43"/>
        <v>0.92124372297899926</v>
      </c>
      <c r="BB206" s="210"/>
      <c r="BC206" s="115"/>
      <c r="BD206" s="236"/>
    </row>
    <row r="207" spans="1:56" s="121" customFormat="1" ht="16.5" customHeight="1">
      <c r="A207" s="104" t="s">
        <v>2429</v>
      </c>
      <c r="B207" s="105" t="s">
        <v>1164</v>
      </c>
      <c r="C207" s="106" t="s">
        <v>1232</v>
      </c>
      <c r="D207" s="106" t="s">
        <v>2415</v>
      </c>
      <c r="E207" s="71" t="s">
        <v>1233</v>
      </c>
      <c r="F207" s="71" t="s">
        <v>708</v>
      </c>
      <c r="G207" s="109" t="s">
        <v>1207</v>
      </c>
      <c r="H207" s="240">
        <v>16131.613636363636</v>
      </c>
      <c r="I207" s="111"/>
      <c r="J207" s="112"/>
      <c r="K207" s="113">
        <f t="shared" si="37"/>
        <v>16131.613636363636</v>
      </c>
      <c r="L207" s="110">
        <v>40</v>
      </c>
      <c r="M207" s="111"/>
      <c r="N207" s="112"/>
      <c r="O207" s="111"/>
      <c r="P207" s="154">
        <v>0.16499999999999998</v>
      </c>
      <c r="Q207" s="111">
        <v>8397</v>
      </c>
      <c r="R207" s="112">
        <v>147.20454545454544</v>
      </c>
      <c r="S207" s="111">
        <f t="shared" si="44"/>
        <v>1533.2045454545455</v>
      </c>
      <c r="T207" s="112">
        <v>100.69895454545454</v>
      </c>
      <c r="U207" s="116"/>
      <c r="V207" s="111">
        <v>4557.4772727272721</v>
      </c>
      <c r="W207" s="113">
        <f t="shared" si="38"/>
        <v>6231.3807727272724</v>
      </c>
      <c r="X207" s="110"/>
      <c r="Y207" s="111"/>
      <c r="Z207" s="116"/>
      <c r="AA207" s="111">
        <f t="shared" si="45"/>
        <v>4557.4772727272721</v>
      </c>
      <c r="AB207" s="113">
        <f t="shared" si="41"/>
        <v>4557.4772727272721</v>
      </c>
      <c r="AC207" s="110">
        <v>9.2045454545454533</v>
      </c>
      <c r="AD207" s="111">
        <v>789.74999999999989</v>
      </c>
      <c r="AE207" s="112">
        <v>64.97727272727272</v>
      </c>
      <c r="AF207" s="117">
        <v>2206.9431818181815</v>
      </c>
      <c r="AG207" s="111">
        <v>1213.7386363636363</v>
      </c>
      <c r="AH207" s="112">
        <v>158.65909090909091</v>
      </c>
      <c r="AI207" s="112">
        <v>77.147727272727266</v>
      </c>
      <c r="AJ207" s="113">
        <f t="shared" si="42"/>
        <v>4520.420454545454</v>
      </c>
      <c r="AK207" s="143">
        <f t="shared" si="36"/>
        <v>504845.81900000002</v>
      </c>
      <c r="AL207" s="112">
        <f t="shared" si="36"/>
        <v>481521.91600000003</v>
      </c>
      <c r="AM207" s="112">
        <f t="shared" si="36"/>
        <v>23323.902999999998</v>
      </c>
      <c r="AN207" s="112">
        <f t="shared" si="36"/>
        <v>1485.5930000000001</v>
      </c>
      <c r="AO207" s="230">
        <f t="shared" si="39"/>
        <v>0.95379994817784164</v>
      </c>
      <c r="AP207" s="193">
        <f t="shared" si="34"/>
        <v>7716.9737727272723</v>
      </c>
      <c r="AQ207" s="194">
        <f t="shared" si="40"/>
        <v>8414.6398636363629</v>
      </c>
      <c r="AR207" s="147">
        <v>54</v>
      </c>
      <c r="AS207" s="148"/>
      <c r="AT207" s="119"/>
      <c r="AU207" s="120"/>
      <c r="AV207" s="195"/>
      <c r="AW207" s="112">
        <v>504845819</v>
      </c>
      <c r="AX207" s="162">
        <v>481521916</v>
      </c>
      <c r="AY207" s="162">
        <v>23323903</v>
      </c>
      <c r="AZ207" s="162">
        <v>1485593</v>
      </c>
      <c r="BA207" s="231">
        <f t="shared" si="43"/>
        <v>0.95379994817784164</v>
      </c>
      <c r="BB207" s="210"/>
      <c r="BC207" s="115"/>
      <c r="BD207" s="236"/>
    </row>
    <row r="208" spans="1:56" s="121" customFormat="1" ht="16.5" customHeight="1">
      <c r="A208" s="104" t="s">
        <v>2429</v>
      </c>
      <c r="B208" s="105" t="s">
        <v>1170</v>
      </c>
      <c r="C208" s="106" t="s">
        <v>1236</v>
      </c>
      <c r="D208" s="106" t="s">
        <v>2415</v>
      </c>
      <c r="E208" s="71" t="s">
        <v>1237</v>
      </c>
      <c r="F208" s="71" t="s">
        <v>708</v>
      </c>
      <c r="G208" s="109" t="s">
        <v>1207</v>
      </c>
      <c r="H208" s="240">
        <v>63331.520202020205</v>
      </c>
      <c r="I208" s="111"/>
      <c r="J208" s="112"/>
      <c r="K208" s="113">
        <f t="shared" si="37"/>
        <v>63331.520202020205</v>
      </c>
      <c r="L208" s="110">
        <v>184</v>
      </c>
      <c r="M208" s="111"/>
      <c r="N208" s="112"/>
      <c r="O208" s="111">
        <v>2140</v>
      </c>
      <c r="P208" s="154">
        <v>0.77</v>
      </c>
      <c r="Q208" s="111">
        <v>8397</v>
      </c>
      <c r="R208" s="112">
        <v>577.91414141414145</v>
      </c>
      <c r="S208" s="111">
        <f t="shared" si="44"/>
        <v>7043.9141414141413</v>
      </c>
      <c r="T208" s="112">
        <v>395.33663636363633</v>
      </c>
      <c r="U208" s="116"/>
      <c r="V208" s="111">
        <v>17892.318181818184</v>
      </c>
      <c r="W208" s="113">
        <f t="shared" si="38"/>
        <v>27655.568959595963</v>
      </c>
      <c r="X208" s="110"/>
      <c r="Y208" s="111"/>
      <c r="Z208" s="116"/>
      <c r="AA208" s="111">
        <f t="shared" si="45"/>
        <v>17892.318181818184</v>
      </c>
      <c r="AB208" s="113">
        <f t="shared" si="41"/>
        <v>17892.318181818184</v>
      </c>
      <c r="AC208" s="110">
        <v>36.13636363636364</v>
      </c>
      <c r="AD208" s="111">
        <v>3100.5</v>
      </c>
      <c r="AE208" s="112">
        <v>255.09595959595958</v>
      </c>
      <c r="AF208" s="117">
        <v>8664.295454545454</v>
      </c>
      <c r="AG208" s="111">
        <v>4765.0479797979797</v>
      </c>
      <c r="AH208" s="112">
        <v>622.88383838383834</v>
      </c>
      <c r="AI208" s="112">
        <v>302.87626262626264</v>
      </c>
      <c r="AJ208" s="113">
        <f t="shared" si="42"/>
        <v>17746.835858585855</v>
      </c>
      <c r="AK208" s="143">
        <f t="shared" si="36"/>
        <v>2089611.5719999999</v>
      </c>
      <c r="AL208" s="112">
        <f t="shared" si="36"/>
        <v>1982075.6170000001</v>
      </c>
      <c r="AM208" s="112">
        <f t="shared" si="36"/>
        <v>107535.955</v>
      </c>
      <c r="AN208" s="112">
        <f t="shared" si="36"/>
        <v>4897.1840000000002</v>
      </c>
      <c r="AO208" s="230">
        <f t="shared" si="39"/>
        <v>0.94853782567011935</v>
      </c>
      <c r="AP208" s="193">
        <f t="shared" si="34"/>
        <v>32552.752959595964</v>
      </c>
      <c r="AQ208" s="194">
        <f t="shared" si="40"/>
        <v>30778.767242424241</v>
      </c>
      <c r="AR208" s="147">
        <v>212</v>
      </c>
      <c r="AS208" s="148"/>
      <c r="AT208" s="119"/>
      <c r="AU208" s="120"/>
      <c r="AV208" s="195"/>
      <c r="AW208" s="112">
        <v>2089611572</v>
      </c>
      <c r="AX208" s="162">
        <v>1982075617</v>
      </c>
      <c r="AY208" s="162">
        <v>107535955</v>
      </c>
      <c r="AZ208" s="162">
        <v>4897184</v>
      </c>
      <c r="BA208" s="231">
        <f t="shared" si="43"/>
        <v>0.94853782567011935</v>
      </c>
      <c r="BB208" s="210"/>
      <c r="BC208" s="115"/>
      <c r="BD208" s="236"/>
    </row>
    <row r="209" spans="1:56" s="121" customFormat="1" ht="16.5" customHeight="1">
      <c r="A209" s="104" t="s">
        <v>2429</v>
      </c>
      <c r="B209" s="105" t="s">
        <v>1177</v>
      </c>
      <c r="C209" s="106" t="s">
        <v>1239</v>
      </c>
      <c r="D209" s="106" t="s">
        <v>2415</v>
      </c>
      <c r="E209" s="71" t="s">
        <v>1240</v>
      </c>
      <c r="F209" s="71" t="s">
        <v>708</v>
      </c>
      <c r="G209" s="109" t="s">
        <v>1207</v>
      </c>
      <c r="H209" s="240">
        <v>34055.628787878792</v>
      </c>
      <c r="I209" s="111"/>
      <c r="J209" s="112"/>
      <c r="K209" s="113">
        <f t="shared" si="37"/>
        <v>34055.628787878792</v>
      </c>
      <c r="L209" s="110">
        <v>13</v>
      </c>
      <c r="M209" s="111"/>
      <c r="N209" s="112"/>
      <c r="O209" s="111"/>
      <c r="P209" s="154">
        <v>0.38500000000000001</v>
      </c>
      <c r="Q209" s="111">
        <v>8397</v>
      </c>
      <c r="R209" s="112">
        <v>310.76515151515156</v>
      </c>
      <c r="S209" s="111">
        <f t="shared" si="44"/>
        <v>3543.7651515151515</v>
      </c>
      <c r="T209" s="112">
        <v>212.58668181818183</v>
      </c>
      <c r="U209" s="116"/>
      <c r="V209" s="111">
        <v>9621.3409090909099</v>
      </c>
      <c r="W209" s="113">
        <f t="shared" si="38"/>
        <v>13390.692742424242</v>
      </c>
      <c r="X209" s="110"/>
      <c r="Y209" s="111"/>
      <c r="Z209" s="116"/>
      <c r="AA209" s="111">
        <f t="shared" si="45"/>
        <v>9621.3409090909099</v>
      </c>
      <c r="AB209" s="113">
        <f t="shared" si="41"/>
        <v>9621.3409090909099</v>
      </c>
      <c r="AC209" s="110">
        <v>19.431818181818183</v>
      </c>
      <c r="AD209" s="111">
        <v>1667.2500000000002</v>
      </c>
      <c r="AE209" s="112">
        <v>137.17424242424244</v>
      </c>
      <c r="AF209" s="117">
        <v>4659.102272727273</v>
      </c>
      <c r="AG209" s="111">
        <v>2562.3371212121215</v>
      </c>
      <c r="AH209" s="112">
        <v>334.94696969696975</v>
      </c>
      <c r="AI209" s="112">
        <v>162.86742424242425</v>
      </c>
      <c r="AJ209" s="113">
        <f t="shared" si="42"/>
        <v>9543.1098484848499</v>
      </c>
      <c r="AK209" s="143">
        <f t="shared" si="36"/>
        <v>1414823.07</v>
      </c>
      <c r="AL209" s="112">
        <f t="shared" si="36"/>
        <v>1206234.94</v>
      </c>
      <c r="AM209" s="112">
        <f t="shared" si="36"/>
        <v>208588.13</v>
      </c>
      <c r="AN209" s="112">
        <f t="shared" si="36"/>
        <v>11120.877</v>
      </c>
      <c r="AO209" s="230">
        <f t="shared" si="39"/>
        <v>0.85256945944484774</v>
      </c>
      <c r="AP209" s="193">
        <f t="shared" si="34"/>
        <v>24511.569742424243</v>
      </c>
      <c r="AQ209" s="194">
        <f t="shared" si="40"/>
        <v>9544.0590454545491</v>
      </c>
      <c r="AR209" s="147">
        <v>114</v>
      </c>
      <c r="AS209" s="148"/>
      <c r="AT209" s="119"/>
      <c r="AU209" s="120"/>
      <c r="AV209" s="195"/>
      <c r="AW209" s="112">
        <v>1414823070</v>
      </c>
      <c r="AX209" s="162">
        <v>1206234940</v>
      </c>
      <c r="AY209" s="162">
        <v>208588130</v>
      </c>
      <c r="AZ209" s="162">
        <v>11120877</v>
      </c>
      <c r="BA209" s="231">
        <f t="shared" si="43"/>
        <v>0.85256945944484774</v>
      </c>
      <c r="BB209" s="210"/>
      <c r="BC209" s="115"/>
      <c r="BD209" s="236"/>
    </row>
    <row r="210" spans="1:56" s="121" customFormat="1" ht="16.5" customHeight="1">
      <c r="A210" s="104" t="s">
        <v>2429</v>
      </c>
      <c r="B210" s="105" t="s">
        <v>1189</v>
      </c>
      <c r="C210" s="106" t="s">
        <v>1242</v>
      </c>
      <c r="D210" s="106" t="s">
        <v>2415</v>
      </c>
      <c r="E210" s="71" t="s">
        <v>1243</v>
      </c>
      <c r="F210" s="71" t="s">
        <v>708</v>
      </c>
      <c r="G210" s="109" t="s">
        <v>1207</v>
      </c>
      <c r="H210" s="240">
        <v>4779.7373737373746</v>
      </c>
      <c r="I210" s="111"/>
      <c r="J210" s="112"/>
      <c r="K210" s="113">
        <f t="shared" si="37"/>
        <v>4779.7373737373746</v>
      </c>
      <c r="L210" s="110">
        <v>31</v>
      </c>
      <c r="M210" s="111"/>
      <c r="N210" s="112"/>
      <c r="O210" s="111"/>
      <c r="P210" s="154">
        <v>5.5E-2</v>
      </c>
      <c r="Q210" s="111">
        <v>8397</v>
      </c>
      <c r="R210" s="112">
        <v>43.616161616161619</v>
      </c>
      <c r="S210" s="111">
        <f t="shared" si="44"/>
        <v>505.61616161616161</v>
      </c>
      <c r="T210" s="112">
        <v>29.836727272727277</v>
      </c>
      <c r="U210" s="116"/>
      <c r="V210" s="111">
        <v>1350.3636363636365</v>
      </c>
      <c r="W210" s="113">
        <f t="shared" si="38"/>
        <v>1916.8165252525255</v>
      </c>
      <c r="X210" s="110"/>
      <c r="Y210" s="111"/>
      <c r="Z210" s="116"/>
      <c r="AA210" s="111">
        <f t="shared" si="45"/>
        <v>1350.3636363636365</v>
      </c>
      <c r="AB210" s="113">
        <f t="shared" si="41"/>
        <v>1350.3636363636365</v>
      </c>
      <c r="AC210" s="110">
        <v>2.7272727272727275</v>
      </c>
      <c r="AD210" s="111">
        <v>234.00000000000003</v>
      </c>
      <c r="AE210" s="112">
        <v>19.252525252525253</v>
      </c>
      <c r="AF210" s="117">
        <v>653.90909090909099</v>
      </c>
      <c r="AG210" s="111">
        <v>359.62626262626264</v>
      </c>
      <c r="AH210" s="112">
        <v>47.010101010101017</v>
      </c>
      <c r="AI210" s="112">
        <v>22.858585858585862</v>
      </c>
      <c r="AJ210" s="113">
        <f t="shared" si="42"/>
        <v>1339.3838383838386</v>
      </c>
      <c r="AK210" s="143">
        <f t="shared" si="36"/>
        <v>193948.52499999999</v>
      </c>
      <c r="AL210" s="112">
        <f t="shared" si="36"/>
        <v>149199.58600000001</v>
      </c>
      <c r="AM210" s="112">
        <f t="shared" si="36"/>
        <v>44748.938999999998</v>
      </c>
      <c r="AN210" s="112">
        <f t="shared" si="36"/>
        <v>264.26400000000001</v>
      </c>
      <c r="AO210" s="230">
        <f t="shared" si="39"/>
        <v>0.76927414632310298</v>
      </c>
      <c r="AP210" s="193">
        <f t="shared" si="34"/>
        <v>2181.0805252525256</v>
      </c>
      <c r="AQ210" s="194">
        <f t="shared" si="40"/>
        <v>2598.656848484849</v>
      </c>
      <c r="AR210" s="147">
        <v>16</v>
      </c>
      <c r="AS210" s="148"/>
      <c r="AT210" s="119"/>
      <c r="AU210" s="120"/>
      <c r="AV210" s="195"/>
      <c r="AW210" s="112">
        <v>193948525</v>
      </c>
      <c r="AX210" s="162">
        <v>149199586</v>
      </c>
      <c r="AY210" s="162">
        <v>44748939</v>
      </c>
      <c r="AZ210" s="162">
        <v>264264</v>
      </c>
      <c r="BA210" s="231">
        <f t="shared" si="43"/>
        <v>0.76927414632310298</v>
      </c>
      <c r="BB210" s="210"/>
      <c r="BC210" s="115"/>
      <c r="BD210" s="236"/>
    </row>
    <row r="211" spans="1:56" s="121" customFormat="1" ht="16.5" customHeight="1">
      <c r="A211" s="104" t="s">
        <v>2429</v>
      </c>
      <c r="B211" s="105" t="s">
        <v>1195</v>
      </c>
      <c r="C211" s="106" t="s">
        <v>1246</v>
      </c>
      <c r="D211" s="106" t="s">
        <v>2415</v>
      </c>
      <c r="E211" s="71" t="s">
        <v>1247</v>
      </c>
      <c r="F211" s="71" t="s">
        <v>708</v>
      </c>
      <c r="G211" s="109" t="s">
        <v>1207</v>
      </c>
      <c r="H211" s="240">
        <v>34354.362373737371</v>
      </c>
      <c r="I211" s="111"/>
      <c r="J211" s="112"/>
      <c r="K211" s="113">
        <f t="shared" si="37"/>
        <v>34354.362373737371</v>
      </c>
      <c r="L211" s="110">
        <v>99</v>
      </c>
      <c r="M211" s="111"/>
      <c r="N211" s="112"/>
      <c r="O211" s="111"/>
      <c r="P211" s="154">
        <v>0.44</v>
      </c>
      <c r="Q211" s="111">
        <v>8397</v>
      </c>
      <c r="R211" s="112">
        <v>313.49116161616161</v>
      </c>
      <c r="S211" s="111">
        <f t="shared" si="44"/>
        <v>4008.4911616161617</v>
      </c>
      <c r="T211" s="112">
        <v>214.45147727272726</v>
      </c>
      <c r="U211" s="116"/>
      <c r="V211" s="111">
        <v>9705.738636363636</v>
      </c>
      <c r="W211" s="113">
        <f t="shared" si="38"/>
        <v>14027.681275252526</v>
      </c>
      <c r="X211" s="110"/>
      <c r="Y211" s="111"/>
      <c r="Z211" s="116"/>
      <c r="AA211" s="111">
        <f t="shared" si="45"/>
        <v>9705.738636363636</v>
      </c>
      <c r="AB211" s="113">
        <f t="shared" si="41"/>
        <v>9705.738636363636</v>
      </c>
      <c r="AC211" s="110">
        <v>19.602272727272727</v>
      </c>
      <c r="AD211" s="111">
        <v>1681.875</v>
      </c>
      <c r="AE211" s="112">
        <v>138.37752525252523</v>
      </c>
      <c r="AF211" s="117">
        <v>4699.971590909091</v>
      </c>
      <c r="AG211" s="111">
        <v>2584.8137626262624</v>
      </c>
      <c r="AH211" s="112">
        <v>337.88510101010098</v>
      </c>
      <c r="AI211" s="112">
        <v>164.29608585858585</v>
      </c>
      <c r="AJ211" s="113">
        <f t="shared" si="42"/>
        <v>9626.8213383838392</v>
      </c>
      <c r="AK211" s="143">
        <f t="shared" si="36"/>
        <v>1053161.7660000001</v>
      </c>
      <c r="AL211" s="112">
        <f t="shared" si="36"/>
        <v>965754.85900000005</v>
      </c>
      <c r="AM211" s="112">
        <f t="shared" si="36"/>
        <v>87406.907000000007</v>
      </c>
      <c r="AN211" s="112">
        <f t="shared" si="36"/>
        <v>2996.1219999999998</v>
      </c>
      <c r="AO211" s="230">
        <f t="shared" si="39"/>
        <v>0.91700524095934566</v>
      </c>
      <c r="AP211" s="193">
        <f t="shared" si="34"/>
        <v>17023.803275252525</v>
      </c>
      <c r="AQ211" s="194">
        <f t="shared" si="40"/>
        <v>17330.559098484846</v>
      </c>
      <c r="AR211" s="147">
        <v>115</v>
      </c>
      <c r="AS211" s="148"/>
      <c r="AT211" s="119"/>
      <c r="AU211" s="120"/>
      <c r="AV211" s="195"/>
      <c r="AW211" s="112">
        <v>1053161766</v>
      </c>
      <c r="AX211" s="162">
        <v>965754859</v>
      </c>
      <c r="AY211" s="162">
        <v>87406907</v>
      </c>
      <c r="AZ211" s="162">
        <v>2996122</v>
      </c>
      <c r="BA211" s="231">
        <f t="shared" si="43"/>
        <v>0.91700524095934566</v>
      </c>
      <c r="BB211" s="210"/>
      <c r="BC211" s="115"/>
      <c r="BD211" s="236"/>
    </row>
    <row r="212" spans="1:56" s="121" customFormat="1" ht="16.5" customHeight="1">
      <c r="A212" s="104" t="s">
        <v>2429</v>
      </c>
      <c r="B212" s="105" t="s">
        <v>72</v>
      </c>
      <c r="C212" s="106" t="s">
        <v>1250</v>
      </c>
      <c r="D212" s="106" t="s">
        <v>2415</v>
      </c>
      <c r="E212" s="71" t="s">
        <v>1251</v>
      </c>
      <c r="F212" s="71" t="s">
        <v>708</v>
      </c>
      <c r="G212" s="109" t="s">
        <v>1207</v>
      </c>
      <c r="H212" s="240">
        <v>6572.1388888888887</v>
      </c>
      <c r="I212" s="111"/>
      <c r="J212" s="112"/>
      <c r="K212" s="113">
        <f t="shared" si="37"/>
        <v>6572.1388888888887</v>
      </c>
      <c r="L212" s="110"/>
      <c r="M212" s="111"/>
      <c r="N212" s="112"/>
      <c r="O212" s="111">
        <v>5927</v>
      </c>
      <c r="P212" s="154">
        <v>5.5E-2</v>
      </c>
      <c r="Q212" s="111">
        <v>8397</v>
      </c>
      <c r="R212" s="112">
        <v>59.972222222222221</v>
      </c>
      <c r="S212" s="111">
        <f t="shared" si="44"/>
        <v>521.97222222222217</v>
      </c>
      <c r="T212" s="112">
        <v>41.025500000000001</v>
      </c>
      <c r="U212" s="116"/>
      <c r="V212" s="111">
        <v>1856.75</v>
      </c>
      <c r="W212" s="113">
        <f t="shared" si="38"/>
        <v>8346.7477222222224</v>
      </c>
      <c r="X212" s="110"/>
      <c r="Y212" s="111"/>
      <c r="Z212" s="116"/>
      <c r="AA212" s="111">
        <f t="shared" si="45"/>
        <v>1856.75</v>
      </c>
      <c r="AB212" s="113">
        <f t="shared" si="41"/>
        <v>1856.75</v>
      </c>
      <c r="AC212" s="110">
        <v>3.75</v>
      </c>
      <c r="AD212" s="111">
        <v>321.75</v>
      </c>
      <c r="AE212" s="112">
        <v>26.472222222222221</v>
      </c>
      <c r="AF212" s="117">
        <v>899.125</v>
      </c>
      <c r="AG212" s="111">
        <v>494.48611111111109</v>
      </c>
      <c r="AH212" s="112">
        <v>64.638888888888886</v>
      </c>
      <c r="AI212" s="112">
        <v>31.430555555555554</v>
      </c>
      <c r="AJ212" s="113">
        <f t="shared" si="42"/>
        <v>1841.6527777777778</v>
      </c>
      <c r="AK212" s="143">
        <f t="shared" si="36"/>
        <v>228231</v>
      </c>
      <c r="AL212" s="112">
        <f t="shared" si="36"/>
        <v>219393.56899999999</v>
      </c>
      <c r="AM212" s="112">
        <f t="shared" si="36"/>
        <v>8837.4310000000005</v>
      </c>
      <c r="AN212" s="112">
        <f t="shared" si="36"/>
        <v>318.77999999999997</v>
      </c>
      <c r="AO212" s="230">
        <f t="shared" si="39"/>
        <v>0.96127856864317296</v>
      </c>
      <c r="AP212" s="193">
        <f t="shared" ref="AP212:AP259" si="46">W212+AN212</f>
        <v>8665.527722222223</v>
      </c>
      <c r="AQ212" s="194">
        <f t="shared" si="40"/>
        <v>-2093.3888333333343</v>
      </c>
      <c r="AR212" s="147">
        <v>22</v>
      </c>
      <c r="AS212" s="148"/>
      <c r="AT212" s="119"/>
      <c r="AU212" s="120"/>
      <c r="AV212" s="195"/>
      <c r="AW212" s="112">
        <v>228231000</v>
      </c>
      <c r="AX212" s="162">
        <v>219393569</v>
      </c>
      <c r="AY212" s="162">
        <v>8837431</v>
      </c>
      <c r="AZ212" s="162">
        <v>318780</v>
      </c>
      <c r="BA212" s="231">
        <f t="shared" si="43"/>
        <v>0.96127856864317296</v>
      </c>
      <c r="BB212" s="210"/>
      <c r="BC212" s="115"/>
      <c r="BD212" s="236"/>
    </row>
    <row r="213" spans="1:56" s="121" customFormat="1" ht="16.5" customHeight="1">
      <c r="A213" s="104" t="s">
        <v>2429</v>
      </c>
      <c r="B213" s="105" t="s">
        <v>1197</v>
      </c>
      <c r="C213" s="106" t="s">
        <v>1255</v>
      </c>
      <c r="D213" s="106" t="s">
        <v>2415</v>
      </c>
      <c r="E213" s="71" t="s">
        <v>1256</v>
      </c>
      <c r="F213" s="71" t="s">
        <v>708</v>
      </c>
      <c r="G213" s="109" t="s">
        <v>1207</v>
      </c>
      <c r="H213" s="240">
        <v>4779.7373737373746</v>
      </c>
      <c r="I213" s="111"/>
      <c r="J213" s="112"/>
      <c r="K213" s="113">
        <f t="shared" si="37"/>
        <v>4779.7373737373746</v>
      </c>
      <c r="L213" s="110">
        <v>50</v>
      </c>
      <c r="M213" s="111"/>
      <c r="N213" s="112"/>
      <c r="O213" s="111">
        <v>559</v>
      </c>
      <c r="P213" s="154">
        <v>5.5E-2</v>
      </c>
      <c r="Q213" s="111">
        <v>8397</v>
      </c>
      <c r="R213" s="112">
        <v>43.616161616161619</v>
      </c>
      <c r="S213" s="111">
        <f t="shared" si="44"/>
        <v>505.61616161616161</v>
      </c>
      <c r="T213" s="112">
        <v>29.836727272727277</v>
      </c>
      <c r="U213" s="116"/>
      <c r="V213" s="111">
        <v>1350.3636363636365</v>
      </c>
      <c r="W213" s="113">
        <f t="shared" si="38"/>
        <v>2494.8165252525255</v>
      </c>
      <c r="X213" s="110"/>
      <c r="Y213" s="111"/>
      <c r="Z213" s="116"/>
      <c r="AA213" s="111">
        <f t="shared" si="45"/>
        <v>1350.3636363636365</v>
      </c>
      <c r="AB213" s="113">
        <f t="shared" si="41"/>
        <v>1350.3636363636365</v>
      </c>
      <c r="AC213" s="110">
        <v>2.7272727272727275</v>
      </c>
      <c r="AD213" s="111">
        <v>234.00000000000003</v>
      </c>
      <c r="AE213" s="112">
        <v>19.252525252525253</v>
      </c>
      <c r="AF213" s="117">
        <v>653.90909090909099</v>
      </c>
      <c r="AG213" s="111">
        <v>359.62626262626264</v>
      </c>
      <c r="AH213" s="112">
        <v>47.010101010101017</v>
      </c>
      <c r="AI213" s="112">
        <v>22.858585858585862</v>
      </c>
      <c r="AJ213" s="113">
        <f t="shared" si="42"/>
        <v>1339.3838383838386</v>
      </c>
      <c r="AK213" s="143">
        <f t="shared" si="36"/>
        <v>156178.00399999999</v>
      </c>
      <c r="AL213" s="112">
        <f t="shared" si="36"/>
        <v>80767.373999999996</v>
      </c>
      <c r="AM213" s="112">
        <f t="shared" si="36"/>
        <v>75410.63</v>
      </c>
      <c r="AN213" s="112">
        <f t="shared" si="36"/>
        <v>206.745</v>
      </c>
      <c r="AO213" s="230">
        <f t="shared" si="39"/>
        <v>0.51714948284266715</v>
      </c>
      <c r="AP213" s="193">
        <f t="shared" si="46"/>
        <v>2701.5615252525254</v>
      </c>
      <c r="AQ213" s="194">
        <f t="shared" si="40"/>
        <v>2078.1758484848492</v>
      </c>
      <c r="AR213" s="147">
        <v>16</v>
      </c>
      <c r="AS213" s="148"/>
      <c r="AT213" s="119"/>
      <c r="AU213" s="120"/>
      <c r="AV213" s="195"/>
      <c r="AW213" s="112">
        <v>156178004</v>
      </c>
      <c r="AX213" s="162">
        <v>80767374</v>
      </c>
      <c r="AY213" s="162">
        <v>75410630</v>
      </c>
      <c r="AZ213" s="162">
        <v>206745</v>
      </c>
      <c r="BA213" s="231">
        <f t="shared" si="43"/>
        <v>0.51714948284266715</v>
      </c>
      <c r="BB213" s="210"/>
      <c r="BC213" s="115"/>
      <c r="BD213" s="236"/>
    </row>
    <row r="214" spans="1:56" s="121" customFormat="1" ht="16.5" customHeight="1">
      <c r="A214" s="104" t="s">
        <v>2429</v>
      </c>
      <c r="B214" s="105" t="s">
        <v>1198</v>
      </c>
      <c r="C214" s="106" t="s">
        <v>1259</v>
      </c>
      <c r="D214" s="106" t="s">
        <v>2415</v>
      </c>
      <c r="E214" s="71" t="s">
        <v>1260</v>
      </c>
      <c r="F214" s="71" t="s">
        <v>708</v>
      </c>
      <c r="G214" s="109" t="s">
        <v>1207</v>
      </c>
      <c r="H214" s="240">
        <v>8663.2739898989894</v>
      </c>
      <c r="I214" s="111"/>
      <c r="J214" s="112"/>
      <c r="K214" s="113">
        <f t="shared" si="37"/>
        <v>8663.2739898989894</v>
      </c>
      <c r="L214" s="110">
        <v>25</v>
      </c>
      <c r="M214" s="111"/>
      <c r="N214" s="112"/>
      <c r="O214" s="111"/>
      <c r="P214" s="154">
        <v>0.11</v>
      </c>
      <c r="Q214" s="111">
        <v>8397</v>
      </c>
      <c r="R214" s="112">
        <v>79.054292929292927</v>
      </c>
      <c r="S214" s="111">
        <f t="shared" si="44"/>
        <v>1003.054292929293</v>
      </c>
      <c r="T214" s="112">
        <v>54.079068181818187</v>
      </c>
      <c r="U214" s="116"/>
      <c r="V214" s="111">
        <v>2447.534090909091</v>
      </c>
      <c r="W214" s="113">
        <f t="shared" si="38"/>
        <v>3529.6674520202023</v>
      </c>
      <c r="X214" s="110"/>
      <c r="Y214" s="111"/>
      <c r="Z214" s="116"/>
      <c r="AA214" s="111">
        <f t="shared" si="45"/>
        <v>2447.534090909091</v>
      </c>
      <c r="AB214" s="113">
        <f t="shared" si="41"/>
        <v>2447.534090909091</v>
      </c>
      <c r="AC214" s="110">
        <v>4.9431818181818183</v>
      </c>
      <c r="AD214" s="111">
        <v>424.125</v>
      </c>
      <c r="AE214" s="112">
        <v>34.895202020202021</v>
      </c>
      <c r="AF214" s="117">
        <v>1185.2102272727273</v>
      </c>
      <c r="AG214" s="111">
        <v>651.82260101010104</v>
      </c>
      <c r="AH214" s="112">
        <v>85.205808080808083</v>
      </c>
      <c r="AI214" s="112">
        <v>41.431186868686872</v>
      </c>
      <c r="AJ214" s="113">
        <f t="shared" si="42"/>
        <v>2427.6332070707072</v>
      </c>
      <c r="AK214" s="143">
        <f t="shared" si="36"/>
        <v>259260.22</v>
      </c>
      <c r="AL214" s="112">
        <f t="shared" si="36"/>
        <v>231444.23199999999</v>
      </c>
      <c r="AM214" s="112">
        <f t="shared" si="36"/>
        <v>27815.988000000001</v>
      </c>
      <c r="AN214" s="112">
        <f t="shared" si="36"/>
        <v>906.59900000000005</v>
      </c>
      <c r="AO214" s="230">
        <f t="shared" si="39"/>
        <v>0.89271015815692822</v>
      </c>
      <c r="AP214" s="193">
        <f t="shared" si="46"/>
        <v>4436.2664520202025</v>
      </c>
      <c r="AQ214" s="194">
        <f t="shared" si="40"/>
        <v>4227.0075378787869</v>
      </c>
      <c r="AR214" s="147">
        <v>29</v>
      </c>
      <c r="AS214" s="148"/>
      <c r="AT214" s="119"/>
      <c r="AU214" s="120"/>
      <c r="AV214" s="195"/>
      <c r="AW214" s="112">
        <v>259260220</v>
      </c>
      <c r="AX214" s="162">
        <v>231444232</v>
      </c>
      <c r="AY214" s="162">
        <v>27815988</v>
      </c>
      <c r="AZ214" s="162">
        <v>906599</v>
      </c>
      <c r="BA214" s="231">
        <f t="shared" si="43"/>
        <v>0.89271015815692822</v>
      </c>
      <c r="BB214" s="210"/>
      <c r="BC214" s="115"/>
      <c r="BD214" s="236"/>
    </row>
    <row r="215" spans="1:56" s="121" customFormat="1" ht="16.5" customHeight="1">
      <c r="A215" s="104" t="s">
        <v>2429</v>
      </c>
      <c r="B215" s="105" t="s">
        <v>1204</v>
      </c>
      <c r="C215" s="106" t="s">
        <v>1264</v>
      </c>
      <c r="D215" s="106" t="s">
        <v>2415</v>
      </c>
      <c r="E215" s="71" t="s">
        <v>1265</v>
      </c>
      <c r="F215" s="71" t="s">
        <v>708</v>
      </c>
      <c r="G215" s="109" t="s">
        <v>1207</v>
      </c>
      <c r="H215" s="240">
        <v>21807.551767676767</v>
      </c>
      <c r="I215" s="111"/>
      <c r="J215" s="112"/>
      <c r="K215" s="113">
        <f t="shared" si="37"/>
        <v>21807.551767676767</v>
      </c>
      <c r="L215" s="110">
        <v>119</v>
      </c>
      <c r="M215" s="111"/>
      <c r="N215" s="112"/>
      <c r="O215" s="111">
        <v>715</v>
      </c>
      <c r="P215" s="154">
        <v>0.27500000000000002</v>
      </c>
      <c r="Q215" s="111">
        <v>8397</v>
      </c>
      <c r="R215" s="112">
        <v>198.99873737373736</v>
      </c>
      <c r="S215" s="111">
        <f t="shared" si="44"/>
        <v>2507.9987373737372</v>
      </c>
      <c r="T215" s="112">
        <v>136.13006818181819</v>
      </c>
      <c r="U215" s="116"/>
      <c r="V215" s="111">
        <v>6161.034090909091</v>
      </c>
      <c r="W215" s="113">
        <f t="shared" si="38"/>
        <v>9639.1628964646461</v>
      </c>
      <c r="X215" s="110"/>
      <c r="Y215" s="111"/>
      <c r="Z215" s="116"/>
      <c r="AA215" s="111">
        <f t="shared" si="45"/>
        <v>6161.034090909091</v>
      </c>
      <c r="AB215" s="113">
        <f t="shared" si="41"/>
        <v>6161.034090909091</v>
      </c>
      <c r="AC215" s="110">
        <v>12.443181818181818</v>
      </c>
      <c r="AD215" s="111">
        <v>1067.625</v>
      </c>
      <c r="AE215" s="112">
        <v>87.839646464646464</v>
      </c>
      <c r="AF215" s="117">
        <v>2983.460227272727</v>
      </c>
      <c r="AG215" s="111">
        <v>1640.7948232323231</v>
      </c>
      <c r="AH215" s="112">
        <v>214.48358585858585</v>
      </c>
      <c r="AI215" s="112">
        <v>104.29229797979798</v>
      </c>
      <c r="AJ215" s="113">
        <f t="shared" si="42"/>
        <v>6110.9387626262615</v>
      </c>
      <c r="AK215" s="143">
        <f t="shared" si="36"/>
        <v>641224.35</v>
      </c>
      <c r="AL215" s="112">
        <f t="shared" si="36"/>
        <v>597249.29299999995</v>
      </c>
      <c r="AM215" s="112">
        <f t="shared" si="36"/>
        <v>43975.057000000001</v>
      </c>
      <c r="AN215" s="112">
        <f t="shared" si="36"/>
        <v>3048.5709999999999</v>
      </c>
      <c r="AO215" s="230">
        <f t="shared" si="39"/>
        <v>0.93142016986722354</v>
      </c>
      <c r="AP215" s="193">
        <f t="shared" si="46"/>
        <v>12687.733896464646</v>
      </c>
      <c r="AQ215" s="194">
        <f t="shared" si="40"/>
        <v>9119.8178712121207</v>
      </c>
      <c r="AR215" s="147">
        <v>73</v>
      </c>
      <c r="AS215" s="148"/>
      <c r="AT215" s="119"/>
      <c r="AU215" s="120"/>
      <c r="AV215" s="195"/>
      <c r="AW215" s="112">
        <v>641224350</v>
      </c>
      <c r="AX215" s="162">
        <v>597249293</v>
      </c>
      <c r="AY215" s="162">
        <v>43975057</v>
      </c>
      <c r="AZ215" s="162">
        <v>3048571</v>
      </c>
      <c r="BA215" s="231">
        <f t="shared" si="43"/>
        <v>0.93142016986722354</v>
      </c>
      <c r="BB215" s="210"/>
      <c r="BC215" s="115"/>
      <c r="BD215" s="236"/>
    </row>
    <row r="216" spans="1:56" s="121" customFormat="1" ht="16.5" customHeight="1">
      <c r="A216" s="104" t="s">
        <v>2429</v>
      </c>
      <c r="B216" s="105" t="s">
        <v>1216</v>
      </c>
      <c r="C216" s="106" t="s">
        <v>1268</v>
      </c>
      <c r="D216" s="106" t="s">
        <v>2415</v>
      </c>
      <c r="E216" s="71" t="s">
        <v>1269</v>
      </c>
      <c r="F216" s="71" t="s">
        <v>708</v>
      </c>
      <c r="G216" s="109" t="s">
        <v>1207</v>
      </c>
      <c r="H216" s="240">
        <v>22405.018939393936</v>
      </c>
      <c r="I216" s="111"/>
      <c r="J216" s="112"/>
      <c r="K216" s="113">
        <f t="shared" si="37"/>
        <v>22405.018939393936</v>
      </c>
      <c r="L216" s="214">
        <v>129</v>
      </c>
      <c r="M216" s="111"/>
      <c r="N216" s="112"/>
      <c r="O216" s="111">
        <v>7741</v>
      </c>
      <c r="P216" s="154">
        <v>0.27500000000000002</v>
      </c>
      <c r="Q216" s="111">
        <v>8397</v>
      </c>
      <c r="R216" s="112">
        <v>204.45075757575754</v>
      </c>
      <c r="S216" s="111">
        <f t="shared" si="44"/>
        <v>2513.4507575757575</v>
      </c>
      <c r="T216" s="112">
        <v>139.85965909090905</v>
      </c>
      <c r="U216" s="116"/>
      <c r="V216" s="111">
        <v>6329.8295454545441</v>
      </c>
      <c r="W216" s="113">
        <f t="shared" si="38"/>
        <v>16853.139962121211</v>
      </c>
      <c r="X216" s="110"/>
      <c r="Y216" s="111"/>
      <c r="Z216" s="116"/>
      <c r="AA216" s="111">
        <f t="shared" si="45"/>
        <v>6329.8295454545441</v>
      </c>
      <c r="AB216" s="113">
        <f t="shared" si="41"/>
        <v>6329.8295454545441</v>
      </c>
      <c r="AC216" s="110">
        <v>12.784090909090907</v>
      </c>
      <c r="AD216" s="111">
        <v>1096.8749999999998</v>
      </c>
      <c r="AE216" s="112">
        <v>90.24621212121211</v>
      </c>
      <c r="AF216" s="117">
        <v>3065.1988636363631</v>
      </c>
      <c r="AG216" s="111">
        <v>1685.7481060606058</v>
      </c>
      <c r="AH216" s="112">
        <v>220.35984848484844</v>
      </c>
      <c r="AI216" s="112">
        <v>107.14962121212119</v>
      </c>
      <c r="AJ216" s="113">
        <f t="shared" si="42"/>
        <v>6278.3617424242411</v>
      </c>
      <c r="AK216" s="143">
        <f t="shared" si="36"/>
        <v>755720.01699999999</v>
      </c>
      <c r="AL216" s="112">
        <f t="shared" si="36"/>
        <v>580802.31999999995</v>
      </c>
      <c r="AM216" s="112">
        <f t="shared" si="36"/>
        <v>174917.69699999999</v>
      </c>
      <c r="AN216" s="112">
        <f t="shared" si="36"/>
        <v>9968.7530000000006</v>
      </c>
      <c r="AO216" s="230">
        <f t="shared" si="39"/>
        <v>0.76854166481605846</v>
      </c>
      <c r="AP216" s="193">
        <f t="shared" si="46"/>
        <v>26821.892962121212</v>
      </c>
      <c r="AQ216" s="194">
        <f t="shared" si="40"/>
        <v>-4416.8740227272756</v>
      </c>
      <c r="AR216" s="147">
        <v>75</v>
      </c>
      <c r="AS216" s="148"/>
      <c r="AT216" s="119"/>
      <c r="AU216" s="120"/>
      <c r="AV216" s="195"/>
      <c r="AW216" s="112">
        <v>755720017</v>
      </c>
      <c r="AX216" s="162">
        <v>580802320</v>
      </c>
      <c r="AY216" s="162">
        <v>174917697</v>
      </c>
      <c r="AZ216" s="162">
        <v>9968753</v>
      </c>
      <c r="BA216" s="231">
        <f t="shared" si="43"/>
        <v>0.76854166481605846</v>
      </c>
      <c r="BB216" s="210"/>
      <c r="BC216" s="115"/>
      <c r="BD216" s="236"/>
    </row>
    <row r="217" spans="1:56" s="121" customFormat="1" ht="16.5" customHeight="1">
      <c r="A217" s="104" t="s">
        <v>2429</v>
      </c>
      <c r="B217" s="105" t="s">
        <v>1221</v>
      </c>
      <c r="C217" s="106" t="s">
        <v>1271</v>
      </c>
      <c r="D217" s="106" t="s">
        <v>2415</v>
      </c>
      <c r="E217" s="71" t="s">
        <v>1272</v>
      </c>
      <c r="F217" s="71" t="s">
        <v>708</v>
      </c>
      <c r="G217" s="109" t="s">
        <v>1207</v>
      </c>
      <c r="H217" s="240">
        <v>5974.6717171717173</v>
      </c>
      <c r="I217" s="111"/>
      <c r="J217" s="112"/>
      <c r="K217" s="113">
        <f t="shared" si="37"/>
        <v>5974.6717171717173</v>
      </c>
      <c r="L217" s="110">
        <v>4</v>
      </c>
      <c r="M217" s="111"/>
      <c r="N217" s="112"/>
      <c r="O217" s="111">
        <v>696</v>
      </c>
      <c r="P217" s="154">
        <v>5.5E-2</v>
      </c>
      <c r="Q217" s="111">
        <v>8397</v>
      </c>
      <c r="R217" s="112">
        <v>54.520202020202021</v>
      </c>
      <c r="S217" s="111">
        <f t="shared" si="44"/>
        <v>516.52020202020208</v>
      </c>
      <c r="T217" s="112">
        <v>37.295909090909092</v>
      </c>
      <c r="U217" s="116"/>
      <c r="V217" s="111">
        <v>1687.9545454545455</v>
      </c>
      <c r="W217" s="113">
        <f t="shared" si="38"/>
        <v>2941.7706565656567</v>
      </c>
      <c r="X217" s="110"/>
      <c r="Y217" s="111"/>
      <c r="Z217" s="116"/>
      <c r="AA217" s="111">
        <f t="shared" si="45"/>
        <v>1687.9545454545455</v>
      </c>
      <c r="AB217" s="113">
        <f t="shared" si="41"/>
        <v>1687.9545454545455</v>
      </c>
      <c r="AC217" s="110">
        <v>3.4090909090909092</v>
      </c>
      <c r="AD217" s="111">
        <v>292.5</v>
      </c>
      <c r="AE217" s="112">
        <v>24.065656565656564</v>
      </c>
      <c r="AF217" s="117">
        <v>817.38636363636363</v>
      </c>
      <c r="AG217" s="111">
        <v>449.53282828282829</v>
      </c>
      <c r="AH217" s="112">
        <v>58.762626262626263</v>
      </c>
      <c r="AI217" s="112">
        <v>28.573232323232322</v>
      </c>
      <c r="AJ217" s="113">
        <f t="shared" si="42"/>
        <v>1674.2297979797981</v>
      </c>
      <c r="AK217" s="143">
        <f t="shared" si="36"/>
        <v>244196.30900000001</v>
      </c>
      <c r="AL217" s="112">
        <f t="shared" si="36"/>
        <v>224284.92199999999</v>
      </c>
      <c r="AM217" s="112">
        <f t="shared" si="36"/>
        <v>19911.386999999999</v>
      </c>
      <c r="AN217" s="112">
        <f t="shared" si="36"/>
        <v>5244.4889999999996</v>
      </c>
      <c r="AO217" s="230">
        <f t="shared" si="39"/>
        <v>0.91846155627192549</v>
      </c>
      <c r="AP217" s="193">
        <f t="shared" si="46"/>
        <v>8186.2596565656568</v>
      </c>
      <c r="AQ217" s="194">
        <f t="shared" si="40"/>
        <v>-2211.5879393939395</v>
      </c>
      <c r="AR217" s="147">
        <v>20</v>
      </c>
      <c r="AS217" s="148"/>
      <c r="AT217" s="119"/>
      <c r="AU217" s="120"/>
      <c r="AV217" s="195"/>
      <c r="AW217" s="112">
        <v>244196309</v>
      </c>
      <c r="AX217" s="162">
        <v>224284922</v>
      </c>
      <c r="AY217" s="162">
        <v>19911387</v>
      </c>
      <c r="AZ217" s="162">
        <v>5244489</v>
      </c>
      <c r="BA217" s="231">
        <f t="shared" si="43"/>
        <v>0.91846155627192549</v>
      </c>
      <c r="BB217" s="210"/>
      <c r="BC217" s="115"/>
      <c r="BD217" s="236"/>
    </row>
    <row r="218" spans="1:56" s="121" customFormat="1" ht="16.5" customHeight="1">
      <c r="A218" s="104" t="s">
        <v>2429</v>
      </c>
      <c r="B218" s="105" t="s">
        <v>1225</v>
      </c>
      <c r="C218" s="106" t="s">
        <v>1275</v>
      </c>
      <c r="D218" s="106" t="s">
        <v>2415</v>
      </c>
      <c r="E218" s="71" t="s">
        <v>1276</v>
      </c>
      <c r="F218" s="71" t="s">
        <v>708</v>
      </c>
      <c r="G218" s="109" t="s">
        <v>1207</v>
      </c>
      <c r="H218" s="240">
        <v>5377.204545454546</v>
      </c>
      <c r="I218" s="111"/>
      <c r="J218" s="112"/>
      <c r="K218" s="113">
        <f t="shared" si="37"/>
        <v>5377.204545454546</v>
      </c>
      <c r="L218" s="110"/>
      <c r="M218" s="111"/>
      <c r="N218" s="112"/>
      <c r="O218" s="111"/>
      <c r="P218" s="154">
        <v>5.5E-2</v>
      </c>
      <c r="Q218" s="111">
        <v>8397</v>
      </c>
      <c r="R218" s="112">
        <v>49.06818181818182</v>
      </c>
      <c r="S218" s="111">
        <f t="shared" si="44"/>
        <v>511.06818181818181</v>
      </c>
      <c r="T218" s="112">
        <v>33.566318181818183</v>
      </c>
      <c r="U218" s="116"/>
      <c r="V218" s="111">
        <v>1519.159090909091</v>
      </c>
      <c r="W218" s="113">
        <f t="shared" si="38"/>
        <v>2063.7935909090911</v>
      </c>
      <c r="X218" s="110"/>
      <c r="Y218" s="111"/>
      <c r="Z218" s="116"/>
      <c r="AA218" s="111">
        <f t="shared" si="45"/>
        <v>1519.159090909091</v>
      </c>
      <c r="AB218" s="113">
        <f t="shared" si="41"/>
        <v>1519.159090909091</v>
      </c>
      <c r="AC218" s="110">
        <v>3.0681818181818183</v>
      </c>
      <c r="AD218" s="111">
        <v>263.25</v>
      </c>
      <c r="AE218" s="112">
        <v>21.65909090909091</v>
      </c>
      <c r="AF218" s="117">
        <v>735.64772727272725</v>
      </c>
      <c r="AG218" s="111">
        <v>404.57954545454544</v>
      </c>
      <c r="AH218" s="112">
        <v>52.88636363636364</v>
      </c>
      <c r="AI218" s="112">
        <v>25.71590909090909</v>
      </c>
      <c r="AJ218" s="113">
        <f t="shared" si="42"/>
        <v>1506.8068181818182</v>
      </c>
      <c r="AK218" s="143">
        <f t="shared" si="36"/>
        <v>240302.024</v>
      </c>
      <c r="AL218" s="112">
        <f t="shared" si="36"/>
        <v>181973.86300000001</v>
      </c>
      <c r="AM218" s="112">
        <f t="shared" si="36"/>
        <v>58328.161</v>
      </c>
      <c r="AN218" s="112">
        <f t="shared" si="36"/>
        <v>5307.4979999999996</v>
      </c>
      <c r="AO218" s="230">
        <f t="shared" si="39"/>
        <v>0.75727145352716629</v>
      </c>
      <c r="AP218" s="193">
        <f t="shared" si="46"/>
        <v>7371.2915909090907</v>
      </c>
      <c r="AQ218" s="194">
        <f t="shared" si="40"/>
        <v>-1994.0870454545448</v>
      </c>
      <c r="AR218" s="147">
        <v>18</v>
      </c>
      <c r="AS218" s="148"/>
      <c r="AT218" s="119"/>
      <c r="AU218" s="120"/>
      <c r="AV218" s="195"/>
      <c r="AW218" s="112">
        <v>240302024</v>
      </c>
      <c r="AX218" s="162">
        <v>181973863</v>
      </c>
      <c r="AY218" s="162">
        <v>58328161</v>
      </c>
      <c r="AZ218" s="162">
        <v>5307498</v>
      </c>
      <c r="BA218" s="231">
        <f t="shared" si="43"/>
        <v>0.75727145352716629</v>
      </c>
      <c r="BB218" s="210"/>
      <c r="BC218" s="115"/>
      <c r="BD218" s="236"/>
    </row>
    <row r="219" spans="1:56" s="121" customFormat="1" ht="16.5" customHeight="1">
      <c r="A219" s="104" t="s">
        <v>2429</v>
      </c>
      <c r="B219" s="105" t="s">
        <v>1228</v>
      </c>
      <c r="C219" s="106" t="s">
        <v>1279</v>
      </c>
      <c r="D219" s="106" t="s">
        <v>2415</v>
      </c>
      <c r="E219" s="71" t="s">
        <v>1280</v>
      </c>
      <c r="F219" s="71" t="s">
        <v>708</v>
      </c>
      <c r="G219" s="109" t="s">
        <v>1207</v>
      </c>
      <c r="H219" s="240">
        <v>6870.8724747474744</v>
      </c>
      <c r="I219" s="111"/>
      <c r="J219" s="112"/>
      <c r="K219" s="113">
        <f t="shared" si="37"/>
        <v>6870.8724747474744</v>
      </c>
      <c r="L219" s="110"/>
      <c r="M219" s="111"/>
      <c r="N219" s="112"/>
      <c r="O219" s="111"/>
      <c r="P219" s="154">
        <v>5.5E-2</v>
      </c>
      <c r="Q219" s="111">
        <v>8397</v>
      </c>
      <c r="R219" s="112">
        <v>62.698232323232325</v>
      </c>
      <c r="S219" s="111">
        <f t="shared" si="44"/>
        <v>524.69823232323233</v>
      </c>
      <c r="T219" s="112">
        <v>42.890295454545459</v>
      </c>
      <c r="U219" s="116"/>
      <c r="V219" s="111">
        <v>1941.1477272727273</v>
      </c>
      <c r="W219" s="113">
        <f t="shared" si="38"/>
        <v>2508.736255050505</v>
      </c>
      <c r="X219" s="110"/>
      <c r="Y219" s="111"/>
      <c r="Z219" s="116"/>
      <c r="AA219" s="111">
        <f t="shared" si="45"/>
        <v>1941.1477272727273</v>
      </c>
      <c r="AB219" s="113">
        <f t="shared" si="41"/>
        <v>1941.1477272727273</v>
      </c>
      <c r="AC219" s="110">
        <v>3.9204545454545454</v>
      </c>
      <c r="AD219" s="111">
        <v>336.375</v>
      </c>
      <c r="AE219" s="112">
        <v>27.675505050505052</v>
      </c>
      <c r="AF219" s="117">
        <v>939.99431818181813</v>
      </c>
      <c r="AG219" s="111">
        <v>516.96275252525254</v>
      </c>
      <c r="AH219" s="112">
        <v>67.577020202020208</v>
      </c>
      <c r="AI219" s="112">
        <v>32.859217171717169</v>
      </c>
      <c r="AJ219" s="113">
        <f t="shared" si="42"/>
        <v>1925.3642676767679</v>
      </c>
      <c r="AK219" s="143">
        <f t="shared" si="36"/>
        <v>343118.1</v>
      </c>
      <c r="AL219" s="112">
        <f t="shared" si="36"/>
        <v>229453.16800000001</v>
      </c>
      <c r="AM219" s="112">
        <f t="shared" si="36"/>
        <v>113664.932</v>
      </c>
      <c r="AN219" s="112">
        <f t="shared" si="36"/>
        <v>7548.598</v>
      </c>
      <c r="AO219" s="230">
        <f t="shared" si="39"/>
        <v>0.66872941998687918</v>
      </c>
      <c r="AP219" s="193">
        <f t="shared" si="46"/>
        <v>10057.334255050504</v>
      </c>
      <c r="AQ219" s="194">
        <f t="shared" si="40"/>
        <v>-3186.4617803030296</v>
      </c>
      <c r="AR219" s="147">
        <v>23</v>
      </c>
      <c r="AS219" s="148"/>
      <c r="AT219" s="119"/>
      <c r="AU219" s="120"/>
      <c r="AV219" s="195"/>
      <c r="AW219" s="112">
        <v>343118100</v>
      </c>
      <c r="AX219" s="162">
        <v>229453168</v>
      </c>
      <c r="AY219" s="162">
        <v>113664932</v>
      </c>
      <c r="AZ219" s="162">
        <v>7548598</v>
      </c>
      <c r="BA219" s="231">
        <f t="shared" si="43"/>
        <v>0.66872941998687918</v>
      </c>
      <c r="BB219" s="210"/>
      <c r="BC219" s="115"/>
      <c r="BD219" s="236"/>
    </row>
    <row r="220" spans="1:56" s="121" customFormat="1" ht="16.5" customHeight="1">
      <c r="A220" s="104" t="s">
        <v>2429</v>
      </c>
      <c r="B220" s="105" t="s">
        <v>1231</v>
      </c>
      <c r="C220" s="106" t="s">
        <v>1283</v>
      </c>
      <c r="D220" s="106" t="s">
        <v>2415</v>
      </c>
      <c r="E220" s="71" t="s">
        <v>1284</v>
      </c>
      <c r="F220" s="71" t="s">
        <v>708</v>
      </c>
      <c r="G220" s="109" t="s">
        <v>1207</v>
      </c>
      <c r="H220" s="240">
        <v>13741.744949494949</v>
      </c>
      <c r="I220" s="111"/>
      <c r="J220" s="112"/>
      <c r="K220" s="113">
        <f t="shared" si="37"/>
        <v>13741.744949494949</v>
      </c>
      <c r="L220" s="110">
        <v>32</v>
      </c>
      <c r="M220" s="111"/>
      <c r="N220" s="112"/>
      <c r="O220" s="111">
        <v>517</v>
      </c>
      <c r="P220" s="154">
        <v>0.16499999999999998</v>
      </c>
      <c r="Q220" s="111">
        <v>8397</v>
      </c>
      <c r="R220" s="112">
        <v>125.39646464646465</v>
      </c>
      <c r="S220" s="111">
        <f t="shared" si="44"/>
        <v>1511.3964646464647</v>
      </c>
      <c r="T220" s="112">
        <v>85.780590909090918</v>
      </c>
      <c r="U220" s="116"/>
      <c r="V220" s="111">
        <v>3882.2954545454545</v>
      </c>
      <c r="W220" s="113">
        <f t="shared" si="38"/>
        <v>6028.4725101010099</v>
      </c>
      <c r="X220" s="110"/>
      <c r="Y220" s="111"/>
      <c r="Z220" s="116"/>
      <c r="AA220" s="111">
        <f t="shared" si="45"/>
        <v>3882.2954545454545</v>
      </c>
      <c r="AB220" s="113">
        <f t="shared" si="41"/>
        <v>3882.2954545454545</v>
      </c>
      <c r="AC220" s="110">
        <v>7.8409090909090908</v>
      </c>
      <c r="AD220" s="111">
        <v>672.75</v>
      </c>
      <c r="AE220" s="112">
        <v>55.351010101010104</v>
      </c>
      <c r="AF220" s="117">
        <v>1879.9886363636363</v>
      </c>
      <c r="AG220" s="111">
        <v>1033.9255050505051</v>
      </c>
      <c r="AH220" s="112">
        <v>135.15404040404042</v>
      </c>
      <c r="AI220" s="112">
        <v>65.718434343434339</v>
      </c>
      <c r="AJ220" s="113">
        <f t="shared" si="42"/>
        <v>3850.7285353535358</v>
      </c>
      <c r="AK220" s="143">
        <f t="shared" si="36"/>
        <v>1087534.736</v>
      </c>
      <c r="AL220" s="112">
        <f t="shared" si="36"/>
        <v>591301.01800000004</v>
      </c>
      <c r="AM220" s="112">
        <f t="shared" si="36"/>
        <v>496233.71799999999</v>
      </c>
      <c r="AN220" s="112">
        <f t="shared" si="36"/>
        <v>23486.875</v>
      </c>
      <c r="AO220" s="230">
        <f t="shared" si="39"/>
        <v>0.54370770737386365</v>
      </c>
      <c r="AP220" s="193">
        <f t="shared" si="46"/>
        <v>29515.347510101012</v>
      </c>
      <c r="AQ220" s="194">
        <f t="shared" si="40"/>
        <v>-15773.602560606063</v>
      </c>
      <c r="AR220" s="147">
        <v>46</v>
      </c>
      <c r="AS220" s="148"/>
      <c r="AT220" s="119"/>
      <c r="AU220" s="120"/>
      <c r="AV220" s="195"/>
      <c r="AW220" s="112">
        <v>1087534736</v>
      </c>
      <c r="AX220" s="162">
        <v>591301018</v>
      </c>
      <c r="AY220" s="162">
        <v>496233718</v>
      </c>
      <c r="AZ220" s="162">
        <v>23486875</v>
      </c>
      <c r="BA220" s="231">
        <f t="shared" si="43"/>
        <v>0.54370770737386365</v>
      </c>
      <c r="BB220" s="210"/>
      <c r="BC220" s="115"/>
      <c r="BD220" s="236"/>
    </row>
    <row r="221" spans="1:56" s="121" customFormat="1" ht="16.5" customHeight="1">
      <c r="A221" s="104" t="s">
        <v>2429</v>
      </c>
      <c r="B221" s="105" t="s">
        <v>1235</v>
      </c>
      <c r="C221" s="106" t="s">
        <v>1287</v>
      </c>
      <c r="D221" s="106" t="s">
        <v>2415</v>
      </c>
      <c r="E221" s="71" t="s">
        <v>1288</v>
      </c>
      <c r="F221" s="71" t="s">
        <v>708</v>
      </c>
      <c r="G221" s="109" t="s">
        <v>1207</v>
      </c>
      <c r="H221" s="240">
        <v>37640.431818181816</v>
      </c>
      <c r="I221" s="111"/>
      <c r="J221" s="112"/>
      <c r="K221" s="113">
        <f t="shared" si="37"/>
        <v>37640.431818181816</v>
      </c>
      <c r="L221" s="110">
        <v>6</v>
      </c>
      <c r="M221" s="111"/>
      <c r="N221" s="112"/>
      <c r="O221" s="111">
        <v>1997</v>
      </c>
      <c r="P221" s="154">
        <v>0.44</v>
      </c>
      <c r="Q221" s="111">
        <v>8397</v>
      </c>
      <c r="R221" s="112">
        <v>343.47727272727275</v>
      </c>
      <c r="S221" s="111">
        <f t="shared" si="44"/>
        <v>4038.477272727273</v>
      </c>
      <c r="T221" s="112">
        <v>234.96422727272727</v>
      </c>
      <c r="U221" s="116"/>
      <c r="V221" s="111">
        <v>10634.113636363636</v>
      </c>
      <c r="W221" s="113">
        <f t="shared" si="38"/>
        <v>16910.555136363637</v>
      </c>
      <c r="X221" s="110"/>
      <c r="Y221" s="111"/>
      <c r="Z221" s="116"/>
      <c r="AA221" s="111">
        <f t="shared" si="45"/>
        <v>10634.113636363636</v>
      </c>
      <c r="AB221" s="113">
        <f t="shared" si="41"/>
        <v>10634.113636363636</v>
      </c>
      <c r="AC221" s="110">
        <v>21.477272727272727</v>
      </c>
      <c r="AD221" s="111">
        <v>1842.75</v>
      </c>
      <c r="AE221" s="112">
        <v>151.61363636363637</v>
      </c>
      <c r="AF221" s="117">
        <v>5149.534090909091</v>
      </c>
      <c r="AG221" s="111">
        <v>2832.056818181818</v>
      </c>
      <c r="AH221" s="112">
        <v>370.20454545454544</v>
      </c>
      <c r="AI221" s="112">
        <v>180.01136363636363</v>
      </c>
      <c r="AJ221" s="113">
        <f t="shared" si="42"/>
        <v>10547.647727272728</v>
      </c>
      <c r="AK221" s="143">
        <f t="shared" si="36"/>
        <v>2173352.2990000001</v>
      </c>
      <c r="AL221" s="112">
        <f t="shared" si="36"/>
        <v>1109380.227</v>
      </c>
      <c r="AM221" s="112">
        <f t="shared" si="36"/>
        <v>1063972.0719999999</v>
      </c>
      <c r="AN221" s="112">
        <f t="shared" si="36"/>
        <v>48111.576000000001</v>
      </c>
      <c r="AO221" s="230">
        <f t="shared" si="39"/>
        <v>0.51044657026403251</v>
      </c>
      <c r="AP221" s="193">
        <f t="shared" si="46"/>
        <v>65022.131136363634</v>
      </c>
      <c r="AQ221" s="194">
        <f t="shared" si="40"/>
        <v>-27381.699318181818</v>
      </c>
      <c r="AR221" s="147">
        <v>126</v>
      </c>
      <c r="AS221" s="148"/>
      <c r="AT221" s="119"/>
      <c r="AU221" s="120"/>
      <c r="AV221" s="195"/>
      <c r="AW221" s="112">
        <v>2173352299</v>
      </c>
      <c r="AX221" s="162">
        <v>1109380227</v>
      </c>
      <c r="AY221" s="162">
        <v>1063972072</v>
      </c>
      <c r="AZ221" s="162">
        <v>48111576</v>
      </c>
      <c r="BA221" s="231">
        <f t="shared" si="43"/>
        <v>0.51044657026403251</v>
      </c>
      <c r="BB221" s="210"/>
      <c r="BC221" s="115"/>
      <c r="BD221" s="236"/>
    </row>
    <row r="222" spans="1:56" s="121" customFormat="1" ht="16.5" customHeight="1">
      <c r="A222" s="104" t="s">
        <v>2429</v>
      </c>
      <c r="B222" s="105" t="s">
        <v>148</v>
      </c>
      <c r="C222" s="106" t="s">
        <v>1291</v>
      </c>
      <c r="D222" s="106" t="s">
        <v>2415</v>
      </c>
      <c r="E222" s="71" t="s">
        <v>1292</v>
      </c>
      <c r="F222" s="71" t="s">
        <v>708</v>
      </c>
      <c r="G222" s="109" t="s">
        <v>1207</v>
      </c>
      <c r="H222" s="240">
        <v>17625.281565656565</v>
      </c>
      <c r="I222" s="111"/>
      <c r="J222" s="112"/>
      <c r="K222" s="113">
        <f t="shared" si="37"/>
        <v>17625.281565656565</v>
      </c>
      <c r="L222" s="110"/>
      <c r="M222" s="111"/>
      <c r="N222" s="112"/>
      <c r="O222" s="111"/>
      <c r="P222" s="154">
        <v>0.22</v>
      </c>
      <c r="Q222" s="111">
        <v>8397</v>
      </c>
      <c r="R222" s="112">
        <v>160.83459595959596</v>
      </c>
      <c r="S222" s="111">
        <f t="shared" si="44"/>
        <v>2007.8345959595958</v>
      </c>
      <c r="T222" s="112">
        <v>110.0229318181818</v>
      </c>
      <c r="U222" s="116"/>
      <c r="V222" s="111">
        <v>4979.465909090909</v>
      </c>
      <c r="W222" s="113">
        <f t="shared" si="38"/>
        <v>7097.3234368686863</v>
      </c>
      <c r="X222" s="110"/>
      <c r="Y222" s="111"/>
      <c r="Z222" s="116"/>
      <c r="AA222" s="111">
        <f t="shared" si="45"/>
        <v>4979.465909090909</v>
      </c>
      <c r="AB222" s="113">
        <f t="shared" si="41"/>
        <v>4979.465909090909</v>
      </c>
      <c r="AC222" s="110">
        <v>10.056818181818182</v>
      </c>
      <c r="AD222" s="111">
        <v>862.87499999999989</v>
      </c>
      <c r="AE222" s="112">
        <v>70.993686868686865</v>
      </c>
      <c r="AF222" s="117">
        <v>2411.2897727272725</v>
      </c>
      <c r="AG222" s="111">
        <v>1326.1218434343434</v>
      </c>
      <c r="AH222" s="112">
        <v>173.34974747474746</v>
      </c>
      <c r="AI222" s="112">
        <v>84.291035353535349</v>
      </c>
      <c r="AJ222" s="113">
        <f t="shared" si="42"/>
        <v>4938.9779040404037</v>
      </c>
      <c r="AK222" s="143">
        <f t="shared" si="36"/>
        <v>1217507.662</v>
      </c>
      <c r="AL222" s="112">
        <f t="shared" si="36"/>
        <v>536314.196</v>
      </c>
      <c r="AM222" s="112">
        <f t="shared" si="36"/>
        <v>681193.46600000001</v>
      </c>
      <c r="AN222" s="112">
        <f t="shared" si="36"/>
        <v>27261.557000000001</v>
      </c>
      <c r="AO222" s="230">
        <f t="shared" si="39"/>
        <v>0.44050170092481933</v>
      </c>
      <c r="AP222" s="193">
        <f t="shared" si="46"/>
        <v>34358.880436868683</v>
      </c>
      <c r="AQ222" s="194">
        <f t="shared" si="40"/>
        <v>-16733.598871212118</v>
      </c>
      <c r="AR222" s="147">
        <v>59</v>
      </c>
      <c r="AS222" s="148"/>
      <c r="AT222" s="119"/>
      <c r="AU222" s="120"/>
      <c r="AV222" s="195"/>
      <c r="AW222" s="112">
        <v>1217507662</v>
      </c>
      <c r="AX222" s="162">
        <v>536314196</v>
      </c>
      <c r="AY222" s="162">
        <v>681193466</v>
      </c>
      <c r="AZ222" s="162">
        <v>27261557</v>
      </c>
      <c r="BA222" s="231">
        <f t="shared" si="43"/>
        <v>0.44050170092481933</v>
      </c>
      <c r="BB222" s="210"/>
      <c r="BC222" s="115"/>
      <c r="BD222" s="236"/>
    </row>
    <row r="223" spans="1:56" s="121" customFormat="1" ht="16.5" customHeight="1">
      <c r="A223" s="104" t="s">
        <v>2429</v>
      </c>
      <c r="B223" s="105" t="s">
        <v>1241</v>
      </c>
      <c r="C223" s="106" t="s">
        <v>1295</v>
      </c>
      <c r="D223" s="106" t="s">
        <v>2415</v>
      </c>
      <c r="E223" s="71" t="s">
        <v>1296</v>
      </c>
      <c r="F223" s="71" t="s">
        <v>708</v>
      </c>
      <c r="G223" s="109" t="s">
        <v>1207</v>
      </c>
      <c r="H223" s="240">
        <v>14040.478535353535</v>
      </c>
      <c r="I223" s="111"/>
      <c r="J223" s="112"/>
      <c r="K223" s="113">
        <f t="shared" si="37"/>
        <v>14040.478535353535</v>
      </c>
      <c r="L223" s="110"/>
      <c r="M223" s="111"/>
      <c r="N223" s="112"/>
      <c r="O223" s="111">
        <v>2445</v>
      </c>
      <c r="P223" s="154">
        <v>0.16499999999999998</v>
      </c>
      <c r="Q223" s="111">
        <v>8397</v>
      </c>
      <c r="R223" s="112">
        <v>128.12247474747474</v>
      </c>
      <c r="S223" s="111">
        <f t="shared" si="44"/>
        <v>1514.1224747474748</v>
      </c>
      <c r="T223" s="112">
        <v>87.645386363636362</v>
      </c>
      <c r="U223" s="116"/>
      <c r="V223" s="111">
        <v>3966.693181818182</v>
      </c>
      <c r="W223" s="113">
        <f t="shared" si="38"/>
        <v>8013.4610429292934</v>
      </c>
      <c r="X223" s="110"/>
      <c r="Y223" s="111"/>
      <c r="Z223" s="116"/>
      <c r="AA223" s="111">
        <f t="shared" si="45"/>
        <v>3966.693181818182</v>
      </c>
      <c r="AB223" s="113">
        <f t="shared" si="41"/>
        <v>3966.693181818182</v>
      </c>
      <c r="AC223" s="110">
        <v>8.0113636363636367</v>
      </c>
      <c r="AD223" s="111">
        <v>687.375</v>
      </c>
      <c r="AE223" s="112">
        <v>56.554292929292927</v>
      </c>
      <c r="AF223" s="117">
        <v>1920.8579545454545</v>
      </c>
      <c r="AG223" s="111">
        <v>1056.4021464646464</v>
      </c>
      <c r="AH223" s="112">
        <v>138.09217171717171</v>
      </c>
      <c r="AI223" s="112">
        <v>67.147095959595958</v>
      </c>
      <c r="AJ223" s="113">
        <f t="shared" si="42"/>
        <v>3934.4400252525256</v>
      </c>
      <c r="AK223" s="143">
        <f t="shared" si="36"/>
        <v>913790.09600000002</v>
      </c>
      <c r="AL223" s="112">
        <f t="shared" si="36"/>
        <v>377334.67</v>
      </c>
      <c r="AM223" s="112">
        <f t="shared" si="36"/>
        <v>536455.42599999998</v>
      </c>
      <c r="AN223" s="112">
        <f t="shared" si="36"/>
        <v>17986.741999999998</v>
      </c>
      <c r="AO223" s="230">
        <f t="shared" si="39"/>
        <v>0.41293363941208661</v>
      </c>
      <c r="AP223" s="193">
        <f t="shared" si="46"/>
        <v>26000.203042929294</v>
      </c>
      <c r="AQ223" s="194">
        <f t="shared" si="40"/>
        <v>-11959.724507575758</v>
      </c>
      <c r="AR223" s="147">
        <v>47</v>
      </c>
      <c r="AS223" s="148"/>
      <c r="AT223" s="119"/>
      <c r="AU223" s="120"/>
      <c r="AV223" s="195"/>
      <c r="AW223" s="112">
        <v>913790096</v>
      </c>
      <c r="AX223" s="162">
        <v>377334670</v>
      </c>
      <c r="AY223" s="162">
        <v>536455426</v>
      </c>
      <c r="AZ223" s="162">
        <v>17986742</v>
      </c>
      <c r="BA223" s="231">
        <f t="shared" si="43"/>
        <v>0.41293363941208661</v>
      </c>
      <c r="BB223" s="210"/>
      <c r="BC223" s="115"/>
      <c r="BD223" s="236"/>
    </row>
    <row r="224" spans="1:56" s="121" customFormat="1" ht="16.5" customHeight="1">
      <c r="A224" s="104" t="s">
        <v>2429</v>
      </c>
      <c r="B224" s="105" t="s">
        <v>1245</v>
      </c>
      <c r="C224" s="106" t="s">
        <v>1299</v>
      </c>
      <c r="D224" s="106" t="s">
        <v>2415</v>
      </c>
      <c r="E224" s="71" t="s">
        <v>1300</v>
      </c>
      <c r="F224" s="71" t="s">
        <v>708</v>
      </c>
      <c r="G224" s="109" t="s">
        <v>1207</v>
      </c>
      <c r="H224" s="240">
        <v>9260.7411616161626</v>
      </c>
      <c r="I224" s="111"/>
      <c r="J224" s="112"/>
      <c r="K224" s="113">
        <f t="shared" si="37"/>
        <v>9260.7411616161626</v>
      </c>
      <c r="L224" s="110"/>
      <c r="M224" s="111"/>
      <c r="N224" s="112"/>
      <c r="O224" s="111"/>
      <c r="P224" s="154">
        <v>0.11</v>
      </c>
      <c r="Q224" s="111">
        <v>8397</v>
      </c>
      <c r="R224" s="112">
        <v>84.506313131313135</v>
      </c>
      <c r="S224" s="111">
        <f t="shared" si="44"/>
        <v>1008.5063131313132</v>
      </c>
      <c r="T224" s="112">
        <v>57.808659090909096</v>
      </c>
      <c r="U224" s="116"/>
      <c r="V224" s="111">
        <v>2616.3295454545455</v>
      </c>
      <c r="W224" s="113">
        <f t="shared" si="38"/>
        <v>3682.6445176767675</v>
      </c>
      <c r="X224" s="110"/>
      <c r="Y224" s="111"/>
      <c r="Z224" s="116"/>
      <c r="AA224" s="111">
        <f t="shared" si="45"/>
        <v>2616.3295454545455</v>
      </c>
      <c r="AB224" s="113">
        <f t="shared" si="41"/>
        <v>2616.3295454545455</v>
      </c>
      <c r="AC224" s="110">
        <v>5.2840909090909092</v>
      </c>
      <c r="AD224" s="111">
        <v>453.375</v>
      </c>
      <c r="AE224" s="112">
        <v>37.301767676767682</v>
      </c>
      <c r="AF224" s="117">
        <v>1266.9488636363637</v>
      </c>
      <c r="AG224" s="111">
        <v>696.77588383838383</v>
      </c>
      <c r="AH224" s="112">
        <v>91.082070707070713</v>
      </c>
      <c r="AI224" s="112">
        <v>44.288510101010104</v>
      </c>
      <c r="AJ224" s="113">
        <f t="shared" si="42"/>
        <v>2595.0561868686868</v>
      </c>
      <c r="AK224" s="143">
        <f t="shared" si="36"/>
        <v>523972</v>
      </c>
      <c r="AL224" s="112">
        <f t="shared" si="36"/>
        <v>221066.59599999999</v>
      </c>
      <c r="AM224" s="112">
        <f t="shared" si="36"/>
        <v>302905.40399999998</v>
      </c>
      <c r="AN224" s="112">
        <f t="shared" si="36"/>
        <v>11635.084000000001</v>
      </c>
      <c r="AO224" s="230">
        <f t="shared" si="39"/>
        <v>0.42190536135518691</v>
      </c>
      <c r="AP224" s="193">
        <f t="shared" si="46"/>
        <v>15317.728517676769</v>
      </c>
      <c r="AQ224" s="194">
        <f t="shared" si="40"/>
        <v>-6056.9873560606065</v>
      </c>
      <c r="AR224" s="147">
        <v>31</v>
      </c>
      <c r="AS224" s="148"/>
      <c r="AT224" s="119"/>
      <c r="AU224" s="120"/>
      <c r="AV224" s="195"/>
      <c r="AW224" s="112">
        <v>523972000</v>
      </c>
      <c r="AX224" s="162">
        <v>221066596</v>
      </c>
      <c r="AY224" s="162">
        <v>302905404</v>
      </c>
      <c r="AZ224" s="162">
        <v>11635084</v>
      </c>
      <c r="BA224" s="231">
        <f t="shared" si="43"/>
        <v>0.42190536135518691</v>
      </c>
      <c r="BB224" s="210"/>
      <c r="BC224" s="115"/>
      <c r="BD224" s="236"/>
    </row>
    <row r="225" spans="1:56" s="121" customFormat="1" ht="16.5" customHeight="1">
      <c r="A225" s="104" t="s">
        <v>2429</v>
      </c>
      <c r="B225" s="105" t="s">
        <v>1249</v>
      </c>
      <c r="C225" s="106" t="s">
        <v>1304</v>
      </c>
      <c r="D225" s="106" t="s">
        <v>2415</v>
      </c>
      <c r="E225" s="71" t="s">
        <v>1305</v>
      </c>
      <c r="F225" s="71" t="s">
        <v>708</v>
      </c>
      <c r="G225" s="109" t="s">
        <v>1207</v>
      </c>
      <c r="H225" s="240">
        <v>26886.022727272728</v>
      </c>
      <c r="I225" s="111"/>
      <c r="J225" s="112"/>
      <c r="K225" s="113">
        <f t="shared" si="37"/>
        <v>26886.022727272728</v>
      </c>
      <c r="L225" s="110">
        <v>32</v>
      </c>
      <c r="M225" s="111"/>
      <c r="N225" s="112"/>
      <c r="O225" s="111">
        <v>479</v>
      </c>
      <c r="P225" s="154">
        <v>0.32999999999999996</v>
      </c>
      <c r="Q225" s="111">
        <v>8397</v>
      </c>
      <c r="R225" s="112">
        <v>245.34090909090909</v>
      </c>
      <c r="S225" s="111">
        <f t="shared" si="44"/>
        <v>3016.340909090909</v>
      </c>
      <c r="T225" s="112">
        <v>167.83159090909092</v>
      </c>
      <c r="U225" s="116"/>
      <c r="V225" s="111">
        <v>7595.795454545454</v>
      </c>
      <c r="W225" s="113">
        <f t="shared" si="38"/>
        <v>11290.967954545455</v>
      </c>
      <c r="X225" s="110"/>
      <c r="Y225" s="111"/>
      <c r="Z225" s="116"/>
      <c r="AA225" s="111">
        <f t="shared" si="45"/>
        <v>7595.795454545454</v>
      </c>
      <c r="AB225" s="113">
        <f t="shared" si="41"/>
        <v>7595.795454545454</v>
      </c>
      <c r="AC225" s="110">
        <v>15.34090909090909</v>
      </c>
      <c r="AD225" s="111">
        <v>1316.25</v>
      </c>
      <c r="AE225" s="112">
        <v>108.29545454545455</v>
      </c>
      <c r="AF225" s="117">
        <v>3678.238636363636</v>
      </c>
      <c r="AG225" s="111">
        <v>2022.8977272727273</v>
      </c>
      <c r="AH225" s="112">
        <v>264.43181818181819</v>
      </c>
      <c r="AI225" s="112">
        <v>128.57954545454544</v>
      </c>
      <c r="AJ225" s="113">
        <f t="shared" si="42"/>
        <v>7534.0340909090901</v>
      </c>
      <c r="AK225" s="143">
        <f t="shared" si="36"/>
        <v>1273503</v>
      </c>
      <c r="AL225" s="112">
        <f t="shared" si="36"/>
        <v>408963.71899999998</v>
      </c>
      <c r="AM225" s="112">
        <f t="shared" si="36"/>
        <v>864539.28099999996</v>
      </c>
      <c r="AN225" s="112">
        <f t="shared" si="36"/>
        <v>28107.362000000001</v>
      </c>
      <c r="AO225" s="230">
        <f t="shared" si="39"/>
        <v>0.32113290585102666</v>
      </c>
      <c r="AP225" s="193">
        <f t="shared" si="46"/>
        <v>39398.329954545457</v>
      </c>
      <c r="AQ225" s="194">
        <f t="shared" si="40"/>
        <v>-12512.30722727273</v>
      </c>
      <c r="AR225" s="147">
        <v>90</v>
      </c>
      <c r="AS225" s="148"/>
      <c r="AT225" s="119"/>
      <c r="AU225" s="120"/>
      <c r="AV225" s="195"/>
      <c r="AW225" s="112">
        <v>1273503000</v>
      </c>
      <c r="AX225" s="162">
        <v>408963719</v>
      </c>
      <c r="AY225" s="162">
        <v>864539281</v>
      </c>
      <c r="AZ225" s="162">
        <v>28107362</v>
      </c>
      <c r="BA225" s="231">
        <f t="shared" si="43"/>
        <v>0.32113290585102666</v>
      </c>
      <c r="BB225" s="210"/>
      <c r="BC225" s="115"/>
      <c r="BD225" s="236"/>
    </row>
    <row r="226" spans="1:56" s="121" customFormat="1" ht="16.5" customHeight="1">
      <c r="A226" s="104" t="s">
        <v>2429</v>
      </c>
      <c r="B226" s="105" t="s">
        <v>1252</v>
      </c>
      <c r="C226" s="106" t="s">
        <v>1308</v>
      </c>
      <c r="D226" s="106" t="s">
        <v>2415</v>
      </c>
      <c r="E226" s="71" t="s">
        <v>1309</v>
      </c>
      <c r="F226" s="71" t="s">
        <v>708</v>
      </c>
      <c r="G226" s="109" t="s">
        <v>1207</v>
      </c>
      <c r="H226" s="240">
        <v>14040.478535353535</v>
      </c>
      <c r="I226" s="111"/>
      <c r="J226" s="112"/>
      <c r="K226" s="113">
        <f>SUBTOTAL(9,H226:J226)</f>
        <v>14040.478535353535</v>
      </c>
      <c r="L226" s="110"/>
      <c r="M226" s="111"/>
      <c r="N226" s="112"/>
      <c r="O226" s="111"/>
      <c r="P226" s="154">
        <v>0.16499999999999998</v>
      </c>
      <c r="Q226" s="111">
        <v>8397</v>
      </c>
      <c r="R226" s="112">
        <v>128.12247474747474</v>
      </c>
      <c r="S226" s="111">
        <f t="shared" si="44"/>
        <v>1514.1224747474748</v>
      </c>
      <c r="T226" s="112">
        <v>87.645386363636362</v>
      </c>
      <c r="U226" s="116"/>
      <c r="V226" s="111">
        <v>3966.693181818182</v>
      </c>
      <c r="W226" s="113">
        <f t="shared" si="38"/>
        <v>5568.4610429292934</v>
      </c>
      <c r="X226" s="110"/>
      <c r="Y226" s="111"/>
      <c r="Z226" s="116"/>
      <c r="AA226" s="111">
        <f t="shared" si="45"/>
        <v>3966.693181818182</v>
      </c>
      <c r="AB226" s="113">
        <f t="shared" si="41"/>
        <v>3966.693181818182</v>
      </c>
      <c r="AC226" s="110">
        <v>8.0113636363636367</v>
      </c>
      <c r="AD226" s="111">
        <v>687.375</v>
      </c>
      <c r="AE226" s="112">
        <v>56.554292929292927</v>
      </c>
      <c r="AF226" s="117">
        <v>1920.8579545454545</v>
      </c>
      <c r="AG226" s="111">
        <v>1056.4021464646464</v>
      </c>
      <c r="AH226" s="112">
        <v>138.09217171717171</v>
      </c>
      <c r="AI226" s="112">
        <v>67.147095959595958</v>
      </c>
      <c r="AJ226" s="113">
        <f t="shared" si="42"/>
        <v>3934.4400252525256</v>
      </c>
      <c r="AK226" s="143">
        <f t="shared" si="36"/>
        <v>636969.01899999997</v>
      </c>
      <c r="AL226" s="112">
        <f t="shared" si="36"/>
        <v>550268.03500000003</v>
      </c>
      <c r="AM226" s="112">
        <f t="shared" si="36"/>
        <v>86700.983999999997</v>
      </c>
      <c r="AN226" s="112">
        <f t="shared" si="36"/>
        <v>2299.1909999999998</v>
      </c>
      <c r="AO226" s="230">
        <f t="shared" si="39"/>
        <v>0.86388508480975268</v>
      </c>
      <c r="AP226" s="193">
        <f t="shared" si="46"/>
        <v>7867.6520429292932</v>
      </c>
      <c r="AQ226" s="194">
        <f t="shared" si="40"/>
        <v>6172.8264924242421</v>
      </c>
      <c r="AR226" s="147">
        <v>47</v>
      </c>
      <c r="AS226" s="148"/>
      <c r="AT226" s="119"/>
      <c r="AU226" s="120"/>
      <c r="AV226" s="195"/>
      <c r="AW226" s="112">
        <v>636969019</v>
      </c>
      <c r="AX226" s="162">
        <v>550268035</v>
      </c>
      <c r="AY226" s="162">
        <v>86700984</v>
      </c>
      <c r="AZ226" s="162">
        <v>2299191</v>
      </c>
      <c r="BA226" s="231">
        <f t="shared" si="43"/>
        <v>0.86388508480975268</v>
      </c>
      <c r="BB226" s="210"/>
      <c r="BC226" s="115"/>
      <c r="BD226" s="236"/>
    </row>
    <row r="227" spans="1:56" s="121" customFormat="1" ht="16.5" customHeight="1">
      <c r="A227" s="104" t="s">
        <v>2429</v>
      </c>
      <c r="B227" s="105" t="s">
        <v>1253</v>
      </c>
      <c r="C227" s="106" t="s">
        <v>1312</v>
      </c>
      <c r="D227" s="106" t="s">
        <v>2415</v>
      </c>
      <c r="E227" s="71" t="s">
        <v>1313</v>
      </c>
      <c r="F227" s="71" t="s">
        <v>78</v>
      </c>
      <c r="G227" s="109" t="s">
        <v>2467</v>
      </c>
      <c r="H227" s="143"/>
      <c r="I227" s="112"/>
      <c r="J227" s="112"/>
      <c r="K227" s="113">
        <f t="shared" si="37"/>
        <v>0</v>
      </c>
      <c r="L227" s="110">
        <v>1238</v>
      </c>
      <c r="M227" s="111">
        <v>24</v>
      </c>
      <c r="N227" s="112">
        <v>0</v>
      </c>
      <c r="O227" s="111">
        <v>0</v>
      </c>
      <c r="P227" s="114"/>
      <c r="Q227" s="111">
        <v>8397</v>
      </c>
      <c r="R227" s="112"/>
      <c r="S227" s="111">
        <f t="shared" si="44"/>
        <v>0</v>
      </c>
      <c r="T227" s="112">
        <v>97</v>
      </c>
      <c r="U227" s="116"/>
      <c r="V227" s="112"/>
      <c r="W227" s="113">
        <f t="shared" si="38"/>
        <v>1359</v>
      </c>
      <c r="X227" s="110">
        <v>0</v>
      </c>
      <c r="Y227" s="111">
        <v>0</v>
      </c>
      <c r="Z227" s="111">
        <v>0</v>
      </c>
      <c r="AA227" s="111">
        <v>0</v>
      </c>
      <c r="AB227" s="113">
        <f t="shared" si="41"/>
        <v>0</v>
      </c>
      <c r="AC227" s="110">
        <v>0</v>
      </c>
      <c r="AD227" s="111">
        <v>0</v>
      </c>
      <c r="AE227" s="111">
        <v>0</v>
      </c>
      <c r="AF227" s="111">
        <v>0</v>
      </c>
      <c r="AG227" s="111">
        <v>0</v>
      </c>
      <c r="AH227" s="111">
        <v>0</v>
      </c>
      <c r="AI227" s="111">
        <v>0</v>
      </c>
      <c r="AJ227" s="113">
        <f t="shared" si="42"/>
        <v>0</v>
      </c>
      <c r="AK227" s="143">
        <f t="shared" si="36"/>
        <v>197571.14600000001</v>
      </c>
      <c r="AL227" s="112">
        <f t="shared" si="36"/>
        <v>149593.39300000001</v>
      </c>
      <c r="AM227" s="112">
        <f t="shared" si="36"/>
        <v>47977.752999999997</v>
      </c>
      <c r="AN227" s="112">
        <f t="shared" si="36"/>
        <v>5890.32</v>
      </c>
      <c r="AO227" s="230">
        <f t="shared" si="39"/>
        <v>0.75716214654137803</v>
      </c>
      <c r="AP227" s="193">
        <f t="shared" si="46"/>
        <v>7249.32</v>
      </c>
      <c r="AQ227" s="194">
        <f t="shared" si="40"/>
        <v>-7249.32</v>
      </c>
      <c r="AR227" s="118"/>
      <c r="AS227" s="119"/>
      <c r="AT227" s="119"/>
      <c r="AU227" s="120"/>
      <c r="AV227" s="195"/>
      <c r="AW227" s="112">
        <v>197571146</v>
      </c>
      <c r="AX227" s="162">
        <v>149593393</v>
      </c>
      <c r="AY227" s="162">
        <v>47977753</v>
      </c>
      <c r="AZ227" s="162">
        <v>5890320</v>
      </c>
      <c r="BA227" s="231">
        <f t="shared" si="43"/>
        <v>0.75716214654137803</v>
      </c>
      <c r="BB227" s="210">
        <v>19832</v>
      </c>
      <c r="BC227" s="115">
        <v>1116</v>
      </c>
      <c r="BD227" s="236"/>
    </row>
    <row r="228" spans="1:56" s="121" customFormat="1" ht="16.5" customHeight="1">
      <c r="A228" s="104" t="s">
        <v>2429</v>
      </c>
      <c r="B228" s="105" t="s">
        <v>1254</v>
      </c>
      <c r="C228" s="106" t="s">
        <v>1320</v>
      </c>
      <c r="D228" s="106" t="s">
        <v>2415</v>
      </c>
      <c r="E228" s="71" t="s">
        <v>1321</v>
      </c>
      <c r="F228" s="71" t="s">
        <v>78</v>
      </c>
      <c r="G228" s="109" t="s">
        <v>2467</v>
      </c>
      <c r="H228" s="143">
        <v>4505</v>
      </c>
      <c r="I228" s="112"/>
      <c r="J228" s="112"/>
      <c r="K228" s="113">
        <f t="shared" si="37"/>
        <v>4505</v>
      </c>
      <c r="L228" s="110">
        <v>0</v>
      </c>
      <c r="M228" s="111">
        <v>284</v>
      </c>
      <c r="N228" s="112">
        <v>0</v>
      </c>
      <c r="O228" s="111">
        <v>0</v>
      </c>
      <c r="P228" s="114"/>
      <c r="Q228" s="111">
        <v>8397</v>
      </c>
      <c r="R228" s="112"/>
      <c r="S228" s="111">
        <f t="shared" si="44"/>
        <v>0</v>
      </c>
      <c r="T228" s="112">
        <v>31</v>
      </c>
      <c r="U228" s="116"/>
      <c r="V228" s="112"/>
      <c r="W228" s="113">
        <f t="shared" si="38"/>
        <v>315</v>
      </c>
      <c r="X228" s="110">
        <v>0</v>
      </c>
      <c r="Y228" s="111">
        <v>0</v>
      </c>
      <c r="Z228" s="111">
        <v>0</v>
      </c>
      <c r="AA228" s="111">
        <v>0</v>
      </c>
      <c r="AB228" s="113">
        <f t="shared" si="41"/>
        <v>0</v>
      </c>
      <c r="AC228" s="110">
        <v>0</v>
      </c>
      <c r="AD228" s="111">
        <v>0</v>
      </c>
      <c r="AE228" s="111">
        <v>0</v>
      </c>
      <c r="AF228" s="111">
        <v>0</v>
      </c>
      <c r="AG228" s="111">
        <v>0</v>
      </c>
      <c r="AH228" s="111">
        <v>0</v>
      </c>
      <c r="AI228" s="111">
        <v>0</v>
      </c>
      <c r="AJ228" s="113">
        <f t="shared" si="42"/>
        <v>0</v>
      </c>
      <c r="AK228" s="143">
        <f t="shared" si="36"/>
        <v>884502</v>
      </c>
      <c r="AL228" s="112">
        <f t="shared" si="36"/>
        <v>535302.62</v>
      </c>
      <c r="AM228" s="112">
        <f t="shared" si="36"/>
        <v>349199.38</v>
      </c>
      <c r="AN228" s="112">
        <f t="shared" si="36"/>
        <v>17816.754000000001</v>
      </c>
      <c r="AO228" s="230">
        <f t="shared" si="39"/>
        <v>0.60520227201295196</v>
      </c>
      <c r="AP228" s="193">
        <f t="shared" si="46"/>
        <v>18131.754000000001</v>
      </c>
      <c r="AQ228" s="194">
        <f t="shared" si="40"/>
        <v>-13626.754000000001</v>
      </c>
      <c r="AR228" s="118"/>
      <c r="AS228" s="119"/>
      <c r="AT228" s="119"/>
      <c r="AU228" s="120"/>
      <c r="AV228" s="195"/>
      <c r="AW228" s="112">
        <v>884502000</v>
      </c>
      <c r="AX228" s="162">
        <v>535302620</v>
      </c>
      <c r="AY228" s="162">
        <v>349199380</v>
      </c>
      <c r="AZ228" s="162">
        <v>17816754</v>
      </c>
      <c r="BA228" s="231">
        <f t="shared" si="43"/>
        <v>0.60520227201295196</v>
      </c>
      <c r="BB228" s="210"/>
      <c r="BC228" s="115"/>
      <c r="BD228" s="236"/>
    </row>
    <row r="229" spans="1:56" s="121" customFormat="1" ht="16.5" customHeight="1">
      <c r="A229" s="104" t="s">
        <v>2429</v>
      </c>
      <c r="B229" s="105" t="s">
        <v>1258</v>
      </c>
      <c r="C229" s="106" t="s">
        <v>1328</v>
      </c>
      <c r="D229" s="106" t="s">
        <v>2415</v>
      </c>
      <c r="E229" s="71" t="s">
        <v>1329</v>
      </c>
      <c r="F229" s="71" t="s">
        <v>78</v>
      </c>
      <c r="G229" s="109" t="s">
        <v>2467</v>
      </c>
      <c r="H229" s="143"/>
      <c r="I229" s="112"/>
      <c r="J229" s="112"/>
      <c r="K229" s="113">
        <f t="shared" si="37"/>
        <v>0</v>
      </c>
      <c r="L229" s="110">
        <v>640</v>
      </c>
      <c r="M229" s="111">
        <v>2482</v>
      </c>
      <c r="N229" s="112">
        <v>0</v>
      </c>
      <c r="O229" s="111">
        <v>96</v>
      </c>
      <c r="P229" s="114"/>
      <c r="Q229" s="111">
        <v>8397</v>
      </c>
      <c r="R229" s="112"/>
      <c r="S229" s="111">
        <f t="shared" si="44"/>
        <v>0</v>
      </c>
      <c r="T229" s="112">
        <v>32</v>
      </c>
      <c r="U229" s="116"/>
      <c r="V229" s="112"/>
      <c r="W229" s="113">
        <f t="shared" si="38"/>
        <v>3250</v>
      </c>
      <c r="X229" s="110">
        <v>0</v>
      </c>
      <c r="Y229" s="111">
        <v>0</v>
      </c>
      <c r="Z229" s="111">
        <v>0</v>
      </c>
      <c r="AA229" s="111">
        <v>0</v>
      </c>
      <c r="AB229" s="113">
        <f t="shared" si="41"/>
        <v>0</v>
      </c>
      <c r="AC229" s="110">
        <v>0</v>
      </c>
      <c r="AD229" s="111">
        <v>0</v>
      </c>
      <c r="AE229" s="111">
        <v>0</v>
      </c>
      <c r="AF229" s="111">
        <v>0</v>
      </c>
      <c r="AG229" s="111">
        <v>0</v>
      </c>
      <c r="AH229" s="111">
        <v>0</v>
      </c>
      <c r="AI229" s="111">
        <v>0</v>
      </c>
      <c r="AJ229" s="113">
        <f t="shared" si="42"/>
        <v>0</v>
      </c>
      <c r="AK229" s="143">
        <f t="shared" ref="AK229:AN259" si="47">AW229/1000</f>
        <v>75640.994000000006</v>
      </c>
      <c r="AL229" s="112">
        <f t="shared" si="47"/>
        <v>32071.200000000001</v>
      </c>
      <c r="AM229" s="112">
        <f t="shared" si="47"/>
        <v>43569.794000000002</v>
      </c>
      <c r="AN229" s="112">
        <f t="shared" si="47"/>
        <v>1394.4</v>
      </c>
      <c r="AO229" s="230">
        <f t="shared" si="39"/>
        <v>0.42399231295136075</v>
      </c>
      <c r="AP229" s="193">
        <f t="shared" si="46"/>
        <v>4644.3999999999996</v>
      </c>
      <c r="AQ229" s="194">
        <f t="shared" si="40"/>
        <v>-4644.3999999999996</v>
      </c>
      <c r="AR229" s="118"/>
      <c r="AS229" s="119"/>
      <c r="AT229" s="119"/>
      <c r="AU229" s="120"/>
      <c r="AV229" s="195"/>
      <c r="AW229" s="112">
        <v>75640994</v>
      </c>
      <c r="AX229" s="162">
        <v>32071200</v>
      </c>
      <c r="AY229" s="162">
        <v>43569794</v>
      </c>
      <c r="AZ229" s="162">
        <v>1394400</v>
      </c>
      <c r="BA229" s="231">
        <f t="shared" si="43"/>
        <v>0.42399231295136075</v>
      </c>
      <c r="BB229" s="210">
        <v>20702</v>
      </c>
      <c r="BC229" s="115">
        <v>3</v>
      </c>
      <c r="BD229" s="236"/>
    </row>
    <row r="230" spans="1:56" s="121" customFormat="1" ht="16.5" customHeight="1">
      <c r="A230" s="104" t="s">
        <v>2429</v>
      </c>
      <c r="B230" s="105" t="s">
        <v>1263</v>
      </c>
      <c r="C230" s="106" t="s">
        <v>1336</v>
      </c>
      <c r="D230" s="106" t="s">
        <v>2415</v>
      </c>
      <c r="E230" s="71" t="s">
        <v>1337</v>
      </c>
      <c r="F230" s="71" t="s">
        <v>78</v>
      </c>
      <c r="G230" s="109" t="s">
        <v>2467</v>
      </c>
      <c r="H230" s="143"/>
      <c r="I230" s="112"/>
      <c r="J230" s="112"/>
      <c r="K230" s="113">
        <f t="shared" si="37"/>
        <v>0</v>
      </c>
      <c r="L230" s="110">
        <v>68</v>
      </c>
      <c r="M230" s="111">
        <v>607</v>
      </c>
      <c r="N230" s="112">
        <v>0</v>
      </c>
      <c r="O230" s="111">
        <v>0</v>
      </c>
      <c r="P230" s="114"/>
      <c r="Q230" s="111">
        <v>8397</v>
      </c>
      <c r="R230" s="112"/>
      <c r="S230" s="111">
        <f t="shared" si="44"/>
        <v>0</v>
      </c>
      <c r="T230" s="112">
        <v>0</v>
      </c>
      <c r="U230" s="116"/>
      <c r="V230" s="112"/>
      <c r="W230" s="113">
        <f t="shared" si="38"/>
        <v>675</v>
      </c>
      <c r="X230" s="110">
        <v>0</v>
      </c>
      <c r="Y230" s="111">
        <v>0</v>
      </c>
      <c r="Z230" s="111">
        <v>0</v>
      </c>
      <c r="AA230" s="111">
        <v>0</v>
      </c>
      <c r="AB230" s="113">
        <f t="shared" si="41"/>
        <v>0</v>
      </c>
      <c r="AC230" s="110">
        <v>0</v>
      </c>
      <c r="AD230" s="111">
        <v>0</v>
      </c>
      <c r="AE230" s="111">
        <v>0</v>
      </c>
      <c r="AF230" s="111">
        <v>0</v>
      </c>
      <c r="AG230" s="111">
        <v>0</v>
      </c>
      <c r="AH230" s="111">
        <v>0</v>
      </c>
      <c r="AI230" s="111">
        <v>0</v>
      </c>
      <c r="AJ230" s="113">
        <f t="shared" si="42"/>
        <v>0</v>
      </c>
      <c r="AK230" s="143">
        <f t="shared" si="47"/>
        <v>97737.3</v>
      </c>
      <c r="AL230" s="112">
        <f t="shared" si="47"/>
        <v>63964.436999999998</v>
      </c>
      <c r="AM230" s="112">
        <f t="shared" si="47"/>
        <v>33772.862999999998</v>
      </c>
      <c r="AN230" s="112">
        <f t="shared" si="47"/>
        <v>2510.6610000000001</v>
      </c>
      <c r="AO230" s="230">
        <f t="shared" si="39"/>
        <v>0.65445267057714918</v>
      </c>
      <c r="AP230" s="193">
        <f t="shared" si="46"/>
        <v>3185.6610000000001</v>
      </c>
      <c r="AQ230" s="194">
        <f t="shared" si="40"/>
        <v>-3185.6610000000001</v>
      </c>
      <c r="AR230" s="118"/>
      <c r="AS230" s="119"/>
      <c r="AT230" s="119"/>
      <c r="AU230" s="120"/>
      <c r="AV230" s="195"/>
      <c r="AW230" s="112">
        <v>97737300</v>
      </c>
      <c r="AX230" s="162">
        <v>63964437</v>
      </c>
      <c r="AY230" s="162">
        <v>33772863</v>
      </c>
      <c r="AZ230" s="162">
        <v>2510661</v>
      </c>
      <c r="BA230" s="231">
        <f t="shared" si="43"/>
        <v>0.65445267057714918</v>
      </c>
      <c r="BB230" s="370"/>
      <c r="BC230" s="115"/>
      <c r="BD230" s="236"/>
    </row>
    <row r="231" spans="1:56" s="121" customFormat="1" ht="16.5" customHeight="1">
      <c r="A231" s="104" t="s">
        <v>2429</v>
      </c>
      <c r="B231" s="105" t="s">
        <v>1267</v>
      </c>
      <c r="C231" s="106" t="s">
        <v>1342</v>
      </c>
      <c r="D231" s="106" t="s">
        <v>2415</v>
      </c>
      <c r="E231" s="71" t="s">
        <v>1343</v>
      </c>
      <c r="F231" s="71" t="s">
        <v>78</v>
      </c>
      <c r="G231" s="109" t="s">
        <v>2467</v>
      </c>
      <c r="H231" s="110">
        <v>679</v>
      </c>
      <c r="I231" s="112">
        <v>0</v>
      </c>
      <c r="J231" s="112">
        <v>0</v>
      </c>
      <c r="K231" s="113">
        <f t="shared" si="37"/>
        <v>679</v>
      </c>
      <c r="L231" s="110">
        <v>18</v>
      </c>
      <c r="M231" s="111">
        <v>198</v>
      </c>
      <c r="N231" s="112">
        <v>0</v>
      </c>
      <c r="O231" s="111">
        <v>0</v>
      </c>
      <c r="P231" s="114">
        <v>1.1000000000000001</v>
      </c>
      <c r="Q231" s="111">
        <v>8397</v>
      </c>
      <c r="R231" s="112"/>
      <c r="S231" s="111">
        <f t="shared" si="44"/>
        <v>9237</v>
      </c>
      <c r="T231" s="112"/>
      <c r="U231" s="116"/>
      <c r="V231" s="112">
        <v>16045</v>
      </c>
      <c r="W231" s="113">
        <f t="shared" si="38"/>
        <v>25498</v>
      </c>
      <c r="X231" s="110">
        <v>62831</v>
      </c>
      <c r="Y231" s="111">
        <v>3774</v>
      </c>
      <c r="Z231" s="116">
        <v>4532</v>
      </c>
      <c r="AA231" s="111">
        <v>16045</v>
      </c>
      <c r="AB231" s="113">
        <f t="shared" si="41"/>
        <v>87182</v>
      </c>
      <c r="AC231" s="110">
        <v>6546</v>
      </c>
      <c r="AD231" s="111">
        <v>43315</v>
      </c>
      <c r="AE231" s="112">
        <v>0</v>
      </c>
      <c r="AF231" s="117">
        <v>4600</v>
      </c>
      <c r="AG231" s="111">
        <v>26201</v>
      </c>
      <c r="AH231" s="112">
        <v>5399</v>
      </c>
      <c r="AI231" s="112">
        <v>0</v>
      </c>
      <c r="AJ231" s="113">
        <f t="shared" si="42"/>
        <v>86061</v>
      </c>
      <c r="AK231" s="143">
        <f t="shared" si="47"/>
        <v>471023.63699999999</v>
      </c>
      <c r="AL231" s="112">
        <f t="shared" si="47"/>
        <v>146391.64000000001</v>
      </c>
      <c r="AM231" s="112">
        <f t="shared" si="47"/>
        <v>324631.99699999997</v>
      </c>
      <c r="AN231" s="112">
        <f t="shared" si="47"/>
        <v>10101.902</v>
      </c>
      <c r="AO231" s="230">
        <f t="shared" si="39"/>
        <v>0.31079467886661494</v>
      </c>
      <c r="AP231" s="193">
        <f t="shared" si="46"/>
        <v>35599.902000000002</v>
      </c>
      <c r="AQ231" s="194">
        <f t="shared" si="40"/>
        <v>-34920.902000000002</v>
      </c>
      <c r="AR231" s="118"/>
      <c r="AS231" s="119"/>
      <c r="AT231" s="119"/>
      <c r="AU231" s="120"/>
      <c r="AV231" s="195"/>
      <c r="AW231" s="112">
        <v>471023637</v>
      </c>
      <c r="AX231" s="162">
        <v>146391640</v>
      </c>
      <c r="AY231" s="162">
        <v>324631997</v>
      </c>
      <c r="AZ231" s="162">
        <v>10101902</v>
      </c>
      <c r="BA231" s="231">
        <f t="shared" si="43"/>
        <v>0.31079467886661494</v>
      </c>
      <c r="BB231" s="210">
        <v>188662</v>
      </c>
      <c r="BC231" s="115"/>
      <c r="BD231" s="236"/>
    </row>
    <row r="232" spans="1:56" s="121" customFormat="1" ht="16.5" customHeight="1">
      <c r="A232" s="104" t="s">
        <v>2429</v>
      </c>
      <c r="B232" s="105" t="s">
        <v>157</v>
      </c>
      <c r="C232" s="106" t="s">
        <v>1348</v>
      </c>
      <c r="D232" s="106" t="s">
        <v>2415</v>
      </c>
      <c r="E232" s="71" t="s">
        <v>1349</v>
      </c>
      <c r="F232" s="71" t="s">
        <v>78</v>
      </c>
      <c r="G232" s="109" t="s">
        <v>2467</v>
      </c>
      <c r="H232" s="143"/>
      <c r="I232" s="112"/>
      <c r="J232" s="112"/>
      <c r="K232" s="113">
        <f t="shared" si="37"/>
        <v>0</v>
      </c>
      <c r="L232" s="110">
        <v>760</v>
      </c>
      <c r="M232" s="111">
        <v>2239</v>
      </c>
      <c r="N232" s="112">
        <v>0</v>
      </c>
      <c r="O232" s="111">
        <v>385</v>
      </c>
      <c r="P232" s="114"/>
      <c r="Q232" s="111">
        <v>8397</v>
      </c>
      <c r="R232" s="112"/>
      <c r="S232" s="111">
        <f t="shared" si="44"/>
        <v>0</v>
      </c>
      <c r="T232" s="112">
        <v>60</v>
      </c>
      <c r="U232" s="116"/>
      <c r="V232" s="112"/>
      <c r="W232" s="113">
        <f t="shared" si="38"/>
        <v>3444</v>
      </c>
      <c r="X232" s="110">
        <v>0</v>
      </c>
      <c r="Y232" s="111">
        <v>0</v>
      </c>
      <c r="Z232" s="111">
        <v>0</v>
      </c>
      <c r="AA232" s="111">
        <v>0</v>
      </c>
      <c r="AB232" s="113">
        <f t="shared" si="41"/>
        <v>0</v>
      </c>
      <c r="AC232" s="110">
        <v>0</v>
      </c>
      <c r="AD232" s="111">
        <v>0</v>
      </c>
      <c r="AE232" s="111">
        <v>0</v>
      </c>
      <c r="AF232" s="111">
        <v>0</v>
      </c>
      <c r="AG232" s="111">
        <v>0</v>
      </c>
      <c r="AH232" s="111">
        <v>0</v>
      </c>
      <c r="AI232" s="111">
        <v>0</v>
      </c>
      <c r="AJ232" s="113">
        <f t="shared" si="42"/>
        <v>0</v>
      </c>
      <c r="AK232" s="143">
        <f t="shared" si="47"/>
        <v>73845.010999999999</v>
      </c>
      <c r="AL232" s="112">
        <f t="shared" si="47"/>
        <v>36517.949999999997</v>
      </c>
      <c r="AM232" s="112">
        <f t="shared" si="47"/>
        <v>37327.061000000002</v>
      </c>
      <c r="AN232" s="112">
        <f t="shared" si="47"/>
        <v>2035.2149999999999</v>
      </c>
      <c r="AO232" s="230">
        <f t="shared" si="39"/>
        <v>0.4945215594862597</v>
      </c>
      <c r="AP232" s="193">
        <f t="shared" si="46"/>
        <v>5479.2150000000001</v>
      </c>
      <c r="AQ232" s="194">
        <f t="shared" si="40"/>
        <v>-5479.2150000000001</v>
      </c>
      <c r="AR232" s="118"/>
      <c r="AS232" s="119"/>
      <c r="AT232" s="119"/>
      <c r="AU232" s="120"/>
      <c r="AV232" s="195"/>
      <c r="AW232" s="112">
        <v>73845011</v>
      </c>
      <c r="AX232" s="162">
        <v>36517950</v>
      </c>
      <c r="AY232" s="162">
        <v>37327061</v>
      </c>
      <c r="AZ232" s="162">
        <v>2035215</v>
      </c>
      <c r="BA232" s="231">
        <f t="shared" si="43"/>
        <v>0.4945215594862597</v>
      </c>
      <c r="BB232" s="210">
        <v>14475</v>
      </c>
      <c r="BC232" s="115">
        <v>5</v>
      </c>
      <c r="BD232" s="236"/>
    </row>
    <row r="233" spans="1:56" s="121" customFormat="1" ht="16.5" customHeight="1">
      <c r="A233" s="104" t="s">
        <v>2429</v>
      </c>
      <c r="B233" s="105" t="s">
        <v>1274</v>
      </c>
      <c r="C233" s="106" t="s">
        <v>1357</v>
      </c>
      <c r="D233" s="106" t="s">
        <v>2415</v>
      </c>
      <c r="E233" s="71" t="s">
        <v>1358</v>
      </c>
      <c r="F233" s="71" t="s">
        <v>78</v>
      </c>
      <c r="G233" s="109" t="s">
        <v>2467</v>
      </c>
      <c r="H233" s="143"/>
      <c r="I233" s="112"/>
      <c r="J233" s="112"/>
      <c r="K233" s="113">
        <f t="shared" si="37"/>
        <v>0</v>
      </c>
      <c r="L233" s="110">
        <v>82</v>
      </c>
      <c r="M233" s="111">
        <v>1023</v>
      </c>
      <c r="N233" s="112">
        <v>0</v>
      </c>
      <c r="O233" s="111">
        <v>576</v>
      </c>
      <c r="P233" s="114"/>
      <c r="Q233" s="111">
        <v>8397</v>
      </c>
      <c r="R233" s="112"/>
      <c r="S233" s="111">
        <f t="shared" si="44"/>
        <v>0</v>
      </c>
      <c r="T233" s="112">
        <v>0</v>
      </c>
      <c r="U233" s="116"/>
      <c r="V233" s="112"/>
      <c r="W233" s="113">
        <f t="shared" si="38"/>
        <v>1681</v>
      </c>
      <c r="X233" s="110">
        <v>0</v>
      </c>
      <c r="Y233" s="111">
        <v>0</v>
      </c>
      <c r="Z233" s="111">
        <v>0</v>
      </c>
      <c r="AA233" s="111">
        <v>0</v>
      </c>
      <c r="AB233" s="113">
        <f t="shared" si="41"/>
        <v>0</v>
      </c>
      <c r="AC233" s="110">
        <v>0</v>
      </c>
      <c r="AD233" s="111">
        <v>0</v>
      </c>
      <c r="AE233" s="111">
        <v>0</v>
      </c>
      <c r="AF233" s="111">
        <v>0</v>
      </c>
      <c r="AG233" s="111">
        <v>0</v>
      </c>
      <c r="AH233" s="111">
        <v>0</v>
      </c>
      <c r="AI233" s="111">
        <v>0</v>
      </c>
      <c r="AJ233" s="113">
        <f t="shared" si="42"/>
        <v>0</v>
      </c>
      <c r="AK233" s="143">
        <f t="shared" si="47"/>
        <v>0</v>
      </c>
      <c r="AL233" s="112">
        <f t="shared" si="47"/>
        <v>0</v>
      </c>
      <c r="AM233" s="112">
        <f t="shared" si="47"/>
        <v>0</v>
      </c>
      <c r="AN233" s="112">
        <f t="shared" si="47"/>
        <v>0</v>
      </c>
      <c r="AO233" s="230" t="str">
        <f t="shared" si="39"/>
        <v>-</v>
      </c>
      <c r="AP233" s="193">
        <f t="shared" si="46"/>
        <v>1681</v>
      </c>
      <c r="AQ233" s="194">
        <f t="shared" si="40"/>
        <v>-1681</v>
      </c>
      <c r="AR233" s="118"/>
      <c r="AS233" s="119"/>
      <c r="AT233" s="119"/>
      <c r="AU233" s="120"/>
      <c r="AV233" s="195"/>
      <c r="AW233" s="112">
        <v>0</v>
      </c>
      <c r="AX233" s="162">
        <v>0</v>
      </c>
      <c r="AY233" s="162">
        <v>0</v>
      </c>
      <c r="AZ233" s="162">
        <v>0</v>
      </c>
      <c r="BA233" s="231" t="s">
        <v>1966</v>
      </c>
      <c r="BB233" s="210"/>
      <c r="BC233" s="115"/>
      <c r="BD233" s="236"/>
    </row>
    <row r="234" spans="1:56" s="121" customFormat="1" ht="16.5" customHeight="1">
      <c r="A234" s="104" t="s">
        <v>2429</v>
      </c>
      <c r="B234" s="105" t="s">
        <v>1278</v>
      </c>
      <c r="C234" s="106" t="s">
        <v>1361</v>
      </c>
      <c r="D234" s="106" t="s">
        <v>2415</v>
      </c>
      <c r="E234" s="71" t="s">
        <v>1362</v>
      </c>
      <c r="F234" s="71" t="s">
        <v>1363</v>
      </c>
      <c r="G234" s="109" t="s">
        <v>1364</v>
      </c>
      <c r="H234" s="143">
        <v>0</v>
      </c>
      <c r="I234" s="112">
        <v>0</v>
      </c>
      <c r="J234" s="112">
        <v>0</v>
      </c>
      <c r="K234" s="113">
        <f t="shared" si="37"/>
        <v>0</v>
      </c>
      <c r="L234" s="110">
        <v>189</v>
      </c>
      <c r="M234" s="111">
        <v>2110</v>
      </c>
      <c r="N234" s="115">
        <v>0</v>
      </c>
      <c r="O234" s="111">
        <v>0</v>
      </c>
      <c r="P234" s="114">
        <v>0.1</v>
      </c>
      <c r="Q234" s="111">
        <v>8397</v>
      </c>
      <c r="R234" s="112">
        <v>0</v>
      </c>
      <c r="S234" s="111">
        <f t="shared" si="44"/>
        <v>840</v>
      </c>
      <c r="T234" s="115">
        <v>103</v>
      </c>
      <c r="U234" s="116">
        <v>0</v>
      </c>
      <c r="V234" s="112">
        <v>0</v>
      </c>
      <c r="W234" s="113">
        <f t="shared" si="38"/>
        <v>3242</v>
      </c>
      <c r="X234" s="110">
        <v>0</v>
      </c>
      <c r="Y234" s="111">
        <v>0</v>
      </c>
      <c r="Z234" s="116">
        <v>0</v>
      </c>
      <c r="AA234" s="111">
        <v>0</v>
      </c>
      <c r="AB234" s="113">
        <f t="shared" si="41"/>
        <v>0</v>
      </c>
      <c r="AC234" s="110">
        <v>0</v>
      </c>
      <c r="AD234" s="111">
        <v>0</v>
      </c>
      <c r="AE234" s="112">
        <v>0</v>
      </c>
      <c r="AF234" s="117">
        <v>0</v>
      </c>
      <c r="AG234" s="111">
        <v>0</v>
      </c>
      <c r="AH234" s="112">
        <v>0</v>
      </c>
      <c r="AI234" s="112">
        <v>0</v>
      </c>
      <c r="AJ234" s="113">
        <f t="shared" si="42"/>
        <v>0</v>
      </c>
      <c r="AK234" s="143">
        <f t="shared" si="47"/>
        <v>24413.200000000001</v>
      </c>
      <c r="AL234" s="112">
        <f t="shared" si="47"/>
        <v>24413.197</v>
      </c>
      <c r="AM234" s="112">
        <f t="shared" si="47"/>
        <v>3.0000000000000001E-3</v>
      </c>
      <c r="AN234" s="112">
        <f t="shared" si="47"/>
        <v>0</v>
      </c>
      <c r="AO234" s="230">
        <f t="shared" si="39"/>
        <v>0.99999987711565874</v>
      </c>
      <c r="AP234" s="193">
        <f t="shared" si="46"/>
        <v>3242</v>
      </c>
      <c r="AQ234" s="194">
        <f t="shared" si="40"/>
        <v>-3242</v>
      </c>
      <c r="AR234" s="118"/>
      <c r="AS234" s="119" t="s">
        <v>1851</v>
      </c>
      <c r="AT234" s="119"/>
      <c r="AU234" s="120"/>
      <c r="AV234" s="195"/>
      <c r="AW234" s="112">
        <v>24413200</v>
      </c>
      <c r="AX234" s="162">
        <v>24413197</v>
      </c>
      <c r="AY234" s="162">
        <v>3</v>
      </c>
      <c r="AZ234" s="162">
        <v>0</v>
      </c>
      <c r="BA234" s="231">
        <f t="shared" si="43"/>
        <v>0.99999987711565874</v>
      </c>
      <c r="BB234" s="210">
        <v>3285</v>
      </c>
      <c r="BC234" s="115">
        <v>4</v>
      </c>
      <c r="BD234" s="236">
        <v>0</v>
      </c>
    </row>
    <row r="235" spans="1:56" s="121" customFormat="1" ht="16.5" customHeight="1">
      <c r="A235" s="104" t="s">
        <v>2429</v>
      </c>
      <c r="B235" s="105" t="s">
        <v>1966</v>
      </c>
      <c r="C235" s="106" t="s">
        <v>1369</v>
      </c>
      <c r="D235" s="106" t="s">
        <v>2415</v>
      </c>
      <c r="E235" s="71" t="s">
        <v>1370</v>
      </c>
      <c r="F235" s="71" t="s">
        <v>139</v>
      </c>
      <c r="G235" s="109" t="s">
        <v>1135</v>
      </c>
      <c r="H235" s="110"/>
      <c r="I235" s="111"/>
      <c r="J235" s="112"/>
      <c r="K235" s="113">
        <f t="shared" si="37"/>
        <v>0</v>
      </c>
      <c r="L235" s="110">
        <v>83</v>
      </c>
      <c r="M235" s="115">
        <v>13</v>
      </c>
      <c r="N235" s="115"/>
      <c r="O235" s="111"/>
      <c r="P235" s="114"/>
      <c r="Q235" s="111">
        <v>8397</v>
      </c>
      <c r="R235" s="112"/>
      <c r="S235" s="111">
        <f t="shared" si="44"/>
        <v>0</v>
      </c>
      <c r="T235" s="112"/>
      <c r="U235" s="144"/>
      <c r="V235" s="111"/>
      <c r="W235" s="113">
        <f t="shared" si="38"/>
        <v>96</v>
      </c>
      <c r="X235" s="110"/>
      <c r="Y235" s="111"/>
      <c r="Z235" s="116"/>
      <c r="AA235" s="111"/>
      <c r="AB235" s="113">
        <f t="shared" si="41"/>
        <v>0</v>
      </c>
      <c r="AC235" s="110"/>
      <c r="AD235" s="111"/>
      <c r="AE235" s="112"/>
      <c r="AF235" s="117"/>
      <c r="AG235" s="111"/>
      <c r="AH235" s="112"/>
      <c r="AI235" s="112"/>
      <c r="AJ235" s="113">
        <f t="shared" si="42"/>
        <v>0</v>
      </c>
      <c r="AK235" s="143">
        <f t="shared" si="47"/>
        <v>14990.4</v>
      </c>
      <c r="AL235" s="112">
        <f t="shared" si="47"/>
        <v>14990.398999999999</v>
      </c>
      <c r="AM235" s="112">
        <f t="shared" si="47"/>
        <v>1E-3</v>
      </c>
      <c r="AN235" s="112">
        <f t="shared" si="47"/>
        <v>0</v>
      </c>
      <c r="AO235" s="230">
        <f t="shared" si="39"/>
        <v>0.9999999332906393</v>
      </c>
      <c r="AP235" s="193">
        <f t="shared" si="46"/>
        <v>96</v>
      </c>
      <c r="AQ235" s="194">
        <f t="shared" si="40"/>
        <v>-96</v>
      </c>
      <c r="AR235" s="118"/>
      <c r="AS235" s="119"/>
      <c r="AT235" s="119"/>
      <c r="AU235" s="120"/>
      <c r="AV235" s="195"/>
      <c r="AW235" s="112">
        <v>14990400</v>
      </c>
      <c r="AX235" s="162">
        <v>14990399</v>
      </c>
      <c r="AY235" s="162">
        <v>1</v>
      </c>
      <c r="AZ235" s="162">
        <v>0</v>
      </c>
      <c r="BA235" s="231">
        <f t="shared" si="43"/>
        <v>0.9999999332906393</v>
      </c>
      <c r="BB235" s="210">
        <v>1786</v>
      </c>
      <c r="BC235" s="115">
        <v>5</v>
      </c>
      <c r="BD235" s="236"/>
    </row>
    <row r="236" spans="1:56" s="121" customFormat="1" ht="16.5" customHeight="1">
      <c r="A236" s="104" t="s">
        <v>2429</v>
      </c>
      <c r="B236" s="105" t="s">
        <v>1282</v>
      </c>
      <c r="C236" s="106" t="s">
        <v>1371</v>
      </c>
      <c r="D236" s="106" t="s">
        <v>2415</v>
      </c>
      <c r="E236" s="71" t="s">
        <v>1372</v>
      </c>
      <c r="F236" s="71" t="s">
        <v>170</v>
      </c>
      <c r="G236" s="109" t="s">
        <v>1373</v>
      </c>
      <c r="H236" s="110">
        <v>938</v>
      </c>
      <c r="I236" s="111"/>
      <c r="J236" s="112">
        <v>7986</v>
      </c>
      <c r="K236" s="113">
        <f t="shared" si="37"/>
        <v>8924</v>
      </c>
      <c r="L236" s="143"/>
      <c r="M236" s="112"/>
      <c r="N236" s="112"/>
      <c r="O236" s="112">
        <v>1529</v>
      </c>
      <c r="P236" s="114"/>
      <c r="Q236" s="111">
        <v>8397</v>
      </c>
      <c r="R236" s="112"/>
      <c r="S236" s="111">
        <f t="shared" si="44"/>
        <v>0</v>
      </c>
      <c r="T236" s="112">
        <v>14060</v>
      </c>
      <c r="U236" s="116">
        <v>33</v>
      </c>
      <c r="V236" s="111"/>
      <c r="W236" s="113">
        <f t="shared" si="38"/>
        <v>15622</v>
      </c>
      <c r="X236" s="110">
        <v>123062</v>
      </c>
      <c r="Y236" s="111">
        <v>82810</v>
      </c>
      <c r="Z236" s="116">
        <v>14883</v>
      </c>
      <c r="AA236" s="111">
        <v>0</v>
      </c>
      <c r="AB236" s="113">
        <f t="shared" si="41"/>
        <v>220755</v>
      </c>
      <c r="AC236" s="110">
        <v>28929</v>
      </c>
      <c r="AD236" s="111">
        <v>37249</v>
      </c>
      <c r="AE236" s="112">
        <v>0</v>
      </c>
      <c r="AF236" s="117">
        <v>6290</v>
      </c>
      <c r="AG236" s="111">
        <v>85449</v>
      </c>
      <c r="AH236" s="112">
        <v>34659</v>
      </c>
      <c r="AI236" s="112">
        <v>22359</v>
      </c>
      <c r="AJ236" s="113">
        <f t="shared" si="42"/>
        <v>214935</v>
      </c>
      <c r="AK236" s="143">
        <f t="shared" si="47"/>
        <v>1039799.642</v>
      </c>
      <c r="AL236" s="112">
        <f t="shared" si="47"/>
        <v>168058.20699999999</v>
      </c>
      <c r="AM236" s="112">
        <f t="shared" si="47"/>
        <v>871741.43500000006</v>
      </c>
      <c r="AN236" s="112">
        <f t="shared" si="47"/>
        <v>36663.410000000003</v>
      </c>
      <c r="AO236" s="230">
        <f t="shared" si="39"/>
        <v>0.16162556728404798</v>
      </c>
      <c r="AP236" s="193">
        <f t="shared" si="46"/>
        <v>52285.41</v>
      </c>
      <c r="AQ236" s="194">
        <f t="shared" si="40"/>
        <v>-43361.41</v>
      </c>
      <c r="AR236" s="118"/>
      <c r="AS236" s="119"/>
      <c r="AT236" s="119"/>
      <c r="AU236" s="120"/>
      <c r="AV236" s="195"/>
      <c r="AW236" s="112">
        <v>1039799642</v>
      </c>
      <c r="AX236" s="162">
        <v>168058207</v>
      </c>
      <c r="AY236" s="162">
        <v>871741435</v>
      </c>
      <c r="AZ236" s="162">
        <v>36663410</v>
      </c>
      <c r="BA236" s="231">
        <f t="shared" si="43"/>
        <v>0.16162556728404798</v>
      </c>
      <c r="BB236" s="210">
        <v>628586</v>
      </c>
      <c r="BC236" s="115">
        <v>98558</v>
      </c>
      <c r="BD236" s="236">
        <v>90.1</v>
      </c>
    </row>
    <row r="237" spans="1:56" s="121" customFormat="1" ht="16.5" customHeight="1">
      <c r="A237" s="104" t="s">
        <v>2429</v>
      </c>
      <c r="B237" s="105" t="s">
        <v>1286</v>
      </c>
      <c r="C237" s="106" t="s">
        <v>1382</v>
      </c>
      <c r="D237" s="106" t="s">
        <v>2415</v>
      </c>
      <c r="E237" s="71" t="s">
        <v>2060</v>
      </c>
      <c r="F237" s="71" t="s">
        <v>170</v>
      </c>
      <c r="G237" s="109" t="s">
        <v>1373</v>
      </c>
      <c r="H237" s="110">
        <v>85</v>
      </c>
      <c r="I237" s="111"/>
      <c r="J237" s="112">
        <v>86</v>
      </c>
      <c r="K237" s="113">
        <f t="shared" si="37"/>
        <v>171</v>
      </c>
      <c r="L237" s="143"/>
      <c r="M237" s="112"/>
      <c r="N237" s="112"/>
      <c r="O237" s="112">
        <v>6718</v>
      </c>
      <c r="P237" s="114"/>
      <c r="Q237" s="111">
        <v>8397</v>
      </c>
      <c r="R237" s="112"/>
      <c r="S237" s="111">
        <f t="shared" si="44"/>
        <v>0</v>
      </c>
      <c r="T237" s="112">
        <v>726</v>
      </c>
      <c r="U237" s="116"/>
      <c r="V237" s="111">
        <v>41700</v>
      </c>
      <c r="W237" s="113">
        <f>SUBTOTAL(9,L237:O237,S237:V237)</f>
        <v>49144</v>
      </c>
      <c r="X237" s="110">
        <v>19340</v>
      </c>
      <c r="Y237" s="111">
        <v>9502</v>
      </c>
      <c r="Z237" s="116">
        <v>1605</v>
      </c>
      <c r="AA237" s="111">
        <v>41700</v>
      </c>
      <c r="AB237" s="113">
        <f t="shared" si="41"/>
        <v>72147</v>
      </c>
      <c r="AC237" s="110">
        <v>7298</v>
      </c>
      <c r="AD237" s="111">
        <v>10680</v>
      </c>
      <c r="AE237" s="112">
        <v>0</v>
      </c>
      <c r="AF237" s="117">
        <v>7131</v>
      </c>
      <c r="AG237" s="111">
        <v>26597</v>
      </c>
      <c r="AH237" s="112">
        <v>21969</v>
      </c>
      <c r="AI237" s="112">
        <v>7286</v>
      </c>
      <c r="AJ237" s="113">
        <f t="shared" si="42"/>
        <v>80961</v>
      </c>
      <c r="AK237" s="143">
        <f t="shared" si="47"/>
        <v>469324.11099999998</v>
      </c>
      <c r="AL237" s="112">
        <f t="shared" si="47"/>
        <v>367185.50199999998</v>
      </c>
      <c r="AM237" s="112">
        <f t="shared" si="47"/>
        <v>102138.609</v>
      </c>
      <c r="AN237" s="112">
        <f t="shared" si="47"/>
        <v>11508.960999999999</v>
      </c>
      <c r="AO237" s="230">
        <f t="shared" si="39"/>
        <v>0.78237084648736488</v>
      </c>
      <c r="AP237" s="193">
        <f t="shared" si="46"/>
        <v>60652.960999999996</v>
      </c>
      <c r="AQ237" s="194">
        <f t="shared" si="40"/>
        <v>-60481.960999999996</v>
      </c>
      <c r="AR237" s="118"/>
      <c r="AS237" s="119"/>
      <c r="AT237" s="119"/>
      <c r="AU237" s="120"/>
      <c r="AV237" s="195"/>
      <c r="AW237" s="112">
        <v>469324111</v>
      </c>
      <c r="AX237" s="162">
        <v>367185502</v>
      </c>
      <c r="AY237" s="162">
        <v>102138609</v>
      </c>
      <c r="AZ237" s="162">
        <v>11508961</v>
      </c>
      <c r="BA237" s="231">
        <f t="shared" si="43"/>
        <v>0.78237084648736488</v>
      </c>
      <c r="BB237" s="210">
        <v>123131</v>
      </c>
      <c r="BC237" s="115">
        <v>0</v>
      </c>
      <c r="BD237" s="236">
        <v>0</v>
      </c>
    </row>
    <row r="238" spans="1:56" s="121" customFormat="1" ht="16.5" customHeight="1">
      <c r="A238" s="104" t="s">
        <v>2429</v>
      </c>
      <c r="B238" s="105" t="s">
        <v>1290</v>
      </c>
      <c r="C238" s="106" t="s">
        <v>1390</v>
      </c>
      <c r="D238" s="106" t="s">
        <v>2415</v>
      </c>
      <c r="E238" s="71" t="s">
        <v>1391</v>
      </c>
      <c r="F238" s="71" t="s">
        <v>170</v>
      </c>
      <c r="G238" s="109" t="s">
        <v>1373</v>
      </c>
      <c r="H238" s="110"/>
      <c r="I238" s="111"/>
      <c r="J238" s="112"/>
      <c r="K238" s="113">
        <f t="shared" si="37"/>
        <v>0</v>
      </c>
      <c r="L238" s="143"/>
      <c r="M238" s="112"/>
      <c r="N238" s="112"/>
      <c r="O238" s="112"/>
      <c r="P238" s="114"/>
      <c r="Q238" s="111">
        <v>8397</v>
      </c>
      <c r="R238" s="112"/>
      <c r="S238" s="111">
        <f t="shared" si="44"/>
        <v>0</v>
      </c>
      <c r="T238" s="112">
        <v>459</v>
      </c>
      <c r="U238" s="116"/>
      <c r="V238" s="111">
        <v>3400</v>
      </c>
      <c r="W238" s="113">
        <f t="shared" si="38"/>
        <v>3859</v>
      </c>
      <c r="X238" s="110">
        <v>5895</v>
      </c>
      <c r="Y238" s="111">
        <v>1222</v>
      </c>
      <c r="Z238" s="116">
        <v>459</v>
      </c>
      <c r="AA238" s="111">
        <v>3400</v>
      </c>
      <c r="AB238" s="113">
        <f t="shared" si="41"/>
        <v>10976</v>
      </c>
      <c r="AC238" s="110">
        <v>284</v>
      </c>
      <c r="AD238" s="111">
        <v>0</v>
      </c>
      <c r="AE238" s="112">
        <v>0</v>
      </c>
      <c r="AF238" s="117">
        <v>1013</v>
      </c>
      <c r="AG238" s="111">
        <v>7040</v>
      </c>
      <c r="AH238" s="112">
        <v>3181</v>
      </c>
      <c r="AI238" s="112">
        <v>0</v>
      </c>
      <c r="AJ238" s="113">
        <f t="shared" si="42"/>
        <v>11518</v>
      </c>
      <c r="AK238" s="143">
        <f t="shared" si="47"/>
        <v>2776.5</v>
      </c>
      <c r="AL238" s="112">
        <f t="shared" si="47"/>
        <v>2776.4969999999998</v>
      </c>
      <c r="AM238" s="112">
        <f t="shared" si="47"/>
        <v>3.0000000000000001E-3</v>
      </c>
      <c r="AN238" s="112">
        <f t="shared" si="47"/>
        <v>0</v>
      </c>
      <c r="AO238" s="230">
        <f t="shared" si="39"/>
        <v>0.99999891950297137</v>
      </c>
      <c r="AP238" s="193">
        <f t="shared" si="46"/>
        <v>3859</v>
      </c>
      <c r="AQ238" s="194">
        <f t="shared" si="40"/>
        <v>-3859</v>
      </c>
      <c r="AR238" s="118"/>
      <c r="AS238" s="119"/>
      <c r="AT238" s="119"/>
      <c r="AU238" s="120"/>
      <c r="AV238" s="195"/>
      <c r="AW238" s="112">
        <v>2776500</v>
      </c>
      <c r="AX238" s="162">
        <v>2776497</v>
      </c>
      <c r="AY238" s="162">
        <v>3</v>
      </c>
      <c r="AZ238" s="162">
        <v>0</v>
      </c>
      <c r="BA238" s="231">
        <f t="shared" si="43"/>
        <v>0.99999891950297137</v>
      </c>
      <c r="BB238" s="210">
        <v>9263</v>
      </c>
      <c r="BC238" s="115">
        <v>0</v>
      </c>
      <c r="BD238" s="236">
        <v>0</v>
      </c>
    </row>
    <row r="239" spans="1:56" s="121" customFormat="1" ht="16.5" customHeight="1">
      <c r="A239" s="104" t="s">
        <v>2429</v>
      </c>
      <c r="B239" s="105" t="s">
        <v>1294</v>
      </c>
      <c r="C239" s="106" t="s">
        <v>1395</v>
      </c>
      <c r="D239" s="106" t="s">
        <v>2415</v>
      </c>
      <c r="E239" s="71" t="s">
        <v>1396</v>
      </c>
      <c r="F239" s="71" t="s">
        <v>170</v>
      </c>
      <c r="G239" s="109" t="s">
        <v>1373</v>
      </c>
      <c r="H239" s="110">
        <v>3426</v>
      </c>
      <c r="I239" s="111"/>
      <c r="J239" s="112">
        <v>5</v>
      </c>
      <c r="K239" s="113">
        <f t="shared" si="37"/>
        <v>3431</v>
      </c>
      <c r="L239" s="143"/>
      <c r="M239" s="112">
        <v>62</v>
      </c>
      <c r="N239" s="112"/>
      <c r="O239" s="112">
        <v>1174</v>
      </c>
      <c r="P239" s="114"/>
      <c r="Q239" s="111">
        <v>8397</v>
      </c>
      <c r="R239" s="112"/>
      <c r="S239" s="111">
        <f t="shared" si="44"/>
        <v>0</v>
      </c>
      <c r="T239" s="112"/>
      <c r="U239" s="116"/>
      <c r="V239" s="111">
        <v>13984</v>
      </c>
      <c r="W239" s="113">
        <f t="shared" si="38"/>
        <v>15220</v>
      </c>
      <c r="X239" s="110">
        <v>0</v>
      </c>
      <c r="Y239" s="111">
        <v>0</v>
      </c>
      <c r="Z239" s="116">
        <v>1510</v>
      </c>
      <c r="AA239" s="111">
        <v>13984</v>
      </c>
      <c r="AB239" s="113">
        <f t="shared" si="41"/>
        <v>15494</v>
      </c>
      <c r="AC239" s="110">
        <v>816</v>
      </c>
      <c r="AD239" s="111">
        <v>6735</v>
      </c>
      <c r="AE239" s="112">
        <v>0</v>
      </c>
      <c r="AF239" s="117">
        <v>775</v>
      </c>
      <c r="AG239" s="111">
        <v>4271</v>
      </c>
      <c r="AH239" s="112">
        <v>315</v>
      </c>
      <c r="AI239" s="112">
        <v>1176</v>
      </c>
      <c r="AJ239" s="113">
        <f t="shared" si="42"/>
        <v>14088</v>
      </c>
      <c r="AK239" s="143">
        <f t="shared" si="47"/>
        <v>27819.288</v>
      </c>
      <c r="AL239" s="112">
        <f t="shared" si="47"/>
        <v>26691.037</v>
      </c>
      <c r="AM239" s="112">
        <f t="shared" si="47"/>
        <v>1128.251</v>
      </c>
      <c r="AN239" s="112">
        <f t="shared" si="47"/>
        <v>952.44500000000005</v>
      </c>
      <c r="AO239" s="230">
        <f t="shared" si="39"/>
        <v>0.95944357023084126</v>
      </c>
      <c r="AP239" s="193">
        <f t="shared" si="46"/>
        <v>16172.445</v>
      </c>
      <c r="AQ239" s="194">
        <f t="shared" si="40"/>
        <v>-12741.445</v>
      </c>
      <c r="AR239" s="118"/>
      <c r="AS239" s="119"/>
      <c r="AT239" s="119"/>
      <c r="AU239" s="120"/>
      <c r="AV239" s="195"/>
      <c r="AW239" s="112">
        <v>27819288</v>
      </c>
      <c r="AX239" s="162">
        <v>26691037</v>
      </c>
      <c r="AY239" s="162">
        <v>1128251</v>
      </c>
      <c r="AZ239" s="162">
        <v>952445</v>
      </c>
      <c r="BA239" s="231">
        <f t="shared" si="43"/>
        <v>0.95944357023084126</v>
      </c>
      <c r="BB239" s="210">
        <v>17213</v>
      </c>
      <c r="BC239" s="115">
        <v>0</v>
      </c>
      <c r="BD239" s="236">
        <v>0</v>
      </c>
    </row>
    <row r="240" spans="1:56" s="121" customFormat="1" ht="16.5" customHeight="1">
      <c r="A240" s="104" t="s">
        <v>2429</v>
      </c>
      <c r="B240" s="105" t="s">
        <v>1298</v>
      </c>
      <c r="C240" s="106" t="s">
        <v>1402</v>
      </c>
      <c r="D240" s="106" t="s">
        <v>2415</v>
      </c>
      <c r="E240" s="71" t="s">
        <v>1403</v>
      </c>
      <c r="F240" s="71" t="s">
        <v>1404</v>
      </c>
      <c r="G240" s="109" t="s">
        <v>1405</v>
      </c>
      <c r="H240" s="210">
        <v>34</v>
      </c>
      <c r="I240" s="115">
        <v>21282</v>
      </c>
      <c r="J240" s="115">
        <v>19.859000000000002</v>
      </c>
      <c r="K240" s="236">
        <f t="shared" si="37"/>
        <v>21335.859</v>
      </c>
      <c r="L240" s="110">
        <v>0</v>
      </c>
      <c r="M240" s="111">
        <v>0</v>
      </c>
      <c r="N240" s="111">
        <v>0</v>
      </c>
      <c r="O240" s="111">
        <v>0</v>
      </c>
      <c r="P240" s="122">
        <v>0.29428576849294857</v>
      </c>
      <c r="Q240" s="111">
        <v>8397</v>
      </c>
      <c r="R240" s="112">
        <v>0</v>
      </c>
      <c r="S240" s="111">
        <f t="shared" si="44"/>
        <v>2471</v>
      </c>
      <c r="T240" s="112">
        <v>216.48</v>
      </c>
      <c r="U240" s="116">
        <v>0</v>
      </c>
      <c r="V240" s="111">
        <v>0</v>
      </c>
      <c r="W240" s="113">
        <f t="shared" si="38"/>
        <v>2687.48</v>
      </c>
      <c r="X240" s="110">
        <v>34378.28177245683</v>
      </c>
      <c r="Y240" s="111">
        <v>0</v>
      </c>
      <c r="Z240" s="116">
        <v>0</v>
      </c>
      <c r="AA240" s="111">
        <v>0</v>
      </c>
      <c r="AB240" s="113">
        <f t="shared" si="41"/>
        <v>34378.28177245683</v>
      </c>
      <c r="AC240" s="110">
        <v>13622.076923076924</v>
      </c>
      <c r="AD240" s="111">
        <v>2953.8403966320793</v>
      </c>
      <c r="AE240" s="112">
        <v>425</v>
      </c>
      <c r="AF240" s="117">
        <v>2749.7764059739256</v>
      </c>
      <c r="AG240" s="111">
        <v>0</v>
      </c>
      <c r="AH240" s="112">
        <v>1172.94399062512</v>
      </c>
      <c r="AI240" s="112">
        <v>953.05232202118179</v>
      </c>
      <c r="AJ240" s="113">
        <f t="shared" si="42"/>
        <v>21876.69003832923</v>
      </c>
      <c r="AK240" s="143">
        <f t="shared" si="47"/>
        <v>559213.06000000006</v>
      </c>
      <c r="AL240" s="112">
        <f t="shared" si="47"/>
        <v>422827.56099999999</v>
      </c>
      <c r="AM240" s="112">
        <f t="shared" si="47"/>
        <v>136385.49900000001</v>
      </c>
      <c r="AN240" s="112">
        <f t="shared" si="47"/>
        <v>11890.791999999999</v>
      </c>
      <c r="AO240" s="230">
        <f t="shared" si="39"/>
        <v>0.75611174209701038</v>
      </c>
      <c r="AP240" s="193">
        <f t="shared" si="46"/>
        <v>14578.271999999999</v>
      </c>
      <c r="AQ240" s="194">
        <f t="shared" si="40"/>
        <v>6757.5870000000014</v>
      </c>
      <c r="AR240" s="118"/>
      <c r="AS240" s="119"/>
      <c r="AT240" s="119"/>
      <c r="AU240" s="120"/>
      <c r="AV240" s="195"/>
      <c r="AW240" s="112">
        <v>559213060</v>
      </c>
      <c r="AX240" s="162">
        <v>422827561</v>
      </c>
      <c r="AY240" s="162">
        <v>136385499</v>
      </c>
      <c r="AZ240" s="162">
        <v>11890792</v>
      </c>
      <c r="BA240" s="231">
        <f t="shared" si="43"/>
        <v>0.75611174209701038</v>
      </c>
      <c r="BB240" s="210">
        <v>80507</v>
      </c>
      <c r="BC240" s="115">
        <v>0</v>
      </c>
      <c r="BD240" s="236">
        <v>0</v>
      </c>
    </row>
    <row r="241" spans="1:56" s="121" customFormat="1" ht="16.5" customHeight="1">
      <c r="A241" s="104" t="s">
        <v>2429</v>
      </c>
      <c r="B241" s="105" t="s">
        <v>1303</v>
      </c>
      <c r="C241" s="106" t="s">
        <v>1414</v>
      </c>
      <c r="D241" s="106" t="s">
        <v>2415</v>
      </c>
      <c r="E241" s="71" t="s">
        <v>1415</v>
      </c>
      <c r="F241" s="71" t="s">
        <v>1404</v>
      </c>
      <c r="G241" s="109" t="s">
        <v>1405</v>
      </c>
      <c r="H241" s="210">
        <v>0</v>
      </c>
      <c r="I241" s="115">
        <v>3470</v>
      </c>
      <c r="J241" s="115">
        <v>0</v>
      </c>
      <c r="K241" s="236">
        <f t="shared" si="37"/>
        <v>3470</v>
      </c>
      <c r="L241" s="110">
        <v>0</v>
      </c>
      <c r="M241" s="111">
        <v>0</v>
      </c>
      <c r="N241" s="111">
        <v>0</v>
      </c>
      <c r="O241" s="111">
        <v>0</v>
      </c>
      <c r="P241" s="122">
        <v>0.17652638235976137</v>
      </c>
      <c r="Q241" s="111">
        <v>8397</v>
      </c>
      <c r="R241" s="112">
        <v>0</v>
      </c>
      <c r="S241" s="111">
        <f t="shared" si="44"/>
        <v>1482</v>
      </c>
      <c r="T241" s="112">
        <v>8863.8919999999998</v>
      </c>
      <c r="U241" s="116">
        <v>0</v>
      </c>
      <c r="V241" s="111">
        <v>0</v>
      </c>
      <c r="W241" s="113">
        <f t="shared" si="38"/>
        <v>10345.892</v>
      </c>
      <c r="X241" s="110">
        <v>19117.120781273032</v>
      </c>
      <c r="Y241" s="111">
        <v>0</v>
      </c>
      <c r="Z241" s="116">
        <v>0</v>
      </c>
      <c r="AA241" s="111">
        <v>0</v>
      </c>
      <c r="AB241" s="113">
        <f t="shared" si="41"/>
        <v>19117.120781273032</v>
      </c>
      <c r="AC241" s="110">
        <v>13622.076923076924</v>
      </c>
      <c r="AD241" s="111">
        <v>1642.5755075479262</v>
      </c>
      <c r="AE241" s="112">
        <v>0</v>
      </c>
      <c r="AF241" s="117">
        <v>1529.0993314451989</v>
      </c>
      <c r="AG241" s="111">
        <v>0</v>
      </c>
      <c r="AH241" s="112">
        <v>652.25225876221361</v>
      </c>
      <c r="AI241" s="112">
        <v>529.97460639667088</v>
      </c>
      <c r="AJ241" s="113">
        <f t="shared" si="42"/>
        <v>17975.978627228935</v>
      </c>
      <c r="AK241" s="143">
        <f t="shared" si="47"/>
        <v>552545</v>
      </c>
      <c r="AL241" s="112">
        <f t="shared" si="47"/>
        <v>547583.99899999995</v>
      </c>
      <c r="AM241" s="112">
        <f t="shared" si="47"/>
        <v>4961.0010000000002</v>
      </c>
      <c r="AN241" s="112">
        <f t="shared" si="47"/>
        <v>0</v>
      </c>
      <c r="AO241" s="230">
        <f t="shared" si="39"/>
        <v>0.99102154394664688</v>
      </c>
      <c r="AP241" s="193">
        <f t="shared" si="46"/>
        <v>10345.892</v>
      </c>
      <c r="AQ241" s="194">
        <f t="shared" si="40"/>
        <v>-6875.8919999999998</v>
      </c>
      <c r="AR241" s="118"/>
      <c r="AS241" s="119"/>
      <c r="AT241" s="119"/>
      <c r="AU241" s="120"/>
      <c r="AV241" s="195"/>
      <c r="AW241" s="112">
        <v>552545000</v>
      </c>
      <c r="AX241" s="162">
        <v>547583999</v>
      </c>
      <c r="AY241" s="162">
        <v>4961001</v>
      </c>
      <c r="AZ241" s="162">
        <v>0</v>
      </c>
      <c r="BA241" s="231">
        <f t="shared" si="43"/>
        <v>0.99102154394664688</v>
      </c>
      <c r="BB241" s="210">
        <v>66054</v>
      </c>
      <c r="BC241" s="115">
        <v>0</v>
      </c>
      <c r="BD241" s="236">
        <v>0</v>
      </c>
    </row>
    <row r="242" spans="1:56" s="121" customFormat="1" ht="16.5" customHeight="1">
      <c r="A242" s="104" t="s">
        <v>2429</v>
      </c>
      <c r="B242" s="105" t="s">
        <v>2548</v>
      </c>
      <c r="C242" s="106" t="s">
        <v>1417</v>
      </c>
      <c r="D242" s="106" t="s">
        <v>2415</v>
      </c>
      <c r="E242" s="71" t="s">
        <v>1418</v>
      </c>
      <c r="F242" s="71" t="s">
        <v>1404</v>
      </c>
      <c r="G242" s="109" t="s">
        <v>1405</v>
      </c>
      <c r="H242" s="210">
        <v>269.548</v>
      </c>
      <c r="I242" s="115">
        <v>19275</v>
      </c>
      <c r="J242" s="115">
        <v>35.231000000000002</v>
      </c>
      <c r="K242" s="236">
        <f t="shared" si="37"/>
        <v>19579.778999999999</v>
      </c>
      <c r="L242" s="110">
        <v>0</v>
      </c>
      <c r="M242" s="111">
        <v>0</v>
      </c>
      <c r="N242" s="111">
        <v>0</v>
      </c>
      <c r="O242" s="111">
        <v>0</v>
      </c>
      <c r="P242" s="122">
        <v>0.62918784914729009</v>
      </c>
      <c r="Q242" s="111">
        <v>8397</v>
      </c>
      <c r="R242" s="112">
        <v>0</v>
      </c>
      <c r="S242" s="111">
        <f t="shared" si="44"/>
        <v>5283</v>
      </c>
      <c r="T242" s="112">
        <v>20096.560000000001</v>
      </c>
      <c r="U242" s="116">
        <v>0</v>
      </c>
      <c r="V242" s="111">
        <v>0</v>
      </c>
      <c r="W242" s="113">
        <f t="shared" si="38"/>
        <v>25379.56</v>
      </c>
      <c r="X242" s="110">
        <v>68138.597446270127</v>
      </c>
      <c r="Y242" s="111">
        <v>0</v>
      </c>
      <c r="Z242" s="116">
        <v>0</v>
      </c>
      <c r="AA242" s="111">
        <v>0</v>
      </c>
      <c r="AB242" s="113">
        <f t="shared" si="41"/>
        <v>68138.597446270127</v>
      </c>
      <c r="AC242" s="110">
        <v>31784.846153846152</v>
      </c>
      <c r="AD242" s="111">
        <v>5854.5840958199933</v>
      </c>
      <c r="AE242" s="112">
        <v>1686</v>
      </c>
      <c r="AF242" s="117">
        <v>5450.1242625808745</v>
      </c>
      <c r="AG242" s="111">
        <v>0</v>
      </c>
      <c r="AH242" s="112">
        <v>2324.8037506126661</v>
      </c>
      <c r="AI242" s="112">
        <v>1888.973071582147</v>
      </c>
      <c r="AJ242" s="113">
        <f t="shared" si="42"/>
        <v>48989.331334441835</v>
      </c>
      <c r="AK242" s="143">
        <f t="shared" si="47"/>
        <v>5304988.7479999997</v>
      </c>
      <c r="AL242" s="112">
        <f t="shared" si="47"/>
        <v>3553507.8130000001</v>
      </c>
      <c r="AM242" s="112">
        <f t="shared" si="47"/>
        <v>1751480.9350000001</v>
      </c>
      <c r="AN242" s="112">
        <f t="shared" si="47"/>
        <v>143628.99100000001</v>
      </c>
      <c r="AO242" s="230">
        <f t="shared" si="39"/>
        <v>0.6698426673081419</v>
      </c>
      <c r="AP242" s="193">
        <f t="shared" si="46"/>
        <v>169008.55100000001</v>
      </c>
      <c r="AQ242" s="194">
        <f t="shared" si="40"/>
        <v>-149428.772</v>
      </c>
      <c r="AR242" s="118"/>
      <c r="AS242" s="119"/>
      <c r="AT242" s="119"/>
      <c r="AU242" s="120"/>
      <c r="AV242" s="195"/>
      <c r="AW242" s="112">
        <v>5304988748</v>
      </c>
      <c r="AX242" s="162">
        <v>3553507813</v>
      </c>
      <c r="AY242" s="162">
        <v>1751480935</v>
      </c>
      <c r="AZ242" s="162">
        <v>143628991</v>
      </c>
      <c r="BA242" s="231">
        <f t="shared" si="43"/>
        <v>0.6698426673081419</v>
      </c>
      <c r="BB242" s="210">
        <v>221556</v>
      </c>
      <c r="BC242" s="115">
        <v>0</v>
      </c>
      <c r="BD242" s="236">
        <v>0</v>
      </c>
    </row>
    <row r="243" spans="1:56" s="121" customFormat="1" ht="16.5" customHeight="1">
      <c r="A243" s="104" t="s">
        <v>2429</v>
      </c>
      <c r="B243" s="105" t="s">
        <v>1307</v>
      </c>
      <c r="C243" s="106" t="s">
        <v>1420</v>
      </c>
      <c r="D243" s="106" t="s">
        <v>2415</v>
      </c>
      <c r="E243" s="71" t="s">
        <v>1421</v>
      </c>
      <c r="F243" s="71" t="s">
        <v>1404</v>
      </c>
      <c r="G243" s="109" t="s">
        <v>1405</v>
      </c>
      <c r="H243" s="210">
        <v>144.6</v>
      </c>
      <c r="I243" s="115">
        <v>2428.118112689071</v>
      </c>
      <c r="J243" s="115">
        <v>47.345999999999997</v>
      </c>
      <c r="K243" s="236">
        <f t="shared" si="37"/>
        <v>2620.064112689071</v>
      </c>
      <c r="L243" s="110">
        <v>0</v>
      </c>
      <c r="M243" s="111">
        <v>0</v>
      </c>
      <c r="N243" s="111">
        <v>0</v>
      </c>
      <c r="O243" s="111">
        <v>0</v>
      </c>
      <c r="P243" s="122">
        <v>6.83581284006992E-2</v>
      </c>
      <c r="Q243" s="111">
        <v>8397</v>
      </c>
      <c r="R243" s="112">
        <v>0</v>
      </c>
      <c r="S243" s="111">
        <f t="shared" si="44"/>
        <v>574</v>
      </c>
      <c r="T243" s="112">
        <v>0</v>
      </c>
      <c r="U243" s="116">
        <v>0</v>
      </c>
      <c r="V243" s="111">
        <v>0</v>
      </c>
      <c r="W243" s="113">
        <f t="shared" si="38"/>
        <v>574</v>
      </c>
      <c r="X243" s="110">
        <v>10175.107412444077</v>
      </c>
      <c r="Y243" s="111">
        <v>0</v>
      </c>
      <c r="Z243" s="116">
        <v>0</v>
      </c>
      <c r="AA243" s="111">
        <v>0</v>
      </c>
      <c r="AB243" s="113">
        <f t="shared" si="41"/>
        <v>10175.107412444077</v>
      </c>
      <c r="AC243" s="110">
        <v>9626.2622950819659</v>
      </c>
      <c r="AD243" s="111">
        <v>432.70695277642596</v>
      </c>
      <c r="AE243" s="112">
        <v>28</v>
      </c>
      <c r="AF243" s="117">
        <v>938.96725171200421</v>
      </c>
      <c r="AG243" s="111">
        <v>0</v>
      </c>
      <c r="AH243" s="112">
        <v>717.07676692333462</v>
      </c>
      <c r="AI243" s="112">
        <v>18.93520156699368</v>
      </c>
      <c r="AJ243" s="113">
        <f t="shared" si="42"/>
        <v>11761.948468060724</v>
      </c>
      <c r="AK243" s="143">
        <f t="shared" si="47"/>
        <v>151879.796</v>
      </c>
      <c r="AL243" s="112">
        <f t="shared" si="47"/>
        <v>80562.433999999994</v>
      </c>
      <c r="AM243" s="112">
        <f t="shared" si="47"/>
        <v>71317.361999999994</v>
      </c>
      <c r="AN243" s="112">
        <f t="shared" si="47"/>
        <v>5105.5190000000002</v>
      </c>
      <c r="AO243" s="230">
        <f t="shared" si="39"/>
        <v>0.53043548991861955</v>
      </c>
      <c r="AP243" s="193">
        <f t="shared" si="46"/>
        <v>5679.5190000000002</v>
      </c>
      <c r="AQ243" s="194">
        <f t="shared" si="40"/>
        <v>-3059.4548873109293</v>
      </c>
      <c r="AR243" s="118"/>
      <c r="AS243" s="119"/>
      <c r="AT243" s="119"/>
      <c r="AU243" s="120"/>
      <c r="AV243" s="195"/>
      <c r="AW243" s="112">
        <v>151879796</v>
      </c>
      <c r="AX243" s="162">
        <v>80562434</v>
      </c>
      <c r="AY243" s="162">
        <v>71317362</v>
      </c>
      <c r="AZ243" s="162">
        <v>5105519</v>
      </c>
      <c r="BA243" s="231">
        <f t="shared" si="43"/>
        <v>0.53043548991861955</v>
      </c>
      <c r="BB243" s="210">
        <v>12470</v>
      </c>
      <c r="BC243" s="115">
        <v>0</v>
      </c>
      <c r="BD243" s="236">
        <v>0</v>
      </c>
    </row>
    <row r="244" spans="1:56" s="121" customFormat="1" ht="16.5" customHeight="1">
      <c r="A244" s="104" t="s">
        <v>2429</v>
      </c>
      <c r="B244" s="105" t="s">
        <v>1311</v>
      </c>
      <c r="C244" s="106" t="s">
        <v>1427</v>
      </c>
      <c r="D244" s="106" t="s">
        <v>2415</v>
      </c>
      <c r="E244" s="71" t="s">
        <v>1428</v>
      </c>
      <c r="F244" s="71" t="s">
        <v>1404</v>
      </c>
      <c r="G244" s="109" t="s">
        <v>1405</v>
      </c>
      <c r="H244" s="210">
        <v>100.3</v>
      </c>
      <c r="I244" s="115">
        <v>3072.23083839847</v>
      </c>
      <c r="J244" s="115">
        <v>31.893000000000001</v>
      </c>
      <c r="K244" s="236">
        <f t="shared" si="37"/>
        <v>3204.4238383984703</v>
      </c>
      <c r="L244" s="110">
        <v>0</v>
      </c>
      <c r="M244" s="111">
        <v>0</v>
      </c>
      <c r="N244" s="111">
        <v>0</v>
      </c>
      <c r="O244" s="111">
        <v>0</v>
      </c>
      <c r="P244" s="122">
        <v>8.6491653363290552E-2</v>
      </c>
      <c r="Q244" s="111">
        <v>8397</v>
      </c>
      <c r="R244" s="112">
        <v>0</v>
      </c>
      <c r="S244" s="111">
        <f t="shared" si="44"/>
        <v>726</v>
      </c>
      <c r="T244" s="112">
        <v>0</v>
      </c>
      <c r="U244" s="116">
        <v>0</v>
      </c>
      <c r="V244" s="111">
        <v>0</v>
      </c>
      <c r="W244" s="113">
        <f t="shared" si="38"/>
        <v>726</v>
      </c>
      <c r="X244" s="110">
        <v>12874.282603125799</v>
      </c>
      <c r="Y244" s="111">
        <v>0</v>
      </c>
      <c r="Z244" s="116">
        <v>0</v>
      </c>
      <c r="AA244" s="111">
        <v>0</v>
      </c>
      <c r="AB244" s="113">
        <f t="shared" si="41"/>
        <v>12874.282603125799</v>
      </c>
      <c r="AC244" s="110">
        <v>9626.2622950819659</v>
      </c>
      <c r="AD244" s="111">
        <v>547.49216578962921</v>
      </c>
      <c r="AE244" s="112">
        <v>16</v>
      </c>
      <c r="AF244" s="117">
        <v>1188.049350598159</v>
      </c>
      <c r="AG244" s="111">
        <v>0</v>
      </c>
      <c r="AH244" s="112">
        <v>907.29744378091789</v>
      </c>
      <c r="AI244" s="112">
        <v>23.958187981631482</v>
      </c>
      <c r="AJ244" s="113">
        <f t="shared" si="42"/>
        <v>12309.059443232303</v>
      </c>
      <c r="AK244" s="143">
        <f t="shared" si="47"/>
        <v>101090.982</v>
      </c>
      <c r="AL244" s="112">
        <f t="shared" si="47"/>
        <v>67328.684999999998</v>
      </c>
      <c r="AM244" s="112">
        <f t="shared" si="47"/>
        <v>33762.296999999999</v>
      </c>
      <c r="AN244" s="112">
        <f t="shared" si="47"/>
        <v>3748.672</v>
      </c>
      <c r="AO244" s="230">
        <f t="shared" si="39"/>
        <v>0.66602068421889504</v>
      </c>
      <c r="AP244" s="193">
        <f t="shared" si="46"/>
        <v>4474.6720000000005</v>
      </c>
      <c r="AQ244" s="194">
        <f t="shared" si="40"/>
        <v>-1270.2481616015302</v>
      </c>
      <c r="AR244" s="118"/>
      <c r="AS244" s="119"/>
      <c r="AT244" s="119"/>
      <c r="AU244" s="120"/>
      <c r="AV244" s="195"/>
      <c r="AW244" s="112">
        <v>101090982</v>
      </c>
      <c r="AX244" s="162">
        <v>67328685</v>
      </c>
      <c r="AY244" s="162">
        <v>33762297</v>
      </c>
      <c r="AZ244" s="162">
        <v>3748672</v>
      </c>
      <c r="BA244" s="231">
        <f t="shared" si="43"/>
        <v>0.66602068421889504</v>
      </c>
      <c r="BB244" s="210">
        <v>27361</v>
      </c>
      <c r="BC244" s="115">
        <v>0</v>
      </c>
      <c r="BD244" s="236">
        <v>0</v>
      </c>
    </row>
    <row r="245" spans="1:56" s="121" customFormat="1" ht="16.5" customHeight="1">
      <c r="A245" s="104" t="s">
        <v>2429</v>
      </c>
      <c r="B245" s="105" t="s">
        <v>1319</v>
      </c>
      <c r="C245" s="106" t="s">
        <v>1430</v>
      </c>
      <c r="D245" s="106" t="s">
        <v>2415</v>
      </c>
      <c r="E245" s="71" t="s">
        <v>1431</v>
      </c>
      <c r="F245" s="71" t="s">
        <v>1404</v>
      </c>
      <c r="G245" s="109" t="s">
        <v>1405</v>
      </c>
      <c r="H245" s="210">
        <v>0</v>
      </c>
      <c r="I245" s="115">
        <v>3451.1808635482944</v>
      </c>
      <c r="J245" s="115">
        <v>0</v>
      </c>
      <c r="K245" s="236">
        <f t="shared" si="37"/>
        <v>3451.1808635482944</v>
      </c>
      <c r="L245" s="110">
        <v>0</v>
      </c>
      <c r="M245" s="111">
        <v>0</v>
      </c>
      <c r="N245" s="111">
        <v>0</v>
      </c>
      <c r="O245" s="111">
        <v>0</v>
      </c>
      <c r="P245" s="122">
        <v>9.7160127166631027E-2</v>
      </c>
      <c r="Q245" s="111">
        <v>8397</v>
      </c>
      <c r="R245" s="112">
        <v>0</v>
      </c>
      <c r="S245" s="111">
        <f t="shared" si="44"/>
        <v>816</v>
      </c>
      <c r="T245" s="112">
        <v>0</v>
      </c>
      <c r="U245" s="116">
        <v>0</v>
      </c>
      <c r="V245" s="111">
        <v>0</v>
      </c>
      <c r="W245" s="113">
        <f t="shared" si="38"/>
        <v>816</v>
      </c>
      <c r="X245" s="110">
        <v>14462.284928753028</v>
      </c>
      <c r="Y245" s="111">
        <v>0</v>
      </c>
      <c r="Z245" s="116">
        <v>0</v>
      </c>
      <c r="AA245" s="111">
        <v>0</v>
      </c>
      <c r="AB245" s="113">
        <f t="shared" si="41"/>
        <v>14462.284928753028</v>
      </c>
      <c r="AC245" s="110">
        <v>5156.9262295081962</v>
      </c>
      <c r="AD245" s="111">
        <v>615.02360496477445</v>
      </c>
      <c r="AE245" s="112">
        <v>190</v>
      </c>
      <c r="AF245" s="117">
        <v>1334.5915067608437</v>
      </c>
      <c r="AG245" s="111">
        <v>0</v>
      </c>
      <c r="AH245" s="112">
        <v>1019.2097339779594</v>
      </c>
      <c r="AI245" s="112">
        <v>26.913355225156796</v>
      </c>
      <c r="AJ245" s="113">
        <f t="shared" si="42"/>
        <v>8342.6644304369311</v>
      </c>
      <c r="AK245" s="143">
        <f t="shared" si="47"/>
        <v>413567.25300000003</v>
      </c>
      <c r="AL245" s="112">
        <f t="shared" si="47"/>
        <v>338543.49300000002</v>
      </c>
      <c r="AM245" s="112">
        <f t="shared" si="47"/>
        <v>75023.759999999995</v>
      </c>
      <c r="AN245" s="112">
        <f t="shared" si="47"/>
        <v>23753.949000000001</v>
      </c>
      <c r="AO245" s="230">
        <f t="shared" si="39"/>
        <v>0.8185935674167123</v>
      </c>
      <c r="AP245" s="193">
        <f t="shared" si="46"/>
        <v>24569.949000000001</v>
      </c>
      <c r="AQ245" s="194">
        <f t="shared" si="40"/>
        <v>-21118.768136451705</v>
      </c>
      <c r="AR245" s="118"/>
      <c r="AS245" s="119"/>
      <c r="AT245" s="119"/>
      <c r="AU245" s="120"/>
      <c r="AV245" s="195"/>
      <c r="AW245" s="112">
        <v>413567253</v>
      </c>
      <c r="AX245" s="162">
        <v>338543493</v>
      </c>
      <c r="AY245" s="162">
        <v>75023760</v>
      </c>
      <c r="AZ245" s="162">
        <v>23753949</v>
      </c>
      <c r="BA245" s="231">
        <f t="shared" si="43"/>
        <v>0.8185935674167123</v>
      </c>
      <c r="BB245" s="210">
        <v>53976</v>
      </c>
      <c r="BC245" s="115">
        <v>0</v>
      </c>
      <c r="BD245" s="236">
        <v>0</v>
      </c>
    </row>
    <row r="246" spans="1:56" s="121" customFormat="1" ht="16.5" customHeight="1">
      <c r="A246" s="104" t="s">
        <v>2429</v>
      </c>
      <c r="B246" s="105" t="s">
        <v>1327</v>
      </c>
      <c r="C246" s="106" t="s">
        <v>1433</v>
      </c>
      <c r="D246" s="106" t="s">
        <v>2415</v>
      </c>
      <c r="E246" s="71" t="s">
        <v>2006</v>
      </c>
      <c r="F246" s="71" t="s">
        <v>1404</v>
      </c>
      <c r="G246" s="109" t="s">
        <v>1405</v>
      </c>
      <c r="H246" s="210">
        <v>0</v>
      </c>
      <c r="I246" s="115">
        <v>7948.5535153015362</v>
      </c>
      <c r="J246" s="115">
        <v>0</v>
      </c>
      <c r="K246" s="236">
        <f t="shared" si="37"/>
        <v>7948.5535153015362</v>
      </c>
      <c r="L246" s="110">
        <v>0</v>
      </c>
      <c r="M246" s="111">
        <v>0</v>
      </c>
      <c r="N246" s="111">
        <v>0</v>
      </c>
      <c r="O246" s="111">
        <v>0</v>
      </c>
      <c r="P246" s="122">
        <v>0.22377339840238203</v>
      </c>
      <c r="Q246" s="111">
        <v>8397</v>
      </c>
      <c r="R246" s="112">
        <v>0</v>
      </c>
      <c r="S246" s="111">
        <f t="shared" si="44"/>
        <v>1879</v>
      </c>
      <c r="T246" s="112">
        <v>0</v>
      </c>
      <c r="U246" s="116">
        <v>0</v>
      </c>
      <c r="V246" s="111">
        <v>0</v>
      </c>
      <c r="W246" s="113">
        <f t="shared" si="38"/>
        <v>1879</v>
      </c>
      <c r="X246" s="110">
        <v>33308.670352194567</v>
      </c>
      <c r="Y246" s="111">
        <v>0</v>
      </c>
      <c r="Z246" s="116">
        <v>0</v>
      </c>
      <c r="AA246" s="111">
        <v>0</v>
      </c>
      <c r="AB246" s="113">
        <f t="shared" si="41"/>
        <v>33308.670352194567</v>
      </c>
      <c r="AC246" s="110">
        <v>18049.241803278688</v>
      </c>
      <c r="AD246" s="111">
        <v>1416.4856118870782</v>
      </c>
      <c r="AE246" s="112">
        <v>182</v>
      </c>
      <c r="AF246" s="117">
        <v>3073.7514004551194</v>
      </c>
      <c r="AG246" s="111">
        <v>0</v>
      </c>
      <c r="AH246" s="112">
        <v>2347.3829492409873</v>
      </c>
      <c r="AI246" s="112">
        <v>61.985231357459824</v>
      </c>
      <c r="AJ246" s="113">
        <f t="shared" si="42"/>
        <v>25130.84699621933</v>
      </c>
      <c r="AK246" s="143">
        <f t="shared" si="47"/>
        <v>24119.687000000002</v>
      </c>
      <c r="AL246" s="112">
        <f t="shared" si="47"/>
        <v>19255.581999999999</v>
      </c>
      <c r="AM246" s="112">
        <f t="shared" si="47"/>
        <v>4864.1049999999996</v>
      </c>
      <c r="AN246" s="112">
        <f t="shared" si="47"/>
        <v>195.14400000000001</v>
      </c>
      <c r="AO246" s="230">
        <f t="shared" si="39"/>
        <v>0.79833465500609524</v>
      </c>
      <c r="AP246" s="193">
        <f t="shared" si="46"/>
        <v>2074.1440000000002</v>
      </c>
      <c r="AQ246" s="194">
        <f t="shared" si="40"/>
        <v>5874.409515301536</v>
      </c>
      <c r="AR246" s="118"/>
      <c r="AS246" s="119"/>
      <c r="AT246" s="119"/>
      <c r="AU246" s="120"/>
      <c r="AV246" s="195"/>
      <c r="AW246" s="112">
        <v>24119687</v>
      </c>
      <c r="AX246" s="162">
        <v>19255582</v>
      </c>
      <c r="AY246" s="162">
        <v>4864105</v>
      </c>
      <c r="AZ246" s="162">
        <v>195144</v>
      </c>
      <c r="BA246" s="231">
        <f t="shared" si="43"/>
        <v>0.79833465500609524</v>
      </c>
      <c r="BB246" s="210">
        <v>20807</v>
      </c>
      <c r="BC246" s="115">
        <v>0</v>
      </c>
      <c r="BD246" s="236">
        <v>0</v>
      </c>
    </row>
    <row r="247" spans="1:56" s="121" customFormat="1" ht="16.5" customHeight="1">
      <c r="A247" s="104" t="s">
        <v>2429</v>
      </c>
      <c r="B247" s="105" t="s">
        <v>1335</v>
      </c>
      <c r="C247" s="106" t="s">
        <v>1435</v>
      </c>
      <c r="D247" s="106" t="s">
        <v>2415</v>
      </c>
      <c r="E247" s="71" t="s">
        <v>2009</v>
      </c>
      <c r="F247" s="71" t="s">
        <v>1404</v>
      </c>
      <c r="G247" s="109" t="s">
        <v>1405</v>
      </c>
      <c r="H247" s="210">
        <v>0</v>
      </c>
      <c r="I247" s="115">
        <v>945.35564750677304</v>
      </c>
      <c r="J247" s="115">
        <v>0</v>
      </c>
      <c r="K247" s="236">
        <f t="shared" si="37"/>
        <v>945.35564750677304</v>
      </c>
      <c r="L247" s="110">
        <v>0</v>
      </c>
      <c r="M247" s="111">
        <v>0</v>
      </c>
      <c r="N247" s="111">
        <v>0</v>
      </c>
      <c r="O247" s="111">
        <v>0</v>
      </c>
      <c r="P247" s="122">
        <v>2.661433247373057E-2</v>
      </c>
      <c r="Q247" s="111">
        <v>8397</v>
      </c>
      <c r="R247" s="112">
        <v>0</v>
      </c>
      <c r="S247" s="111">
        <f t="shared" si="44"/>
        <v>223</v>
      </c>
      <c r="T247" s="112">
        <v>0</v>
      </c>
      <c r="U247" s="116">
        <v>0</v>
      </c>
      <c r="V247" s="111">
        <v>0</v>
      </c>
      <c r="W247" s="113">
        <f t="shared" si="38"/>
        <v>223</v>
      </c>
      <c r="X247" s="110">
        <v>3961.5433887147951</v>
      </c>
      <c r="Y247" s="111">
        <v>0</v>
      </c>
      <c r="Z247" s="116">
        <v>0</v>
      </c>
      <c r="AA247" s="111">
        <v>0</v>
      </c>
      <c r="AB247" s="113">
        <f t="shared" si="41"/>
        <v>3961.5433887147951</v>
      </c>
      <c r="AC247" s="110">
        <v>2578.4631147540981</v>
      </c>
      <c r="AD247" s="111">
        <v>168.46872455871451</v>
      </c>
      <c r="AE247" s="112">
        <v>39</v>
      </c>
      <c r="AF247" s="117">
        <v>365.57447085916311</v>
      </c>
      <c r="AG247" s="111">
        <v>0</v>
      </c>
      <c r="AH247" s="112">
        <v>279.18434764943368</v>
      </c>
      <c r="AI247" s="112">
        <v>7.3721700952233675</v>
      </c>
      <c r="AJ247" s="113">
        <f t="shared" si="42"/>
        <v>3438.0628279166331</v>
      </c>
      <c r="AK247" s="143">
        <f t="shared" si="47"/>
        <v>0</v>
      </c>
      <c r="AL247" s="112">
        <f t="shared" si="47"/>
        <v>0</v>
      </c>
      <c r="AM247" s="112">
        <f t="shared" si="47"/>
        <v>0</v>
      </c>
      <c r="AN247" s="112">
        <f t="shared" si="47"/>
        <v>0</v>
      </c>
      <c r="AO247" s="230" t="str">
        <f t="shared" si="39"/>
        <v>-</v>
      </c>
      <c r="AP247" s="193">
        <f t="shared" si="46"/>
        <v>223</v>
      </c>
      <c r="AQ247" s="194">
        <f t="shared" si="40"/>
        <v>722.35564750677304</v>
      </c>
      <c r="AR247" s="155"/>
      <c r="AS247" s="119"/>
      <c r="AT247" s="119"/>
      <c r="AU247" s="120"/>
      <c r="AV247" s="195"/>
      <c r="AW247" s="112">
        <v>0</v>
      </c>
      <c r="AX247" s="162">
        <v>0</v>
      </c>
      <c r="AY247" s="162">
        <v>0</v>
      </c>
      <c r="AZ247" s="162">
        <v>0</v>
      </c>
      <c r="BA247" s="231" t="s">
        <v>1966</v>
      </c>
      <c r="BB247" s="210">
        <v>1884</v>
      </c>
      <c r="BC247" s="115">
        <v>0</v>
      </c>
      <c r="BD247" s="236">
        <v>0</v>
      </c>
    </row>
    <row r="248" spans="1:56" s="121" customFormat="1" ht="16.5" customHeight="1">
      <c r="A248" s="104" t="s">
        <v>2429</v>
      </c>
      <c r="B248" s="105" t="s">
        <v>1341</v>
      </c>
      <c r="C248" s="106" t="s">
        <v>1437</v>
      </c>
      <c r="D248" s="106" t="s">
        <v>2415</v>
      </c>
      <c r="E248" s="71" t="s">
        <v>1438</v>
      </c>
      <c r="F248" s="71" t="s">
        <v>1404</v>
      </c>
      <c r="G248" s="109" t="s">
        <v>1405</v>
      </c>
      <c r="H248" s="210">
        <v>0</v>
      </c>
      <c r="I248" s="115">
        <v>3509.2592495258536</v>
      </c>
      <c r="J248" s="115">
        <v>0</v>
      </c>
      <c r="K248" s="236">
        <f t="shared" si="37"/>
        <v>3509.2592495258536</v>
      </c>
      <c r="L248" s="110">
        <v>0</v>
      </c>
      <c r="M248" s="111">
        <v>0</v>
      </c>
      <c r="N248" s="111">
        <v>0</v>
      </c>
      <c r="O248" s="111">
        <v>0</v>
      </c>
      <c r="P248" s="122">
        <v>9.8795191682319913E-2</v>
      </c>
      <c r="Q248" s="111">
        <v>8397</v>
      </c>
      <c r="R248" s="112">
        <v>0</v>
      </c>
      <c r="S248" s="111">
        <f t="shared" si="44"/>
        <v>830</v>
      </c>
      <c r="T248" s="112">
        <v>0</v>
      </c>
      <c r="U248" s="116">
        <v>0</v>
      </c>
      <c r="V248" s="111">
        <v>0</v>
      </c>
      <c r="W248" s="113">
        <f t="shared" si="38"/>
        <v>830</v>
      </c>
      <c r="X248" s="110">
        <v>14705.664281913319</v>
      </c>
      <c r="Y248" s="111">
        <v>0</v>
      </c>
      <c r="Z248" s="116">
        <v>0</v>
      </c>
      <c r="AA248" s="111">
        <v>0</v>
      </c>
      <c r="AB248" s="113">
        <f t="shared" si="41"/>
        <v>14705.664281913319</v>
      </c>
      <c r="AC248" s="110">
        <v>11173.340163934425</v>
      </c>
      <c r="AD248" s="111">
        <v>625.37356334908509</v>
      </c>
      <c r="AE248" s="112">
        <v>191</v>
      </c>
      <c r="AF248" s="117">
        <v>1357.0507529483464</v>
      </c>
      <c r="AG248" s="111">
        <v>0</v>
      </c>
      <c r="AH248" s="112">
        <v>1036.3615607475358</v>
      </c>
      <c r="AI248" s="112">
        <v>27.366268096002617</v>
      </c>
      <c r="AJ248" s="113">
        <f t="shared" si="42"/>
        <v>14410.492309075393</v>
      </c>
      <c r="AK248" s="143">
        <f t="shared" si="47"/>
        <v>50966.737000000001</v>
      </c>
      <c r="AL248" s="112">
        <f t="shared" si="47"/>
        <v>44100.112999999998</v>
      </c>
      <c r="AM248" s="112">
        <f t="shared" si="47"/>
        <v>6866.6239999999998</v>
      </c>
      <c r="AN248" s="112">
        <f t="shared" si="47"/>
        <v>495.529</v>
      </c>
      <c r="AO248" s="230">
        <f t="shared" si="39"/>
        <v>0.86527244229898415</v>
      </c>
      <c r="AP248" s="193">
        <f t="shared" si="46"/>
        <v>1325.529</v>
      </c>
      <c r="AQ248" s="194">
        <f t="shared" si="40"/>
        <v>2183.7302495258537</v>
      </c>
      <c r="AR248" s="118"/>
      <c r="AS248" s="119"/>
      <c r="AT248" s="119"/>
      <c r="AU248" s="120"/>
      <c r="AV248" s="195"/>
      <c r="AW248" s="112">
        <v>50966737</v>
      </c>
      <c r="AX248" s="162">
        <v>44100113</v>
      </c>
      <c r="AY248" s="162">
        <v>6866624</v>
      </c>
      <c r="AZ248" s="162">
        <v>495529</v>
      </c>
      <c r="BA248" s="231">
        <f t="shared" si="43"/>
        <v>0.86527244229898415</v>
      </c>
      <c r="BB248" s="210">
        <v>4099</v>
      </c>
      <c r="BC248" s="115">
        <v>0</v>
      </c>
      <c r="BD248" s="236">
        <v>0</v>
      </c>
    </row>
    <row r="249" spans="1:56" s="121" customFormat="1" ht="16.5" customHeight="1">
      <c r="A249" s="104" t="s">
        <v>2429</v>
      </c>
      <c r="B249" s="105" t="s">
        <v>1347</v>
      </c>
      <c r="C249" s="106" t="s">
        <v>1441</v>
      </c>
      <c r="D249" s="106" t="s">
        <v>2415</v>
      </c>
      <c r="E249" s="71" t="s">
        <v>2012</v>
      </c>
      <c r="F249" s="71" t="s">
        <v>1404</v>
      </c>
      <c r="G249" s="109" t="s">
        <v>1405</v>
      </c>
      <c r="H249" s="210">
        <v>0</v>
      </c>
      <c r="I249" s="115">
        <v>3713.3009782870699</v>
      </c>
      <c r="J249" s="115">
        <v>0</v>
      </c>
      <c r="K249" s="236">
        <f t="shared" si="37"/>
        <v>3713.3009782870699</v>
      </c>
      <c r="L249" s="110">
        <v>0</v>
      </c>
      <c r="M249" s="111">
        <v>0</v>
      </c>
      <c r="N249" s="111">
        <v>0</v>
      </c>
      <c r="O249" s="111">
        <v>0</v>
      </c>
      <c r="P249" s="122">
        <v>0.10453952126038685</v>
      </c>
      <c r="Q249" s="111">
        <v>8397</v>
      </c>
      <c r="R249" s="112">
        <v>0</v>
      </c>
      <c r="S249" s="111">
        <f t="shared" si="44"/>
        <v>878</v>
      </c>
      <c r="T249" s="112">
        <v>0</v>
      </c>
      <c r="U249" s="116">
        <v>0</v>
      </c>
      <c r="V249" s="111">
        <v>0</v>
      </c>
      <c r="W249" s="113">
        <f t="shared" si="38"/>
        <v>878</v>
      </c>
      <c r="X249" s="110">
        <v>15560.707739608582</v>
      </c>
      <c r="Y249" s="111">
        <v>0</v>
      </c>
      <c r="Z249" s="116">
        <v>0</v>
      </c>
      <c r="AA249" s="111">
        <v>0</v>
      </c>
      <c r="AB249" s="113">
        <f t="shared" si="41"/>
        <v>15560.707739608582</v>
      </c>
      <c r="AC249" s="110">
        <v>5156.9262295081962</v>
      </c>
      <c r="AD249" s="111">
        <v>661.7351695782487</v>
      </c>
      <c r="AE249" s="112">
        <v>9</v>
      </c>
      <c r="AF249" s="117">
        <v>1435.9548640326736</v>
      </c>
      <c r="AG249" s="111">
        <v>0</v>
      </c>
      <c r="AH249" s="112">
        <v>1096.619578021458</v>
      </c>
      <c r="AI249" s="112">
        <v>28.957447389127157</v>
      </c>
      <c r="AJ249" s="113">
        <f t="shared" si="42"/>
        <v>8389.1932885297047</v>
      </c>
      <c r="AK249" s="143">
        <f t="shared" si="47"/>
        <v>13209.68</v>
      </c>
      <c r="AL249" s="112">
        <f t="shared" si="47"/>
        <v>13025.964</v>
      </c>
      <c r="AM249" s="112">
        <f t="shared" si="47"/>
        <v>183.71600000000001</v>
      </c>
      <c r="AN249" s="112">
        <f t="shared" si="47"/>
        <v>23.879000000000001</v>
      </c>
      <c r="AO249" s="230">
        <f t="shared" si="39"/>
        <v>0.98609232017732451</v>
      </c>
      <c r="AP249" s="193">
        <f t="shared" si="46"/>
        <v>901.87900000000002</v>
      </c>
      <c r="AQ249" s="194">
        <f t="shared" si="40"/>
        <v>2811.42197828707</v>
      </c>
      <c r="AR249" s="118"/>
      <c r="AS249" s="119"/>
      <c r="AT249" s="119"/>
      <c r="AU249" s="120"/>
      <c r="AV249" s="195"/>
      <c r="AW249" s="112">
        <v>13209680</v>
      </c>
      <c r="AX249" s="162">
        <v>13025964</v>
      </c>
      <c r="AY249" s="162">
        <v>183716</v>
      </c>
      <c r="AZ249" s="162">
        <v>23879</v>
      </c>
      <c r="BA249" s="231">
        <f t="shared" si="43"/>
        <v>0.98609232017732451</v>
      </c>
      <c r="BB249" s="210">
        <v>2622</v>
      </c>
      <c r="BC249" s="115">
        <v>0</v>
      </c>
      <c r="BD249" s="236">
        <v>0</v>
      </c>
    </row>
    <row r="250" spans="1:56" s="121" customFormat="1" ht="16.5" customHeight="1">
      <c r="A250" s="104" t="s">
        <v>2429</v>
      </c>
      <c r="B250" s="105" t="s">
        <v>1356</v>
      </c>
      <c r="C250" s="106" t="s">
        <v>1443</v>
      </c>
      <c r="D250" s="106" t="s">
        <v>2415</v>
      </c>
      <c r="E250" s="71" t="s">
        <v>2015</v>
      </c>
      <c r="F250" s="71" t="s">
        <v>1404</v>
      </c>
      <c r="G250" s="109" t="s">
        <v>1405</v>
      </c>
      <c r="H250" s="210">
        <v>0</v>
      </c>
      <c r="I250" s="115">
        <v>2031.9626686056997</v>
      </c>
      <c r="J250" s="115">
        <v>0</v>
      </c>
      <c r="K250" s="236">
        <f t="shared" si="37"/>
        <v>2031.9626686056997</v>
      </c>
      <c r="L250" s="110">
        <v>0</v>
      </c>
      <c r="M250" s="111">
        <v>0</v>
      </c>
      <c r="N250" s="111">
        <v>0</v>
      </c>
      <c r="O250" s="111">
        <v>0</v>
      </c>
      <c r="P250" s="122">
        <v>5.7205275262391081E-2</v>
      </c>
      <c r="Q250" s="111">
        <v>8397</v>
      </c>
      <c r="R250" s="112">
        <v>0</v>
      </c>
      <c r="S250" s="111">
        <f t="shared" si="44"/>
        <v>480</v>
      </c>
      <c r="T250" s="112">
        <v>0</v>
      </c>
      <c r="U250" s="116">
        <v>0</v>
      </c>
      <c r="V250" s="111">
        <v>0</v>
      </c>
      <c r="W250" s="113">
        <f t="shared" si="38"/>
        <v>480</v>
      </c>
      <c r="X250" s="110">
        <v>8515.0052228069126</v>
      </c>
      <c r="Y250" s="111">
        <v>0</v>
      </c>
      <c r="Z250" s="116">
        <v>0</v>
      </c>
      <c r="AA250" s="111">
        <v>0</v>
      </c>
      <c r="AB250" s="113">
        <f t="shared" si="41"/>
        <v>8515.0052228069126</v>
      </c>
      <c r="AC250" s="110">
        <v>2578.4631147540981</v>
      </c>
      <c r="AD250" s="111">
        <v>362.10939241093553</v>
      </c>
      <c r="AE250" s="112">
        <v>30</v>
      </c>
      <c r="AF250" s="117">
        <v>785.77166100420391</v>
      </c>
      <c r="AG250" s="111">
        <v>0</v>
      </c>
      <c r="AH250" s="112">
        <v>600.08333750248244</v>
      </c>
      <c r="AI250" s="112">
        <v>15.845861247682329</v>
      </c>
      <c r="AJ250" s="113">
        <f t="shared" si="42"/>
        <v>4372.2733669194022</v>
      </c>
      <c r="AK250" s="143">
        <f t="shared" si="47"/>
        <v>46423.915000000001</v>
      </c>
      <c r="AL250" s="112">
        <f t="shared" si="47"/>
        <v>31902.944</v>
      </c>
      <c r="AM250" s="112">
        <f t="shared" si="47"/>
        <v>14520.971</v>
      </c>
      <c r="AN250" s="112">
        <f t="shared" si="47"/>
        <v>402.94499999999999</v>
      </c>
      <c r="AO250" s="230">
        <f t="shared" si="39"/>
        <v>0.6872092541096545</v>
      </c>
      <c r="AP250" s="193">
        <f t="shared" si="46"/>
        <v>882.94499999999994</v>
      </c>
      <c r="AQ250" s="194">
        <f t="shared" si="40"/>
        <v>1149.0176686056998</v>
      </c>
      <c r="AR250" s="118"/>
      <c r="AS250" s="119"/>
      <c r="AT250" s="119"/>
      <c r="AU250" s="120"/>
      <c r="AV250" s="195"/>
      <c r="AW250" s="112">
        <v>46423915</v>
      </c>
      <c r="AX250" s="162">
        <v>31902944</v>
      </c>
      <c r="AY250" s="162">
        <v>14520971</v>
      </c>
      <c r="AZ250" s="162">
        <v>402945</v>
      </c>
      <c r="BA250" s="231">
        <f t="shared" si="43"/>
        <v>0.6872092541096545</v>
      </c>
      <c r="BB250" s="210">
        <v>0</v>
      </c>
      <c r="BC250" s="115">
        <v>0</v>
      </c>
      <c r="BD250" s="236">
        <v>0</v>
      </c>
    </row>
    <row r="251" spans="1:56" s="121" customFormat="1" ht="16.5" customHeight="1">
      <c r="A251" s="104" t="s">
        <v>2429</v>
      </c>
      <c r="B251" s="105" t="s">
        <v>1360</v>
      </c>
      <c r="C251" s="106" t="s">
        <v>1446</v>
      </c>
      <c r="D251" s="106" t="s">
        <v>2415</v>
      </c>
      <c r="E251" s="71" t="s">
        <v>1447</v>
      </c>
      <c r="F251" s="71" t="s">
        <v>1404</v>
      </c>
      <c r="G251" s="109" t="s">
        <v>1405</v>
      </c>
      <c r="H251" s="210">
        <v>0</v>
      </c>
      <c r="I251" s="115">
        <v>8142.5789438385273</v>
      </c>
      <c r="J251" s="115">
        <v>204.55199999999999</v>
      </c>
      <c r="K251" s="236">
        <f t="shared" si="37"/>
        <v>8347.1309438385269</v>
      </c>
      <c r="L251" s="110">
        <v>0</v>
      </c>
      <c r="M251" s="111">
        <v>0</v>
      </c>
      <c r="N251" s="111">
        <v>0</v>
      </c>
      <c r="O251" s="111">
        <v>0</v>
      </c>
      <c r="P251" s="122">
        <v>0.22923574188873069</v>
      </c>
      <c r="Q251" s="111">
        <v>8397</v>
      </c>
      <c r="R251" s="112">
        <v>0</v>
      </c>
      <c r="S251" s="111">
        <f t="shared" si="44"/>
        <v>1925</v>
      </c>
      <c r="T251" s="112">
        <v>3593.9639999999999</v>
      </c>
      <c r="U251" s="116">
        <v>0</v>
      </c>
      <c r="V251" s="111">
        <v>0</v>
      </c>
      <c r="W251" s="113">
        <f t="shared" si="38"/>
        <v>5518.9639999999999</v>
      </c>
      <c r="X251" s="110">
        <v>34121.740180137567</v>
      </c>
      <c r="Y251" s="111">
        <v>0</v>
      </c>
      <c r="Z251" s="116">
        <v>0</v>
      </c>
      <c r="AA251" s="111">
        <v>0</v>
      </c>
      <c r="AB251" s="113">
        <f t="shared" si="41"/>
        <v>34121.740180137567</v>
      </c>
      <c r="AC251" s="110">
        <v>14783.188524590161</v>
      </c>
      <c r="AD251" s="111">
        <v>752</v>
      </c>
      <c r="AE251" s="112">
        <v>827</v>
      </c>
      <c r="AF251" s="117">
        <v>3148.782150583605</v>
      </c>
      <c r="AG251" s="111">
        <v>0</v>
      </c>
      <c r="AH251" s="112">
        <v>2404.6829324127848</v>
      </c>
      <c r="AI251" s="112">
        <v>63.498300503178399</v>
      </c>
      <c r="AJ251" s="113">
        <f t="shared" si="42"/>
        <v>21979.151908089731</v>
      </c>
      <c r="AK251" s="143">
        <f t="shared" si="47"/>
        <v>1062910.477</v>
      </c>
      <c r="AL251" s="112">
        <f t="shared" si="47"/>
        <v>594658.80200000003</v>
      </c>
      <c r="AM251" s="112">
        <f t="shared" si="47"/>
        <v>468251.67499999999</v>
      </c>
      <c r="AN251" s="112">
        <f t="shared" si="47"/>
        <v>30137.966</v>
      </c>
      <c r="AO251" s="230">
        <f t="shared" si="39"/>
        <v>0.55946273450835504</v>
      </c>
      <c r="AP251" s="193">
        <f t="shared" si="46"/>
        <v>35656.93</v>
      </c>
      <c r="AQ251" s="194">
        <f t="shared" si="40"/>
        <v>-27309.799056161472</v>
      </c>
      <c r="AR251" s="118"/>
      <c r="AS251" s="119"/>
      <c r="AT251" s="119"/>
      <c r="AU251" s="120"/>
      <c r="AV251" s="195"/>
      <c r="AW251" s="112">
        <v>1062910477</v>
      </c>
      <c r="AX251" s="162">
        <v>594658802</v>
      </c>
      <c r="AY251" s="162">
        <v>468251675</v>
      </c>
      <c r="AZ251" s="162">
        <v>30137966</v>
      </c>
      <c r="BA251" s="231">
        <f t="shared" si="43"/>
        <v>0.55946273450835504</v>
      </c>
      <c r="BB251" s="210">
        <v>147474</v>
      </c>
      <c r="BC251" s="115">
        <v>0</v>
      </c>
      <c r="BD251" s="236">
        <v>0</v>
      </c>
    </row>
    <row r="252" spans="1:56" s="121" customFormat="1" ht="16.5" customHeight="1">
      <c r="A252" s="104" t="s">
        <v>2429</v>
      </c>
      <c r="B252" s="105" t="s">
        <v>1368</v>
      </c>
      <c r="C252" s="106" t="s">
        <v>1450</v>
      </c>
      <c r="D252" s="106" t="s">
        <v>2415</v>
      </c>
      <c r="E252" s="71" t="s">
        <v>2071</v>
      </c>
      <c r="F252" s="71" t="s">
        <v>1404</v>
      </c>
      <c r="G252" s="109" t="s">
        <v>1405</v>
      </c>
      <c r="H252" s="210">
        <v>0</v>
      </c>
      <c r="I252" s="115">
        <v>0</v>
      </c>
      <c r="J252" s="115">
        <v>0</v>
      </c>
      <c r="K252" s="236">
        <f t="shared" si="37"/>
        <v>0</v>
      </c>
      <c r="L252" s="110">
        <v>19.113</v>
      </c>
      <c r="M252" s="111">
        <v>0</v>
      </c>
      <c r="N252" s="112">
        <v>0</v>
      </c>
      <c r="O252" s="111">
        <v>0</v>
      </c>
      <c r="P252" s="114">
        <v>0</v>
      </c>
      <c r="Q252" s="111">
        <v>8397</v>
      </c>
      <c r="R252" s="112">
        <v>0</v>
      </c>
      <c r="S252" s="111">
        <f t="shared" si="44"/>
        <v>0</v>
      </c>
      <c r="T252" s="112">
        <v>0</v>
      </c>
      <c r="U252" s="116">
        <v>0</v>
      </c>
      <c r="V252" s="111">
        <v>0</v>
      </c>
      <c r="W252" s="113">
        <f t="shared" si="38"/>
        <v>19.113</v>
      </c>
      <c r="X252" s="110">
        <v>0</v>
      </c>
      <c r="Y252" s="111">
        <v>0</v>
      </c>
      <c r="Z252" s="116">
        <v>0</v>
      </c>
      <c r="AA252" s="111">
        <v>0</v>
      </c>
      <c r="AB252" s="113">
        <f t="shared" si="41"/>
        <v>0</v>
      </c>
      <c r="AC252" s="110">
        <v>0</v>
      </c>
      <c r="AD252" s="111">
        <v>0</v>
      </c>
      <c r="AE252" s="111">
        <v>0</v>
      </c>
      <c r="AF252" s="111">
        <v>0</v>
      </c>
      <c r="AG252" s="111">
        <v>0</v>
      </c>
      <c r="AH252" s="111">
        <v>0</v>
      </c>
      <c r="AI252" s="111">
        <v>0</v>
      </c>
      <c r="AJ252" s="113">
        <f t="shared" si="42"/>
        <v>0</v>
      </c>
      <c r="AK252" s="143">
        <f t="shared" si="47"/>
        <v>0</v>
      </c>
      <c r="AL252" s="112">
        <f t="shared" si="47"/>
        <v>0</v>
      </c>
      <c r="AM252" s="112">
        <f t="shared" si="47"/>
        <v>0</v>
      </c>
      <c r="AN252" s="112">
        <f t="shared" si="47"/>
        <v>0</v>
      </c>
      <c r="AO252" s="230" t="str">
        <f t="shared" si="39"/>
        <v>-</v>
      </c>
      <c r="AP252" s="193">
        <f t="shared" si="46"/>
        <v>19.113</v>
      </c>
      <c r="AQ252" s="194">
        <f t="shared" si="40"/>
        <v>-19.113</v>
      </c>
      <c r="AR252" s="118"/>
      <c r="AS252" s="119"/>
      <c r="AT252" s="119"/>
      <c r="AU252" s="120"/>
      <c r="AV252" s="195"/>
      <c r="AW252" s="112">
        <v>0</v>
      </c>
      <c r="AX252" s="162">
        <v>0</v>
      </c>
      <c r="AY252" s="162">
        <v>0</v>
      </c>
      <c r="AZ252" s="162">
        <v>0</v>
      </c>
      <c r="BA252" s="231" t="s">
        <v>1966</v>
      </c>
      <c r="BB252" s="210">
        <v>0</v>
      </c>
      <c r="BC252" s="115">
        <v>0</v>
      </c>
      <c r="BD252" s="236">
        <v>0</v>
      </c>
    </row>
    <row r="253" spans="1:56" s="121" customFormat="1" ht="16.5" customHeight="1">
      <c r="A253" s="104" t="s">
        <v>2429</v>
      </c>
      <c r="B253" s="105" t="s">
        <v>305</v>
      </c>
      <c r="C253" s="106" t="s">
        <v>1454</v>
      </c>
      <c r="D253" s="106" t="s">
        <v>2415</v>
      </c>
      <c r="E253" s="71" t="s">
        <v>1455</v>
      </c>
      <c r="F253" s="71" t="s">
        <v>78</v>
      </c>
      <c r="G253" s="158" t="s">
        <v>2328</v>
      </c>
      <c r="H253" s="110"/>
      <c r="I253" s="111"/>
      <c r="J253" s="112"/>
      <c r="K253" s="113">
        <f t="shared" si="37"/>
        <v>0</v>
      </c>
      <c r="L253" s="110">
        <v>99</v>
      </c>
      <c r="M253" s="111">
        <v>383</v>
      </c>
      <c r="N253" s="112"/>
      <c r="O253" s="111">
        <v>994</v>
      </c>
      <c r="P253" s="114"/>
      <c r="Q253" s="111">
        <v>8397</v>
      </c>
      <c r="R253" s="112">
        <v>4872</v>
      </c>
      <c r="S253" s="111">
        <f t="shared" si="44"/>
        <v>4872</v>
      </c>
      <c r="T253" s="112"/>
      <c r="U253" s="116"/>
      <c r="V253" s="111"/>
      <c r="W253" s="113">
        <f t="shared" si="38"/>
        <v>6348</v>
      </c>
      <c r="X253" s="110"/>
      <c r="Y253" s="111"/>
      <c r="Z253" s="116"/>
      <c r="AA253" s="111"/>
      <c r="AB253" s="113">
        <f t="shared" si="41"/>
        <v>0</v>
      </c>
      <c r="AC253" s="110"/>
      <c r="AD253" s="111"/>
      <c r="AE253" s="112"/>
      <c r="AF253" s="117"/>
      <c r="AG253" s="111"/>
      <c r="AH253" s="112"/>
      <c r="AI253" s="112"/>
      <c r="AJ253" s="113">
        <f t="shared" si="42"/>
        <v>0</v>
      </c>
      <c r="AK253" s="143">
        <f t="shared" si="47"/>
        <v>1866</v>
      </c>
      <c r="AL253" s="112">
        <f t="shared" si="47"/>
        <v>1146.96</v>
      </c>
      <c r="AM253" s="112">
        <f t="shared" si="47"/>
        <v>719.04</v>
      </c>
      <c r="AN253" s="112">
        <f t="shared" si="47"/>
        <v>74.171999999999997</v>
      </c>
      <c r="AO253" s="230">
        <f t="shared" si="39"/>
        <v>0.61466237942122182</v>
      </c>
      <c r="AP253" s="193">
        <f t="shared" si="46"/>
        <v>6422.1719999999996</v>
      </c>
      <c r="AQ253" s="194">
        <f t="shared" si="40"/>
        <v>-6422.1719999999996</v>
      </c>
      <c r="AR253" s="118"/>
      <c r="AS253" s="119"/>
      <c r="AT253" s="119"/>
      <c r="AU253" s="120"/>
      <c r="AV253" s="195"/>
      <c r="AW253" s="112">
        <v>1866000</v>
      </c>
      <c r="AX253" s="162">
        <v>1146960</v>
      </c>
      <c r="AY253" s="162">
        <v>719040</v>
      </c>
      <c r="AZ253" s="162">
        <v>74172</v>
      </c>
      <c r="BA253" s="231">
        <f t="shared" si="43"/>
        <v>0.61466237942122182</v>
      </c>
      <c r="BB253" s="210">
        <v>3095</v>
      </c>
      <c r="BC253" s="115"/>
      <c r="BD253" s="236"/>
    </row>
    <row r="254" spans="1:56" s="121" customFormat="1" ht="16.5" customHeight="1">
      <c r="A254" s="104" t="s">
        <v>2429</v>
      </c>
      <c r="B254" s="105" t="s">
        <v>1381</v>
      </c>
      <c r="C254" s="156" t="s">
        <v>2101</v>
      </c>
      <c r="D254" s="106" t="s">
        <v>2415</v>
      </c>
      <c r="E254" s="157" t="s">
        <v>2102</v>
      </c>
      <c r="F254" s="71" t="s">
        <v>1404</v>
      </c>
      <c r="G254" s="109" t="s">
        <v>1405</v>
      </c>
      <c r="H254" s="210">
        <v>0</v>
      </c>
      <c r="I254" s="115">
        <v>278.00618229870207</v>
      </c>
      <c r="J254" s="115">
        <v>0</v>
      </c>
      <c r="K254" s="236">
        <f t="shared" si="37"/>
        <v>278.00618229870207</v>
      </c>
      <c r="L254" s="110">
        <v>0</v>
      </c>
      <c r="M254" s="111">
        <v>0</v>
      </c>
      <c r="N254" s="112">
        <v>0</v>
      </c>
      <c r="O254" s="111">
        <v>0</v>
      </c>
      <c r="P254" s="122">
        <v>7.8266300994380006E-3</v>
      </c>
      <c r="Q254" s="111">
        <v>8397</v>
      </c>
      <c r="R254" s="112">
        <v>0</v>
      </c>
      <c r="S254" s="111">
        <f t="shared" si="44"/>
        <v>66</v>
      </c>
      <c r="T254" s="112">
        <v>1</v>
      </c>
      <c r="U254" s="116">
        <v>0</v>
      </c>
      <c r="V254" s="111">
        <v>0</v>
      </c>
      <c r="W254" s="113">
        <f t="shared" si="38"/>
        <v>67</v>
      </c>
      <c r="X254" s="110">
        <v>1164.9938903013458</v>
      </c>
      <c r="Y254" s="111">
        <v>0</v>
      </c>
      <c r="Z254" s="116">
        <v>0</v>
      </c>
      <c r="AA254" s="111">
        <v>0</v>
      </c>
      <c r="AB254" s="113">
        <f t="shared" si="41"/>
        <v>1164.9938903013458</v>
      </c>
      <c r="AC254" s="110">
        <v>5156.9262295081962</v>
      </c>
      <c r="AD254" s="111">
        <v>49.542568529442519</v>
      </c>
      <c r="AE254" s="112">
        <v>0</v>
      </c>
      <c r="AF254" s="117">
        <v>107.50659104588033</v>
      </c>
      <c r="AG254" s="111">
        <v>0</v>
      </c>
      <c r="AH254" s="112">
        <v>82.101349743104592</v>
      </c>
      <c r="AI254" s="112">
        <v>2.1679765375443254</v>
      </c>
      <c r="AJ254" s="113">
        <f t="shared" si="42"/>
        <v>5398.2447153641688</v>
      </c>
      <c r="AK254" s="143">
        <f t="shared" si="47"/>
        <v>250217.64</v>
      </c>
      <c r="AL254" s="112">
        <f t="shared" si="47"/>
        <v>97803.664000000004</v>
      </c>
      <c r="AM254" s="112">
        <f t="shared" si="47"/>
        <v>152413.976</v>
      </c>
      <c r="AN254" s="112">
        <f t="shared" si="47"/>
        <v>24450.916000000001</v>
      </c>
      <c r="AO254" s="230">
        <f t="shared" si="39"/>
        <v>0.3908743764028787</v>
      </c>
      <c r="AP254" s="193">
        <f t="shared" si="46"/>
        <v>24517.916000000001</v>
      </c>
      <c r="AQ254" s="194">
        <f t="shared" si="40"/>
        <v>-24239.9098177013</v>
      </c>
      <c r="AR254" s="118"/>
      <c r="AS254" s="119"/>
      <c r="AT254" s="119"/>
      <c r="AU254" s="120"/>
      <c r="AV254" s="195"/>
      <c r="AW254" s="112">
        <v>250217640</v>
      </c>
      <c r="AX254" s="162">
        <v>97803664</v>
      </c>
      <c r="AY254" s="162">
        <v>152413976</v>
      </c>
      <c r="AZ254" s="162">
        <v>24450916</v>
      </c>
      <c r="BA254" s="231">
        <f t="shared" si="43"/>
        <v>0.3908743764028787</v>
      </c>
      <c r="BB254" s="210">
        <v>10889</v>
      </c>
      <c r="BC254" s="115">
        <v>0</v>
      </c>
      <c r="BD254" s="236">
        <v>0</v>
      </c>
    </row>
    <row r="255" spans="1:56" s="121" customFormat="1" ht="16.5" customHeight="1">
      <c r="A255" s="104" t="s">
        <v>2429</v>
      </c>
      <c r="B255" s="105" t="s">
        <v>1389</v>
      </c>
      <c r="C255" s="106" t="s">
        <v>1460</v>
      </c>
      <c r="D255" s="106" t="s">
        <v>2415</v>
      </c>
      <c r="E255" s="71" t="s">
        <v>1461</v>
      </c>
      <c r="F255" s="71" t="s">
        <v>78</v>
      </c>
      <c r="G255" s="158" t="s">
        <v>2328</v>
      </c>
      <c r="H255" s="110">
        <v>38957</v>
      </c>
      <c r="I255" s="111">
        <v>3587</v>
      </c>
      <c r="J255" s="112"/>
      <c r="K255" s="113">
        <f t="shared" si="37"/>
        <v>42544</v>
      </c>
      <c r="L255" s="110">
        <v>5638</v>
      </c>
      <c r="M255" s="111">
        <v>33229</v>
      </c>
      <c r="N255" s="115"/>
      <c r="O255" s="111">
        <v>2659</v>
      </c>
      <c r="P255" s="241">
        <v>39</v>
      </c>
      <c r="Q255" s="111">
        <v>8397</v>
      </c>
      <c r="R255" s="115">
        <v>8379</v>
      </c>
      <c r="S255" s="111">
        <f t="shared" si="44"/>
        <v>335862</v>
      </c>
      <c r="T255" s="112">
        <v>1355748</v>
      </c>
      <c r="U255" s="116">
        <v>5511</v>
      </c>
      <c r="V255" s="112"/>
      <c r="W255" s="113">
        <f t="shared" si="38"/>
        <v>1738647</v>
      </c>
      <c r="X255" s="110"/>
      <c r="Y255" s="111"/>
      <c r="Z255" s="116"/>
      <c r="AA255" s="111"/>
      <c r="AB255" s="113">
        <f t="shared" si="41"/>
        <v>0</v>
      </c>
      <c r="AC255" s="110"/>
      <c r="AD255" s="111"/>
      <c r="AE255" s="112"/>
      <c r="AF255" s="117"/>
      <c r="AG255" s="111"/>
      <c r="AH255" s="112"/>
      <c r="AI255" s="112"/>
      <c r="AJ255" s="113">
        <f t="shared" si="42"/>
        <v>0</v>
      </c>
      <c r="AK255" s="143">
        <f t="shared" si="47"/>
        <v>862655.82299999997</v>
      </c>
      <c r="AL255" s="112">
        <f t="shared" si="47"/>
        <v>685352.42700000003</v>
      </c>
      <c r="AM255" s="112">
        <f t="shared" si="47"/>
        <v>177303.39600000001</v>
      </c>
      <c r="AN255" s="112">
        <f t="shared" si="47"/>
        <v>19993.932000000001</v>
      </c>
      <c r="AO255" s="230">
        <f t="shared" si="39"/>
        <v>0.79446797752618892</v>
      </c>
      <c r="AP255" s="193">
        <f t="shared" si="46"/>
        <v>1758640.932</v>
      </c>
      <c r="AQ255" s="194">
        <f t="shared" si="40"/>
        <v>-1716096.932</v>
      </c>
      <c r="AR255" s="118"/>
      <c r="AS255" s="119"/>
      <c r="AT255" s="119"/>
      <c r="AU255" s="120"/>
      <c r="AV255" s="195"/>
      <c r="AW255" s="112">
        <v>862655823</v>
      </c>
      <c r="AX255" s="162">
        <v>685352427</v>
      </c>
      <c r="AY255" s="162">
        <v>177303396</v>
      </c>
      <c r="AZ255" s="162">
        <v>19993932</v>
      </c>
      <c r="BA255" s="231">
        <f t="shared" si="43"/>
        <v>0.79446797752618892</v>
      </c>
      <c r="BB255" s="210">
        <v>167610</v>
      </c>
      <c r="BC255" s="115"/>
      <c r="BD255" s="236">
        <v>906.3</v>
      </c>
    </row>
    <row r="256" spans="1:56" s="121" customFormat="1" ht="16.5" customHeight="1">
      <c r="A256" s="104" t="s">
        <v>2429</v>
      </c>
      <c r="B256" s="105" t="s">
        <v>1394</v>
      </c>
      <c r="C256" s="106" t="s">
        <v>1468</v>
      </c>
      <c r="D256" s="106" t="s">
        <v>2415</v>
      </c>
      <c r="E256" s="71" t="s">
        <v>1469</v>
      </c>
      <c r="F256" s="71" t="s">
        <v>78</v>
      </c>
      <c r="G256" s="109" t="s">
        <v>1470</v>
      </c>
      <c r="H256" s="110">
        <v>25505</v>
      </c>
      <c r="I256" s="112">
        <v>0</v>
      </c>
      <c r="J256" s="112">
        <v>0</v>
      </c>
      <c r="K256" s="113">
        <f t="shared" si="37"/>
        <v>25505</v>
      </c>
      <c r="L256" s="210">
        <v>0</v>
      </c>
      <c r="M256" s="115">
        <v>0</v>
      </c>
      <c r="N256" s="115">
        <v>0</v>
      </c>
      <c r="O256" s="115">
        <v>34980</v>
      </c>
      <c r="P256" s="122">
        <v>1.51</v>
      </c>
      <c r="Q256" s="111">
        <v>8397</v>
      </c>
      <c r="R256" s="115">
        <v>0</v>
      </c>
      <c r="S256" s="111">
        <f t="shared" si="44"/>
        <v>12679</v>
      </c>
      <c r="T256" s="115">
        <v>133</v>
      </c>
      <c r="U256" s="144">
        <v>0</v>
      </c>
      <c r="V256" s="111">
        <v>48219</v>
      </c>
      <c r="W256" s="113">
        <f>SUBTOTAL(9,L256:O256,S256:V256)</f>
        <v>96011</v>
      </c>
      <c r="X256" s="110">
        <v>0</v>
      </c>
      <c r="Y256" s="111">
        <v>0</v>
      </c>
      <c r="Z256" s="116">
        <v>0</v>
      </c>
      <c r="AA256" s="111">
        <v>48219</v>
      </c>
      <c r="AB256" s="113">
        <f t="shared" si="41"/>
        <v>48219</v>
      </c>
      <c r="AC256" s="110">
        <v>12866</v>
      </c>
      <c r="AD256" s="111">
        <v>4950</v>
      </c>
      <c r="AE256" s="112">
        <v>0</v>
      </c>
      <c r="AF256" s="117">
        <v>0</v>
      </c>
      <c r="AG256" s="111">
        <v>25300</v>
      </c>
      <c r="AH256" s="112">
        <v>778</v>
      </c>
      <c r="AI256" s="112">
        <v>1810</v>
      </c>
      <c r="AJ256" s="113">
        <f t="shared" si="42"/>
        <v>45704</v>
      </c>
      <c r="AK256" s="143">
        <f t="shared" si="47"/>
        <v>837934.74600000004</v>
      </c>
      <c r="AL256" s="112">
        <f t="shared" si="47"/>
        <v>478560.946</v>
      </c>
      <c r="AM256" s="112">
        <f t="shared" si="47"/>
        <v>359373.8</v>
      </c>
      <c r="AN256" s="112">
        <f t="shared" si="47"/>
        <v>18763.174999999999</v>
      </c>
      <c r="AO256" s="230">
        <f t="shared" si="39"/>
        <v>0.57111958691828735</v>
      </c>
      <c r="AP256" s="193">
        <f t="shared" si="46"/>
        <v>114774.175</v>
      </c>
      <c r="AQ256" s="194">
        <f t="shared" si="40"/>
        <v>-89269.175000000003</v>
      </c>
      <c r="AR256" s="118"/>
      <c r="AS256" s="119"/>
      <c r="AT256" s="119"/>
      <c r="AU256" s="120"/>
      <c r="AV256" s="195"/>
      <c r="AW256" s="112">
        <v>837934746</v>
      </c>
      <c r="AX256" s="162">
        <v>478560946</v>
      </c>
      <c r="AY256" s="162">
        <v>359373800</v>
      </c>
      <c r="AZ256" s="162">
        <v>18763175</v>
      </c>
      <c r="BA256" s="231">
        <f t="shared" si="43"/>
        <v>0.57111958691828735</v>
      </c>
      <c r="BB256" s="210">
        <v>108613</v>
      </c>
      <c r="BC256" s="115"/>
      <c r="BD256" s="236"/>
    </row>
    <row r="257" spans="1:56" s="121" customFormat="1" ht="16.5" customHeight="1">
      <c r="A257" s="104" t="s">
        <v>2429</v>
      </c>
      <c r="B257" s="105" t="s">
        <v>1399</v>
      </c>
      <c r="C257" s="106" t="s">
        <v>1475</v>
      </c>
      <c r="D257" s="106" t="s">
        <v>2415</v>
      </c>
      <c r="E257" s="71" t="s">
        <v>1880</v>
      </c>
      <c r="F257" s="71" t="s">
        <v>708</v>
      </c>
      <c r="G257" s="109" t="s">
        <v>1476</v>
      </c>
      <c r="H257" s="110">
        <v>0</v>
      </c>
      <c r="I257" s="112">
        <v>0</v>
      </c>
      <c r="J257" s="112">
        <v>3141</v>
      </c>
      <c r="K257" s="113">
        <f t="shared" si="37"/>
        <v>3141</v>
      </c>
      <c r="L257" s="110">
        <v>0</v>
      </c>
      <c r="M257" s="111">
        <v>0</v>
      </c>
      <c r="N257" s="115">
        <v>0</v>
      </c>
      <c r="O257" s="111">
        <v>0</v>
      </c>
      <c r="P257" s="122">
        <v>0.6</v>
      </c>
      <c r="Q257" s="111">
        <v>8397</v>
      </c>
      <c r="R257" s="115">
        <v>0</v>
      </c>
      <c r="S257" s="111">
        <f t="shared" si="44"/>
        <v>5038</v>
      </c>
      <c r="T257" s="112">
        <v>0</v>
      </c>
      <c r="U257" s="116">
        <v>0</v>
      </c>
      <c r="V257" s="112">
        <v>0</v>
      </c>
      <c r="W257" s="113">
        <f>SUBTOTAL(9,L257:O257,S257:V257)</f>
        <v>5038</v>
      </c>
      <c r="X257" s="110">
        <v>42219</v>
      </c>
      <c r="Y257" s="111">
        <v>0</v>
      </c>
      <c r="Z257" s="116">
        <v>0</v>
      </c>
      <c r="AA257" s="111">
        <v>0</v>
      </c>
      <c r="AB257" s="113">
        <f t="shared" si="41"/>
        <v>42219</v>
      </c>
      <c r="AC257" s="110">
        <v>2861</v>
      </c>
      <c r="AD257" s="111">
        <v>15090</v>
      </c>
      <c r="AE257" s="112">
        <v>0</v>
      </c>
      <c r="AF257" s="117">
        <v>3859</v>
      </c>
      <c r="AG257" s="111">
        <v>5455</v>
      </c>
      <c r="AH257" s="112">
        <v>2073</v>
      </c>
      <c r="AI257" s="112">
        <f>4070+3141</f>
        <v>7211</v>
      </c>
      <c r="AJ257" s="113">
        <f t="shared" si="42"/>
        <v>36549</v>
      </c>
      <c r="AK257" s="143">
        <f t="shared" si="47"/>
        <v>991695.31099999999</v>
      </c>
      <c r="AL257" s="112">
        <f t="shared" si="47"/>
        <v>714443.50699999998</v>
      </c>
      <c r="AM257" s="112">
        <f t="shared" si="47"/>
        <v>277251.804</v>
      </c>
      <c r="AN257" s="112">
        <f t="shared" si="47"/>
        <v>26786.465</v>
      </c>
      <c r="AO257" s="230">
        <f t="shared" si="39"/>
        <v>0.72042642440204097</v>
      </c>
      <c r="AP257" s="193">
        <f t="shared" si="46"/>
        <v>31824.465</v>
      </c>
      <c r="AQ257" s="194">
        <f t="shared" si="40"/>
        <v>-28683.465</v>
      </c>
      <c r="AR257" s="118"/>
      <c r="AS257" s="119"/>
      <c r="AT257" s="119"/>
      <c r="AU257" s="120"/>
      <c r="AV257" s="195"/>
      <c r="AW257" s="112">
        <v>991695311</v>
      </c>
      <c r="AX257" s="162">
        <v>714443507</v>
      </c>
      <c r="AY257" s="162">
        <v>277251804</v>
      </c>
      <c r="AZ257" s="162">
        <v>26786465</v>
      </c>
      <c r="BA257" s="231">
        <f t="shared" si="43"/>
        <v>0.72042642440204097</v>
      </c>
      <c r="BB257" s="210">
        <v>52114</v>
      </c>
      <c r="BC257" s="115">
        <v>0</v>
      </c>
      <c r="BD257" s="236">
        <v>85</v>
      </c>
    </row>
    <row r="258" spans="1:56" s="121" customFormat="1" ht="16.5" customHeight="1">
      <c r="A258" s="104" t="s">
        <v>2429</v>
      </c>
      <c r="B258" s="105" t="s">
        <v>756</v>
      </c>
      <c r="C258" s="106" t="s">
        <v>1480</v>
      </c>
      <c r="D258" s="106" t="s">
        <v>2415</v>
      </c>
      <c r="E258" s="71" t="s">
        <v>1481</v>
      </c>
      <c r="F258" s="71" t="s">
        <v>708</v>
      </c>
      <c r="G258" s="109" t="s">
        <v>780</v>
      </c>
      <c r="H258" s="143"/>
      <c r="I258" s="112"/>
      <c r="J258" s="112"/>
      <c r="K258" s="113">
        <f t="shared" si="37"/>
        <v>0</v>
      </c>
      <c r="L258" s="110">
        <v>10</v>
      </c>
      <c r="M258" s="115"/>
      <c r="N258" s="115"/>
      <c r="O258" s="115"/>
      <c r="P258" s="114"/>
      <c r="Q258" s="111">
        <v>8397</v>
      </c>
      <c r="R258" s="115"/>
      <c r="S258" s="111">
        <f t="shared" si="44"/>
        <v>0</v>
      </c>
      <c r="T258" s="115"/>
      <c r="U258" s="116"/>
      <c r="V258" s="112"/>
      <c r="W258" s="113">
        <f t="shared" si="38"/>
        <v>10</v>
      </c>
      <c r="X258" s="110"/>
      <c r="Y258" s="111"/>
      <c r="Z258" s="116"/>
      <c r="AA258" s="111"/>
      <c r="AB258" s="113">
        <f t="shared" si="41"/>
        <v>0</v>
      </c>
      <c r="AC258" s="110"/>
      <c r="AD258" s="111"/>
      <c r="AE258" s="112"/>
      <c r="AF258" s="117"/>
      <c r="AG258" s="111"/>
      <c r="AH258" s="112"/>
      <c r="AI258" s="112"/>
      <c r="AJ258" s="113">
        <f t="shared" si="42"/>
        <v>0</v>
      </c>
      <c r="AK258" s="143">
        <f t="shared" si="47"/>
        <v>9176.4809999999998</v>
      </c>
      <c r="AL258" s="112">
        <f t="shared" si="47"/>
        <v>7118.0690000000004</v>
      </c>
      <c r="AM258" s="112">
        <f t="shared" si="47"/>
        <v>2058.4119999999998</v>
      </c>
      <c r="AN258" s="112">
        <f t="shared" si="47"/>
        <v>332.86200000000002</v>
      </c>
      <c r="AO258" s="230">
        <f t="shared" si="39"/>
        <v>0.7756861263048439</v>
      </c>
      <c r="AP258" s="193">
        <f t="shared" si="46"/>
        <v>342.86200000000002</v>
      </c>
      <c r="AQ258" s="194">
        <f t="shared" si="40"/>
        <v>-342.86200000000002</v>
      </c>
      <c r="AR258" s="118"/>
      <c r="AS258" s="119"/>
      <c r="AT258" s="119"/>
      <c r="AU258" s="120"/>
      <c r="AV258" s="195"/>
      <c r="AW258" s="112">
        <v>9176481</v>
      </c>
      <c r="AX258" s="162">
        <v>7118069</v>
      </c>
      <c r="AY258" s="162">
        <v>2058412</v>
      </c>
      <c r="AZ258" s="162">
        <v>332862</v>
      </c>
      <c r="BA258" s="231">
        <f t="shared" si="43"/>
        <v>0.7756861263048439</v>
      </c>
      <c r="BB258" s="210"/>
      <c r="BC258" s="115"/>
      <c r="BD258" s="236"/>
    </row>
    <row r="259" spans="1:56" s="121" customFormat="1" ht="16.5" customHeight="1">
      <c r="A259" s="104" t="s">
        <v>2429</v>
      </c>
      <c r="B259" s="105" t="s">
        <v>1413</v>
      </c>
      <c r="C259" s="106" t="s">
        <v>1483</v>
      </c>
      <c r="D259" s="106" t="s">
        <v>2415</v>
      </c>
      <c r="E259" s="71" t="s">
        <v>1484</v>
      </c>
      <c r="F259" s="71" t="s">
        <v>139</v>
      </c>
      <c r="G259" s="158" t="s">
        <v>2568</v>
      </c>
      <c r="H259" s="110"/>
      <c r="I259" s="111"/>
      <c r="J259" s="112">
        <v>195727</v>
      </c>
      <c r="K259" s="113">
        <f t="shared" si="37"/>
        <v>195727</v>
      </c>
      <c r="L259" s="110"/>
      <c r="M259" s="111"/>
      <c r="N259" s="112"/>
      <c r="O259" s="111"/>
      <c r="P259" s="159">
        <v>0.5</v>
      </c>
      <c r="Q259" s="111">
        <v>8397</v>
      </c>
      <c r="R259" s="115"/>
      <c r="S259" s="111">
        <f>ROUND(P259*Q259,0)+R259</f>
        <v>4199</v>
      </c>
      <c r="T259" s="112"/>
      <c r="U259" s="116">
        <v>16417</v>
      </c>
      <c r="V259" s="111">
        <v>282684</v>
      </c>
      <c r="W259" s="113">
        <f>SUBTOTAL(9,L259:O259,S259:V259)</f>
        <v>303300</v>
      </c>
      <c r="X259" s="110"/>
      <c r="Y259" s="111">
        <v>148088</v>
      </c>
      <c r="Z259" s="116">
        <v>23640</v>
      </c>
      <c r="AA259" s="111">
        <v>268036</v>
      </c>
      <c r="AB259" s="113">
        <f t="shared" si="41"/>
        <v>439764</v>
      </c>
      <c r="AC259" s="110"/>
      <c r="AD259" s="111"/>
      <c r="AE259" s="112"/>
      <c r="AF259" s="117"/>
      <c r="AG259" s="111">
        <v>302179</v>
      </c>
      <c r="AH259" s="112"/>
      <c r="AI259" s="112">
        <v>119359</v>
      </c>
      <c r="AJ259" s="113">
        <f t="shared" si="42"/>
        <v>421538</v>
      </c>
      <c r="AK259" s="143">
        <f t="shared" si="47"/>
        <v>314010.13400000002</v>
      </c>
      <c r="AL259" s="112">
        <f t="shared" si="47"/>
        <v>81910.851999999999</v>
      </c>
      <c r="AM259" s="112">
        <f t="shared" si="47"/>
        <v>232099.28200000001</v>
      </c>
      <c r="AN259" s="112">
        <f t="shared" si="47"/>
        <v>7070.4179999999997</v>
      </c>
      <c r="AO259" s="230">
        <f t="shared" si="39"/>
        <v>0.26085416720977544</v>
      </c>
      <c r="AP259" s="193">
        <f t="shared" si="46"/>
        <v>310370.41800000001</v>
      </c>
      <c r="AQ259" s="194">
        <f t="shared" si="40"/>
        <v>-114643.41800000001</v>
      </c>
      <c r="AR259" s="118"/>
      <c r="AS259" s="119"/>
      <c r="AT259" s="119"/>
      <c r="AU259" s="120"/>
      <c r="AV259" s="195"/>
      <c r="AW259" s="112">
        <v>314010134</v>
      </c>
      <c r="AX259" s="162">
        <v>81910852</v>
      </c>
      <c r="AY259" s="162">
        <v>232099282</v>
      </c>
      <c r="AZ259" s="162">
        <v>7070418</v>
      </c>
      <c r="BA259" s="231">
        <f t="shared" si="43"/>
        <v>0.26085416720977544</v>
      </c>
      <c r="BB259" s="210">
        <v>154401</v>
      </c>
      <c r="BC259" s="115">
        <v>474</v>
      </c>
      <c r="BD259" s="236"/>
    </row>
    <row r="260" spans="1:56" s="121" customFormat="1" ht="16.5" customHeight="1">
      <c r="A260" s="104" t="s">
        <v>2429</v>
      </c>
      <c r="B260" s="105" t="s">
        <v>1416</v>
      </c>
      <c r="C260" s="106" t="s">
        <v>1492</v>
      </c>
      <c r="D260" s="106" t="s">
        <v>2415</v>
      </c>
      <c r="E260" s="71" t="s">
        <v>1493</v>
      </c>
      <c r="F260" s="71" t="s">
        <v>1493</v>
      </c>
      <c r="G260" s="109" t="s">
        <v>1493</v>
      </c>
      <c r="H260" s="110"/>
      <c r="I260" s="111"/>
      <c r="J260" s="112"/>
      <c r="K260" s="113"/>
      <c r="L260" s="110"/>
      <c r="M260" s="111"/>
      <c r="N260" s="112"/>
      <c r="O260" s="111"/>
      <c r="P260" s="114"/>
      <c r="Q260" s="111"/>
      <c r="R260" s="115"/>
      <c r="S260" s="111"/>
      <c r="T260" s="112"/>
      <c r="U260" s="116"/>
      <c r="V260" s="111"/>
      <c r="W260" s="113"/>
      <c r="X260" s="110"/>
      <c r="Y260" s="111"/>
      <c r="Z260" s="116"/>
      <c r="AA260" s="111"/>
      <c r="AB260" s="113"/>
      <c r="AC260" s="110"/>
      <c r="AD260" s="111"/>
      <c r="AE260" s="112"/>
      <c r="AF260" s="117"/>
      <c r="AG260" s="111"/>
      <c r="AH260" s="112"/>
      <c r="AI260" s="112"/>
      <c r="AJ260" s="113"/>
      <c r="AK260" s="143"/>
      <c r="AL260" s="162"/>
      <c r="AM260" s="162"/>
      <c r="AN260" s="162" t="s">
        <v>1929</v>
      </c>
      <c r="AO260" s="162"/>
      <c r="AP260" s="162"/>
      <c r="AQ260" s="216"/>
      <c r="AR260" s="118"/>
      <c r="AS260" s="119"/>
      <c r="AT260" s="119"/>
      <c r="AU260" s="120"/>
      <c r="AV260" s="195"/>
      <c r="AW260" s="112"/>
      <c r="AX260" s="162"/>
      <c r="AY260" s="162"/>
      <c r="AZ260" s="162"/>
      <c r="BA260" s="196"/>
      <c r="BB260" s="210"/>
      <c r="BC260" s="115"/>
      <c r="BD260" s="236"/>
    </row>
    <row r="261" spans="1:56" s="121" customFormat="1" ht="16.5" customHeight="1">
      <c r="A261" s="104" t="s">
        <v>2429</v>
      </c>
      <c r="B261" s="105" t="s">
        <v>1419</v>
      </c>
      <c r="C261" s="106" t="s">
        <v>1501</v>
      </c>
      <c r="D261" s="106" t="s">
        <v>2415</v>
      </c>
      <c r="E261" s="71" t="s">
        <v>1502</v>
      </c>
      <c r="F261" s="71" t="s">
        <v>1502</v>
      </c>
      <c r="G261" s="109" t="s">
        <v>1503</v>
      </c>
      <c r="H261" s="110"/>
      <c r="I261" s="111"/>
      <c r="J261" s="112"/>
      <c r="K261" s="113"/>
      <c r="L261" s="110"/>
      <c r="M261" s="111"/>
      <c r="N261" s="112"/>
      <c r="O261" s="111"/>
      <c r="P261" s="114"/>
      <c r="Q261" s="111"/>
      <c r="R261" s="115"/>
      <c r="S261" s="111"/>
      <c r="T261" s="112"/>
      <c r="U261" s="116"/>
      <c r="V261" s="111"/>
      <c r="W261" s="113"/>
      <c r="X261" s="110"/>
      <c r="Y261" s="111"/>
      <c r="Z261" s="116"/>
      <c r="AA261" s="111"/>
      <c r="AB261" s="113"/>
      <c r="AC261" s="110"/>
      <c r="AD261" s="111"/>
      <c r="AE261" s="112"/>
      <c r="AF261" s="117"/>
      <c r="AG261" s="111"/>
      <c r="AH261" s="112"/>
      <c r="AI261" s="112"/>
      <c r="AJ261" s="113"/>
      <c r="AK261" s="143"/>
      <c r="AL261" s="162"/>
      <c r="AM261" s="162"/>
      <c r="AN261" s="162" t="s">
        <v>1929</v>
      </c>
      <c r="AO261" s="162"/>
      <c r="AP261" s="162"/>
      <c r="AQ261" s="216"/>
      <c r="AR261" s="118"/>
      <c r="AS261" s="119"/>
      <c r="AT261" s="119"/>
      <c r="AU261" s="120"/>
      <c r="AV261" s="195"/>
      <c r="AW261" s="112"/>
      <c r="AX261" s="162"/>
      <c r="AY261" s="162"/>
      <c r="AZ261" s="162"/>
      <c r="BA261" s="196"/>
      <c r="BB261" s="210"/>
      <c r="BC261" s="115"/>
      <c r="BD261" s="236"/>
    </row>
    <row r="262" spans="1:56" s="121" customFormat="1" ht="16.5" customHeight="1">
      <c r="A262" s="104" t="s">
        <v>2429</v>
      </c>
      <c r="B262" s="105" t="s">
        <v>1426</v>
      </c>
      <c r="C262" s="106" t="s">
        <v>1506</v>
      </c>
      <c r="D262" s="106" t="s">
        <v>2415</v>
      </c>
      <c r="E262" s="71" t="s">
        <v>1507</v>
      </c>
      <c r="F262" s="71" t="s">
        <v>1502</v>
      </c>
      <c r="G262" s="109" t="s">
        <v>1508</v>
      </c>
      <c r="H262" s="110"/>
      <c r="I262" s="111"/>
      <c r="J262" s="112"/>
      <c r="K262" s="113"/>
      <c r="L262" s="110"/>
      <c r="M262" s="111"/>
      <c r="N262" s="112"/>
      <c r="O262" s="111"/>
      <c r="P262" s="114"/>
      <c r="Q262" s="111"/>
      <c r="R262" s="115"/>
      <c r="S262" s="111"/>
      <c r="T262" s="112"/>
      <c r="U262" s="116"/>
      <c r="V262" s="111"/>
      <c r="W262" s="113"/>
      <c r="X262" s="110"/>
      <c r="Y262" s="111"/>
      <c r="Z262" s="116"/>
      <c r="AA262" s="111"/>
      <c r="AB262" s="113"/>
      <c r="AC262" s="110"/>
      <c r="AD262" s="111"/>
      <c r="AE262" s="112"/>
      <c r="AF262" s="117"/>
      <c r="AG262" s="111"/>
      <c r="AH262" s="112"/>
      <c r="AI262" s="112"/>
      <c r="AJ262" s="113"/>
      <c r="AK262" s="143"/>
      <c r="AL262" s="162"/>
      <c r="AM262" s="162"/>
      <c r="AN262" s="162" t="s">
        <v>1929</v>
      </c>
      <c r="AO262" s="162"/>
      <c r="AP262" s="162"/>
      <c r="AQ262" s="216"/>
      <c r="AR262" s="118"/>
      <c r="AS262" s="119"/>
      <c r="AT262" s="119"/>
      <c r="AU262" s="120"/>
      <c r="AV262" s="195"/>
      <c r="AW262" s="112"/>
      <c r="AX262" s="162"/>
      <c r="AY262" s="162"/>
      <c r="AZ262" s="162"/>
      <c r="BA262" s="196"/>
      <c r="BB262" s="210"/>
      <c r="BC262" s="115"/>
      <c r="BD262" s="236"/>
    </row>
    <row r="263" spans="1:56" s="121" customFormat="1" ht="16.5" customHeight="1">
      <c r="A263" s="104" t="s">
        <v>2429</v>
      </c>
      <c r="B263" s="105" t="s">
        <v>1429</v>
      </c>
      <c r="C263" s="106" t="s">
        <v>1945</v>
      </c>
      <c r="D263" s="106" t="s">
        <v>2415</v>
      </c>
      <c r="E263" s="71" t="s">
        <v>1511</v>
      </c>
      <c r="F263" s="71" t="s">
        <v>1502</v>
      </c>
      <c r="G263" s="109" t="s">
        <v>1508</v>
      </c>
      <c r="H263" s="110"/>
      <c r="I263" s="111"/>
      <c r="J263" s="112"/>
      <c r="K263" s="113"/>
      <c r="L263" s="110"/>
      <c r="M263" s="111"/>
      <c r="N263" s="112"/>
      <c r="O263" s="111"/>
      <c r="P263" s="114"/>
      <c r="Q263" s="111"/>
      <c r="R263" s="115"/>
      <c r="S263" s="111"/>
      <c r="T263" s="112"/>
      <c r="U263" s="116"/>
      <c r="V263" s="111"/>
      <c r="W263" s="113"/>
      <c r="X263" s="110"/>
      <c r="Y263" s="111"/>
      <c r="Z263" s="116"/>
      <c r="AA263" s="111"/>
      <c r="AB263" s="113"/>
      <c r="AC263" s="110"/>
      <c r="AD263" s="111"/>
      <c r="AE263" s="112"/>
      <c r="AF263" s="117"/>
      <c r="AG263" s="111"/>
      <c r="AH263" s="112"/>
      <c r="AI263" s="112"/>
      <c r="AJ263" s="113"/>
      <c r="AK263" s="143"/>
      <c r="AL263" s="162"/>
      <c r="AM263" s="162"/>
      <c r="AN263" s="162" t="s">
        <v>1929</v>
      </c>
      <c r="AO263" s="162"/>
      <c r="AP263" s="162"/>
      <c r="AQ263" s="216"/>
      <c r="AR263" s="118"/>
      <c r="AS263" s="119"/>
      <c r="AT263" s="119"/>
      <c r="AU263" s="120"/>
      <c r="AV263" s="195"/>
      <c r="AW263" s="112"/>
      <c r="AX263" s="162"/>
      <c r="AY263" s="162"/>
      <c r="AZ263" s="162"/>
      <c r="BA263" s="196"/>
      <c r="BB263" s="210"/>
      <c r="BC263" s="115"/>
      <c r="BD263" s="236"/>
    </row>
    <row r="264" spans="1:56" s="121" customFormat="1" ht="16.5" customHeight="1">
      <c r="A264" s="104" t="s">
        <v>2429</v>
      </c>
      <c r="B264" s="105" t="s">
        <v>1432</v>
      </c>
      <c r="C264" s="106" t="s">
        <v>1946</v>
      </c>
      <c r="D264" s="106" t="s">
        <v>2415</v>
      </c>
      <c r="E264" s="71" t="s">
        <v>1514</v>
      </c>
      <c r="F264" s="71" t="s">
        <v>1502</v>
      </c>
      <c r="G264" s="109" t="s">
        <v>1508</v>
      </c>
      <c r="H264" s="110"/>
      <c r="I264" s="111"/>
      <c r="J264" s="112"/>
      <c r="K264" s="113"/>
      <c r="L264" s="110"/>
      <c r="M264" s="111"/>
      <c r="N264" s="112"/>
      <c r="O264" s="111"/>
      <c r="P264" s="114"/>
      <c r="Q264" s="111"/>
      <c r="R264" s="115"/>
      <c r="S264" s="111"/>
      <c r="T264" s="112"/>
      <c r="U264" s="116"/>
      <c r="V264" s="111"/>
      <c r="W264" s="113"/>
      <c r="X264" s="110"/>
      <c r="Y264" s="111"/>
      <c r="Z264" s="116"/>
      <c r="AA264" s="111"/>
      <c r="AB264" s="113"/>
      <c r="AC264" s="110"/>
      <c r="AD264" s="111"/>
      <c r="AE264" s="112"/>
      <c r="AF264" s="117"/>
      <c r="AG264" s="111"/>
      <c r="AH264" s="112"/>
      <c r="AI264" s="112"/>
      <c r="AJ264" s="113"/>
      <c r="AK264" s="143"/>
      <c r="AL264" s="162"/>
      <c r="AM264" s="162"/>
      <c r="AN264" s="162" t="s">
        <v>1929</v>
      </c>
      <c r="AO264" s="162"/>
      <c r="AP264" s="162"/>
      <c r="AQ264" s="216"/>
      <c r="AR264" s="118"/>
      <c r="AS264" s="119"/>
      <c r="AT264" s="119"/>
      <c r="AU264" s="120"/>
      <c r="AV264" s="195"/>
      <c r="AW264" s="112"/>
      <c r="AX264" s="162"/>
      <c r="AY264" s="162"/>
      <c r="AZ264" s="162"/>
      <c r="BA264" s="196"/>
      <c r="BB264" s="210"/>
      <c r="BC264" s="115"/>
      <c r="BD264" s="236"/>
    </row>
    <row r="265" spans="1:56" s="121" customFormat="1" ht="16.5" customHeight="1">
      <c r="A265" s="104" t="s">
        <v>2429</v>
      </c>
      <c r="B265" s="105" t="s">
        <v>1434</v>
      </c>
      <c r="C265" s="106" t="s">
        <v>1947</v>
      </c>
      <c r="D265" s="106" t="s">
        <v>2415</v>
      </c>
      <c r="E265" s="71" t="s">
        <v>1911</v>
      </c>
      <c r="F265" s="71" t="s">
        <v>1502</v>
      </c>
      <c r="G265" s="109" t="s">
        <v>1508</v>
      </c>
      <c r="H265" s="110"/>
      <c r="I265" s="111"/>
      <c r="J265" s="112"/>
      <c r="K265" s="113"/>
      <c r="L265" s="110"/>
      <c r="M265" s="111"/>
      <c r="N265" s="112"/>
      <c r="O265" s="111"/>
      <c r="P265" s="114"/>
      <c r="Q265" s="111"/>
      <c r="R265" s="115"/>
      <c r="S265" s="111"/>
      <c r="T265" s="112"/>
      <c r="U265" s="116"/>
      <c r="V265" s="111"/>
      <c r="W265" s="113"/>
      <c r="X265" s="110"/>
      <c r="Y265" s="111"/>
      <c r="Z265" s="116"/>
      <c r="AA265" s="111"/>
      <c r="AB265" s="113"/>
      <c r="AC265" s="110"/>
      <c r="AD265" s="111"/>
      <c r="AE265" s="112"/>
      <c r="AF265" s="117"/>
      <c r="AG265" s="111"/>
      <c r="AH265" s="112"/>
      <c r="AI265" s="112"/>
      <c r="AJ265" s="113"/>
      <c r="AK265" s="143"/>
      <c r="AL265" s="162"/>
      <c r="AM265" s="162"/>
      <c r="AN265" s="162" t="s">
        <v>1929</v>
      </c>
      <c r="AO265" s="162"/>
      <c r="AP265" s="162"/>
      <c r="AQ265" s="216"/>
      <c r="AR265" s="118"/>
      <c r="AS265" s="119"/>
      <c r="AT265" s="119"/>
      <c r="AU265" s="120"/>
      <c r="AV265" s="195"/>
      <c r="AW265" s="112"/>
      <c r="AX265" s="162"/>
      <c r="AY265" s="162"/>
      <c r="AZ265" s="162"/>
      <c r="BA265" s="196"/>
      <c r="BB265" s="210"/>
      <c r="BC265" s="115"/>
      <c r="BD265" s="236"/>
    </row>
    <row r="266" spans="1:56" s="121" customFormat="1" ht="16.5" customHeight="1">
      <c r="A266" s="104" t="s">
        <v>2429</v>
      </c>
      <c r="B266" s="105" t="s">
        <v>1436</v>
      </c>
      <c r="C266" s="106" t="s">
        <v>1516</v>
      </c>
      <c r="D266" s="106" t="s">
        <v>2415</v>
      </c>
      <c r="E266" s="71" t="s">
        <v>1517</v>
      </c>
      <c r="F266" s="71" t="s">
        <v>1502</v>
      </c>
      <c r="G266" s="109" t="s">
        <v>1518</v>
      </c>
      <c r="H266" s="110"/>
      <c r="I266" s="111"/>
      <c r="J266" s="112"/>
      <c r="K266" s="113"/>
      <c r="L266" s="110"/>
      <c r="M266" s="111"/>
      <c r="N266" s="112"/>
      <c r="O266" s="111"/>
      <c r="P266" s="114"/>
      <c r="Q266" s="111"/>
      <c r="R266" s="115"/>
      <c r="S266" s="111"/>
      <c r="T266" s="112"/>
      <c r="U266" s="116"/>
      <c r="V266" s="111"/>
      <c r="W266" s="113"/>
      <c r="X266" s="110"/>
      <c r="Y266" s="111"/>
      <c r="Z266" s="116"/>
      <c r="AA266" s="111"/>
      <c r="AB266" s="113"/>
      <c r="AC266" s="110"/>
      <c r="AD266" s="111"/>
      <c r="AE266" s="112"/>
      <c r="AF266" s="117"/>
      <c r="AG266" s="111"/>
      <c r="AH266" s="112"/>
      <c r="AI266" s="112"/>
      <c r="AJ266" s="113"/>
      <c r="AK266" s="143"/>
      <c r="AL266" s="162"/>
      <c r="AM266" s="162"/>
      <c r="AN266" s="162" t="s">
        <v>1929</v>
      </c>
      <c r="AO266" s="162"/>
      <c r="AP266" s="162"/>
      <c r="AQ266" s="216"/>
      <c r="AR266" s="118"/>
      <c r="AS266" s="119"/>
      <c r="AT266" s="119"/>
      <c r="AU266" s="120"/>
      <c r="AV266" s="195"/>
      <c r="AW266" s="112"/>
      <c r="AX266" s="162"/>
      <c r="AY266" s="162"/>
      <c r="AZ266" s="162"/>
      <c r="BA266" s="196"/>
      <c r="BB266" s="210"/>
      <c r="BC266" s="115"/>
      <c r="BD266" s="236"/>
    </row>
    <row r="267" spans="1:56" s="121" customFormat="1" ht="16.5" customHeight="1">
      <c r="A267" s="104" t="s">
        <v>2429</v>
      </c>
      <c r="B267" s="105" t="s">
        <v>1440</v>
      </c>
      <c r="C267" s="106" t="s">
        <v>1523</v>
      </c>
      <c r="D267" s="106" t="s">
        <v>2415</v>
      </c>
      <c r="E267" s="71" t="s">
        <v>1524</v>
      </c>
      <c r="F267" s="71" t="s">
        <v>1502</v>
      </c>
      <c r="G267" s="109" t="s">
        <v>1518</v>
      </c>
      <c r="H267" s="110"/>
      <c r="I267" s="111"/>
      <c r="J267" s="112"/>
      <c r="K267" s="113"/>
      <c r="L267" s="110"/>
      <c r="M267" s="111"/>
      <c r="N267" s="112"/>
      <c r="O267" s="111"/>
      <c r="P267" s="114"/>
      <c r="Q267" s="111"/>
      <c r="R267" s="115"/>
      <c r="S267" s="111"/>
      <c r="T267" s="112"/>
      <c r="U267" s="116"/>
      <c r="V267" s="111"/>
      <c r="W267" s="113"/>
      <c r="X267" s="110"/>
      <c r="Y267" s="111"/>
      <c r="Z267" s="116"/>
      <c r="AA267" s="111"/>
      <c r="AB267" s="113"/>
      <c r="AC267" s="110"/>
      <c r="AD267" s="111"/>
      <c r="AE267" s="112"/>
      <c r="AF267" s="117"/>
      <c r="AG267" s="111"/>
      <c r="AH267" s="112"/>
      <c r="AI267" s="112"/>
      <c r="AJ267" s="113"/>
      <c r="AK267" s="143"/>
      <c r="AL267" s="162"/>
      <c r="AM267" s="162"/>
      <c r="AN267" s="162" t="s">
        <v>1929</v>
      </c>
      <c r="AO267" s="162"/>
      <c r="AP267" s="162"/>
      <c r="AQ267" s="216"/>
      <c r="AR267" s="118"/>
      <c r="AS267" s="119"/>
      <c r="AT267" s="119"/>
      <c r="AU267" s="120"/>
      <c r="AV267" s="195"/>
      <c r="AW267" s="112"/>
      <c r="AX267" s="162"/>
      <c r="AY267" s="162"/>
      <c r="AZ267" s="162"/>
      <c r="BA267" s="196"/>
      <c r="BB267" s="210"/>
      <c r="BC267" s="115"/>
      <c r="BD267" s="236"/>
    </row>
    <row r="268" spans="1:56" s="121" customFormat="1" ht="16.5" customHeight="1">
      <c r="A268" s="104" t="s">
        <v>2429</v>
      </c>
      <c r="B268" s="105" t="s">
        <v>1442</v>
      </c>
      <c r="C268" s="106" t="s">
        <v>1526</v>
      </c>
      <c r="D268" s="106" t="s">
        <v>2415</v>
      </c>
      <c r="E268" s="71" t="s">
        <v>1527</v>
      </c>
      <c r="F268" s="71" t="s">
        <v>1502</v>
      </c>
      <c r="G268" s="109" t="s">
        <v>1518</v>
      </c>
      <c r="H268" s="110"/>
      <c r="I268" s="111"/>
      <c r="J268" s="112"/>
      <c r="K268" s="113"/>
      <c r="L268" s="110"/>
      <c r="M268" s="111"/>
      <c r="N268" s="112"/>
      <c r="O268" s="111"/>
      <c r="P268" s="114"/>
      <c r="Q268" s="111"/>
      <c r="R268" s="115"/>
      <c r="S268" s="111"/>
      <c r="T268" s="112"/>
      <c r="U268" s="116"/>
      <c r="V268" s="111"/>
      <c r="W268" s="113"/>
      <c r="X268" s="110"/>
      <c r="Y268" s="111"/>
      <c r="Z268" s="116"/>
      <c r="AA268" s="111"/>
      <c r="AB268" s="113"/>
      <c r="AC268" s="110"/>
      <c r="AD268" s="111"/>
      <c r="AE268" s="112"/>
      <c r="AF268" s="117"/>
      <c r="AG268" s="111"/>
      <c r="AH268" s="112"/>
      <c r="AI268" s="112"/>
      <c r="AJ268" s="113"/>
      <c r="AK268" s="143"/>
      <c r="AL268" s="162"/>
      <c r="AM268" s="162"/>
      <c r="AN268" s="162" t="s">
        <v>1929</v>
      </c>
      <c r="AO268" s="162"/>
      <c r="AP268" s="162"/>
      <c r="AQ268" s="216"/>
      <c r="AR268" s="118"/>
      <c r="AS268" s="119"/>
      <c r="AT268" s="119"/>
      <c r="AU268" s="120"/>
      <c r="AV268" s="195"/>
      <c r="AW268" s="112"/>
      <c r="AX268" s="162"/>
      <c r="AY268" s="162"/>
      <c r="AZ268" s="162"/>
      <c r="BA268" s="196"/>
      <c r="BB268" s="210"/>
      <c r="BC268" s="115"/>
      <c r="BD268" s="236"/>
    </row>
    <row r="269" spans="1:56" s="163" customFormat="1" ht="16.5" customHeight="1">
      <c r="A269" s="104" t="s">
        <v>2429</v>
      </c>
      <c r="B269" s="105" t="s">
        <v>1445</v>
      </c>
      <c r="C269" s="107" t="s">
        <v>1529</v>
      </c>
      <c r="D269" s="106" t="s">
        <v>2415</v>
      </c>
      <c r="E269" s="131" t="s">
        <v>1530</v>
      </c>
      <c r="F269" s="131" t="s">
        <v>1502</v>
      </c>
      <c r="G269" s="132" t="s">
        <v>1518</v>
      </c>
      <c r="H269" s="110"/>
      <c r="I269" s="111"/>
      <c r="J269" s="112"/>
      <c r="K269" s="113"/>
      <c r="L269" s="110"/>
      <c r="M269" s="111"/>
      <c r="N269" s="112"/>
      <c r="O269" s="111"/>
      <c r="P269" s="114"/>
      <c r="Q269" s="111"/>
      <c r="R269" s="115"/>
      <c r="S269" s="111"/>
      <c r="T269" s="112"/>
      <c r="U269" s="116"/>
      <c r="V269" s="111"/>
      <c r="W269" s="113"/>
      <c r="X269" s="110"/>
      <c r="Y269" s="111"/>
      <c r="Z269" s="116"/>
      <c r="AA269" s="111"/>
      <c r="AB269" s="113"/>
      <c r="AC269" s="110"/>
      <c r="AD269" s="111"/>
      <c r="AE269" s="112"/>
      <c r="AF269" s="117"/>
      <c r="AG269" s="111"/>
      <c r="AH269" s="112"/>
      <c r="AI269" s="112"/>
      <c r="AJ269" s="113"/>
      <c r="AK269" s="143"/>
      <c r="AL269" s="162"/>
      <c r="AM269" s="162"/>
      <c r="AN269" s="162" t="s">
        <v>1929</v>
      </c>
      <c r="AO269" s="162"/>
      <c r="AP269" s="162"/>
      <c r="AQ269" s="216"/>
      <c r="AR269" s="118"/>
      <c r="AS269" s="119"/>
      <c r="AT269" s="119"/>
      <c r="AU269" s="120"/>
      <c r="AV269" s="195"/>
      <c r="AW269" s="112"/>
      <c r="AX269" s="162"/>
      <c r="AY269" s="162"/>
      <c r="AZ269" s="162"/>
      <c r="BA269" s="196"/>
      <c r="BB269" s="371"/>
      <c r="BC269" s="372"/>
      <c r="BD269" s="373"/>
    </row>
    <row r="270" spans="1:56" s="163" customFormat="1" ht="16.5" customHeight="1">
      <c r="A270" s="104" t="s">
        <v>2429</v>
      </c>
      <c r="B270" s="105" t="s">
        <v>1449</v>
      </c>
      <c r="C270" s="106" t="s">
        <v>1532</v>
      </c>
      <c r="D270" s="106" t="s">
        <v>2415</v>
      </c>
      <c r="E270" s="71" t="s">
        <v>1533</v>
      </c>
      <c r="F270" s="71" t="s">
        <v>1502</v>
      </c>
      <c r="G270" s="109" t="s">
        <v>1518</v>
      </c>
      <c r="H270" s="110"/>
      <c r="I270" s="111"/>
      <c r="J270" s="112"/>
      <c r="K270" s="113"/>
      <c r="L270" s="110"/>
      <c r="M270" s="111"/>
      <c r="N270" s="112"/>
      <c r="O270" s="111"/>
      <c r="P270" s="114"/>
      <c r="Q270" s="111"/>
      <c r="R270" s="115"/>
      <c r="S270" s="111"/>
      <c r="T270" s="112"/>
      <c r="U270" s="116"/>
      <c r="V270" s="111"/>
      <c r="W270" s="113"/>
      <c r="X270" s="110"/>
      <c r="Y270" s="111"/>
      <c r="Z270" s="116"/>
      <c r="AA270" s="111"/>
      <c r="AB270" s="113"/>
      <c r="AC270" s="110"/>
      <c r="AD270" s="111"/>
      <c r="AE270" s="112"/>
      <c r="AF270" s="117"/>
      <c r="AG270" s="111"/>
      <c r="AH270" s="112"/>
      <c r="AI270" s="112"/>
      <c r="AJ270" s="113"/>
      <c r="AK270" s="143"/>
      <c r="AL270" s="162"/>
      <c r="AM270" s="162"/>
      <c r="AN270" s="162" t="s">
        <v>1929</v>
      </c>
      <c r="AO270" s="162"/>
      <c r="AP270" s="162"/>
      <c r="AQ270" s="216"/>
      <c r="AR270" s="118"/>
      <c r="AS270" s="119"/>
      <c r="AT270" s="119"/>
      <c r="AU270" s="120"/>
      <c r="AV270" s="195"/>
      <c r="AW270" s="112"/>
      <c r="AX270" s="162"/>
      <c r="AY270" s="162"/>
      <c r="AZ270" s="162"/>
      <c r="BA270" s="196"/>
      <c r="BB270" s="371"/>
      <c r="BC270" s="372"/>
      <c r="BD270" s="373"/>
    </row>
    <row r="271" spans="1:56" s="163" customFormat="1" ht="16.5" customHeight="1">
      <c r="A271" s="104" t="s">
        <v>2429</v>
      </c>
      <c r="B271" s="105" t="s">
        <v>1453</v>
      </c>
      <c r="C271" s="106" t="s">
        <v>1535</v>
      </c>
      <c r="D271" s="106" t="s">
        <v>2415</v>
      </c>
      <c r="E271" s="71" t="s">
        <v>1536</v>
      </c>
      <c r="F271" s="71" t="s">
        <v>1502</v>
      </c>
      <c r="G271" s="109" t="s">
        <v>1518</v>
      </c>
      <c r="H271" s="110"/>
      <c r="I271" s="111"/>
      <c r="J271" s="112"/>
      <c r="K271" s="113"/>
      <c r="L271" s="110"/>
      <c r="M271" s="111"/>
      <c r="N271" s="112"/>
      <c r="O271" s="111"/>
      <c r="P271" s="114"/>
      <c r="Q271" s="111"/>
      <c r="R271" s="115"/>
      <c r="S271" s="111"/>
      <c r="T271" s="112"/>
      <c r="U271" s="116"/>
      <c r="V271" s="111"/>
      <c r="W271" s="113"/>
      <c r="X271" s="110"/>
      <c r="Y271" s="111"/>
      <c r="Z271" s="116"/>
      <c r="AA271" s="111"/>
      <c r="AB271" s="113"/>
      <c r="AC271" s="110"/>
      <c r="AD271" s="111"/>
      <c r="AE271" s="112"/>
      <c r="AF271" s="117"/>
      <c r="AG271" s="111"/>
      <c r="AH271" s="112"/>
      <c r="AI271" s="112"/>
      <c r="AJ271" s="113"/>
      <c r="AK271" s="143"/>
      <c r="AL271" s="162"/>
      <c r="AM271" s="162"/>
      <c r="AN271" s="162" t="s">
        <v>1929</v>
      </c>
      <c r="AO271" s="162"/>
      <c r="AP271" s="162"/>
      <c r="AQ271" s="216"/>
      <c r="AR271" s="118"/>
      <c r="AS271" s="119"/>
      <c r="AT271" s="119"/>
      <c r="AU271" s="120"/>
      <c r="AV271" s="195"/>
      <c r="AW271" s="112"/>
      <c r="AX271" s="162"/>
      <c r="AY271" s="162"/>
      <c r="AZ271" s="162"/>
      <c r="BA271" s="196"/>
      <c r="BB271" s="371"/>
      <c r="BC271" s="372"/>
      <c r="BD271" s="373"/>
    </row>
    <row r="272" spans="1:56" s="163" customFormat="1" ht="16.5" customHeight="1">
      <c r="A272" s="104" t="s">
        <v>2429</v>
      </c>
      <c r="B272" s="105" t="s">
        <v>1459</v>
      </c>
      <c r="C272" s="106" t="s">
        <v>1538</v>
      </c>
      <c r="D272" s="106" t="s">
        <v>2415</v>
      </c>
      <c r="E272" s="71" t="s">
        <v>1539</v>
      </c>
      <c r="F272" s="71" t="s">
        <v>1502</v>
      </c>
      <c r="G272" s="109" t="s">
        <v>1518</v>
      </c>
      <c r="H272" s="110"/>
      <c r="I272" s="111"/>
      <c r="J272" s="112"/>
      <c r="K272" s="113"/>
      <c r="L272" s="110"/>
      <c r="M272" s="111"/>
      <c r="N272" s="112"/>
      <c r="O272" s="111"/>
      <c r="P272" s="114"/>
      <c r="Q272" s="111"/>
      <c r="R272" s="115"/>
      <c r="S272" s="111"/>
      <c r="T272" s="112"/>
      <c r="U272" s="116"/>
      <c r="V272" s="111"/>
      <c r="W272" s="113"/>
      <c r="X272" s="110"/>
      <c r="Y272" s="111"/>
      <c r="Z272" s="116"/>
      <c r="AA272" s="111"/>
      <c r="AB272" s="113"/>
      <c r="AC272" s="110"/>
      <c r="AD272" s="111"/>
      <c r="AE272" s="112"/>
      <c r="AF272" s="117"/>
      <c r="AG272" s="111"/>
      <c r="AH272" s="112"/>
      <c r="AI272" s="112"/>
      <c r="AJ272" s="113"/>
      <c r="AK272" s="143"/>
      <c r="AL272" s="162"/>
      <c r="AM272" s="162"/>
      <c r="AN272" s="162" t="s">
        <v>1929</v>
      </c>
      <c r="AO272" s="162"/>
      <c r="AP272" s="162"/>
      <c r="AQ272" s="216"/>
      <c r="AR272" s="118"/>
      <c r="AS272" s="119"/>
      <c r="AT272" s="119"/>
      <c r="AU272" s="120"/>
      <c r="AV272" s="195"/>
      <c r="AW272" s="112"/>
      <c r="AX272" s="162"/>
      <c r="AY272" s="162"/>
      <c r="AZ272" s="162"/>
      <c r="BA272" s="196"/>
      <c r="BB272" s="371"/>
      <c r="BC272" s="372"/>
      <c r="BD272" s="373"/>
    </row>
    <row r="273" spans="1:56" s="163" customFormat="1" ht="16.5" customHeight="1">
      <c r="A273" s="104" t="s">
        <v>2429</v>
      </c>
      <c r="B273" s="166" t="s">
        <v>1467</v>
      </c>
      <c r="C273" s="167" t="s">
        <v>1541</v>
      </c>
      <c r="D273" s="167" t="s">
        <v>2415</v>
      </c>
      <c r="E273" s="168" t="s">
        <v>1542</v>
      </c>
      <c r="F273" s="168" t="s">
        <v>1542</v>
      </c>
      <c r="G273" s="242" t="s">
        <v>1542</v>
      </c>
      <c r="H273" s="170"/>
      <c r="I273" s="171"/>
      <c r="J273" s="172"/>
      <c r="K273" s="173"/>
      <c r="L273" s="170"/>
      <c r="M273" s="171"/>
      <c r="N273" s="172"/>
      <c r="O273" s="171"/>
      <c r="P273" s="174"/>
      <c r="Q273" s="171"/>
      <c r="R273" s="175"/>
      <c r="S273" s="171"/>
      <c r="T273" s="172"/>
      <c r="U273" s="176"/>
      <c r="V273" s="171"/>
      <c r="W273" s="173"/>
      <c r="X273" s="170"/>
      <c r="Y273" s="171"/>
      <c r="Z273" s="176"/>
      <c r="AA273" s="171"/>
      <c r="AB273" s="173"/>
      <c r="AC273" s="170"/>
      <c r="AD273" s="171"/>
      <c r="AE273" s="172"/>
      <c r="AF273" s="177"/>
      <c r="AG273" s="171"/>
      <c r="AH273" s="172"/>
      <c r="AI273" s="172"/>
      <c r="AJ273" s="173"/>
      <c r="AK273" s="217"/>
      <c r="AL273" s="179"/>
      <c r="AM273" s="179"/>
      <c r="AN273" s="179" t="s">
        <v>1929</v>
      </c>
      <c r="AO273" s="179"/>
      <c r="AP273" s="179"/>
      <c r="AQ273" s="218"/>
      <c r="AR273" s="219"/>
      <c r="AS273" s="220"/>
      <c r="AT273" s="220"/>
      <c r="AU273" s="221"/>
      <c r="AV273" s="222"/>
      <c r="AW273" s="172"/>
      <c r="AX273" s="179"/>
      <c r="AY273" s="179"/>
      <c r="AZ273" s="179"/>
      <c r="BA273" s="243"/>
      <c r="BB273" s="374"/>
      <c r="BC273" s="375"/>
      <c r="BD273" s="376"/>
    </row>
    <row r="274" spans="1:56" s="163" customFormat="1" ht="16.5" customHeight="1">
      <c r="A274" s="223"/>
      <c r="B274" s="244"/>
      <c r="C274" s="245"/>
      <c r="D274" s="245"/>
      <c r="E274" s="183"/>
      <c r="F274" s="183"/>
      <c r="G274" s="183"/>
      <c r="H274" s="184"/>
      <c r="I274" s="184"/>
      <c r="J274" s="184"/>
      <c r="L274" s="184"/>
      <c r="M274" s="184"/>
      <c r="N274" s="184"/>
      <c r="O274" s="184"/>
      <c r="R274" s="185"/>
      <c r="T274" s="184"/>
      <c r="U274" s="184"/>
      <c r="V274" s="184"/>
      <c r="X274" s="184"/>
      <c r="Y274" s="184"/>
      <c r="Z274" s="184"/>
      <c r="AA274" s="184"/>
      <c r="AC274" s="184"/>
      <c r="AD274" s="184"/>
      <c r="AE274" s="184"/>
      <c r="AF274" s="184"/>
      <c r="AG274" s="184"/>
      <c r="AH274" s="184"/>
      <c r="AI274" s="184"/>
      <c r="AR274" s="186"/>
      <c r="AS274" s="187"/>
      <c r="AT274" s="187"/>
      <c r="AU274" s="187"/>
      <c r="AV274" s="246"/>
      <c r="BB274" s="377"/>
      <c r="BC274" s="377"/>
      <c r="BD274" s="377"/>
    </row>
    <row r="275" spans="1:56" s="163" customFormat="1" ht="16.5" customHeight="1">
      <c r="A275" s="247"/>
      <c r="B275" s="244"/>
      <c r="C275" s="245"/>
      <c r="D275" s="245"/>
      <c r="E275" s="183"/>
      <c r="F275" s="183"/>
      <c r="G275" s="183"/>
      <c r="H275" s="184"/>
      <c r="I275" s="184"/>
      <c r="J275" s="184"/>
      <c r="L275" s="184"/>
      <c r="M275" s="184"/>
      <c r="N275" s="184"/>
      <c r="O275" s="184"/>
      <c r="R275" s="185"/>
      <c r="T275" s="184"/>
      <c r="U275" s="184"/>
      <c r="V275" s="184"/>
      <c r="X275" s="184"/>
      <c r="Y275" s="184"/>
      <c r="Z275" s="184"/>
      <c r="AA275" s="184"/>
      <c r="AC275" s="184"/>
      <c r="AD275" s="184"/>
      <c r="AE275" s="184"/>
      <c r="AF275" s="184"/>
      <c r="AG275" s="184"/>
      <c r="AH275" s="184"/>
      <c r="AI275" s="184"/>
      <c r="AR275" s="186"/>
      <c r="AS275" s="187"/>
      <c r="AT275" s="187"/>
      <c r="AU275" s="187"/>
      <c r="AV275" s="246"/>
      <c r="BB275" s="377"/>
      <c r="BC275" s="377"/>
      <c r="BD275" s="377"/>
    </row>
    <row r="276" spans="1:56" s="163" customFormat="1" ht="16.5" customHeight="1">
      <c r="A276" s="247"/>
      <c r="B276" s="244"/>
      <c r="C276" s="245"/>
      <c r="D276" s="245"/>
      <c r="E276" s="183"/>
      <c r="F276" s="183"/>
      <c r="G276" s="183"/>
      <c r="H276" s="184"/>
      <c r="I276" s="184"/>
      <c r="J276" s="184"/>
      <c r="L276" s="184"/>
      <c r="M276" s="184"/>
      <c r="N276" s="184"/>
      <c r="O276" s="184"/>
      <c r="R276" s="185"/>
      <c r="T276" s="184"/>
      <c r="U276" s="184"/>
      <c r="V276" s="184"/>
      <c r="X276" s="184"/>
      <c r="Y276" s="184"/>
      <c r="Z276" s="184"/>
      <c r="AA276" s="184"/>
      <c r="AC276" s="184"/>
      <c r="AD276" s="184"/>
      <c r="AE276" s="184"/>
      <c r="AF276" s="184"/>
      <c r="AG276" s="184"/>
      <c r="AH276" s="184"/>
      <c r="AI276" s="184"/>
      <c r="AR276" s="186"/>
      <c r="AS276" s="187"/>
      <c r="AT276" s="187"/>
      <c r="AU276" s="187"/>
      <c r="AV276" s="246"/>
      <c r="BB276" s="377"/>
      <c r="BC276" s="377"/>
      <c r="BD276" s="377"/>
    </row>
    <row r="277" spans="1:56" s="163" customFormat="1" ht="16.5" customHeight="1">
      <c r="A277" s="247"/>
      <c r="B277" s="244"/>
      <c r="C277" s="245"/>
      <c r="D277" s="245"/>
      <c r="E277" s="183"/>
      <c r="F277" s="183"/>
      <c r="G277" s="183"/>
      <c r="H277" s="184"/>
      <c r="I277" s="184"/>
      <c r="J277" s="184"/>
      <c r="L277" s="184"/>
      <c r="M277" s="184"/>
      <c r="N277" s="184"/>
      <c r="O277" s="184"/>
      <c r="R277" s="185"/>
      <c r="T277" s="184"/>
      <c r="U277" s="184"/>
      <c r="V277" s="184"/>
      <c r="X277" s="184"/>
      <c r="Y277" s="184"/>
      <c r="Z277" s="184"/>
      <c r="AA277" s="184"/>
      <c r="AC277" s="184"/>
      <c r="AD277" s="184"/>
      <c r="AE277" s="184"/>
      <c r="AF277" s="184"/>
      <c r="AG277" s="184"/>
      <c r="AH277" s="184"/>
      <c r="AI277" s="184"/>
      <c r="AR277" s="186"/>
      <c r="AS277" s="187"/>
      <c r="AT277" s="187"/>
      <c r="AU277" s="187"/>
      <c r="AV277" s="246"/>
      <c r="BB277" s="377"/>
      <c r="BC277" s="377"/>
      <c r="BD277" s="377"/>
    </row>
    <row r="278" spans="1:56" s="163" customFormat="1" ht="16.5" customHeight="1">
      <c r="A278" s="247"/>
      <c r="B278" s="244"/>
      <c r="C278" s="245"/>
      <c r="D278" s="245"/>
      <c r="E278" s="183"/>
      <c r="F278" s="183"/>
      <c r="G278" s="183"/>
      <c r="H278" s="184"/>
      <c r="I278" s="184"/>
      <c r="J278" s="184"/>
      <c r="L278" s="184"/>
      <c r="M278" s="184"/>
      <c r="N278" s="184"/>
      <c r="O278" s="184"/>
      <c r="R278" s="185"/>
      <c r="T278" s="184"/>
      <c r="U278" s="184"/>
      <c r="V278" s="184"/>
      <c r="X278" s="184"/>
      <c r="Y278" s="184"/>
      <c r="Z278" s="184"/>
      <c r="AA278" s="184"/>
      <c r="AC278" s="184"/>
      <c r="AD278" s="184"/>
      <c r="AE278" s="184"/>
      <c r="AF278" s="184"/>
      <c r="AG278" s="184"/>
      <c r="AH278" s="184"/>
      <c r="AI278" s="184"/>
      <c r="AR278" s="186"/>
      <c r="AS278" s="187"/>
      <c r="AT278" s="187"/>
      <c r="AU278" s="187"/>
      <c r="AV278" s="246"/>
      <c r="BB278" s="377"/>
      <c r="BC278" s="377"/>
      <c r="BD278" s="377"/>
    </row>
    <row r="279" spans="1:56" s="163" customFormat="1" ht="16.5" customHeight="1">
      <c r="A279" s="247"/>
      <c r="B279" s="244"/>
      <c r="C279" s="245"/>
      <c r="D279" s="245"/>
      <c r="E279" s="183"/>
      <c r="F279" s="183"/>
      <c r="G279" s="183"/>
      <c r="H279" s="184"/>
      <c r="I279" s="184"/>
      <c r="J279" s="184"/>
      <c r="L279" s="184"/>
      <c r="M279" s="184"/>
      <c r="N279" s="184"/>
      <c r="O279" s="184"/>
      <c r="R279" s="185"/>
      <c r="T279" s="184"/>
      <c r="U279" s="184"/>
      <c r="V279" s="184"/>
      <c r="X279" s="184"/>
      <c r="Y279" s="184"/>
      <c r="Z279" s="184"/>
      <c r="AA279" s="184"/>
      <c r="AC279" s="184"/>
      <c r="AD279" s="184"/>
      <c r="AE279" s="184"/>
      <c r="AF279" s="184"/>
      <c r="AG279" s="184"/>
      <c r="AH279" s="184"/>
      <c r="AI279" s="184"/>
      <c r="AR279" s="186"/>
      <c r="AS279" s="187"/>
      <c r="AT279" s="187"/>
      <c r="AU279" s="187"/>
      <c r="AV279" s="246"/>
      <c r="BB279" s="377"/>
      <c r="BC279" s="377"/>
      <c r="BD279" s="377"/>
    </row>
    <row r="280" spans="1:56" s="163" customFormat="1" ht="16.5" customHeight="1">
      <c r="A280" s="247"/>
      <c r="B280" s="244"/>
      <c r="C280" s="245"/>
      <c r="D280" s="245"/>
      <c r="E280" s="183"/>
      <c r="F280" s="183"/>
      <c r="G280" s="183"/>
      <c r="H280" s="184"/>
      <c r="I280" s="184"/>
      <c r="J280" s="184"/>
      <c r="L280" s="184"/>
      <c r="M280" s="184"/>
      <c r="N280" s="184"/>
      <c r="O280" s="184"/>
      <c r="R280" s="185"/>
      <c r="T280" s="184"/>
      <c r="U280" s="184"/>
      <c r="V280" s="184"/>
      <c r="X280" s="184"/>
      <c r="Y280" s="184"/>
      <c r="Z280" s="184"/>
      <c r="AA280" s="184"/>
      <c r="AC280" s="184"/>
      <c r="AD280" s="184"/>
      <c r="AE280" s="184"/>
      <c r="AF280" s="184"/>
      <c r="AG280" s="184"/>
      <c r="AH280" s="184"/>
      <c r="AI280" s="184"/>
      <c r="AR280" s="186"/>
      <c r="AS280" s="187"/>
      <c r="AT280" s="187"/>
      <c r="AU280" s="187"/>
      <c r="AV280" s="246"/>
      <c r="BB280" s="377"/>
      <c r="BC280" s="377"/>
      <c r="BD280" s="377"/>
    </row>
    <row r="281" spans="1:56" s="163" customFormat="1" ht="16.5" customHeight="1">
      <c r="A281" s="247"/>
      <c r="B281" s="244"/>
      <c r="C281" s="245"/>
      <c r="D281" s="245"/>
      <c r="E281" s="183"/>
      <c r="F281" s="183"/>
      <c r="G281" s="183"/>
      <c r="H281" s="184"/>
      <c r="I281" s="184"/>
      <c r="J281" s="184"/>
      <c r="L281" s="184"/>
      <c r="M281" s="184"/>
      <c r="N281" s="184"/>
      <c r="O281" s="184"/>
      <c r="R281" s="185"/>
      <c r="T281" s="184"/>
      <c r="U281" s="184"/>
      <c r="V281" s="184"/>
      <c r="X281" s="184"/>
      <c r="Y281" s="184"/>
      <c r="Z281" s="184"/>
      <c r="AA281" s="184"/>
      <c r="AC281" s="184"/>
      <c r="AD281" s="184"/>
      <c r="AE281" s="184"/>
      <c r="AF281" s="184"/>
      <c r="AG281" s="184"/>
      <c r="AH281" s="184"/>
      <c r="AI281" s="184"/>
      <c r="AR281" s="186"/>
      <c r="AS281" s="187"/>
      <c r="AT281" s="187"/>
      <c r="AU281" s="187"/>
      <c r="AV281" s="246"/>
      <c r="BB281" s="377"/>
      <c r="BC281" s="377"/>
      <c r="BD281" s="377"/>
    </row>
    <row r="282" spans="1:56" s="163" customFormat="1" ht="16.5" customHeight="1">
      <c r="A282" s="247"/>
      <c r="B282" s="244"/>
      <c r="C282" s="245"/>
      <c r="D282" s="245"/>
      <c r="E282" s="183"/>
      <c r="F282" s="183"/>
      <c r="G282" s="183"/>
      <c r="H282" s="184"/>
      <c r="I282" s="184"/>
      <c r="J282" s="184"/>
      <c r="L282" s="184"/>
      <c r="M282" s="184"/>
      <c r="N282" s="184"/>
      <c r="O282" s="184"/>
      <c r="R282" s="185"/>
      <c r="T282" s="184"/>
      <c r="U282" s="184"/>
      <c r="V282" s="184"/>
      <c r="X282" s="184"/>
      <c r="Y282" s="184"/>
      <c r="Z282" s="184"/>
      <c r="AA282" s="184"/>
      <c r="AC282" s="184"/>
      <c r="AD282" s="184"/>
      <c r="AE282" s="184"/>
      <c r="AF282" s="184"/>
      <c r="AG282" s="184"/>
      <c r="AH282" s="184"/>
      <c r="AI282" s="184"/>
      <c r="AR282" s="186"/>
      <c r="AS282" s="187"/>
      <c r="AT282" s="187"/>
      <c r="AU282" s="187"/>
      <c r="AV282" s="246"/>
      <c r="BB282" s="377"/>
      <c r="BC282" s="377"/>
      <c r="BD282" s="377"/>
    </row>
    <row r="283" spans="1:56" s="163" customFormat="1" ht="16.5" customHeight="1">
      <c r="A283" s="247"/>
      <c r="B283" s="244"/>
      <c r="C283" s="245"/>
      <c r="D283" s="245"/>
      <c r="E283" s="183"/>
      <c r="F283" s="183"/>
      <c r="G283" s="183"/>
      <c r="H283" s="184"/>
      <c r="I283" s="184"/>
      <c r="J283" s="184"/>
      <c r="L283" s="184"/>
      <c r="M283" s="184"/>
      <c r="N283" s="184"/>
      <c r="O283" s="184"/>
      <c r="R283" s="185"/>
      <c r="T283" s="184"/>
      <c r="U283" s="184"/>
      <c r="V283" s="184"/>
      <c r="X283" s="184"/>
      <c r="Y283" s="184"/>
      <c r="Z283" s="184"/>
      <c r="AA283" s="184"/>
      <c r="AC283" s="184"/>
      <c r="AD283" s="184"/>
      <c r="AE283" s="184"/>
      <c r="AF283" s="184"/>
      <c r="AG283" s="184"/>
      <c r="AH283" s="184"/>
      <c r="AI283" s="184"/>
      <c r="AR283" s="186"/>
      <c r="AS283" s="187"/>
      <c r="AT283" s="187"/>
      <c r="AU283" s="187"/>
      <c r="AV283" s="246"/>
      <c r="BB283" s="377"/>
      <c r="BC283" s="377"/>
      <c r="BD283" s="377"/>
    </row>
    <row r="284" spans="1:56" s="163" customFormat="1" ht="16.5" customHeight="1">
      <c r="A284" s="247"/>
      <c r="B284" s="244"/>
      <c r="C284" s="245"/>
      <c r="D284" s="245"/>
      <c r="E284" s="183"/>
      <c r="F284" s="183"/>
      <c r="G284" s="183"/>
      <c r="H284" s="184"/>
      <c r="I284" s="184"/>
      <c r="J284" s="184"/>
      <c r="L284" s="184"/>
      <c r="M284" s="184"/>
      <c r="N284" s="184"/>
      <c r="O284" s="184"/>
      <c r="R284" s="185"/>
      <c r="T284" s="184"/>
      <c r="U284" s="184"/>
      <c r="V284" s="184"/>
      <c r="X284" s="184"/>
      <c r="Y284" s="184"/>
      <c r="Z284" s="184"/>
      <c r="AA284" s="184"/>
      <c r="AC284" s="184"/>
      <c r="AD284" s="184"/>
      <c r="AE284" s="184"/>
      <c r="AF284" s="184"/>
      <c r="AG284" s="184"/>
      <c r="AH284" s="184"/>
      <c r="AI284" s="184"/>
      <c r="AR284" s="186"/>
      <c r="AS284" s="187"/>
      <c r="AT284" s="187"/>
      <c r="AU284" s="187"/>
      <c r="AV284" s="246"/>
      <c r="BB284" s="377"/>
      <c r="BC284" s="377"/>
      <c r="BD284" s="377"/>
    </row>
    <row r="285" spans="1:56" s="163" customFormat="1" ht="16.5" customHeight="1">
      <c r="A285" s="247"/>
      <c r="B285" s="244"/>
      <c r="C285" s="245"/>
      <c r="D285" s="245"/>
      <c r="E285" s="183"/>
      <c r="F285" s="183"/>
      <c r="G285" s="183"/>
      <c r="H285" s="184"/>
      <c r="I285" s="184"/>
      <c r="J285" s="184"/>
      <c r="L285" s="184"/>
      <c r="M285" s="184"/>
      <c r="N285" s="184"/>
      <c r="O285" s="184"/>
      <c r="R285" s="185"/>
      <c r="T285" s="184"/>
      <c r="U285" s="184"/>
      <c r="V285" s="184"/>
      <c r="X285" s="184"/>
      <c r="Y285" s="184"/>
      <c r="Z285" s="184"/>
      <c r="AA285" s="184"/>
      <c r="AC285" s="184"/>
      <c r="AD285" s="184"/>
      <c r="AE285" s="184"/>
      <c r="AF285" s="184"/>
      <c r="AG285" s="184"/>
      <c r="AH285" s="184"/>
      <c r="AI285" s="184"/>
      <c r="AR285" s="186"/>
      <c r="AS285" s="187"/>
      <c r="AT285" s="187"/>
      <c r="AU285" s="187"/>
      <c r="AV285" s="246"/>
      <c r="BB285" s="377"/>
      <c r="BC285" s="377"/>
      <c r="BD285" s="377"/>
    </row>
    <row r="286" spans="1:56" s="163" customFormat="1" ht="16.5" customHeight="1">
      <c r="A286" s="247"/>
      <c r="B286" s="244"/>
      <c r="C286" s="245"/>
      <c r="D286" s="245"/>
      <c r="E286" s="183"/>
      <c r="F286" s="183"/>
      <c r="G286" s="183"/>
      <c r="H286" s="184"/>
      <c r="I286" s="184"/>
      <c r="J286" s="184"/>
      <c r="L286" s="184"/>
      <c r="M286" s="184"/>
      <c r="N286" s="184"/>
      <c r="O286" s="184"/>
      <c r="R286" s="185"/>
      <c r="T286" s="184"/>
      <c r="U286" s="184"/>
      <c r="V286" s="184"/>
      <c r="X286" s="184"/>
      <c r="Y286" s="184"/>
      <c r="Z286" s="184"/>
      <c r="AA286" s="184"/>
      <c r="AC286" s="184"/>
      <c r="AD286" s="184"/>
      <c r="AE286" s="184"/>
      <c r="AF286" s="184"/>
      <c r="AG286" s="184"/>
      <c r="AH286" s="184"/>
      <c r="AI286" s="184"/>
      <c r="AR286" s="186"/>
      <c r="AS286" s="187"/>
      <c r="AT286" s="187"/>
      <c r="AU286" s="187"/>
      <c r="AV286" s="246"/>
      <c r="BB286" s="377"/>
      <c r="BC286" s="377"/>
      <c r="BD286" s="377"/>
    </row>
    <row r="287" spans="1:56" s="163" customFormat="1" ht="16.5" customHeight="1">
      <c r="A287" s="247"/>
      <c r="B287" s="244"/>
      <c r="C287" s="245"/>
      <c r="D287" s="245"/>
      <c r="E287" s="183"/>
      <c r="F287" s="183"/>
      <c r="G287" s="183"/>
      <c r="H287" s="184"/>
      <c r="I287" s="184"/>
      <c r="J287" s="184"/>
      <c r="L287" s="184"/>
      <c r="M287" s="184"/>
      <c r="N287" s="184"/>
      <c r="O287" s="184"/>
      <c r="R287" s="185"/>
      <c r="T287" s="184"/>
      <c r="U287" s="184"/>
      <c r="V287" s="184"/>
      <c r="X287" s="184"/>
      <c r="Y287" s="184"/>
      <c r="Z287" s="184"/>
      <c r="AA287" s="184"/>
      <c r="AC287" s="184"/>
      <c r="AD287" s="184"/>
      <c r="AE287" s="184"/>
      <c r="AF287" s="184"/>
      <c r="AG287" s="184"/>
      <c r="AH287" s="184"/>
      <c r="AI287" s="184"/>
      <c r="AR287" s="186"/>
      <c r="AS287" s="187"/>
      <c r="AT287" s="187"/>
      <c r="AU287" s="187"/>
      <c r="AV287" s="246"/>
      <c r="BB287" s="377"/>
      <c r="BC287" s="377"/>
      <c r="BD287" s="377"/>
    </row>
    <row r="288" spans="1:56" s="163" customFormat="1" ht="16.5" customHeight="1">
      <c r="A288" s="247"/>
      <c r="B288" s="244"/>
      <c r="C288" s="245"/>
      <c r="D288" s="245"/>
      <c r="E288" s="183"/>
      <c r="F288" s="183"/>
      <c r="G288" s="183"/>
      <c r="H288" s="184"/>
      <c r="I288" s="184"/>
      <c r="J288" s="184"/>
      <c r="L288" s="184"/>
      <c r="M288" s="184"/>
      <c r="N288" s="184"/>
      <c r="O288" s="184"/>
      <c r="R288" s="185"/>
      <c r="T288" s="184"/>
      <c r="U288" s="184"/>
      <c r="V288" s="184"/>
      <c r="X288" s="184"/>
      <c r="Y288" s="184"/>
      <c r="Z288" s="184"/>
      <c r="AA288" s="184"/>
      <c r="AC288" s="184"/>
      <c r="AD288" s="184"/>
      <c r="AE288" s="184"/>
      <c r="AF288" s="184"/>
      <c r="AG288" s="184"/>
      <c r="AH288" s="184"/>
      <c r="AI288" s="184"/>
      <c r="AR288" s="186"/>
      <c r="AS288" s="187"/>
      <c r="AT288" s="187"/>
      <c r="AU288" s="187"/>
      <c r="AV288" s="246"/>
      <c r="BB288" s="377"/>
      <c r="BC288" s="377"/>
      <c r="BD288" s="377"/>
    </row>
    <row r="289" spans="1:56" s="163" customFormat="1" ht="16.5" customHeight="1">
      <c r="A289" s="247"/>
      <c r="B289" s="244"/>
      <c r="C289" s="245"/>
      <c r="D289" s="245"/>
      <c r="E289" s="183"/>
      <c r="F289" s="183"/>
      <c r="G289" s="183"/>
      <c r="H289" s="184"/>
      <c r="I289" s="184"/>
      <c r="J289" s="184"/>
      <c r="L289" s="184"/>
      <c r="M289" s="184"/>
      <c r="N289" s="184"/>
      <c r="O289" s="184"/>
      <c r="R289" s="185"/>
      <c r="T289" s="184"/>
      <c r="U289" s="184"/>
      <c r="V289" s="184"/>
      <c r="X289" s="184"/>
      <c r="Y289" s="184"/>
      <c r="Z289" s="184"/>
      <c r="AA289" s="184"/>
      <c r="AC289" s="184"/>
      <c r="AD289" s="184"/>
      <c r="AE289" s="184"/>
      <c r="AF289" s="184"/>
      <c r="AG289" s="184"/>
      <c r="AH289" s="184"/>
      <c r="AI289" s="184"/>
      <c r="AR289" s="186"/>
      <c r="AS289" s="187"/>
      <c r="AT289" s="187"/>
      <c r="AU289" s="187"/>
      <c r="AV289" s="246"/>
      <c r="BB289" s="377"/>
      <c r="BC289" s="377"/>
      <c r="BD289" s="377"/>
    </row>
    <row r="290" spans="1:56" s="163" customFormat="1" ht="16.5" customHeight="1">
      <c r="A290" s="247"/>
      <c r="B290" s="244"/>
      <c r="C290" s="245"/>
      <c r="D290" s="245"/>
      <c r="E290" s="183"/>
      <c r="F290" s="183"/>
      <c r="G290" s="183"/>
      <c r="H290" s="184"/>
      <c r="I290" s="184"/>
      <c r="J290" s="184"/>
      <c r="L290" s="184"/>
      <c r="M290" s="184"/>
      <c r="N290" s="184"/>
      <c r="O290" s="184"/>
      <c r="R290" s="185"/>
      <c r="T290" s="184"/>
      <c r="U290" s="184"/>
      <c r="V290" s="184"/>
      <c r="X290" s="184"/>
      <c r="Y290" s="184"/>
      <c r="Z290" s="184"/>
      <c r="AA290" s="184"/>
      <c r="AC290" s="184"/>
      <c r="AD290" s="184"/>
      <c r="AE290" s="184"/>
      <c r="AF290" s="184"/>
      <c r="AG290" s="184"/>
      <c r="AH290" s="184"/>
      <c r="AI290" s="184"/>
      <c r="AR290" s="186"/>
      <c r="AS290" s="187"/>
      <c r="AT290" s="187"/>
      <c r="AU290" s="187"/>
      <c r="AV290" s="246"/>
      <c r="BB290" s="377"/>
      <c r="BC290" s="377"/>
      <c r="BD290" s="377"/>
    </row>
    <row r="291" spans="1:56" s="163" customFormat="1" ht="16.5" customHeight="1">
      <c r="A291" s="247"/>
      <c r="B291" s="244"/>
      <c r="C291" s="245"/>
      <c r="D291" s="245"/>
      <c r="E291" s="183"/>
      <c r="F291" s="183"/>
      <c r="G291" s="183"/>
      <c r="H291" s="184"/>
      <c r="I291" s="184"/>
      <c r="J291" s="184"/>
      <c r="L291" s="184"/>
      <c r="M291" s="184"/>
      <c r="N291" s="184"/>
      <c r="O291" s="184"/>
      <c r="R291" s="185"/>
      <c r="T291" s="184"/>
      <c r="U291" s="184"/>
      <c r="V291" s="184"/>
      <c r="X291" s="184"/>
      <c r="Y291" s="184"/>
      <c r="Z291" s="184"/>
      <c r="AA291" s="184"/>
      <c r="AC291" s="184"/>
      <c r="AD291" s="184"/>
      <c r="AE291" s="184"/>
      <c r="AF291" s="184"/>
      <c r="AG291" s="184"/>
      <c r="AH291" s="184"/>
      <c r="AI291" s="184"/>
      <c r="AR291" s="186"/>
      <c r="AS291" s="187"/>
      <c r="AT291" s="187"/>
      <c r="AU291" s="187"/>
      <c r="AV291" s="246"/>
      <c r="BB291" s="377"/>
      <c r="BC291" s="377"/>
      <c r="BD291" s="377"/>
    </row>
    <row r="292" spans="1:56" s="163" customFormat="1" ht="16.5" customHeight="1">
      <c r="A292" s="247"/>
      <c r="B292" s="244"/>
      <c r="C292" s="245"/>
      <c r="D292" s="245"/>
      <c r="E292" s="183"/>
      <c r="F292" s="183"/>
      <c r="G292" s="183"/>
      <c r="H292" s="184"/>
      <c r="I292" s="184"/>
      <c r="J292" s="184"/>
      <c r="L292" s="184"/>
      <c r="M292" s="184"/>
      <c r="N292" s="184"/>
      <c r="O292" s="184"/>
      <c r="R292" s="185"/>
      <c r="T292" s="184"/>
      <c r="U292" s="184"/>
      <c r="V292" s="184"/>
      <c r="X292" s="184"/>
      <c r="Y292" s="184"/>
      <c r="Z292" s="184"/>
      <c r="AA292" s="184"/>
      <c r="AC292" s="184"/>
      <c r="AD292" s="184"/>
      <c r="AE292" s="184"/>
      <c r="AF292" s="184"/>
      <c r="AG292" s="184"/>
      <c r="AH292" s="184"/>
      <c r="AI292" s="184"/>
      <c r="AR292" s="186"/>
      <c r="AS292" s="187"/>
      <c r="AT292" s="187"/>
      <c r="AU292" s="187"/>
      <c r="AV292" s="246"/>
      <c r="BB292" s="377"/>
      <c r="BC292" s="377"/>
      <c r="BD292" s="377"/>
    </row>
    <row r="293" spans="1:56" s="163" customFormat="1" ht="16.5" customHeight="1">
      <c r="A293" s="247"/>
      <c r="B293" s="244"/>
      <c r="C293" s="245"/>
      <c r="D293" s="245"/>
      <c r="E293" s="183"/>
      <c r="F293" s="183"/>
      <c r="G293" s="183"/>
      <c r="H293" s="184"/>
      <c r="I293" s="184"/>
      <c r="J293" s="184"/>
      <c r="L293" s="184"/>
      <c r="M293" s="184"/>
      <c r="N293" s="184"/>
      <c r="O293" s="184"/>
      <c r="R293" s="185"/>
      <c r="T293" s="184"/>
      <c r="U293" s="184"/>
      <c r="V293" s="184"/>
      <c r="X293" s="184"/>
      <c r="Y293" s="184"/>
      <c r="Z293" s="184"/>
      <c r="AA293" s="184"/>
      <c r="AC293" s="184"/>
      <c r="AD293" s="184"/>
      <c r="AE293" s="184"/>
      <c r="AF293" s="184"/>
      <c r="AG293" s="184"/>
      <c r="AH293" s="184"/>
      <c r="AI293" s="184"/>
      <c r="AR293" s="186"/>
      <c r="AS293" s="187"/>
      <c r="AT293" s="187"/>
      <c r="AU293" s="187"/>
      <c r="AV293" s="246"/>
      <c r="BB293" s="377"/>
      <c r="BC293" s="377"/>
      <c r="BD293" s="377"/>
    </row>
    <row r="294" spans="1:56" s="163" customFormat="1" ht="16.5" customHeight="1">
      <c r="A294" s="247"/>
      <c r="B294" s="244"/>
      <c r="C294" s="245"/>
      <c r="D294" s="245"/>
      <c r="E294" s="183"/>
      <c r="F294" s="183"/>
      <c r="G294" s="183"/>
      <c r="H294" s="184"/>
      <c r="I294" s="184"/>
      <c r="J294" s="184"/>
      <c r="L294" s="184"/>
      <c r="M294" s="184"/>
      <c r="N294" s="184"/>
      <c r="O294" s="184"/>
      <c r="R294" s="185"/>
      <c r="T294" s="184"/>
      <c r="U294" s="184"/>
      <c r="V294" s="184"/>
      <c r="X294" s="184"/>
      <c r="Y294" s="184"/>
      <c r="Z294" s="184"/>
      <c r="AA294" s="184"/>
      <c r="AC294" s="184"/>
      <c r="AD294" s="184"/>
      <c r="AE294" s="184"/>
      <c r="AF294" s="184"/>
      <c r="AG294" s="184"/>
      <c r="AH294" s="184"/>
      <c r="AI294" s="184"/>
      <c r="AR294" s="186"/>
      <c r="AS294" s="187"/>
      <c r="AT294" s="187"/>
      <c r="AU294" s="187"/>
      <c r="AV294" s="246"/>
      <c r="BB294" s="377"/>
      <c r="BC294" s="377"/>
      <c r="BD294" s="377"/>
    </row>
    <row r="295" spans="1:56" s="163" customFormat="1" ht="16.5" customHeight="1">
      <c r="A295" s="247"/>
      <c r="B295" s="244"/>
      <c r="C295" s="245"/>
      <c r="D295" s="245"/>
      <c r="E295" s="183"/>
      <c r="F295" s="183"/>
      <c r="G295" s="183"/>
      <c r="H295" s="184"/>
      <c r="I295" s="184"/>
      <c r="J295" s="184"/>
      <c r="L295" s="184"/>
      <c r="M295" s="184"/>
      <c r="N295" s="184"/>
      <c r="O295" s="184"/>
      <c r="R295" s="185"/>
      <c r="T295" s="184"/>
      <c r="U295" s="184"/>
      <c r="V295" s="184"/>
      <c r="X295" s="184"/>
      <c r="Y295" s="184"/>
      <c r="Z295" s="184"/>
      <c r="AA295" s="184"/>
      <c r="AC295" s="184"/>
      <c r="AD295" s="184"/>
      <c r="AE295" s="184"/>
      <c r="AF295" s="184"/>
      <c r="AG295" s="184"/>
      <c r="AH295" s="184"/>
      <c r="AI295" s="184"/>
      <c r="AR295" s="186"/>
      <c r="AS295" s="187"/>
      <c r="AT295" s="187"/>
      <c r="AU295" s="187"/>
      <c r="AV295" s="246"/>
      <c r="BB295" s="377"/>
      <c r="BC295" s="377"/>
      <c r="BD295" s="377"/>
    </row>
    <row r="296" spans="1:56" s="163" customFormat="1" ht="16.5" customHeight="1">
      <c r="A296" s="247"/>
      <c r="B296" s="244"/>
      <c r="C296" s="245"/>
      <c r="D296" s="245"/>
      <c r="E296" s="183"/>
      <c r="F296" s="183"/>
      <c r="G296" s="183"/>
      <c r="H296" s="184"/>
      <c r="I296" s="184"/>
      <c r="J296" s="184"/>
      <c r="L296" s="184"/>
      <c r="M296" s="184"/>
      <c r="N296" s="184"/>
      <c r="O296" s="184"/>
      <c r="R296" s="185"/>
      <c r="T296" s="184"/>
      <c r="U296" s="184"/>
      <c r="V296" s="184"/>
      <c r="X296" s="184"/>
      <c r="Y296" s="184"/>
      <c r="Z296" s="184"/>
      <c r="AA296" s="184"/>
      <c r="AC296" s="184"/>
      <c r="AD296" s="184"/>
      <c r="AE296" s="184"/>
      <c r="AF296" s="184"/>
      <c r="AG296" s="184"/>
      <c r="AH296" s="184"/>
      <c r="AI296" s="184"/>
      <c r="AR296" s="186"/>
      <c r="AS296" s="187"/>
      <c r="AT296" s="187"/>
      <c r="AU296" s="187"/>
      <c r="AV296" s="246"/>
      <c r="BB296" s="377"/>
      <c r="BC296" s="377"/>
      <c r="BD296" s="377"/>
    </row>
    <row r="297" spans="1:56" s="163" customFormat="1" ht="16.5" customHeight="1">
      <c r="A297" s="247"/>
      <c r="B297" s="244"/>
      <c r="C297" s="245"/>
      <c r="D297" s="245"/>
      <c r="E297" s="183"/>
      <c r="F297" s="183"/>
      <c r="G297" s="183"/>
      <c r="H297" s="184"/>
      <c r="I297" s="184"/>
      <c r="J297" s="184"/>
      <c r="L297" s="184"/>
      <c r="M297" s="184"/>
      <c r="N297" s="184"/>
      <c r="O297" s="184"/>
      <c r="R297" s="185"/>
      <c r="T297" s="184"/>
      <c r="U297" s="184"/>
      <c r="V297" s="184"/>
      <c r="X297" s="184"/>
      <c r="Y297" s="184"/>
      <c r="Z297" s="184"/>
      <c r="AA297" s="184"/>
      <c r="AC297" s="184"/>
      <c r="AD297" s="184"/>
      <c r="AE297" s="184"/>
      <c r="AF297" s="184"/>
      <c r="AG297" s="184"/>
      <c r="AH297" s="184"/>
      <c r="AI297" s="184"/>
      <c r="AR297" s="186"/>
      <c r="AS297" s="187"/>
      <c r="AT297" s="187"/>
      <c r="AU297" s="187"/>
      <c r="AV297" s="246"/>
      <c r="BB297" s="377"/>
      <c r="BC297" s="377"/>
      <c r="BD297" s="377"/>
    </row>
    <row r="298" spans="1:56" s="163" customFormat="1" ht="16.5" customHeight="1">
      <c r="A298" s="247"/>
      <c r="B298" s="244"/>
      <c r="C298" s="245"/>
      <c r="D298" s="245"/>
      <c r="E298" s="183"/>
      <c r="F298" s="183"/>
      <c r="G298" s="183"/>
      <c r="H298" s="184"/>
      <c r="I298" s="184"/>
      <c r="J298" s="184"/>
      <c r="L298" s="184"/>
      <c r="M298" s="184"/>
      <c r="N298" s="184"/>
      <c r="O298" s="184"/>
      <c r="R298" s="185"/>
      <c r="T298" s="184"/>
      <c r="U298" s="184"/>
      <c r="V298" s="184"/>
      <c r="X298" s="184"/>
      <c r="Y298" s="184"/>
      <c r="Z298" s="184"/>
      <c r="AA298" s="184"/>
      <c r="AC298" s="184"/>
      <c r="AD298" s="184"/>
      <c r="AE298" s="184"/>
      <c r="AF298" s="184"/>
      <c r="AG298" s="184"/>
      <c r="AH298" s="184"/>
      <c r="AI298" s="184"/>
      <c r="AR298" s="186"/>
      <c r="AS298" s="187"/>
      <c r="AT298" s="187"/>
      <c r="AU298" s="187"/>
      <c r="AV298" s="246"/>
      <c r="BB298" s="377"/>
      <c r="BC298" s="377"/>
      <c r="BD298" s="377"/>
    </row>
    <row r="299" spans="1:56" s="163" customFormat="1" ht="16.5" customHeight="1">
      <c r="A299" s="247"/>
      <c r="B299" s="244"/>
      <c r="C299" s="245"/>
      <c r="D299" s="245"/>
      <c r="E299" s="183"/>
      <c r="F299" s="183"/>
      <c r="G299" s="183"/>
      <c r="H299" s="184"/>
      <c r="I299" s="184"/>
      <c r="J299" s="184"/>
      <c r="L299" s="184"/>
      <c r="M299" s="184"/>
      <c r="N299" s="184"/>
      <c r="O299" s="184"/>
      <c r="R299" s="185"/>
      <c r="T299" s="184"/>
      <c r="U299" s="184"/>
      <c r="V299" s="184"/>
      <c r="X299" s="184"/>
      <c r="Y299" s="184"/>
      <c r="Z299" s="184"/>
      <c r="AA299" s="184"/>
      <c r="AC299" s="184"/>
      <c r="AD299" s="184"/>
      <c r="AE299" s="184"/>
      <c r="AF299" s="184"/>
      <c r="AG299" s="184"/>
      <c r="AH299" s="184"/>
      <c r="AI299" s="184"/>
      <c r="AR299" s="186"/>
      <c r="AS299" s="187"/>
      <c r="AT299" s="187"/>
      <c r="AU299" s="187"/>
      <c r="AV299" s="246"/>
      <c r="BB299" s="377"/>
      <c r="BC299" s="377"/>
      <c r="BD299" s="377"/>
    </row>
    <row r="300" spans="1:56" s="163" customFormat="1" ht="16.5" customHeight="1">
      <c r="A300" s="247"/>
      <c r="B300" s="244"/>
      <c r="C300" s="245"/>
      <c r="D300" s="245"/>
      <c r="E300" s="183"/>
      <c r="F300" s="183"/>
      <c r="G300" s="183"/>
      <c r="H300" s="184"/>
      <c r="I300" s="184"/>
      <c r="J300" s="184"/>
      <c r="L300" s="184"/>
      <c r="M300" s="184"/>
      <c r="N300" s="184"/>
      <c r="O300" s="184"/>
      <c r="R300" s="185"/>
      <c r="T300" s="184"/>
      <c r="U300" s="184"/>
      <c r="V300" s="184"/>
      <c r="X300" s="184"/>
      <c r="Y300" s="184"/>
      <c r="Z300" s="184"/>
      <c r="AA300" s="184"/>
      <c r="AC300" s="184"/>
      <c r="AD300" s="184"/>
      <c r="AE300" s="184"/>
      <c r="AF300" s="184"/>
      <c r="AG300" s="184"/>
      <c r="AH300" s="184"/>
      <c r="AI300" s="184"/>
      <c r="AR300" s="186"/>
      <c r="AS300" s="187"/>
      <c r="AT300" s="187"/>
      <c r="AU300" s="187"/>
      <c r="AV300" s="246"/>
      <c r="BB300" s="377"/>
      <c r="BC300" s="377"/>
      <c r="BD300" s="377"/>
    </row>
    <row r="301" spans="1:56" s="163" customFormat="1" ht="16.5" customHeight="1">
      <c r="A301" s="247"/>
      <c r="B301" s="244"/>
      <c r="C301" s="245"/>
      <c r="D301" s="245"/>
      <c r="E301" s="183"/>
      <c r="F301" s="183"/>
      <c r="G301" s="183"/>
      <c r="H301" s="184"/>
      <c r="I301" s="184"/>
      <c r="J301" s="184"/>
      <c r="L301" s="184"/>
      <c r="M301" s="184"/>
      <c r="N301" s="184"/>
      <c r="O301" s="184"/>
      <c r="R301" s="185"/>
      <c r="T301" s="184"/>
      <c r="U301" s="184"/>
      <c r="V301" s="184"/>
      <c r="X301" s="184"/>
      <c r="Y301" s="184"/>
      <c r="Z301" s="184"/>
      <c r="AA301" s="184"/>
      <c r="AC301" s="184"/>
      <c r="AD301" s="184"/>
      <c r="AE301" s="184"/>
      <c r="AF301" s="184"/>
      <c r="AG301" s="184"/>
      <c r="AH301" s="184"/>
      <c r="AI301" s="184"/>
      <c r="AR301" s="186"/>
      <c r="AS301" s="187"/>
      <c r="AT301" s="187"/>
      <c r="AU301" s="187"/>
      <c r="AV301" s="246"/>
      <c r="BB301" s="377"/>
      <c r="BC301" s="377"/>
      <c r="BD301" s="377"/>
    </row>
    <row r="302" spans="1:56" s="163" customFormat="1" ht="16.5" customHeight="1">
      <c r="A302" s="247"/>
      <c r="B302" s="244"/>
      <c r="C302" s="245"/>
      <c r="D302" s="245"/>
      <c r="E302" s="183"/>
      <c r="F302" s="183"/>
      <c r="G302" s="183"/>
      <c r="H302" s="184"/>
      <c r="I302" s="184"/>
      <c r="J302" s="184"/>
      <c r="L302" s="184"/>
      <c r="M302" s="184"/>
      <c r="N302" s="184"/>
      <c r="O302" s="184"/>
      <c r="R302" s="185"/>
      <c r="T302" s="184"/>
      <c r="U302" s="184"/>
      <c r="V302" s="184"/>
      <c r="X302" s="184"/>
      <c r="Y302" s="184"/>
      <c r="Z302" s="184"/>
      <c r="AA302" s="184"/>
      <c r="AC302" s="184"/>
      <c r="AD302" s="184"/>
      <c r="AE302" s="184"/>
      <c r="AF302" s="184"/>
      <c r="AG302" s="184"/>
      <c r="AH302" s="184"/>
      <c r="AI302" s="184"/>
      <c r="AR302" s="186"/>
      <c r="AS302" s="187"/>
      <c r="AT302" s="187"/>
      <c r="AU302" s="187"/>
      <c r="AV302" s="246"/>
      <c r="BB302" s="377"/>
      <c r="BC302" s="377"/>
      <c r="BD302" s="377"/>
    </row>
    <row r="303" spans="1:56" s="163" customFormat="1" ht="16.5" customHeight="1">
      <c r="A303" s="247"/>
      <c r="B303" s="244"/>
      <c r="C303" s="245"/>
      <c r="D303" s="245"/>
      <c r="E303" s="183"/>
      <c r="F303" s="183"/>
      <c r="G303" s="183"/>
      <c r="H303" s="184"/>
      <c r="I303" s="184"/>
      <c r="J303" s="184"/>
      <c r="L303" s="184"/>
      <c r="M303" s="184"/>
      <c r="N303" s="184"/>
      <c r="O303" s="184"/>
      <c r="R303" s="185"/>
      <c r="T303" s="184"/>
      <c r="U303" s="184"/>
      <c r="V303" s="184"/>
      <c r="X303" s="184"/>
      <c r="Y303" s="184"/>
      <c r="Z303" s="184"/>
      <c r="AA303" s="184"/>
      <c r="AC303" s="184"/>
      <c r="AD303" s="184"/>
      <c r="AE303" s="184"/>
      <c r="AF303" s="184"/>
      <c r="AG303" s="184"/>
      <c r="AH303" s="184"/>
      <c r="AI303" s="184"/>
      <c r="AR303" s="186"/>
      <c r="AS303" s="187"/>
      <c r="AT303" s="187"/>
      <c r="AU303" s="187"/>
      <c r="AV303" s="246"/>
      <c r="BB303" s="377"/>
      <c r="BC303" s="377"/>
      <c r="BD303" s="377"/>
    </row>
    <row r="304" spans="1:56" s="163" customFormat="1" ht="16.5" customHeight="1">
      <c r="A304" s="247"/>
      <c r="B304" s="244"/>
      <c r="C304" s="245"/>
      <c r="D304" s="245"/>
      <c r="E304" s="183"/>
      <c r="F304" s="183"/>
      <c r="G304" s="183"/>
      <c r="H304" s="184"/>
      <c r="I304" s="184"/>
      <c r="J304" s="184"/>
      <c r="L304" s="184"/>
      <c r="M304" s="184"/>
      <c r="N304" s="184"/>
      <c r="O304" s="184"/>
      <c r="R304" s="185"/>
      <c r="T304" s="184"/>
      <c r="U304" s="184"/>
      <c r="V304" s="184"/>
      <c r="X304" s="184"/>
      <c r="Y304" s="184"/>
      <c r="Z304" s="184"/>
      <c r="AA304" s="184"/>
      <c r="AC304" s="184"/>
      <c r="AD304" s="184"/>
      <c r="AE304" s="184"/>
      <c r="AF304" s="184"/>
      <c r="AG304" s="184"/>
      <c r="AH304" s="184"/>
      <c r="AI304" s="184"/>
      <c r="AR304" s="186"/>
      <c r="AS304" s="187"/>
      <c r="AT304" s="187"/>
      <c r="AU304" s="187"/>
      <c r="AV304" s="246"/>
      <c r="BB304" s="377"/>
      <c r="BC304" s="377"/>
      <c r="BD304" s="377"/>
    </row>
    <row r="305" spans="1:56" s="163" customFormat="1" ht="16.5" customHeight="1">
      <c r="A305" s="247"/>
      <c r="B305" s="244"/>
      <c r="C305" s="245"/>
      <c r="D305" s="245"/>
      <c r="E305" s="183"/>
      <c r="F305" s="183"/>
      <c r="G305" s="183"/>
      <c r="H305" s="184"/>
      <c r="I305" s="184"/>
      <c r="J305" s="184"/>
      <c r="L305" s="184"/>
      <c r="M305" s="184"/>
      <c r="N305" s="184"/>
      <c r="O305" s="184"/>
      <c r="R305" s="185"/>
      <c r="T305" s="184"/>
      <c r="U305" s="184"/>
      <c r="V305" s="184"/>
      <c r="X305" s="184"/>
      <c r="Y305" s="184"/>
      <c r="Z305" s="184"/>
      <c r="AA305" s="184"/>
      <c r="AC305" s="184"/>
      <c r="AD305" s="184"/>
      <c r="AE305" s="184"/>
      <c r="AF305" s="184"/>
      <c r="AG305" s="184"/>
      <c r="AH305" s="184"/>
      <c r="AI305" s="184"/>
      <c r="AR305" s="186"/>
      <c r="AS305" s="187"/>
      <c r="AT305" s="187"/>
      <c r="AU305" s="187"/>
      <c r="AV305" s="246"/>
      <c r="BB305" s="377"/>
      <c r="BC305" s="377"/>
      <c r="BD305" s="377"/>
    </row>
    <row r="306" spans="1:56" s="163" customFormat="1" ht="16.5" customHeight="1">
      <c r="A306" s="247"/>
      <c r="B306" s="244"/>
      <c r="C306" s="245"/>
      <c r="D306" s="245"/>
      <c r="E306" s="183"/>
      <c r="F306" s="183"/>
      <c r="G306" s="183"/>
      <c r="H306" s="184"/>
      <c r="I306" s="184"/>
      <c r="J306" s="184"/>
      <c r="L306" s="184"/>
      <c r="M306" s="184"/>
      <c r="N306" s="184"/>
      <c r="O306" s="184"/>
      <c r="R306" s="185"/>
      <c r="T306" s="184"/>
      <c r="U306" s="184"/>
      <c r="V306" s="184"/>
      <c r="X306" s="184"/>
      <c r="Y306" s="184"/>
      <c r="Z306" s="184"/>
      <c r="AA306" s="184"/>
      <c r="AC306" s="184"/>
      <c r="AD306" s="184"/>
      <c r="AE306" s="184"/>
      <c r="AF306" s="184"/>
      <c r="AG306" s="184"/>
      <c r="AH306" s="184"/>
      <c r="AI306" s="184"/>
      <c r="AR306" s="186"/>
      <c r="AS306" s="187"/>
      <c r="AT306" s="187"/>
      <c r="AU306" s="187"/>
      <c r="AV306" s="246"/>
      <c r="BB306" s="377"/>
      <c r="BC306" s="377"/>
      <c r="BD306" s="377"/>
    </row>
    <row r="307" spans="1:56" s="163" customFormat="1" ht="16.5" customHeight="1">
      <c r="A307" s="247"/>
      <c r="B307" s="244"/>
      <c r="C307" s="245"/>
      <c r="D307" s="245"/>
      <c r="E307" s="183"/>
      <c r="F307" s="183"/>
      <c r="G307" s="183"/>
      <c r="H307" s="184"/>
      <c r="I307" s="184"/>
      <c r="J307" s="184"/>
      <c r="L307" s="184"/>
      <c r="M307" s="184"/>
      <c r="N307" s="184"/>
      <c r="O307" s="184"/>
      <c r="R307" s="185"/>
      <c r="T307" s="184"/>
      <c r="U307" s="184"/>
      <c r="V307" s="184"/>
      <c r="X307" s="184"/>
      <c r="Y307" s="184"/>
      <c r="Z307" s="184"/>
      <c r="AA307" s="184"/>
      <c r="AC307" s="184"/>
      <c r="AD307" s="184"/>
      <c r="AE307" s="184"/>
      <c r="AF307" s="184"/>
      <c r="AG307" s="184"/>
      <c r="AH307" s="184"/>
      <c r="AI307" s="184"/>
      <c r="AR307" s="186"/>
      <c r="AS307" s="187"/>
      <c r="AT307" s="187"/>
      <c r="AU307" s="187"/>
      <c r="AV307" s="246"/>
      <c r="BB307" s="377"/>
      <c r="BC307" s="377"/>
      <c r="BD307" s="377"/>
    </row>
    <row r="308" spans="1:56" s="163" customFormat="1" ht="16.5" customHeight="1">
      <c r="A308" s="247"/>
      <c r="B308" s="244"/>
      <c r="C308" s="245"/>
      <c r="D308" s="245"/>
      <c r="E308" s="183"/>
      <c r="F308" s="183"/>
      <c r="G308" s="183"/>
      <c r="H308" s="184"/>
      <c r="I308" s="184"/>
      <c r="J308" s="184"/>
      <c r="L308" s="184"/>
      <c r="M308" s="184"/>
      <c r="N308" s="184"/>
      <c r="O308" s="184"/>
      <c r="R308" s="185"/>
      <c r="T308" s="184"/>
      <c r="U308" s="184"/>
      <c r="V308" s="184"/>
      <c r="X308" s="184"/>
      <c r="Y308" s="184"/>
      <c r="Z308" s="184"/>
      <c r="AA308" s="184"/>
      <c r="AC308" s="184"/>
      <c r="AD308" s="184"/>
      <c r="AE308" s="184"/>
      <c r="AF308" s="184"/>
      <c r="AG308" s="184"/>
      <c r="AH308" s="184"/>
      <c r="AI308" s="184"/>
      <c r="AR308" s="186"/>
      <c r="AS308" s="187"/>
      <c r="AT308" s="187"/>
      <c r="AU308" s="187"/>
      <c r="AV308" s="246"/>
      <c r="BB308" s="377"/>
      <c r="BC308" s="377"/>
      <c r="BD308" s="377"/>
    </row>
    <row r="309" spans="1:56" s="163" customFormat="1" ht="16.5" customHeight="1">
      <c r="A309" s="247"/>
      <c r="B309" s="244"/>
      <c r="C309" s="245"/>
      <c r="D309" s="245"/>
      <c r="E309" s="183"/>
      <c r="F309" s="183"/>
      <c r="G309" s="183"/>
      <c r="H309" s="184"/>
      <c r="I309" s="184"/>
      <c r="J309" s="184"/>
      <c r="L309" s="184"/>
      <c r="M309" s="184"/>
      <c r="N309" s="184"/>
      <c r="O309" s="184"/>
      <c r="R309" s="185"/>
      <c r="T309" s="184"/>
      <c r="U309" s="184"/>
      <c r="V309" s="184"/>
      <c r="X309" s="184"/>
      <c r="Y309" s="184"/>
      <c r="Z309" s="184"/>
      <c r="AA309" s="184"/>
      <c r="AC309" s="184"/>
      <c r="AD309" s="184"/>
      <c r="AE309" s="184"/>
      <c r="AF309" s="184"/>
      <c r="AG309" s="184"/>
      <c r="AH309" s="184"/>
      <c r="AI309" s="184"/>
      <c r="AR309" s="186"/>
      <c r="AS309" s="187"/>
      <c r="AT309" s="187"/>
      <c r="AU309" s="187"/>
      <c r="AV309" s="246"/>
      <c r="BB309" s="377"/>
      <c r="BC309" s="377"/>
      <c r="BD309" s="377"/>
    </row>
    <row r="310" spans="1:56" s="163" customFormat="1" ht="16.5" customHeight="1">
      <c r="A310" s="247"/>
      <c r="B310" s="244"/>
      <c r="C310" s="245"/>
      <c r="D310" s="245"/>
      <c r="E310" s="183"/>
      <c r="F310" s="183"/>
      <c r="G310" s="183"/>
      <c r="H310" s="184"/>
      <c r="I310" s="184"/>
      <c r="J310" s="184"/>
      <c r="L310" s="184"/>
      <c r="M310" s="184"/>
      <c r="N310" s="184"/>
      <c r="O310" s="184"/>
      <c r="R310" s="185"/>
      <c r="T310" s="184"/>
      <c r="U310" s="184"/>
      <c r="V310" s="184"/>
      <c r="X310" s="184"/>
      <c r="Y310" s="184"/>
      <c r="Z310" s="184"/>
      <c r="AA310" s="184"/>
      <c r="AC310" s="184"/>
      <c r="AD310" s="184"/>
      <c r="AE310" s="184"/>
      <c r="AF310" s="184"/>
      <c r="AG310" s="184"/>
      <c r="AH310" s="184"/>
      <c r="AI310" s="184"/>
      <c r="AR310" s="186"/>
      <c r="AS310" s="187"/>
      <c r="AT310" s="187"/>
      <c r="AU310" s="187"/>
      <c r="AV310" s="246"/>
      <c r="BB310" s="377"/>
      <c r="BC310" s="377"/>
      <c r="BD310" s="377"/>
    </row>
    <row r="311" spans="1:56" s="163" customFormat="1" ht="16.5" customHeight="1">
      <c r="A311" s="247"/>
      <c r="B311" s="244"/>
      <c r="C311" s="245"/>
      <c r="D311" s="245"/>
      <c r="E311" s="183"/>
      <c r="F311" s="183"/>
      <c r="G311" s="183"/>
      <c r="H311" s="184"/>
      <c r="I311" s="184"/>
      <c r="J311" s="184"/>
      <c r="L311" s="184"/>
      <c r="M311" s="184"/>
      <c r="N311" s="184"/>
      <c r="O311" s="184"/>
      <c r="R311" s="185"/>
      <c r="T311" s="184"/>
      <c r="U311" s="184"/>
      <c r="V311" s="184"/>
      <c r="X311" s="184"/>
      <c r="Y311" s="184"/>
      <c r="Z311" s="184"/>
      <c r="AA311" s="184"/>
      <c r="AC311" s="184"/>
      <c r="AD311" s="184"/>
      <c r="AE311" s="184"/>
      <c r="AF311" s="184"/>
      <c r="AG311" s="184"/>
      <c r="AH311" s="184"/>
      <c r="AI311" s="184"/>
      <c r="AR311" s="186"/>
      <c r="AS311" s="187"/>
      <c r="AT311" s="187"/>
      <c r="AU311" s="187"/>
      <c r="AV311" s="246"/>
      <c r="BB311" s="377"/>
      <c r="BC311" s="377"/>
      <c r="BD311" s="377"/>
    </row>
    <row r="312" spans="1:56" s="163" customFormat="1" ht="16.5" customHeight="1">
      <c r="A312" s="247"/>
      <c r="B312" s="244"/>
      <c r="C312" s="245"/>
      <c r="D312" s="245"/>
      <c r="E312" s="183"/>
      <c r="F312" s="183"/>
      <c r="G312" s="183"/>
      <c r="H312" s="184"/>
      <c r="I312" s="184"/>
      <c r="J312" s="184"/>
      <c r="L312" s="184"/>
      <c r="M312" s="184"/>
      <c r="N312" s="184"/>
      <c r="O312" s="184"/>
      <c r="R312" s="185"/>
      <c r="T312" s="184"/>
      <c r="U312" s="184"/>
      <c r="V312" s="184"/>
      <c r="X312" s="184"/>
      <c r="Y312" s="184"/>
      <c r="Z312" s="184"/>
      <c r="AA312" s="184"/>
      <c r="AC312" s="184"/>
      <c r="AD312" s="184"/>
      <c r="AE312" s="184"/>
      <c r="AF312" s="184"/>
      <c r="AG312" s="184"/>
      <c r="AH312" s="184"/>
      <c r="AI312" s="184"/>
      <c r="AR312" s="186"/>
      <c r="AS312" s="187"/>
      <c r="AT312" s="187"/>
      <c r="AU312" s="187"/>
      <c r="AV312" s="246"/>
      <c r="BB312" s="377"/>
      <c r="BC312" s="377"/>
      <c r="BD312" s="377"/>
    </row>
    <row r="313" spans="1:56" s="163" customFormat="1" ht="16.5" customHeight="1">
      <c r="A313" s="247"/>
      <c r="B313" s="244"/>
      <c r="C313" s="245"/>
      <c r="D313" s="245"/>
      <c r="E313" s="183"/>
      <c r="F313" s="183"/>
      <c r="G313" s="183"/>
      <c r="H313" s="184"/>
      <c r="I313" s="184"/>
      <c r="J313" s="184"/>
      <c r="L313" s="184"/>
      <c r="M313" s="184"/>
      <c r="N313" s="184"/>
      <c r="O313" s="184"/>
      <c r="R313" s="185"/>
      <c r="T313" s="184"/>
      <c r="U313" s="184"/>
      <c r="V313" s="184"/>
      <c r="X313" s="184"/>
      <c r="Y313" s="184"/>
      <c r="Z313" s="184"/>
      <c r="AA313" s="184"/>
      <c r="AC313" s="184"/>
      <c r="AD313" s="184"/>
      <c r="AE313" s="184"/>
      <c r="AF313" s="184"/>
      <c r="AG313" s="184"/>
      <c r="AH313" s="184"/>
      <c r="AI313" s="184"/>
      <c r="AR313" s="186"/>
      <c r="AS313" s="187"/>
      <c r="AT313" s="187"/>
      <c r="AU313" s="187"/>
      <c r="AV313" s="246"/>
      <c r="BB313" s="377"/>
      <c r="BC313" s="377"/>
      <c r="BD313" s="377"/>
    </row>
    <row r="314" spans="1:56" s="163" customFormat="1" ht="16.5" customHeight="1">
      <c r="A314" s="247"/>
      <c r="B314" s="244"/>
      <c r="C314" s="245"/>
      <c r="D314" s="245"/>
      <c r="E314" s="183"/>
      <c r="F314" s="183"/>
      <c r="G314" s="183"/>
      <c r="H314" s="184"/>
      <c r="I314" s="184"/>
      <c r="J314" s="184"/>
      <c r="L314" s="184"/>
      <c r="M314" s="184"/>
      <c r="N314" s="184"/>
      <c r="O314" s="184"/>
      <c r="R314" s="185"/>
      <c r="T314" s="184"/>
      <c r="U314" s="184"/>
      <c r="V314" s="184"/>
      <c r="X314" s="184"/>
      <c r="Y314" s="184"/>
      <c r="Z314" s="184"/>
      <c r="AA314" s="184"/>
      <c r="AC314" s="184"/>
      <c r="AD314" s="184"/>
      <c r="AE314" s="184"/>
      <c r="AF314" s="184"/>
      <c r="AG314" s="184"/>
      <c r="AH314" s="184"/>
      <c r="AI314" s="184"/>
      <c r="AR314" s="186"/>
      <c r="AS314" s="187"/>
      <c r="AT314" s="187"/>
      <c r="AU314" s="187"/>
      <c r="AV314" s="246"/>
      <c r="BB314" s="377"/>
      <c r="BC314" s="377"/>
      <c r="BD314" s="377"/>
    </row>
    <row r="315" spans="1:56" s="163" customFormat="1" ht="16.5" customHeight="1">
      <c r="A315" s="247"/>
      <c r="B315" s="244"/>
      <c r="C315" s="245"/>
      <c r="D315" s="245"/>
      <c r="E315" s="183"/>
      <c r="F315" s="183"/>
      <c r="G315" s="183"/>
      <c r="H315" s="184"/>
      <c r="I315" s="184"/>
      <c r="J315" s="184"/>
      <c r="L315" s="184"/>
      <c r="M315" s="184"/>
      <c r="N315" s="184"/>
      <c r="O315" s="184"/>
      <c r="R315" s="185"/>
      <c r="T315" s="184"/>
      <c r="U315" s="184"/>
      <c r="V315" s="184"/>
      <c r="X315" s="184"/>
      <c r="Y315" s="184"/>
      <c r="Z315" s="184"/>
      <c r="AA315" s="184"/>
      <c r="AC315" s="184"/>
      <c r="AD315" s="184"/>
      <c r="AE315" s="184"/>
      <c r="AF315" s="184"/>
      <c r="AG315" s="184"/>
      <c r="AH315" s="184"/>
      <c r="AI315" s="184"/>
      <c r="AR315" s="186"/>
      <c r="AS315" s="187"/>
      <c r="AT315" s="187"/>
      <c r="AU315" s="187"/>
      <c r="AV315" s="246"/>
      <c r="BB315" s="377"/>
      <c r="BC315" s="377"/>
      <c r="BD315" s="377"/>
    </row>
    <row r="316" spans="1:56" s="163" customFormat="1" ht="16.5" customHeight="1">
      <c r="A316" s="247"/>
      <c r="B316" s="244"/>
      <c r="C316" s="245"/>
      <c r="D316" s="245"/>
      <c r="E316" s="183"/>
      <c r="F316" s="183"/>
      <c r="G316" s="183"/>
      <c r="H316" s="184"/>
      <c r="I316" s="184"/>
      <c r="J316" s="184"/>
      <c r="L316" s="184"/>
      <c r="M316" s="184"/>
      <c r="N316" s="184"/>
      <c r="O316" s="184"/>
      <c r="R316" s="185"/>
      <c r="T316" s="184"/>
      <c r="U316" s="184"/>
      <c r="V316" s="184"/>
      <c r="X316" s="184"/>
      <c r="Y316" s="184"/>
      <c r="Z316" s="184"/>
      <c r="AA316" s="184"/>
      <c r="AC316" s="184"/>
      <c r="AD316" s="184"/>
      <c r="AE316" s="184"/>
      <c r="AF316" s="184"/>
      <c r="AG316" s="184"/>
      <c r="AH316" s="184"/>
      <c r="AI316" s="184"/>
      <c r="AR316" s="186"/>
      <c r="AS316" s="187"/>
      <c r="AT316" s="187"/>
      <c r="AU316" s="187"/>
      <c r="AV316" s="246"/>
      <c r="BB316" s="377"/>
      <c r="BC316" s="377"/>
      <c r="BD316" s="377"/>
    </row>
    <row r="317" spans="1:56" s="163" customFormat="1" ht="16.5" customHeight="1">
      <c r="A317" s="247"/>
      <c r="B317" s="244"/>
      <c r="C317" s="245"/>
      <c r="D317" s="245"/>
      <c r="E317" s="183"/>
      <c r="F317" s="183"/>
      <c r="G317" s="183"/>
      <c r="H317" s="184"/>
      <c r="I317" s="184"/>
      <c r="J317" s="184"/>
      <c r="L317" s="184"/>
      <c r="M317" s="184"/>
      <c r="N317" s="184"/>
      <c r="O317" s="184"/>
      <c r="R317" s="185"/>
      <c r="T317" s="184"/>
      <c r="U317" s="184"/>
      <c r="V317" s="184"/>
      <c r="X317" s="184"/>
      <c r="Y317" s="184"/>
      <c r="Z317" s="184"/>
      <c r="AA317" s="184"/>
      <c r="AC317" s="184"/>
      <c r="AD317" s="184"/>
      <c r="AE317" s="184"/>
      <c r="AF317" s="184"/>
      <c r="AG317" s="184"/>
      <c r="AH317" s="184"/>
      <c r="AI317" s="184"/>
      <c r="AR317" s="186"/>
      <c r="AS317" s="187"/>
      <c r="AT317" s="187"/>
      <c r="AU317" s="187"/>
      <c r="AV317" s="246"/>
      <c r="BB317" s="377"/>
      <c r="BC317" s="377"/>
      <c r="BD317" s="377"/>
    </row>
    <row r="318" spans="1:56" s="163" customFormat="1" ht="16.5" customHeight="1">
      <c r="A318" s="247"/>
      <c r="B318" s="244"/>
      <c r="C318" s="245"/>
      <c r="D318" s="245"/>
      <c r="E318" s="183"/>
      <c r="F318" s="183"/>
      <c r="G318" s="183"/>
      <c r="H318" s="184"/>
      <c r="I318" s="184"/>
      <c r="J318" s="184"/>
      <c r="L318" s="184"/>
      <c r="M318" s="184"/>
      <c r="N318" s="184"/>
      <c r="O318" s="184"/>
      <c r="R318" s="185"/>
      <c r="T318" s="184"/>
      <c r="U318" s="184"/>
      <c r="V318" s="184"/>
      <c r="X318" s="184"/>
      <c r="Y318" s="184"/>
      <c r="Z318" s="184"/>
      <c r="AA318" s="184"/>
      <c r="AC318" s="184"/>
      <c r="AD318" s="184"/>
      <c r="AE318" s="184"/>
      <c r="AF318" s="184"/>
      <c r="AG318" s="184"/>
      <c r="AH318" s="184"/>
      <c r="AI318" s="184"/>
      <c r="AR318" s="186"/>
      <c r="AS318" s="187"/>
      <c r="AT318" s="187"/>
      <c r="AU318" s="187"/>
      <c r="AV318" s="246"/>
      <c r="BB318" s="377"/>
      <c r="BC318" s="377"/>
      <c r="BD318" s="377"/>
    </row>
    <row r="319" spans="1:56" s="163" customFormat="1" ht="16.5" customHeight="1">
      <c r="A319" s="247"/>
      <c r="B319" s="244"/>
      <c r="C319" s="245"/>
      <c r="D319" s="245"/>
      <c r="E319" s="183"/>
      <c r="F319" s="183"/>
      <c r="G319" s="183"/>
      <c r="H319" s="184"/>
      <c r="I319" s="184"/>
      <c r="J319" s="184"/>
      <c r="L319" s="184"/>
      <c r="M319" s="184"/>
      <c r="N319" s="184"/>
      <c r="O319" s="184"/>
      <c r="R319" s="185"/>
      <c r="T319" s="184"/>
      <c r="U319" s="184"/>
      <c r="V319" s="184"/>
      <c r="X319" s="184"/>
      <c r="Y319" s="184"/>
      <c r="Z319" s="184"/>
      <c r="AA319" s="184"/>
      <c r="AC319" s="184"/>
      <c r="AD319" s="184"/>
      <c r="AE319" s="184"/>
      <c r="AF319" s="184"/>
      <c r="AG319" s="184"/>
      <c r="AH319" s="184"/>
      <c r="AI319" s="184"/>
      <c r="AR319" s="186"/>
      <c r="AS319" s="187"/>
      <c r="AT319" s="187"/>
      <c r="AU319" s="187"/>
      <c r="AV319" s="246"/>
      <c r="BB319" s="377"/>
      <c r="BC319" s="377"/>
      <c r="BD319" s="377"/>
    </row>
    <row r="320" spans="1:56" s="163" customFormat="1" ht="16.5" customHeight="1">
      <c r="A320" s="247"/>
      <c r="B320" s="244"/>
      <c r="C320" s="245"/>
      <c r="D320" s="245"/>
      <c r="E320" s="183"/>
      <c r="F320" s="183"/>
      <c r="G320" s="183"/>
      <c r="H320" s="184"/>
      <c r="I320" s="184"/>
      <c r="J320" s="184"/>
      <c r="L320" s="184"/>
      <c r="M320" s="184"/>
      <c r="N320" s="184"/>
      <c r="O320" s="184"/>
      <c r="R320" s="185"/>
      <c r="T320" s="184"/>
      <c r="U320" s="184"/>
      <c r="V320" s="184"/>
      <c r="X320" s="184"/>
      <c r="Y320" s="184"/>
      <c r="Z320" s="184"/>
      <c r="AA320" s="184"/>
      <c r="AC320" s="184"/>
      <c r="AD320" s="184"/>
      <c r="AE320" s="184"/>
      <c r="AF320" s="184"/>
      <c r="AG320" s="184"/>
      <c r="AH320" s="184"/>
      <c r="AI320" s="184"/>
      <c r="AR320" s="186"/>
      <c r="AS320" s="187"/>
      <c r="AT320" s="187"/>
      <c r="AU320" s="187"/>
      <c r="AV320" s="246"/>
      <c r="BB320" s="377"/>
      <c r="BC320" s="377"/>
      <c r="BD320" s="377"/>
    </row>
    <row r="321" spans="1:56" s="163" customFormat="1" ht="16.5" customHeight="1">
      <c r="A321" s="247"/>
      <c r="B321" s="244"/>
      <c r="C321" s="245"/>
      <c r="D321" s="245"/>
      <c r="E321" s="183"/>
      <c r="F321" s="183"/>
      <c r="G321" s="183"/>
      <c r="H321" s="184"/>
      <c r="I321" s="184"/>
      <c r="J321" s="184"/>
      <c r="L321" s="184"/>
      <c r="M321" s="184"/>
      <c r="N321" s="184"/>
      <c r="O321" s="184"/>
      <c r="R321" s="185"/>
      <c r="T321" s="184"/>
      <c r="U321" s="184"/>
      <c r="V321" s="184"/>
      <c r="X321" s="184"/>
      <c r="Y321" s="184"/>
      <c r="Z321" s="184"/>
      <c r="AA321" s="184"/>
      <c r="AC321" s="184"/>
      <c r="AD321" s="184"/>
      <c r="AE321" s="184"/>
      <c r="AF321" s="184"/>
      <c r="AG321" s="184"/>
      <c r="AH321" s="184"/>
      <c r="AI321" s="184"/>
      <c r="AR321" s="186"/>
      <c r="AS321" s="187"/>
      <c r="AT321" s="187"/>
      <c r="AU321" s="187"/>
      <c r="AV321" s="246"/>
      <c r="BB321" s="377"/>
      <c r="BC321" s="377"/>
      <c r="BD321" s="377"/>
    </row>
    <row r="322" spans="1:56" s="163" customFormat="1" ht="16.5" customHeight="1">
      <c r="A322" s="247"/>
      <c r="B322" s="244"/>
      <c r="C322" s="245"/>
      <c r="D322" s="245"/>
      <c r="E322" s="183"/>
      <c r="F322" s="183"/>
      <c r="G322" s="183"/>
      <c r="H322" s="184"/>
      <c r="I322" s="184"/>
      <c r="J322" s="184"/>
      <c r="L322" s="184"/>
      <c r="M322" s="184"/>
      <c r="N322" s="184"/>
      <c r="O322" s="184"/>
      <c r="R322" s="185"/>
      <c r="T322" s="184"/>
      <c r="U322" s="184"/>
      <c r="V322" s="184"/>
      <c r="X322" s="184"/>
      <c r="Y322" s="184"/>
      <c r="Z322" s="184"/>
      <c r="AA322" s="184"/>
      <c r="AC322" s="184"/>
      <c r="AD322" s="184"/>
      <c r="AE322" s="184"/>
      <c r="AF322" s="184"/>
      <c r="AG322" s="184"/>
      <c r="AH322" s="184"/>
      <c r="AI322" s="184"/>
      <c r="AR322" s="186"/>
      <c r="AS322" s="187"/>
      <c r="AT322" s="187"/>
      <c r="AU322" s="187"/>
      <c r="AV322" s="246"/>
      <c r="BB322" s="377"/>
      <c r="BC322" s="377"/>
      <c r="BD322" s="377"/>
    </row>
    <row r="323" spans="1:56" s="163" customFormat="1" ht="16.5" customHeight="1">
      <c r="A323" s="247"/>
      <c r="B323" s="244"/>
      <c r="C323" s="245"/>
      <c r="D323" s="245"/>
      <c r="E323" s="183"/>
      <c r="F323" s="183"/>
      <c r="G323" s="183"/>
      <c r="H323" s="184"/>
      <c r="I323" s="184"/>
      <c r="J323" s="184"/>
      <c r="L323" s="184"/>
      <c r="M323" s="184"/>
      <c r="N323" s="184"/>
      <c r="O323" s="184"/>
      <c r="R323" s="185"/>
      <c r="T323" s="184"/>
      <c r="U323" s="184"/>
      <c r="V323" s="184"/>
      <c r="X323" s="184"/>
      <c r="Y323" s="184"/>
      <c r="Z323" s="184"/>
      <c r="AA323" s="184"/>
      <c r="AC323" s="184"/>
      <c r="AD323" s="184"/>
      <c r="AE323" s="184"/>
      <c r="AF323" s="184"/>
      <c r="AG323" s="184"/>
      <c r="AH323" s="184"/>
      <c r="AI323" s="184"/>
      <c r="AR323" s="186"/>
      <c r="AS323" s="187"/>
      <c r="AT323" s="187"/>
      <c r="AU323" s="187"/>
      <c r="AV323" s="246"/>
      <c r="BB323" s="377"/>
      <c r="BC323" s="377"/>
      <c r="BD323" s="377"/>
    </row>
    <row r="324" spans="1:56" s="163" customFormat="1" ht="16.5" customHeight="1">
      <c r="A324" s="247"/>
      <c r="B324" s="244"/>
      <c r="C324" s="245"/>
      <c r="D324" s="245"/>
      <c r="E324" s="183"/>
      <c r="F324" s="183"/>
      <c r="G324" s="183"/>
      <c r="H324" s="184"/>
      <c r="I324" s="184"/>
      <c r="J324" s="184"/>
      <c r="L324" s="184"/>
      <c r="M324" s="184"/>
      <c r="N324" s="184"/>
      <c r="O324" s="184"/>
      <c r="R324" s="185"/>
      <c r="T324" s="184"/>
      <c r="U324" s="184"/>
      <c r="V324" s="184"/>
      <c r="X324" s="184"/>
      <c r="Y324" s="184"/>
      <c r="Z324" s="184"/>
      <c r="AA324" s="184"/>
      <c r="AC324" s="184"/>
      <c r="AD324" s="184"/>
      <c r="AE324" s="184"/>
      <c r="AF324" s="184"/>
      <c r="AG324" s="184"/>
      <c r="AH324" s="184"/>
      <c r="AI324" s="184"/>
      <c r="AR324" s="186"/>
      <c r="AS324" s="187"/>
      <c r="AT324" s="187"/>
      <c r="AU324" s="187"/>
      <c r="AV324" s="246"/>
      <c r="BB324" s="377"/>
      <c r="BC324" s="377"/>
      <c r="BD324" s="377"/>
    </row>
    <row r="325" spans="1:56" s="163" customFormat="1" ht="16.5" customHeight="1">
      <c r="A325" s="247"/>
      <c r="B325" s="244"/>
      <c r="C325" s="245"/>
      <c r="D325" s="245"/>
      <c r="E325" s="183"/>
      <c r="F325" s="183"/>
      <c r="G325" s="183"/>
      <c r="H325" s="184"/>
      <c r="I325" s="184"/>
      <c r="J325" s="184"/>
      <c r="L325" s="184"/>
      <c r="M325" s="184"/>
      <c r="N325" s="184"/>
      <c r="O325" s="184"/>
      <c r="R325" s="185"/>
      <c r="T325" s="184"/>
      <c r="U325" s="184"/>
      <c r="V325" s="184"/>
      <c r="X325" s="184"/>
      <c r="Y325" s="184"/>
      <c r="Z325" s="184"/>
      <c r="AA325" s="184"/>
      <c r="AC325" s="184"/>
      <c r="AD325" s="184"/>
      <c r="AE325" s="184"/>
      <c r="AF325" s="184"/>
      <c r="AG325" s="184"/>
      <c r="AH325" s="184"/>
      <c r="AI325" s="184"/>
      <c r="AR325" s="186"/>
      <c r="AS325" s="187"/>
      <c r="AT325" s="187"/>
      <c r="AU325" s="187"/>
      <c r="AV325" s="246"/>
      <c r="BB325" s="377"/>
      <c r="BC325" s="377"/>
      <c r="BD325" s="377"/>
    </row>
    <row r="326" spans="1:56" s="163" customFormat="1" ht="16.5" customHeight="1">
      <c r="A326" s="247"/>
      <c r="B326" s="244"/>
      <c r="C326" s="245"/>
      <c r="D326" s="245"/>
      <c r="E326" s="183"/>
      <c r="F326" s="183"/>
      <c r="G326" s="183"/>
      <c r="H326" s="184"/>
      <c r="I326" s="184"/>
      <c r="J326" s="184"/>
      <c r="L326" s="184"/>
      <c r="M326" s="184"/>
      <c r="N326" s="184"/>
      <c r="O326" s="184"/>
      <c r="R326" s="185"/>
      <c r="T326" s="184"/>
      <c r="U326" s="184"/>
      <c r="V326" s="184"/>
      <c r="X326" s="184"/>
      <c r="Y326" s="184"/>
      <c r="Z326" s="184"/>
      <c r="AA326" s="184"/>
      <c r="AC326" s="184"/>
      <c r="AD326" s="184"/>
      <c r="AE326" s="184"/>
      <c r="AF326" s="184"/>
      <c r="AG326" s="184"/>
      <c r="AH326" s="184"/>
      <c r="AI326" s="184"/>
      <c r="AR326" s="186"/>
      <c r="AS326" s="187"/>
      <c r="AT326" s="187"/>
      <c r="AU326" s="187"/>
      <c r="AV326" s="246"/>
      <c r="BB326" s="377"/>
      <c r="BC326" s="377"/>
      <c r="BD326" s="377"/>
    </row>
    <row r="327" spans="1:56" s="163" customFormat="1" ht="16.5" customHeight="1">
      <c r="A327" s="247"/>
      <c r="B327" s="244"/>
      <c r="C327" s="245"/>
      <c r="D327" s="245"/>
      <c r="E327" s="183"/>
      <c r="F327" s="183"/>
      <c r="G327" s="183"/>
      <c r="H327" s="184"/>
      <c r="I327" s="184"/>
      <c r="J327" s="184"/>
      <c r="L327" s="184"/>
      <c r="M327" s="184"/>
      <c r="N327" s="184"/>
      <c r="O327" s="184"/>
      <c r="R327" s="185"/>
      <c r="T327" s="184"/>
      <c r="U327" s="184"/>
      <c r="V327" s="184"/>
      <c r="X327" s="184"/>
      <c r="Y327" s="184"/>
      <c r="Z327" s="184"/>
      <c r="AA327" s="184"/>
      <c r="AC327" s="184"/>
      <c r="AD327" s="184"/>
      <c r="AE327" s="184"/>
      <c r="AF327" s="184"/>
      <c r="AG327" s="184"/>
      <c r="AH327" s="184"/>
      <c r="AI327" s="184"/>
      <c r="AR327" s="186"/>
      <c r="AS327" s="187"/>
      <c r="AT327" s="187"/>
      <c r="AU327" s="187"/>
      <c r="AV327" s="246"/>
      <c r="BB327" s="377"/>
      <c r="BC327" s="377"/>
      <c r="BD327" s="377"/>
    </row>
    <row r="328" spans="1:56" s="163" customFormat="1" ht="16.5" customHeight="1">
      <c r="A328" s="247"/>
      <c r="B328" s="244"/>
      <c r="C328" s="245"/>
      <c r="D328" s="245"/>
      <c r="E328" s="183"/>
      <c r="F328" s="183"/>
      <c r="G328" s="183"/>
      <c r="H328" s="184"/>
      <c r="I328" s="184"/>
      <c r="J328" s="184"/>
      <c r="L328" s="184"/>
      <c r="M328" s="184"/>
      <c r="N328" s="184"/>
      <c r="O328" s="184"/>
      <c r="R328" s="185"/>
      <c r="T328" s="184"/>
      <c r="U328" s="184"/>
      <c r="V328" s="184"/>
      <c r="X328" s="184"/>
      <c r="Y328" s="184"/>
      <c r="Z328" s="184"/>
      <c r="AA328" s="184"/>
      <c r="AC328" s="184"/>
      <c r="AD328" s="184"/>
      <c r="AE328" s="184"/>
      <c r="AF328" s="184"/>
      <c r="AG328" s="184"/>
      <c r="AH328" s="184"/>
      <c r="AI328" s="184"/>
      <c r="AR328" s="186"/>
      <c r="AS328" s="187"/>
      <c r="AT328" s="187"/>
      <c r="AU328" s="187"/>
      <c r="AV328" s="246"/>
      <c r="BB328" s="377"/>
      <c r="BC328" s="377"/>
      <c r="BD328" s="377"/>
    </row>
    <row r="329" spans="1:56" s="163" customFormat="1" ht="16.5" customHeight="1">
      <c r="A329" s="247"/>
      <c r="B329" s="244"/>
      <c r="C329" s="245"/>
      <c r="D329" s="245"/>
      <c r="E329" s="183"/>
      <c r="F329" s="183"/>
      <c r="G329" s="183"/>
      <c r="H329" s="184"/>
      <c r="I329" s="184"/>
      <c r="J329" s="184"/>
      <c r="L329" s="184"/>
      <c r="M329" s="184"/>
      <c r="N329" s="184"/>
      <c r="O329" s="184"/>
      <c r="R329" s="185"/>
      <c r="T329" s="184"/>
      <c r="U329" s="184"/>
      <c r="V329" s="184"/>
      <c r="X329" s="184"/>
      <c r="Y329" s="184"/>
      <c r="Z329" s="184"/>
      <c r="AA329" s="184"/>
      <c r="AC329" s="184"/>
      <c r="AD329" s="184"/>
      <c r="AE329" s="184"/>
      <c r="AF329" s="184"/>
      <c r="AG329" s="184"/>
      <c r="AH329" s="184"/>
      <c r="AI329" s="184"/>
      <c r="AR329" s="186"/>
      <c r="AS329" s="187"/>
      <c r="AT329" s="187"/>
      <c r="AU329" s="187"/>
      <c r="AV329" s="246"/>
      <c r="BB329" s="377"/>
      <c r="BC329" s="377"/>
      <c r="BD329" s="377"/>
    </row>
    <row r="330" spans="1:56" s="163" customFormat="1" ht="16.5" customHeight="1">
      <c r="A330" s="247"/>
      <c r="B330" s="244"/>
      <c r="C330" s="245"/>
      <c r="D330" s="245"/>
      <c r="E330" s="183"/>
      <c r="F330" s="183"/>
      <c r="G330" s="183"/>
      <c r="H330" s="184"/>
      <c r="I330" s="184"/>
      <c r="J330" s="184"/>
      <c r="L330" s="184"/>
      <c r="M330" s="184"/>
      <c r="N330" s="184"/>
      <c r="O330" s="184"/>
      <c r="R330" s="185"/>
      <c r="T330" s="184"/>
      <c r="U330" s="184"/>
      <c r="V330" s="184"/>
      <c r="X330" s="184"/>
      <c r="Y330" s="184"/>
      <c r="Z330" s="184"/>
      <c r="AA330" s="184"/>
      <c r="AC330" s="184"/>
      <c r="AD330" s="184"/>
      <c r="AE330" s="184"/>
      <c r="AF330" s="184"/>
      <c r="AG330" s="184"/>
      <c r="AH330" s="184"/>
      <c r="AI330" s="184"/>
      <c r="AR330" s="186"/>
      <c r="AS330" s="187"/>
      <c r="AT330" s="187"/>
      <c r="AU330" s="187"/>
      <c r="AV330" s="246"/>
      <c r="BB330" s="377"/>
      <c r="BC330" s="377"/>
      <c r="BD330" s="377"/>
    </row>
    <row r="331" spans="1:56" s="163" customFormat="1" ht="16.5" customHeight="1">
      <c r="A331" s="247"/>
      <c r="B331" s="244"/>
      <c r="C331" s="245"/>
      <c r="D331" s="245"/>
      <c r="E331" s="183"/>
      <c r="F331" s="183"/>
      <c r="G331" s="183"/>
      <c r="H331" s="184"/>
      <c r="I331" s="184"/>
      <c r="J331" s="184"/>
      <c r="L331" s="184"/>
      <c r="M331" s="184"/>
      <c r="N331" s="184"/>
      <c r="O331" s="184"/>
      <c r="R331" s="185"/>
      <c r="T331" s="184"/>
      <c r="U331" s="184"/>
      <c r="V331" s="184"/>
      <c r="X331" s="184"/>
      <c r="Y331" s="184"/>
      <c r="Z331" s="184"/>
      <c r="AA331" s="184"/>
      <c r="AC331" s="184"/>
      <c r="AD331" s="184"/>
      <c r="AE331" s="184"/>
      <c r="AF331" s="184"/>
      <c r="AG331" s="184"/>
      <c r="AH331" s="184"/>
      <c r="AI331" s="184"/>
      <c r="AR331" s="186"/>
      <c r="AS331" s="187"/>
      <c r="AT331" s="187"/>
      <c r="AU331" s="187"/>
      <c r="AV331" s="246"/>
      <c r="BB331" s="377"/>
      <c r="BC331" s="377"/>
      <c r="BD331" s="377"/>
    </row>
    <row r="332" spans="1:56" s="163" customFormat="1" ht="16.5" customHeight="1">
      <c r="A332" s="247"/>
      <c r="B332" s="244"/>
      <c r="C332" s="245"/>
      <c r="D332" s="245"/>
      <c r="E332" s="183"/>
      <c r="F332" s="183"/>
      <c r="G332" s="183"/>
      <c r="H332" s="184"/>
      <c r="I332" s="184"/>
      <c r="J332" s="184"/>
      <c r="L332" s="184"/>
      <c r="M332" s="184"/>
      <c r="N332" s="184"/>
      <c r="O332" s="184"/>
      <c r="R332" s="185"/>
      <c r="T332" s="184"/>
      <c r="U332" s="184"/>
      <c r="V332" s="184"/>
      <c r="X332" s="184"/>
      <c r="Y332" s="184"/>
      <c r="Z332" s="184"/>
      <c r="AA332" s="184"/>
      <c r="AC332" s="184"/>
      <c r="AD332" s="184"/>
      <c r="AE332" s="184"/>
      <c r="AF332" s="184"/>
      <c r="AG332" s="184"/>
      <c r="AH332" s="184"/>
      <c r="AI332" s="184"/>
      <c r="AR332" s="186"/>
      <c r="AS332" s="187"/>
      <c r="AT332" s="187"/>
      <c r="AU332" s="187"/>
      <c r="AV332" s="246"/>
      <c r="BB332" s="377"/>
      <c r="BC332" s="377"/>
      <c r="BD332" s="377"/>
    </row>
    <row r="333" spans="1:56" s="163" customFormat="1" ht="16.5" customHeight="1">
      <c r="A333" s="247"/>
      <c r="B333" s="244"/>
      <c r="C333" s="245"/>
      <c r="D333" s="245"/>
      <c r="E333" s="183"/>
      <c r="F333" s="183"/>
      <c r="G333" s="183"/>
      <c r="H333" s="184"/>
      <c r="I333" s="184"/>
      <c r="J333" s="184"/>
      <c r="L333" s="184"/>
      <c r="M333" s="184"/>
      <c r="N333" s="184"/>
      <c r="O333" s="184"/>
      <c r="R333" s="185"/>
      <c r="T333" s="184"/>
      <c r="U333" s="184"/>
      <c r="V333" s="184"/>
      <c r="X333" s="184"/>
      <c r="Y333" s="184"/>
      <c r="Z333" s="184"/>
      <c r="AA333" s="184"/>
      <c r="AC333" s="184"/>
      <c r="AD333" s="184"/>
      <c r="AE333" s="184"/>
      <c r="AF333" s="184"/>
      <c r="AG333" s="184"/>
      <c r="AH333" s="184"/>
      <c r="AI333" s="184"/>
      <c r="AR333" s="186"/>
      <c r="AS333" s="187"/>
      <c r="AT333" s="187"/>
      <c r="AU333" s="187"/>
      <c r="AV333" s="246"/>
      <c r="BB333" s="377"/>
      <c r="BC333" s="377"/>
      <c r="BD333" s="377"/>
    </row>
    <row r="334" spans="1:56" s="163" customFormat="1" ht="16.5" customHeight="1">
      <c r="A334" s="247"/>
      <c r="B334" s="244"/>
      <c r="C334" s="245"/>
      <c r="D334" s="245"/>
      <c r="E334" s="183"/>
      <c r="F334" s="183"/>
      <c r="G334" s="183"/>
      <c r="H334" s="184"/>
      <c r="I334" s="184"/>
      <c r="J334" s="184"/>
      <c r="L334" s="184"/>
      <c r="M334" s="184"/>
      <c r="N334" s="184"/>
      <c r="O334" s="184"/>
      <c r="R334" s="185"/>
      <c r="T334" s="184"/>
      <c r="U334" s="184"/>
      <c r="V334" s="184"/>
      <c r="X334" s="184"/>
      <c r="Y334" s="184"/>
      <c r="Z334" s="184"/>
      <c r="AA334" s="184"/>
      <c r="AC334" s="184"/>
      <c r="AD334" s="184"/>
      <c r="AE334" s="184"/>
      <c r="AF334" s="184"/>
      <c r="AG334" s="184"/>
      <c r="AH334" s="184"/>
      <c r="AI334" s="184"/>
      <c r="AR334" s="186"/>
      <c r="AS334" s="187"/>
      <c r="AT334" s="187"/>
      <c r="AU334" s="187"/>
      <c r="AV334" s="246"/>
      <c r="BB334" s="377"/>
      <c r="BC334" s="377"/>
      <c r="BD334" s="377"/>
    </row>
    <row r="335" spans="1:56" s="163" customFormat="1" ht="16.5" customHeight="1">
      <c r="A335" s="247"/>
      <c r="B335" s="244"/>
      <c r="C335" s="245"/>
      <c r="D335" s="245"/>
      <c r="E335" s="183"/>
      <c r="F335" s="183"/>
      <c r="G335" s="183"/>
      <c r="H335" s="184"/>
      <c r="I335" s="184"/>
      <c r="J335" s="184"/>
      <c r="L335" s="184"/>
      <c r="M335" s="184"/>
      <c r="N335" s="184"/>
      <c r="O335" s="184"/>
      <c r="R335" s="185"/>
      <c r="T335" s="184"/>
      <c r="U335" s="184"/>
      <c r="V335" s="184"/>
      <c r="X335" s="184"/>
      <c r="Y335" s="184"/>
      <c r="Z335" s="184"/>
      <c r="AA335" s="184"/>
      <c r="AC335" s="184"/>
      <c r="AD335" s="184"/>
      <c r="AE335" s="184"/>
      <c r="AF335" s="184"/>
      <c r="AG335" s="184"/>
      <c r="AH335" s="184"/>
      <c r="AI335" s="184"/>
      <c r="AR335" s="186"/>
      <c r="AS335" s="187"/>
      <c r="AT335" s="187"/>
      <c r="AU335" s="187"/>
      <c r="AV335" s="246"/>
      <c r="BB335" s="377"/>
      <c r="BC335" s="377"/>
      <c r="BD335" s="377"/>
    </row>
    <row r="336" spans="1:56" s="163" customFormat="1" ht="16.5" customHeight="1">
      <c r="A336" s="247"/>
      <c r="B336" s="244"/>
      <c r="C336" s="245"/>
      <c r="D336" s="245"/>
      <c r="E336" s="183"/>
      <c r="F336" s="183"/>
      <c r="G336" s="183"/>
      <c r="H336" s="184"/>
      <c r="I336" s="184"/>
      <c r="J336" s="184"/>
      <c r="L336" s="184"/>
      <c r="M336" s="184"/>
      <c r="N336" s="184"/>
      <c r="O336" s="184"/>
      <c r="R336" s="185"/>
      <c r="T336" s="184"/>
      <c r="U336" s="184"/>
      <c r="V336" s="184"/>
      <c r="X336" s="184"/>
      <c r="Y336" s="184"/>
      <c r="Z336" s="184"/>
      <c r="AA336" s="184"/>
      <c r="AC336" s="184"/>
      <c r="AD336" s="184"/>
      <c r="AE336" s="184"/>
      <c r="AF336" s="184"/>
      <c r="AG336" s="184"/>
      <c r="AH336" s="184"/>
      <c r="AI336" s="184"/>
      <c r="AR336" s="186"/>
      <c r="AS336" s="187"/>
      <c r="AT336" s="187"/>
      <c r="AU336" s="187"/>
      <c r="AV336" s="246"/>
      <c r="BB336" s="377"/>
      <c r="BC336" s="377"/>
      <c r="BD336" s="377"/>
    </row>
    <row r="337" spans="1:56" s="163" customFormat="1" ht="16.5" customHeight="1">
      <c r="A337" s="247"/>
      <c r="B337" s="244"/>
      <c r="C337" s="245"/>
      <c r="D337" s="245"/>
      <c r="E337" s="183"/>
      <c r="F337" s="183"/>
      <c r="G337" s="183"/>
      <c r="H337" s="184"/>
      <c r="I337" s="184"/>
      <c r="J337" s="184"/>
      <c r="L337" s="184"/>
      <c r="M337" s="184"/>
      <c r="N337" s="184"/>
      <c r="O337" s="184"/>
      <c r="R337" s="185"/>
      <c r="T337" s="184"/>
      <c r="U337" s="184"/>
      <c r="V337" s="184"/>
      <c r="X337" s="184"/>
      <c r="Y337" s="184"/>
      <c r="Z337" s="184"/>
      <c r="AA337" s="184"/>
      <c r="AC337" s="184"/>
      <c r="AD337" s="184"/>
      <c r="AE337" s="184"/>
      <c r="AF337" s="184"/>
      <c r="AG337" s="184"/>
      <c r="AH337" s="184"/>
      <c r="AI337" s="184"/>
      <c r="AR337" s="186"/>
      <c r="AS337" s="187"/>
      <c r="AT337" s="187"/>
      <c r="AU337" s="187"/>
      <c r="AV337" s="246"/>
      <c r="BB337" s="377"/>
      <c r="BC337" s="377"/>
      <c r="BD337" s="377"/>
    </row>
    <row r="338" spans="1:56" s="163" customFormat="1" ht="16.5" customHeight="1">
      <c r="A338" s="247"/>
      <c r="B338" s="244"/>
      <c r="C338" s="245"/>
      <c r="D338" s="245"/>
      <c r="E338" s="183"/>
      <c r="F338" s="183"/>
      <c r="G338" s="183"/>
      <c r="H338" s="184"/>
      <c r="I338" s="184"/>
      <c r="J338" s="184"/>
      <c r="L338" s="184"/>
      <c r="M338" s="184"/>
      <c r="N338" s="184"/>
      <c r="O338" s="184"/>
      <c r="R338" s="185"/>
      <c r="T338" s="184"/>
      <c r="U338" s="184"/>
      <c r="V338" s="184"/>
      <c r="X338" s="184"/>
      <c r="Y338" s="184"/>
      <c r="Z338" s="184"/>
      <c r="AA338" s="184"/>
      <c r="AC338" s="184"/>
      <c r="AD338" s="184"/>
      <c r="AE338" s="184"/>
      <c r="AF338" s="184"/>
      <c r="AG338" s="184"/>
      <c r="AH338" s="184"/>
      <c r="AI338" s="184"/>
      <c r="AR338" s="186"/>
      <c r="AS338" s="187"/>
      <c r="AT338" s="187"/>
      <c r="AU338" s="187"/>
      <c r="AV338" s="246"/>
      <c r="BB338" s="377"/>
      <c r="BC338" s="377"/>
      <c r="BD338" s="377"/>
    </row>
    <row r="339" spans="1:56" s="163" customFormat="1" ht="16.5" customHeight="1">
      <c r="A339" s="247"/>
      <c r="B339" s="244"/>
      <c r="C339" s="245"/>
      <c r="D339" s="245"/>
      <c r="E339" s="183"/>
      <c r="F339" s="183"/>
      <c r="G339" s="183"/>
      <c r="H339" s="184"/>
      <c r="I339" s="184"/>
      <c r="J339" s="184"/>
      <c r="L339" s="184"/>
      <c r="M339" s="184"/>
      <c r="N339" s="184"/>
      <c r="O339" s="184"/>
      <c r="R339" s="185"/>
      <c r="T339" s="184"/>
      <c r="U339" s="184"/>
      <c r="V339" s="184"/>
      <c r="X339" s="184"/>
      <c r="Y339" s="184"/>
      <c r="Z339" s="184"/>
      <c r="AA339" s="184"/>
      <c r="AC339" s="184"/>
      <c r="AD339" s="184"/>
      <c r="AE339" s="184"/>
      <c r="AF339" s="184"/>
      <c r="AG339" s="184"/>
      <c r="AH339" s="184"/>
      <c r="AI339" s="184"/>
      <c r="AR339" s="186"/>
      <c r="AS339" s="187"/>
      <c r="AT339" s="187"/>
      <c r="AU339" s="187"/>
      <c r="AV339" s="246"/>
      <c r="BB339" s="377"/>
      <c r="BC339" s="377"/>
      <c r="BD339" s="377"/>
    </row>
    <row r="340" spans="1:56" s="163" customFormat="1" ht="16.5" customHeight="1">
      <c r="A340" s="247"/>
      <c r="B340" s="244"/>
      <c r="C340" s="245"/>
      <c r="D340" s="245"/>
      <c r="E340" s="183"/>
      <c r="F340" s="183"/>
      <c r="G340" s="183"/>
      <c r="H340" s="184"/>
      <c r="I340" s="184"/>
      <c r="J340" s="184"/>
      <c r="L340" s="184"/>
      <c r="M340" s="184"/>
      <c r="N340" s="184"/>
      <c r="O340" s="184"/>
      <c r="R340" s="185"/>
      <c r="T340" s="184"/>
      <c r="U340" s="184"/>
      <c r="V340" s="184"/>
      <c r="X340" s="184"/>
      <c r="Y340" s="184"/>
      <c r="Z340" s="184"/>
      <c r="AA340" s="184"/>
      <c r="AC340" s="184"/>
      <c r="AD340" s="184"/>
      <c r="AE340" s="184"/>
      <c r="AF340" s="184"/>
      <c r="AG340" s="184"/>
      <c r="AH340" s="184"/>
      <c r="AI340" s="184"/>
      <c r="AR340" s="186"/>
      <c r="AS340" s="187"/>
      <c r="AT340" s="187"/>
      <c r="AU340" s="187"/>
      <c r="AV340" s="246"/>
      <c r="BB340" s="377"/>
      <c r="BC340" s="377"/>
      <c r="BD340" s="377"/>
    </row>
    <row r="341" spans="1:56" s="163" customFormat="1" ht="16.5" customHeight="1">
      <c r="A341" s="247"/>
      <c r="B341" s="244"/>
      <c r="C341" s="245"/>
      <c r="D341" s="245"/>
      <c r="E341" s="183"/>
      <c r="F341" s="183"/>
      <c r="G341" s="183"/>
      <c r="H341" s="184"/>
      <c r="I341" s="184"/>
      <c r="J341" s="184"/>
      <c r="L341" s="184"/>
      <c r="M341" s="184"/>
      <c r="N341" s="184"/>
      <c r="O341" s="184"/>
      <c r="R341" s="185"/>
      <c r="T341" s="184"/>
      <c r="U341" s="184"/>
      <c r="V341" s="184"/>
      <c r="X341" s="184"/>
      <c r="Y341" s="184"/>
      <c r="Z341" s="184"/>
      <c r="AA341" s="184"/>
      <c r="AC341" s="184"/>
      <c r="AD341" s="184"/>
      <c r="AE341" s="184"/>
      <c r="AF341" s="184"/>
      <c r="AG341" s="184"/>
      <c r="AH341" s="184"/>
      <c r="AI341" s="184"/>
      <c r="AR341" s="186"/>
      <c r="AS341" s="187"/>
      <c r="AT341" s="187"/>
      <c r="AU341" s="187"/>
      <c r="AV341" s="246"/>
      <c r="BB341" s="377"/>
      <c r="BC341" s="377"/>
      <c r="BD341" s="377"/>
    </row>
    <row r="342" spans="1:56" s="163" customFormat="1" ht="16.5" customHeight="1">
      <c r="A342" s="247"/>
      <c r="B342" s="244"/>
      <c r="C342" s="245"/>
      <c r="D342" s="245"/>
      <c r="E342" s="183"/>
      <c r="F342" s="183"/>
      <c r="G342" s="183"/>
      <c r="H342" s="184"/>
      <c r="I342" s="184"/>
      <c r="J342" s="184"/>
      <c r="L342" s="184"/>
      <c r="M342" s="184"/>
      <c r="N342" s="184"/>
      <c r="O342" s="184"/>
      <c r="R342" s="185"/>
      <c r="T342" s="184"/>
      <c r="U342" s="184"/>
      <c r="V342" s="184"/>
      <c r="X342" s="184"/>
      <c r="Y342" s="184"/>
      <c r="Z342" s="184"/>
      <c r="AA342" s="184"/>
      <c r="AC342" s="184"/>
      <c r="AD342" s="184"/>
      <c r="AE342" s="184"/>
      <c r="AF342" s="184"/>
      <c r="AG342" s="184"/>
      <c r="AH342" s="184"/>
      <c r="AI342" s="184"/>
      <c r="AR342" s="186"/>
      <c r="AS342" s="187"/>
      <c r="AT342" s="187"/>
      <c r="AU342" s="187"/>
      <c r="AV342" s="246"/>
      <c r="BB342" s="377"/>
      <c r="BC342" s="377"/>
      <c r="BD342" s="377"/>
    </row>
    <row r="343" spans="1:56" s="163" customFormat="1" ht="16.5" customHeight="1">
      <c r="A343" s="247"/>
      <c r="B343" s="244"/>
      <c r="C343" s="245"/>
      <c r="D343" s="245"/>
      <c r="E343" s="183"/>
      <c r="F343" s="183"/>
      <c r="G343" s="183"/>
      <c r="H343" s="184"/>
      <c r="I343" s="184"/>
      <c r="J343" s="184"/>
      <c r="L343" s="184"/>
      <c r="M343" s="184"/>
      <c r="N343" s="184"/>
      <c r="O343" s="184"/>
      <c r="R343" s="185"/>
      <c r="T343" s="184"/>
      <c r="U343" s="184"/>
      <c r="V343" s="184"/>
      <c r="X343" s="184"/>
      <c r="Y343" s="184"/>
      <c r="Z343" s="184"/>
      <c r="AA343" s="184"/>
      <c r="AC343" s="184"/>
      <c r="AD343" s="184"/>
      <c r="AE343" s="184"/>
      <c r="AF343" s="184"/>
      <c r="AG343" s="184"/>
      <c r="AH343" s="184"/>
      <c r="AI343" s="184"/>
      <c r="AR343" s="186"/>
      <c r="AS343" s="187"/>
      <c r="AT343" s="187"/>
      <c r="AU343" s="187"/>
      <c r="AV343" s="246"/>
      <c r="BB343" s="377"/>
      <c r="BC343" s="377"/>
      <c r="BD343" s="377"/>
    </row>
    <row r="344" spans="1:56" s="163" customFormat="1" ht="16.5" customHeight="1">
      <c r="A344" s="247"/>
      <c r="B344" s="244"/>
      <c r="C344" s="245"/>
      <c r="D344" s="245"/>
      <c r="E344" s="183"/>
      <c r="F344" s="183"/>
      <c r="G344" s="183"/>
      <c r="H344" s="184"/>
      <c r="I344" s="184"/>
      <c r="J344" s="184"/>
      <c r="L344" s="184"/>
      <c r="M344" s="184"/>
      <c r="N344" s="184"/>
      <c r="O344" s="184"/>
      <c r="R344" s="185"/>
      <c r="T344" s="184"/>
      <c r="U344" s="184"/>
      <c r="V344" s="184"/>
      <c r="X344" s="184"/>
      <c r="Y344" s="184"/>
      <c r="Z344" s="184"/>
      <c r="AA344" s="184"/>
      <c r="AC344" s="184"/>
      <c r="AD344" s="184"/>
      <c r="AE344" s="184"/>
      <c r="AF344" s="184"/>
      <c r="AG344" s="184"/>
      <c r="AH344" s="184"/>
      <c r="AI344" s="184"/>
      <c r="AR344" s="186"/>
      <c r="AS344" s="187"/>
      <c r="AT344" s="187"/>
      <c r="AU344" s="187"/>
      <c r="AV344" s="246"/>
      <c r="BB344" s="377"/>
      <c r="BC344" s="377"/>
      <c r="BD344" s="377"/>
    </row>
    <row r="345" spans="1:56" s="163" customFormat="1" ht="16.5" customHeight="1">
      <c r="A345" s="247"/>
      <c r="B345" s="244"/>
      <c r="C345" s="245"/>
      <c r="D345" s="245"/>
      <c r="E345" s="183"/>
      <c r="F345" s="183"/>
      <c r="G345" s="183"/>
      <c r="H345" s="184"/>
      <c r="I345" s="184"/>
      <c r="J345" s="184"/>
      <c r="L345" s="184"/>
      <c r="M345" s="184"/>
      <c r="N345" s="184"/>
      <c r="O345" s="184"/>
      <c r="R345" s="185"/>
      <c r="T345" s="184"/>
      <c r="U345" s="184"/>
      <c r="V345" s="184"/>
      <c r="X345" s="184"/>
      <c r="Y345" s="184"/>
      <c r="Z345" s="184"/>
      <c r="AA345" s="184"/>
      <c r="AC345" s="184"/>
      <c r="AD345" s="184"/>
      <c r="AE345" s="184"/>
      <c r="AF345" s="184"/>
      <c r="AG345" s="184"/>
      <c r="AH345" s="184"/>
      <c r="AI345" s="184"/>
      <c r="AR345" s="186"/>
      <c r="AS345" s="187"/>
      <c r="AT345" s="187"/>
      <c r="AU345" s="187"/>
      <c r="AV345" s="246"/>
      <c r="BB345" s="377"/>
      <c r="BC345" s="377"/>
      <c r="BD345" s="377"/>
    </row>
    <row r="346" spans="1:56" s="163" customFormat="1" ht="16.5" customHeight="1">
      <c r="A346" s="247"/>
      <c r="B346" s="244"/>
      <c r="C346" s="245"/>
      <c r="D346" s="245"/>
      <c r="E346" s="183"/>
      <c r="F346" s="183"/>
      <c r="G346" s="183"/>
      <c r="H346" s="184"/>
      <c r="I346" s="184"/>
      <c r="J346" s="184"/>
      <c r="L346" s="184"/>
      <c r="M346" s="184"/>
      <c r="N346" s="184"/>
      <c r="O346" s="184"/>
      <c r="R346" s="185"/>
      <c r="T346" s="184"/>
      <c r="U346" s="184"/>
      <c r="V346" s="184"/>
      <c r="X346" s="184"/>
      <c r="Y346" s="184"/>
      <c r="Z346" s="184"/>
      <c r="AA346" s="184"/>
      <c r="AC346" s="184"/>
      <c r="AD346" s="184"/>
      <c r="AE346" s="184"/>
      <c r="AF346" s="184"/>
      <c r="AG346" s="184"/>
      <c r="AH346" s="184"/>
      <c r="AI346" s="184"/>
      <c r="AR346" s="186"/>
      <c r="AS346" s="187"/>
      <c r="AT346" s="187"/>
      <c r="AU346" s="187"/>
      <c r="AV346" s="246"/>
      <c r="BB346" s="377"/>
      <c r="BC346" s="377"/>
      <c r="BD346" s="377"/>
    </row>
    <row r="347" spans="1:56" s="163" customFormat="1" ht="16.5" customHeight="1">
      <c r="A347" s="247"/>
      <c r="B347" s="244"/>
      <c r="C347" s="245"/>
      <c r="D347" s="245"/>
      <c r="E347" s="183"/>
      <c r="F347" s="183"/>
      <c r="G347" s="183"/>
      <c r="H347" s="184"/>
      <c r="I347" s="184"/>
      <c r="J347" s="184"/>
      <c r="L347" s="184"/>
      <c r="M347" s="184"/>
      <c r="N347" s="184"/>
      <c r="O347" s="184"/>
      <c r="R347" s="185"/>
      <c r="T347" s="184"/>
      <c r="U347" s="184"/>
      <c r="V347" s="184"/>
      <c r="X347" s="184"/>
      <c r="Y347" s="184"/>
      <c r="Z347" s="184"/>
      <c r="AA347" s="184"/>
      <c r="AC347" s="184"/>
      <c r="AD347" s="184"/>
      <c r="AE347" s="184"/>
      <c r="AF347" s="184"/>
      <c r="AG347" s="184"/>
      <c r="AH347" s="184"/>
      <c r="AI347" s="184"/>
      <c r="AR347" s="186"/>
      <c r="AS347" s="187"/>
      <c r="AT347" s="187"/>
      <c r="AU347" s="187"/>
      <c r="AV347" s="246"/>
      <c r="BB347" s="377"/>
      <c r="BC347" s="377"/>
      <c r="BD347" s="377"/>
    </row>
    <row r="348" spans="1:56" s="163" customFormat="1" ht="16.5" customHeight="1">
      <c r="A348" s="247"/>
      <c r="B348" s="244"/>
      <c r="C348" s="245"/>
      <c r="D348" s="245"/>
      <c r="E348" s="183"/>
      <c r="F348" s="183"/>
      <c r="G348" s="183"/>
      <c r="H348" s="184"/>
      <c r="I348" s="184"/>
      <c r="J348" s="184"/>
      <c r="L348" s="184"/>
      <c r="M348" s="184"/>
      <c r="N348" s="184"/>
      <c r="O348" s="184"/>
      <c r="R348" s="185"/>
      <c r="T348" s="184"/>
      <c r="U348" s="184"/>
      <c r="V348" s="184"/>
      <c r="X348" s="184"/>
      <c r="Y348" s="184"/>
      <c r="Z348" s="184"/>
      <c r="AA348" s="184"/>
      <c r="AC348" s="184"/>
      <c r="AD348" s="184"/>
      <c r="AE348" s="184"/>
      <c r="AF348" s="184"/>
      <c r="AG348" s="184"/>
      <c r="AH348" s="184"/>
      <c r="AI348" s="184"/>
      <c r="AR348" s="186"/>
      <c r="AS348" s="187"/>
      <c r="AT348" s="187"/>
      <c r="AU348" s="187"/>
      <c r="AV348" s="246"/>
      <c r="BB348" s="377"/>
      <c r="BC348" s="377"/>
      <c r="BD348" s="377"/>
    </row>
    <row r="349" spans="1:56" s="163" customFormat="1" ht="16.5" customHeight="1">
      <c r="A349" s="247"/>
      <c r="B349" s="244"/>
      <c r="C349" s="245"/>
      <c r="D349" s="245"/>
      <c r="E349" s="183"/>
      <c r="F349" s="183"/>
      <c r="G349" s="183"/>
      <c r="H349" s="184"/>
      <c r="I349" s="184"/>
      <c r="J349" s="184"/>
      <c r="L349" s="184"/>
      <c r="M349" s="184"/>
      <c r="N349" s="184"/>
      <c r="O349" s="184"/>
      <c r="R349" s="185"/>
      <c r="T349" s="184"/>
      <c r="U349" s="184"/>
      <c r="V349" s="184"/>
      <c r="X349" s="184"/>
      <c r="Y349" s="184"/>
      <c r="Z349" s="184"/>
      <c r="AA349" s="184"/>
      <c r="AC349" s="184"/>
      <c r="AD349" s="184"/>
      <c r="AE349" s="184"/>
      <c r="AF349" s="184"/>
      <c r="AG349" s="184"/>
      <c r="AH349" s="184"/>
      <c r="AI349" s="184"/>
      <c r="AR349" s="186"/>
      <c r="AS349" s="187"/>
      <c r="AT349" s="187"/>
      <c r="AU349" s="187"/>
      <c r="AV349" s="246"/>
      <c r="BB349" s="377"/>
      <c r="BC349" s="377"/>
      <c r="BD349" s="377"/>
    </row>
    <row r="350" spans="1:56" s="163" customFormat="1" ht="16.5" customHeight="1">
      <c r="A350" s="247"/>
      <c r="B350" s="244"/>
      <c r="C350" s="245"/>
      <c r="D350" s="245"/>
      <c r="E350" s="183"/>
      <c r="F350" s="183"/>
      <c r="G350" s="183"/>
      <c r="H350" s="184"/>
      <c r="I350" s="184"/>
      <c r="J350" s="184"/>
      <c r="L350" s="184"/>
      <c r="M350" s="184"/>
      <c r="N350" s="184"/>
      <c r="O350" s="184"/>
      <c r="R350" s="185"/>
      <c r="T350" s="184"/>
      <c r="U350" s="184"/>
      <c r="V350" s="184"/>
      <c r="X350" s="184"/>
      <c r="Y350" s="184"/>
      <c r="Z350" s="184"/>
      <c r="AA350" s="184"/>
      <c r="AC350" s="184"/>
      <c r="AD350" s="184"/>
      <c r="AE350" s="184"/>
      <c r="AF350" s="184"/>
      <c r="AG350" s="184"/>
      <c r="AH350" s="184"/>
      <c r="AI350" s="184"/>
      <c r="AR350" s="186"/>
      <c r="AS350" s="187"/>
      <c r="AT350" s="187"/>
      <c r="AU350" s="187"/>
      <c r="AV350" s="246"/>
      <c r="BB350" s="377"/>
      <c r="BC350" s="377"/>
      <c r="BD350" s="377"/>
    </row>
    <row r="351" spans="1:56" s="163" customFormat="1" ht="16.5" customHeight="1">
      <c r="A351" s="247"/>
      <c r="B351" s="244"/>
      <c r="C351" s="245"/>
      <c r="D351" s="245"/>
      <c r="E351" s="183"/>
      <c r="F351" s="183"/>
      <c r="G351" s="183"/>
      <c r="H351" s="184"/>
      <c r="I351" s="184"/>
      <c r="J351" s="184"/>
      <c r="L351" s="184"/>
      <c r="M351" s="184"/>
      <c r="N351" s="184"/>
      <c r="O351" s="184"/>
      <c r="R351" s="185"/>
      <c r="T351" s="184"/>
      <c r="U351" s="184"/>
      <c r="V351" s="184"/>
      <c r="X351" s="184"/>
      <c r="Y351" s="184"/>
      <c r="Z351" s="184"/>
      <c r="AA351" s="184"/>
      <c r="AC351" s="184"/>
      <c r="AD351" s="184"/>
      <c r="AE351" s="184"/>
      <c r="AF351" s="184"/>
      <c r="AG351" s="184"/>
      <c r="AH351" s="184"/>
      <c r="AI351" s="184"/>
      <c r="AR351" s="186"/>
      <c r="AS351" s="187"/>
      <c r="AT351" s="187"/>
      <c r="AU351" s="187"/>
      <c r="AV351" s="246"/>
      <c r="BB351" s="377"/>
      <c r="BC351" s="377"/>
      <c r="BD351" s="377"/>
    </row>
    <row r="352" spans="1:56" s="163" customFormat="1" ht="16.5" customHeight="1">
      <c r="A352" s="247"/>
      <c r="B352" s="244"/>
      <c r="C352" s="245"/>
      <c r="D352" s="245"/>
      <c r="E352" s="183"/>
      <c r="F352" s="183"/>
      <c r="G352" s="183"/>
      <c r="H352" s="184"/>
      <c r="I352" s="184"/>
      <c r="J352" s="184"/>
      <c r="L352" s="184"/>
      <c r="M352" s="184"/>
      <c r="N352" s="184"/>
      <c r="O352" s="184"/>
      <c r="R352" s="185"/>
      <c r="T352" s="184"/>
      <c r="U352" s="184"/>
      <c r="V352" s="184"/>
      <c r="X352" s="184"/>
      <c r="Y352" s="184"/>
      <c r="Z352" s="184"/>
      <c r="AA352" s="184"/>
      <c r="AC352" s="184"/>
      <c r="AD352" s="184"/>
      <c r="AE352" s="184"/>
      <c r="AF352" s="184"/>
      <c r="AG352" s="184"/>
      <c r="AH352" s="184"/>
      <c r="AI352" s="184"/>
      <c r="AR352" s="186"/>
      <c r="AS352" s="187"/>
      <c r="AT352" s="187"/>
      <c r="AU352" s="187"/>
      <c r="AV352" s="246"/>
      <c r="BB352" s="377"/>
      <c r="BC352" s="377"/>
      <c r="BD352" s="377"/>
    </row>
    <row r="353" spans="1:56" s="163" customFormat="1" ht="16.5" customHeight="1">
      <c r="A353" s="247"/>
      <c r="B353" s="244"/>
      <c r="C353" s="245"/>
      <c r="D353" s="245"/>
      <c r="E353" s="183"/>
      <c r="F353" s="183"/>
      <c r="G353" s="183"/>
      <c r="H353" s="184"/>
      <c r="I353" s="184"/>
      <c r="J353" s="184"/>
      <c r="L353" s="184"/>
      <c r="M353" s="184"/>
      <c r="N353" s="184"/>
      <c r="O353" s="184"/>
      <c r="R353" s="185"/>
      <c r="T353" s="184"/>
      <c r="U353" s="184"/>
      <c r="V353" s="184"/>
      <c r="X353" s="184"/>
      <c r="Y353" s="184"/>
      <c r="Z353" s="184"/>
      <c r="AA353" s="184"/>
      <c r="AC353" s="184"/>
      <c r="AD353" s="184"/>
      <c r="AE353" s="184"/>
      <c r="AF353" s="184"/>
      <c r="AG353" s="184"/>
      <c r="AH353" s="184"/>
      <c r="AI353" s="184"/>
      <c r="AR353" s="186"/>
      <c r="AS353" s="187"/>
      <c r="AT353" s="187"/>
      <c r="AU353" s="187"/>
      <c r="AV353" s="246"/>
      <c r="BB353" s="377"/>
      <c r="BC353" s="377"/>
      <c r="BD353" s="377"/>
    </row>
    <row r="354" spans="1:56" s="163" customFormat="1" ht="16.5" customHeight="1">
      <c r="A354" s="247"/>
      <c r="B354" s="244"/>
      <c r="C354" s="245"/>
      <c r="D354" s="245"/>
      <c r="E354" s="183"/>
      <c r="F354" s="183"/>
      <c r="G354" s="183"/>
      <c r="H354" s="184"/>
      <c r="I354" s="184"/>
      <c r="J354" s="184"/>
      <c r="L354" s="184"/>
      <c r="M354" s="184"/>
      <c r="N354" s="184"/>
      <c r="O354" s="184"/>
      <c r="R354" s="185"/>
      <c r="T354" s="184"/>
      <c r="U354" s="184"/>
      <c r="V354" s="184"/>
      <c r="X354" s="184"/>
      <c r="Y354" s="184"/>
      <c r="Z354" s="184"/>
      <c r="AA354" s="184"/>
      <c r="AC354" s="184"/>
      <c r="AD354" s="184"/>
      <c r="AE354" s="184"/>
      <c r="AF354" s="184"/>
      <c r="AG354" s="184"/>
      <c r="AH354" s="184"/>
      <c r="AI354" s="184"/>
      <c r="AR354" s="186"/>
      <c r="AS354" s="187"/>
      <c r="AT354" s="187"/>
      <c r="AU354" s="187"/>
      <c r="AV354" s="246"/>
      <c r="BB354" s="377"/>
      <c r="BC354" s="377"/>
      <c r="BD354" s="377"/>
    </row>
    <row r="355" spans="1:56" s="163" customFormat="1" ht="16.5" customHeight="1">
      <c r="A355" s="247"/>
      <c r="B355" s="244"/>
      <c r="C355" s="245"/>
      <c r="D355" s="245"/>
      <c r="E355" s="183"/>
      <c r="F355" s="183"/>
      <c r="G355" s="183"/>
      <c r="H355" s="184"/>
      <c r="I355" s="184"/>
      <c r="J355" s="184"/>
      <c r="L355" s="184"/>
      <c r="M355" s="184"/>
      <c r="N355" s="184"/>
      <c r="O355" s="184"/>
      <c r="R355" s="185"/>
      <c r="T355" s="184"/>
      <c r="U355" s="184"/>
      <c r="V355" s="184"/>
      <c r="X355" s="184"/>
      <c r="Y355" s="184"/>
      <c r="Z355" s="184"/>
      <c r="AA355" s="184"/>
      <c r="AC355" s="184"/>
      <c r="AD355" s="184"/>
      <c r="AE355" s="184"/>
      <c r="AF355" s="184"/>
      <c r="AG355" s="184"/>
      <c r="AH355" s="184"/>
      <c r="AI355" s="184"/>
      <c r="AR355" s="186"/>
      <c r="AS355" s="187"/>
      <c r="AT355" s="187"/>
      <c r="AU355" s="187"/>
      <c r="AV355" s="246"/>
      <c r="BB355" s="377"/>
      <c r="BC355" s="377"/>
      <c r="BD355" s="377"/>
    </row>
    <row r="356" spans="1:56" s="163" customFormat="1" ht="16.5" customHeight="1">
      <c r="A356" s="247"/>
      <c r="B356" s="244"/>
      <c r="C356" s="245"/>
      <c r="D356" s="245"/>
      <c r="E356" s="183"/>
      <c r="F356" s="183"/>
      <c r="G356" s="183"/>
      <c r="H356" s="184"/>
      <c r="I356" s="184"/>
      <c r="J356" s="184"/>
      <c r="L356" s="184"/>
      <c r="M356" s="184"/>
      <c r="N356" s="184"/>
      <c r="O356" s="184"/>
      <c r="R356" s="185"/>
      <c r="T356" s="184"/>
      <c r="U356" s="184"/>
      <c r="V356" s="184"/>
      <c r="X356" s="184"/>
      <c r="Y356" s="184"/>
      <c r="Z356" s="184"/>
      <c r="AA356" s="184"/>
      <c r="AC356" s="184"/>
      <c r="AD356" s="184"/>
      <c r="AE356" s="184"/>
      <c r="AF356" s="184"/>
      <c r="AG356" s="184"/>
      <c r="AH356" s="184"/>
      <c r="AI356" s="184"/>
      <c r="AR356" s="186"/>
      <c r="AS356" s="187"/>
      <c r="AT356" s="187"/>
      <c r="AU356" s="187"/>
      <c r="AV356" s="246"/>
      <c r="BB356" s="377"/>
      <c r="BC356" s="377"/>
      <c r="BD356" s="377"/>
    </row>
    <row r="357" spans="1:56" s="163" customFormat="1" ht="16.5" customHeight="1">
      <c r="A357" s="247"/>
      <c r="B357" s="244"/>
      <c r="C357" s="245"/>
      <c r="D357" s="245"/>
      <c r="E357" s="183"/>
      <c r="F357" s="183"/>
      <c r="G357" s="183"/>
      <c r="H357" s="184"/>
      <c r="I357" s="184"/>
      <c r="J357" s="184"/>
      <c r="L357" s="184"/>
      <c r="M357" s="184"/>
      <c r="N357" s="184"/>
      <c r="O357" s="184"/>
      <c r="R357" s="185"/>
      <c r="T357" s="184"/>
      <c r="U357" s="184"/>
      <c r="V357" s="184"/>
      <c r="X357" s="184"/>
      <c r="Y357" s="184"/>
      <c r="Z357" s="184"/>
      <c r="AA357" s="184"/>
      <c r="AC357" s="184"/>
      <c r="AD357" s="184"/>
      <c r="AE357" s="184"/>
      <c r="AF357" s="184"/>
      <c r="AG357" s="184"/>
      <c r="AH357" s="184"/>
      <c r="AI357" s="184"/>
      <c r="AR357" s="186"/>
      <c r="AS357" s="187"/>
      <c r="AT357" s="187"/>
      <c r="AU357" s="187"/>
      <c r="AV357" s="246"/>
      <c r="BB357" s="377"/>
      <c r="BC357" s="377"/>
      <c r="BD357" s="377"/>
    </row>
    <row r="358" spans="1:56" s="163" customFormat="1" ht="16.5" customHeight="1">
      <c r="A358" s="247"/>
      <c r="B358" s="244"/>
      <c r="C358" s="245"/>
      <c r="D358" s="245"/>
      <c r="E358" s="183"/>
      <c r="F358" s="183"/>
      <c r="G358" s="183"/>
      <c r="H358" s="184"/>
      <c r="I358" s="184"/>
      <c r="J358" s="184"/>
      <c r="L358" s="184"/>
      <c r="M358" s="184"/>
      <c r="N358" s="184"/>
      <c r="O358" s="184"/>
      <c r="R358" s="185"/>
      <c r="T358" s="184"/>
      <c r="U358" s="184"/>
      <c r="V358" s="184"/>
      <c r="X358" s="184"/>
      <c r="Y358" s="184"/>
      <c r="Z358" s="184"/>
      <c r="AA358" s="184"/>
      <c r="AC358" s="184"/>
      <c r="AD358" s="184"/>
      <c r="AE358" s="184"/>
      <c r="AF358" s="184"/>
      <c r="AG358" s="184"/>
      <c r="AH358" s="184"/>
      <c r="AI358" s="184"/>
      <c r="AR358" s="186"/>
      <c r="AS358" s="187"/>
      <c r="AT358" s="187"/>
      <c r="AU358" s="187"/>
      <c r="AV358" s="246"/>
      <c r="BB358" s="377"/>
      <c r="BC358" s="377"/>
      <c r="BD358" s="377"/>
    </row>
    <row r="359" spans="1:56" s="163" customFormat="1" ht="16.5" customHeight="1">
      <c r="A359" s="247"/>
      <c r="B359" s="244"/>
      <c r="C359" s="245"/>
      <c r="D359" s="245"/>
      <c r="E359" s="183"/>
      <c r="F359" s="183"/>
      <c r="G359" s="183"/>
      <c r="H359" s="184"/>
      <c r="I359" s="184"/>
      <c r="J359" s="184"/>
      <c r="L359" s="184"/>
      <c r="M359" s="184"/>
      <c r="N359" s="184"/>
      <c r="O359" s="184"/>
      <c r="R359" s="185"/>
      <c r="T359" s="184"/>
      <c r="U359" s="184"/>
      <c r="V359" s="184"/>
      <c r="X359" s="184"/>
      <c r="Y359" s="184"/>
      <c r="Z359" s="184"/>
      <c r="AA359" s="184"/>
      <c r="AC359" s="184"/>
      <c r="AD359" s="184"/>
      <c r="AE359" s="184"/>
      <c r="AF359" s="184"/>
      <c r="AG359" s="184"/>
      <c r="AH359" s="184"/>
      <c r="AI359" s="184"/>
      <c r="AR359" s="186"/>
      <c r="AS359" s="187"/>
      <c r="AT359" s="187"/>
      <c r="AU359" s="187"/>
      <c r="AV359" s="246"/>
      <c r="BB359" s="377"/>
      <c r="BC359" s="377"/>
      <c r="BD359" s="377"/>
    </row>
    <row r="360" spans="1:56" s="163" customFormat="1" ht="16.5" customHeight="1">
      <c r="A360" s="247"/>
      <c r="B360" s="244"/>
      <c r="C360" s="245"/>
      <c r="D360" s="245"/>
      <c r="E360" s="183"/>
      <c r="F360" s="183"/>
      <c r="G360" s="183"/>
      <c r="H360" s="184"/>
      <c r="I360" s="184"/>
      <c r="J360" s="184"/>
      <c r="L360" s="184"/>
      <c r="M360" s="184"/>
      <c r="N360" s="184"/>
      <c r="O360" s="184"/>
      <c r="R360" s="185"/>
      <c r="T360" s="184"/>
      <c r="U360" s="184"/>
      <c r="V360" s="184"/>
      <c r="X360" s="184"/>
      <c r="Y360" s="184"/>
      <c r="Z360" s="184"/>
      <c r="AA360" s="184"/>
      <c r="AC360" s="184"/>
      <c r="AD360" s="184"/>
      <c r="AE360" s="184"/>
      <c r="AF360" s="184"/>
      <c r="AG360" s="184"/>
      <c r="AH360" s="184"/>
      <c r="AI360" s="184"/>
      <c r="AR360" s="186"/>
      <c r="AS360" s="187"/>
      <c r="AT360" s="187"/>
      <c r="AU360" s="187"/>
      <c r="AV360" s="246"/>
      <c r="BB360" s="377"/>
      <c r="BC360" s="377"/>
      <c r="BD360" s="377"/>
    </row>
    <row r="361" spans="1:56" s="163" customFormat="1" ht="16.5" customHeight="1">
      <c r="A361" s="247"/>
      <c r="B361" s="244"/>
      <c r="C361" s="245"/>
      <c r="D361" s="245"/>
      <c r="E361" s="183"/>
      <c r="F361" s="183"/>
      <c r="G361" s="183"/>
      <c r="H361" s="184"/>
      <c r="I361" s="184"/>
      <c r="J361" s="184"/>
      <c r="L361" s="184"/>
      <c r="M361" s="184"/>
      <c r="N361" s="184"/>
      <c r="O361" s="184"/>
      <c r="R361" s="185"/>
      <c r="T361" s="184"/>
      <c r="U361" s="184"/>
      <c r="V361" s="184"/>
      <c r="X361" s="184"/>
      <c r="Y361" s="184"/>
      <c r="Z361" s="184"/>
      <c r="AA361" s="184"/>
      <c r="AC361" s="184"/>
      <c r="AD361" s="184"/>
      <c r="AE361" s="184"/>
      <c r="AF361" s="184"/>
      <c r="AG361" s="184"/>
      <c r="AH361" s="184"/>
      <c r="AI361" s="184"/>
      <c r="AR361" s="186"/>
      <c r="AS361" s="187"/>
      <c r="AT361" s="187"/>
      <c r="AU361" s="187"/>
      <c r="AV361" s="246"/>
      <c r="BB361" s="377"/>
      <c r="BC361" s="377"/>
      <c r="BD361" s="377"/>
    </row>
    <row r="362" spans="1:56" s="163" customFormat="1" ht="16.5" customHeight="1">
      <c r="A362" s="247"/>
      <c r="B362" s="244"/>
      <c r="C362" s="245"/>
      <c r="D362" s="245"/>
      <c r="E362" s="183"/>
      <c r="F362" s="183"/>
      <c r="G362" s="183"/>
      <c r="H362" s="184"/>
      <c r="I362" s="184"/>
      <c r="J362" s="184"/>
      <c r="L362" s="184"/>
      <c r="M362" s="184"/>
      <c r="N362" s="184"/>
      <c r="O362" s="184"/>
      <c r="R362" s="185"/>
      <c r="T362" s="184"/>
      <c r="U362" s="184"/>
      <c r="V362" s="184"/>
      <c r="X362" s="184"/>
      <c r="Y362" s="184"/>
      <c r="Z362" s="184"/>
      <c r="AA362" s="184"/>
      <c r="AC362" s="184"/>
      <c r="AD362" s="184"/>
      <c r="AE362" s="184"/>
      <c r="AF362" s="184"/>
      <c r="AG362" s="184"/>
      <c r="AH362" s="184"/>
      <c r="AI362" s="184"/>
      <c r="AR362" s="186"/>
      <c r="AS362" s="187"/>
      <c r="AT362" s="187"/>
      <c r="AU362" s="187"/>
      <c r="AV362" s="246"/>
      <c r="BB362" s="377"/>
      <c r="BC362" s="377"/>
      <c r="BD362" s="377"/>
    </row>
    <row r="363" spans="1:56" s="163" customFormat="1" ht="16.5" customHeight="1">
      <c r="A363" s="247"/>
      <c r="B363" s="244"/>
      <c r="C363" s="245"/>
      <c r="D363" s="245"/>
      <c r="E363" s="183"/>
      <c r="F363" s="183"/>
      <c r="G363" s="183"/>
      <c r="H363" s="184"/>
      <c r="I363" s="184"/>
      <c r="J363" s="184"/>
      <c r="L363" s="184"/>
      <c r="M363" s="184"/>
      <c r="N363" s="184"/>
      <c r="O363" s="184"/>
      <c r="R363" s="185"/>
      <c r="T363" s="184"/>
      <c r="U363" s="184"/>
      <c r="V363" s="184"/>
      <c r="X363" s="184"/>
      <c r="Y363" s="184"/>
      <c r="Z363" s="184"/>
      <c r="AA363" s="184"/>
      <c r="AC363" s="184"/>
      <c r="AD363" s="184"/>
      <c r="AE363" s="184"/>
      <c r="AF363" s="184"/>
      <c r="AG363" s="184"/>
      <c r="AH363" s="184"/>
      <c r="AI363" s="184"/>
      <c r="AR363" s="186"/>
      <c r="AS363" s="187"/>
      <c r="AT363" s="187"/>
      <c r="AU363" s="187"/>
      <c r="AV363" s="246"/>
      <c r="BB363" s="377"/>
      <c r="BC363" s="377"/>
      <c r="BD363" s="377"/>
    </row>
    <row r="364" spans="1:56" s="163" customFormat="1" ht="16.5" customHeight="1">
      <c r="A364" s="247"/>
      <c r="B364" s="244"/>
      <c r="C364" s="245"/>
      <c r="D364" s="245"/>
      <c r="E364" s="183"/>
      <c r="F364" s="183"/>
      <c r="G364" s="183"/>
      <c r="H364" s="184"/>
      <c r="I364" s="184"/>
      <c r="J364" s="184"/>
      <c r="L364" s="184"/>
      <c r="M364" s="184"/>
      <c r="N364" s="184"/>
      <c r="O364" s="184"/>
      <c r="R364" s="185"/>
      <c r="T364" s="184"/>
      <c r="U364" s="184"/>
      <c r="V364" s="184"/>
      <c r="X364" s="184"/>
      <c r="Y364" s="184"/>
      <c r="Z364" s="184"/>
      <c r="AA364" s="184"/>
      <c r="AC364" s="184"/>
      <c r="AD364" s="184"/>
      <c r="AE364" s="184"/>
      <c r="AF364" s="184"/>
      <c r="AG364" s="184"/>
      <c r="AH364" s="184"/>
      <c r="AI364" s="184"/>
      <c r="AR364" s="186"/>
      <c r="AS364" s="187"/>
      <c r="AT364" s="187"/>
      <c r="AU364" s="187"/>
      <c r="AV364" s="246"/>
      <c r="BB364" s="377"/>
      <c r="BC364" s="377"/>
      <c r="BD364" s="377"/>
    </row>
    <row r="365" spans="1:56" s="163" customFormat="1" ht="16.5" customHeight="1">
      <c r="A365" s="247"/>
      <c r="B365" s="244"/>
      <c r="C365" s="245"/>
      <c r="D365" s="245"/>
      <c r="E365" s="183"/>
      <c r="F365" s="183"/>
      <c r="G365" s="183"/>
      <c r="H365" s="184"/>
      <c r="I365" s="184"/>
      <c r="J365" s="184"/>
      <c r="L365" s="184"/>
      <c r="M365" s="184"/>
      <c r="N365" s="184"/>
      <c r="O365" s="184"/>
      <c r="R365" s="185"/>
      <c r="T365" s="184"/>
      <c r="U365" s="184"/>
      <c r="V365" s="184"/>
      <c r="X365" s="184"/>
      <c r="Y365" s="184"/>
      <c r="Z365" s="184"/>
      <c r="AA365" s="184"/>
      <c r="AC365" s="184"/>
      <c r="AD365" s="184"/>
      <c r="AE365" s="184"/>
      <c r="AF365" s="184"/>
      <c r="AG365" s="184"/>
      <c r="AH365" s="184"/>
      <c r="AI365" s="184"/>
      <c r="AR365" s="186"/>
      <c r="AS365" s="187"/>
      <c r="AT365" s="187"/>
      <c r="AU365" s="187"/>
      <c r="AV365" s="246"/>
      <c r="BB365" s="377"/>
      <c r="BC365" s="377"/>
      <c r="BD365" s="377"/>
    </row>
    <row r="366" spans="1:56" s="163" customFormat="1" ht="16.5" customHeight="1">
      <c r="A366" s="247"/>
      <c r="B366" s="244"/>
      <c r="C366" s="245"/>
      <c r="D366" s="245"/>
      <c r="E366" s="183"/>
      <c r="F366" s="183"/>
      <c r="G366" s="183"/>
      <c r="H366" s="184"/>
      <c r="I366" s="184"/>
      <c r="J366" s="184"/>
      <c r="L366" s="184"/>
      <c r="M366" s="184"/>
      <c r="N366" s="184"/>
      <c r="O366" s="184"/>
      <c r="R366" s="185"/>
      <c r="T366" s="184"/>
      <c r="U366" s="184"/>
      <c r="V366" s="184"/>
      <c r="X366" s="184"/>
      <c r="Y366" s="184"/>
      <c r="Z366" s="184"/>
      <c r="AA366" s="184"/>
      <c r="AC366" s="184"/>
      <c r="AD366" s="184"/>
      <c r="AE366" s="184"/>
      <c r="AF366" s="184"/>
      <c r="AG366" s="184"/>
      <c r="AH366" s="184"/>
      <c r="AI366" s="184"/>
      <c r="AR366" s="186"/>
      <c r="AS366" s="187"/>
      <c r="AT366" s="187"/>
      <c r="AU366" s="187"/>
      <c r="AV366" s="246"/>
      <c r="BB366" s="377"/>
      <c r="BC366" s="377"/>
      <c r="BD366" s="377"/>
    </row>
    <row r="367" spans="1:56" s="163" customFormat="1" ht="16.5" customHeight="1">
      <c r="A367" s="247"/>
      <c r="B367" s="244"/>
      <c r="C367" s="245"/>
      <c r="D367" s="245"/>
      <c r="E367" s="183"/>
      <c r="F367" s="183"/>
      <c r="G367" s="183"/>
      <c r="H367" s="184"/>
      <c r="I367" s="184"/>
      <c r="J367" s="184"/>
      <c r="L367" s="184"/>
      <c r="M367" s="184"/>
      <c r="N367" s="184"/>
      <c r="O367" s="184"/>
      <c r="R367" s="185"/>
      <c r="T367" s="184"/>
      <c r="U367" s="184"/>
      <c r="V367" s="184"/>
      <c r="X367" s="184"/>
      <c r="Y367" s="184"/>
      <c r="Z367" s="184"/>
      <c r="AA367" s="184"/>
      <c r="AC367" s="184"/>
      <c r="AD367" s="184"/>
      <c r="AE367" s="184"/>
      <c r="AF367" s="184"/>
      <c r="AG367" s="184"/>
      <c r="AH367" s="184"/>
      <c r="AI367" s="184"/>
      <c r="AR367" s="186"/>
      <c r="AS367" s="187"/>
      <c r="AT367" s="187"/>
      <c r="AU367" s="187"/>
      <c r="AV367" s="246"/>
      <c r="BB367" s="377"/>
      <c r="BC367" s="377"/>
      <c r="BD367" s="377"/>
    </row>
    <row r="368" spans="1:56" s="163" customFormat="1" ht="16.5" customHeight="1">
      <c r="A368" s="247"/>
      <c r="B368" s="244"/>
      <c r="C368" s="245"/>
      <c r="D368" s="245"/>
      <c r="E368" s="183"/>
      <c r="F368" s="183"/>
      <c r="G368" s="183"/>
      <c r="H368" s="184"/>
      <c r="I368" s="184"/>
      <c r="J368" s="184"/>
      <c r="L368" s="184"/>
      <c r="M368" s="184"/>
      <c r="N368" s="184"/>
      <c r="O368" s="184"/>
      <c r="R368" s="185"/>
      <c r="T368" s="184"/>
      <c r="U368" s="184"/>
      <c r="V368" s="184"/>
      <c r="X368" s="184"/>
      <c r="Y368" s="184"/>
      <c r="Z368" s="184"/>
      <c r="AA368" s="184"/>
      <c r="AC368" s="184"/>
      <c r="AD368" s="184"/>
      <c r="AE368" s="184"/>
      <c r="AF368" s="184"/>
      <c r="AG368" s="184"/>
      <c r="AH368" s="184"/>
      <c r="AI368" s="184"/>
      <c r="AR368" s="186"/>
      <c r="AS368" s="187"/>
      <c r="AT368" s="187"/>
      <c r="AU368" s="187"/>
      <c r="AV368" s="246"/>
      <c r="BB368" s="377"/>
      <c r="BC368" s="377"/>
      <c r="BD368" s="377"/>
    </row>
    <row r="369" spans="1:56" s="163" customFormat="1" ht="16.5" customHeight="1">
      <c r="A369" s="247"/>
      <c r="B369" s="244"/>
      <c r="C369" s="245"/>
      <c r="D369" s="245"/>
      <c r="E369" s="183"/>
      <c r="F369" s="183"/>
      <c r="G369" s="183"/>
      <c r="H369" s="184"/>
      <c r="I369" s="184"/>
      <c r="J369" s="184"/>
      <c r="L369" s="184"/>
      <c r="M369" s="184"/>
      <c r="N369" s="184"/>
      <c r="O369" s="184"/>
      <c r="R369" s="185"/>
      <c r="T369" s="184"/>
      <c r="U369" s="184"/>
      <c r="V369" s="184"/>
      <c r="X369" s="184"/>
      <c r="Y369" s="184"/>
      <c r="Z369" s="184"/>
      <c r="AA369" s="184"/>
      <c r="AC369" s="184"/>
      <c r="AD369" s="184"/>
      <c r="AE369" s="184"/>
      <c r="AF369" s="184"/>
      <c r="AG369" s="184"/>
      <c r="AH369" s="184"/>
      <c r="AI369" s="184"/>
      <c r="AR369" s="186"/>
      <c r="AS369" s="187"/>
      <c r="AT369" s="187"/>
      <c r="AU369" s="187"/>
      <c r="AV369" s="246"/>
      <c r="BB369" s="377"/>
      <c r="BC369" s="377"/>
      <c r="BD369" s="377"/>
    </row>
    <row r="370" spans="1:56" s="163" customFormat="1" ht="16.5" customHeight="1">
      <c r="A370" s="247"/>
      <c r="B370" s="244"/>
      <c r="C370" s="245"/>
      <c r="D370" s="245"/>
      <c r="E370" s="183"/>
      <c r="F370" s="183"/>
      <c r="G370" s="183"/>
      <c r="H370" s="184"/>
      <c r="I370" s="184"/>
      <c r="J370" s="184"/>
      <c r="L370" s="184"/>
      <c r="M370" s="184"/>
      <c r="N370" s="184"/>
      <c r="O370" s="184"/>
      <c r="R370" s="185"/>
      <c r="T370" s="184"/>
      <c r="U370" s="184"/>
      <c r="V370" s="184"/>
      <c r="X370" s="184"/>
      <c r="Y370" s="184"/>
      <c r="Z370" s="184"/>
      <c r="AA370" s="184"/>
      <c r="AC370" s="184"/>
      <c r="AD370" s="184"/>
      <c r="AE370" s="184"/>
      <c r="AF370" s="184"/>
      <c r="AG370" s="184"/>
      <c r="AH370" s="184"/>
      <c r="AI370" s="184"/>
      <c r="AR370" s="186"/>
      <c r="AS370" s="187"/>
      <c r="AT370" s="187"/>
      <c r="AU370" s="187"/>
      <c r="AV370" s="246"/>
      <c r="BB370" s="377"/>
      <c r="BC370" s="377"/>
      <c r="BD370" s="377"/>
    </row>
    <row r="371" spans="1:56" s="163" customFormat="1" ht="16.5" customHeight="1">
      <c r="A371" s="247"/>
      <c r="B371" s="244"/>
      <c r="C371" s="245"/>
      <c r="D371" s="245"/>
      <c r="E371" s="183"/>
      <c r="F371" s="183"/>
      <c r="G371" s="183"/>
      <c r="H371" s="184"/>
      <c r="I371" s="184"/>
      <c r="J371" s="184"/>
      <c r="L371" s="184"/>
      <c r="M371" s="184"/>
      <c r="N371" s="184"/>
      <c r="O371" s="184"/>
      <c r="R371" s="185"/>
      <c r="T371" s="184"/>
      <c r="U371" s="184"/>
      <c r="V371" s="184"/>
      <c r="X371" s="184"/>
      <c r="Y371" s="184"/>
      <c r="Z371" s="184"/>
      <c r="AA371" s="184"/>
      <c r="AC371" s="184"/>
      <c r="AD371" s="184"/>
      <c r="AE371" s="184"/>
      <c r="AF371" s="184"/>
      <c r="AG371" s="184"/>
      <c r="AH371" s="184"/>
      <c r="AI371" s="184"/>
      <c r="AR371" s="186"/>
      <c r="AS371" s="187"/>
      <c r="AT371" s="187"/>
      <c r="AU371" s="187"/>
      <c r="AV371" s="246"/>
      <c r="BB371" s="377"/>
      <c r="BC371" s="377"/>
      <c r="BD371" s="377"/>
    </row>
    <row r="372" spans="1:56" s="163" customFormat="1" ht="16.5" customHeight="1">
      <c r="A372" s="247"/>
      <c r="B372" s="244"/>
      <c r="C372" s="245"/>
      <c r="D372" s="245"/>
      <c r="E372" s="183"/>
      <c r="F372" s="183"/>
      <c r="G372" s="183"/>
      <c r="H372" s="184"/>
      <c r="I372" s="184"/>
      <c r="J372" s="184"/>
      <c r="L372" s="184"/>
      <c r="M372" s="184"/>
      <c r="N372" s="184"/>
      <c r="O372" s="184"/>
      <c r="R372" s="185"/>
      <c r="T372" s="184"/>
      <c r="U372" s="184"/>
      <c r="V372" s="184"/>
      <c r="X372" s="184"/>
      <c r="Y372" s="184"/>
      <c r="Z372" s="184"/>
      <c r="AA372" s="184"/>
      <c r="AC372" s="184"/>
      <c r="AD372" s="184"/>
      <c r="AE372" s="184"/>
      <c r="AF372" s="184"/>
      <c r="AG372" s="184"/>
      <c r="AH372" s="184"/>
      <c r="AI372" s="184"/>
      <c r="AR372" s="186"/>
      <c r="AS372" s="187"/>
      <c r="AT372" s="187"/>
      <c r="AU372" s="187"/>
      <c r="AV372" s="246"/>
      <c r="BB372" s="377"/>
      <c r="BC372" s="377"/>
      <c r="BD372" s="377"/>
    </row>
    <row r="373" spans="1:56" s="163" customFormat="1" ht="16.5" customHeight="1">
      <c r="A373" s="247"/>
      <c r="B373" s="244"/>
      <c r="C373" s="245"/>
      <c r="D373" s="245"/>
      <c r="E373" s="183"/>
      <c r="F373" s="183"/>
      <c r="G373" s="183"/>
      <c r="H373" s="184"/>
      <c r="I373" s="184"/>
      <c r="J373" s="184"/>
      <c r="L373" s="184"/>
      <c r="M373" s="184"/>
      <c r="N373" s="184"/>
      <c r="O373" s="184"/>
      <c r="R373" s="185"/>
      <c r="T373" s="184"/>
      <c r="U373" s="184"/>
      <c r="V373" s="184"/>
      <c r="X373" s="184"/>
      <c r="Y373" s="184"/>
      <c r="Z373" s="184"/>
      <c r="AA373" s="184"/>
      <c r="AC373" s="184"/>
      <c r="AD373" s="184"/>
      <c r="AE373" s="184"/>
      <c r="AF373" s="184"/>
      <c r="AG373" s="184"/>
      <c r="AH373" s="184"/>
      <c r="AI373" s="184"/>
      <c r="AR373" s="186"/>
      <c r="AS373" s="187"/>
      <c r="AT373" s="187"/>
      <c r="AU373" s="187"/>
      <c r="AV373" s="246"/>
      <c r="BB373" s="377"/>
      <c r="BC373" s="377"/>
      <c r="BD373" s="377"/>
    </row>
    <row r="374" spans="1:56" s="163" customFormat="1" ht="16.5" customHeight="1">
      <c r="A374" s="247"/>
      <c r="B374" s="244"/>
      <c r="C374" s="245"/>
      <c r="D374" s="245"/>
      <c r="E374" s="183"/>
      <c r="F374" s="183"/>
      <c r="G374" s="183"/>
      <c r="H374" s="184"/>
      <c r="I374" s="184"/>
      <c r="J374" s="184"/>
      <c r="L374" s="184"/>
      <c r="M374" s="184"/>
      <c r="N374" s="184"/>
      <c r="O374" s="184"/>
      <c r="R374" s="185"/>
      <c r="T374" s="184"/>
      <c r="U374" s="184"/>
      <c r="V374" s="184"/>
      <c r="X374" s="184"/>
      <c r="Y374" s="184"/>
      <c r="Z374" s="184"/>
      <c r="AA374" s="184"/>
      <c r="AC374" s="184"/>
      <c r="AD374" s="184"/>
      <c r="AE374" s="184"/>
      <c r="AF374" s="184"/>
      <c r="AG374" s="184"/>
      <c r="AH374" s="184"/>
      <c r="AI374" s="184"/>
      <c r="AR374" s="186"/>
      <c r="AS374" s="187"/>
      <c r="AT374" s="187"/>
      <c r="AU374" s="187"/>
      <c r="AV374" s="246"/>
      <c r="BB374" s="377"/>
      <c r="BC374" s="377"/>
      <c r="BD374" s="377"/>
    </row>
    <row r="375" spans="1:56" s="163" customFormat="1" ht="16.5" customHeight="1">
      <c r="A375" s="247"/>
      <c r="B375" s="244"/>
      <c r="C375" s="245"/>
      <c r="D375" s="245"/>
      <c r="E375" s="183"/>
      <c r="F375" s="183"/>
      <c r="G375" s="183"/>
      <c r="H375" s="184"/>
      <c r="I375" s="184"/>
      <c r="J375" s="184"/>
      <c r="L375" s="184"/>
      <c r="M375" s="184"/>
      <c r="N375" s="184"/>
      <c r="O375" s="184"/>
      <c r="R375" s="185"/>
      <c r="T375" s="184"/>
      <c r="U375" s="184"/>
      <c r="V375" s="184"/>
      <c r="X375" s="184"/>
      <c r="Y375" s="184"/>
      <c r="Z375" s="184"/>
      <c r="AA375" s="184"/>
      <c r="AC375" s="184"/>
      <c r="AD375" s="184"/>
      <c r="AE375" s="184"/>
      <c r="AF375" s="184"/>
      <c r="AG375" s="184"/>
      <c r="AH375" s="184"/>
      <c r="AI375" s="184"/>
      <c r="AR375" s="186"/>
      <c r="AS375" s="187"/>
      <c r="AT375" s="187"/>
      <c r="AU375" s="187"/>
      <c r="AV375" s="246"/>
      <c r="BB375" s="377"/>
      <c r="BC375" s="377"/>
      <c r="BD375" s="377"/>
    </row>
    <row r="376" spans="1:56" s="163" customFormat="1" ht="16.5" customHeight="1">
      <c r="A376" s="247"/>
      <c r="B376" s="244"/>
      <c r="C376" s="245"/>
      <c r="D376" s="245"/>
      <c r="E376" s="183"/>
      <c r="F376" s="183"/>
      <c r="G376" s="183"/>
      <c r="H376" s="184"/>
      <c r="I376" s="184"/>
      <c r="J376" s="184"/>
      <c r="L376" s="184"/>
      <c r="M376" s="184"/>
      <c r="N376" s="184"/>
      <c r="O376" s="184"/>
      <c r="R376" s="185"/>
      <c r="T376" s="184"/>
      <c r="U376" s="184"/>
      <c r="V376" s="184"/>
      <c r="X376" s="184"/>
      <c r="Y376" s="184"/>
      <c r="Z376" s="184"/>
      <c r="AA376" s="184"/>
      <c r="AC376" s="184"/>
      <c r="AD376" s="184"/>
      <c r="AE376" s="184"/>
      <c r="AF376" s="184"/>
      <c r="AG376" s="184"/>
      <c r="AH376" s="184"/>
      <c r="AI376" s="184"/>
      <c r="AR376" s="186"/>
      <c r="AS376" s="187"/>
      <c r="AT376" s="187"/>
      <c r="AU376" s="187"/>
      <c r="AV376" s="246"/>
      <c r="BB376" s="377"/>
      <c r="BC376" s="377"/>
      <c r="BD376" s="377"/>
    </row>
    <row r="377" spans="1:56" s="163" customFormat="1" ht="16.5" customHeight="1">
      <c r="A377" s="247"/>
      <c r="B377" s="244"/>
      <c r="C377" s="245"/>
      <c r="D377" s="245"/>
      <c r="E377" s="183"/>
      <c r="F377" s="183"/>
      <c r="G377" s="183"/>
      <c r="H377" s="184"/>
      <c r="I377" s="184"/>
      <c r="J377" s="184"/>
      <c r="L377" s="184"/>
      <c r="M377" s="184"/>
      <c r="N377" s="184"/>
      <c r="O377" s="184"/>
      <c r="R377" s="185"/>
      <c r="T377" s="184"/>
      <c r="U377" s="184"/>
      <c r="V377" s="184"/>
      <c r="X377" s="184"/>
      <c r="Y377" s="184"/>
      <c r="Z377" s="184"/>
      <c r="AA377" s="184"/>
      <c r="AC377" s="184"/>
      <c r="AD377" s="184"/>
      <c r="AE377" s="184"/>
      <c r="AF377" s="184"/>
      <c r="AG377" s="184"/>
      <c r="AH377" s="184"/>
      <c r="AI377" s="184"/>
      <c r="AR377" s="186"/>
      <c r="AS377" s="187"/>
      <c r="AT377" s="187"/>
      <c r="AU377" s="187"/>
      <c r="AV377" s="246"/>
      <c r="BB377" s="377"/>
      <c r="BC377" s="377"/>
      <c r="BD377" s="377"/>
    </row>
    <row r="378" spans="1:56" s="163" customFormat="1" ht="16.5" customHeight="1">
      <c r="A378" s="247"/>
      <c r="B378" s="244"/>
      <c r="C378" s="245"/>
      <c r="D378" s="245"/>
      <c r="E378" s="183"/>
      <c r="F378" s="183"/>
      <c r="G378" s="183"/>
      <c r="H378" s="184"/>
      <c r="I378" s="184"/>
      <c r="J378" s="184"/>
      <c r="L378" s="184"/>
      <c r="M378" s="184"/>
      <c r="N378" s="184"/>
      <c r="O378" s="184"/>
      <c r="R378" s="185"/>
      <c r="T378" s="184"/>
      <c r="U378" s="184"/>
      <c r="V378" s="184"/>
      <c r="X378" s="184"/>
      <c r="Y378" s="184"/>
      <c r="Z378" s="184"/>
      <c r="AA378" s="184"/>
      <c r="AC378" s="184"/>
      <c r="AD378" s="184"/>
      <c r="AE378" s="184"/>
      <c r="AF378" s="184"/>
      <c r="AG378" s="184"/>
      <c r="AH378" s="184"/>
      <c r="AI378" s="184"/>
      <c r="AR378" s="186"/>
      <c r="AS378" s="187"/>
      <c r="AT378" s="187"/>
      <c r="AU378" s="187"/>
      <c r="AV378" s="246"/>
      <c r="BB378" s="377"/>
      <c r="BC378" s="377"/>
      <c r="BD378" s="377"/>
    </row>
    <row r="379" spans="1:56" s="163" customFormat="1" ht="16.5" customHeight="1">
      <c r="A379" s="247"/>
      <c r="B379" s="244"/>
      <c r="C379" s="245"/>
      <c r="D379" s="245"/>
      <c r="E379" s="183"/>
      <c r="F379" s="183"/>
      <c r="G379" s="183"/>
      <c r="H379" s="184"/>
      <c r="I379" s="184"/>
      <c r="J379" s="184"/>
      <c r="L379" s="184"/>
      <c r="M379" s="184"/>
      <c r="N379" s="184"/>
      <c r="O379" s="184"/>
      <c r="R379" s="185"/>
      <c r="T379" s="184"/>
      <c r="U379" s="184"/>
      <c r="V379" s="184"/>
      <c r="X379" s="184"/>
      <c r="Y379" s="184"/>
      <c r="Z379" s="184"/>
      <c r="AA379" s="184"/>
      <c r="AC379" s="184"/>
      <c r="AD379" s="184"/>
      <c r="AE379" s="184"/>
      <c r="AF379" s="184"/>
      <c r="AG379" s="184"/>
      <c r="AH379" s="184"/>
      <c r="AI379" s="184"/>
      <c r="AR379" s="186"/>
      <c r="AS379" s="187"/>
      <c r="AT379" s="187"/>
      <c r="AU379" s="187"/>
      <c r="AV379" s="246"/>
      <c r="BB379" s="377"/>
      <c r="BC379" s="377"/>
      <c r="BD379" s="377"/>
    </row>
    <row r="380" spans="1:56" s="163" customFormat="1" ht="16.5" customHeight="1">
      <c r="A380" s="247"/>
      <c r="B380" s="244"/>
      <c r="C380" s="245"/>
      <c r="D380" s="245"/>
      <c r="E380" s="183"/>
      <c r="F380" s="183"/>
      <c r="G380" s="183"/>
      <c r="H380" s="184"/>
      <c r="I380" s="184"/>
      <c r="J380" s="184"/>
      <c r="L380" s="184"/>
      <c r="M380" s="184"/>
      <c r="N380" s="184"/>
      <c r="O380" s="184"/>
      <c r="R380" s="185"/>
      <c r="T380" s="184"/>
      <c r="U380" s="184"/>
      <c r="V380" s="184"/>
      <c r="X380" s="184"/>
      <c r="Y380" s="184"/>
      <c r="Z380" s="184"/>
      <c r="AA380" s="184"/>
      <c r="AC380" s="184"/>
      <c r="AD380" s="184"/>
      <c r="AE380" s="184"/>
      <c r="AF380" s="184"/>
      <c r="AG380" s="184"/>
      <c r="AH380" s="184"/>
      <c r="AI380" s="184"/>
      <c r="AR380" s="186"/>
      <c r="AS380" s="187"/>
      <c r="AT380" s="187"/>
      <c r="AU380" s="187"/>
      <c r="AV380" s="246"/>
      <c r="BB380" s="377"/>
      <c r="BC380" s="377"/>
      <c r="BD380" s="377"/>
    </row>
    <row r="381" spans="1:56" s="163" customFormat="1" ht="16.5" customHeight="1">
      <c r="A381" s="247"/>
      <c r="B381" s="244"/>
      <c r="C381" s="245"/>
      <c r="D381" s="245"/>
      <c r="E381" s="183"/>
      <c r="F381" s="183"/>
      <c r="G381" s="183"/>
      <c r="H381" s="184"/>
      <c r="I381" s="184"/>
      <c r="J381" s="184"/>
      <c r="L381" s="184"/>
      <c r="M381" s="184"/>
      <c r="N381" s="184"/>
      <c r="O381" s="184"/>
      <c r="R381" s="185"/>
      <c r="T381" s="184"/>
      <c r="U381" s="184"/>
      <c r="V381" s="184"/>
      <c r="X381" s="184"/>
      <c r="Y381" s="184"/>
      <c r="Z381" s="184"/>
      <c r="AA381" s="184"/>
      <c r="AC381" s="184"/>
      <c r="AD381" s="184"/>
      <c r="AE381" s="184"/>
      <c r="AF381" s="184"/>
      <c r="AG381" s="184"/>
      <c r="AH381" s="184"/>
      <c r="AI381" s="184"/>
      <c r="AR381" s="186"/>
      <c r="AS381" s="187"/>
      <c r="AT381" s="187"/>
      <c r="AU381" s="187"/>
      <c r="AV381" s="246"/>
      <c r="BB381" s="377"/>
      <c r="BC381" s="377"/>
      <c r="BD381" s="377"/>
    </row>
    <row r="382" spans="1:56" s="163" customFormat="1" ht="16.5" customHeight="1">
      <c r="A382" s="247"/>
      <c r="B382" s="244"/>
      <c r="C382" s="245"/>
      <c r="D382" s="245"/>
      <c r="E382" s="183"/>
      <c r="F382" s="183"/>
      <c r="G382" s="183"/>
      <c r="H382" s="184"/>
      <c r="I382" s="184"/>
      <c r="J382" s="184"/>
      <c r="L382" s="184"/>
      <c r="M382" s="184"/>
      <c r="N382" s="184"/>
      <c r="O382" s="184"/>
      <c r="R382" s="185"/>
      <c r="T382" s="184"/>
      <c r="U382" s="184"/>
      <c r="V382" s="184"/>
      <c r="X382" s="184"/>
      <c r="Y382" s="184"/>
      <c r="Z382" s="184"/>
      <c r="AA382" s="184"/>
      <c r="AC382" s="184"/>
      <c r="AD382" s="184"/>
      <c r="AE382" s="184"/>
      <c r="AF382" s="184"/>
      <c r="AG382" s="184"/>
      <c r="AH382" s="184"/>
      <c r="AI382" s="184"/>
      <c r="AR382" s="186"/>
      <c r="AS382" s="187"/>
      <c r="AT382" s="187"/>
      <c r="AU382" s="187"/>
      <c r="AV382" s="246"/>
      <c r="BB382" s="377"/>
      <c r="BC382" s="377"/>
      <c r="BD382" s="377"/>
    </row>
    <row r="383" spans="1:56" s="163" customFormat="1" ht="16.5" customHeight="1">
      <c r="A383" s="247"/>
      <c r="B383" s="244"/>
      <c r="C383" s="245"/>
      <c r="D383" s="245"/>
      <c r="E383" s="183"/>
      <c r="F383" s="183"/>
      <c r="G383" s="183"/>
      <c r="H383" s="184"/>
      <c r="I383" s="184"/>
      <c r="J383" s="184"/>
      <c r="L383" s="184"/>
      <c r="M383" s="184"/>
      <c r="N383" s="184"/>
      <c r="O383" s="184"/>
      <c r="R383" s="185"/>
      <c r="T383" s="184"/>
      <c r="U383" s="184"/>
      <c r="V383" s="184"/>
      <c r="X383" s="184"/>
      <c r="Y383" s="184"/>
      <c r="Z383" s="184"/>
      <c r="AA383" s="184"/>
      <c r="AC383" s="184"/>
      <c r="AD383" s="184"/>
      <c r="AE383" s="184"/>
      <c r="AF383" s="184"/>
      <c r="AG383" s="184"/>
      <c r="AH383" s="184"/>
      <c r="AI383" s="184"/>
      <c r="AR383" s="186"/>
      <c r="AS383" s="187"/>
      <c r="AT383" s="187"/>
      <c r="AU383" s="187"/>
      <c r="AV383" s="246"/>
      <c r="BB383" s="377"/>
      <c r="BC383" s="377"/>
      <c r="BD383" s="377"/>
    </row>
    <row r="384" spans="1:56" s="163" customFormat="1" ht="16.5" customHeight="1">
      <c r="A384" s="247"/>
      <c r="B384" s="244"/>
      <c r="C384" s="245"/>
      <c r="D384" s="245"/>
      <c r="E384" s="183"/>
      <c r="F384" s="183"/>
      <c r="G384" s="183"/>
      <c r="H384" s="184"/>
      <c r="I384" s="184"/>
      <c r="J384" s="184"/>
      <c r="L384" s="184"/>
      <c r="M384" s="184"/>
      <c r="N384" s="184"/>
      <c r="O384" s="184"/>
      <c r="R384" s="185"/>
      <c r="T384" s="184"/>
      <c r="U384" s="184"/>
      <c r="V384" s="184"/>
      <c r="X384" s="184"/>
      <c r="Y384" s="184"/>
      <c r="Z384" s="184"/>
      <c r="AA384" s="184"/>
      <c r="AC384" s="184"/>
      <c r="AD384" s="184"/>
      <c r="AE384" s="184"/>
      <c r="AF384" s="184"/>
      <c r="AG384" s="184"/>
      <c r="AH384" s="184"/>
      <c r="AI384" s="184"/>
      <c r="AR384" s="186"/>
      <c r="AS384" s="187"/>
      <c r="AT384" s="187"/>
      <c r="AU384" s="187"/>
      <c r="AV384" s="246"/>
      <c r="BB384" s="377"/>
      <c r="BC384" s="377"/>
      <c r="BD384" s="377"/>
    </row>
    <row r="385" spans="1:56" s="163" customFormat="1" ht="16.5" customHeight="1">
      <c r="A385" s="247"/>
      <c r="B385" s="244"/>
      <c r="C385" s="245"/>
      <c r="D385" s="245"/>
      <c r="E385" s="183"/>
      <c r="F385" s="183"/>
      <c r="G385" s="183"/>
      <c r="H385" s="184"/>
      <c r="I385" s="184"/>
      <c r="J385" s="184"/>
      <c r="L385" s="184"/>
      <c r="M385" s="184"/>
      <c r="N385" s="184"/>
      <c r="O385" s="184"/>
      <c r="R385" s="185"/>
      <c r="T385" s="184"/>
      <c r="U385" s="184"/>
      <c r="V385" s="184"/>
      <c r="X385" s="184"/>
      <c r="Y385" s="184"/>
      <c r="Z385" s="184"/>
      <c r="AA385" s="184"/>
      <c r="AC385" s="184"/>
      <c r="AD385" s="184"/>
      <c r="AE385" s="184"/>
      <c r="AF385" s="184"/>
      <c r="AG385" s="184"/>
      <c r="AH385" s="184"/>
      <c r="AI385" s="184"/>
      <c r="AR385" s="186"/>
      <c r="AS385" s="187"/>
      <c r="AT385" s="187"/>
      <c r="AU385" s="187"/>
      <c r="AV385" s="246"/>
      <c r="BB385" s="377"/>
      <c r="BC385" s="377"/>
      <c r="BD385" s="377"/>
    </row>
    <row r="386" spans="1:56" s="163" customFormat="1" ht="16.5" customHeight="1">
      <c r="A386" s="247"/>
      <c r="B386" s="244"/>
      <c r="C386" s="245"/>
      <c r="D386" s="245"/>
      <c r="E386" s="183"/>
      <c r="F386" s="183"/>
      <c r="G386" s="183"/>
      <c r="H386" s="184"/>
      <c r="I386" s="184"/>
      <c r="J386" s="184"/>
      <c r="L386" s="184"/>
      <c r="M386" s="184"/>
      <c r="N386" s="184"/>
      <c r="O386" s="184"/>
      <c r="R386" s="185"/>
      <c r="T386" s="184"/>
      <c r="U386" s="184"/>
      <c r="V386" s="184"/>
      <c r="X386" s="184"/>
      <c r="Y386" s="184"/>
      <c r="Z386" s="184"/>
      <c r="AA386" s="184"/>
      <c r="AC386" s="184"/>
      <c r="AD386" s="184"/>
      <c r="AE386" s="184"/>
      <c r="AF386" s="184"/>
      <c r="AG386" s="184"/>
      <c r="AH386" s="184"/>
      <c r="AI386" s="184"/>
      <c r="AR386" s="186"/>
      <c r="AS386" s="187"/>
      <c r="AT386" s="187"/>
      <c r="AU386" s="187"/>
      <c r="AV386" s="246"/>
      <c r="BB386" s="377"/>
      <c r="BC386" s="377"/>
      <c r="BD386" s="377"/>
    </row>
    <row r="387" spans="1:56" s="163" customFormat="1" ht="16.5" customHeight="1">
      <c r="A387" s="247"/>
      <c r="B387" s="244"/>
      <c r="C387" s="245"/>
      <c r="D387" s="245"/>
      <c r="E387" s="183"/>
      <c r="F387" s="183"/>
      <c r="G387" s="183"/>
      <c r="H387" s="184"/>
      <c r="I387" s="184"/>
      <c r="J387" s="184"/>
      <c r="L387" s="184"/>
      <c r="M387" s="184"/>
      <c r="N387" s="184"/>
      <c r="O387" s="184"/>
      <c r="R387" s="185"/>
      <c r="T387" s="184"/>
      <c r="U387" s="184"/>
      <c r="V387" s="184"/>
      <c r="X387" s="184"/>
      <c r="Y387" s="184"/>
      <c r="Z387" s="184"/>
      <c r="AA387" s="184"/>
      <c r="AC387" s="184"/>
      <c r="AD387" s="184"/>
      <c r="AE387" s="184"/>
      <c r="AF387" s="184"/>
      <c r="AG387" s="184"/>
      <c r="AH387" s="184"/>
      <c r="AI387" s="184"/>
      <c r="AR387" s="186"/>
      <c r="AS387" s="187"/>
      <c r="AT387" s="187"/>
      <c r="AU387" s="187"/>
      <c r="AV387" s="246"/>
      <c r="BB387" s="377"/>
      <c r="BC387" s="377"/>
      <c r="BD387" s="377"/>
    </row>
    <row r="388" spans="1:56" s="163" customFormat="1" ht="16.5" customHeight="1">
      <c r="A388" s="247"/>
      <c r="B388" s="244"/>
      <c r="C388" s="245"/>
      <c r="D388" s="245"/>
      <c r="E388" s="183"/>
      <c r="F388" s="183"/>
      <c r="G388" s="183"/>
      <c r="H388" s="184"/>
      <c r="I388" s="184"/>
      <c r="J388" s="184"/>
      <c r="L388" s="184"/>
      <c r="M388" s="184"/>
      <c r="N388" s="184"/>
      <c r="O388" s="184"/>
      <c r="R388" s="185"/>
      <c r="T388" s="184"/>
      <c r="U388" s="184"/>
      <c r="V388" s="184"/>
      <c r="X388" s="184"/>
      <c r="Y388" s="184"/>
      <c r="Z388" s="184"/>
      <c r="AA388" s="184"/>
      <c r="AC388" s="184"/>
      <c r="AD388" s="184"/>
      <c r="AE388" s="184"/>
      <c r="AF388" s="184"/>
      <c r="AG388" s="184"/>
      <c r="AH388" s="184"/>
      <c r="AI388" s="184"/>
      <c r="AR388" s="186"/>
      <c r="AS388" s="187"/>
      <c r="AT388" s="187"/>
      <c r="AU388" s="187"/>
      <c r="AV388" s="246"/>
      <c r="BB388" s="377"/>
      <c r="BC388" s="377"/>
      <c r="BD388" s="377"/>
    </row>
    <row r="389" spans="1:56" s="163" customFormat="1" ht="16.5" customHeight="1">
      <c r="A389" s="247"/>
      <c r="B389" s="244"/>
      <c r="C389" s="245"/>
      <c r="D389" s="245"/>
      <c r="E389" s="183"/>
      <c r="F389" s="183"/>
      <c r="G389" s="183"/>
      <c r="H389" s="184"/>
      <c r="I389" s="184"/>
      <c r="J389" s="184"/>
      <c r="L389" s="184"/>
      <c r="M389" s="184"/>
      <c r="N389" s="184"/>
      <c r="O389" s="184"/>
      <c r="R389" s="185"/>
      <c r="T389" s="184"/>
      <c r="U389" s="184"/>
      <c r="V389" s="184"/>
      <c r="X389" s="184"/>
      <c r="Y389" s="184"/>
      <c r="Z389" s="184"/>
      <c r="AA389" s="184"/>
      <c r="AC389" s="184"/>
      <c r="AD389" s="184"/>
      <c r="AE389" s="184"/>
      <c r="AF389" s="184"/>
      <c r="AG389" s="184"/>
      <c r="AH389" s="184"/>
      <c r="AI389" s="184"/>
      <c r="AR389" s="186"/>
      <c r="AS389" s="187"/>
      <c r="AT389" s="187"/>
      <c r="AU389" s="187"/>
      <c r="AV389" s="246"/>
      <c r="BB389" s="377"/>
      <c r="BC389" s="377"/>
      <c r="BD389" s="377"/>
    </row>
    <row r="390" spans="1:56" s="163" customFormat="1" ht="16.5" customHeight="1">
      <c r="A390" s="247"/>
      <c r="B390" s="244"/>
      <c r="C390" s="245"/>
      <c r="D390" s="245"/>
      <c r="E390" s="183"/>
      <c r="F390" s="183"/>
      <c r="G390" s="183"/>
      <c r="H390" s="184"/>
      <c r="I390" s="184"/>
      <c r="J390" s="184"/>
      <c r="L390" s="184"/>
      <c r="M390" s="184"/>
      <c r="N390" s="184"/>
      <c r="O390" s="184"/>
      <c r="R390" s="185"/>
      <c r="T390" s="184"/>
      <c r="U390" s="184"/>
      <c r="V390" s="184"/>
      <c r="X390" s="184"/>
      <c r="Y390" s="184"/>
      <c r="Z390" s="184"/>
      <c r="AA390" s="184"/>
      <c r="AC390" s="184"/>
      <c r="AD390" s="184"/>
      <c r="AE390" s="184"/>
      <c r="AF390" s="184"/>
      <c r="AG390" s="184"/>
      <c r="AH390" s="184"/>
      <c r="AI390" s="184"/>
      <c r="AR390" s="186"/>
      <c r="AS390" s="187"/>
      <c r="AT390" s="187"/>
      <c r="AU390" s="187"/>
      <c r="AV390" s="246"/>
      <c r="BB390" s="377"/>
      <c r="BC390" s="377"/>
      <c r="BD390" s="377"/>
    </row>
    <row r="391" spans="1:56" s="163" customFormat="1" ht="16.5" customHeight="1">
      <c r="A391" s="247"/>
      <c r="B391" s="244"/>
      <c r="C391" s="245"/>
      <c r="D391" s="245"/>
      <c r="E391" s="183"/>
      <c r="F391" s="183"/>
      <c r="G391" s="183"/>
      <c r="H391" s="184"/>
      <c r="I391" s="184"/>
      <c r="J391" s="184"/>
      <c r="L391" s="184"/>
      <c r="M391" s="184"/>
      <c r="N391" s="184"/>
      <c r="O391" s="184"/>
      <c r="R391" s="185"/>
      <c r="T391" s="184"/>
      <c r="U391" s="184"/>
      <c r="V391" s="184"/>
      <c r="X391" s="184"/>
      <c r="Y391" s="184"/>
      <c r="Z391" s="184"/>
      <c r="AA391" s="184"/>
      <c r="AC391" s="184"/>
      <c r="AD391" s="184"/>
      <c r="AE391" s="184"/>
      <c r="AF391" s="184"/>
      <c r="AG391" s="184"/>
      <c r="AH391" s="184"/>
      <c r="AI391" s="184"/>
      <c r="AR391" s="186"/>
      <c r="AS391" s="187"/>
      <c r="AT391" s="187"/>
      <c r="AU391" s="187"/>
      <c r="AV391" s="246"/>
      <c r="BB391" s="377"/>
      <c r="BC391" s="377"/>
      <c r="BD391" s="377"/>
    </row>
    <row r="392" spans="1:56" s="163" customFormat="1" ht="16.5" customHeight="1">
      <c r="A392" s="247"/>
      <c r="B392" s="244"/>
      <c r="C392" s="245"/>
      <c r="D392" s="245"/>
      <c r="E392" s="183"/>
      <c r="F392" s="183"/>
      <c r="G392" s="183"/>
      <c r="H392" s="184"/>
      <c r="I392" s="184"/>
      <c r="J392" s="184"/>
      <c r="L392" s="184"/>
      <c r="M392" s="184"/>
      <c r="N392" s="184"/>
      <c r="O392" s="184"/>
      <c r="R392" s="185"/>
      <c r="T392" s="184"/>
      <c r="U392" s="184"/>
      <c r="V392" s="184"/>
      <c r="X392" s="184"/>
      <c r="Y392" s="184"/>
      <c r="Z392" s="184"/>
      <c r="AA392" s="184"/>
      <c r="AC392" s="184"/>
      <c r="AD392" s="184"/>
      <c r="AE392" s="184"/>
      <c r="AF392" s="184"/>
      <c r="AG392" s="184"/>
      <c r="AH392" s="184"/>
      <c r="AI392" s="184"/>
      <c r="AR392" s="186"/>
      <c r="AS392" s="187"/>
      <c r="AT392" s="187"/>
      <c r="AU392" s="187"/>
      <c r="AV392" s="246"/>
      <c r="BB392" s="377"/>
      <c r="BC392" s="377"/>
      <c r="BD392" s="377"/>
    </row>
    <row r="393" spans="1:56" s="163" customFormat="1" ht="16.5" customHeight="1">
      <c r="A393" s="247"/>
      <c r="B393" s="244"/>
      <c r="C393" s="245"/>
      <c r="D393" s="245"/>
      <c r="E393" s="183"/>
      <c r="F393" s="183"/>
      <c r="G393" s="183"/>
      <c r="H393" s="184"/>
      <c r="I393" s="184"/>
      <c r="J393" s="184"/>
      <c r="L393" s="184"/>
      <c r="M393" s="184"/>
      <c r="N393" s="184"/>
      <c r="O393" s="184"/>
      <c r="R393" s="185"/>
      <c r="T393" s="184"/>
      <c r="U393" s="184"/>
      <c r="V393" s="184"/>
      <c r="X393" s="184"/>
      <c r="Y393" s="184"/>
      <c r="Z393" s="184"/>
      <c r="AA393" s="184"/>
      <c r="AC393" s="184"/>
      <c r="AD393" s="184"/>
      <c r="AE393" s="184"/>
      <c r="AF393" s="184"/>
      <c r="AG393" s="184"/>
      <c r="AH393" s="184"/>
      <c r="AI393" s="184"/>
      <c r="AR393" s="186"/>
      <c r="AS393" s="187"/>
      <c r="AT393" s="187"/>
      <c r="AU393" s="187"/>
      <c r="AV393" s="246"/>
      <c r="BB393" s="377"/>
      <c r="BC393" s="377"/>
      <c r="BD393" s="377"/>
    </row>
    <row r="394" spans="1:56" s="163" customFormat="1" ht="16.5" customHeight="1">
      <c r="A394" s="247"/>
      <c r="B394" s="244"/>
      <c r="C394" s="245"/>
      <c r="D394" s="245"/>
      <c r="E394" s="183"/>
      <c r="F394" s="183"/>
      <c r="G394" s="183"/>
      <c r="H394" s="184"/>
      <c r="I394" s="184"/>
      <c r="J394" s="184"/>
      <c r="L394" s="184"/>
      <c r="M394" s="184"/>
      <c r="N394" s="184"/>
      <c r="O394" s="184"/>
      <c r="R394" s="185"/>
      <c r="T394" s="184"/>
      <c r="U394" s="184"/>
      <c r="V394" s="184"/>
      <c r="X394" s="184"/>
      <c r="Y394" s="184"/>
      <c r="Z394" s="184"/>
      <c r="AA394" s="184"/>
      <c r="AC394" s="184"/>
      <c r="AD394" s="184"/>
      <c r="AE394" s="184"/>
      <c r="AF394" s="184"/>
      <c r="AG394" s="184"/>
      <c r="AH394" s="184"/>
      <c r="AI394" s="184"/>
      <c r="AR394" s="186"/>
      <c r="AS394" s="187"/>
      <c r="AT394" s="187"/>
      <c r="AU394" s="187"/>
      <c r="AV394" s="246"/>
      <c r="BB394" s="377"/>
      <c r="BC394" s="377"/>
      <c r="BD394" s="377"/>
    </row>
    <row r="395" spans="1:56" s="163" customFormat="1" ht="16.5" customHeight="1">
      <c r="A395" s="247"/>
      <c r="B395" s="244"/>
      <c r="C395" s="245"/>
      <c r="D395" s="245"/>
      <c r="E395" s="183"/>
      <c r="F395" s="183"/>
      <c r="G395" s="183"/>
      <c r="H395" s="184"/>
      <c r="I395" s="184"/>
      <c r="J395" s="184"/>
      <c r="L395" s="184"/>
      <c r="M395" s="184"/>
      <c r="N395" s="184"/>
      <c r="O395" s="184"/>
      <c r="R395" s="185"/>
      <c r="T395" s="184"/>
      <c r="U395" s="184"/>
      <c r="V395" s="184"/>
      <c r="X395" s="184"/>
      <c r="Y395" s="184"/>
      <c r="Z395" s="184"/>
      <c r="AA395" s="184"/>
      <c r="AC395" s="184"/>
      <c r="AD395" s="184"/>
      <c r="AE395" s="184"/>
      <c r="AF395" s="184"/>
      <c r="AG395" s="184"/>
      <c r="AH395" s="184"/>
      <c r="AI395" s="184"/>
      <c r="AR395" s="186"/>
      <c r="AS395" s="187"/>
      <c r="AT395" s="187"/>
      <c r="AU395" s="187"/>
      <c r="AV395" s="246"/>
      <c r="BB395" s="377"/>
      <c r="BC395" s="377"/>
      <c r="BD395" s="377"/>
    </row>
    <row r="396" spans="1:56" s="163" customFormat="1" ht="16.5" customHeight="1">
      <c r="A396" s="247"/>
      <c r="B396" s="244"/>
      <c r="C396" s="245"/>
      <c r="D396" s="245"/>
      <c r="E396" s="183"/>
      <c r="F396" s="183"/>
      <c r="G396" s="183"/>
      <c r="H396" s="184"/>
      <c r="I396" s="184"/>
      <c r="J396" s="184"/>
      <c r="L396" s="184"/>
      <c r="M396" s="184"/>
      <c r="N396" s="184"/>
      <c r="O396" s="184"/>
      <c r="R396" s="185"/>
      <c r="T396" s="184"/>
      <c r="U396" s="184"/>
      <c r="V396" s="184"/>
      <c r="X396" s="184"/>
      <c r="Y396" s="184"/>
      <c r="Z396" s="184"/>
      <c r="AA396" s="184"/>
      <c r="AC396" s="184"/>
      <c r="AD396" s="184"/>
      <c r="AE396" s="184"/>
      <c r="AF396" s="184"/>
      <c r="AG396" s="184"/>
      <c r="AH396" s="184"/>
      <c r="AI396" s="184"/>
      <c r="AR396" s="186"/>
      <c r="AS396" s="187"/>
      <c r="AT396" s="187"/>
      <c r="AU396" s="187"/>
      <c r="AV396" s="246"/>
      <c r="BB396" s="377"/>
      <c r="BC396" s="377"/>
      <c r="BD396" s="377"/>
    </row>
    <row r="397" spans="1:56" s="163" customFormat="1" ht="16.5" customHeight="1">
      <c r="A397" s="247"/>
      <c r="B397" s="244"/>
      <c r="C397" s="245"/>
      <c r="D397" s="245"/>
      <c r="E397" s="183"/>
      <c r="F397" s="183"/>
      <c r="G397" s="183"/>
      <c r="H397" s="184"/>
      <c r="I397" s="184"/>
      <c r="J397" s="184"/>
      <c r="L397" s="184"/>
      <c r="M397" s="184"/>
      <c r="N397" s="184"/>
      <c r="O397" s="184"/>
      <c r="R397" s="185"/>
      <c r="T397" s="184"/>
      <c r="U397" s="184"/>
      <c r="V397" s="184"/>
      <c r="X397" s="184"/>
      <c r="Y397" s="184"/>
      <c r="Z397" s="184"/>
      <c r="AA397" s="184"/>
      <c r="AC397" s="184"/>
      <c r="AD397" s="184"/>
      <c r="AE397" s="184"/>
      <c r="AF397" s="184"/>
      <c r="AG397" s="184"/>
      <c r="AH397" s="184"/>
      <c r="AI397" s="184"/>
      <c r="AR397" s="186"/>
      <c r="AS397" s="187"/>
      <c r="AT397" s="187"/>
      <c r="AU397" s="187"/>
      <c r="AV397" s="246"/>
      <c r="BB397" s="377"/>
      <c r="BC397" s="377"/>
      <c r="BD397" s="377"/>
    </row>
    <row r="398" spans="1:56" s="163" customFormat="1" ht="16.5" customHeight="1">
      <c r="A398" s="247"/>
      <c r="B398" s="244"/>
      <c r="C398" s="245"/>
      <c r="D398" s="245"/>
      <c r="E398" s="183"/>
      <c r="F398" s="183"/>
      <c r="G398" s="183"/>
      <c r="H398" s="184"/>
      <c r="I398" s="184"/>
      <c r="J398" s="184"/>
      <c r="L398" s="184"/>
      <c r="M398" s="184"/>
      <c r="N398" s="184"/>
      <c r="O398" s="184"/>
      <c r="R398" s="185"/>
      <c r="T398" s="184"/>
      <c r="U398" s="184"/>
      <c r="V398" s="184"/>
      <c r="X398" s="184"/>
      <c r="Y398" s="184"/>
      <c r="Z398" s="184"/>
      <c r="AA398" s="184"/>
      <c r="AC398" s="184"/>
      <c r="AD398" s="184"/>
      <c r="AE398" s="184"/>
      <c r="AF398" s="184"/>
      <c r="AG398" s="184"/>
      <c r="AH398" s="184"/>
      <c r="AI398" s="184"/>
      <c r="AR398" s="186"/>
      <c r="AS398" s="187"/>
      <c r="AT398" s="187"/>
      <c r="AU398" s="187"/>
      <c r="AV398" s="246"/>
      <c r="BB398" s="377"/>
      <c r="BC398" s="377"/>
      <c r="BD398" s="377"/>
    </row>
    <row r="399" spans="1:56" s="163" customFormat="1" ht="16.5" customHeight="1">
      <c r="A399" s="247"/>
      <c r="B399" s="244"/>
      <c r="C399" s="245"/>
      <c r="D399" s="245"/>
      <c r="E399" s="183"/>
      <c r="F399" s="183"/>
      <c r="G399" s="183"/>
      <c r="H399" s="184"/>
      <c r="I399" s="184"/>
      <c r="J399" s="184"/>
      <c r="L399" s="184"/>
      <c r="M399" s="184"/>
      <c r="N399" s="184"/>
      <c r="O399" s="184"/>
      <c r="R399" s="185"/>
      <c r="T399" s="184"/>
      <c r="U399" s="184"/>
      <c r="V399" s="184"/>
      <c r="X399" s="184"/>
      <c r="Y399" s="184"/>
      <c r="Z399" s="184"/>
      <c r="AA399" s="184"/>
      <c r="AC399" s="184"/>
      <c r="AD399" s="184"/>
      <c r="AE399" s="184"/>
      <c r="AF399" s="184"/>
      <c r="AG399" s="184"/>
      <c r="AH399" s="184"/>
      <c r="AI399" s="184"/>
      <c r="AR399" s="186"/>
      <c r="AS399" s="187"/>
      <c r="AT399" s="187"/>
      <c r="AU399" s="187"/>
      <c r="AV399" s="246"/>
      <c r="BB399" s="377"/>
      <c r="BC399" s="377"/>
      <c r="BD399" s="377"/>
    </row>
    <row r="400" spans="1:56" s="163" customFormat="1" ht="16.5" customHeight="1">
      <c r="A400" s="247"/>
      <c r="B400" s="244"/>
      <c r="C400" s="245"/>
      <c r="D400" s="245"/>
      <c r="E400" s="183"/>
      <c r="F400" s="183"/>
      <c r="G400" s="183"/>
      <c r="H400" s="184"/>
      <c r="I400" s="184"/>
      <c r="J400" s="184"/>
      <c r="L400" s="184"/>
      <c r="M400" s="184"/>
      <c r="N400" s="184"/>
      <c r="O400" s="184"/>
      <c r="R400" s="185"/>
      <c r="T400" s="184"/>
      <c r="U400" s="184"/>
      <c r="V400" s="184"/>
      <c r="X400" s="184"/>
      <c r="Y400" s="184"/>
      <c r="Z400" s="184"/>
      <c r="AA400" s="184"/>
      <c r="AC400" s="184"/>
      <c r="AD400" s="184"/>
      <c r="AE400" s="184"/>
      <c r="AF400" s="184"/>
      <c r="AG400" s="184"/>
      <c r="AH400" s="184"/>
      <c r="AI400" s="184"/>
      <c r="AR400" s="186"/>
      <c r="AS400" s="187"/>
      <c r="AT400" s="187"/>
      <c r="AU400" s="187"/>
      <c r="AV400" s="246"/>
      <c r="BB400" s="377"/>
      <c r="BC400" s="377"/>
      <c r="BD400" s="377"/>
    </row>
    <row r="401" spans="1:56" s="163" customFormat="1" ht="16.5" customHeight="1">
      <c r="A401" s="247"/>
      <c r="B401" s="244"/>
      <c r="C401" s="245"/>
      <c r="D401" s="245"/>
      <c r="E401" s="183"/>
      <c r="F401" s="183"/>
      <c r="G401" s="183"/>
      <c r="H401" s="184"/>
      <c r="I401" s="184"/>
      <c r="J401" s="184"/>
      <c r="L401" s="184"/>
      <c r="M401" s="184"/>
      <c r="N401" s="184"/>
      <c r="O401" s="184"/>
      <c r="R401" s="185"/>
      <c r="T401" s="184"/>
      <c r="U401" s="184"/>
      <c r="V401" s="184"/>
      <c r="X401" s="184"/>
      <c r="Y401" s="184"/>
      <c r="Z401" s="184"/>
      <c r="AA401" s="184"/>
      <c r="AC401" s="184"/>
      <c r="AD401" s="184"/>
      <c r="AE401" s="184"/>
      <c r="AF401" s="184"/>
      <c r="AG401" s="184"/>
      <c r="AH401" s="184"/>
      <c r="AI401" s="184"/>
      <c r="AR401" s="186"/>
      <c r="AS401" s="187"/>
      <c r="AT401" s="187"/>
      <c r="AU401" s="187"/>
      <c r="AV401" s="246"/>
      <c r="BB401" s="377"/>
      <c r="BC401" s="377"/>
      <c r="BD401" s="377"/>
    </row>
    <row r="402" spans="1:56" s="163" customFormat="1" ht="16.5" customHeight="1">
      <c r="A402" s="247"/>
      <c r="B402" s="244"/>
      <c r="C402" s="245"/>
      <c r="D402" s="245"/>
      <c r="E402" s="183"/>
      <c r="F402" s="183"/>
      <c r="G402" s="183"/>
      <c r="H402" s="184"/>
      <c r="I402" s="184"/>
      <c r="J402" s="184"/>
      <c r="L402" s="184"/>
      <c r="M402" s="184"/>
      <c r="N402" s="184"/>
      <c r="O402" s="184"/>
      <c r="R402" s="185"/>
      <c r="T402" s="184"/>
      <c r="U402" s="184"/>
      <c r="V402" s="184"/>
      <c r="X402" s="184"/>
      <c r="Y402" s="184"/>
      <c r="Z402" s="184"/>
      <c r="AA402" s="184"/>
      <c r="AC402" s="184"/>
      <c r="AD402" s="184"/>
      <c r="AE402" s="184"/>
      <c r="AF402" s="184"/>
      <c r="AG402" s="184"/>
      <c r="AH402" s="184"/>
      <c r="AI402" s="184"/>
      <c r="AR402" s="186"/>
      <c r="AS402" s="187"/>
      <c r="AT402" s="187"/>
      <c r="AU402" s="187"/>
      <c r="AV402" s="246"/>
      <c r="BB402" s="377"/>
      <c r="BC402" s="377"/>
      <c r="BD402" s="377"/>
    </row>
    <row r="403" spans="1:56" s="163" customFormat="1" ht="16.5" customHeight="1">
      <c r="A403" s="247"/>
      <c r="B403" s="244"/>
      <c r="C403" s="245"/>
      <c r="D403" s="245"/>
      <c r="E403" s="183"/>
      <c r="F403" s="183"/>
      <c r="G403" s="183"/>
      <c r="H403" s="184"/>
      <c r="I403" s="184"/>
      <c r="J403" s="184"/>
      <c r="L403" s="184"/>
      <c r="M403" s="184"/>
      <c r="N403" s="184"/>
      <c r="O403" s="184"/>
      <c r="R403" s="185"/>
      <c r="T403" s="184"/>
      <c r="U403" s="184"/>
      <c r="V403" s="184"/>
      <c r="X403" s="184"/>
      <c r="Y403" s="184"/>
      <c r="Z403" s="184"/>
      <c r="AA403" s="184"/>
      <c r="AC403" s="184"/>
      <c r="AD403" s="184"/>
      <c r="AE403" s="184"/>
      <c r="AF403" s="184"/>
      <c r="AG403" s="184"/>
      <c r="AH403" s="184"/>
      <c r="AI403" s="184"/>
      <c r="AR403" s="186"/>
      <c r="AS403" s="187"/>
      <c r="AT403" s="187"/>
      <c r="AU403" s="187"/>
      <c r="AV403" s="246"/>
      <c r="BB403" s="377"/>
      <c r="BC403" s="377"/>
      <c r="BD403" s="377"/>
    </row>
    <row r="404" spans="1:56" s="163" customFormat="1" ht="16.5" customHeight="1">
      <c r="A404" s="247"/>
      <c r="B404" s="244"/>
      <c r="C404" s="245"/>
      <c r="D404" s="245"/>
      <c r="E404" s="183"/>
      <c r="F404" s="183"/>
      <c r="G404" s="183"/>
      <c r="H404" s="184"/>
      <c r="I404" s="184"/>
      <c r="J404" s="184"/>
      <c r="L404" s="184"/>
      <c r="M404" s="184"/>
      <c r="N404" s="184"/>
      <c r="O404" s="184"/>
      <c r="R404" s="185"/>
      <c r="T404" s="184"/>
      <c r="U404" s="184"/>
      <c r="V404" s="184"/>
      <c r="X404" s="184"/>
      <c r="Y404" s="184"/>
      <c r="Z404" s="184"/>
      <c r="AA404" s="184"/>
      <c r="AC404" s="184"/>
      <c r="AD404" s="184"/>
      <c r="AE404" s="184"/>
      <c r="AF404" s="184"/>
      <c r="AG404" s="184"/>
      <c r="AH404" s="184"/>
      <c r="AI404" s="184"/>
      <c r="AR404" s="186"/>
      <c r="AS404" s="187"/>
      <c r="AT404" s="187"/>
      <c r="AU404" s="187"/>
      <c r="AV404" s="246"/>
      <c r="BB404" s="377"/>
      <c r="BC404" s="377"/>
      <c r="BD404" s="377"/>
    </row>
    <row r="405" spans="1:56" s="163" customFormat="1" ht="16.5" customHeight="1">
      <c r="A405" s="247"/>
      <c r="B405" s="244"/>
      <c r="C405" s="245"/>
      <c r="D405" s="245"/>
      <c r="E405" s="183"/>
      <c r="F405" s="183"/>
      <c r="G405" s="183"/>
      <c r="H405" s="184"/>
      <c r="I405" s="184"/>
      <c r="J405" s="184"/>
      <c r="L405" s="184"/>
      <c r="M405" s="184"/>
      <c r="N405" s="184"/>
      <c r="O405" s="184"/>
      <c r="R405" s="185"/>
      <c r="T405" s="184"/>
      <c r="U405" s="184"/>
      <c r="V405" s="184"/>
      <c r="X405" s="184"/>
      <c r="Y405" s="184"/>
      <c r="Z405" s="184"/>
      <c r="AA405" s="184"/>
      <c r="AC405" s="184"/>
      <c r="AD405" s="184"/>
      <c r="AE405" s="184"/>
      <c r="AF405" s="184"/>
      <c r="AG405" s="184"/>
      <c r="AH405" s="184"/>
      <c r="AI405" s="184"/>
      <c r="AR405" s="186"/>
      <c r="AS405" s="187"/>
      <c r="AT405" s="187"/>
      <c r="AU405" s="187"/>
      <c r="AV405" s="246"/>
      <c r="BB405" s="377"/>
      <c r="BC405" s="377"/>
      <c r="BD405" s="377"/>
    </row>
    <row r="406" spans="1:56" s="163" customFormat="1" ht="16.5" customHeight="1">
      <c r="A406" s="247"/>
      <c r="B406" s="244"/>
      <c r="C406" s="245"/>
      <c r="D406" s="245"/>
      <c r="E406" s="183"/>
      <c r="F406" s="183"/>
      <c r="G406" s="183"/>
      <c r="H406" s="184"/>
      <c r="I406" s="184"/>
      <c r="J406" s="184"/>
      <c r="L406" s="184"/>
      <c r="M406" s="184"/>
      <c r="N406" s="184"/>
      <c r="O406" s="184"/>
      <c r="R406" s="185"/>
      <c r="T406" s="184"/>
      <c r="U406" s="184"/>
      <c r="V406" s="184"/>
      <c r="X406" s="184"/>
      <c r="Y406" s="184"/>
      <c r="Z406" s="184"/>
      <c r="AA406" s="184"/>
      <c r="AC406" s="184"/>
      <c r="AD406" s="184"/>
      <c r="AE406" s="184"/>
      <c r="AF406" s="184"/>
      <c r="AG406" s="184"/>
      <c r="AH406" s="184"/>
      <c r="AI406" s="184"/>
      <c r="AR406" s="186"/>
      <c r="AS406" s="187"/>
      <c r="AT406" s="187"/>
      <c r="AU406" s="187"/>
      <c r="AV406" s="246"/>
      <c r="BB406" s="377"/>
      <c r="BC406" s="377"/>
      <c r="BD406" s="377"/>
    </row>
    <row r="407" spans="1:56" s="163" customFormat="1" ht="16.5" customHeight="1">
      <c r="A407" s="247"/>
      <c r="B407" s="244"/>
      <c r="C407" s="245"/>
      <c r="D407" s="245"/>
      <c r="E407" s="183"/>
      <c r="F407" s="183"/>
      <c r="G407" s="183"/>
      <c r="H407" s="184"/>
      <c r="I407" s="184"/>
      <c r="J407" s="184"/>
      <c r="L407" s="184"/>
      <c r="M407" s="184"/>
      <c r="N407" s="184"/>
      <c r="O407" s="184"/>
      <c r="R407" s="185"/>
      <c r="T407" s="184"/>
      <c r="U407" s="184"/>
      <c r="V407" s="184"/>
      <c r="X407" s="184"/>
      <c r="Y407" s="184"/>
      <c r="Z407" s="184"/>
      <c r="AA407" s="184"/>
      <c r="AC407" s="184"/>
      <c r="AD407" s="184"/>
      <c r="AE407" s="184"/>
      <c r="AF407" s="184"/>
      <c r="AG407" s="184"/>
      <c r="AH407" s="184"/>
      <c r="AI407" s="184"/>
      <c r="AR407" s="186"/>
      <c r="AS407" s="187"/>
      <c r="AT407" s="187"/>
      <c r="AU407" s="187"/>
      <c r="AV407" s="246"/>
      <c r="BB407" s="377"/>
      <c r="BC407" s="377"/>
      <c r="BD407" s="377"/>
    </row>
    <row r="408" spans="1:56" s="163" customFormat="1" ht="16.5" customHeight="1">
      <c r="A408" s="247"/>
      <c r="B408" s="244"/>
      <c r="C408" s="245"/>
      <c r="D408" s="245"/>
      <c r="E408" s="183"/>
      <c r="F408" s="183"/>
      <c r="G408" s="183"/>
      <c r="H408" s="184"/>
      <c r="I408" s="184"/>
      <c r="J408" s="184"/>
      <c r="L408" s="184"/>
      <c r="M408" s="184"/>
      <c r="N408" s="184"/>
      <c r="O408" s="184"/>
      <c r="R408" s="185"/>
      <c r="T408" s="184"/>
      <c r="U408" s="184"/>
      <c r="V408" s="184"/>
      <c r="X408" s="184"/>
      <c r="Y408" s="184"/>
      <c r="Z408" s="184"/>
      <c r="AA408" s="184"/>
      <c r="AC408" s="184"/>
      <c r="AD408" s="184"/>
      <c r="AE408" s="184"/>
      <c r="AF408" s="184"/>
      <c r="AG408" s="184"/>
      <c r="AH408" s="184"/>
      <c r="AI408" s="184"/>
      <c r="AR408" s="186"/>
      <c r="AS408" s="187"/>
      <c r="AT408" s="187"/>
      <c r="AU408" s="187"/>
      <c r="AV408" s="246"/>
      <c r="BB408" s="377"/>
      <c r="BC408" s="377"/>
      <c r="BD408" s="377"/>
    </row>
    <row r="409" spans="1:56" s="163" customFormat="1" ht="16.5" customHeight="1">
      <c r="A409" s="247"/>
      <c r="B409" s="244"/>
      <c r="C409" s="245"/>
      <c r="D409" s="245"/>
      <c r="E409" s="183"/>
      <c r="F409" s="183"/>
      <c r="G409" s="183"/>
      <c r="H409" s="184"/>
      <c r="I409" s="184"/>
      <c r="J409" s="184"/>
      <c r="L409" s="184"/>
      <c r="M409" s="184"/>
      <c r="N409" s="184"/>
      <c r="O409" s="184"/>
      <c r="R409" s="185"/>
      <c r="T409" s="184"/>
      <c r="U409" s="184"/>
      <c r="V409" s="184"/>
      <c r="X409" s="184"/>
      <c r="Y409" s="184"/>
      <c r="Z409" s="184"/>
      <c r="AA409" s="184"/>
      <c r="AC409" s="184"/>
      <c r="AD409" s="184"/>
      <c r="AE409" s="184"/>
      <c r="AF409" s="184"/>
      <c r="AG409" s="184"/>
      <c r="AH409" s="184"/>
      <c r="AI409" s="184"/>
      <c r="AR409" s="186"/>
      <c r="AS409" s="187"/>
      <c r="AT409" s="187"/>
      <c r="AU409" s="187"/>
      <c r="AV409" s="246"/>
      <c r="BB409" s="377"/>
      <c r="BC409" s="377"/>
      <c r="BD409" s="377"/>
    </row>
    <row r="410" spans="1:56" s="163" customFormat="1" ht="16.5" customHeight="1">
      <c r="A410" s="247"/>
      <c r="B410" s="244"/>
      <c r="C410" s="245"/>
      <c r="D410" s="245"/>
      <c r="E410" s="183"/>
      <c r="F410" s="183"/>
      <c r="G410" s="183"/>
      <c r="H410" s="184"/>
      <c r="I410" s="184"/>
      <c r="J410" s="184"/>
      <c r="L410" s="184"/>
      <c r="M410" s="184"/>
      <c r="N410" s="184"/>
      <c r="O410" s="184"/>
      <c r="R410" s="185"/>
      <c r="T410" s="184"/>
      <c r="U410" s="184"/>
      <c r="V410" s="184"/>
      <c r="X410" s="184"/>
      <c r="Y410" s="184"/>
      <c r="Z410" s="184"/>
      <c r="AA410" s="184"/>
      <c r="AC410" s="184"/>
      <c r="AD410" s="184"/>
      <c r="AE410" s="184"/>
      <c r="AF410" s="184"/>
      <c r="AG410" s="184"/>
      <c r="AH410" s="184"/>
      <c r="AI410" s="184"/>
      <c r="AR410" s="186"/>
      <c r="AS410" s="187"/>
      <c r="AT410" s="187"/>
      <c r="AU410" s="187"/>
      <c r="AV410" s="246"/>
      <c r="BB410" s="377"/>
      <c r="BC410" s="377"/>
      <c r="BD410" s="377"/>
    </row>
    <row r="411" spans="1:56" s="163" customFormat="1" ht="16.5" customHeight="1">
      <c r="A411" s="247"/>
      <c r="B411" s="244"/>
      <c r="C411" s="245"/>
      <c r="D411" s="245"/>
      <c r="E411" s="183"/>
      <c r="F411" s="183"/>
      <c r="G411" s="183"/>
      <c r="H411" s="184"/>
      <c r="I411" s="184"/>
      <c r="J411" s="184"/>
      <c r="L411" s="184"/>
      <c r="M411" s="184"/>
      <c r="N411" s="184"/>
      <c r="O411" s="184"/>
      <c r="R411" s="185"/>
      <c r="T411" s="184"/>
      <c r="U411" s="184"/>
      <c r="V411" s="184"/>
      <c r="X411" s="184"/>
      <c r="Y411" s="184"/>
      <c r="Z411" s="184"/>
      <c r="AA411" s="184"/>
      <c r="AC411" s="184"/>
      <c r="AD411" s="184"/>
      <c r="AE411" s="184"/>
      <c r="AF411" s="184"/>
      <c r="AG411" s="184"/>
      <c r="AH411" s="184"/>
      <c r="AI411" s="184"/>
      <c r="AR411" s="186"/>
      <c r="AS411" s="187"/>
      <c r="AT411" s="187"/>
      <c r="AU411" s="187"/>
      <c r="AV411" s="246"/>
      <c r="BB411" s="377"/>
      <c r="BC411" s="377"/>
      <c r="BD411" s="377"/>
    </row>
    <row r="412" spans="1:56" s="163" customFormat="1" ht="16.5" customHeight="1">
      <c r="A412" s="247"/>
      <c r="B412" s="244"/>
      <c r="C412" s="245"/>
      <c r="D412" s="245"/>
      <c r="E412" s="183"/>
      <c r="F412" s="183"/>
      <c r="G412" s="183"/>
      <c r="H412" s="184"/>
      <c r="I412" s="184"/>
      <c r="J412" s="184"/>
      <c r="L412" s="184"/>
      <c r="M412" s="184"/>
      <c r="N412" s="184"/>
      <c r="O412" s="184"/>
      <c r="R412" s="185"/>
      <c r="T412" s="184"/>
      <c r="U412" s="184"/>
      <c r="V412" s="184"/>
      <c r="X412" s="184"/>
      <c r="Y412" s="184"/>
      <c r="Z412" s="184"/>
      <c r="AA412" s="184"/>
      <c r="AC412" s="184"/>
      <c r="AD412" s="184"/>
      <c r="AE412" s="184"/>
      <c r="AF412" s="184"/>
      <c r="AG412" s="184"/>
      <c r="AH412" s="184"/>
      <c r="AI412" s="184"/>
      <c r="AR412" s="186"/>
      <c r="AS412" s="187"/>
      <c r="AT412" s="187"/>
      <c r="AU412" s="187"/>
      <c r="AV412" s="246"/>
      <c r="BB412" s="377"/>
      <c r="BC412" s="377"/>
      <c r="BD412" s="377"/>
    </row>
    <row r="413" spans="1:56" s="163" customFormat="1" ht="16.5" customHeight="1">
      <c r="A413" s="247"/>
      <c r="B413" s="244"/>
      <c r="C413" s="245"/>
      <c r="D413" s="245"/>
      <c r="E413" s="183"/>
      <c r="F413" s="183"/>
      <c r="G413" s="183"/>
      <c r="H413" s="184"/>
      <c r="I413" s="184"/>
      <c r="J413" s="184"/>
      <c r="L413" s="184"/>
      <c r="M413" s="184"/>
      <c r="N413" s="184"/>
      <c r="O413" s="184"/>
      <c r="R413" s="185"/>
      <c r="T413" s="184"/>
      <c r="U413" s="184"/>
      <c r="V413" s="184"/>
      <c r="X413" s="184"/>
      <c r="Y413" s="184"/>
      <c r="Z413" s="184"/>
      <c r="AA413" s="184"/>
      <c r="AC413" s="184"/>
      <c r="AD413" s="184"/>
      <c r="AE413" s="184"/>
      <c r="AF413" s="184"/>
      <c r="AG413" s="184"/>
      <c r="AH413" s="184"/>
      <c r="AI413" s="184"/>
      <c r="AR413" s="186"/>
      <c r="AS413" s="187"/>
      <c r="AT413" s="187"/>
      <c r="AU413" s="187"/>
      <c r="AV413" s="246"/>
      <c r="BB413" s="377"/>
      <c r="BC413" s="377"/>
      <c r="BD413" s="377"/>
    </row>
    <row r="414" spans="1:56" s="163" customFormat="1" ht="16.5" customHeight="1">
      <c r="A414" s="247"/>
      <c r="B414" s="244"/>
      <c r="C414" s="245"/>
      <c r="D414" s="245"/>
      <c r="E414" s="183"/>
      <c r="F414" s="183"/>
      <c r="G414" s="183"/>
      <c r="H414" s="184"/>
      <c r="I414" s="184"/>
      <c r="J414" s="184"/>
      <c r="L414" s="184"/>
      <c r="M414" s="184"/>
      <c r="N414" s="184"/>
      <c r="O414" s="184"/>
      <c r="R414" s="185"/>
      <c r="T414" s="184"/>
      <c r="U414" s="184"/>
      <c r="V414" s="184"/>
      <c r="X414" s="184"/>
      <c r="Y414" s="184"/>
      <c r="Z414" s="184"/>
      <c r="AA414" s="184"/>
      <c r="AC414" s="184"/>
      <c r="AD414" s="184"/>
      <c r="AE414" s="184"/>
      <c r="AF414" s="184"/>
      <c r="AG414" s="184"/>
      <c r="AH414" s="184"/>
      <c r="AI414" s="184"/>
      <c r="AR414" s="186"/>
      <c r="AS414" s="187"/>
      <c r="AT414" s="187"/>
      <c r="AU414" s="187"/>
      <c r="AV414" s="246"/>
      <c r="BB414" s="377"/>
      <c r="BC414" s="377"/>
      <c r="BD414" s="377"/>
    </row>
    <row r="415" spans="1:56" s="163" customFormat="1" ht="16.5" customHeight="1">
      <c r="A415" s="247"/>
      <c r="B415" s="244"/>
      <c r="C415" s="245"/>
      <c r="D415" s="245"/>
      <c r="E415" s="183"/>
      <c r="F415" s="183"/>
      <c r="G415" s="183"/>
      <c r="H415" s="184"/>
      <c r="I415" s="184"/>
      <c r="J415" s="184"/>
      <c r="L415" s="184"/>
      <c r="M415" s="184"/>
      <c r="N415" s="184"/>
      <c r="O415" s="184"/>
      <c r="R415" s="185"/>
      <c r="T415" s="184"/>
      <c r="U415" s="184"/>
      <c r="V415" s="184"/>
      <c r="X415" s="184"/>
      <c r="Y415" s="184"/>
      <c r="Z415" s="184"/>
      <c r="AA415" s="184"/>
      <c r="AC415" s="184"/>
      <c r="AD415" s="184"/>
      <c r="AE415" s="184"/>
      <c r="AF415" s="184"/>
      <c r="AG415" s="184"/>
      <c r="AH415" s="184"/>
      <c r="AI415" s="184"/>
      <c r="AR415" s="186"/>
      <c r="AS415" s="187"/>
      <c r="AT415" s="187"/>
      <c r="AU415" s="187"/>
      <c r="AV415" s="246"/>
      <c r="BB415" s="377"/>
      <c r="BC415" s="377"/>
      <c r="BD415" s="377"/>
    </row>
    <row r="416" spans="1:56" s="163" customFormat="1" ht="16.5" customHeight="1">
      <c r="A416" s="247"/>
      <c r="B416" s="244"/>
      <c r="C416" s="245"/>
      <c r="D416" s="245"/>
      <c r="E416" s="183"/>
      <c r="F416" s="183"/>
      <c r="G416" s="183"/>
      <c r="H416" s="184"/>
      <c r="I416" s="184"/>
      <c r="J416" s="184"/>
      <c r="L416" s="184"/>
      <c r="M416" s="184"/>
      <c r="N416" s="184"/>
      <c r="O416" s="184"/>
      <c r="R416" s="185"/>
      <c r="T416" s="184"/>
      <c r="U416" s="184"/>
      <c r="V416" s="184"/>
      <c r="X416" s="184"/>
      <c r="Y416" s="184"/>
      <c r="Z416" s="184"/>
      <c r="AA416" s="184"/>
      <c r="AC416" s="184"/>
      <c r="AD416" s="184"/>
      <c r="AE416" s="184"/>
      <c r="AF416" s="184"/>
      <c r="AG416" s="184"/>
      <c r="AH416" s="184"/>
      <c r="AI416" s="184"/>
      <c r="AR416" s="186"/>
      <c r="AS416" s="187"/>
      <c r="AT416" s="187"/>
      <c r="AU416" s="187"/>
      <c r="AV416" s="246"/>
      <c r="BB416" s="377"/>
      <c r="BC416" s="377"/>
      <c r="BD416" s="377"/>
    </row>
    <row r="417" spans="1:56" s="163" customFormat="1" ht="16.5" customHeight="1">
      <c r="A417" s="247"/>
      <c r="B417" s="244"/>
      <c r="C417" s="245"/>
      <c r="D417" s="245"/>
      <c r="E417" s="183"/>
      <c r="F417" s="183"/>
      <c r="G417" s="183"/>
      <c r="H417" s="184"/>
      <c r="I417" s="184"/>
      <c r="J417" s="184"/>
      <c r="L417" s="184"/>
      <c r="M417" s="184"/>
      <c r="N417" s="184"/>
      <c r="O417" s="184"/>
      <c r="R417" s="185"/>
      <c r="T417" s="184"/>
      <c r="U417" s="184"/>
      <c r="V417" s="184"/>
      <c r="X417" s="184"/>
      <c r="Y417" s="184"/>
      <c r="Z417" s="184"/>
      <c r="AA417" s="184"/>
      <c r="AC417" s="184"/>
      <c r="AD417" s="184"/>
      <c r="AE417" s="184"/>
      <c r="AF417" s="184"/>
      <c r="AG417" s="184"/>
      <c r="AH417" s="184"/>
      <c r="AI417" s="184"/>
      <c r="AR417" s="186"/>
      <c r="AS417" s="187"/>
      <c r="AT417" s="187"/>
      <c r="AU417" s="187"/>
      <c r="AV417" s="246"/>
      <c r="BB417" s="377"/>
      <c r="BC417" s="377"/>
      <c r="BD417" s="377"/>
    </row>
    <row r="418" spans="1:56" s="163" customFormat="1" ht="16.5" customHeight="1">
      <c r="A418" s="247"/>
      <c r="B418" s="244"/>
      <c r="C418" s="245"/>
      <c r="D418" s="245"/>
      <c r="E418" s="183"/>
      <c r="F418" s="183"/>
      <c r="G418" s="183"/>
      <c r="H418" s="184"/>
      <c r="I418" s="184"/>
      <c r="J418" s="184"/>
      <c r="L418" s="184"/>
      <c r="M418" s="184"/>
      <c r="N418" s="184"/>
      <c r="O418" s="184"/>
      <c r="R418" s="185"/>
      <c r="T418" s="184"/>
      <c r="U418" s="184"/>
      <c r="V418" s="184"/>
      <c r="X418" s="184"/>
      <c r="Y418" s="184"/>
      <c r="Z418" s="184"/>
      <c r="AA418" s="184"/>
      <c r="AC418" s="184"/>
      <c r="AD418" s="184"/>
      <c r="AE418" s="184"/>
      <c r="AF418" s="184"/>
      <c r="AG418" s="184"/>
      <c r="AH418" s="184"/>
      <c r="AI418" s="184"/>
      <c r="AR418" s="186"/>
      <c r="AS418" s="187"/>
      <c r="AT418" s="187"/>
      <c r="AU418" s="187"/>
      <c r="AV418" s="246"/>
      <c r="BB418" s="377"/>
      <c r="BC418" s="377"/>
      <c r="BD418" s="377"/>
    </row>
    <row r="419" spans="1:56" s="163" customFormat="1" ht="16.5" customHeight="1">
      <c r="A419" s="247"/>
      <c r="B419" s="244"/>
      <c r="C419" s="245"/>
      <c r="D419" s="245"/>
      <c r="E419" s="183"/>
      <c r="F419" s="183"/>
      <c r="G419" s="183"/>
      <c r="H419" s="184"/>
      <c r="I419" s="184"/>
      <c r="J419" s="184"/>
      <c r="L419" s="184"/>
      <c r="M419" s="184"/>
      <c r="N419" s="184"/>
      <c r="O419" s="184"/>
      <c r="R419" s="185"/>
      <c r="T419" s="184"/>
      <c r="U419" s="184"/>
      <c r="V419" s="184"/>
      <c r="X419" s="184"/>
      <c r="Y419" s="184"/>
      <c r="Z419" s="184"/>
      <c r="AA419" s="184"/>
      <c r="AC419" s="184"/>
      <c r="AD419" s="184"/>
      <c r="AE419" s="184"/>
      <c r="AF419" s="184"/>
      <c r="AG419" s="184"/>
      <c r="AH419" s="184"/>
      <c r="AI419" s="184"/>
      <c r="AR419" s="186"/>
      <c r="AS419" s="187"/>
      <c r="AT419" s="187"/>
      <c r="AU419" s="187"/>
      <c r="AV419" s="246"/>
      <c r="BB419" s="377"/>
      <c r="BC419" s="377"/>
      <c r="BD419" s="377"/>
    </row>
    <row r="420" spans="1:56" s="163" customFormat="1" ht="16.5" customHeight="1">
      <c r="A420" s="247"/>
      <c r="B420" s="244"/>
      <c r="C420" s="245"/>
      <c r="D420" s="245"/>
      <c r="E420" s="183"/>
      <c r="F420" s="183"/>
      <c r="G420" s="183"/>
      <c r="H420" s="184"/>
      <c r="I420" s="184"/>
      <c r="J420" s="184"/>
      <c r="L420" s="184"/>
      <c r="M420" s="184"/>
      <c r="N420" s="184"/>
      <c r="O420" s="184"/>
      <c r="R420" s="185"/>
      <c r="T420" s="184"/>
      <c r="U420" s="184"/>
      <c r="V420" s="184"/>
      <c r="X420" s="184"/>
      <c r="Y420" s="184"/>
      <c r="Z420" s="184"/>
      <c r="AA420" s="184"/>
      <c r="AC420" s="184"/>
      <c r="AD420" s="184"/>
      <c r="AE420" s="184"/>
      <c r="AF420" s="184"/>
      <c r="AG420" s="184"/>
      <c r="AH420" s="184"/>
      <c r="AI420" s="184"/>
      <c r="AR420" s="186"/>
      <c r="AS420" s="187"/>
      <c r="AT420" s="187"/>
      <c r="AU420" s="187"/>
      <c r="AV420" s="246"/>
      <c r="BB420" s="377"/>
      <c r="BC420" s="377"/>
      <c r="BD420" s="377"/>
    </row>
    <row r="421" spans="1:56" s="163" customFormat="1" ht="16.5" customHeight="1">
      <c r="A421" s="247"/>
      <c r="B421" s="244"/>
      <c r="C421" s="245"/>
      <c r="D421" s="245"/>
      <c r="E421" s="183"/>
      <c r="F421" s="183"/>
      <c r="G421" s="183"/>
      <c r="H421" s="184"/>
      <c r="I421" s="184"/>
      <c r="J421" s="184"/>
      <c r="L421" s="184"/>
      <c r="M421" s="184"/>
      <c r="N421" s="184"/>
      <c r="O421" s="184"/>
      <c r="R421" s="185"/>
      <c r="T421" s="184"/>
      <c r="U421" s="184"/>
      <c r="V421" s="184"/>
      <c r="X421" s="184"/>
      <c r="Y421" s="184"/>
      <c r="Z421" s="184"/>
      <c r="AA421" s="184"/>
      <c r="AC421" s="184"/>
      <c r="AD421" s="184"/>
      <c r="AE421" s="184"/>
      <c r="AF421" s="184"/>
      <c r="AG421" s="184"/>
      <c r="AH421" s="184"/>
      <c r="AI421" s="184"/>
      <c r="AR421" s="186"/>
      <c r="AS421" s="187"/>
      <c r="AT421" s="187"/>
      <c r="AU421" s="187"/>
      <c r="AV421" s="246"/>
      <c r="BB421" s="377"/>
      <c r="BC421" s="377"/>
      <c r="BD421" s="377"/>
    </row>
    <row r="422" spans="1:56" s="163" customFormat="1" ht="16.5" customHeight="1">
      <c r="A422" s="247"/>
      <c r="B422" s="244"/>
      <c r="C422" s="245"/>
      <c r="D422" s="245"/>
      <c r="E422" s="183"/>
      <c r="F422" s="183"/>
      <c r="G422" s="183"/>
      <c r="H422" s="184"/>
      <c r="I422" s="184"/>
      <c r="J422" s="184"/>
      <c r="L422" s="184"/>
      <c r="M422" s="184"/>
      <c r="N422" s="184"/>
      <c r="O422" s="184"/>
      <c r="R422" s="185"/>
      <c r="T422" s="184"/>
      <c r="U422" s="184"/>
      <c r="V422" s="184"/>
      <c r="X422" s="184"/>
      <c r="Y422" s="184"/>
      <c r="Z422" s="184"/>
      <c r="AA422" s="184"/>
      <c r="AC422" s="184"/>
      <c r="AD422" s="184"/>
      <c r="AE422" s="184"/>
      <c r="AF422" s="184"/>
      <c r="AG422" s="184"/>
      <c r="AH422" s="184"/>
      <c r="AI422" s="184"/>
      <c r="AR422" s="186"/>
      <c r="AS422" s="187"/>
      <c r="AT422" s="187"/>
      <c r="AU422" s="187"/>
      <c r="AV422" s="246"/>
      <c r="BB422" s="377"/>
      <c r="BC422" s="377"/>
      <c r="BD422" s="377"/>
    </row>
    <row r="423" spans="1:56" s="163" customFormat="1" ht="16.5" customHeight="1">
      <c r="A423" s="247"/>
      <c r="B423" s="244"/>
      <c r="C423" s="245"/>
      <c r="D423" s="245"/>
      <c r="E423" s="183"/>
      <c r="F423" s="183"/>
      <c r="G423" s="183"/>
      <c r="H423" s="184"/>
      <c r="I423" s="184"/>
      <c r="J423" s="184"/>
      <c r="L423" s="184"/>
      <c r="M423" s="184"/>
      <c r="N423" s="184"/>
      <c r="O423" s="184"/>
      <c r="R423" s="185"/>
      <c r="T423" s="184"/>
      <c r="U423" s="184"/>
      <c r="V423" s="184"/>
      <c r="X423" s="184"/>
      <c r="Y423" s="184"/>
      <c r="Z423" s="184"/>
      <c r="AA423" s="184"/>
      <c r="AC423" s="184"/>
      <c r="AD423" s="184"/>
      <c r="AE423" s="184"/>
      <c r="AF423" s="184"/>
      <c r="AG423" s="184"/>
      <c r="AH423" s="184"/>
      <c r="AI423" s="184"/>
      <c r="AR423" s="186"/>
      <c r="AS423" s="187"/>
      <c r="AT423" s="187"/>
      <c r="AU423" s="187"/>
      <c r="AV423" s="246"/>
      <c r="BB423" s="377"/>
      <c r="BC423" s="377"/>
      <c r="BD423" s="377"/>
    </row>
    <row r="424" spans="1:56" s="163" customFormat="1" ht="16.5" customHeight="1">
      <c r="A424" s="247"/>
      <c r="B424" s="244"/>
      <c r="C424" s="245"/>
      <c r="D424" s="245"/>
      <c r="E424" s="183"/>
      <c r="F424" s="183"/>
      <c r="G424" s="183"/>
      <c r="H424" s="184"/>
      <c r="I424" s="184"/>
      <c r="J424" s="184"/>
      <c r="L424" s="184"/>
      <c r="M424" s="184"/>
      <c r="N424" s="184"/>
      <c r="O424" s="184"/>
      <c r="R424" s="185"/>
      <c r="T424" s="184"/>
      <c r="U424" s="184"/>
      <c r="V424" s="184"/>
      <c r="X424" s="184"/>
      <c r="Y424" s="184"/>
      <c r="Z424" s="184"/>
      <c r="AA424" s="184"/>
      <c r="AC424" s="184"/>
      <c r="AD424" s="184"/>
      <c r="AE424" s="184"/>
      <c r="AF424" s="184"/>
      <c r="AG424" s="184"/>
      <c r="AH424" s="184"/>
      <c r="AI424" s="184"/>
      <c r="AR424" s="186"/>
      <c r="AS424" s="187"/>
      <c r="AT424" s="187"/>
      <c r="AU424" s="187"/>
      <c r="AV424" s="246"/>
      <c r="BB424" s="377"/>
      <c r="BC424" s="377"/>
      <c r="BD424" s="377"/>
    </row>
    <row r="425" spans="1:56" s="163" customFormat="1" ht="16.5" customHeight="1">
      <c r="A425" s="247"/>
      <c r="B425" s="244"/>
      <c r="C425" s="245"/>
      <c r="D425" s="245"/>
      <c r="E425" s="183"/>
      <c r="F425" s="183"/>
      <c r="G425" s="183"/>
      <c r="H425" s="184"/>
      <c r="I425" s="184"/>
      <c r="J425" s="184"/>
      <c r="L425" s="184"/>
      <c r="M425" s="184"/>
      <c r="N425" s="184"/>
      <c r="O425" s="184"/>
      <c r="R425" s="185"/>
      <c r="T425" s="184"/>
      <c r="U425" s="184"/>
      <c r="V425" s="184"/>
      <c r="X425" s="184"/>
      <c r="Y425" s="184"/>
      <c r="Z425" s="184"/>
      <c r="AA425" s="184"/>
      <c r="AC425" s="184"/>
      <c r="AD425" s="184"/>
      <c r="AE425" s="184"/>
      <c r="AF425" s="184"/>
      <c r="AG425" s="184"/>
      <c r="AH425" s="184"/>
      <c r="AI425" s="184"/>
      <c r="AR425" s="186"/>
      <c r="AS425" s="187"/>
      <c r="AT425" s="187"/>
      <c r="AU425" s="187"/>
      <c r="AV425" s="246"/>
      <c r="BB425" s="377"/>
      <c r="BC425" s="377"/>
      <c r="BD425" s="377"/>
    </row>
    <row r="426" spans="1:56" s="163" customFormat="1" ht="16.5" customHeight="1">
      <c r="A426" s="247"/>
      <c r="B426" s="244"/>
      <c r="C426" s="245"/>
      <c r="D426" s="245"/>
      <c r="E426" s="183"/>
      <c r="F426" s="183"/>
      <c r="G426" s="183"/>
      <c r="H426" s="184"/>
      <c r="I426" s="184"/>
      <c r="J426" s="184"/>
      <c r="L426" s="184"/>
      <c r="M426" s="184"/>
      <c r="N426" s="184"/>
      <c r="O426" s="184"/>
      <c r="R426" s="185"/>
      <c r="T426" s="184"/>
      <c r="U426" s="184"/>
      <c r="V426" s="184"/>
      <c r="X426" s="184"/>
      <c r="Y426" s="184"/>
      <c r="Z426" s="184"/>
      <c r="AA426" s="184"/>
      <c r="AC426" s="184"/>
      <c r="AD426" s="184"/>
      <c r="AE426" s="184"/>
      <c r="AF426" s="184"/>
      <c r="AG426" s="184"/>
      <c r="AH426" s="184"/>
      <c r="AI426" s="184"/>
      <c r="AR426" s="186"/>
      <c r="AS426" s="187"/>
      <c r="AT426" s="187"/>
      <c r="AU426" s="187"/>
      <c r="AV426" s="246"/>
      <c r="BB426" s="377"/>
      <c r="BC426" s="377"/>
      <c r="BD426" s="377"/>
    </row>
    <row r="427" spans="1:56" s="163" customFormat="1" ht="16.5" customHeight="1">
      <c r="A427" s="247"/>
      <c r="B427" s="244"/>
      <c r="C427" s="245"/>
      <c r="D427" s="245"/>
      <c r="E427" s="183"/>
      <c r="F427" s="183"/>
      <c r="G427" s="183"/>
      <c r="H427" s="184"/>
      <c r="I427" s="184"/>
      <c r="J427" s="184"/>
      <c r="L427" s="184"/>
      <c r="M427" s="184"/>
      <c r="N427" s="184"/>
      <c r="O427" s="184"/>
      <c r="R427" s="185"/>
      <c r="T427" s="184"/>
      <c r="U427" s="184"/>
      <c r="V427" s="184"/>
      <c r="X427" s="184"/>
      <c r="Y427" s="184"/>
      <c r="Z427" s="184"/>
      <c r="AA427" s="184"/>
      <c r="AC427" s="184"/>
      <c r="AD427" s="184"/>
      <c r="AE427" s="184"/>
      <c r="AF427" s="184"/>
      <c r="AG427" s="184"/>
      <c r="AH427" s="184"/>
      <c r="AI427" s="184"/>
      <c r="AR427" s="186"/>
      <c r="AS427" s="187"/>
      <c r="AT427" s="187"/>
      <c r="AU427" s="187"/>
      <c r="AV427" s="246"/>
      <c r="BB427" s="377"/>
      <c r="BC427" s="377"/>
      <c r="BD427" s="377"/>
    </row>
    <row r="428" spans="1:56" s="163" customFormat="1" ht="16.5" customHeight="1">
      <c r="A428" s="247"/>
      <c r="B428" s="244"/>
      <c r="C428" s="245"/>
      <c r="D428" s="245"/>
      <c r="E428" s="183"/>
      <c r="F428" s="183"/>
      <c r="G428" s="183"/>
      <c r="H428" s="184"/>
      <c r="I428" s="184"/>
      <c r="J428" s="184"/>
      <c r="L428" s="184"/>
      <c r="M428" s="184"/>
      <c r="N428" s="184"/>
      <c r="O428" s="184"/>
      <c r="R428" s="185"/>
      <c r="T428" s="184"/>
      <c r="U428" s="184"/>
      <c r="V428" s="184"/>
      <c r="X428" s="184"/>
      <c r="Y428" s="184"/>
      <c r="Z428" s="184"/>
      <c r="AA428" s="184"/>
      <c r="AC428" s="184"/>
      <c r="AD428" s="184"/>
      <c r="AE428" s="184"/>
      <c r="AF428" s="184"/>
      <c r="AG428" s="184"/>
      <c r="AH428" s="184"/>
      <c r="AI428" s="184"/>
      <c r="AR428" s="186"/>
      <c r="AS428" s="187"/>
      <c r="AT428" s="187"/>
      <c r="AU428" s="187"/>
      <c r="AV428" s="246"/>
      <c r="BB428" s="377"/>
      <c r="BC428" s="377"/>
      <c r="BD428" s="377"/>
    </row>
    <row r="429" spans="1:56" s="163" customFormat="1" ht="16.5" customHeight="1">
      <c r="A429" s="247"/>
      <c r="B429" s="244"/>
      <c r="C429" s="245"/>
      <c r="D429" s="245"/>
      <c r="E429" s="183"/>
      <c r="F429" s="183"/>
      <c r="G429" s="183"/>
      <c r="H429" s="184"/>
      <c r="I429" s="184"/>
      <c r="J429" s="184"/>
      <c r="L429" s="184"/>
      <c r="M429" s="184"/>
      <c r="N429" s="184"/>
      <c r="O429" s="184"/>
      <c r="R429" s="185"/>
      <c r="T429" s="184"/>
      <c r="U429" s="184"/>
      <c r="V429" s="184"/>
      <c r="X429" s="184"/>
      <c r="Y429" s="184"/>
      <c r="Z429" s="184"/>
      <c r="AA429" s="184"/>
      <c r="AC429" s="184"/>
      <c r="AD429" s="184"/>
      <c r="AE429" s="184"/>
      <c r="AF429" s="184"/>
      <c r="AG429" s="184"/>
      <c r="AH429" s="184"/>
      <c r="AI429" s="184"/>
      <c r="AR429" s="186"/>
      <c r="AS429" s="187"/>
      <c r="AT429" s="187"/>
      <c r="AU429" s="187"/>
      <c r="AV429" s="246"/>
      <c r="BB429" s="377"/>
      <c r="BC429" s="377"/>
      <c r="BD429" s="377"/>
    </row>
    <row r="430" spans="1:56" s="163" customFormat="1" ht="16.5" customHeight="1">
      <c r="A430" s="247"/>
      <c r="B430" s="244"/>
      <c r="C430" s="245"/>
      <c r="D430" s="245"/>
      <c r="E430" s="183"/>
      <c r="F430" s="183"/>
      <c r="G430" s="183"/>
      <c r="H430" s="184"/>
      <c r="I430" s="184"/>
      <c r="J430" s="184"/>
      <c r="L430" s="184"/>
      <c r="M430" s="184"/>
      <c r="N430" s="184"/>
      <c r="O430" s="184"/>
      <c r="R430" s="185"/>
      <c r="T430" s="184"/>
      <c r="U430" s="184"/>
      <c r="V430" s="184"/>
      <c r="X430" s="184"/>
      <c r="Y430" s="184"/>
      <c r="Z430" s="184"/>
      <c r="AA430" s="184"/>
      <c r="AC430" s="184"/>
      <c r="AD430" s="184"/>
      <c r="AE430" s="184"/>
      <c r="AF430" s="184"/>
      <c r="AG430" s="184"/>
      <c r="AH430" s="184"/>
      <c r="AI430" s="184"/>
      <c r="AR430" s="186"/>
      <c r="AS430" s="187"/>
      <c r="AT430" s="187"/>
      <c r="AU430" s="187"/>
      <c r="AV430" s="246"/>
      <c r="BB430" s="377"/>
      <c r="BC430" s="377"/>
      <c r="BD430" s="377"/>
    </row>
    <row r="431" spans="1:56" s="163" customFormat="1" ht="16.5" customHeight="1">
      <c r="A431" s="247"/>
      <c r="B431" s="244"/>
      <c r="C431" s="245"/>
      <c r="D431" s="245"/>
      <c r="E431" s="183"/>
      <c r="F431" s="183"/>
      <c r="G431" s="183"/>
      <c r="H431" s="184"/>
      <c r="I431" s="184"/>
      <c r="J431" s="184"/>
      <c r="L431" s="184"/>
      <c r="M431" s="184"/>
      <c r="N431" s="184"/>
      <c r="O431" s="184"/>
      <c r="R431" s="185"/>
      <c r="T431" s="184"/>
      <c r="U431" s="184"/>
      <c r="V431" s="184"/>
      <c r="X431" s="184"/>
      <c r="Y431" s="184"/>
      <c r="Z431" s="184"/>
      <c r="AA431" s="184"/>
      <c r="AC431" s="184"/>
      <c r="AD431" s="184"/>
      <c r="AE431" s="184"/>
      <c r="AF431" s="184"/>
      <c r="AG431" s="184"/>
      <c r="AH431" s="184"/>
      <c r="AI431" s="184"/>
      <c r="AR431" s="186"/>
      <c r="AS431" s="187"/>
      <c r="AT431" s="187"/>
      <c r="AU431" s="187"/>
      <c r="AV431" s="246"/>
      <c r="BB431" s="377"/>
      <c r="BC431" s="377"/>
      <c r="BD431" s="377"/>
    </row>
    <row r="432" spans="1:56" s="163" customFormat="1" ht="16.5" customHeight="1">
      <c r="A432" s="247"/>
      <c r="B432" s="244"/>
      <c r="C432" s="245"/>
      <c r="D432" s="245"/>
      <c r="E432" s="183"/>
      <c r="F432" s="183"/>
      <c r="G432" s="183"/>
      <c r="H432" s="184"/>
      <c r="I432" s="184"/>
      <c r="J432" s="184"/>
      <c r="L432" s="184"/>
      <c r="M432" s="184"/>
      <c r="N432" s="184"/>
      <c r="O432" s="184"/>
      <c r="R432" s="185"/>
      <c r="T432" s="184"/>
      <c r="U432" s="184"/>
      <c r="V432" s="184"/>
      <c r="X432" s="184"/>
      <c r="Y432" s="184"/>
      <c r="Z432" s="184"/>
      <c r="AA432" s="184"/>
      <c r="AC432" s="184"/>
      <c r="AD432" s="184"/>
      <c r="AE432" s="184"/>
      <c r="AF432" s="184"/>
      <c r="AG432" s="184"/>
      <c r="AH432" s="184"/>
      <c r="AI432" s="184"/>
      <c r="AR432" s="186"/>
      <c r="AS432" s="187"/>
      <c r="AT432" s="187"/>
      <c r="AU432" s="187"/>
      <c r="AV432" s="246"/>
      <c r="BB432" s="377"/>
      <c r="BC432" s="377"/>
      <c r="BD432" s="377"/>
    </row>
    <row r="433" spans="1:56" s="163" customFormat="1" ht="16.5" customHeight="1">
      <c r="A433" s="247"/>
      <c r="B433" s="244"/>
      <c r="C433" s="245"/>
      <c r="D433" s="245"/>
      <c r="E433" s="183"/>
      <c r="F433" s="183"/>
      <c r="G433" s="183"/>
      <c r="H433" s="184"/>
      <c r="I433" s="184"/>
      <c r="J433" s="184"/>
      <c r="L433" s="184"/>
      <c r="M433" s="184"/>
      <c r="N433" s="184"/>
      <c r="O433" s="184"/>
      <c r="R433" s="185"/>
      <c r="T433" s="184"/>
      <c r="U433" s="184"/>
      <c r="V433" s="184"/>
      <c r="X433" s="184"/>
      <c r="Y433" s="184"/>
      <c r="Z433" s="184"/>
      <c r="AA433" s="184"/>
      <c r="AC433" s="184"/>
      <c r="AD433" s="184"/>
      <c r="AE433" s="184"/>
      <c r="AF433" s="184"/>
      <c r="AG433" s="184"/>
      <c r="AH433" s="184"/>
      <c r="AI433" s="184"/>
      <c r="AR433" s="186"/>
      <c r="AS433" s="187"/>
      <c r="AT433" s="187"/>
      <c r="AU433" s="187"/>
      <c r="AV433" s="246"/>
      <c r="BB433" s="377"/>
      <c r="BC433" s="377"/>
      <c r="BD433" s="377"/>
    </row>
    <row r="434" spans="1:56" s="163" customFormat="1" ht="16.5" customHeight="1">
      <c r="A434" s="247"/>
      <c r="B434" s="244"/>
      <c r="C434" s="245"/>
      <c r="D434" s="245"/>
      <c r="E434" s="183"/>
      <c r="F434" s="183"/>
      <c r="G434" s="183"/>
      <c r="H434" s="184"/>
      <c r="I434" s="184"/>
      <c r="J434" s="184"/>
      <c r="L434" s="184"/>
      <c r="M434" s="184"/>
      <c r="N434" s="184"/>
      <c r="O434" s="184"/>
      <c r="R434" s="185"/>
      <c r="T434" s="184"/>
      <c r="U434" s="184"/>
      <c r="V434" s="184"/>
      <c r="X434" s="184"/>
      <c r="Y434" s="184"/>
      <c r="Z434" s="184"/>
      <c r="AA434" s="184"/>
      <c r="AC434" s="184"/>
      <c r="AD434" s="184"/>
      <c r="AE434" s="184"/>
      <c r="AF434" s="184"/>
      <c r="AG434" s="184"/>
      <c r="AH434" s="184"/>
      <c r="AI434" s="184"/>
      <c r="AR434" s="186"/>
      <c r="AS434" s="187"/>
      <c r="AT434" s="187"/>
      <c r="AU434" s="187"/>
      <c r="AV434" s="246"/>
      <c r="BB434" s="377"/>
      <c r="BC434" s="377"/>
      <c r="BD434" s="377"/>
    </row>
    <row r="435" spans="1:56" s="163" customFormat="1" ht="16.5" customHeight="1">
      <c r="A435" s="247"/>
      <c r="B435" s="244"/>
      <c r="C435" s="245"/>
      <c r="D435" s="245"/>
      <c r="E435" s="183"/>
      <c r="F435" s="183"/>
      <c r="G435" s="183"/>
      <c r="H435" s="184"/>
      <c r="I435" s="184"/>
      <c r="J435" s="184"/>
      <c r="L435" s="184"/>
      <c r="M435" s="184"/>
      <c r="N435" s="184"/>
      <c r="O435" s="184"/>
      <c r="R435" s="185"/>
      <c r="T435" s="184"/>
      <c r="U435" s="184"/>
      <c r="V435" s="184"/>
      <c r="X435" s="184"/>
      <c r="Y435" s="184"/>
      <c r="Z435" s="184"/>
      <c r="AA435" s="184"/>
      <c r="AC435" s="184"/>
      <c r="AD435" s="184"/>
      <c r="AE435" s="184"/>
      <c r="AF435" s="184"/>
      <c r="AG435" s="184"/>
      <c r="AH435" s="184"/>
      <c r="AI435" s="184"/>
      <c r="AR435" s="186"/>
      <c r="AS435" s="187"/>
      <c r="AT435" s="187"/>
      <c r="AU435" s="187"/>
      <c r="AV435" s="246"/>
      <c r="BB435" s="377"/>
      <c r="BC435" s="377"/>
      <c r="BD435" s="377"/>
    </row>
    <row r="436" spans="1:56" s="163" customFormat="1" ht="16.5" customHeight="1">
      <c r="A436" s="247"/>
      <c r="B436" s="244"/>
      <c r="C436" s="245"/>
      <c r="D436" s="245"/>
      <c r="E436" s="183"/>
      <c r="F436" s="183"/>
      <c r="G436" s="183"/>
      <c r="H436" s="184"/>
      <c r="I436" s="184"/>
      <c r="J436" s="184"/>
      <c r="L436" s="184"/>
      <c r="M436" s="184"/>
      <c r="N436" s="184"/>
      <c r="O436" s="184"/>
      <c r="R436" s="185"/>
      <c r="T436" s="184"/>
      <c r="U436" s="184"/>
      <c r="V436" s="184"/>
      <c r="X436" s="184"/>
      <c r="Y436" s="184"/>
      <c r="Z436" s="184"/>
      <c r="AA436" s="184"/>
      <c r="AC436" s="184"/>
      <c r="AD436" s="184"/>
      <c r="AE436" s="184"/>
      <c r="AF436" s="184"/>
      <c r="AG436" s="184"/>
      <c r="AH436" s="184"/>
      <c r="AI436" s="184"/>
      <c r="AR436" s="186"/>
      <c r="AS436" s="187"/>
      <c r="AT436" s="187"/>
      <c r="AU436" s="187"/>
      <c r="AV436" s="246"/>
      <c r="BB436" s="377"/>
      <c r="BC436" s="377"/>
      <c r="BD436" s="377"/>
    </row>
    <row r="437" spans="1:56" s="163" customFormat="1" ht="16.5" customHeight="1">
      <c r="A437" s="247"/>
      <c r="B437" s="244"/>
      <c r="C437" s="245"/>
      <c r="D437" s="245"/>
      <c r="E437" s="183"/>
      <c r="F437" s="183"/>
      <c r="G437" s="183"/>
      <c r="H437" s="184"/>
      <c r="I437" s="184"/>
      <c r="J437" s="184"/>
      <c r="L437" s="184"/>
      <c r="M437" s="184"/>
      <c r="N437" s="184"/>
      <c r="O437" s="184"/>
      <c r="R437" s="185"/>
      <c r="T437" s="184"/>
      <c r="U437" s="184"/>
      <c r="V437" s="184"/>
      <c r="X437" s="184"/>
      <c r="Y437" s="184"/>
      <c r="Z437" s="184"/>
      <c r="AA437" s="184"/>
      <c r="AC437" s="184"/>
      <c r="AD437" s="184"/>
      <c r="AE437" s="184"/>
      <c r="AF437" s="184"/>
      <c r="AG437" s="184"/>
      <c r="AH437" s="184"/>
      <c r="AI437" s="184"/>
      <c r="AR437" s="186"/>
      <c r="AS437" s="187"/>
      <c r="AT437" s="187"/>
      <c r="AU437" s="187"/>
      <c r="AV437" s="246"/>
      <c r="BB437" s="377"/>
      <c r="BC437" s="377"/>
      <c r="BD437" s="377"/>
    </row>
    <row r="438" spans="1:56" s="163" customFormat="1" ht="16.5" customHeight="1">
      <c r="A438" s="247"/>
      <c r="B438" s="244"/>
      <c r="C438" s="245"/>
      <c r="D438" s="245"/>
      <c r="E438" s="183"/>
      <c r="F438" s="183"/>
      <c r="G438" s="183"/>
      <c r="H438" s="184"/>
      <c r="I438" s="184"/>
      <c r="J438" s="184"/>
      <c r="L438" s="184"/>
      <c r="M438" s="184"/>
      <c r="N438" s="184"/>
      <c r="O438" s="184"/>
      <c r="R438" s="185"/>
      <c r="T438" s="184"/>
      <c r="U438" s="184"/>
      <c r="V438" s="184"/>
      <c r="X438" s="184"/>
      <c r="Y438" s="184"/>
      <c r="Z438" s="184"/>
      <c r="AA438" s="184"/>
      <c r="AC438" s="184"/>
      <c r="AD438" s="184"/>
      <c r="AE438" s="184"/>
      <c r="AF438" s="184"/>
      <c r="AG438" s="184"/>
      <c r="AH438" s="184"/>
      <c r="AI438" s="184"/>
      <c r="AR438" s="186"/>
      <c r="AS438" s="187"/>
      <c r="AT438" s="187"/>
      <c r="AU438" s="187"/>
      <c r="AV438" s="246"/>
      <c r="BB438" s="377"/>
      <c r="BC438" s="377"/>
      <c r="BD438" s="377"/>
    </row>
    <row r="439" spans="1:56" s="163" customFormat="1" ht="16.5" customHeight="1">
      <c r="A439" s="247"/>
      <c r="B439" s="244"/>
      <c r="C439" s="245"/>
      <c r="D439" s="245"/>
      <c r="E439" s="183"/>
      <c r="F439" s="183"/>
      <c r="G439" s="183"/>
      <c r="H439" s="184"/>
      <c r="I439" s="184"/>
      <c r="J439" s="184"/>
      <c r="L439" s="184"/>
      <c r="M439" s="184"/>
      <c r="N439" s="184"/>
      <c r="O439" s="184"/>
      <c r="R439" s="185"/>
      <c r="T439" s="184"/>
      <c r="U439" s="184"/>
      <c r="V439" s="184"/>
      <c r="X439" s="184"/>
      <c r="Y439" s="184"/>
      <c r="Z439" s="184"/>
      <c r="AA439" s="184"/>
      <c r="AC439" s="184"/>
      <c r="AD439" s="184"/>
      <c r="AE439" s="184"/>
      <c r="AF439" s="184"/>
      <c r="AG439" s="184"/>
      <c r="AH439" s="184"/>
      <c r="AI439" s="184"/>
      <c r="AR439" s="186"/>
      <c r="AS439" s="187"/>
      <c r="AT439" s="187"/>
      <c r="AU439" s="187"/>
      <c r="AV439" s="246"/>
      <c r="BB439" s="377"/>
      <c r="BC439" s="377"/>
      <c r="BD439" s="377"/>
    </row>
    <row r="440" spans="1:56" s="163" customFormat="1" ht="16.5" customHeight="1">
      <c r="A440" s="247"/>
      <c r="B440" s="244"/>
      <c r="C440" s="245"/>
      <c r="D440" s="245"/>
      <c r="E440" s="183"/>
      <c r="F440" s="183"/>
      <c r="G440" s="183"/>
      <c r="H440" s="184"/>
      <c r="I440" s="184"/>
      <c r="J440" s="184"/>
      <c r="L440" s="184"/>
      <c r="M440" s="184"/>
      <c r="N440" s="184"/>
      <c r="O440" s="184"/>
      <c r="R440" s="185"/>
      <c r="T440" s="184"/>
      <c r="U440" s="184"/>
      <c r="V440" s="184"/>
      <c r="X440" s="184"/>
      <c r="Y440" s="184"/>
      <c r="Z440" s="184"/>
      <c r="AA440" s="184"/>
      <c r="AC440" s="184"/>
      <c r="AD440" s="184"/>
      <c r="AE440" s="184"/>
      <c r="AF440" s="184"/>
      <c r="AG440" s="184"/>
      <c r="AH440" s="184"/>
      <c r="AI440" s="184"/>
      <c r="AR440" s="186"/>
      <c r="AS440" s="187"/>
      <c r="AT440" s="187"/>
      <c r="AU440" s="187"/>
      <c r="AV440" s="246"/>
      <c r="BB440" s="377"/>
      <c r="BC440" s="377"/>
      <c r="BD440" s="377"/>
    </row>
    <row r="441" spans="1:56" s="163" customFormat="1" ht="16.5" customHeight="1">
      <c r="A441" s="247"/>
      <c r="B441" s="244"/>
      <c r="C441" s="245"/>
      <c r="D441" s="245"/>
      <c r="E441" s="183"/>
      <c r="F441" s="183"/>
      <c r="G441" s="183"/>
      <c r="H441" s="184"/>
      <c r="I441" s="184"/>
      <c r="J441" s="184"/>
      <c r="L441" s="184"/>
      <c r="M441" s="184"/>
      <c r="N441" s="184"/>
      <c r="O441" s="184"/>
      <c r="R441" s="185"/>
      <c r="T441" s="184"/>
      <c r="U441" s="184"/>
      <c r="V441" s="184"/>
      <c r="X441" s="184"/>
      <c r="Y441" s="184"/>
      <c r="Z441" s="184"/>
      <c r="AA441" s="184"/>
      <c r="AC441" s="184"/>
      <c r="AD441" s="184"/>
      <c r="AE441" s="184"/>
      <c r="AF441" s="184"/>
      <c r="AG441" s="184"/>
      <c r="AH441" s="184"/>
      <c r="AI441" s="184"/>
      <c r="AR441" s="186"/>
      <c r="AS441" s="187"/>
      <c r="AT441" s="187"/>
      <c r="AU441" s="187"/>
      <c r="AV441" s="246"/>
      <c r="BB441" s="377"/>
      <c r="BC441" s="377"/>
      <c r="BD441" s="377"/>
    </row>
    <row r="442" spans="1:56" s="163" customFormat="1" ht="16.5" customHeight="1">
      <c r="A442" s="247"/>
      <c r="B442" s="244"/>
      <c r="C442" s="245"/>
      <c r="D442" s="245"/>
      <c r="E442" s="183"/>
      <c r="F442" s="183"/>
      <c r="G442" s="183"/>
      <c r="H442" s="184"/>
      <c r="I442" s="184"/>
      <c r="J442" s="184"/>
      <c r="L442" s="184"/>
      <c r="M442" s="184"/>
      <c r="N442" s="184"/>
      <c r="O442" s="184"/>
      <c r="R442" s="185"/>
      <c r="T442" s="184"/>
      <c r="U442" s="184"/>
      <c r="V442" s="184"/>
      <c r="X442" s="184"/>
      <c r="Y442" s="184"/>
      <c r="Z442" s="184"/>
      <c r="AA442" s="184"/>
      <c r="AC442" s="184"/>
      <c r="AD442" s="184"/>
      <c r="AE442" s="184"/>
      <c r="AF442" s="184"/>
      <c r="AG442" s="184"/>
      <c r="AH442" s="184"/>
      <c r="AI442" s="184"/>
      <c r="AR442" s="186"/>
      <c r="AS442" s="187"/>
      <c r="AT442" s="187"/>
      <c r="AU442" s="187"/>
      <c r="AV442" s="246"/>
      <c r="BB442" s="377"/>
      <c r="BC442" s="377"/>
      <c r="BD442" s="377"/>
    </row>
    <row r="443" spans="1:56" s="163" customFormat="1" ht="16.5" customHeight="1">
      <c r="A443" s="247"/>
      <c r="B443" s="244"/>
      <c r="C443" s="245"/>
      <c r="D443" s="245"/>
      <c r="E443" s="183"/>
      <c r="F443" s="183"/>
      <c r="G443" s="183"/>
      <c r="H443" s="184"/>
      <c r="I443" s="184"/>
      <c r="J443" s="184"/>
      <c r="L443" s="184"/>
      <c r="M443" s="184"/>
      <c r="N443" s="184"/>
      <c r="O443" s="184"/>
      <c r="R443" s="185"/>
      <c r="T443" s="184"/>
      <c r="U443" s="184"/>
      <c r="V443" s="184"/>
      <c r="X443" s="184"/>
      <c r="Y443" s="184"/>
      <c r="Z443" s="184"/>
      <c r="AA443" s="184"/>
      <c r="AC443" s="184"/>
      <c r="AD443" s="184"/>
      <c r="AE443" s="184"/>
      <c r="AF443" s="184"/>
      <c r="AG443" s="184"/>
      <c r="AH443" s="184"/>
      <c r="AI443" s="184"/>
      <c r="AR443" s="186"/>
      <c r="AS443" s="187"/>
      <c r="AT443" s="187"/>
      <c r="AU443" s="187"/>
      <c r="AV443" s="246"/>
      <c r="BB443" s="377"/>
      <c r="BC443" s="377"/>
      <c r="BD443" s="377"/>
    </row>
    <row r="444" spans="1:56" s="163" customFormat="1" ht="16.5" customHeight="1">
      <c r="A444" s="247"/>
      <c r="B444" s="244"/>
      <c r="C444" s="245"/>
      <c r="D444" s="245"/>
      <c r="E444" s="183"/>
      <c r="F444" s="183"/>
      <c r="G444" s="183"/>
      <c r="H444" s="184"/>
      <c r="I444" s="184"/>
      <c r="J444" s="184"/>
      <c r="L444" s="184"/>
      <c r="M444" s="184"/>
      <c r="N444" s="184"/>
      <c r="O444" s="184"/>
      <c r="R444" s="185"/>
      <c r="T444" s="184"/>
      <c r="U444" s="184"/>
      <c r="V444" s="184"/>
      <c r="X444" s="184"/>
      <c r="Y444" s="184"/>
      <c r="Z444" s="184"/>
      <c r="AA444" s="184"/>
      <c r="AC444" s="184"/>
      <c r="AD444" s="184"/>
      <c r="AE444" s="184"/>
      <c r="AF444" s="184"/>
      <c r="AG444" s="184"/>
      <c r="AH444" s="184"/>
      <c r="AI444" s="184"/>
      <c r="AR444" s="186"/>
      <c r="AS444" s="187"/>
      <c r="AT444" s="187"/>
      <c r="AU444" s="187"/>
      <c r="AV444" s="246"/>
      <c r="BB444" s="377"/>
      <c r="BC444" s="377"/>
      <c r="BD444" s="377"/>
    </row>
    <row r="445" spans="1:56" s="163" customFormat="1" ht="16.5" customHeight="1">
      <c r="A445" s="247"/>
      <c r="B445" s="244"/>
      <c r="C445" s="245"/>
      <c r="D445" s="245"/>
      <c r="E445" s="183"/>
      <c r="F445" s="183"/>
      <c r="G445" s="183"/>
      <c r="H445" s="184"/>
      <c r="I445" s="184"/>
      <c r="J445" s="184"/>
      <c r="L445" s="184"/>
      <c r="M445" s="184"/>
      <c r="N445" s="184"/>
      <c r="O445" s="184"/>
      <c r="R445" s="185"/>
      <c r="T445" s="184"/>
      <c r="U445" s="184"/>
      <c r="V445" s="184"/>
      <c r="X445" s="184"/>
      <c r="Y445" s="184"/>
      <c r="Z445" s="184"/>
      <c r="AA445" s="184"/>
      <c r="AC445" s="184"/>
      <c r="AD445" s="184"/>
      <c r="AE445" s="184"/>
      <c r="AF445" s="184"/>
      <c r="AG445" s="184"/>
      <c r="AH445" s="184"/>
      <c r="AI445" s="184"/>
      <c r="AR445" s="186"/>
      <c r="AS445" s="187"/>
      <c r="AT445" s="187"/>
      <c r="AU445" s="187"/>
      <c r="AV445" s="246"/>
      <c r="BB445" s="377"/>
      <c r="BC445" s="377"/>
      <c r="BD445" s="377"/>
    </row>
    <row r="446" spans="1:56" s="163" customFormat="1" ht="16.5" customHeight="1">
      <c r="A446" s="247"/>
      <c r="B446" s="244"/>
      <c r="C446" s="245"/>
      <c r="D446" s="245"/>
      <c r="E446" s="183"/>
      <c r="F446" s="183"/>
      <c r="G446" s="183"/>
      <c r="H446" s="184"/>
      <c r="I446" s="184"/>
      <c r="J446" s="184"/>
      <c r="L446" s="184"/>
      <c r="M446" s="184"/>
      <c r="N446" s="184"/>
      <c r="O446" s="184"/>
      <c r="R446" s="185"/>
      <c r="T446" s="184"/>
      <c r="U446" s="184"/>
      <c r="V446" s="184"/>
      <c r="X446" s="184"/>
      <c r="Y446" s="184"/>
      <c r="Z446" s="184"/>
      <c r="AA446" s="184"/>
      <c r="AC446" s="184"/>
      <c r="AD446" s="184"/>
      <c r="AE446" s="184"/>
      <c r="AF446" s="184"/>
      <c r="AG446" s="184"/>
      <c r="AH446" s="184"/>
      <c r="AI446" s="184"/>
      <c r="AR446" s="186"/>
      <c r="AS446" s="187"/>
      <c r="AT446" s="187"/>
      <c r="AU446" s="187"/>
      <c r="AV446" s="246"/>
      <c r="BB446" s="377"/>
      <c r="BC446" s="377"/>
      <c r="BD446" s="377"/>
    </row>
    <row r="447" spans="1:56" s="163" customFormat="1" ht="16.5" customHeight="1">
      <c r="A447" s="247"/>
      <c r="B447" s="244"/>
      <c r="C447" s="245"/>
      <c r="D447" s="245"/>
      <c r="E447" s="183"/>
      <c r="F447" s="183"/>
      <c r="G447" s="183"/>
      <c r="H447" s="184"/>
      <c r="I447" s="184"/>
      <c r="J447" s="184"/>
      <c r="L447" s="184"/>
      <c r="M447" s="184"/>
      <c r="N447" s="184"/>
      <c r="O447" s="184"/>
      <c r="R447" s="185"/>
      <c r="T447" s="184"/>
      <c r="U447" s="184"/>
      <c r="V447" s="184"/>
      <c r="X447" s="184"/>
      <c r="Y447" s="184"/>
      <c r="Z447" s="184"/>
      <c r="AA447" s="184"/>
      <c r="AC447" s="184"/>
      <c r="AD447" s="184"/>
      <c r="AE447" s="184"/>
      <c r="AF447" s="184"/>
      <c r="AG447" s="184"/>
      <c r="AH447" s="184"/>
      <c r="AI447" s="184"/>
      <c r="AR447" s="186"/>
      <c r="AS447" s="187"/>
      <c r="AT447" s="187"/>
      <c r="AU447" s="187"/>
      <c r="AV447" s="246"/>
      <c r="BB447" s="377"/>
      <c r="BC447" s="377"/>
      <c r="BD447" s="377"/>
    </row>
    <row r="448" spans="1:56" s="163" customFormat="1" ht="16.5" customHeight="1">
      <c r="A448" s="247"/>
      <c r="B448" s="244"/>
      <c r="C448" s="245"/>
      <c r="D448" s="245"/>
      <c r="E448" s="183"/>
      <c r="F448" s="183"/>
      <c r="G448" s="183"/>
      <c r="H448" s="184"/>
      <c r="I448" s="184"/>
      <c r="J448" s="184"/>
      <c r="L448" s="184"/>
      <c r="M448" s="184"/>
      <c r="N448" s="184"/>
      <c r="O448" s="184"/>
      <c r="R448" s="185"/>
      <c r="T448" s="184"/>
      <c r="U448" s="184"/>
      <c r="V448" s="184"/>
      <c r="X448" s="184"/>
      <c r="Y448" s="184"/>
      <c r="Z448" s="184"/>
      <c r="AA448" s="184"/>
      <c r="AC448" s="184"/>
      <c r="AD448" s="184"/>
      <c r="AE448" s="184"/>
      <c r="AF448" s="184"/>
      <c r="AG448" s="184"/>
      <c r="AH448" s="184"/>
      <c r="AI448" s="184"/>
      <c r="AR448" s="186"/>
      <c r="AS448" s="187"/>
      <c r="AT448" s="187"/>
      <c r="AU448" s="187"/>
      <c r="AV448" s="246"/>
      <c r="BB448" s="377"/>
      <c r="BC448" s="377"/>
      <c r="BD448" s="377"/>
    </row>
    <row r="449" spans="1:56" s="163" customFormat="1" ht="16.5" customHeight="1">
      <c r="A449" s="247"/>
      <c r="B449" s="244"/>
      <c r="C449" s="245"/>
      <c r="D449" s="245"/>
      <c r="E449" s="183"/>
      <c r="F449" s="183"/>
      <c r="G449" s="183"/>
      <c r="H449" s="184"/>
      <c r="I449" s="184"/>
      <c r="J449" s="184"/>
      <c r="L449" s="184"/>
      <c r="M449" s="184"/>
      <c r="N449" s="184"/>
      <c r="O449" s="184"/>
      <c r="R449" s="185"/>
      <c r="T449" s="184"/>
      <c r="U449" s="184"/>
      <c r="V449" s="184"/>
      <c r="X449" s="184"/>
      <c r="Y449" s="184"/>
      <c r="Z449" s="184"/>
      <c r="AA449" s="184"/>
      <c r="AC449" s="184"/>
      <c r="AD449" s="184"/>
      <c r="AE449" s="184"/>
      <c r="AF449" s="184"/>
      <c r="AG449" s="184"/>
      <c r="AH449" s="184"/>
      <c r="AI449" s="184"/>
      <c r="AR449" s="186"/>
      <c r="AS449" s="187"/>
      <c r="AT449" s="187"/>
      <c r="AU449" s="187"/>
      <c r="AV449" s="246"/>
      <c r="BB449" s="377"/>
      <c r="BC449" s="377"/>
      <c r="BD449" s="377"/>
    </row>
    <row r="450" spans="1:56" s="163" customFormat="1" ht="16.5" customHeight="1">
      <c r="A450" s="247"/>
      <c r="B450" s="244"/>
      <c r="C450" s="245"/>
      <c r="D450" s="245"/>
      <c r="E450" s="183"/>
      <c r="F450" s="183"/>
      <c r="G450" s="183"/>
      <c r="H450" s="184"/>
      <c r="I450" s="184"/>
      <c r="J450" s="184"/>
      <c r="L450" s="184"/>
      <c r="M450" s="184"/>
      <c r="N450" s="184"/>
      <c r="O450" s="184"/>
      <c r="R450" s="185"/>
      <c r="T450" s="184"/>
      <c r="U450" s="184"/>
      <c r="V450" s="184"/>
      <c r="X450" s="184"/>
      <c r="Y450" s="184"/>
      <c r="Z450" s="184"/>
      <c r="AA450" s="184"/>
      <c r="AC450" s="184"/>
      <c r="AD450" s="184"/>
      <c r="AE450" s="184"/>
      <c r="AF450" s="184"/>
      <c r="AG450" s="184"/>
      <c r="AH450" s="184"/>
      <c r="AI450" s="184"/>
      <c r="AR450" s="186"/>
      <c r="AS450" s="187"/>
      <c r="AT450" s="187"/>
      <c r="AU450" s="187"/>
      <c r="AV450" s="246"/>
      <c r="BB450" s="377"/>
      <c r="BC450" s="377"/>
      <c r="BD450" s="377"/>
    </row>
    <row r="451" spans="1:56" s="163" customFormat="1" ht="16.5" customHeight="1">
      <c r="A451" s="247"/>
      <c r="B451" s="244"/>
      <c r="C451" s="245"/>
      <c r="D451" s="245"/>
      <c r="E451" s="183"/>
      <c r="F451" s="183"/>
      <c r="G451" s="183"/>
      <c r="H451" s="184"/>
      <c r="I451" s="184"/>
      <c r="J451" s="184"/>
      <c r="L451" s="184"/>
      <c r="M451" s="184"/>
      <c r="N451" s="184"/>
      <c r="O451" s="184"/>
      <c r="R451" s="185"/>
      <c r="T451" s="184"/>
      <c r="U451" s="184"/>
      <c r="V451" s="184"/>
      <c r="X451" s="184"/>
      <c r="Y451" s="184"/>
      <c r="Z451" s="184"/>
      <c r="AA451" s="184"/>
      <c r="AC451" s="184"/>
      <c r="AD451" s="184"/>
      <c r="AE451" s="184"/>
      <c r="AF451" s="184"/>
      <c r="AG451" s="184"/>
      <c r="AH451" s="184"/>
      <c r="AI451" s="184"/>
      <c r="AR451" s="186"/>
      <c r="AS451" s="187"/>
      <c r="AT451" s="187"/>
      <c r="AU451" s="187"/>
      <c r="AV451" s="246"/>
      <c r="BB451" s="377"/>
      <c r="BC451" s="377"/>
      <c r="BD451" s="377"/>
    </row>
    <row r="452" spans="1:56" s="163" customFormat="1" ht="16.5" customHeight="1">
      <c r="A452" s="247"/>
      <c r="B452" s="244"/>
      <c r="C452" s="245"/>
      <c r="D452" s="245"/>
      <c r="E452" s="183"/>
      <c r="F452" s="183"/>
      <c r="G452" s="183"/>
      <c r="H452" s="184"/>
      <c r="I452" s="184"/>
      <c r="J452" s="184"/>
      <c r="L452" s="184"/>
      <c r="M452" s="184"/>
      <c r="N452" s="184"/>
      <c r="O452" s="184"/>
      <c r="R452" s="185"/>
      <c r="T452" s="184"/>
      <c r="U452" s="184"/>
      <c r="V452" s="184"/>
      <c r="X452" s="184"/>
      <c r="Y452" s="184"/>
      <c r="Z452" s="184"/>
      <c r="AA452" s="184"/>
      <c r="AC452" s="184"/>
      <c r="AD452" s="184"/>
      <c r="AE452" s="184"/>
      <c r="AF452" s="184"/>
      <c r="AG452" s="184"/>
      <c r="AH452" s="184"/>
      <c r="AI452" s="184"/>
      <c r="AR452" s="186"/>
      <c r="AS452" s="187"/>
      <c r="AT452" s="187"/>
      <c r="AU452" s="187"/>
      <c r="AV452" s="246"/>
      <c r="BB452" s="377"/>
      <c r="BC452" s="377"/>
      <c r="BD452" s="377"/>
    </row>
    <row r="453" spans="1:56" s="163" customFormat="1" ht="16.5" customHeight="1">
      <c r="A453" s="247"/>
      <c r="B453" s="244"/>
      <c r="C453" s="245"/>
      <c r="D453" s="245"/>
      <c r="E453" s="183"/>
      <c r="F453" s="183"/>
      <c r="G453" s="183"/>
      <c r="H453" s="184"/>
      <c r="I453" s="184"/>
      <c r="J453" s="184"/>
      <c r="L453" s="184"/>
      <c r="M453" s="184"/>
      <c r="N453" s="184"/>
      <c r="O453" s="184"/>
      <c r="R453" s="185"/>
      <c r="T453" s="184"/>
      <c r="U453" s="184"/>
      <c r="V453" s="184"/>
      <c r="X453" s="184"/>
      <c r="Y453" s="184"/>
      <c r="Z453" s="184"/>
      <c r="AA453" s="184"/>
      <c r="AC453" s="184"/>
      <c r="AD453" s="184"/>
      <c r="AE453" s="184"/>
      <c r="AF453" s="184"/>
      <c r="AG453" s="184"/>
      <c r="AH453" s="184"/>
      <c r="AI453" s="184"/>
      <c r="AR453" s="186"/>
      <c r="AS453" s="187"/>
      <c r="AT453" s="187"/>
      <c r="AU453" s="187"/>
      <c r="AV453" s="246"/>
      <c r="BB453" s="377"/>
      <c r="BC453" s="377"/>
      <c r="BD453" s="377"/>
    </row>
    <row r="454" spans="1:56" s="163" customFormat="1" ht="16.5" customHeight="1">
      <c r="A454" s="247"/>
      <c r="B454" s="244"/>
      <c r="C454" s="245"/>
      <c r="D454" s="245"/>
      <c r="E454" s="183"/>
      <c r="F454" s="183"/>
      <c r="G454" s="183"/>
      <c r="H454" s="184"/>
      <c r="I454" s="184"/>
      <c r="J454" s="184"/>
      <c r="L454" s="184"/>
      <c r="M454" s="184"/>
      <c r="N454" s="184"/>
      <c r="O454" s="184"/>
      <c r="R454" s="185"/>
      <c r="T454" s="184"/>
      <c r="U454" s="184"/>
      <c r="V454" s="184"/>
      <c r="X454" s="184"/>
      <c r="Y454" s="184"/>
      <c r="Z454" s="184"/>
      <c r="AA454" s="184"/>
      <c r="AC454" s="184"/>
      <c r="AD454" s="184"/>
      <c r="AE454" s="184"/>
      <c r="AF454" s="184"/>
      <c r="AG454" s="184"/>
      <c r="AH454" s="184"/>
      <c r="AI454" s="184"/>
      <c r="AR454" s="186"/>
      <c r="AS454" s="187"/>
      <c r="AT454" s="187"/>
      <c r="AU454" s="187"/>
      <c r="AV454" s="246"/>
      <c r="BB454" s="377"/>
      <c r="BC454" s="377"/>
      <c r="BD454" s="377"/>
    </row>
    <row r="455" spans="1:56" s="163" customFormat="1" ht="16.5" customHeight="1">
      <c r="A455" s="247"/>
      <c r="B455" s="244"/>
      <c r="C455" s="245"/>
      <c r="D455" s="245"/>
      <c r="E455" s="183"/>
      <c r="F455" s="183"/>
      <c r="G455" s="183"/>
      <c r="H455" s="184"/>
      <c r="I455" s="184"/>
      <c r="J455" s="184"/>
      <c r="L455" s="184"/>
      <c r="M455" s="184"/>
      <c r="N455" s="184"/>
      <c r="O455" s="184"/>
      <c r="R455" s="185"/>
      <c r="T455" s="184"/>
      <c r="U455" s="184"/>
      <c r="V455" s="184"/>
      <c r="X455" s="184"/>
      <c r="Y455" s="184"/>
      <c r="Z455" s="184"/>
      <c r="AA455" s="184"/>
      <c r="AC455" s="184"/>
      <c r="AD455" s="184"/>
      <c r="AE455" s="184"/>
      <c r="AF455" s="184"/>
      <c r="AG455" s="184"/>
      <c r="AH455" s="184"/>
      <c r="AI455" s="184"/>
      <c r="AR455" s="186"/>
      <c r="AS455" s="187"/>
      <c r="AT455" s="187"/>
      <c r="AU455" s="187"/>
      <c r="AV455" s="246"/>
      <c r="BB455" s="377"/>
      <c r="BC455" s="377"/>
      <c r="BD455" s="377"/>
    </row>
    <row r="456" spans="1:56" s="163" customFormat="1" ht="16.5" customHeight="1">
      <c r="A456" s="247"/>
      <c r="B456" s="244"/>
      <c r="C456" s="245"/>
      <c r="D456" s="245"/>
      <c r="E456" s="183"/>
      <c r="F456" s="183"/>
      <c r="G456" s="183"/>
      <c r="H456" s="184"/>
      <c r="I456" s="184"/>
      <c r="J456" s="184"/>
      <c r="L456" s="184"/>
      <c r="M456" s="184"/>
      <c r="N456" s="184"/>
      <c r="O456" s="184"/>
      <c r="R456" s="185"/>
      <c r="T456" s="184"/>
      <c r="U456" s="184"/>
      <c r="V456" s="184"/>
      <c r="X456" s="184"/>
      <c r="Y456" s="184"/>
      <c r="Z456" s="184"/>
      <c r="AA456" s="184"/>
      <c r="AC456" s="184"/>
      <c r="AD456" s="184"/>
      <c r="AE456" s="184"/>
      <c r="AF456" s="184"/>
      <c r="AG456" s="184"/>
      <c r="AH456" s="184"/>
      <c r="AI456" s="184"/>
      <c r="AR456" s="186"/>
      <c r="AS456" s="187"/>
      <c r="AT456" s="187"/>
      <c r="AU456" s="187"/>
      <c r="AV456" s="246"/>
      <c r="BB456" s="377"/>
      <c r="BC456" s="377"/>
      <c r="BD456" s="377"/>
    </row>
    <row r="457" spans="1:56" s="163" customFormat="1" ht="16.5" customHeight="1">
      <c r="A457" s="247"/>
      <c r="B457" s="244"/>
      <c r="C457" s="245"/>
      <c r="D457" s="245"/>
      <c r="E457" s="183"/>
      <c r="F457" s="183"/>
      <c r="G457" s="183"/>
      <c r="H457" s="184"/>
      <c r="I457" s="184"/>
      <c r="J457" s="184"/>
      <c r="L457" s="184"/>
      <c r="M457" s="184"/>
      <c r="N457" s="184"/>
      <c r="O457" s="184"/>
      <c r="R457" s="185"/>
      <c r="T457" s="184"/>
      <c r="U457" s="184"/>
      <c r="V457" s="184"/>
      <c r="X457" s="184"/>
      <c r="Y457" s="184"/>
      <c r="Z457" s="184"/>
      <c r="AA457" s="184"/>
      <c r="AC457" s="184"/>
      <c r="AD457" s="184"/>
      <c r="AE457" s="184"/>
      <c r="AF457" s="184"/>
      <c r="AG457" s="184"/>
      <c r="AH457" s="184"/>
      <c r="AI457" s="184"/>
      <c r="AR457" s="186"/>
      <c r="AS457" s="187"/>
      <c r="AT457" s="187"/>
      <c r="AU457" s="187"/>
      <c r="AV457" s="246"/>
      <c r="BB457" s="377"/>
      <c r="BC457" s="377"/>
      <c r="BD457" s="377"/>
    </row>
    <row r="458" spans="1:56" s="163" customFormat="1" ht="16.5" customHeight="1">
      <c r="A458" s="247"/>
      <c r="B458" s="244"/>
      <c r="C458" s="245"/>
      <c r="D458" s="245"/>
      <c r="E458" s="183"/>
      <c r="F458" s="183"/>
      <c r="G458" s="183"/>
      <c r="H458" s="184"/>
      <c r="I458" s="184"/>
      <c r="J458" s="184"/>
      <c r="L458" s="184"/>
      <c r="M458" s="184"/>
      <c r="N458" s="184"/>
      <c r="O458" s="184"/>
      <c r="R458" s="185"/>
      <c r="T458" s="184"/>
      <c r="U458" s="184"/>
      <c r="V458" s="184"/>
      <c r="X458" s="184"/>
      <c r="Y458" s="184"/>
      <c r="Z458" s="184"/>
      <c r="AA458" s="184"/>
      <c r="AC458" s="184"/>
      <c r="AD458" s="184"/>
      <c r="AE458" s="184"/>
      <c r="AF458" s="184"/>
      <c r="AG458" s="184"/>
      <c r="AH458" s="184"/>
      <c r="AI458" s="184"/>
      <c r="AR458" s="186"/>
      <c r="AS458" s="187"/>
      <c r="AT458" s="187"/>
      <c r="AU458" s="187"/>
      <c r="AV458" s="246"/>
      <c r="BB458" s="377"/>
      <c r="BC458" s="377"/>
      <c r="BD458" s="377"/>
    </row>
    <row r="459" spans="1:56" s="163" customFormat="1" ht="16.5" customHeight="1">
      <c r="A459" s="247"/>
      <c r="B459" s="244"/>
      <c r="C459" s="245"/>
      <c r="D459" s="245"/>
      <c r="E459" s="183"/>
      <c r="F459" s="183"/>
      <c r="G459" s="183"/>
      <c r="H459" s="184"/>
      <c r="I459" s="184"/>
      <c r="J459" s="184"/>
      <c r="L459" s="184"/>
      <c r="M459" s="184"/>
      <c r="N459" s="184"/>
      <c r="O459" s="184"/>
      <c r="R459" s="185"/>
      <c r="T459" s="184"/>
      <c r="U459" s="184"/>
      <c r="V459" s="184"/>
      <c r="X459" s="184"/>
      <c r="Y459" s="184"/>
      <c r="Z459" s="184"/>
      <c r="AA459" s="184"/>
      <c r="AC459" s="184"/>
      <c r="AD459" s="184"/>
      <c r="AE459" s="184"/>
      <c r="AF459" s="184"/>
      <c r="AG459" s="184"/>
      <c r="AH459" s="184"/>
      <c r="AI459" s="184"/>
      <c r="AR459" s="186"/>
      <c r="AS459" s="187"/>
      <c r="AT459" s="187"/>
      <c r="AU459" s="187"/>
      <c r="AV459" s="246"/>
      <c r="BB459" s="377"/>
      <c r="BC459" s="377"/>
      <c r="BD459" s="377"/>
    </row>
    <row r="460" spans="1:56" s="163" customFormat="1" ht="16.5" customHeight="1">
      <c r="A460" s="247"/>
      <c r="B460" s="244"/>
      <c r="C460" s="245"/>
      <c r="D460" s="245"/>
      <c r="E460" s="183"/>
      <c r="F460" s="183"/>
      <c r="G460" s="183"/>
      <c r="H460" s="184"/>
      <c r="I460" s="184"/>
      <c r="J460" s="184"/>
      <c r="L460" s="184"/>
      <c r="M460" s="184"/>
      <c r="N460" s="184"/>
      <c r="O460" s="184"/>
      <c r="R460" s="185"/>
      <c r="T460" s="184"/>
      <c r="U460" s="184"/>
      <c r="V460" s="184"/>
      <c r="X460" s="184"/>
      <c r="Y460" s="184"/>
      <c r="Z460" s="184"/>
      <c r="AA460" s="184"/>
      <c r="AC460" s="184"/>
      <c r="AD460" s="184"/>
      <c r="AE460" s="184"/>
      <c r="AF460" s="184"/>
      <c r="AG460" s="184"/>
      <c r="AH460" s="184"/>
      <c r="AI460" s="184"/>
      <c r="AR460" s="186"/>
      <c r="AS460" s="187"/>
      <c r="AT460" s="187"/>
      <c r="AU460" s="187"/>
      <c r="AV460" s="246"/>
      <c r="BB460" s="377"/>
      <c r="BC460" s="377"/>
      <c r="BD460" s="377"/>
    </row>
    <row r="461" spans="1:56" s="163" customFormat="1" ht="16.5" customHeight="1">
      <c r="A461" s="247"/>
      <c r="B461" s="244"/>
      <c r="C461" s="245"/>
      <c r="D461" s="245"/>
      <c r="E461" s="183"/>
      <c r="F461" s="183"/>
      <c r="G461" s="183"/>
      <c r="H461" s="184"/>
      <c r="I461" s="184"/>
      <c r="J461" s="184"/>
      <c r="L461" s="184"/>
      <c r="M461" s="184"/>
      <c r="N461" s="184"/>
      <c r="O461" s="184"/>
      <c r="R461" s="185"/>
      <c r="T461" s="184"/>
      <c r="U461" s="184"/>
      <c r="V461" s="184"/>
      <c r="X461" s="184"/>
      <c r="Y461" s="184"/>
      <c r="Z461" s="184"/>
      <c r="AA461" s="184"/>
      <c r="AC461" s="184"/>
      <c r="AD461" s="184"/>
      <c r="AE461" s="184"/>
      <c r="AF461" s="184"/>
      <c r="AG461" s="184"/>
      <c r="AH461" s="184"/>
      <c r="AI461" s="184"/>
      <c r="AR461" s="186"/>
      <c r="AS461" s="187"/>
      <c r="AT461" s="187"/>
      <c r="AU461" s="187"/>
      <c r="AV461" s="246"/>
      <c r="BB461" s="377"/>
      <c r="BC461" s="377"/>
      <c r="BD461" s="377"/>
    </row>
    <row r="462" spans="1:56" s="163" customFormat="1" ht="16.5" customHeight="1">
      <c r="A462" s="247"/>
      <c r="B462" s="244"/>
      <c r="C462" s="245"/>
      <c r="D462" s="245"/>
      <c r="E462" s="183"/>
      <c r="F462" s="183"/>
      <c r="G462" s="183"/>
      <c r="H462" s="184"/>
      <c r="I462" s="184"/>
      <c r="J462" s="184"/>
      <c r="L462" s="184"/>
      <c r="M462" s="184"/>
      <c r="N462" s="184"/>
      <c r="O462" s="184"/>
      <c r="R462" s="185"/>
      <c r="T462" s="184"/>
      <c r="U462" s="184"/>
      <c r="V462" s="184"/>
      <c r="X462" s="184"/>
      <c r="Y462" s="184"/>
      <c r="Z462" s="184"/>
      <c r="AA462" s="184"/>
      <c r="AC462" s="184"/>
      <c r="AD462" s="184"/>
      <c r="AE462" s="184"/>
      <c r="AF462" s="184"/>
      <c r="AG462" s="184"/>
      <c r="AH462" s="184"/>
      <c r="AI462" s="184"/>
      <c r="AR462" s="186"/>
      <c r="AS462" s="187"/>
      <c r="AT462" s="187"/>
      <c r="AU462" s="187"/>
      <c r="AV462" s="246"/>
      <c r="BB462" s="377"/>
      <c r="BC462" s="377"/>
      <c r="BD462" s="377"/>
    </row>
    <row r="463" spans="1:56" s="163" customFormat="1" ht="16.5" customHeight="1">
      <c r="A463" s="247"/>
      <c r="B463" s="244"/>
      <c r="C463" s="245"/>
      <c r="D463" s="245"/>
      <c r="E463" s="183"/>
      <c r="F463" s="183"/>
      <c r="G463" s="183"/>
      <c r="H463" s="184"/>
      <c r="I463" s="184"/>
      <c r="J463" s="184"/>
      <c r="L463" s="184"/>
      <c r="M463" s="184"/>
      <c r="N463" s="184"/>
      <c r="O463" s="184"/>
      <c r="R463" s="185"/>
      <c r="T463" s="184"/>
      <c r="U463" s="184"/>
      <c r="V463" s="184"/>
      <c r="X463" s="184"/>
      <c r="Y463" s="184"/>
      <c r="Z463" s="184"/>
      <c r="AA463" s="184"/>
      <c r="AC463" s="184"/>
      <c r="AD463" s="184"/>
      <c r="AE463" s="184"/>
      <c r="AF463" s="184"/>
      <c r="AG463" s="184"/>
      <c r="AH463" s="184"/>
      <c r="AI463" s="184"/>
      <c r="AR463" s="186"/>
      <c r="AS463" s="187"/>
      <c r="AT463" s="187"/>
      <c r="AU463" s="187"/>
      <c r="AV463" s="246"/>
      <c r="BB463" s="377"/>
      <c r="BC463" s="377"/>
      <c r="BD463" s="377"/>
    </row>
    <row r="464" spans="1:56" s="163" customFormat="1" ht="16.5" customHeight="1">
      <c r="A464" s="247"/>
      <c r="B464" s="244"/>
      <c r="C464" s="245"/>
      <c r="D464" s="245"/>
      <c r="E464" s="183"/>
      <c r="F464" s="183"/>
      <c r="G464" s="183"/>
      <c r="H464" s="184"/>
      <c r="I464" s="184"/>
      <c r="J464" s="184"/>
      <c r="L464" s="184"/>
      <c r="M464" s="184"/>
      <c r="N464" s="184"/>
      <c r="O464" s="184"/>
      <c r="R464" s="185"/>
      <c r="T464" s="184"/>
      <c r="U464" s="184"/>
      <c r="V464" s="184"/>
      <c r="X464" s="184"/>
      <c r="Y464" s="184"/>
      <c r="Z464" s="184"/>
      <c r="AA464" s="184"/>
      <c r="AC464" s="184"/>
      <c r="AD464" s="184"/>
      <c r="AE464" s="184"/>
      <c r="AF464" s="184"/>
      <c r="AG464" s="184"/>
      <c r="AH464" s="184"/>
      <c r="AI464" s="184"/>
      <c r="AR464" s="186"/>
      <c r="AS464" s="187"/>
      <c r="AT464" s="187"/>
      <c r="AU464" s="187"/>
      <c r="AV464" s="246"/>
      <c r="BB464" s="377"/>
      <c r="BC464" s="377"/>
      <c r="BD464" s="377"/>
    </row>
    <row r="465" spans="1:56" s="163" customFormat="1" ht="16.5" customHeight="1">
      <c r="A465" s="247"/>
      <c r="B465" s="244"/>
      <c r="C465" s="245"/>
      <c r="D465" s="245"/>
      <c r="E465" s="183"/>
      <c r="F465" s="183"/>
      <c r="G465" s="183"/>
      <c r="H465" s="184"/>
      <c r="I465" s="184"/>
      <c r="J465" s="184"/>
      <c r="L465" s="184"/>
      <c r="M465" s="184"/>
      <c r="N465" s="184"/>
      <c r="O465" s="184"/>
      <c r="R465" s="185"/>
      <c r="T465" s="184"/>
      <c r="U465" s="184"/>
      <c r="V465" s="184"/>
      <c r="X465" s="184"/>
      <c r="Y465" s="184"/>
      <c r="Z465" s="184"/>
      <c r="AA465" s="184"/>
      <c r="AC465" s="184"/>
      <c r="AD465" s="184"/>
      <c r="AE465" s="184"/>
      <c r="AF465" s="184"/>
      <c r="AG465" s="184"/>
      <c r="AH465" s="184"/>
      <c r="AI465" s="184"/>
      <c r="AR465" s="186"/>
      <c r="AS465" s="187"/>
      <c r="AT465" s="187"/>
      <c r="AU465" s="187"/>
      <c r="AV465" s="246"/>
      <c r="BB465" s="377"/>
      <c r="BC465" s="377"/>
      <c r="BD465" s="377"/>
    </row>
    <row r="466" spans="1:56" s="163" customFormat="1" ht="16.5" customHeight="1">
      <c r="A466" s="247"/>
      <c r="B466" s="244"/>
      <c r="C466" s="245"/>
      <c r="D466" s="245"/>
      <c r="E466" s="183"/>
      <c r="F466" s="183"/>
      <c r="G466" s="183"/>
      <c r="H466" s="184"/>
      <c r="I466" s="184"/>
      <c r="J466" s="184"/>
      <c r="L466" s="184"/>
      <c r="M466" s="184"/>
      <c r="N466" s="184"/>
      <c r="O466" s="184"/>
      <c r="R466" s="185"/>
      <c r="T466" s="184"/>
      <c r="U466" s="184"/>
      <c r="V466" s="184"/>
      <c r="X466" s="184"/>
      <c r="Y466" s="184"/>
      <c r="Z466" s="184"/>
      <c r="AA466" s="184"/>
      <c r="AC466" s="184"/>
      <c r="AD466" s="184"/>
      <c r="AE466" s="184"/>
      <c r="AF466" s="184"/>
      <c r="AG466" s="184"/>
      <c r="AH466" s="184"/>
      <c r="AI466" s="184"/>
      <c r="AR466" s="186"/>
      <c r="AS466" s="187"/>
      <c r="AT466" s="187"/>
      <c r="AU466" s="187"/>
      <c r="AV466" s="246"/>
      <c r="BB466" s="377"/>
      <c r="BC466" s="377"/>
      <c r="BD466" s="377"/>
    </row>
    <row r="467" spans="1:56" s="163" customFormat="1" ht="16.5" customHeight="1">
      <c r="A467" s="247"/>
      <c r="B467" s="244"/>
      <c r="C467" s="245"/>
      <c r="D467" s="245"/>
      <c r="E467" s="183"/>
      <c r="F467" s="183"/>
      <c r="G467" s="183"/>
      <c r="H467" s="184"/>
      <c r="I467" s="184"/>
      <c r="J467" s="184"/>
      <c r="L467" s="184"/>
      <c r="M467" s="184"/>
      <c r="N467" s="184"/>
      <c r="O467" s="184"/>
      <c r="R467" s="185"/>
      <c r="T467" s="184"/>
      <c r="U467" s="184"/>
      <c r="V467" s="184"/>
      <c r="X467" s="184"/>
      <c r="Y467" s="184"/>
      <c r="Z467" s="184"/>
      <c r="AA467" s="184"/>
      <c r="AC467" s="184"/>
      <c r="AD467" s="184"/>
      <c r="AE467" s="184"/>
      <c r="AF467" s="184"/>
      <c r="AG467" s="184"/>
      <c r="AH467" s="184"/>
      <c r="AI467" s="184"/>
      <c r="AR467" s="186"/>
      <c r="AS467" s="187"/>
      <c r="AT467" s="187"/>
      <c r="AU467" s="187"/>
      <c r="AV467" s="246"/>
      <c r="BB467" s="377"/>
      <c r="BC467" s="377"/>
      <c r="BD467" s="377"/>
    </row>
    <row r="468" spans="1:56" s="163" customFormat="1" ht="16.5" customHeight="1">
      <c r="A468" s="247"/>
      <c r="B468" s="244"/>
      <c r="C468" s="245"/>
      <c r="D468" s="245"/>
      <c r="E468" s="183"/>
      <c r="F468" s="183"/>
      <c r="G468" s="183"/>
      <c r="H468" s="184"/>
      <c r="I468" s="184"/>
      <c r="J468" s="184"/>
      <c r="L468" s="184"/>
      <c r="M468" s="184"/>
      <c r="N468" s="184"/>
      <c r="O468" s="184"/>
      <c r="R468" s="185"/>
      <c r="T468" s="184"/>
      <c r="U468" s="184"/>
      <c r="V468" s="184"/>
      <c r="X468" s="184"/>
      <c r="Y468" s="184"/>
      <c r="Z468" s="184"/>
      <c r="AA468" s="184"/>
      <c r="AC468" s="184"/>
      <c r="AD468" s="184"/>
      <c r="AE468" s="184"/>
      <c r="AF468" s="184"/>
      <c r="AG468" s="184"/>
      <c r="AH468" s="184"/>
      <c r="AI468" s="184"/>
      <c r="AR468" s="186"/>
      <c r="AS468" s="187"/>
      <c r="AT468" s="187"/>
      <c r="AU468" s="187"/>
      <c r="AV468" s="246"/>
      <c r="BB468" s="377"/>
      <c r="BC468" s="377"/>
      <c r="BD468" s="377"/>
    </row>
    <row r="469" spans="1:56" s="163" customFormat="1" ht="16.5" customHeight="1">
      <c r="A469" s="247"/>
      <c r="B469" s="244"/>
      <c r="C469" s="245"/>
      <c r="D469" s="245"/>
      <c r="E469" s="183"/>
      <c r="F469" s="183"/>
      <c r="G469" s="183"/>
      <c r="H469" s="184"/>
      <c r="I469" s="184"/>
      <c r="J469" s="184"/>
      <c r="L469" s="184"/>
      <c r="M469" s="184"/>
      <c r="N469" s="184"/>
      <c r="O469" s="184"/>
      <c r="R469" s="185"/>
      <c r="T469" s="184"/>
      <c r="U469" s="184"/>
      <c r="V469" s="184"/>
      <c r="X469" s="184"/>
      <c r="Y469" s="184"/>
      <c r="Z469" s="184"/>
      <c r="AA469" s="184"/>
      <c r="AC469" s="184"/>
      <c r="AD469" s="184"/>
      <c r="AE469" s="184"/>
      <c r="AF469" s="184"/>
      <c r="AG469" s="184"/>
      <c r="AH469" s="184"/>
      <c r="AI469" s="184"/>
      <c r="AR469" s="186"/>
      <c r="AS469" s="187"/>
      <c r="AT469" s="187"/>
      <c r="AU469" s="187"/>
      <c r="AV469" s="246"/>
      <c r="BB469" s="377"/>
      <c r="BC469" s="377"/>
      <c r="BD469" s="377"/>
    </row>
    <row r="470" spans="1:56" s="163" customFormat="1" ht="16.5" customHeight="1">
      <c r="A470" s="247"/>
      <c r="B470" s="244"/>
      <c r="C470" s="245"/>
      <c r="D470" s="245"/>
      <c r="E470" s="183"/>
      <c r="F470" s="183"/>
      <c r="G470" s="183"/>
      <c r="H470" s="184"/>
      <c r="I470" s="184"/>
      <c r="J470" s="184"/>
      <c r="L470" s="184"/>
      <c r="M470" s="184"/>
      <c r="N470" s="184"/>
      <c r="O470" s="184"/>
      <c r="R470" s="185"/>
      <c r="T470" s="184"/>
      <c r="U470" s="184"/>
      <c r="V470" s="184"/>
      <c r="X470" s="184"/>
      <c r="Y470" s="184"/>
      <c r="Z470" s="184"/>
      <c r="AA470" s="184"/>
      <c r="AC470" s="184"/>
      <c r="AD470" s="184"/>
      <c r="AE470" s="184"/>
      <c r="AF470" s="184"/>
      <c r="AG470" s="184"/>
      <c r="AH470" s="184"/>
      <c r="AI470" s="184"/>
      <c r="AR470" s="186"/>
      <c r="AS470" s="187"/>
      <c r="AT470" s="187"/>
      <c r="AU470" s="187"/>
      <c r="AV470" s="246"/>
      <c r="BB470" s="377"/>
      <c r="BC470" s="377"/>
      <c r="BD470" s="377"/>
    </row>
    <row r="471" spans="1:56" s="163" customFormat="1" ht="16.5" customHeight="1">
      <c r="A471" s="247"/>
      <c r="B471" s="244"/>
      <c r="C471" s="245"/>
      <c r="D471" s="245"/>
      <c r="E471" s="183"/>
      <c r="F471" s="183"/>
      <c r="G471" s="183"/>
      <c r="H471" s="184"/>
      <c r="I471" s="184"/>
      <c r="J471" s="184"/>
      <c r="L471" s="184"/>
      <c r="M471" s="184"/>
      <c r="N471" s="184"/>
      <c r="O471" s="184"/>
      <c r="R471" s="185"/>
      <c r="T471" s="184"/>
      <c r="U471" s="184"/>
      <c r="V471" s="184"/>
      <c r="X471" s="184"/>
      <c r="Y471" s="184"/>
      <c r="Z471" s="184"/>
      <c r="AA471" s="184"/>
      <c r="AC471" s="184"/>
      <c r="AD471" s="184"/>
      <c r="AE471" s="184"/>
      <c r="AF471" s="184"/>
      <c r="AG471" s="184"/>
      <c r="AH471" s="184"/>
      <c r="AI471" s="184"/>
      <c r="AR471" s="186"/>
      <c r="AS471" s="187"/>
      <c r="AT471" s="187"/>
      <c r="AU471" s="187"/>
      <c r="AV471" s="246"/>
      <c r="BB471" s="377"/>
      <c r="BC471" s="377"/>
      <c r="BD471" s="377"/>
    </row>
    <row r="472" spans="1:56" s="163" customFormat="1" ht="16.5" customHeight="1">
      <c r="A472" s="247"/>
      <c r="B472" s="244"/>
      <c r="C472" s="245"/>
      <c r="D472" s="245"/>
      <c r="E472" s="183"/>
      <c r="F472" s="183"/>
      <c r="G472" s="183"/>
      <c r="H472" s="184"/>
      <c r="I472" s="184"/>
      <c r="J472" s="184"/>
      <c r="L472" s="184"/>
      <c r="M472" s="184"/>
      <c r="N472" s="184"/>
      <c r="O472" s="184"/>
      <c r="R472" s="185"/>
      <c r="T472" s="184"/>
      <c r="U472" s="184"/>
      <c r="V472" s="184"/>
      <c r="X472" s="184"/>
      <c r="Y472" s="184"/>
      <c r="Z472" s="184"/>
      <c r="AA472" s="184"/>
      <c r="AC472" s="184"/>
      <c r="AD472" s="184"/>
      <c r="AE472" s="184"/>
      <c r="AF472" s="184"/>
      <c r="AG472" s="184"/>
      <c r="AH472" s="184"/>
      <c r="AI472" s="184"/>
      <c r="AR472" s="186"/>
      <c r="AS472" s="187"/>
      <c r="AT472" s="187"/>
      <c r="AU472" s="187"/>
      <c r="AV472" s="246"/>
      <c r="BB472" s="377"/>
      <c r="BC472" s="377"/>
      <c r="BD472" s="377"/>
    </row>
    <row r="473" spans="1:56" s="163" customFormat="1" ht="16.5" customHeight="1">
      <c r="A473" s="247"/>
      <c r="B473" s="244"/>
      <c r="C473" s="245"/>
      <c r="D473" s="245"/>
      <c r="E473" s="183"/>
      <c r="F473" s="183"/>
      <c r="G473" s="183"/>
      <c r="H473" s="184"/>
      <c r="I473" s="184"/>
      <c r="J473" s="184"/>
      <c r="L473" s="184"/>
      <c r="M473" s="184"/>
      <c r="N473" s="184"/>
      <c r="O473" s="184"/>
      <c r="R473" s="185"/>
      <c r="T473" s="184"/>
      <c r="U473" s="184"/>
      <c r="V473" s="184"/>
      <c r="X473" s="184"/>
      <c r="Y473" s="184"/>
      <c r="Z473" s="184"/>
      <c r="AA473" s="184"/>
      <c r="AC473" s="184"/>
      <c r="AD473" s="184"/>
      <c r="AE473" s="184"/>
      <c r="AF473" s="184"/>
      <c r="AG473" s="184"/>
      <c r="AH473" s="184"/>
      <c r="AI473" s="184"/>
      <c r="AR473" s="186"/>
      <c r="AS473" s="187"/>
      <c r="AT473" s="187"/>
      <c r="AU473" s="187"/>
      <c r="AV473" s="246"/>
      <c r="BB473" s="377"/>
      <c r="BC473" s="377"/>
      <c r="BD473" s="377"/>
    </row>
    <row r="474" spans="1:56" s="163" customFormat="1" ht="16.5" customHeight="1">
      <c r="A474" s="247"/>
      <c r="B474" s="244"/>
      <c r="C474" s="245"/>
      <c r="D474" s="245"/>
      <c r="E474" s="183"/>
      <c r="F474" s="183"/>
      <c r="G474" s="183"/>
      <c r="H474" s="184"/>
      <c r="I474" s="184"/>
      <c r="J474" s="184"/>
      <c r="L474" s="184"/>
      <c r="M474" s="184"/>
      <c r="N474" s="184"/>
      <c r="O474" s="184"/>
      <c r="R474" s="185"/>
      <c r="T474" s="184"/>
      <c r="U474" s="184"/>
      <c r="V474" s="184"/>
      <c r="X474" s="184"/>
      <c r="Y474" s="184"/>
      <c r="Z474" s="184"/>
      <c r="AA474" s="184"/>
      <c r="AC474" s="184"/>
      <c r="AD474" s="184"/>
      <c r="AE474" s="184"/>
      <c r="AF474" s="184"/>
      <c r="AG474" s="184"/>
      <c r="AH474" s="184"/>
      <c r="AI474" s="184"/>
      <c r="AR474" s="186"/>
      <c r="AS474" s="187"/>
      <c r="AT474" s="187"/>
      <c r="AU474" s="187"/>
      <c r="AV474" s="246"/>
      <c r="BB474" s="377"/>
      <c r="BC474" s="377"/>
      <c r="BD474" s="377"/>
    </row>
    <row r="475" spans="1:56" s="163" customFormat="1" ht="16.5" customHeight="1">
      <c r="A475" s="247"/>
      <c r="B475" s="244"/>
      <c r="C475" s="245"/>
      <c r="D475" s="245"/>
      <c r="E475" s="183"/>
      <c r="F475" s="183"/>
      <c r="G475" s="183"/>
      <c r="H475" s="184"/>
      <c r="I475" s="184"/>
      <c r="J475" s="184"/>
      <c r="L475" s="184"/>
      <c r="M475" s="184"/>
      <c r="N475" s="184"/>
      <c r="O475" s="184"/>
      <c r="R475" s="185"/>
      <c r="T475" s="184"/>
      <c r="U475" s="184"/>
      <c r="V475" s="184"/>
      <c r="X475" s="184"/>
      <c r="Y475" s="184"/>
      <c r="Z475" s="184"/>
      <c r="AA475" s="184"/>
      <c r="AC475" s="184"/>
      <c r="AD475" s="184"/>
      <c r="AE475" s="184"/>
      <c r="AF475" s="184"/>
      <c r="AG475" s="184"/>
      <c r="AH475" s="184"/>
      <c r="AI475" s="184"/>
      <c r="AR475" s="186"/>
      <c r="AS475" s="187"/>
      <c r="AT475" s="187"/>
      <c r="AU475" s="187"/>
      <c r="AV475" s="246"/>
      <c r="BB475" s="377"/>
      <c r="BC475" s="377"/>
      <c r="BD475" s="377"/>
    </row>
    <row r="476" spans="1:56" s="163" customFormat="1" ht="16.5" customHeight="1">
      <c r="A476" s="247"/>
      <c r="B476" s="244"/>
      <c r="C476" s="245"/>
      <c r="D476" s="245"/>
      <c r="E476" s="183"/>
      <c r="F476" s="183"/>
      <c r="G476" s="183"/>
      <c r="H476" s="184"/>
      <c r="I476" s="184"/>
      <c r="J476" s="184"/>
      <c r="L476" s="184"/>
      <c r="M476" s="184"/>
      <c r="N476" s="184"/>
      <c r="O476" s="184"/>
      <c r="R476" s="185"/>
      <c r="T476" s="184"/>
      <c r="U476" s="184"/>
      <c r="V476" s="184"/>
      <c r="X476" s="184"/>
      <c r="Y476" s="184"/>
      <c r="Z476" s="184"/>
      <c r="AA476" s="184"/>
      <c r="AC476" s="184"/>
      <c r="AD476" s="184"/>
      <c r="AE476" s="184"/>
      <c r="AF476" s="184"/>
      <c r="AG476" s="184"/>
      <c r="AH476" s="184"/>
      <c r="AI476" s="184"/>
      <c r="AR476" s="186"/>
      <c r="AS476" s="187"/>
      <c r="AT476" s="187"/>
      <c r="AU476" s="187"/>
      <c r="AV476" s="246"/>
      <c r="BB476" s="377"/>
      <c r="BC476" s="377"/>
      <c r="BD476" s="377"/>
    </row>
    <row r="477" spans="1:56" s="163" customFormat="1" ht="16.5" customHeight="1">
      <c r="A477" s="247"/>
      <c r="B477" s="244"/>
      <c r="C477" s="245"/>
      <c r="D477" s="245"/>
      <c r="E477" s="183"/>
      <c r="F477" s="183"/>
      <c r="G477" s="183"/>
      <c r="H477" s="184"/>
      <c r="I477" s="184"/>
      <c r="J477" s="184"/>
      <c r="L477" s="184"/>
      <c r="M477" s="184"/>
      <c r="N477" s="184"/>
      <c r="O477" s="184"/>
      <c r="R477" s="185"/>
      <c r="T477" s="184"/>
      <c r="U477" s="184"/>
      <c r="V477" s="184"/>
      <c r="X477" s="184"/>
      <c r="Y477" s="184"/>
      <c r="Z477" s="184"/>
      <c r="AA477" s="184"/>
      <c r="AC477" s="184"/>
      <c r="AD477" s="184"/>
      <c r="AE477" s="184"/>
      <c r="AF477" s="184"/>
      <c r="AG477" s="184"/>
      <c r="AH477" s="184"/>
      <c r="AI477" s="184"/>
      <c r="AR477" s="186"/>
      <c r="AS477" s="187"/>
      <c r="AT477" s="187"/>
      <c r="AU477" s="187"/>
      <c r="AV477" s="246"/>
      <c r="BB477" s="377"/>
      <c r="BC477" s="377"/>
      <c r="BD477" s="377"/>
    </row>
    <row r="478" spans="1:56" s="163" customFormat="1" ht="16.5" customHeight="1">
      <c r="A478" s="247"/>
      <c r="B478" s="244"/>
      <c r="C478" s="245"/>
      <c r="D478" s="245"/>
      <c r="E478" s="183"/>
      <c r="F478" s="183"/>
      <c r="G478" s="183"/>
      <c r="H478" s="184"/>
      <c r="I478" s="184"/>
      <c r="J478" s="184"/>
      <c r="L478" s="184"/>
      <c r="M478" s="184"/>
      <c r="N478" s="184"/>
      <c r="O478" s="184"/>
      <c r="R478" s="185"/>
      <c r="T478" s="184"/>
      <c r="U478" s="184"/>
      <c r="V478" s="184"/>
      <c r="X478" s="184"/>
      <c r="Y478" s="184"/>
      <c r="Z478" s="184"/>
      <c r="AA478" s="184"/>
      <c r="AC478" s="184"/>
      <c r="AD478" s="184"/>
      <c r="AE478" s="184"/>
      <c r="AF478" s="184"/>
      <c r="AG478" s="184"/>
      <c r="AH478" s="184"/>
      <c r="AI478" s="184"/>
      <c r="AR478" s="186"/>
      <c r="AS478" s="187"/>
      <c r="AT478" s="187"/>
      <c r="AU478" s="187"/>
      <c r="AV478" s="246"/>
      <c r="BB478" s="377"/>
      <c r="BC478" s="377"/>
      <c r="BD478" s="377"/>
    </row>
    <row r="479" spans="1:56" s="163" customFormat="1" ht="16.5" customHeight="1">
      <c r="A479" s="247"/>
      <c r="B479" s="244"/>
      <c r="C479" s="245"/>
      <c r="D479" s="245"/>
      <c r="E479" s="183"/>
      <c r="F479" s="183"/>
      <c r="G479" s="183"/>
      <c r="H479" s="184"/>
      <c r="I479" s="184"/>
      <c r="J479" s="184"/>
      <c r="L479" s="184"/>
      <c r="M479" s="184"/>
      <c r="N479" s="184"/>
      <c r="O479" s="184"/>
      <c r="R479" s="185"/>
      <c r="T479" s="184"/>
      <c r="U479" s="184"/>
      <c r="V479" s="184"/>
      <c r="X479" s="184"/>
      <c r="Y479" s="184"/>
      <c r="Z479" s="184"/>
      <c r="AA479" s="184"/>
      <c r="AC479" s="184"/>
      <c r="AD479" s="184"/>
      <c r="AE479" s="184"/>
      <c r="AF479" s="184"/>
      <c r="AG479" s="184"/>
      <c r="AH479" s="184"/>
      <c r="AI479" s="184"/>
      <c r="AR479" s="186"/>
      <c r="AS479" s="187"/>
      <c r="AT479" s="187"/>
      <c r="AU479" s="187"/>
      <c r="AV479" s="246"/>
      <c r="BB479" s="377"/>
      <c r="BC479" s="377"/>
      <c r="BD479" s="377"/>
    </row>
    <row r="480" spans="1:56" s="163" customFormat="1" ht="16.5" customHeight="1">
      <c r="A480" s="247"/>
      <c r="B480" s="244"/>
      <c r="C480" s="245"/>
      <c r="D480" s="245"/>
      <c r="E480" s="183"/>
      <c r="F480" s="183"/>
      <c r="G480" s="183"/>
      <c r="H480" s="184"/>
      <c r="I480" s="184"/>
      <c r="J480" s="184"/>
      <c r="L480" s="184"/>
      <c r="M480" s="184"/>
      <c r="N480" s="184"/>
      <c r="O480" s="184"/>
      <c r="R480" s="185"/>
      <c r="T480" s="184"/>
      <c r="U480" s="184"/>
      <c r="V480" s="184"/>
      <c r="X480" s="184"/>
      <c r="Y480" s="184"/>
      <c r="Z480" s="184"/>
      <c r="AA480" s="184"/>
      <c r="AC480" s="184"/>
      <c r="AD480" s="184"/>
      <c r="AE480" s="184"/>
      <c r="AF480" s="184"/>
      <c r="AG480" s="184"/>
      <c r="AH480" s="184"/>
      <c r="AI480" s="184"/>
      <c r="AR480" s="186"/>
      <c r="AS480" s="187"/>
      <c r="AT480" s="187"/>
      <c r="AU480" s="187"/>
      <c r="AV480" s="246"/>
      <c r="BB480" s="377"/>
      <c r="BC480" s="377"/>
      <c r="BD480" s="377"/>
    </row>
    <row r="481" spans="1:56" s="163" customFormat="1" ht="16.5" customHeight="1">
      <c r="A481" s="247"/>
      <c r="B481" s="244"/>
      <c r="C481" s="245"/>
      <c r="D481" s="245"/>
      <c r="E481" s="183"/>
      <c r="F481" s="183"/>
      <c r="G481" s="183"/>
      <c r="H481" s="184"/>
      <c r="I481" s="184"/>
      <c r="J481" s="184"/>
      <c r="L481" s="184"/>
      <c r="M481" s="184"/>
      <c r="N481" s="184"/>
      <c r="O481" s="184"/>
      <c r="R481" s="185"/>
      <c r="T481" s="184"/>
      <c r="U481" s="184"/>
      <c r="V481" s="184"/>
      <c r="X481" s="184"/>
      <c r="Y481" s="184"/>
      <c r="Z481" s="184"/>
      <c r="AA481" s="184"/>
      <c r="AC481" s="184"/>
      <c r="AD481" s="184"/>
      <c r="AE481" s="184"/>
      <c r="AF481" s="184"/>
      <c r="AG481" s="184"/>
      <c r="AH481" s="184"/>
      <c r="AI481" s="184"/>
      <c r="AR481" s="186"/>
      <c r="AS481" s="187"/>
      <c r="AT481" s="187"/>
      <c r="AU481" s="187"/>
      <c r="AV481" s="246"/>
      <c r="BB481" s="377"/>
      <c r="BC481" s="377"/>
      <c r="BD481" s="377"/>
    </row>
    <row r="482" spans="1:56" s="163" customFormat="1" ht="16.5" customHeight="1">
      <c r="A482" s="247"/>
      <c r="B482" s="244"/>
      <c r="C482" s="245"/>
      <c r="D482" s="245"/>
      <c r="E482" s="183"/>
      <c r="F482" s="183"/>
      <c r="G482" s="183"/>
      <c r="H482" s="184"/>
      <c r="I482" s="184"/>
      <c r="J482" s="184"/>
      <c r="L482" s="184"/>
      <c r="M482" s="184"/>
      <c r="N482" s="184"/>
      <c r="O482" s="184"/>
      <c r="R482" s="185"/>
      <c r="T482" s="184"/>
      <c r="U482" s="184"/>
      <c r="V482" s="184"/>
      <c r="X482" s="184"/>
      <c r="Y482" s="184"/>
      <c r="Z482" s="184"/>
      <c r="AA482" s="184"/>
      <c r="AC482" s="184"/>
      <c r="AD482" s="184"/>
      <c r="AE482" s="184"/>
      <c r="AF482" s="184"/>
      <c r="AG482" s="184"/>
      <c r="AH482" s="184"/>
      <c r="AI482" s="184"/>
      <c r="AR482" s="186"/>
      <c r="AS482" s="187"/>
      <c r="AT482" s="187"/>
      <c r="AU482" s="187"/>
      <c r="AV482" s="246"/>
      <c r="BB482" s="377"/>
      <c r="BC482" s="377"/>
      <c r="BD482" s="377"/>
    </row>
    <row r="483" spans="1:56" s="163" customFormat="1" ht="16.5" customHeight="1">
      <c r="A483" s="247"/>
      <c r="B483" s="244"/>
      <c r="C483" s="245"/>
      <c r="D483" s="245"/>
      <c r="E483" s="183"/>
      <c r="F483" s="183"/>
      <c r="G483" s="183"/>
      <c r="H483" s="184"/>
      <c r="I483" s="184"/>
      <c r="J483" s="184"/>
      <c r="L483" s="184"/>
      <c r="M483" s="184"/>
      <c r="N483" s="184"/>
      <c r="O483" s="184"/>
      <c r="R483" s="185"/>
      <c r="T483" s="184"/>
      <c r="U483" s="184"/>
      <c r="V483" s="184"/>
      <c r="X483" s="184"/>
      <c r="Y483" s="184"/>
      <c r="Z483" s="184"/>
      <c r="AA483" s="184"/>
      <c r="AC483" s="184"/>
      <c r="AD483" s="184"/>
      <c r="AE483" s="184"/>
      <c r="AF483" s="184"/>
      <c r="AG483" s="184"/>
      <c r="AH483" s="184"/>
      <c r="AI483" s="184"/>
      <c r="AR483" s="186"/>
      <c r="AS483" s="187"/>
      <c r="AT483" s="187"/>
      <c r="AU483" s="187"/>
      <c r="AV483" s="246"/>
      <c r="BB483" s="377"/>
      <c r="BC483" s="377"/>
      <c r="BD483" s="377"/>
    </row>
    <row r="484" spans="1:56" s="163" customFormat="1" ht="16.5" customHeight="1">
      <c r="A484" s="247"/>
      <c r="B484" s="244"/>
      <c r="C484" s="245"/>
      <c r="D484" s="245"/>
      <c r="E484" s="183"/>
      <c r="F484" s="183"/>
      <c r="G484" s="183"/>
      <c r="H484" s="184"/>
      <c r="I484" s="184"/>
      <c r="J484" s="184"/>
      <c r="L484" s="184"/>
      <c r="M484" s="184"/>
      <c r="N484" s="184"/>
      <c r="O484" s="184"/>
      <c r="R484" s="185"/>
      <c r="T484" s="184"/>
      <c r="U484" s="184"/>
      <c r="V484" s="184"/>
      <c r="X484" s="184"/>
      <c r="Y484" s="184"/>
      <c r="Z484" s="184"/>
      <c r="AA484" s="184"/>
      <c r="AC484" s="184"/>
      <c r="AD484" s="184"/>
      <c r="AE484" s="184"/>
      <c r="AF484" s="184"/>
      <c r="AG484" s="184"/>
      <c r="AH484" s="184"/>
      <c r="AI484" s="184"/>
      <c r="AR484" s="186"/>
      <c r="AS484" s="187"/>
      <c r="AT484" s="187"/>
      <c r="AU484" s="187"/>
      <c r="AV484" s="246"/>
      <c r="BB484" s="377"/>
      <c r="BC484" s="377"/>
      <c r="BD484" s="377"/>
    </row>
    <row r="485" spans="1:56" s="163" customFormat="1" ht="16.5" customHeight="1">
      <c r="A485" s="247"/>
      <c r="B485" s="244"/>
      <c r="C485" s="245"/>
      <c r="D485" s="245"/>
      <c r="E485" s="183"/>
      <c r="F485" s="183"/>
      <c r="G485" s="183"/>
      <c r="H485" s="184"/>
      <c r="I485" s="184"/>
      <c r="J485" s="184"/>
      <c r="L485" s="184"/>
      <c r="M485" s="184"/>
      <c r="N485" s="184"/>
      <c r="O485" s="184"/>
      <c r="R485" s="185"/>
      <c r="T485" s="184"/>
      <c r="U485" s="184"/>
      <c r="V485" s="184"/>
      <c r="X485" s="184"/>
      <c r="Y485" s="184"/>
      <c r="Z485" s="184"/>
      <c r="AA485" s="184"/>
      <c r="AC485" s="184"/>
      <c r="AD485" s="184"/>
      <c r="AE485" s="184"/>
      <c r="AF485" s="184"/>
      <c r="AG485" s="184"/>
      <c r="AH485" s="184"/>
      <c r="AI485" s="184"/>
      <c r="AR485" s="186"/>
      <c r="AS485" s="187"/>
      <c r="AT485" s="187"/>
      <c r="AU485" s="187"/>
      <c r="AV485" s="246"/>
      <c r="BB485" s="377"/>
      <c r="BC485" s="377"/>
      <c r="BD485" s="377"/>
    </row>
    <row r="486" spans="1:56" s="163" customFormat="1" ht="16.5" customHeight="1">
      <c r="A486" s="247"/>
      <c r="B486" s="244"/>
      <c r="C486" s="245"/>
      <c r="D486" s="245"/>
      <c r="E486" s="183"/>
      <c r="F486" s="183"/>
      <c r="G486" s="183"/>
      <c r="H486" s="184"/>
      <c r="I486" s="184"/>
      <c r="J486" s="184"/>
      <c r="L486" s="184"/>
      <c r="M486" s="184"/>
      <c r="N486" s="184"/>
      <c r="O486" s="184"/>
      <c r="R486" s="185"/>
      <c r="T486" s="184"/>
      <c r="U486" s="184"/>
      <c r="V486" s="184"/>
      <c r="X486" s="184"/>
      <c r="Y486" s="184"/>
      <c r="Z486" s="184"/>
      <c r="AA486" s="184"/>
      <c r="AC486" s="184"/>
      <c r="AD486" s="184"/>
      <c r="AE486" s="184"/>
      <c r="AF486" s="184"/>
      <c r="AG486" s="184"/>
      <c r="AH486" s="184"/>
      <c r="AI486" s="184"/>
      <c r="AR486" s="186"/>
      <c r="AS486" s="187"/>
      <c r="AT486" s="187"/>
      <c r="AU486" s="187"/>
      <c r="AV486" s="246"/>
      <c r="BB486" s="377"/>
      <c r="BC486" s="377"/>
      <c r="BD486" s="377"/>
    </row>
    <row r="487" spans="1:56" s="163" customFormat="1" ht="16.5" customHeight="1">
      <c r="A487" s="247"/>
      <c r="B487" s="244"/>
      <c r="C487" s="245"/>
      <c r="D487" s="245"/>
      <c r="E487" s="183"/>
      <c r="F487" s="183"/>
      <c r="G487" s="183"/>
      <c r="H487" s="184"/>
      <c r="I487" s="184"/>
      <c r="J487" s="184"/>
      <c r="L487" s="184"/>
      <c r="M487" s="184"/>
      <c r="N487" s="184"/>
      <c r="O487" s="184"/>
      <c r="R487" s="185"/>
      <c r="T487" s="184"/>
      <c r="U487" s="184"/>
      <c r="V487" s="184"/>
      <c r="X487" s="184"/>
      <c r="Y487" s="184"/>
      <c r="Z487" s="184"/>
      <c r="AA487" s="184"/>
      <c r="AC487" s="184"/>
      <c r="AD487" s="184"/>
      <c r="AE487" s="184"/>
      <c r="AF487" s="184"/>
      <c r="AG487" s="184"/>
      <c r="AH487" s="184"/>
      <c r="AI487" s="184"/>
      <c r="AR487" s="186"/>
      <c r="AS487" s="187"/>
      <c r="AT487" s="187"/>
      <c r="AU487" s="187"/>
      <c r="AV487" s="246"/>
      <c r="BB487" s="377"/>
      <c r="BC487" s="377"/>
      <c r="BD487" s="377"/>
    </row>
    <row r="488" spans="1:56" s="163" customFormat="1" ht="16.5" customHeight="1">
      <c r="A488" s="247"/>
      <c r="B488" s="244"/>
      <c r="C488" s="245"/>
      <c r="D488" s="245"/>
      <c r="E488" s="183"/>
      <c r="F488" s="183"/>
      <c r="G488" s="183"/>
      <c r="H488" s="184"/>
      <c r="I488" s="184"/>
      <c r="J488" s="184"/>
      <c r="L488" s="184"/>
      <c r="M488" s="184"/>
      <c r="N488" s="184"/>
      <c r="O488" s="184"/>
      <c r="R488" s="185"/>
      <c r="T488" s="184"/>
      <c r="U488" s="184"/>
      <c r="V488" s="184"/>
      <c r="X488" s="184"/>
      <c r="Y488" s="184"/>
      <c r="Z488" s="184"/>
      <c r="AA488" s="184"/>
      <c r="AC488" s="184"/>
      <c r="AD488" s="184"/>
      <c r="AE488" s="184"/>
      <c r="AF488" s="184"/>
      <c r="AG488" s="184"/>
      <c r="AH488" s="184"/>
      <c r="AI488" s="184"/>
      <c r="AR488" s="186"/>
      <c r="AS488" s="187"/>
      <c r="AT488" s="187"/>
      <c r="AU488" s="187"/>
      <c r="AV488" s="246"/>
      <c r="BB488" s="377"/>
      <c r="BC488" s="377"/>
      <c r="BD488" s="377"/>
    </row>
    <row r="489" spans="1:56" s="163" customFormat="1" ht="16.5" customHeight="1">
      <c r="A489" s="247"/>
      <c r="B489" s="244"/>
      <c r="C489" s="245"/>
      <c r="D489" s="245"/>
      <c r="E489" s="183"/>
      <c r="F489" s="183"/>
      <c r="G489" s="183"/>
      <c r="H489" s="184"/>
      <c r="I489" s="184"/>
      <c r="J489" s="184"/>
      <c r="L489" s="184"/>
      <c r="M489" s="184"/>
      <c r="N489" s="184"/>
      <c r="O489" s="184"/>
      <c r="R489" s="185"/>
      <c r="T489" s="184"/>
      <c r="U489" s="184"/>
      <c r="V489" s="184"/>
      <c r="X489" s="184"/>
      <c r="Y489" s="184"/>
      <c r="Z489" s="184"/>
      <c r="AA489" s="184"/>
      <c r="AC489" s="184"/>
      <c r="AD489" s="184"/>
      <c r="AE489" s="184"/>
      <c r="AF489" s="184"/>
      <c r="AG489" s="184"/>
      <c r="AH489" s="184"/>
      <c r="AI489" s="184"/>
      <c r="AR489" s="186"/>
      <c r="AS489" s="187"/>
      <c r="AT489" s="187"/>
      <c r="AU489" s="187"/>
      <c r="AV489" s="246"/>
      <c r="BB489" s="377"/>
      <c r="BC489" s="377"/>
      <c r="BD489" s="377"/>
    </row>
    <row r="490" spans="1:56" s="163" customFormat="1" ht="16.5" customHeight="1">
      <c r="A490" s="247"/>
      <c r="B490" s="244"/>
      <c r="C490" s="245"/>
      <c r="D490" s="245"/>
      <c r="E490" s="183"/>
      <c r="F490" s="183"/>
      <c r="G490" s="183"/>
      <c r="H490" s="184"/>
      <c r="I490" s="184"/>
      <c r="J490" s="184"/>
      <c r="L490" s="184"/>
      <c r="M490" s="184"/>
      <c r="N490" s="184"/>
      <c r="O490" s="184"/>
      <c r="R490" s="185"/>
      <c r="T490" s="184"/>
      <c r="U490" s="184"/>
      <c r="V490" s="184"/>
      <c r="X490" s="184"/>
      <c r="Y490" s="184"/>
      <c r="Z490" s="184"/>
      <c r="AA490" s="184"/>
      <c r="AC490" s="184"/>
      <c r="AD490" s="184"/>
      <c r="AE490" s="184"/>
      <c r="AF490" s="184"/>
      <c r="AG490" s="184"/>
      <c r="AH490" s="184"/>
      <c r="AI490" s="184"/>
      <c r="AR490" s="186"/>
      <c r="AS490" s="187"/>
      <c r="AT490" s="187"/>
      <c r="AU490" s="187"/>
      <c r="AV490" s="246"/>
      <c r="BB490" s="377"/>
      <c r="BC490" s="377"/>
      <c r="BD490" s="377"/>
    </row>
    <row r="491" spans="1:56" s="163" customFormat="1" ht="16.5" customHeight="1">
      <c r="A491" s="247"/>
      <c r="B491" s="244"/>
      <c r="C491" s="245"/>
      <c r="D491" s="245"/>
      <c r="E491" s="183"/>
      <c r="F491" s="183"/>
      <c r="G491" s="183"/>
      <c r="H491" s="184"/>
      <c r="I491" s="184"/>
      <c r="J491" s="184"/>
      <c r="L491" s="184"/>
      <c r="M491" s="184"/>
      <c r="N491" s="184"/>
      <c r="O491" s="184"/>
      <c r="R491" s="185"/>
      <c r="T491" s="184"/>
      <c r="U491" s="184"/>
      <c r="V491" s="184"/>
      <c r="X491" s="184"/>
      <c r="Y491" s="184"/>
      <c r="Z491" s="184"/>
      <c r="AA491" s="184"/>
      <c r="AC491" s="184"/>
      <c r="AD491" s="184"/>
      <c r="AE491" s="184"/>
      <c r="AF491" s="184"/>
      <c r="AG491" s="184"/>
      <c r="AH491" s="184"/>
      <c r="AI491" s="184"/>
      <c r="AR491" s="186"/>
      <c r="AS491" s="187"/>
      <c r="AT491" s="187"/>
      <c r="AU491" s="187"/>
      <c r="AV491" s="246"/>
      <c r="BB491" s="377"/>
      <c r="BC491" s="377"/>
      <c r="BD491" s="377"/>
    </row>
    <row r="492" spans="1:56" s="163" customFormat="1" ht="16.5" customHeight="1">
      <c r="A492" s="247"/>
      <c r="B492" s="244"/>
      <c r="C492" s="245"/>
      <c r="D492" s="245"/>
      <c r="E492" s="183"/>
      <c r="F492" s="183"/>
      <c r="G492" s="183"/>
      <c r="H492" s="184"/>
      <c r="I492" s="184"/>
      <c r="J492" s="184"/>
      <c r="L492" s="184"/>
      <c r="M492" s="184"/>
      <c r="N492" s="184"/>
      <c r="O492" s="184"/>
      <c r="R492" s="185"/>
      <c r="T492" s="184"/>
      <c r="U492" s="184"/>
      <c r="V492" s="184"/>
      <c r="X492" s="184"/>
      <c r="Y492" s="184"/>
      <c r="Z492" s="184"/>
      <c r="AA492" s="184"/>
      <c r="AC492" s="184"/>
      <c r="AD492" s="184"/>
      <c r="AE492" s="184"/>
      <c r="AF492" s="184"/>
      <c r="AG492" s="184"/>
      <c r="AH492" s="184"/>
      <c r="AI492" s="184"/>
      <c r="AR492" s="186"/>
      <c r="AS492" s="187"/>
      <c r="AT492" s="187"/>
      <c r="AU492" s="187"/>
      <c r="AV492" s="246"/>
      <c r="BB492" s="377"/>
      <c r="BC492" s="377"/>
      <c r="BD492" s="377"/>
    </row>
    <row r="493" spans="1:56" s="163" customFormat="1" ht="16.5" customHeight="1">
      <c r="A493" s="247"/>
      <c r="B493" s="244"/>
      <c r="C493" s="245"/>
      <c r="D493" s="245"/>
      <c r="E493" s="183"/>
      <c r="F493" s="183"/>
      <c r="G493" s="183"/>
      <c r="H493" s="184"/>
      <c r="I493" s="184"/>
      <c r="J493" s="184"/>
      <c r="L493" s="184"/>
      <c r="M493" s="184"/>
      <c r="N493" s="184"/>
      <c r="O493" s="184"/>
      <c r="R493" s="185"/>
      <c r="T493" s="184"/>
      <c r="U493" s="184"/>
      <c r="V493" s="184"/>
      <c r="X493" s="184"/>
      <c r="Y493" s="184"/>
      <c r="Z493" s="184"/>
      <c r="AA493" s="184"/>
      <c r="AC493" s="184"/>
      <c r="AD493" s="184"/>
      <c r="AE493" s="184"/>
      <c r="AF493" s="184"/>
      <c r="AG493" s="184"/>
      <c r="AH493" s="184"/>
      <c r="AI493" s="184"/>
      <c r="AR493" s="186"/>
      <c r="AS493" s="187"/>
      <c r="AT493" s="187"/>
      <c r="AU493" s="187"/>
      <c r="AV493" s="246"/>
      <c r="BB493" s="377"/>
      <c r="BC493" s="377"/>
      <c r="BD493" s="377"/>
    </row>
    <row r="494" spans="1:56" s="163" customFormat="1" ht="16.5" customHeight="1">
      <c r="A494" s="247"/>
      <c r="B494" s="244"/>
      <c r="C494" s="245"/>
      <c r="D494" s="245"/>
      <c r="E494" s="183"/>
      <c r="F494" s="183"/>
      <c r="G494" s="183"/>
      <c r="H494" s="184"/>
      <c r="I494" s="184"/>
      <c r="J494" s="184"/>
      <c r="L494" s="184"/>
      <c r="M494" s="184"/>
      <c r="N494" s="184"/>
      <c r="O494" s="184"/>
      <c r="R494" s="185"/>
      <c r="T494" s="184"/>
      <c r="U494" s="184"/>
      <c r="V494" s="184"/>
      <c r="X494" s="184"/>
      <c r="Y494" s="184"/>
      <c r="Z494" s="184"/>
      <c r="AA494" s="184"/>
      <c r="AC494" s="184"/>
      <c r="AD494" s="184"/>
      <c r="AE494" s="184"/>
      <c r="AF494" s="184"/>
      <c r="AG494" s="184"/>
      <c r="AH494" s="184"/>
      <c r="AI494" s="184"/>
      <c r="AR494" s="186"/>
      <c r="AS494" s="187"/>
      <c r="AT494" s="187"/>
      <c r="AU494" s="187"/>
      <c r="AV494" s="246"/>
      <c r="BB494" s="377"/>
      <c r="BC494" s="377"/>
      <c r="BD494" s="377"/>
    </row>
    <row r="495" spans="1:56" s="163" customFormat="1" ht="16.5" customHeight="1">
      <c r="A495" s="247"/>
      <c r="B495" s="244"/>
      <c r="C495" s="245"/>
      <c r="D495" s="245"/>
      <c r="E495" s="183"/>
      <c r="F495" s="183"/>
      <c r="G495" s="183"/>
      <c r="H495" s="184"/>
      <c r="I495" s="184"/>
      <c r="J495" s="184"/>
      <c r="L495" s="184"/>
      <c r="M495" s="184"/>
      <c r="N495" s="184"/>
      <c r="O495" s="184"/>
      <c r="R495" s="185"/>
      <c r="T495" s="184"/>
      <c r="U495" s="184"/>
      <c r="V495" s="184"/>
      <c r="X495" s="184"/>
      <c r="Y495" s="184"/>
      <c r="Z495" s="184"/>
      <c r="AA495" s="184"/>
      <c r="AC495" s="184"/>
      <c r="AD495" s="184"/>
      <c r="AE495" s="184"/>
      <c r="AF495" s="184"/>
      <c r="AG495" s="184"/>
      <c r="AH495" s="184"/>
      <c r="AI495" s="184"/>
      <c r="AR495" s="186"/>
      <c r="AS495" s="187"/>
      <c r="AT495" s="187"/>
      <c r="AU495" s="187"/>
      <c r="AV495" s="246"/>
      <c r="BB495" s="377"/>
      <c r="BC495" s="377"/>
      <c r="BD495" s="377"/>
    </row>
    <row r="496" spans="1:56" s="163" customFormat="1" ht="16.5" customHeight="1">
      <c r="A496" s="247"/>
      <c r="B496" s="244"/>
      <c r="C496" s="245"/>
      <c r="D496" s="245"/>
      <c r="E496" s="183"/>
      <c r="F496" s="183"/>
      <c r="G496" s="183"/>
      <c r="H496" s="184"/>
      <c r="I496" s="184"/>
      <c r="J496" s="184"/>
      <c r="L496" s="184"/>
      <c r="M496" s="184"/>
      <c r="N496" s="184"/>
      <c r="O496" s="184"/>
      <c r="R496" s="185"/>
      <c r="T496" s="184"/>
      <c r="U496" s="184"/>
      <c r="V496" s="184"/>
      <c r="X496" s="184"/>
      <c r="Y496" s="184"/>
      <c r="Z496" s="184"/>
      <c r="AA496" s="184"/>
      <c r="AC496" s="184"/>
      <c r="AD496" s="184"/>
      <c r="AE496" s="184"/>
      <c r="AF496" s="184"/>
      <c r="AG496" s="184"/>
      <c r="AH496" s="184"/>
      <c r="AI496" s="184"/>
      <c r="AR496" s="186"/>
      <c r="AS496" s="187"/>
      <c r="AT496" s="187"/>
      <c r="AU496" s="187"/>
      <c r="AV496" s="246"/>
      <c r="BB496" s="377"/>
      <c r="BC496" s="377"/>
      <c r="BD496" s="377"/>
    </row>
    <row r="497" spans="1:56" s="163" customFormat="1" ht="16.5" customHeight="1">
      <c r="A497" s="247"/>
      <c r="B497" s="244"/>
      <c r="C497" s="245"/>
      <c r="D497" s="245"/>
      <c r="E497" s="183"/>
      <c r="F497" s="183"/>
      <c r="G497" s="183"/>
      <c r="H497" s="184"/>
      <c r="I497" s="184"/>
      <c r="J497" s="184"/>
      <c r="L497" s="184"/>
      <c r="M497" s="184"/>
      <c r="N497" s="184"/>
      <c r="O497" s="184"/>
      <c r="R497" s="185"/>
      <c r="T497" s="184"/>
      <c r="U497" s="184"/>
      <c r="V497" s="184"/>
      <c r="X497" s="184"/>
      <c r="Y497" s="184"/>
      <c r="Z497" s="184"/>
      <c r="AA497" s="184"/>
      <c r="AC497" s="184"/>
      <c r="AD497" s="184"/>
      <c r="AE497" s="184"/>
      <c r="AF497" s="184"/>
      <c r="AG497" s="184"/>
      <c r="AH497" s="184"/>
      <c r="AI497" s="184"/>
      <c r="AR497" s="186"/>
      <c r="AS497" s="187"/>
      <c r="AT497" s="187"/>
      <c r="AU497" s="187"/>
      <c r="AV497" s="246"/>
      <c r="BB497" s="377"/>
      <c r="BC497" s="377"/>
      <c r="BD497" s="377"/>
    </row>
    <row r="498" spans="1:56" s="163" customFormat="1" ht="16.5" customHeight="1">
      <c r="A498" s="247"/>
      <c r="B498" s="244"/>
      <c r="C498" s="245"/>
      <c r="D498" s="245"/>
      <c r="E498" s="183"/>
      <c r="F498" s="183"/>
      <c r="G498" s="183"/>
      <c r="H498" s="184"/>
      <c r="I498" s="184"/>
      <c r="J498" s="184"/>
      <c r="L498" s="184"/>
      <c r="M498" s="184"/>
      <c r="N498" s="184"/>
      <c r="O498" s="184"/>
      <c r="R498" s="185"/>
      <c r="T498" s="184"/>
      <c r="U498" s="184"/>
      <c r="V498" s="184"/>
      <c r="X498" s="184"/>
      <c r="Y498" s="184"/>
      <c r="Z498" s="184"/>
      <c r="AA498" s="184"/>
      <c r="AC498" s="184"/>
      <c r="AD498" s="184"/>
      <c r="AE498" s="184"/>
      <c r="AF498" s="184"/>
      <c r="AG498" s="184"/>
      <c r="AH498" s="184"/>
      <c r="AI498" s="184"/>
      <c r="AR498" s="186"/>
      <c r="AS498" s="187"/>
      <c r="AT498" s="187"/>
      <c r="AU498" s="187"/>
      <c r="AV498" s="246"/>
      <c r="BB498" s="377"/>
      <c r="BC498" s="377"/>
      <c r="BD498" s="377"/>
    </row>
    <row r="499" spans="1:56" s="163" customFormat="1" ht="16.5" customHeight="1">
      <c r="A499" s="247"/>
      <c r="B499" s="244"/>
      <c r="C499" s="245"/>
      <c r="D499" s="245"/>
      <c r="E499" s="183"/>
      <c r="F499" s="183"/>
      <c r="G499" s="183"/>
      <c r="H499" s="184"/>
      <c r="I499" s="184"/>
      <c r="J499" s="184"/>
      <c r="L499" s="184"/>
      <c r="M499" s="184"/>
      <c r="N499" s="184"/>
      <c r="O499" s="184"/>
      <c r="R499" s="185"/>
      <c r="T499" s="184"/>
      <c r="U499" s="184"/>
      <c r="V499" s="184"/>
      <c r="X499" s="184"/>
      <c r="Y499" s="184"/>
      <c r="Z499" s="184"/>
      <c r="AA499" s="184"/>
      <c r="AC499" s="184"/>
      <c r="AD499" s="184"/>
      <c r="AE499" s="184"/>
      <c r="AF499" s="184"/>
      <c r="AG499" s="184"/>
      <c r="AH499" s="184"/>
      <c r="AI499" s="184"/>
      <c r="AR499" s="186"/>
      <c r="AS499" s="187"/>
      <c r="AT499" s="187"/>
      <c r="AU499" s="187"/>
      <c r="AV499" s="246"/>
      <c r="BB499" s="377"/>
      <c r="BC499" s="377"/>
      <c r="BD499" s="377"/>
    </row>
    <row r="500" spans="1:56" s="163" customFormat="1" ht="16.5" customHeight="1">
      <c r="A500" s="247"/>
      <c r="B500" s="244"/>
      <c r="C500" s="245"/>
      <c r="D500" s="245"/>
      <c r="E500" s="183"/>
      <c r="F500" s="183"/>
      <c r="G500" s="183"/>
      <c r="H500" s="184"/>
      <c r="I500" s="184"/>
      <c r="J500" s="184"/>
      <c r="L500" s="184"/>
      <c r="M500" s="184"/>
      <c r="N500" s="184"/>
      <c r="O500" s="184"/>
      <c r="R500" s="185"/>
      <c r="T500" s="184"/>
      <c r="U500" s="184"/>
      <c r="V500" s="184"/>
      <c r="X500" s="184"/>
      <c r="Y500" s="184"/>
      <c r="Z500" s="184"/>
      <c r="AA500" s="184"/>
      <c r="AC500" s="184"/>
      <c r="AD500" s="184"/>
      <c r="AE500" s="184"/>
      <c r="AF500" s="184"/>
      <c r="AG500" s="184"/>
      <c r="AH500" s="184"/>
      <c r="AI500" s="184"/>
      <c r="AR500" s="186"/>
      <c r="AS500" s="187"/>
      <c r="AT500" s="187"/>
      <c r="AU500" s="187"/>
      <c r="AV500" s="246"/>
      <c r="BB500" s="377"/>
      <c r="BC500" s="377"/>
      <c r="BD500" s="377"/>
    </row>
    <row r="501" spans="1:56" s="163" customFormat="1" ht="16.5" customHeight="1">
      <c r="A501" s="247"/>
      <c r="B501" s="244"/>
      <c r="C501" s="245"/>
      <c r="D501" s="245"/>
      <c r="E501" s="183"/>
      <c r="F501" s="183"/>
      <c r="G501" s="183"/>
      <c r="H501" s="184"/>
      <c r="I501" s="184"/>
      <c r="J501" s="184"/>
      <c r="L501" s="184"/>
      <c r="M501" s="184"/>
      <c r="N501" s="184"/>
      <c r="O501" s="184"/>
      <c r="R501" s="185"/>
      <c r="T501" s="184"/>
      <c r="U501" s="184"/>
      <c r="V501" s="184"/>
      <c r="X501" s="184"/>
      <c r="Y501" s="184"/>
      <c r="Z501" s="184"/>
      <c r="AA501" s="184"/>
      <c r="AC501" s="184"/>
      <c r="AD501" s="184"/>
      <c r="AE501" s="184"/>
      <c r="AF501" s="184"/>
      <c r="AG501" s="184"/>
      <c r="AH501" s="184"/>
      <c r="AI501" s="184"/>
      <c r="AR501" s="186"/>
      <c r="AS501" s="187"/>
      <c r="AT501" s="187"/>
      <c r="AU501" s="187"/>
      <c r="AV501" s="246"/>
      <c r="BB501" s="377"/>
      <c r="BC501" s="377"/>
      <c r="BD501" s="377"/>
    </row>
    <row r="502" spans="1:56" s="163" customFormat="1" ht="16.5" customHeight="1">
      <c r="A502" s="247"/>
      <c r="B502" s="244"/>
      <c r="C502" s="245"/>
      <c r="D502" s="245"/>
      <c r="E502" s="183"/>
      <c r="F502" s="183"/>
      <c r="G502" s="183"/>
      <c r="H502" s="184"/>
      <c r="I502" s="184"/>
      <c r="J502" s="184"/>
      <c r="L502" s="184"/>
      <c r="M502" s="184"/>
      <c r="N502" s="184"/>
      <c r="O502" s="184"/>
      <c r="R502" s="185"/>
      <c r="T502" s="184"/>
      <c r="U502" s="184"/>
      <c r="V502" s="184"/>
      <c r="X502" s="184"/>
      <c r="Y502" s="184"/>
      <c r="Z502" s="184"/>
      <c r="AA502" s="184"/>
      <c r="AC502" s="184"/>
      <c r="AD502" s="184"/>
      <c r="AE502" s="184"/>
      <c r="AF502" s="184"/>
      <c r="AG502" s="184"/>
      <c r="AH502" s="184"/>
      <c r="AI502" s="184"/>
      <c r="AR502" s="186"/>
      <c r="AS502" s="187"/>
      <c r="AT502" s="187"/>
      <c r="AU502" s="187"/>
      <c r="AV502" s="246"/>
      <c r="BB502" s="377"/>
      <c r="BC502" s="377"/>
      <c r="BD502" s="377"/>
    </row>
    <row r="503" spans="1:56" s="163" customFormat="1" ht="16.5" customHeight="1">
      <c r="A503" s="247"/>
      <c r="B503" s="244"/>
      <c r="C503" s="245"/>
      <c r="D503" s="245"/>
      <c r="E503" s="183"/>
      <c r="F503" s="183"/>
      <c r="G503" s="183"/>
      <c r="H503" s="184"/>
      <c r="I503" s="184"/>
      <c r="J503" s="184"/>
      <c r="L503" s="184"/>
      <c r="M503" s="184"/>
      <c r="N503" s="184"/>
      <c r="O503" s="184"/>
      <c r="R503" s="185"/>
      <c r="T503" s="184"/>
      <c r="U503" s="184"/>
      <c r="V503" s="184"/>
      <c r="X503" s="184"/>
      <c r="Y503" s="184"/>
      <c r="Z503" s="184"/>
      <c r="AA503" s="184"/>
      <c r="AC503" s="184"/>
      <c r="AD503" s="184"/>
      <c r="AE503" s="184"/>
      <c r="AF503" s="184"/>
      <c r="AG503" s="184"/>
      <c r="AH503" s="184"/>
      <c r="AI503" s="184"/>
      <c r="AR503" s="186"/>
      <c r="AS503" s="187"/>
      <c r="AT503" s="187"/>
      <c r="AU503" s="187"/>
      <c r="AV503" s="246"/>
      <c r="BB503" s="377"/>
      <c r="BC503" s="377"/>
      <c r="BD503" s="377"/>
    </row>
    <row r="504" spans="1:56" s="163" customFormat="1" ht="16.5" customHeight="1">
      <c r="A504" s="247"/>
      <c r="B504" s="244"/>
      <c r="C504" s="245"/>
      <c r="D504" s="245"/>
      <c r="E504" s="183"/>
      <c r="F504" s="183"/>
      <c r="G504" s="183"/>
      <c r="H504" s="184"/>
      <c r="I504" s="184"/>
      <c r="J504" s="184"/>
      <c r="L504" s="184"/>
      <c r="M504" s="184"/>
      <c r="N504" s="184"/>
      <c r="O504" s="184"/>
      <c r="R504" s="185"/>
      <c r="T504" s="184"/>
      <c r="U504" s="184"/>
      <c r="V504" s="184"/>
      <c r="X504" s="184"/>
      <c r="Y504" s="184"/>
      <c r="Z504" s="184"/>
      <c r="AA504" s="184"/>
      <c r="AC504" s="184"/>
      <c r="AD504" s="184"/>
      <c r="AE504" s="184"/>
      <c r="AF504" s="184"/>
      <c r="AG504" s="184"/>
      <c r="AH504" s="184"/>
      <c r="AI504" s="184"/>
      <c r="AR504" s="186"/>
      <c r="AS504" s="187"/>
      <c r="AT504" s="187"/>
      <c r="AU504" s="187"/>
      <c r="AV504" s="246"/>
      <c r="BB504" s="377"/>
      <c r="BC504" s="377"/>
      <c r="BD504" s="377"/>
    </row>
    <row r="505" spans="1:56" s="163" customFormat="1" ht="16.5" customHeight="1">
      <c r="A505" s="247"/>
      <c r="B505" s="244"/>
      <c r="C505" s="245"/>
      <c r="D505" s="245"/>
      <c r="E505" s="183"/>
      <c r="F505" s="183"/>
      <c r="G505" s="183"/>
      <c r="H505" s="184"/>
      <c r="I505" s="184"/>
      <c r="J505" s="184"/>
      <c r="L505" s="184"/>
      <c r="M505" s="184"/>
      <c r="N505" s="184"/>
      <c r="O505" s="184"/>
      <c r="R505" s="185"/>
      <c r="T505" s="184"/>
      <c r="U505" s="184"/>
      <c r="V505" s="184"/>
      <c r="X505" s="184"/>
      <c r="Y505" s="184"/>
      <c r="Z505" s="184"/>
      <c r="AA505" s="184"/>
      <c r="AC505" s="184"/>
      <c r="AD505" s="184"/>
      <c r="AE505" s="184"/>
      <c r="AF505" s="184"/>
      <c r="AG505" s="184"/>
      <c r="AH505" s="184"/>
      <c r="AI505" s="184"/>
      <c r="AR505" s="186"/>
      <c r="AS505" s="187"/>
      <c r="AT505" s="187"/>
      <c r="AU505" s="187"/>
      <c r="AV505" s="246"/>
      <c r="BB505" s="377"/>
      <c r="BC505" s="377"/>
      <c r="BD505" s="377"/>
    </row>
    <row r="506" spans="1:56" s="163" customFormat="1" ht="16.5" customHeight="1">
      <c r="A506" s="247"/>
      <c r="B506" s="244"/>
      <c r="C506" s="245"/>
      <c r="D506" s="245"/>
      <c r="E506" s="183"/>
      <c r="F506" s="183"/>
      <c r="G506" s="183"/>
      <c r="H506" s="184"/>
      <c r="I506" s="184"/>
      <c r="J506" s="184"/>
      <c r="L506" s="184"/>
      <c r="M506" s="184"/>
      <c r="N506" s="184"/>
      <c r="O506" s="184"/>
      <c r="R506" s="185"/>
      <c r="T506" s="184"/>
      <c r="U506" s="184"/>
      <c r="V506" s="184"/>
      <c r="X506" s="184"/>
      <c r="Y506" s="184"/>
      <c r="Z506" s="184"/>
      <c r="AA506" s="184"/>
      <c r="AC506" s="184"/>
      <c r="AD506" s="184"/>
      <c r="AE506" s="184"/>
      <c r="AF506" s="184"/>
      <c r="AG506" s="184"/>
      <c r="AH506" s="184"/>
      <c r="AI506" s="184"/>
      <c r="AR506" s="186"/>
      <c r="AS506" s="187"/>
      <c r="AT506" s="187"/>
      <c r="AU506" s="187"/>
      <c r="AV506" s="246"/>
      <c r="BB506" s="377"/>
      <c r="BC506" s="377"/>
      <c r="BD506" s="377"/>
    </row>
    <row r="507" spans="1:56" s="163" customFormat="1" ht="16.5" customHeight="1">
      <c r="A507" s="247"/>
      <c r="B507" s="244"/>
      <c r="C507" s="245"/>
      <c r="D507" s="245"/>
      <c r="E507" s="183"/>
      <c r="F507" s="183"/>
      <c r="G507" s="183"/>
      <c r="H507" s="184"/>
      <c r="I507" s="184"/>
      <c r="J507" s="184"/>
      <c r="L507" s="184"/>
      <c r="M507" s="184"/>
      <c r="N507" s="184"/>
      <c r="O507" s="184"/>
      <c r="R507" s="185"/>
      <c r="T507" s="184"/>
      <c r="U507" s="184"/>
      <c r="V507" s="184"/>
      <c r="X507" s="184"/>
      <c r="Y507" s="184"/>
      <c r="Z507" s="184"/>
      <c r="AA507" s="184"/>
      <c r="AC507" s="184"/>
      <c r="AD507" s="184"/>
      <c r="AE507" s="184"/>
      <c r="AF507" s="184"/>
      <c r="AG507" s="184"/>
      <c r="AH507" s="184"/>
      <c r="AI507" s="184"/>
      <c r="AR507" s="186"/>
      <c r="AS507" s="187"/>
      <c r="AT507" s="187"/>
      <c r="AU507" s="187"/>
      <c r="AV507" s="246"/>
      <c r="BB507" s="377"/>
      <c r="BC507" s="377"/>
      <c r="BD507" s="377"/>
    </row>
    <row r="508" spans="1:56" s="163" customFormat="1" ht="16.5" customHeight="1">
      <c r="A508" s="247"/>
      <c r="B508" s="244"/>
      <c r="C508" s="245"/>
      <c r="D508" s="245"/>
      <c r="E508" s="183"/>
      <c r="F508" s="183"/>
      <c r="G508" s="183"/>
      <c r="H508" s="184"/>
      <c r="I508" s="184"/>
      <c r="J508" s="184"/>
      <c r="L508" s="184"/>
      <c r="M508" s="184"/>
      <c r="N508" s="184"/>
      <c r="O508" s="184"/>
      <c r="R508" s="185"/>
      <c r="T508" s="184"/>
      <c r="U508" s="184"/>
      <c r="V508" s="184"/>
      <c r="X508" s="184"/>
      <c r="Y508" s="184"/>
      <c r="Z508" s="184"/>
      <c r="AA508" s="184"/>
      <c r="AC508" s="184"/>
      <c r="AD508" s="184"/>
      <c r="AE508" s="184"/>
      <c r="AF508" s="184"/>
      <c r="AG508" s="184"/>
      <c r="AH508" s="184"/>
      <c r="AI508" s="184"/>
      <c r="AR508" s="186"/>
      <c r="AS508" s="187"/>
      <c r="AT508" s="187"/>
      <c r="AU508" s="187"/>
      <c r="AV508" s="246"/>
      <c r="BB508" s="377"/>
      <c r="BC508" s="377"/>
      <c r="BD508" s="377"/>
    </row>
    <row r="509" spans="1:56" s="163" customFormat="1" ht="16.5" customHeight="1">
      <c r="A509" s="247"/>
      <c r="B509" s="244"/>
      <c r="C509" s="245"/>
      <c r="D509" s="245"/>
      <c r="E509" s="183"/>
      <c r="F509" s="183"/>
      <c r="G509" s="183"/>
      <c r="H509" s="184"/>
      <c r="I509" s="184"/>
      <c r="J509" s="184"/>
      <c r="L509" s="184"/>
      <c r="M509" s="184"/>
      <c r="N509" s="184"/>
      <c r="O509" s="184"/>
      <c r="R509" s="185"/>
      <c r="T509" s="184"/>
      <c r="U509" s="184"/>
      <c r="V509" s="184"/>
      <c r="X509" s="184"/>
      <c r="Y509" s="184"/>
      <c r="Z509" s="184"/>
      <c r="AA509" s="184"/>
      <c r="AC509" s="184"/>
      <c r="AD509" s="184"/>
      <c r="AE509" s="184"/>
      <c r="AF509" s="184"/>
      <c r="AG509" s="184"/>
      <c r="AH509" s="184"/>
      <c r="AI509" s="184"/>
      <c r="AR509" s="186"/>
      <c r="AS509" s="187"/>
      <c r="AT509" s="187"/>
      <c r="AU509" s="187"/>
      <c r="AV509" s="246"/>
      <c r="BB509" s="377"/>
      <c r="BC509" s="377"/>
      <c r="BD509" s="377"/>
    </row>
    <row r="510" spans="1:56" s="163" customFormat="1" ht="16.5" customHeight="1">
      <c r="A510" s="247"/>
      <c r="B510" s="244"/>
      <c r="C510" s="245"/>
      <c r="D510" s="245"/>
      <c r="E510" s="183"/>
      <c r="F510" s="183"/>
      <c r="G510" s="183"/>
      <c r="H510" s="184"/>
      <c r="I510" s="184"/>
      <c r="J510" s="184"/>
      <c r="L510" s="184"/>
      <c r="M510" s="184"/>
      <c r="N510" s="184"/>
      <c r="O510" s="184"/>
      <c r="R510" s="185"/>
      <c r="T510" s="184"/>
      <c r="U510" s="184"/>
      <c r="V510" s="184"/>
      <c r="X510" s="184"/>
      <c r="Y510" s="184"/>
      <c r="Z510" s="184"/>
      <c r="AA510" s="184"/>
      <c r="AC510" s="184"/>
      <c r="AD510" s="184"/>
      <c r="AE510" s="184"/>
      <c r="AF510" s="184"/>
      <c r="AG510" s="184"/>
      <c r="AH510" s="184"/>
      <c r="AI510" s="184"/>
      <c r="AR510" s="186"/>
      <c r="AS510" s="187"/>
      <c r="AT510" s="187"/>
      <c r="AU510" s="187"/>
      <c r="AV510" s="246"/>
      <c r="BB510" s="377"/>
      <c r="BC510" s="377"/>
      <c r="BD510" s="377"/>
    </row>
    <row r="511" spans="1:56" s="163" customFormat="1" ht="16.5" customHeight="1">
      <c r="A511" s="247"/>
      <c r="B511" s="244"/>
      <c r="C511" s="245"/>
      <c r="D511" s="245"/>
      <c r="E511" s="183"/>
      <c r="F511" s="183"/>
      <c r="G511" s="183"/>
      <c r="H511" s="184"/>
      <c r="I511" s="184"/>
      <c r="J511" s="184"/>
      <c r="L511" s="184"/>
      <c r="M511" s="184"/>
      <c r="N511" s="184"/>
      <c r="O511" s="184"/>
      <c r="R511" s="185"/>
      <c r="T511" s="184"/>
      <c r="U511" s="184"/>
      <c r="V511" s="184"/>
      <c r="X511" s="184"/>
      <c r="Y511" s="184"/>
      <c r="Z511" s="184"/>
      <c r="AA511" s="184"/>
      <c r="AC511" s="184"/>
      <c r="AD511" s="184"/>
      <c r="AE511" s="184"/>
      <c r="AF511" s="184"/>
      <c r="AG511" s="184"/>
      <c r="AH511" s="184"/>
      <c r="AI511" s="184"/>
      <c r="AR511" s="186"/>
      <c r="AS511" s="187"/>
      <c r="AT511" s="187"/>
      <c r="AU511" s="187"/>
      <c r="AV511" s="246"/>
      <c r="BB511" s="377"/>
      <c r="BC511" s="377"/>
      <c r="BD511" s="377"/>
    </row>
    <row r="512" spans="1:56" s="163" customFormat="1" ht="16.5" customHeight="1">
      <c r="A512" s="247"/>
      <c r="B512" s="244"/>
      <c r="C512" s="245"/>
      <c r="D512" s="245"/>
      <c r="E512" s="183"/>
      <c r="F512" s="183"/>
      <c r="G512" s="183"/>
      <c r="H512" s="184"/>
      <c r="I512" s="184"/>
      <c r="J512" s="184"/>
      <c r="L512" s="184"/>
      <c r="M512" s="184"/>
      <c r="N512" s="184"/>
      <c r="O512" s="184"/>
      <c r="R512" s="185"/>
      <c r="T512" s="184"/>
      <c r="U512" s="184"/>
      <c r="V512" s="184"/>
      <c r="X512" s="184"/>
      <c r="Y512" s="184"/>
      <c r="Z512" s="184"/>
      <c r="AA512" s="184"/>
      <c r="AC512" s="184"/>
      <c r="AD512" s="184"/>
      <c r="AE512" s="184"/>
      <c r="AF512" s="184"/>
      <c r="AG512" s="184"/>
      <c r="AH512" s="184"/>
      <c r="AI512" s="184"/>
      <c r="AR512" s="186"/>
      <c r="AS512" s="187"/>
      <c r="AT512" s="187"/>
      <c r="AU512" s="187"/>
      <c r="AV512" s="246"/>
      <c r="BB512" s="377"/>
      <c r="BC512" s="377"/>
      <c r="BD512" s="377"/>
    </row>
    <row r="513" spans="1:56" s="163" customFormat="1" ht="16.5" customHeight="1">
      <c r="A513" s="247"/>
      <c r="B513" s="244"/>
      <c r="C513" s="245"/>
      <c r="D513" s="245"/>
      <c r="E513" s="183"/>
      <c r="F513" s="183"/>
      <c r="G513" s="183"/>
      <c r="H513" s="184"/>
      <c r="I513" s="184"/>
      <c r="J513" s="184"/>
      <c r="L513" s="184"/>
      <c r="M513" s="184"/>
      <c r="N513" s="184"/>
      <c r="O513" s="184"/>
      <c r="R513" s="185"/>
      <c r="T513" s="184"/>
      <c r="U513" s="184"/>
      <c r="V513" s="184"/>
      <c r="X513" s="184"/>
      <c r="Y513" s="184"/>
      <c r="Z513" s="184"/>
      <c r="AA513" s="184"/>
      <c r="AC513" s="184"/>
      <c r="AD513" s="184"/>
      <c r="AE513" s="184"/>
      <c r="AF513" s="184"/>
      <c r="AG513" s="184"/>
      <c r="AH513" s="184"/>
      <c r="AI513" s="184"/>
      <c r="AR513" s="186"/>
      <c r="AS513" s="187"/>
      <c r="AT513" s="187"/>
      <c r="AU513" s="187"/>
      <c r="AV513" s="246"/>
      <c r="BB513" s="377"/>
      <c r="BC513" s="377"/>
      <c r="BD513" s="377"/>
    </row>
    <row r="514" spans="1:56" s="163" customFormat="1" ht="16.5" customHeight="1">
      <c r="A514" s="247"/>
      <c r="B514" s="244"/>
      <c r="C514" s="245"/>
      <c r="D514" s="245"/>
      <c r="E514" s="183"/>
      <c r="F514" s="183"/>
      <c r="G514" s="183"/>
      <c r="H514" s="184"/>
      <c r="I514" s="184"/>
      <c r="J514" s="184"/>
      <c r="L514" s="184"/>
      <c r="M514" s="184"/>
      <c r="N514" s="184"/>
      <c r="O514" s="184"/>
      <c r="R514" s="185"/>
      <c r="T514" s="184"/>
      <c r="U514" s="184"/>
      <c r="V514" s="184"/>
      <c r="X514" s="184"/>
      <c r="Y514" s="184"/>
      <c r="Z514" s="184"/>
      <c r="AA514" s="184"/>
      <c r="AC514" s="184"/>
      <c r="AD514" s="184"/>
      <c r="AE514" s="184"/>
      <c r="AF514" s="184"/>
      <c r="AG514" s="184"/>
      <c r="AH514" s="184"/>
      <c r="AI514" s="184"/>
      <c r="AR514" s="186"/>
      <c r="AS514" s="187"/>
      <c r="AT514" s="187"/>
      <c r="AU514" s="187"/>
      <c r="AV514" s="246"/>
      <c r="BB514" s="377"/>
      <c r="BC514" s="377"/>
      <c r="BD514" s="377"/>
    </row>
    <row r="515" spans="1:56" s="163" customFormat="1" ht="16.5" customHeight="1">
      <c r="A515" s="247"/>
      <c r="B515" s="244"/>
      <c r="C515" s="245"/>
      <c r="D515" s="245"/>
      <c r="E515" s="183"/>
      <c r="F515" s="183"/>
      <c r="G515" s="183"/>
      <c r="H515" s="184"/>
      <c r="I515" s="184"/>
      <c r="J515" s="184"/>
      <c r="L515" s="184"/>
      <c r="M515" s="184"/>
      <c r="N515" s="184"/>
      <c r="O515" s="184"/>
      <c r="R515" s="185"/>
      <c r="T515" s="184"/>
      <c r="U515" s="184"/>
      <c r="V515" s="184"/>
      <c r="X515" s="184"/>
      <c r="Y515" s="184"/>
      <c r="Z515" s="184"/>
      <c r="AA515" s="184"/>
      <c r="AC515" s="184"/>
      <c r="AD515" s="184"/>
      <c r="AE515" s="184"/>
      <c r="AF515" s="184"/>
      <c r="AG515" s="184"/>
      <c r="AH515" s="184"/>
      <c r="AI515" s="184"/>
      <c r="AR515" s="186"/>
      <c r="AS515" s="187"/>
      <c r="AT515" s="187"/>
      <c r="AU515" s="187"/>
      <c r="AV515" s="246"/>
      <c r="BB515" s="377"/>
      <c r="BC515" s="377"/>
      <c r="BD515" s="377"/>
    </row>
    <row r="516" spans="1:56" s="163" customFormat="1" ht="16.5" customHeight="1">
      <c r="A516" s="247"/>
      <c r="B516" s="244"/>
      <c r="C516" s="245"/>
      <c r="D516" s="245"/>
      <c r="E516" s="183"/>
      <c r="F516" s="183"/>
      <c r="G516" s="183"/>
      <c r="H516" s="184"/>
      <c r="I516" s="184"/>
      <c r="J516" s="184"/>
      <c r="L516" s="184"/>
      <c r="M516" s="184"/>
      <c r="N516" s="184"/>
      <c r="O516" s="184"/>
      <c r="R516" s="185"/>
      <c r="T516" s="184"/>
      <c r="U516" s="184"/>
      <c r="V516" s="184"/>
      <c r="X516" s="184"/>
      <c r="Y516" s="184"/>
      <c r="Z516" s="184"/>
      <c r="AA516" s="184"/>
      <c r="AC516" s="184"/>
      <c r="AD516" s="184"/>
      <c r="AE516" s="184"/>
      <c r="AF516" s="184"/>
      <c r="AG516" s="184"/>
      <c r="AH516" s="184"/>
      <c r="AI516" s="184"/>
      <c r="AR516" s="186"/>
      <c r="AS516" s="187"/>
      <c r="AT516" s="187"/>
      <c r="AU516" s="187"/>
      <c r="AV516" s="246"/>
      <c r="BB516" s="377"/>
      <c r="BC516" s="377"/>
      <c r="BD516" s="377"/>
    </row>
    <row r="517" spans="1:56" s="163" customFormat="1" ht="16.5" customHeight="1">
      <c r="A517" s="247"/>
      <c r="B517" s="244"/>
      <c r="C517" s="245"/>
      <c r="D517" s="245"/>
      <c r="E517" s="183"/>
      <c r="F517" s="183"/>
      <c r="G517" s="183"/>
      <c r="H517" s="184"/>
      <c r="I517" s="184"/>
      <c r="J517" s="184"/>
      <c r="L517" s="184"/>
      <c r="M517" s="184"/>
      <c r="N517" s="184"/>
      <c r="O517" s="184"/>
      <c r="R517" s="185"/>
      <c r="T517" s="184"/>
      <c r="U517" s="184"/>
      <c r="V517" s="184"/>
      <c r="X517" s="184"/>
      <c r="Y517" s="184"/>
      <c r="Z517" s="184"/>
      <c r="AA517" s="184"/>
      <c r="AC517" s="184"/>
      <c r="AD517" s="184"/>
      <c r="AE517" s="184"/>
      <c r="AF517" s="184"/>
      <c r="AG517" s="184"/>
      <c r="AH517" s="184"/>
      <c r="AI517" s="184"/>
      <c r="AR517" s="186"/>
      <c r="AS517" s="187"/>
      <c r="AT517" s="187"/>
      <c r="AU517" s="187"/>
      <c r="AV517" s="246"/>
      <c r="BB517" s="377"/>
      <c r="BC517" s="377"/>
      <c r="BD517" s="377"/>
    </row>
    <row r="518" spans="1:56" s="163" customFormat="1" ht="16.5" customHeight="1">
      <c r="A518" s="247"/>
      <c r="B518" s="244"/>
      <c r="C518" s="245"/>
      <c r="D518" s="245"/>
      <c r="E518" s="183"/>
      <c r="F518" s="183"/>
      <c r="G518" s="183"/>
      <c r="H518" s="184"/>
      <c r="I518" s="184"/>
      <c r="J518" s="184"/>
      <c r="L518" s="184"/>
      <c r="M518" s="184"/>
      <c r="N518" s="184"/>
      <c r="O518" s="184"/>
      <c r="R518" s="185"/>
      <c r="T518" s="184"/>
      <c r="U518" s="184"/>
      <c r="V518" s="184"/>
      <c r="X518" s="184"/>
      <c r="Y518" s="184"/>
      <c r="Z518" s="184"/>
      <c r="AA518" s="184"/>
      <c r="AC518" s="184"/>
      <c r="AD518" s="184"/>
      <c r="AE518" s="184"/>
      <c r="AF518" s="184"/>
      <c r="AG518" s="184"/>
      <c r="AH518" s="184"/>
      <c r="AI518" s="184"/>
      <c r="AR518" s="186"/>
      <c r="AS518" s="187"/>
      <c r="AT518" s="187"/>
      <c r="AU518" s="187"/>
      <c r="AV518" s="246"/>
      <c r="BB518" s="377"/>
      <c r="BC518" s="377"/>
      <c r="BD518" s="377"/>
    </row>
    <row r="519" spans="1:56" s="163" customFormat="1" ht="16.5" customHeight="1">
      <c r="A519" s="247"/>
      <c r="B519" s="244"/>
      <c r="C519" s="245"/>
      <c r="D519" s="245"/>
      <c r="E519" s="183"/>
      <c r="F519" s="183"/>
      <c r="G519" s="183"/>
      <c r="H519" s="184"/>
      <c r="I519" s="184"/>
      <c r="J519" s="184"/>
      <c r="L519" s="184"/>
      <c r="M519" s="184"/>
      <c r="N519" s="184"/>
      <c r="O519" s="184"/>
      <c r="R519" s="185"/>
      <c r="T519" s="184"/>
      <c r="U519" s="184"/>
      <c r="V519" s="184"/>
      <c r="X519" s="184"/>
      <c r="Y519" s="184"/>
      <c r="Z519" s="184"/>
      <c r="AA519" s="184"/>
      <c r="AC519" s="184"/>
      <c r="AD519" s="184"/>
      <c r="AE519" s="184"/>
      <c r="AF519" s="184"/>
      <c r="AG519" s="184"/>
      <c r="AH519" s="184"/>
      <c r="AI519" s="184"/>
      <c r="AR519" s="186"/>
      <c r="AS519" s="187"/>
      <c r="AT519" s="187"/>
      <c r="AU519" s="187"/>
      <c r="AV519" s="246"/>
      <c r="BB519" s="377"/>
      <c r="BC519" s="377"/>
      <c r="BD519" s="377"/>
    </row>
    <row r="520" spans="1:56" s="163" customFormat="1" ht="16.5" customHeight="1">
      <c r="A520" s="247"/>
      <c r="B520" s="244"/>
      <c r="C520" s="245"/>
      <c r="D520" s="245"/>
      <c r="E520" s="183"/>
      <c r="F520" s="183"/>
      <c r="G520" s="183"/>
      <c r="H520" s="184"/>
      <c r="I520" s="184"/>
      <c r="J520" s="184"/>
      <c r="L520" s="184"/>
      <c r="M520" s="184"/>
      <c r="N520" s="184"/>
      <c r="O520" s="184"/>
      <c r="R520" s="185"/>
      <c r="T520" s="184"/>
      <c r="U520" s="184"/>
      <c r="V520" s="184"/>
      <c r="X520" s="184"/>
      <c r="Y520" s="184"/>
      <c r="Z520" s="184"/>
      <c r="AA520" s="184"/>
      <c r="AC520" s="184"/>
      <c r="AD520" s="184"/>
      <c r="AE520" s="184"/>
      <c r="AF520" s="184"/>
      <c r="AG520" s="184"/>
      <c r="AH520" s="184"/>
      <c r="AI520" s="184"/>
      <c r="AR520" s="186"/>
      <c r="AS520" s="187"/>
      <c r="AT520" s="187"/>
      <c r="AU520" s="187"/>
      <c r="AV520" s="246"/>
      <c r="BB520" s="377"/>
      <c r="BC520" s="377"/>
      <c r="BD520" s="377"/>
    </row>
    <row r="521" spans="1:56" s="163" customFormat="1" ht="16.5" customHeight="1">
      <c r="A521" s="247"/>
      <c r="B521" s="244"/>
      <c r="C521" s="245"/>
      <c r="D521" s="245"/>
      <c r="E521" s="183"/>
      <c r="F521" s="183"/>
      <c r="G521" s="183"/>
      <c r="H521" s="184"/>
      <c r="I521" s="184"/>
      <c r="J521" s="184"/>
      <c r="L521" s="184"/>
      <c r="M521" s="184"/>
      <c r="N521" s="184"/>
      <c r="O521" s="184"/>
      <c r="R521" s="185"/>
      <c r="T521" s="184"/>
      <c r="U521" s="184"/>
      <c r="V521" s="184"/>
      <c r="X521" s="184"/>
      <c r="Y521" s="184"/>
      <c r="Z521" s="184"/>
      <c r="AA521" s="184"/>
      <c r="AC521" s="184"/>
      <c r="AD521" s="184"/>
      <c r="AE521" s="184"/>
      <c r="AF521" s="184"/>
      <c r="AG521" s="184"/>
      <c r="AH521" s="184"/>
      <c r="AI521" s="184"/>
      <c r="AR521" s="186"/>
      <c r="AS521" s="187"/>
      <c r="AT521" s="187"/>
      <c r="AU521" s="187"/>
      <c r="AV521" s="246"/>
      <c r="BB521" s="377"/>
      <c r="BC521" s="377"/>
      <c r="BD521" s="377"/>
    </row>
    <row r="522" spans="1:56" s="163" customFormat="1" ht="16.5" customHeight="1">
      <c r="A522" s="247"/>
      <c r="B522" s="244"/>
      <c r="C522" s="245"/>
      <c r="D522" s="245"/>
      <c r="E522" s="183"/>
      <c r="F522" s="183"/>
      <c r="G522" s="183"/>
      <c r="H522" s="184"/>
      <c r="I522" s="184"/>
      <c r="J522" s="184"/>
      <c r="L522" s="184"/>
      <c r="M522" s="184"/>
      <c r="N522" s="184"/>
      <c r="O522" s="184"/>
      <c r="R522" s="185"/>
      <c r="T522" s="184"/>
      <c r="U522" s="184"/>
      <c r="V522" s="184"/>
      <c r="X522" s="184"/>
      <c r="Y522" s="184"/>
      <c r="Z522" s="184"/>
      <c r="AA522" s="184"/>
      <c r="AC522" s="184"/>
      <c r="AD522" s="184"/>
      <c r="AE522" s="184"/>
      <c r="AF522" s="184"/>
      <c r="AG522" s="184"/>
      <c r="AH522" s="184"/>
      <c r="AI522" s="184"/>
      <c r="AR522" s="186"/>
      <c r="AS522" s="187"/>
      <c r="AT522" s="187"/>
      <c r="AU522" s="187"/>
      <c r="AV522" s="246"/>
      <c r="BB522" s="377"/>
      <c r="BC522" s="377"/>
      <c r="BD522" s="377"/>
    </row>
    <row r="523" spans="1:56" s="163" customFormat="1" ht="16.5" customHeight="1">
      <c r="A523" s="247"/>
      <c r="B523" s="244"/>
      <c r="C523" s="245"/>
      <c r="D523" s="245"/>
      <c r="E523" s="183"/>
      <c r="F523" s="183"/>
      <c r="G523" s="183"/>
      <c r="H523" s="184"/>
      <c r="I523" s="184"/>
      <c r="J523" s="184"/>
      <c r="L523" s="184"/>
      <c r="M523" s="184"/>
      <c r="N523" s="184"/>
      <c r="O523" s="184"/>
      <c r="R523" s="185"/>
      <c r="T523" s="184"/>
      <c r="U523" s="184"/>
      <c r="V523" s="184"/>
      <c r="X523" s="184"/>
      <c r="Y523" s="184"/>
      <c r="Z523" s="184"/>
      <c r="AA523" s="184"/>
      <c r="AC523" s="184"/>
      <c r="AD523" s="184"/>
      <c r="AE523" s="184"/>
      <c r="AF523" s="184"/>
      <c r="AG523" s="184"/>
      <c r="AH523" s="184"/>
      <c r="AI523" s="184"/>
      <c r="AR523" s="186"/>
      <c r="AS523" s="187"/>
      <c r="AT523" s="187"/>
      <c r="AU523" s="187"/>
      <c r="AV523" s="246"/>
      <c r="BB523" s="377"/>
      <c r="BC523" s="377"/>
      <c r="BD523" s="377"/>
    </row>
    <row r="524" spans="1:56" s="163" customFormat="1" ht="16.5" customHeight="1">
      <c r="A524" s="247"/>
      <c r="B524" s="244"/>
      <c r="C524" s="245"/>
      <c r="D524" s="245"/>
      <c r="E524" s="183"/>
      <c r="F524" s="183"/>
      <c r="G524" s="183"/>
      <c r="H524" s="184"/>
      <c r="I524" s="184"/>
      <c r="J524" s="184"/>
      <c r="L524" s="184"/>
      <c r="M524" s="184"/>
      <c r="N524" s="184"/>
      <c r="O524" s="184"/>
      <c r="R524" s="185"/>
      <c r="T524" s="184"/>
      <c r="U524" s="184"/>
      <c r="V524" s="184"/>
      <c r="X524" s="184"/>
      <c r="Y524" s="184"/>
      <c r="Z524" s="184"/>
      <c r="AA524" s="184"/>
      <c r="AC524" s="184"/>
      <c r="AD524" s="184"/>
      <c r="AE524" s="184"/>
      <c r="AF524" s="184"/>
      <c r="AG524" s="184"/>
      <c r="AH524" s="184"/>
      <c r="AI524" s="184"/>
      <c r="AR524" s="186"/>
      <c r="AS524" s="187"/>
      <c r="AT524" s="187"/>
      <c r="AU524" s="187"/>
      <c r="AV524" s="246"/>
      <c r="BB524" s="377"/>
      <c r="BC524" s="377"/>
      <c r="BD524" s="377"/>
    </row>
    <row r="525" spans="1:56" s="163" customFormat="1" ht="16.5" customHeight="1">
      <c r="A525" s="247"/>
      <c r="B525" s="244"/>
      <c r="C525" s="245"/>
      <c r="D525" s="245"/>
      <c r="E525" s="183"/>
      <c r="F525" s="183"/>
      <c r="G525" s="183"/>
      <c r="H525" s="184"/>
      <c r="I525" s="184"/>
      <c r="J525" s="184"/>
      <c r="L525" s="184"/>
      <c r="M525" s="184"/>
      <c r="N525" s="184"/>
      <c r="O525" s="184"/>
      <c r="R525" s="185"/>
      <c r="T525" s="184"/>
      <c r="U525" s="184"/>
      <c r="V525" s="184"/>
      <c r="X525" s="184"/>
      <c r="Y525" s="184"/>
      <c r="Z525" s="184"/>
      <c r="AA525" s="184"/>
      <c r="AC525" s="184"/>
      <c r="AD525" s="184"/>
      <c r="AE525" s="184"/>
      <c r="AF525" s="184"/>
      <c r="AG525" s="184"/>
      <c r="AH525" s="184"/>
      <c r="AI525" s="184"/>
      <c r="AR525" s="186"/>
      <c r="AS525" s="187"/>
      <c r="AT525" s="187"/>
      <c r="AU525" s="187"/>
      <c r="AV525" s="246"/>
      <c r="BB525" s="377"/>
      <c r="BC525" s="377"/>
      <c r="BD525" s="377"/>
    </row>
    <row r="526" spans="1:56" s="163" customFormat="1" ht="16.5" customHeight="1">
      <c r="A526" s="247"/>
      <c r="B526" s="244"/>
      <c r="C526" s="245"/>
      <c r="D526" s="245"/>
      <c r="E526" s="183"/>
      <c r="F526" s="183"/>
      <c r="G526" s="183"/>
      <c r="H526" s="184"/>
      <c r="I526" s="184"/>
      <c r="J526" s="184"/>
      <c r="L526" s="184"/>
      <c r="M526" s="184"/>
      <c r="N526" s="184"/>
      <c r="O526" s="184"/>
      <c r="R526" s="185"/>
      <c r="T526" s="184"/>
      <c r="U526" s="184"/>
      <c r="V526" s="184"/>
      <c r="X526" s="184"/>
      <c r="Y526" s="184"/>
      <c r="Z526" s="184"/>
      <c r="AA526" s="184"/>
      <c r="AC526" s="184"/>
      <c r="AD526" s="184"/>
      <c r="AE526" s="184"/>
      <c r="AF526" s="184"/>
      <c r="AG526" s="184"/>
      <c r="AH526" s="184"/>
      <c r="AI526" s="184"/>
      <c r="AR526" s="186"/>
      <c r="AS526" s="187"/>
      <c r="AT526" s="187"/>
      <c r="AU526" s="187"/>
      <c r="AV526" s="246"/>
      <c r="BB526" s="377"/>
      <c r="BC526" s="377"/>
      <c r="BD526" s="377"/>
    </row>
    <row r="527" spans="1:56" s="163" customFormat="1" ht="16.5" customHeight="1">
      <c r="A527" s="247"/>
      <c r="B527" s="244"/>
      <c r="C527" s="245"/>
      <c r="D527" s="245"/>
      <c r="E527" s="183"/>
      <c r="F527" s="183"/>
      <c r="G527" s="183"/>
      <c r="H527" s="184"/>
      <c r="I527" s="184"/>
      <c r="J527" s="184"/>
      <c r="L527" s="184"/>
      <c r="M527" s="184"/>
      <c r="N527" s="184"/>
      <c r="O527" s="184"/>
      <c r="R527" s="185"/>
      <c r="T527" s="184"/>
      <c r="U527" s="184"/>
      <c r="V527" s="184"/>
      <c r="X527" s="184"/>
      <c r="Y527" s="184"/>
      <c r="Z527" s="184"/>
      <c r="AA527" s="184"/>
      <c r="AC527" s="184"/>
      <c r="AD527" s="184"/>
      <c r="AE527" s="184"/>
      <c r="AF527" s="184"/>
      <c r="AG527" s="184"/>
      <c r="AH527" s="184"/>
      <c r="AI527" s="184"/>
      <c r="AR527" s="186"/>
      <c r="AS527" s="187"/>
      <c r="AT527" s="187"/>
      <c r="AU527" s="187"/>
      <c r="AV527" s="246"/>
      <c r="BB527" s="377"/>
      <c r="BC527" s="377"/>
      <c r="BD527" s="377"/>
    </row>
    <row r="528" spans="1:56" s="163" customFormat="1" ht="16.5" customHeight="1">
      <c r="A528" s="247"/>
      <c r="B528" s="244"/>
      <c r="C528" s="245"/>
      <c r="D528" s="245"/>
      <c r="E528" s="183"/>
      <c r="F528" s="183"/>
      <c r="G528" s="183"/>
      <c r="H528" s="184"/>
      <c r="I528" s="184"/>
      <c r="J528" s="184"/>
      <c r="L528" s="184"/>
      <c r="M528" s="184"/>
      <c r="N528" s="184"/>
      <c r="O528" s="184"/>
      <c r="R528" s="185"/>
      <c r="T528" s="184"/>
      <c r="U528" s="184"/>
      <c r="V528" s="184"/>
      <c r="X528" s="184"/>
      <c r="Y528" s="184"/>
      <c r="Z528" s="184"/>
      <c r="AA528" s="184"/>
      <c r="AC528" s="184"/>
      <c r="AD528" s="184"/>
      <c r="AE528" s="184"/>
      <c r="AF528" s="184"/>
      <c r="AG528" s="184"/>
      <c r="AH528" s="184"/>
      <c r="AI528" s="184"/>
      <c r="AR528" s="186"/>
      <c r="AS528" s="187"/>
      <c r="AT528" s="187"/>
      <c r="AU528" s="187"/>
      <c r="AV528" s="246"/>
      <c r="BB528" s="377"/>
      <c r="BC528" s="377"/>
      <c r="BD528" s="377"/>
    </row>
    <row r="529" spans="1:56" s="163" customFormat="1" ht="16.5" customHeight="1">
      <c r="A529" s="247"/>
      <c r="B529" s="244"/>
      <c r="C529" s="245"/>
      <c r="D529" s="245"/>
      <c r="E529" s="183"/>
      <c r="F529" s="183"/>
      <c r="G529" s="183"/>
      <c r="H529" s="184"/>
      <c r="I529" s="184"/>
      <c r="J529" s="184"/>
      <c r="L529" s="184"/>
      <c r="M529" s="184"/>
      <c r="N529" s="184"/>
      <c r="O529" s="184"/>
      <c r="R529" s="185"/>
      <c r="T529" s="184"/>
      <c r="U529" s="184"/>
      <c r="V529" s="184"/>
      <c r="X529" s="184"/>
      <c r="Y529" s="184"/>
      <c r="Z529" s="184"/>
      <c r="AA529" s="184"/>
      <c r="AC529" s="184"/>
      <c r="AD529" s="184"/>
      <c r="AE529" s="184"/>
      <c r="AF529" s="184"/>
      <c r="AG529" s="184"/>
      <c r="AH529" s="184"/>
      <c r="AI529" s="184"/>
      <c r="AR529" s="186"/>
      <c r="AS529" s="187"/>
      <c r="AT529" s="187"/>
      <c r="AU529" s="187"/>
      <c r="AV529" s="246"/>
      <c r="BB529" s="377"/>
      <c r="BC529" s="377"/>
      <c r="BD529" s="377"/>
    </row>
    <row r="530" spans="1:56" s="163" customFormat="1" ht="16.5" customHeight="1">
      <c r="A530" s="247"/>
      <c r="B530" s="244"/>
      <c r="C530" s="245"/>
      <c r="D530" s="245"/>
      <c r="E530" s="183"/>
      <c r="F530" s="183"/>
      <c r="G530" s="183"/>
      <c r="H530" s="184"/>
      <c r="I530" s="184"/>
      <c r="J530" s="184"/>
      <c r="L530" s="184"/>
      <c r="M530" s="184"/>
      <c r="N530" s="184"/>
      <c r="O530" s="184"/>
      <c r="R530" s="185"/>
      <c r="T530" s="184"/>
      <c r="U530" s="184"/>
      <c r="V530" s="184"/>
      <c r="X530" s="184"/>
      <c r="Y530" s="184"/>
      <c r="Z530" s="184"/>
      <c r="AA530" s="184"/>
      <c r="AC530" s="184"/>
      <c r="AD530" s="184"/>
      <c r="AE530" s="184"/>
      <c r="AF530" s="184"/>
      <c r="AG530" s="184"/>
      <c r="AH530" s="184"/>
      <c r="AI530" s="184"/>
      <c r="AR530" s="186"/>
      <c r="AS530" s="187"/>
      <c r="AT530" s="187"/>
      <c r="AU530" s="187"/>
      <c r="AV530" s="246"/>
      <c r="BB530" s="377"/>
      <c r="BC530" s="377"/>
      <c r="BD530" s="377"/>
    </row>
    <row r="531" spans="1:56" s="163" customFormat="1" ht="16.5" customHeight="1">
      <c r="A531" s="247"/>
      <c r="B531" s="244"/>
      <c r="C531" s="245"/>
      <c r="D531" s="245"/>
      <c r="E531" s="183"/>
      <c r="F531" s="183"/>
      <c r="G531" s="183"/>
      <c r="H531" s="184"/>
      <c r="I531" s="184"/>
      <c r="J531" s="184"/>
      <c r="L531" s="184"/>
      <c r="M531" s="184"/>
      <c r="N531" s="184"/>
      <c r="O531" s="184"/>
      <c r="R531" s="185"/>
      <c r="T531" s="184"/>
      <c r="U531" s="184"/>
      <c r="V531" s="184"/>
      <c r="X531" s="184"/>
      <c r="Y531" s="184"/>
      <c r="Z531" s="184"/>
      <c r="AA531" s="184"/>
      <c r="AC531" s="184"/>
      <c r="AD531" s="184"/>
      <c r="AE531" s="184"/>
      <c r="AF531" s="184"/>
      <c r="AG531" s="184"/>
      <c r="AH531" s="184"/>
      <c r="AI531" s="184"/>
      <c r="AR531" s="186"/>
      <c r="AS531" s="187"/>
      <c r="AT531" s="187"/>
      <c r="AU531" s="187"/>
      <c r="AV531" s="246"/>
      <c r="BB531" s="377"/>
      <c r="BC531" s="377"/>
      <c r="BD531" s="377"/>
    </row>
    <row r="532" spans="1:56" s="163" customFormat="1" ht="16.5" customHeight="1">
      <c r="A532" s="247"/>
      <c r="B532" s="244"/>
      <c r="C532" s="245"/>
      <c r="D532" s="245"/>
      <c r="E532" s="183"/>
      <c r="F532" s="183"/>
      <c r="G532" s="183"/>
      <c r="H532" s="184"/>
      <c r="I532" s="184"/>
      <c r="J532" s="184"/>
      <c r="L532" s="184"/>
      <c r="M532" s="184"/>
      <c r="N532" s="184"/>
      <c r="O532" s="184"/>
      <c r="R532" s="185"/>
      <c r="T532" s="184"/>
      <c r="U532" s="184"/>
      <c r="V532" s="184"/>
      <c r="X532" s="184"/>
      <c r="Y532" s="184"/>
      <c r="Z532" s="184"/>
      <c r="AA532" s="184"/>
      <c r="AC532" s="184"/>
      <c r="AD532" s="184"/>
      <c r="AE532" s="184"/>
      <c r="AF532" s="184"/>
      <c r="AG532" s="184"/>
      <c r="AH532" s="184"/>
      <c r="AI532" s="184"/>
      <c r="AR532" s="186"/>
      <c r="AS532" s="187"/>
      <c r="AT532" s="187"/>
      <c r="AU532" s="187"/>
      <c r="AV532" s="246"/>
      <c r="BB532" s="377"/>
      <c r="BC532" s="377"/>
      <c r="BD532" s="377"/>
    </row>
    <row r="533" spans="1:56" s="163" customFormat="1" ht="16.5" customHeight="1">
      <c r="A533" s="247"/>
      <c r="B533" s="244"/>
      <c r="C533" s="245"/>
      <c r="D533" s="245"/>
      <c r="E533" s="183"/>
      <c r="F533" s="183"/>
      <c r="G533" s="183"/>
      <c r="H533" s="184"/>
      <c r="I533" s="184"/>
      <c r="J533" s="184"/>
      <c r="L533" s="184"/>
      <c r="M533" s="184"/>
      <c r="N533" s="184"/>
      <c r="O533" s="184"/>
      <c r="R533" s="185"/>
      <c r="T533" s="184"/>
      <c r="U533" s="184"/>
      <c r="V533" s="184"/>
      <c r="X533" s="184"/>
      <c r="Y533" s="184"/>
      <c r="Z533" s="184"/>
      <c r="AA533" s="184"/>
      <c r="AC533" s="184"/>
      <c r="AD533" s="184"/>
      <c r="AE533" s="184"/>
      <c r="AF533" s="184"/>
      <c r="AG533" s="184"/>
      <c r="AH533" s="184"/>
      <c r="AI533" s="184"/>
      <c r="AR533" s="186"/>
      <c r="AS533" s="187"/>
      <c r="AT533" s="187"/>
      <c r="AU533" s="187"/>
      <c r="AV533" s="246"/>
      <c r="BB533" s="377"/>
      <c r="BC533" s="377"/>
      <c r="BD533" s="377"/>
    </row>
    <row r="534" spans="1:56" s="163" customFormat="1" ht="16.5" customHeight="1">
      <c r="A534" s="247"/>
      <c r="B534" s="244"/>
      <c r="C534" s="245"/>
      <c r="D534" s="245"/>
      <c r="E534" s="183"/>
      <c r="F534" s="183"/>
      <c r="G534" s="183"/>
      <c r="H534" s="184"/>
      <c r="I534" s="184"/>
      <c r="J534" s="184"/>
      <c r="L534" s="184"/>
      <c r="M534" s="184"/>
      <c r="N534" s="184"/>
      <c r="O534" s="184"/>
      <c r="R534" s="185"/>
      <c r="T534" s="184"/>
      <c r="U534" s="184"/>
      <c r="V534" s="184"/>
      <c r="X534" s="184"/>
      <c r="Y534" s="184"/>
      <c r="Z534" s="184"/>
      <c r="AA534" s="184"/>
      <c r="AC534" s="184"/>
      <c r="AD534" s="184"/>
      <c r="AE534" s="184"/>
      <c r="AF534" s="184"/>
      <c r="AG534" s="184"/>
      <c r="AH534" s="184"/>
      <c r="AI534" s="184"/>
      <c r="AR534" s="186"/>
      <c r="AS534" s="187"/>
      <c r="AT534" s="187"/>
      <c r="AU534" s="187"/>
      <c r="AV534" s="246"/>
      <c r="BB534" s="377"/>
      <c r="BC534" s="377"/>
      <c r="BD534" s="377"/>
    </row>
    <row r="535" spans="1:56" s="163" customFormat="1" ht="16.5" customHeight="1">
      <c r="A535" s="247"/>
      <c r="B535" s="244"/>
      <c r="C535" s="245"/>
      <c r="D535" s="245"/>
      <c r="E535" s="183"/>
      <c r="F535" s="183"/>
      <c r="G535" s="183"/>
      <c r="H535" s="184"/>
      <c r="I535" s="184"/>
      <c r="J535" s="184"/>
      <c r="L535" s="184"/>
      <c r="M535" s="184"/>
      <c r="N535" s="184"/>
      <c r="O535" s="184"/>
      <c r="R535" s="185"/>
      <c r="T535" s="184"/>
      <c r="U535" s="184"/>
      <c r="V535" s="184"/>
      <c r="X535" s="184"/>
      <c r="Y535" s="184"/>
      <c r="Z535" s="184"/>
      <c r="AA535" s="184"/>
      <c r="AC535" s="184"/>
      <c r="AD535" s="184"/>
      <c r="AE535" s="184"/>
      <c r="AF535" s="184"/>
      <c r="AG535" s="184"/>
      <c r="AH535" s="184"/>
      <c r="AI535" s="184"/>
      <c r="AR535" s="186"/>
      <c r="AS535" s="187"/>
      <c r="AT535" s="187"/>
      <c r="AU535" s="187"/>
      <c r="AV535" s="246"/>
      <c r="BB535" s="377"/>
      <c r="BC535" s="377"/>
      <c r="BD535" s="377"/>
    </row>
    <row r="536" spans="1:56" s="163" customFormat="1" ht="16.5" customHeight="1">
      <c r="A536" s="247"/>
      <c r="B536" s="244"/>
      <c r="C536" s="245"/>
      <c r="D536" s="245"/>
      <c r="E536" s="183"/>
      <c r="F536" s="183"/>
      <c r="G536" s="183"/>
      <c r="H536" s="184"/>
      <c r="I536" s="184"/>
      <c r="J536" s="184"/>
      <c r="L536" s="184"/>
      <c r="M536" s="184"/>
      <c r="N536" s="184"/>
      <c r="O536" s="184"/>
      <c r="R536" s="185"/>
      <c r="T536" s="184"/>
      <c r="U536" s="184"/>
      <c r="V536" s="184"/>
      <c r="X536" s="184"/>
      <c r="Y536" s="184"/>
      <c r="Z536" s="184"/>
      <c r="AA536" s="184"/>
      <c r="AC536" s="184"/>
      <c r="AD536" s="184"/>
      <c r="AE536" s="184"/>
      <c r="AF536" s="184"/>
      <c r="AG536" s="184"/>
      <c r="AH536" s="184"/>
      <c r="AI536" s="184"/>
      <c r="AR536" s="186"/>
      <c r="AS536" s="187"/>
      <c r="AT536" s="187"/>
      <c r="AU536" s="187"/>
      <c r="AV536" s="246"/>
      <c r="BB536" s="377"/>
      <c r="BC536" s="377"/>
      <c r="BD536" s="377"/>
    </row>
    <row r="537" spans="1:56" s="163" customFormat="1" ht="16.5" customHeight="1">
      <c r="A537" s="247"/>
      <c r="B537" s="244"/>
      <c r="C537" s="245"/>
      <c r="D537" s="245"/>
      <c r="E537" s="183"/>
      <c r="F537" s="183"/>
      <c r="G537" s="183"/>
      <c r="H537" s="184"/>
      <c r="I537" s="184"/>
      <c r="J537" s="184"/>
      <c r="L537" s="184"/>
      <c r="M537" s="184"/>
      <c r="N537" s="184"/>
      <c r="O537" s="184"/>
      <c r="R537" s="185"/>
      <c r="T537" s="184"/>
      <c r="U537" s="184"/>
      <c r="V537" s="184"/>
      <c r="X537" s="184"/>
      <c r="Y537" s="184"/>
      <c r="Z537" s="184"/>
      <c r="AA537" s="184"/>
      <c r="AC537" s="184"/>
      <c r="AD537" s="184"/>
      <c r="AE537" s="184"/>
      <c r="AF537" s="184"/>
      <c r="AG537" s="184"/>
      <c r="AH537" s="184"/>
      <c r="AI537" s="184"/>
      <c r="AR537" s="186"/>
      <c r="AS537" s="187"/>
      <c r="AT537" s="187"/>
      <c r="AU537" s="187"/>
      <c r="AV537" s="246"/>
      <c r="BB537" s="377"/>
      <c r="BC537" s="377"/>
      <c r="BD537" s="377"/>
    </row>
    <row r="538" spans="1:56" s="163" customFormat="1" ht="16.5" customHeight="1">
      <c r="A538" s="247"/>
      <c r="B538" s="244"/>
      <c r="C538" s="245"/>
      <c r="D538" s="245"/>
      <c r="E538" s="183"/>
      <c r="F538" s="183"/>
      <c r="G538" s="183"/>
      <c r="H538" s="184"/>
      <c r="I538" s="184"/>
      <c r="J538" s="184"/>
      <c r="L538" s="184"/>
      <c r="M538" s="184"/>
      <c r="N538" s="184"/>
      <c r="O538" s="184"/>
      <c r="R538" s="185"/>
      <c r="T538" s="184"/>
      <c r="U538" s="184"/>
      <c r="V538" s="184"/>
      <c r="X538" s="184"/>
      <c r="Y538" s="184"/>
      <c r="Z538" s="184"/>
      <c r="AA538" s="184"/>
      <c r="AC538" s="184"/>
      <c r="AD538" s="184"/>
      <c r="AE538" s="184"/>
      <c r="AF538" s="184"/>
      <c r="AG538" s="184"/>
      <c r="AH538" s="184"/>
      <c r="AI538" s="184"/>
      <c r="AR538" s="186"/>
      <c r="AS538" s="187"/>
      <c r="AT538" s="187"/>
      <c r="AU538" s="187"/>
      <c r="AV538" s="246"/>
      <c r="BB538" s="377"/>
      <c r="BC538" s="377"/>
      <c r="BD538" s="377"/>
    </row>
    <row r="539" spans="1:56" s="163" customFormat="1" ht="16.5" customHeight="1">
      <c r="A539" s="247"/>
      <c r="B539" s="244"/>
      <c r="C539" s="245"/>
      <c r="D539" s="245"/>
      <c r="E539" s="183"/>
      <c r="F539" s="183"/>
      <c r="G539" s="183"/>
      <c r="H539" s="184"/>
      <c r="I539" s="184"/>
      <c r="J539" s="184"/>
      <c r="L539" s="184"/>
      <c r="M539" s="184"/>
      <c r="N539" s="184"/>
      <c r="O539" s="184"/>
      <c r="R539" s="185"/>
      <c r="T539" s="184"/>
      <c r="U539" s="184"/>
      <c r="V539" s="184"/>
      <c r="X539" s="184"/>
      <c r="Y539" s="184"/>
      <c r="Z539" s="184"/>
      <c r="AA539" s="184"/>
      <c r="AC539" s="184"/>
      <c r="AD539" s="184"/>
      <c r="AE539" s="184"/>
      <c r="AF539" s="184"/>
      <c r="AG539" s="184"/>
      <c r="AH539" s="184"/>
      <c r="AI539" s="184"/>
      <c r="AR539" s="186"/>
      <c r="AS539" s="187"/>
      <c r="AT539" s="187"/>
      <c r="AU539" s="187"/>
      <c r="AV539" s="246"/>
      <c r="BB539" s="377"/>
      <c r="BC539" s="377"/>
      <c r="BD539" s="377"/>
    </row>
    <row r="540" spans="1:56" s="163" customFormat="1" ht="16.5" customHeight="1">
      <c r="A540" s="247"/>
      <c r="B540" s="244"/>
      <c r="C540" s="245"/>
      <c r="D540" s="245"/>
      <c r="E540" s="183"/>
      <c r="F540" s="183"/>
      <c r="G540" s="183"/>
      <c r="H540" s="184"/>
      <c r="I540" s="184"/>
      <c r="J540" s="184"/>
      <c r="L540" s="184"/>
      <c r="M540" s="184"/>
      <c r="N540" s="184"/>
      <c r="O540" s="184"/>
      <c r="R540" s="185"/>
      <c r="T540" s="184"/>
      <c r="U540" s="184"/>
      <c r="V540" s="184"/>
      <c r="X540" s="184"/>
      <c r="Y540" s="184"/>
      <c r="Z540" s="184"/>
      <c r="AA540" s="184"/>
      <c r="AC540" s="184"/>
      <c r="AD540" s="184"/>
      <c r="AE540" s="184"/>
      <c r="AF540" s="184"/>
      <c r="AG540" s="184"/>
      <c r="AH540" s="184"/>
      <c r="AI540" s="184"/>
      <c r="AR540" s="186"/>
      <c r="AS540" s="187"/>
      <c r="AT540" s="187"/>
      <c r="AU540" s="187"/>
      <c r="AV540" s="246"/>
      <c r="BB540" s="377"/>
      <c r="BC540" s="377"/>
      <c r="BD540" s="377"/>
    </row>
    <row r="541" spans="1:56" s="163" customFormat="1" ht="16.5" customHeight="1">
      <c r="A541" s="247"/>
      <c r="B541" s="244"/>
      <c r="C541" s="245"/>
      <c r="D541" s="245"/>
      <c r="E541" s="183"/>
      <c r="F541" s="183"/>
      <c r="G541" s="183"/>
      <c r="H541" s="184"/>
      <c r="I541" s="184"/>
      <c r="J541" s="184"/>
      <c r="L541" s="184"/>
      <c r="M541" s="184"/>
      <c r="N541" s="184"/>
      <c r="O541" s="184"/>
      <c r="R541" s="185"/>
      <c r="T541" s="184"/>
      <c r="U541" s="184"/>
      <c r="V541" s="184"/>
      <c r="X541" s="184"/>
      <c r="Y541" s="184"/>
      <c r="Z541" s="184"/>
      <c r="AA541" s="184"/>
      <c r="AC541" s="184"/>
      <c r="AD541" s="184"/>
      <c r="AE541" s="184"/>
      <c r="AF541" s="184"/>
      <c r="AG541" s="184"/>
      <c r="AH541" s="184"/>
      <c r="AI541" s="184"/>
      <c r="AR541" s="186"/>
      <c r="AS541" s="187"/>
      <c r="AT541" s="187"/>
      <c r="AU541" s="187"/>
      <c r="AV541" s="246"/>
      <c r="BB541" s="377"/>
      <c r="BC541" s="377"/>
      <c r="BD541" s="377"/>
    </row>
    <row r="542" spans="1:56" s="163" customFormat="1" ht="16.5" customHeight="1">
      <c r="A542" s="247"/>
      <c r="B542" s="244"/>
      <c r="C542" s="245"/>
      <c r="D542" s="245"/>
      <c r="E542" s="183"/>
      <c r="F542" s="183"/>
      <c r="G542" s="183"/>
      <c r="H542" s="184"/>
      <c r="I542" s="184"/>
      <c r="J542" s="184"/>
      <c r="L542" s="184"/>
      <c r="M542" s="184"/>
      <c r="N542" s="184"/>
      <c r="O542" s="184"/>
      <c r="R542" s="185"/>
      <c r="T542" s="184"/>
      <c r="U542" s="184"/>
      <c r="V542" s="184"/>
      <c r="X542" s="184"/>
      <c r="Y542" s="184"/>
      <c r="Z542" s="184"/>
      <c r="AA542" s="184"/>
      <c r="AC542" s="184"/>
      <c r="AD542" s="184"/>
      <c r="AE542" s="184"/>
      <c r="AF542" s="184"/>
      <c r="AG542" s="184"/>
      <c r="AH542" s="184"/>
      <c r="AI542" s="184"/>
      <c r="AR542" s="186"/>
      <c r="AS542" s="187"/>
      <c r="AT542" s="187"/>
      <c r="AU542" s="187"/>
      <c r="AV542" s="246"/>
      <c r="BB542" s="377"/>
      <c r="BC542" s="377"/>
      <c r="BD542" s="377"/>
    </row>
    <row r="543" spans="1:56" s="163" customFormat="1" ht="16.5" customHeight="1">
      <c r="A543" s="247"/>
      <c r="B543" s="244"/>
      <c r="C543" s="245"/>
      <c r="D543" s="245"/>
      <c r="E543" s="183"/>
      <c r="F543" s="183"/>
      <c r="G543" s="183"/>
      <c r="H543" s="184"/>
      <c r="I543" s="184"/>
      <c r="J543" s="184"/>
      <c r="L543" s="184"/>
      <c r="M543" s="184"/>
      <c r="N543" s="184"/>
      <c r="O543" s="184"/>
      <c r="R543" s="185"/>
      <c r="T543" s="184"/>
      <c r="U543" s="184"/>
      <c r="V543" s="184"/>
      <c r="X543" s="184"/>
      <c r="Y543" s="184"/>
      <c r="Z543" s="184"/>
      <c r="AA543" s="184"/>
      <c r="AC543" s="184"/>
      <c r="AD543" s="184"/>
      <c r="AE543" s="184"/>
      <c r="AF543" s="184"/>
      <c r="AG543" s="184"/>
      <c r="AH543" s="184"/>
      <c r="AI543" s="184"/>
      <c r="AR543" s="186"/>
      <c r="AS543" s="187"/>
      <c r="AT543" s="187"/>
      <c r="AU543" s="187"/>
      <c r="AV543" s="246"/>
      <c r="BB543" s="377"/>
      <c r="BC543" s="377"/>
      <c r="BD543" s="377"/>
    </row>
    <row r="544" spans="1:56" s="163" customFormat="1" ht="16.5" customHeight="1">
      <c r="A544" s="247"/>
      <c r="B544" s="244"/>
      <c r="C544" s="245"/>
      <c r="D544" s="245"/>
      <c r="E544" s="183"/>
      <c r="F544" s="183"/>
      <c r="G544" s="183"/>
      <c r="H544" s="184"/>
      <c r="I544" s="184"/>
      <c r="J544" s="184"/>
      <c r="L544" s="184"/>
      <c r="M544" s="184"/>
      <c r="N544" s="184"/>
      <c r="O544" s="184"/>
      <c r="R544" s="185"/>
      <c r="T544" s="184"/>
      <c r="U544" s="184"/>
      <c r="V544" s="184"/>
      <c r="X544" s="184"/>
      <c r="Y544" s="184"/>
      <c r="Z544" s="184"/>
      <c r="AA544" s="184"/>
      <c r="AC544" s="184"/>
      <c r="AD544" s="184"/>
      <c r="AE544" s="184"/>
      <c r="AF544" s="184"/>
      <c r="AG544" s="184"/>
      <c r="AH544" s="184"/>
      <c r="AI544" s="184"/>
      <c r="AR544" s="186"/>
      <c r="AS544" s="187"/>
      <c r="AT544" s="187"/>
      <c r="AU544" s="187"/>
      <c r="AV544" s="246"/>
      <c r="BB544" s="377"/>
      <c r="BC544" s="377"/>
      <c r="BD544" s="377"/>
    </row>
    <row r="545" spans="1:56" s="163" customFormat="1" ht="16.5" customHeight="1">
      <c r="A545" s="247"/>
      <c r="B545" s="244"/>
      <c r="C545" s="245"/>
      <c r="D545" s="245"/>
      <c r="E545" s="183"/>
      <c r="F545" s="183"/>
      <c r="G545" s="183"/>
      <c r="H545" s="184"/>
      <c r="I545" s="184"/>
      <c r="J545" s="184"/>
      <c r="L545" s="184"/>
      <c r="M545" s="184"/>
      <c r="N545" s="184"/>
      <c r="O545" s="184"/>
      <c r="R545" s="185"/>
      <c r="T545" s="184"/>
      <c r="U545" s="184"/>
      <c r="V545" s="184"/>
      <c r="X545" s="184"/>
      <c r="Y545" s="184"/>
      <c r="Z545" s="184"/>
      <c r="AA545" s="184"/>
      <c r="AC545" s="184"/>
      <c r="AD545" s="184"/>
      <c r="AE545" s="184"/>
      <c r="AF545" s="184"/>
      <c r="AG545" s="184"/>
      <c r="AH545" s="184"/>
      <c r="AI545" s="184"/>
      <c r="AR545" s="186"/>
      <c r="AS545" s="187"/>
      <c r="AT545" s="187"/>
      <c r="AU545" s="187"/>
      <c r="AV545" s="246"/>
      <c r="BB545" s="377"/>
      <c r="BC545" s="377"/>
      <c r="BD545" s="377"/>
    </row>
    <row r="546" spans="1:56" s="163" customFormat="1" ht="16.5" customHeight="1">
      <c r="A546" s="247"/>
      <c r="B546" s="244"/>
      <c r="C546" s="245"/>
      <c r="D546" s="245"/>
      <c r="E546" s="183"/>
      <c r="F546" s="183"/>
      <c r="G546" s="183"/>
      <c r="H546" s="184"/>
      <c r="I546" s="184"/>
      <c r="J546" s="184"/>
      <c r="L546" s="184"/>
      <c r="M546" s="184"/>
      <c r="N546" s="184"/>
      <c r="O546" s="184"/>
      <c r="R546" s="185"/>
      <c r="T546" s="184"/>
      <c r="U546" s="184"/>
      <c r="V546" s="184"/>
      <c r="X546" s="184"/>
      <c r="Y546" s="184"/>
      <c r="Z546" s="184"/>
      <c r="AA546" s="184"/>
      <c r="AC546" s="184"/>
      <c r="AD546" s="184"/>
      <c r="AE546" s="184"/>
      <c r="AF546" s="184"/>
      <c r="AG546" s="184"/>
      <c r="AH546" s="184"/>
      <c r="AI546" s="184"/>
      <c r="AR546" s="186"/>
      <c r="AS546" s="187"/>
      <c r="AT546" s="187"/>
      <c r="AU546" s="187"/>
      <c r="AV546" s="246"/>
      <c r="BB546" s="377"/>
      <c r="BC546" s="377"/>
      <c r="BD546" s="377"/>
    </row>
    <row r="547" spans="1:56" s="163" customFormat="1" ht="16.5" customHeight="1">
      <c r="A547" s="247"/>
      <c r="B547" s="244"/>
      <c r="C547" s="245"/>
      <c r="D547" s="245"/>
      <c r="E547" s="183"/>
      <c r="F547" s="183"/>
      <c r="G547" s="183"/>
      <c r="H547" s="184"/>
      <c r="I547" s="184"/>
      <c r="J547" s="184"/>
      <c r="L547" s="184"/>
      <c r="M547" s="184"/>
      <c r="N547" s="184"/>
      <c r="O547" s="184"/>
      <c r="R547" s="185"/>
      <c r="T547" s="184"/>
      <c r="U547" s="184"/>
      <c r="V547" s="184"/>
      <c r="X547" s="184"/>
      <c r="Y547" s="184"/>
      <c r="Z547" s="184"/>
      <c r="AA547" s="184"/>
      <c r="AC547" s="184"/>
      <c r="AD547" s="184"/>
      <c r="AE547" s="184"/>
      <c r="AF547" s="184"/>
      <c r="AG547" s="184"/>
      <c r="AH547" s="184"/>
      <c r="AI547" s="184"/>
      <c r="AR547" s="186"/>
      <c r="AS547" s="187"/>
      <c r="AT547" s="187"/>
      <c r="AU547" s="187"/>
      <c r="AV547" s="246"/>
      <c r="BB547" s="377"/>
      <c r="BC547" s="377"/>
      <c r="BD547" s="377"/>
    </row>
    <row r="548" spans="1:56" s="163" customFormat="1" ht="16.5" customHeight="1">
      <c r="A548" s="247"/>
      <c r="B548" s="244"/>
      <c r="C548" s="245"/>
      <c r="D548" s="245"/>
      <c r="E548" s="183"/>
      <c r="F548" s="183"/>
      <c r="G548" s="183"/>
      <c r="H548" s="184"/>
      <c r="I548" s="184"/>
      <c r="J548" s="184"/>
      <c r="L548" s="184"/>
      <c r="M548" s="184"/>
      <c r="N548" s="184"/>
      <c r="O548" s="184"/>
      <c r="R548" s="185"/>
      <c r="T548" s="184"/>
      <c r="U548" s="184"/>
      <c r="V548" s="184"/>
      <c r="X548" s="184"/>
      <c r="Y548" s="184"/>
      <c r="Z548" s="184"/>
      <c r="AA548" s="184"/>
      <c r="AC548" s="184"/>
      <c r="AD548" s="184"/>
      <c r="AE548" s="184"/>
      <c r="AF548" s="184"/>
      <c r="AG548" s="184"/>
      <c r="AH548" s="184"/>
      <c r="AI548" s="184"/>
      <c r="AR548" s="186"/>
      <c r="AS548" s="187"/>
      <c r="AT548" s="187"/>
      <c r="AU548" s="187"/>
      <c r="AV548" s="246"/>
      <c r="BB548" s="377"/>
      <c r="BC548" s="377"/>
      <c r="BD548" s="377"/>
    </row>
    <row r="549" spans="1:56" s="163" customFormat="1" ht="16.5" customHeight="1">
      <c r="A549" s="247"/>
      <c r="B549" s="244"/>
      <c r="C549" s="245"/>
      <c r="D549" s="245"/>
      <c r="E549" s="183"/>
      <c r="F549" s="183"/>
      <c r="G549" s="183"/>
      <c r="H549" s="184"/>
      <c r="I549" s="184"/>
      <c r="J549" s="184"/>
      <c r="L549" s="184"/>
      <c r="M549" s="184"/>
      <c r="N549" s="184"/>
      <c r="O549" s="184"/>
      <c r="R549" s="185"/>
      <c r="T549" s="184"/>
      <c r="U549" s="184"/>
      <c r="V549" s="184"/>
      <c r="X549" s="184"/>
      <c r="Y549" s="184"/>
      <c r="Z549" s="184"/>
      <c r="AA549" s="184"/>
      <c r="AC549" s="184"/>
      <c r="AD549" s="184"/>
      <c r="AE549" s="184"/>
      <c r="AF549" s="184"/>
      <c r="AG549" s="184"/>
      <c r="AH549" s="184"/>
      <c r="AI549" s="184"/>
      <c r="AR549" s="186"/>
      <c r="AS549" s="187"/>
      <c r="AT549" s="187"/>
      <c r="AU549" s="187"/>
      <c r="AV549" s="246"/>
      <c r="BB549" s="377"/>
      <c r="BC549" s="377"/>
      <c r="BD549" s="377"/>
    </row>
    <row r="550" spans="1:56" s="163" customFormat="1" ht="16.5" customHeight="1">
      <c r="A550" s="247"/>
      <c r="B550" s="244"/>
      <c r="C550" s="245"/>
      <c r="D550" s="245"/>
      <c r="E550" s="183"/>
      <c r="F550" s="183"/>
      <c r="G550" s="183"/>
      <c r="H550" s="184"/>
      <c r="I550" s="184"/>
      <c r="J550" s="184"/>
      <c r="L550" s="184"/>
      <c r="M550" s="184"/>
      <c r="N550" s="184"/>
      <c r="O550" s="184"/>
      <c r="R550" s="185"/>
      <c r="T550" s="184"/>
      <c r="U550" s="184"/>
      <c r="V550" s="184"/>
      <c r="X550" s="184"/>
      <c r="Y550" s="184"/>
      <c r="Z550" s="184"/>
      <c r="AA550" s="184"/>
      <c r="AC550" s="184"/>
      <c r="AD550" s="184"/>
      <c r="AE550" s="184"/>
      <c r="AF550" s="184"/>
      <c r="AG550" s="184"/>
      <c r="AH550" s="184"/>
      <c r="AI550" s="184"/>
      <c r="AR550" s="186"/>
      <c r="AS550" s="187"/>
      <c r="AT550" s="187"/>
      <c r="AU550" s="187"/>
      <c r="AV550" s="246"/>
      <c r="BB550" s="377"/>
      <c r="BC550" s="377"/>
      <c r="BD550" s="377"/>
    </row>
    <row r="551" spans="1:56" s="163" customFormat="1" ht="16.5" customHeight="1">
      <c r="A551" s="247"/>
      <c r="B551" s="244"/>
      <c r="C551" s="245"/>
      <c r="D551" s="245"/>
      <c r="E551" s="183"/>
      <c r="F551" s="183"/>
      <c r="G551" s="183"/>
      <c r="H551" s="184"/>
      <c r="I551" s="184"/>
      <c r="J551" s="184"/>
      <c r="L551" s="184"/>
      <c r="M551" s="184"/>
      <c r="N551" s="184"/>
      <c r="O551" s="184"/>
      <c r="R551" s="185"/>
      <c r="T551" s="184"/>
      <c r="U551" s="184"/>
      <c r="V551" s="184"/>
      <c r="X551" s="184"/>
      <c r="Y551" s="184"/>
      <c r="Z551" s="184"/>
      <c r="AA551" s="184"/>
      <c r="AC551" s="184"/>
      <c r="AD551" s="184"/>
      <c r="AE551" s="184"/>
      <c r="AF551" s="184"/>
      <c r="AG551" s="184"/>
      <c r="AH551" s="184"/>
      <c r="AI551" s="184"/>
      <c r="AR551" s="186"/>
      <c r="AS551" s="187"/>
      <c r="AT551" s="187"/>
      <c r="AU551" s="187"/>
      <c r="AV551" s="246"/>
      <c r="BB551" s="377"/>
      <c r="BC551" s="377"/>
      <c r="BD551" s="377"/>
    </row>
    <row r="552" spans="1:56" s="163" customFormat="1" ht="16.5" customHeight="1">
      <c r="A552" s="247"/>
      <c r="B552" s="244"/>
      <c r="C552" s="245"/>
      <c r="D552" s="245"/>
      <c r="E552" s="183"/>
      <c r="F552" s="183"/>
      <c r="G552" s="183"/>
      <c r="H552" s="184"/>
      <c r="I552" s="184"/>
      <c r="J552" s="184"/>
      <c r="L552" s="184"/>
      <c r="M552" s="184"/>
      <c r="N552" s="184"/>
      <c r="O552" s="184"/>
      <c r="R552" s="185"/>
      <c r="T552" s="184"/>
      <c r="U552" s="184"/>
      <c r="V552" s="184"/>
      <c r="X552" s="184"/>
      <c r="Y552" s="184"/>
      <c r="Z552" s="184"/>
      <c r="AA552" s="184"/>
      <c r="AC552" s="184"/>
      <c r="AD552" s="184"/>
      <c r="AE552" s="184"/>
      <c r="AF552" s="184"/>
      <c r="AG552" s="184"/>
      <c r="AH552" s="184"/>
      <c r="AI552" s="184"/>
      <c r="AR552" s="186"/>
      <c r="AS552" s="187"/>
      <c r="AT552" s="187"/>
      <c r="AU552" s="187"/>
      <c r="AV552" s="246"/>
      <c r="BB552" s="377"/>
      <c r="BC552" s="377"/>
      <c r="BD552" s="377"/>
    </row>
    <row r="553" spans="1:56" s="163" customFormat="1" ht="16.5" customHeight="1">
      <c r="A553" s="247"/>
      <c r="B553" s="244"/>
      <c r="C553" s="245"/>
      <c r="D553" s="245"/>
      <c r="E553" s="183"/>
      <c r="F553" s="183"/>
      <c r="G553" s="183"/>
      <c r="H553" s="184"/>
      <c r="I553" s="184"/>
      <c r="J553" s="184"/>
      <c r="L553" s="184"/>
      <c r="M553" s="184"/>
      <c r="N553" s="184"/>
      <c r="O553" s="184"/>
      <c r="R553" s="185"/>
      <c r="T553" s="184"/>
      <c r="U553" s="184"/>
      <c r="V553" s="184"/>
      <c r="X553" s="184"/>
      <c r="Y553" s="184"/>
      <c r="Z553" s="184"/>
      <c r="AA553" s="184"/>
      <c r="AC553" s="184"/>
      <c r="AD553" s="184"/>
      <c r="AE553" s="184"/>
      <c r="AF553" s="184"/>
      <c r="AG553" s="184"/>
      <c r="AH553" s="184"/>
      <c r="AI553" s="184"/>
      <c r="AR553" s="186"/>
      <c r="AS553" s="187"/>
      <c r="AT553" s="187"/>
      <c r="AU553" s="187"/>
      <c r="AV553" s="246"/>
      <c r="BB553" s="377"/>
      <c r="BC553" s="377"/>
      <c r="BD553" s="377"/>
    </row>
    <row r="554" spans="1:56" s="163" customFormat="1" ht="16.5" customHeight="1">
      <c r="A554" s="247"/>
      <c r="B554" s="244"/>
      <c r="C554" s="245"/>
      <c r="D554" s="245"/>
      <c r="E554" s="183"/>
      <c r="F554" s="183"/>
      <c r="G554" s="183"/>
      <c r="H554" s="184"/>
      <c r="I554" s="184"/>
      <c r="J554" s="184"/>
      <c r="L554" s="184"/>
      <c r="M554" s="184"/>
      <c r="N554" s="184"/>
      <c r="O554" s="184"/>
      <c r="R554" s="185"/>
      <c r="T554" s="184"/>
      <c r="U554" s="184"/>
      <c r="V554" s="184"/>
      <c r="X554" s="184"/>
      <c r="Y554" s="184"/>
      <c r="Z554" s="184"/>
      <c r="AA554" s="184"/>
      <c r="AC554" s="184"/>
      <c r="AD554" s="184"/>
      <c r="AE554" s="184"/>
      <c r="AF554" s="184"/>
      <c r="AG554" s="184"/>
      <c r="AH554" s="184"/>
      <c r="AI554" s="184"/>
      <c r="AR554" s="186"/>
      <c r="AS554" s="187"/>
      <c r="AT554" s="187"/>
      <c r="AU554" s="187"/>
      <c r="AV554" s="246"/>
      <c r="BB554" s="377"/>
      <c r="BC554" s="377"/>
      <c r="BD554" s="377"/>
    </row>
    <row r="555" spans="1:56" s="163" customFormat="1" ht="16.5" customHeight="1">
      <c r="A555" s="247"/>
      <c r="B555" s="244"/>
      <c r="C555" s="245"/>
      <c r="D555" s="245"/>
      <c r="E555" s="183"/>
      <c r="F555" s="183"/>
      <c r="G555" s="183"/>
      <c r="H555" s="184"/>
      <c r="I555" s="184"/>
      <c r="J555" s="184"/>
      <c r="L555" s="184"/>
      <c r="M555" s="184"/>
      <c r="N555" s="184"/>
      <c r="O555" s="184"/>
      <c r="R555" s="185"/>
      <c r="T555" s="184"/>
      <c r="U555" s="184"/>
      <c r="V555" s="184"/>
      <c r="X555" s="184"/>
      <c r="Y555" s="184"/>
      <c r="Z555" s="184"/>
      <c r="AA555" s="184"/>
      <c r="AC555" s="184"/>
      <c r="AD555" s="184"/>
      <c r="AE555" s="184"/>
      <c r="AF555" s="184"/>
      <c r="AG555" s="184"/>
      <c r="AH555" s="184"/>
      <c r="AI555" s="184"/>
      <c r="AR555" s="186"/>
      <c r="AS555" s="187"/>
      <c r="AT555" s="187"/>
      <c r="AU555" s="187"/>
      <c r="AV555" s="246"/>
      <c r="BB555" s="377"/>
      <c r="BC555" s="377"/>
      <c r="BD555" s="377"/>
    </row>
    <row r="556" spans="1:56" s="163" customFormat="1" ht="16.5" customHeight="1">
      <c r="A556" s="247"/>
      <c r="B556" s="244"/>
      <c r="C556" s="245"/>
      <c r="D556" s="245"/>
      <c r="E556" s="183"/>
      <c r="F556" s="183"/>
      <c r="G556" s="183"/>
      <c r="H556" s="184"/>
      <c r="I556" s="184"/>
      <c r="J556" s="184"/>
      <c r="L556" s="184"/>
      <c r="M556" s="184"/>
      <c r="N556" s="184"/>
      <c r="O556" s="184"/>
      <c r="R556" s="185"/>
      <c r="T556" s="184"/>
      <c r="U556" s="184"/>
      <c r="V556" s="184"/>
      <c r="X556" s="184"/>
      <c r="Y556" s="184"/>
      <c r="Z556" s="184"/>
      <c r="AA556" s="184"/>
      <c r="AC556" s="184"/>
      <c r="AD556" s="184"/>
      <c r="AE556" s="184"/>
      <c r="AF556" s="184"/>
      <c r="AG556" s="184"/>
      <c r="AH556" s="184"/>
      <c r="AI556" s="184"/>
      <c r="AR556" s="186"/>
      <c r="AS556" s="187"/>
      <c r="AT556" s="187"/>
      <c r="AU556" s="187"/>
      <c r="AV556" s="246"/>
      <c r="BB556" s="377"/>
      <c r="BC556" s="377"/>
      <c r="BD556" s="377"/>
    </row>
    <row r="557" spans="1:56" s="163" customFormat="1" ht="16.5" customHeight="1">
      <c r="A557" s="247"/>
      <c r="B557" s="244"/>
      <c r="C557" s="245"/>
      <c r="D557" s="245"/>
      <c r="E557" s="183"/>
      <c r="F557" s="183"/>
      <c r="G557" s="183"/>
      <c r="H557" s="184"/>
      <c r="I557" s="184"/>
      <c r="J557" s="184"/>
      <c r="L557" s="184"/>
      <c r="M557" s="184"/>
      <c r="N557" s="184"/>
      <c r="O557" s="184"/>
      <c r="R557" s="185"/>
      <c r="T557" s="184"/>
      <c r="U557" s="184"/>
      <c r="V557" s="184"/>
      <c r="X557" s="184"/>
      <c r="Y557" s="184"/>
      <c r="Z557" s="184"/>
      <c r="AA557" s="184"/>
      <c r="AC557" s="184"/>
      <c r="AD557" s="184"/>
      <c r="AE557" s="184"/>
      <c r="AF557" s="184"/>
      <c r="AG557" s="184"/>
      <c r="AH557" s="184"/>
      <c r="AI557" s="184"/>
      <c r="AR557" s="186"/>
      <c r="AS557" s="187"/>
      <c r="AT557" s="187"/>
      <c r="AU557" s="187"/>
      <c r="AV557" s="246"/>
      <c r="BB557" s="377"/>
      <c r="BC557" s="377"/>
      <c r="BD557" s="377"/>
    </row>
    <row r="558" spans="1:56" s="163" customFormat="1" ht="16.5" customHeight="1">
      <c r="A558" s="247"/>
      <c r="B558" s="244"/>
      <c r="C558" s="245"/>
      <c r="D558" s="245"/>
      <c r="E558" s="183"/>
      <c r="F558" s="183"/>
      <c r="G558" s="183"/>
      <c r="H558" s="184"/>
      <c r="I558" s="184"/>
      <c r="J558" s="184"/>
      <c r="L558" s="184"/>
      <c r="M558" s="184"/>
      <c r="N558" s="184"/>
      <c r="O558" s="184"/>
      <c r="R558" s="185"/>
      <c r="T558" s="184"/>
      <c r="U558" s="184"/>
      <c r="V558" s="184"/>
      <c r="X558" s="184"/>
      <c r="Y558" s="184"/>
      <c r="Z558" s="184"/>
      <c r="AA558" s="184"/>
      <c r="AC558" s="184"/>
      <c r="AD558" s="184"/>
      <c r="AE558" s="184"/>
      <c r="AF558" s="184"/>
      <c r="AG558" s="184"/>
      <c r="AH558" s="184"/>
      <c r="AI558" s="184"/>
      <c r="AR558" s="186"/>
      <c r="AS558" s="187"/>
      <c r="AT558" s="187"/>
      <c r="AU558" s="187"/>
      <c r="AV558" s="246"/>
      <c r="BB558" s="377"/>
      <c r="BC558" s="377"/>
      <c r="BD558" s="377"/>
    </row>
    <row r="559" spans="1:56" s="163" customFormat="1" ht="16.5" customHeight="1">
      <c r="A559" s="247"/>
      <c r="B559" s="244"/>
      <c r="C559" s="245"/>
      <c r="D559" s="245"/>
      <c r="E559" s="183"/>
      <c r="F559" s="183"/>
      <c r="G559" s="183"/>
      <c r="H559" s="184"/>
      <c r="I559" s="184"/>
      <c r="J559" s="184"/>
      <c r="L559" s="184"/>
      <c r="M559" s="184"/>
      <c r="N559" s="184"/>
      <c r="O559" s="184"/>
      <c r="R559" s="185"/>
      <c r="T559" s="184"/>
      <c r="U559" s="184"/>
      <c r="V559" s="184"/>
      <c r="X559" s="184"/>
      <c r="Y559" s="184"/>
      <c r="Z559" s="184"/>
      <c r="AA559" s="184"/>
      <c r="AC559" s="184"/>
      <c r="AD559" s="184"/>
      <c r="AE559" s="184"/>
      <c r="AF559" s="184"/>
      <c r="AG559" s="184"/>
      <c r="AH559" s="184"/>
      <c r="AI559" s="184"/>
      <c r="AR559" s="186"/>
      <c r="AS559" s="187"/>
      <c r="AT559" s="187"/>
      <c r="AU559" s="187"/>
      <c r="AV559" s="246"/>
      <c r="BB559" s="377"/>
      <c r="BC559" s="377"/>
      <c r="BD559" s="377"/>
    </row>
    <row r="560" spans="1:56" s="163" customFormat="1" ht="16.5" customHeight="1">
      <c r="A560" s="247"/>
      <c r="B560" s="244"/>
      <c r="C560" s="245"/>
      <c r="D560" s="245"/>
      <c r="E560" s="183"/>
      <c r="F560" s="183"/>
      <c r="G560" s="183"/>
      <c r="H560" s="184"/>
      <c r="I560" s="184"/>
      <c r="J560" s="184"/>
      <c r="L560" s="184"/>
      <c r="M560" s="184"/>
      <c r="N560" s="184"/>
      <c r="O560" s="184"/>
      <c r="R560" s="185"/>
      <c r="T560" s="184"/>
      <c r="U560" s="184"/>
      <c r="V560" s="184"/>
      <c r="X560" s="184"/>
      <c r="Y560" s="184"/>
      <c r="Z560" s="184"/>
      <c r="AA560" s="184"/>
      <c r="AC560" s="184"/>
      <c r="AD560" s="184"/>
      <c r="AE560" s="184"/>
      <c r="AF560" s="184"/>
      <c r="AG560" s="184"/>
      <c r="AH560" s="184"/>
      <c r="AI560" s="184"/>
      <c r="AR560" s="186"/>
      <c r="AS560" s="187"/>
      <c r="AT560" s="187"/>
      <c r="AU560" s="187"/>
      <c r="AV560" s="246"/>
      <c r="BB560" s="377"/>
      <c r="BC560" s="377"/>
      <c r="BD560" s="377"/>
    </row>
    <row r="561" spans="1:56" s="163" customFormat="1" ht="16.5" customHeight="1">
      <c r="A561" s="247"/>
      <c r="B561" s="244"/>
      <c r="C561" s="245"/>
      <c r="D561" s="245"/>
      <c r="E561" s="183"/>
      <c r="F561" s="183"/>
      <c r="G561" s="183"/>
      <c r="H561" s="184"/>
      <c r="I561" s="184"/>
      <c r="J561" s="184"/>
      <c r="L561" s="184"/>
      <c r="M561" s="184"/>
      <c r="N561" s="184"/>
      <c r="O561" s="184"/>
      <c r="R561" s="185"/>
      <c r="T561" s="184"/>
      <c r="U561" s="184"/>
      <c r="V561" s="184"/>
      <c r="X561" s="184"/>
      <c r="Y561" s="184"/>
      <c r="Z561" s="184"/>
      <c r="AA561" s="184"/>
      <c r="AC561" s="184"/>
      <c r="AD561" s="184"/>
      <c r="AE561" s="184"/>
      <c r="AF561" s="184"/>
      <c r="AG561" s="184"/>
      <c r="AH561" s="184"/>
      <c r="AI561" s="184"/>
      <c r="AR561" s="186"/>
      <c r="AS561" s="187"/>
      <c r="AT561" s="187"/>
      <c r="AU561" s="187"/>
      <c r="AV561" s="246"/>
      <c r="BB561" s="377"/>
      <c r="BC561" s="377"/>
      <c r="BD561" s="377"/>
    </row>
    <row r="562" spans="1:56" s="163" customFormat="1" ht="16.5" customHeight="1">
      <c r="A562" s="247"/>
      <c r="B562" s="244"/>
      <c r="C562" s="245"/>
      <c r="D562" s="245"/>
      <c r="E562" s="183"/>
      <c r="F562" s="183"/>
      <c r="G562" s="183"/>
      <c r="H562" s="184"/>
      <c r="I562" s="184"/>
      <c r="J562" s="184"/>
      <c r="L562" s="184"/>
      <c r="M562" s="184"/>
      <c r="N562" s="184"/>
      <c r="O562" s="184"/>
      <c r="R562" s="185"/>
      <c r="T562" s="184"/>
      <c r="U562" s="184"/>
      <c r="V562" s="184"/>
      <c r="X562" s="184"/>
      <c r="Y562" s="184"/>
      <c r="Z562" s="184"/>
      <c r="AA562" s="184"/>
      <c r="AC562" s="184"/>
      <c r="AD562" s="184"/>
      <c r="AE562" s="184"/>
      <c r="AF562" s="184"/>
      <c r="AG562" s="184"/>
      <c r="AH562" s="184"/>
      <c r="AI562" s="184"/>
      <c r="AR562" s="186"/>
      <c r="AS562" s="187"/>
      <c r="AT562" s="187"/>
      <c r="AU562" s="187"/>
      <c r="AV562" s="246"/>
      <c r="BB562" s="377"/>
      <c r="BC562" s="377"/>
      <c r="BD562" s="377"/>
    </row>
    <row r="563" spans="1:56" s="163" customFormat="1" ht="16.5" customHeight="1">
      <c r="A563" s="247"/>
      <c r="B563" s="244"/>
      <c r="C563" s="245"/>
      <c r="D563" s="245"/>
      <c r="E563" s="183"/>
      <c r="F563" s="183"/>
      <c r="G563" s="183"/>
      <c r="H563" s="184"/>
      <c r="I563" s="184"/>
      <c r="J563" s="184"/>
      <c r="L563" s="184"/>
      <c r="M563" s="184"/>
      <c r="N563" s="184"/>
      <c r="O563" s="184"/>
      <c r="R563" s="185"/>
      <c r="T563" s="184"/>
      <c r="U563" s="184"/>
      <c r="V563" s="184"/>
      <c r="X563" s="184"/>
      <c r="Y563" s="184"/>
      <c r="Z563" s="184"/>
      <c r="AA563" s="184"/>
      <c r="AC563" s="184"/>
      <c r="AD563" s="184"/>
      <c r="AE563" s="184"/>
      <c r="AF563" s="184"/>
      <c r="AG563" s="184"/>
      <c r="AH563" s="184"/>
      <c r="AI563" s="184"/>
      <c r="AR563" s="186"/>
      <c r="AS563" s="187"/>
      <c r="AT563" s="187"/>
      <c r="AU563" s="187"/>
      <c r="AV563" s="246"/>
      <c r="BB563" s="377"/>
      <c r="BC563" s="377"/>
      <c r="BD563" s="377"/>
    </row>
    <row r="564" spans="1:56" s="163" customFormat="1" ht="16.5" customHeight="1">
      <c r="A564" s="247"/>
      <c r="B564" s="244"/>
      <c r="C564" s="245"/>
      <c r="D564" s="245"/>
      <c r="E564" s="183"/>
      <c r="F564" s="183"/>
      <c r="G564" s="183"/>
      <c r="H564" s="184"/>
      <c r="I564" s="184"/>
      <c r="J564" s="184"/>
      <c r="L564" s="184"/>
      <c r="M564" s="184"/>
      <c r="N564" s="184"/>
      <c r="O564" s="184"/>
      <c r="R564" s="185"/>
      <c r="T564" s="184"/>
      <c r="U564" s="184"/>
      <c r="V564" s="184"/>
      <c r="X564" s="184"/>
      <c r="Y564" s="184"/>
      <c r="Z564" s="184"/>
      <c r="AA564" s="184"/>
      <c r="AC564" s="184"/>
      <c r="AD564" s="184"/>
      <c r="AE564" s="184"/>
      <c r="AF564" s="184"/>
      <c r="AG564" s="184"/>
      <c r="AH564" s="184"/>
      <c r="AI564" s="184"/>
      <c r="AR564" s="186"/>
      <c r="AS564" s="187"/>
      <c r="AT564" s="187"/>
      <c r="AU564" s="187"/>
      <c r="AV564" s="246"/>
      <c r="BB564" s="377"/>
      <c r="BC564" s="377"/>
      <c r="BD564" s="377"/>
    </row>
    <row r="565" spans="1:56" s="163" customFormat="1" ht="16.5" customHeight="1">
      <c r="A565" s="247"/>
      <c r="B565" s="244"/>
      <c r="C565" s="245"/>
      <c r="D565" s="245"/>
      <c r="E565" s="183"/>
      <c r="F565" s="183"/>
      <c r="G565" s="183"/>
      <c r="H565" s="184"/>
      <c r="I565" s="184"/>
      <c r="J565" s="184"/>
      <c r="L565" s="184"/>
      <c r="M565" s="184"/>
      <c r="N565" s="184"/>
      <c r="O565" s="184"/>
      <c r="R565" s="185"/>
      <c r="T565" s="184"/>
      <c r="U565" s="184"/>
      <c r="V565" s="184"/>
      <c r="X565" s="184"/>
      <c r="Y565" s="184"/>
      <c r="Z565" s="184"/>
      <c r="AA565" s="184"/>
      <c r="AC565" s="184"/>
      <c r="AD565" s="184"/>
      <c r="AE565" s="184"/>
      <c r="AF565" s="184"/>
      <c r="AG565" s="184"/>
      <c r="AH565" s="184"/>
      <c r="AI565" s="184"/>
      <c r="AR565" s="186"/>
      <c r="AS565" s="187"/>
      <c r="AT565" s="187"/>
      <c r="AU565" s="187"/>
      <c r="AV565" s="246"/>
      <c r="BB565" s="377"/>
      <c r="BC565" s="377"/>
      <c r="BD565" s="377"/>
    </row>
    <row r="566" spans="1:56" s="163" customFormat="1" ht="16.5" customHeight="1">
      <c r="A566" s="247"/>
      <c r="B566" s="244"/>
      <c r="C566" s="245"/>
      <c r="D566" s="245"/>
      <c r="E566" s="183"/>
      <c r="F566" s="183"/>
      <c r="G566" s="183"/>
      <c r="H566" s="184"/>
      <c r="I566" s="184"/>
      <c r="J566" s="184"/>
      <c r="L566" s="184"/>
      <c r="M566" s="184"/>
      <c r="N566" s="184"/>
      <c r="O566" s="184"/>
      <c r="R566" s="185"/>
      <c r="T566" s="184"/>
      <c r="U566" s="184"/>
      <c r="V566" s="184"/>
      <c r="X566" s="184"/>
      <c r="Y566" s="184"/>
      <c r="Z566" s="184"/>
      <c r="AA566" s="184"/>
      <c r="AC566" s="184"/>
      <c r="AD566" s="184"/>
      <c r="AE566" s="184"/>
      <c r="AF566" s="184"/>
      <c r="AG566" s="184"/>
      <c r="AH566" s="184"/>
      <c r="AI566" s="184"/>
      <c r="AR566" s="186"/>
      <c r="AS566" s="187"/>
      <c r="AT566" s="187"/>
      <c r="AU566" s="187"/>
      <c r="AV566" s="246"/>
      <c r="BB566" s="377"/>
      <c r="BC566" s="377"/>
      <c r="BD566" s="377"/>
    </row>
    <row r="567" spans="1:56" s="163" customFormat="1" ht="16.5" customHeight="1">
      <c r="A567" s="247"/>
      <c r="B567" s="244"/>
      <c r="C567" s="245"/>
      <c r="D567" s="245"/>
      <c r="E567" s="183"/>
      <c r="F567" s="183"/>
      <c r="G567" s="183"/>
      <c r="H567" s="184"/>
      <c r="I567" s="184"/>
      <c r="J567" s="184"/>
      <c r="L567" s="184"/>
      <c r="M567" s="184"/>
      <c r="N567" s="184"/>
      <c r="O567" s="184"/>
      <c r="R567" s="185"/>
      <c r="T567" s="184"/>
      <c r="U567" s="184"/>
      <c r="V567" s="184"/>
      <c r="X567" s="184"/>
      <c r="Y567" s="184"/>
      <c r="Z567" s="184"/>
      <c r="AA567" s="184"/>
      <c r="AC567" s="184"/>
      <c r="AD567" s="184"/>
      <c r="AE567" s="184"/>
      <c r="AF567" s="184"/>
      <c r="AG567" s="184"/>
      <c r="AH567" s="184"/>
      <c r="AI567" s="184"/>
      <c r="AR567" s="186"/>
      <c r="AS567" s="187"/>
      <c r="AT567" s="187"/>
      <c r="AU567" s="187"/>
      <c r="AV567" s="246"/>
      <c r="BB567" s="377"/>
      <c r="BC567" s="377"/>
      <c r="BD567" s="377"/>
    </row>
    <row r="568" spans="1:56" s="163" customFormat="1" ht="16.5" customHeight="1">
      <c r="A568" s="247"/>
      <c r="B568" s="244"/>
      <c r="C568" s="245"/>
      <c r="D568" s="245"/>
      <c r="E568" s="183"/>
      <c r="F568" s="183"/>
      <c r="G568" s="183"/>
      <c r="H568" s="184"/>
      <c r="I568" s="184"/>
      <c r="J568" s="184"/>
      <c r="L568" s="184"/>
      <c r="M568" s="184"/>
      <c r="N568" s="184"/>
      <c r="O568" s="184"/>
      <c r="R568" s="185"/>
      <c r="T568" s="184"/>
      <c r="U568" s="184"/>
      <c r="V568" s="184"/>
      <c r="X568" s="184"/>
      <c r="Y568" s="184"/>
      <c r="Z568" s="184"/>
      <c r="AA568" s="184"/>
      <c r="AC568" s="184"/>
      <c r="AD568" s="184"/>
      <c r="AE568" s="184"/>
      <c r="AF568" s="184"/>
      <c r="AG568" s="184"/>
      <c r="AH568" s="184"/>
      <c r="AI568" s="184"/>
      <c r="AR568" s="186"/>
      <c r="AS568" s="187"/>
      <c r="AT568" s="187"/>
      <c r="AU568" s="187"/>
      <c r="AV568" s="246"/>
      <c r="BB568" s="377"/>
      <c r="BC568" s="377"/>
      <c r="BD568" s="377"/>
    </row>
    <row r="569" spans="1:56" s="163" customFormat="1" ht="16.5" customHeight="1">
      <c r="A569" s="247"/>
      <c r="B569" s="244"/>
      <c r="C569" s="245"/>
      <c r="D569" s="245"/>
      <c r="E569" s="183"/>
      <c r="F569" s="183"/>
      <c r="G569" s="183"/>
      <c r="H569" s="184"/>
      <c r="I569" s="184"/>
      <c r="J569" s="184"/>
      <c r="L569" s="184"/>
      <c r="M569" s="184"/>
      <c r="N569" s="184"/>
      <c r="O569" s="184"/>
      <c r="R569" s="185"/>
      <c r="T569" s="184"/>
      <c r="U569" s="184"/>
      <c r="V569" s="184"/>
      <c r="X569" s="184"/>
      <c r="Y569" s="184"/>
      <c r="Z569" s="184"/>
      <c r="AA569" s="184"/>
      <c r="AC569" s="184"/>
      <c r="AD569" s="184"/>
      <c r="AE569" s="184"/>
      <c r="AF569" s="184"/>
      <c r="AG569" s="184"/>
      <c r="AH569" s="184"/>
      <c r="AI569" s="184"/>
      <c r="AR569" s="186"/>
      <c r="AS569" s="187"/>
      <c r="AT569" s="187"/>
      <c r="AU569" s="187"/>
      <c r="AV569" s="246"/>
      <c r="BB569" s="377"/>
      <c r="BC569" s="377"/>
      <c r="BD569" s="377"/>
    </row>
    <row r="570" spans="1:56" s="163" customFormat="1" ht="16.5" customHeight="1">
      <c r="A570" s="247"/>
      <c r="B570" s="244"/>
      <c r="C570" s="245"/>
      <c r="D570" s="245"/>
      <c r="E570" s="183"/>
      <c r="F570" s="183"/>
      <c r="G570" s="183"/>
      <c r="H570" s="184"/>
      <c r="I570" s="184"/>
      <c r="J570" s="184"/>
      <c r="L570" s="184"/>
      <c r="M570" s="184"/>
      <c r="N570" s="184"/>
      <c r="O570" s="184"/>
      <c r="R570" s="185"/>
      <c r="T570" s="184"/>
      <c r="U570" s="184"/>
      <c r="V570" s="184"/>
      <c r="X570" s="184"/>
      <c r="Y570" s="184"/>
      <c r="Z570" s="184"/>
      <c r="AA570" s="184"/>
      <c r="AC570" s="184"/>
      <c r="AD570" s="184"/>
      <c r="AE570" s="184"/>
      <c r="AF570" s="184"/>
      <c r="AG570" s="184"/>
      <c r="AH570" s="184"/>
      <c r="AI570" s="184"/>
      <c r="AR570" s="186"/>
      <c r="AS570" s="187"/>
      <c r="AT570" s="187"/>
      <c r="AU570" s="187"/>
      <c r="AV570" s="246"/>
      <c r="BB570" s="377"/>
      <c r="BC570" s="377"/>
      <c r="BD570" s="377"/>
    </row>
    <row r="571" spans="1:56" s="163" customFormat="1" ht="16.5" customHeight="1">
      <c r="A571" s="247"/>
      <c r="B571" s="244"/>
      <c r="C571" s="245"/>
      <c r="D571" s="245"/>
      <c r="E571" s="183"/>
      <c r="F571" s="183"/>
      <c r="G571" s="183"/>
      <c r="H571" s="184"/>
      <c r="I571" s="184"/>
      <c r="J571" s="184"/>
      <c r="L571" s="184"/>
      <c r="M571" s="184"/>
      <c r="N571" s="184"/>
      <c r="O571" s="184"/>
      <c r="R571" s="185"/>
      <c r="T571" s="184"/>
      <c r="U571" s="184"/>
      <c r="V571" s="184"/>
      <c r="X571" s="184"/>
      <c r="Y571" s="184"/>
      <c r="Z571" s="184"/>
      <c r="AA571" s="184"/>
      <c r="AC571" s="184"/>
      <c r="AD571" s="184"/>
      <c r="AE571" s="184"/>
      <c r="AF571" s="184"/>
      <c r="AG571" s="184"/>
      <c r="AH571" s="184"/>
      <c r="AI571" s="184"/>
      <c r="AR571" s="186"/>
      <c r="AS571" s="187"/>
      <c r="AT571" s="187"/>
      <c r="AU571" s="187"/>
      <c r="AV571" s="246"/>
      <c r="BB571" s="377"/>
      <c r="BC571" s="377"/>
      <c r="BD571" s="377"/>
    </row>
    <row r="572" spans="1:56" s="163" customFormat="1" ht="16.5" customHeight="1">
      <c r="A572" s="247"/>
      <c r="B572" s="244"/>
      <c r="C572" s="245"/>
      <c r="D572" s="245"/>
      <c r="E572" s="183"/>
      <c r="F572" s="183"/>
      <c r="G572" s="183"/>
      <c r="H572" s="184"/>
      <c r="I572" s="184"/>
      <c r="J572" s="184"/>
      <c r="L572" s="184"/>
      <c r="M572" s="184"/>
      <c r="N572" s="184"/>
      <c r="O572" s="184"/>
      <c r="R572" s="185"/>
      <c r="T572" s="184"/>
      <c r="U572" s="184"/>
      <c r="V572" s="184"/>
      <c r="X572" s="184"/>
      <c r="Y572" s="184"/>
      <c r="Z572" s="184"/>
      <c r="AA572" s="184"/>
      <c r="AC572" s="184"/>
      <c r="AD572" s="184"/>
      <c r="AE572" s="184"/>
      <c r="AF572" s="184"/>
      <c r="AG572" s="184"/>
      <c r="AH572" s="184"/>
      <c r="AI572" s="184"/>
      <c r="AR572" s="186"/>
      <c r="AS572" s="187"/>
      <c r="AT572" s="187"/>
      <c r="AU572" s="187"/>
      <c r="AV572" s="246"/>
      <c r="BB572" s="377"/>
      <c r="BC572" s="377"/>
      <c r="BD572" s="377"/>
    </row>
    <row r="573" spans="1:56" s="163" customFormat="1" ht="16.5" customHeight="1">
      <c r="A573" s="247"/>
      <c r="B573" s="244"/>
      <c r="C573" s="245"/>
      <c r="D573" s="245"/>
      <c r="E573" s="183"/>
      <c r="F573" s="183"/>
      <c r="G573" s="183"/>
      <c r="H573" s="184"/>
      <c r="I573" s="184"/>
      <c r="J573" s="184"/>
      <c r="L573" s="184"/>
      <c r="M573" s="184"/>
      <c r="N573" s="184"/>
      <c r="O573" s="184"/>
      <c r="R573" s="185"/>
      <c r="T573" s="184"/>
      <c r="U573" s="184"/>
      <c r="V573" s="184"/>
      <c r="X573" s="184"/>
      <c r="Y573" s="184"/>
      <c r="Z573" s="184"/>
      <c r="AA573" s="184"/>
      <c r="AC573" s="184"/>
      <c r="AD573" s="184"/>
      <c r="AE573" s="184"/>
      <c r="AF573" s="184"/>
      <c r="AG573" s="184"/>
      <c r="AH573" s="184"/>
      <c r="AI573" s="184"/>
      <c r="AR573" s="186"/>
      <c r="AS573" s="187"/>
      <c r="AT573" s="187"/>
      <c r="AU573" s="187"/>
      <c r="AV573" s="246"/>
      <c r="BB573" s="377"/>
      <c r="BC573" s="377"/>
      <c r="BD573" s="377"/>
    </row>
    <row r="574" spans="1:56" s="163" customFormat="1" ht="16.5" customHeight="1">
      <c r="A574" s="247"/>
      <c r="B574" s="244"/>
      <c r="C574" s="245"/>
      <c r="D574" s="245"/>
      <c r="E574" s="183"/>
      <c r="F574" s="183"/>
      <c r="G574" s="183"/>
      <c r="H574" s="184"/>
      <c r="I574" s="184"/>
      <c r="J574" s="184"/>
      <c r="L574" s="184"/>
      <c r="M574" s="184"/>
      <c r="N574" s="184"/>
      <c r="O574" s="184"/>
      <c r="R574" s="185"/>
      <c r="T574" s="184"/>
      <c r="U574" s="184"/>
      <c r="V574" s="184"/>
      <c r="X574" s="184"/>
      <c r="Y574" s="184"/>
      <c r="Z574" s="184"/>
      <c r="AA574" s="184"/>
      <c r="AC574" s="184"/>
      <c r="AD574" s="184"/>
      <c r="AE574" s="184"/>
      <c r="AF574" s="184"/>
      <c r="AG574" s="184"/>
      <c r="AH574" s="184"/>
      <c r="AI574" s="184"/>
      <c r="AR574" s="186"/>
      <c r="AS574" s="187"/>
      <c r="AT574" s="187"/>
      <c r="AU574" s="187"/>
      <c r="AV574" s="246"/>
      <c r="BB574" s="377"/>
      <c r="BC574" s="377"/>
      <c r="BD574" s="377"/>
    </row>
    <row r="575" spans="1:56" s="163" customFormat="1" ht="16.5" customHeight="1">
      <c r="A575" s="247"/>
      <c r="B575" s="244"/>
      <c r="C575" s="245"/>
      <c r="D575" s="245"/>
      <c r="E575" s="183"/>
      <c r="F575" s="183"/>
      <c r="G575" s="183"/>
      <c r="H575" s="184"/>
      <c r="I575" s="184"/>
      <c r="J575" s="184"/>
      <c r="L575" s="184"/>
      <c r="M575" s="184"/>
      <c r="N575" s="184"/>
      <c r="O575" s="184"/>
      <c r="R575" s="185"/>
      <c r="T575" s="184"/>
      <c r="U575" s="184"/>
      <c r="V575" s="184"/>
      <c r="X575" s="184"/>
      <c r="Y575" s="184"/>
      <c r="Z575" s="184"/>
      <c r="AA575" s="184"/>
      <c r="AC575" s="184"/>
      <c r="AD575" s="184"/>
      <c r="AE575" s="184"/>
      <c r="AF575" s="184"/>
      <c r="AG575" s="184"/>
      <c r="AH575" s="184"/>
      <c r="AI575" s="184"/>
      <c r="AR575" s="186"/>
      <c r="AS575" s="187"/>
      <c r="AT575" s="187"/>
      <c r="AU575" s="187"/>
      <c r="AV575" s="246"/>
      <c r="BB575" s="377"/>
      <c r="BC575" s="377"/>
      <c r="BD575" s="377"/>
    </row>
    <row r="576" spans="1:56" s="163" customFormat="1" ht="16.5" customHeight="1">
      <c r="A576" s="247"/>
      <c r="B576" s="244"/>
      <c r="C576" s="245"/>
      <c r="D576" s="245"/>
      <c r="E576" s="183"/>
      <c r="F576" s="183"/>
      <c r="G576" s="183"/>
      <c r="H576" s="184"/>
      <c r="I576" s="184"/>
      <c r="J576" s="184"/>
      <c r="L576" s="184"/>
      <c r="M576" s="184"/>
      <c r="N576" s="184"/>
      <c r="O576" s="184"/>
      <c r="R576" s="185"/>
      <c r="T576" s="184"/>
      <c r="U576" s="184"/>
      <c r="V576" s="184"/>
      <c r="X576" s="184"/>
      <c r="Y576" s="184"/>
      <c r="Z576" s="184"/>
      <c r="AA576" s="184"/>
      <c r="AC576" s="184"/>
      <c r="AD576" s="184"/>
      <c r="AE576" s="184"/>
      <c r="AF576" s="184"/>
      <c r="AG576" s="184"/>
      <c r="AH576" s="184"/>
      <c r="AI576" s="184"/>
      <c r="AR576" s="186"/>
      <c r="AS576" s="187"/>
      <c r="AT576" s="187"/>
      <c r="AU576" s="187"/>
      <c r="AV576" s="246"/>
      <c r="BB576" s="377"/>
      <c r="BC576" s="377"/>
      <c r="BD576" s="377"/>
    </row>
    <row r="577" spans="1:56" s="163" customFormat="1" ht="16.5" customHeight="1">
      <c r="A577" s="247"/>
      <c r="B577" s="244"/>
      <c r="C577" s="245"/>
      <c r="D577" s="245"/>
      <c r="E577" s="183"/>
      <c r="F577" s="183"/>
      <c r="G577" s="183"/>
      <c r="H577" s="184"/>
      <c r="I577" s="184"/>
      <c r="J577" s="184"/>
      <c r="L577" s="184"/>
      <c r="M577" s="184"/>
      <c r="N577" s="184"/>
      <c r="O577" s="184"/>
      <c r="R577" s="185"/>
      <c r="T577" s="184"/>
      <c r="U577" s="184"/>
      <c r="V577" s="184"/>
      <c r="X577" s="184"/>
      <c r="Y577" s="184"/>
      <c r="Z577" s="184"/>
      <c r="AA577" s="184"/>
      <c r="AC577" s="184"/>
      <c r="AD577" s="184"/>
      <c r="AE577" s="184"/>
      <c r="AF577" s="184"/>
      <c r="AG577" s="184"/>
      <c r="AH577" s="184"/>
      <c r="AI577" s="184"/>
      <c r="AR577" s="186"/>
      <c r="AS577" s="187"/>
      <c r="AT577" s="187"/>
      <c r="AU577" s="187"/>
      <c r="AV577" s="246"/>
      <c r="BB577" s="377"/>
      <c r="BC577" s="377"/>
      <c r="BD577" s="377"/>
    </row>
    <row r="578" spans="1:56" s="163" customFormat="1" ht="16.5" customHeight="1">
      <c r="A578" s="247"/>
      <c r="B578" s="244"/>
      <c r="C578" s="245"/>
      <c r="D578" s="245"/>
      <c r="E578" s="183"/>
      <c r="F578" s="183"/>
      <c r="G578" s="183"/>
      <c r="H578" s="184"/>
      <c r="I578" s="184"/>
      <c r="J578" s="184"/>
      <c r="L578" s="184"/>
      <c r="M578" s="184"/>
      <c r="N578" s="184"/>
      <c r="O578" s="184"/>
      <c r="R578" s="185"/>
      <c r="T578" s="184"/>
      <c r="U578" s="184"/>
      <c r="V578" s="184"/>
      <c r="X578" s="184"/>
      <c r="Y578" s="184"/>
      <c r="Z578" s="184"/>
      <c r="AA578" s="184"/>
      <c r="AC578" s="184"/>
      <c r="AD578" s="184"/>
      <c r="AE578" s="184"/>
      <c r="AF578" s="184"/>
      <c r="AG578" s="184"/>
      <c r="AH578" s="184"/>
      <c r="AI578" s="184"/>
      <c r="AR578" s="186"/>
      <c r="AS578" s="187"/>
      <c r="AT578" s="187"/>
      <c r="AU578" s="187"/>
      <c r="AV578" s="246"/>
      <c r="BB578" s="377"/>
      <c r="BC578" s="377"/>
      <c r="BD578" s="377"/>
    </row>
    <row r="579" spans="1:56" s="163" customFormat="1" ht="16.5" customHeight="1">
      <c r="A579" s="247"/>
      <c r="B579" s="244"/>
      <c r="C579" s="245"/>
      <c r="D579" s="245"/>
      <c r="E579" s="183"/>
      <c r="F579" s="183"/>
      <c r="G579" s="183"/>
      <c r="H579" s="184"/>
      <c r="I579" s="184"/>
      <c r="J579" s="184"/>
      <c r="L579" s="184"/>
      <c r="M579" s="184"/>
      <c r="N579" s="184"/>
      <c r="O579" s="184"/>
      <c r="R579" s="185"/>
      <c r="T579" s="184"/>
      <c r="U579" s="184"/>
      <c r="V579" s="184"/>
      <c r="X579" s="184"/>
      <c r="Y579" s="184"/>
      <c r="Z579" s="184"/>
      <c r="AA579" s="184"/>
      <c r="AC579" s="184"/>
      <c r="AD579" s="184"/>
      <c r="AE579" s="184"/>
      <c r="AF579" s="184"/>
      <c r="AG579" s="184"/>
      <c r="AH579" s="184"/>
      <c r="AI579" s="184"/>
      <c r="AR579" s="186"/>
      <c r="AS579" s="187"/>
      <c r="AT579" s="187"/>
      <c r="AU579" s="187"/>
      <c r="AV579" s="246"/>
      <c r="BB579" s="377"/>
      <c r="BC579" s="377"/>
      <c r="BD579" s="377"/>
    </row>
    <row r="580" spans="1:56" s="163" customFormat="1" ht="16.5" customHeight="1">
      <c r="A580" s="247"/>
      <c r="B580" s="244"/>
      <c r="C580" s="245"/>
      <c r="D580" s="245"/>
      <c r="E580" s="183"/>
      <c r="F580" s="183"/>
      <c r="G580" s="183"/>
      <c r="H580" s="184"/>
      <c r="I580" s="184"/>
      <c r="J580" s="184"/>
      <c r="L580" s="184"/>
      <c r="M580" s="184"/>
      <c r="N580" s="184"/>
      <c r="O580" s="184"/>
      <c r="R580" s="185"/>
      <c r="T580" s="184"/>
      <c r="U580" s="184"/>
      <c r="V580" s="184"/>
      <c r="X580" s="184"/>
      <c r="Y580" s="184"/>
      <c r="Z580" s="184"/>
      <c r="AA580" s="184"/>
      <c r="AC580" s="184"/>
      <c r="AD580" s="184"/>
      <c r="AE580" s="184"/>
      <c r="AF580" s="184"/>
      <c r="AG580" s="184"/>
      <c r="AH580" s="184"/>
      <c r="AI580" s="184"/>
      <c r="AR580" s="186"/>
      <c r="AS580" s="187"/>
      <c r="AT580" s="187"/>
      <c r="AU580" s="187"/>
      <c r="AV580" s="246"/>
      <c r="BB580" s="377"/>
      <c r="BC580" s="377"/>
      <c r="BD580" s="377"/>
    </row>
    <row r="581" spans="1:56" s="163" customFormat="1" ht="16.5" customHeight="1">
      <c r="A581" s="247"/>
      <c r="B581" s="244"/>
      <c r="C581" s="245"/>
      <c r="D581" s="245"/>
      <c r="E581" s="183"/>
      <c r="F581" s="183"/>
      <c r="G581" s="183"/>
      <c r="H581" s="184"/>
      <c r="I581" s="184"/>
      <c r="J581" s="184"/>
      <c r="L581" s="184"/>
      <c r="M581" s="184"/>
      <c r="N581" s="184"/>
      <c r="O581" s="184"/>
      <c r="R581" s="185"/>
      <c r="T581" s="184"/>
      <c r="U581" s="184"/>
      <c r="V581" s="184"/>
      <c r="X581" s="184"/>
      <c r="Y581" s="184"/>
      <c r="Z581" s="184"/>
      <c r="AA581" s="184"/>
      <c r="AC581" s="184"/>
      <c r="AD581" s="184"/>
      <c r="AE581" s="184"/>
      <c r="AF581" s="184"/>
      <c r="AG581" s="184"/>
      <c r="AH581" s="184"/>
      <c r="AI581" s="184"/>
      <c r="AR581" s="186"/>
      <c r="AS581" s="187"/>
      <c r="AT581" s="187"/>
      <c r="AU581" s="187"/>
      <c r="AV581" s="246"/>
      <c r="BB581" s="377"/>
      <c r="BC581" s="377"/>
      <c r="BD581" s="377"/>
    </row>
    <row r="582" spans="1:56" s="163" customFormat="1" ht="16.5" customHeight="1">
      <c r="A582" s="247"/>
      <c r="B582" s="244"/>
      <c r="C582" s="245"/>
      <c r="D582" s="245"/>
      <c r="E582" s="183"/>
      <c r="F582" s="183"/>
      <c r="G582" s="183"/>
      <c r="H582" s="184"/>
      <c r="I582" s="184"/>
      <c r="J582" s="184"/>
      <c r="L582" s="184"/>
      <c r="M582" s="184"/>
      <c r="N582" s="184"/>
      <c r="O582" s="184"/>
      <c r="R582" s="185"/>
      <c r="T582" s="184"/>
      <c r="U582" s="184"/>
      <c r="V582" s="184"/>
      <c r="X582" s="184"/>
      <c r="Y582" s="184"/>
      <c r="Z582" s="184"/>
      <c r="AA582" s="184"/>
      <c r="AC582" s="184"/>
      <c r="AD582" s="184"/>
      <c r="AE582" s="184"/>
      <c r="AF582" s="184"/>
      <c r="AG582" s="184"/>
      <c r="AH582" s="184"/>
      <c r="AI582" s="184"/>
      <c r="AR582" s="186"/>
      <c r="AS582" s="187"/>
      <c r="AT582" s="187"/>
      <c r="AU582" s="187"/>
      <c r="AV582" s="246"/>
      <c r="BB582" s="377"/>
      <c r="BC582" s="377"/>
      <c r="BD582" s="377"/>
    </row>
    <row r="583" spans="1:56" s="163" customFormat="1" ht="16.5" customHeight="1">
      <c r="A583" s="247"/>
      <c r="B583" s="244"/>
      <c r="C583" s="245"/>
      <c r="D583" s="245"/>
      <c r="E583" s="183"/>
      <c r="F583" s="183"/>
      <c r="G583" s="183"/>
      <c r="H583" s="184"/>
      <c r="I583" s="184"/>
      <c r="J583" s="184"/>
      <c r="L583" s="184"/>
      <c r="M583" s="184"/>
      <c r="N583" s="184"/>
      <c r="O583" s="184"/>
      <c r="R583" s="185"/>
      <c r="T583" s="184"/>
      <c r="U583" s="184"/>
      <c r="V583" s="184"/>
      <c r="X583" s="184"/>
      <c r="Y583" s="184"/>
      <c r="Z583" s="184"/>
      <c r="AA583" s="184"/>
      <c r="AC583" s="184"/>
      <c r="AD583" s="184"/>
      <c r="AE583" s="184"/>
      <c r="AF583" s="184"/>
      <c r="AG583" s="184"/>
      <c r="AH583" s="184"/>
      <c r="AI583" s="184"/>
      <c r="AR583" s="186"/>
      <c r="AS583" s="187"/>
      <c r="AT583" s="187"/>
      <c r="AU583" s="187"/>
      <c r="AV583" s="246"/>
      <c r="BB583" s="377"/>
      <c r="BC583" s="377"/>
      <c r="BD583" s="377"/>
    </row>
    <row r="584" spans="1:56" s="163" customFormat="1" ht="16.5" customHeight="1">
      <c r="A584" s="247"/>
      <c r="B584" s="244"/>
      <c r="C584" s="245"/>
      <c r="D584" s="245"/>
      <c r="E584" s="183"/>
      <c r="F584" s="183"/>
      <c r="G584" s="183"/>
      <c r="H584" s="184"/>
      <c r="I584" s="184"/>
      <c r="J584" s="184"/>
      <c r="L584" s="184"/>
      <c r="M584" s="184"/>
      <c r="N584" s="184"/>
      <c r="O584" s="184"/>
      <c r="R584" s="185"/>
      <c r="T584" s="184"/>
      <c r="U584" s="184"/>
      <c r="V584" s="184"/>
      <c r="X584" s="184"/>
      <c r="Y584" s="184"/>
      <c r="Z584" s="184"/>
      <c r="AA584" s="184"/>
      <c r="AC584" s="184"/>
      <c r="AD584" s="184"/>
      <c r="AE584" s="184"/>
      <c r="AF584" s="184"/>
      <c r="AG584" s="184"/>
      <c r="AH584" s="184"/>
      <c r="AI584" s="184"/>
      <c r="AR584" s="186"/>
      <c r="AS584" s="187"/>
      <c r="AT584" s="187"/>
      <c r="AU584" s="187"/>
      <c r="AV584" s="246"/>
      <c r="BB584" s="377"/>
      <c r="BC584" s="377"/>
      <c r="BD584" s="377"/>
    </row>
    <row r="585" spans="1:56" s="163" customFormat="1" ht="16.5" customHeight="1">
      <c r="A585" s="247"/>
      <c r="B585" s="244"/>
      <c r="C585" s="245"/>
      <c r="D585" s="245"/>
      <c r="E585" s="183"/>
      <c r="F585" s="183"/>
      <c r="G585" s="183"/>
      <c r="H585" s="184"/>
      <c r="I585" s="184"/>
      <c r="J585" s="184"/>
      <c r="L585" s="184"/>
      <c r="M585" s="184"/>
      <c r="N585" s="184"/>
      <c r="O585" s="184"/>
      <c r="R585" s="185"/>
      <c r="T585" s="184"/>
      <c r="U585" s="184"/>
      <c r="V585" s="184"/>
      <c r="X585" s="184"/>
      <c r="Y585" s="184"/>
      <c r="Z585" s="184"/>
      <c r="AA585" s="184"/>
      <c r="AC585" s="184"/>
      <c r="AD585" s="184"/>
      <c r="AE585" s="184"/>
      <c r="AF585" s="184"/>
      <c r="AG585" s="184"/>
      <c r="AH585" s="184"/>
      <c r="AI585" s="184"/>
      <c r="AR585" s="186"/>
      <c r="AS585" s="187"/>
      <c r="AT585" s="187"/>
      <c r="AU585" s="187"/>
      <c r="AV585" s="246"/>
      <c r="BB585" s="377"/>
      <c r="BC585" s="377"/>
      <c r="BD585" s="377"/>
    </row>
    <row r="586" spans="1:56" s="163" customFormat="1" ht="16.5" customHeight="1">
      <c r="A586" s="247"/>
      <c r="B586" s="244"/>
      <c r="C586" s="245"/>
      <c r="D586" s="245"/>
      <c r="E586" s="183"/>
      <c r="F586" s="183"/>
      <c r="G586" s="183"/>
      <c r="H586" s="184"/>
      <c r="I586" s="184"/>
      <c r="J586" s="184"/>
      <c r="L586" s="184"/>
      <c r="M586" s="184"/>
      <c r="N586" s="184"/>
      <c r="O586" s="184"/>
      <c r="R586" s="185"/>
      <c r="T586" s="184"/>
      <c r="U586" s="184"/>
      <c r="V586" s="184"/>
      <c r="X586" s="184"/>
      <c r="Y586" s="184"/>
      <c r="Z586" s="184"/>
      <c r="AA586" s="184"/>
      <c r="AC586" s="184"/>
      <c r="AD586" s="184"/>
      <c r="AE586" s="184"/>
      <c r="AF586" s="184"/>
      <c r="AG586" s="184"/>
      <c r="AH586" s="184"/>
      <c r="AI586" s="184"/>
      <c r="AR586" s="186"/>
      <c r="AS586" s="187"/>
      <c r="AT586" s="187"/>
      <c r="AU586" s="187"/>
      <c r="AV586" s="246"/>
      <c r="BB586" s="377"/>
      <c r="BC586" s="377"/>
      <c r="BD586" s="377"/>
    </row>
    <row r="587" spans="1:56" s="163" customFormat="1" ht="16.5" customHeight="1">
      <c r="A587" s="247"/>
      <c r="B587" s="244"/>
      <c r="C587" s="245"/>
      <c r="D587" s="245"/>
      <c r="E587" s="183"/>
      <c r="F587" s="183"/>
      <c r="G587" s="183"/>
      <c r="H587" s="184"/>
      <c r="I587" s="184"/>
      <c r="J587" s="184"/>
      <c r="L587" s="184"/>
      <c r="M587" s="184"/>
      <c r="N587" s="184"/>
      <c r="O587" s="184"/>
      <c r="R587" s="185"/>
      <c r="T587" s="184"/>
      <c r="U587" s="184"/>
      <c r="V587" s="184"/>
      <c r="X587" s="184"/>
      <c r="Y587" s="184"/>
      <c r="Z587" s="184"/>
      <c r="AA587" s="184"/>
      <c r="AC587" s="184"/>
      <c r="AD587" s="184"/>
      <c r="AE587" s="184"/>
      <c r="AF587" s="184"/>
      <c r="AG587" s="184"/>
      <c r="AH587" s="184"/>
      <c r="AI587" s="184"/>
      <c r="AR587" s="186"/>
      <c r="AS587" s="187"/>
      <c r="AT587" s="187"/>
      <c r="AU587" s="187"/>
      <c r="AV587" s="246"/>
      <c r="BB587" s="377"/>
      <c r="BC587" s="377"/>
      <c r="BD587" s="377"/>
    </row>
    <row r="588" spans="1:56" s="163" customFormat="1" ht="16.5" customHeight="1">
      <c r="A588" s="247"/>
      <c r="B588" s="244"/>
      <c r="C588" s="245"/>
      <c r="D588" s="245"/>
      <c r="E588" s="183"/>
      <c r="F588" s="183"/>
      <c r="G588" s="183"/>
      <c r="H588" s="184"/>
      <c r="I588" s="184"/>
      <c r="J588" s="184"/>
      <c r="L588" s="184"/>
      <c r="M588" s="184"/>
      <c r="N588" s="184"/>
      <c r="O588" s="184"/>
      <c r="R588" s="185"/>
      <c r="T588" s="184"/>
      <c r="U588" s="184"/>
      <c r="V588" s="184"/>
      <c r="X588" s="184"/>
      <c r="Y588" s="184"/>
      <c r="Z588" s="184"/>
      <c r="AA588" s="184"/>
      <c r="AC588" s="184"/>
      <c r="AD588" s="184"/>
      <c r="AE588" s="184"/>
      <c r="AF588" s="184"/>
      <c r="AG588" s="184"/>
      <c r="AH588" s="184"/>
      <c r="AI588" s="184"/>
      <c r="AR588" s="186"/>
      <c r="AS588" s="187"/>
      <c r="AT588" s="187"/>
      <c r="AU588" s="187"/>
      <c r="AV588" s="246"/>
      <c r="BB588" s="377"/>
      <c r="BC588" s="377"/>
      <c r="BD588" s="377"/>
    </row>
    <row r="589" spans="1:56" s="163" customFormat="1" ht="16.5" customHeight="1">
      <c r="A589" s="247"/>
      <c r="B589" s="244"/>
      <c r="C589" s="245"/>
      <c r="D589" s="245"/>
      <c r="E589" s="183"/>
      <c r="F589" s="183"/>
      <c r="G589" s="183"/>
      <c r="H589" s="184"/>
      <c r="I589" s="184"/>
      <c r="J589" s="184"/>
      <c r="L589" s="184"/>
      <c r="M589" s="184"/>
      <c r="N589" s="184"/>
      <c r="O589" s="184"/>
      <c r="R589" s="185"/>
      <c r="T589" s="184"/>
      <c r="U589" s="184"/>
      <c r="V589" s="184"/>
      <c r="X589" s="184"/>
      <c r="Y589" s="184"/>
      <c r="Z589" s="184"/>
      <c r="AA589" s="184"/>
      <c r="AC589" s="184"/>
      <c r="AD589" s="184"/>
      <c r="AE589" s="184"/>
      <c r="AF589" s="184"/>
      <c r="AG589" s="184"/>
      <c r="AH589" s="184"/>
      <c r="AI589" s="184"/>
      <c r="AR589" s="186"/>
      <c r="AS589" s="187"/>
      <c r="AT589" s="187"/>
      <c r="AU589" s="187"/>
      <c r="AV589" s="246"/>
      <c r="BB589" s="377"/>
      <c r="BC589" s="377"/>
      <c r="BD589" s="377"/>
    </row>
    <row r="590" spans="1:56" s="163" customFormat="1" ht="16.5" customHeight="1">
      <c r="A590" s="247"/>
      <c r="B590" s="244"/>
      <c r="C590" s="245"/>
      <c r="D590" s="245"/>
      <c r="E590" s="183"/>
      <c r="F590" s="183"/>
      <c r="G590" s="183"/>
      <c r="H590" s="184"/>
      <c r="I590" s="184"/>
      <c r="J590" s="184"/>
      <c r="L590" s="184"/>
      <c r="M590" s="184"/>
      <c r="N590" s="184"/>
      <c r="O590" s="184"/>
      <c r="R590" s="185"/>
      <c r="T590" s="184"/>
      <c r="U590" s="184"/>
      <c r="V590" s="184"/>
      <c r="X590" s="184"/>
      <c r="Y590" s="184"/>
      <c r="Z590" s="184"/>
      <c r="AA590" s="184"/>
      <c r="AC590" s="184"/>
      <c r="AD590" s="184"/>
      <c r="AE590" s="184"/>
      <c r="AF590" s="184"/>
      <c r="AG590" s="184"/>
      <c r="AH590" s="184"/>
      <c r="AI590" s="184"/>
      <c r="AR590" s="186"/>
      <c r="AS590" s="187"/>
      <c r="AT590" s="187"/>
      <c r="AU590" s="187"/>
      <c r="AV590" s="246"/>
      <c r="BB590" s="377"/>
      <c r="BC590" s="377"/>
      <c r="BD590" s="377"/>
    </row>
    <row r="591" spans="1:56" s="163" customFormat="1" ht="16.5" customHeight="1">
      <c r="A591" s="247"/>
      <c r="B591" s="244"/>
      <c r="C591" s="245"/>
      <c r="D591" s="245"/>
      <c r="E591" s="183"/>
      <c r="F591" s="183"/>
      <c r="G591" s="183"/>
      <c r="H591" s="184"/>
      <c r="I591" s="184"/>
      <c r="J591" s="184"/>
      <c r="L591" s="184"/>
      <c r="M591" s="184"/>
      <c r="N591" s="184"/>
      <c r="O591" s="184"/>
      <c r="R591" s="185"/>
      <c r="T591" s="184"/>
      <c r="U591" s="184"/>
      <c r="V591" s="184"/>
      <c r="X591" s="184"/>
      <c r="Y591" s="184"/>
      <c r="Z591" s="184"/>
      <c r="AA591" s="184"/>
      <c r="AC591" s="184"/>
      <c r="AD591" s="184"/>
      <c r="AE591" s="184"/>
      <c r="AF591" s="184"/>
      <c r="AG591" s="184"/>
      <c r="AH591" s="184"/>
      <c r="AI591" s="184"/>
      <c r="AR591" s="186"/>
      <c r="AS591" s="187"/>
      <c r="AT591" s="187"/>
      <c r="AU591" s="187"/>
      <c r="AV591" s="246"/>
      <c r="BB591" s="377"/>
      <c r="BC591" s="377"/>
      <c r="BD591" s="377"/>
    </row>
    <row r="592" spans="1:56" s="163" customFormat="1" ht="16.5" customHeight="1">
      <c r="A592" s="247"/>
      <c r="B592" s="244"/>
      <c r="C592" s="245"/>
      <c r="D592" s="245"/>
      <c r="E592" s="183"/>
      <c r="F592" s="183"/>
      <c r="G592" s="183"/>
      <c r="H592" s="184"/>
      <c r="I592" s="184"/>
      <c r="J592" s="184"/>
      <c r="L592" s="184"/>
      <c r="M592" s="184"/>
      <c r="N592" s="184"/>
      <c r="O592" s="184"/>
      <c r="R592" s="185"/>
      <c r="T592" s="184"/>
      <c r="U592" s="184"/>
      <c r="V592" s="184"/>
      <c r="X592" s="184"/>
      <c r="Y592" s="184"/>
      <c r="Z592" s="184"/>
      <c r="AA592" s="184"/>
      <c r="AC592" s="184"/>
      <c r="AD592" s="184"/>
      <c r="AE592" s="184"/>
      <c r="AF592" s="184"/>
      <c r="AG592" s="184"/>
      <c r="AH592" s="184"/>
      <c r="AI592" s="184"/>
      <c r="AR592" s="186"/>
      <c r="AS592" s="187"/>
      <c r="AT592" s="187"/>
      <c r="AU592" s="187"/>
      <c r="AV592" s="246"/>
      <c r="BB592" s="377"/>
      <c r="BC592" s="377"/>
      <c r="BD592" s="377"/>
    </row>
    <row r="593" spans="1:56" s="163" customFormat="1" ht="16.5" customHeight="1">
      <c r="A593" s="247"/>
      <c r="B593" s="244"/>
      <c r="C593" s="245"/>
      <c r="D593" s="245"/>
      <c r="E593" s="183"/>
      <c r="F593" s="183"/>
      <c r="G593" s="183"/>
      <c r="H593" s="184"/>
      <c r="I593" s="184"/>
      <c r="J593" s="184"/>
      <c r="L593" s="184"/>
      <c r="M593" s="184"/>
      <c r="N593" s="184"/>
      <c r="O593" s="184"/>
      <c r="R593" s="185"/>
      <c r="T593" s="184"/>
      <c r="U593" s="184"/>
      <c r="V593" s="184"/>
      <c r="X593" s="184"/>
      <c r="Y593" s="184"/>
      <c r="Z593" s="184"/>
      <c r="AA593" s="184"/>
      <c r="AC593" s="184"/>
      <c r="AD593" s="184"/>
      <c r="AE593" s="184"/>
      <c r="AF593" s="184"/>
      <c r="AG593" s="184"/>
      <c r="AH593" s="184"/>
      <c r="AI593" s="184"/>
      <c r="AR593" s="186"/>
      <c r="AS593" s="187"/>
      <c r="AT593" s="187"/>
      <c r="AU593" s="187"/>
      <c r="AV593" s="246"/>
      <c r="BB593" s="377"/>
      <c r="BC593" s="377"/>
      <c r="BD593" s="377"/>
    </row>
    <row r="594" spans="1:56" s="163" customFormat="1" ht="16.5" customHeight="1">
      <c r="A594" s="247"/>
      <c r="B594" s="244"/>
      <c r="C594" s="245"/>
      <c r="D594" s="245"/>
      <c r="E594" s="183"/>
      <c r="F594" s="183"/>
      <c r="G594" s="183"/>
      <c r="H594" s="184"/>
      <c r="I594" s="184"/>
      <c r="J594" s="184"/>
      <c r="L594" s="184"/>
      <c r="M594" s="184"/>
      <c r="N594" s="184"/>
      <c r="O594" s="184"/>
      <c r="R594" s="185"/>
      <c r="T594" s="184"/>
      <c r="U594" s="184"/>
      <c r="V594" s="184"/>
      <c r="X594" s="184"/>
      <c r="Y594" s="184"/>
      <c r="Z594" s="184"/>
      <c r="AA594" s="184"/>
      <c r="AC594" s="184"/>
      <c r="AD594" s="184"/>
      <c r="AE594" s="184"/>
      <c r="AF594" s="184"/>
      <c r="AG594" s="184"/>
      <c r="AH594" s="184"/>
      <c r="AI594" s="184"/>
      <c r="AR594" s="186"/>
      <c r="AS594" s="187"/>
      <c r="AT594" s="187"/>
      <c r="AU594" s="187"/>
      <c r="AV594" s="246"/>
      <c r="BB594" s="377"/>
      <c r="BC594" s="377"/>
      <c r="BD594" s="377"/>
    </row>
    <row r="595" spans="1:56" s="163" customFormat="1" ht="16.5" customHeight="1">
      <c r="A595" s="247"/>
      <c r="B595" s="244"/>
      <c r="C595" s="245"/>
      <c r="D595" s="245"/>
      <c r="E595" s="183"/>
      <c r="F595" s="183"/>
      <c r="G595" s="183"/>
      <c r="H595" s="184"/>
      <c r="I595" s="184"/>
      <c r="J595" s="184"/>
      <c r="L595" s="184"/>
      <c r="M595" s="184"/>
      <c r="N595" s="184"/>
      <c r="O595" s="184"/>
      <c r="R595" s="185"/>
      <c r="T595" s="184"/>
      <c r="U595" s="184"/>
      <c r="V595" s="184"/>
      <c r="X595" s="184"/>
      <c r="Y595" s="184"/>
      <c r="Z595" s="184"/>
      <c r="AA595" s="184"/>
      <c r="AC595" s="184"/>
      <c r="AD595" s="184"/>
      <c r="AE595" s="184"/>
      <c r="AF595" s="184"/>
      <c r="AG595" s="184"/>
      <c r="AH595" s="184"/>
      <c r="AI595" s="184"/>
      <c r="AR595" s="186"/>
      <c r="AS595" s="187"/>
      <c r="AT595" s="187"/>
      <c r="AU595" s="187"/>
      <c r="AV595" s="246"/>
      <c r="BB595" s="377"/>
      <c r="BC595" s="377"/>
      <c r="BD595" s="377"/>
    </row>
    <row r="596" spans="1:56" s="163" customFormat="1" ht="16.5" customHeight="1">
      <c r="A596" s="247"/>
      <c r="B596" s="244"/>
      <c r="C596" s="245"/>
      <c r="D596" s="245"/>
      <c r="E596" s="183"/>
      <c r="F596" s="183"/>
      <c r="G596" s="183"/>
      <c r="H596" s="184"/>
      <c r="I596" s="184"/>
      <c r="J596" s="184"/>
      <c r="L596" s="184"/>
      <c r="M596" s="184"/>
      <c r="N596" s="184"/>
      <c r="O596" s="184"/>
      <c r="R596" s="185"/>
      <c r="T596" s="184"/>
      <c r="U596" s="184"/>
      <c r="V596" s="184"/>
      <c r="X596" s="184"/>
      <c r="Y596" s="184"/>
      <c r="Z596" s="184"/>
      <c r="AA596" s="184"/>
      <c r="AC596" s="184"/>
      <c r="AD596" s="184"/>
      <c r="AE596" s="184"/>
      <c r="AF596" s="184"/>
      <c r="AG596" s="184"/>
      <c r="AH596" s="184"/>
      <c r="AI596" s="184"/>
      <c r="AR596" s="186"/>
      <c r="AS596" s="187"/>
      <c r="AT596" s="187"/>
      <c r="AU596" s="187"/>
      <c r="AV596" s="246"/>
      <c r="BB596" s="377"/>
      <c r="BC596" s="377"/>
      <c r="BD596" s="377"/>
    </row>
    <row r="597" spans="1:56" s="163" customFormat="1" ht="16.5" customHeight="1">
      <c r="A597" s="247"/>
      <c r="B597" s="244"/>
      <c r="C597" s="245"/>
      <c r="D597" s="245"/>
      <c r="E597" s="183"/>
      <c r="F597" s="183"/>
      <c r="G597" s="183"/>
      <c r="H597" s="184"/>
      <c r="I597" s="184"/>
      <c r="J597" s="184"/>
      <c r="L597" s="184"/>
      <c r="M597" s="184"/>
      <c r="N597" s="184"/>
      <c r="O597" s="184"/>
      <c r="R597" s="185"/>
      <c r="T597" s="184"/>
      <c r="U597" s="184"/>
      <c r="V597" s="184"/>
      <c r="X597" s="184"/>
      <c r="Y597" s="184"/>
      <c r="Z597" s="184"/>
      <c r="AA597" s="184"/>
      <c r="AC597" s="184"/>
      <c r="AD597" s="184"/>
      <c r="AE597" s="184"/>
      <c r="AF597" s="184"/>
      <c r="AG597" s="184"/>
      <c r="AH597" s="184"/>
      <c r="AI597" s="184"/>
      <c r="AR597" s="186"/>
      <c r="AS597" s="187"/>
      <c r="AT597" s="187"/>
      <c r="AU597" s="187"/>
      <c r="AV597" s="246"/>
      <c r="BB597" s="377"/>
      <c r="BC597" s="377"/>
      <c r="BD597" s="377"/>
    </row>
    <row r="598" spans="1:56" s="163" customFormat="1" ht="16.5" customHeight="1">
      <c r="A598" s="247"/>
      <c r="B598" s="244"/>
      <c r="C598" s="245"/>
      <c r="D598" s="245"/>
      <c r="E598" s="183"/>
      <c r="F598" s="183"/>
      <c r="G598" s="183"/>
      <c r="H598" s="184"/>
      <c r="I598" s="184"/>
      <c r="J598" s="184"/>
      <c r="L598" s="184"/>
      <c r="M598" s="184"/>
      <c r="N598" s="184"/>
      <c r="O598" s="184"/>
      <c r="R598" s="185"/>
      <c r="T598" s="184"/>
      <c r="U598" s="184"/>
      <c r="V598" s="184"/>
      <c r="X598" s="184"/>
      <c r="Y598" s="184"/>
      <c r="Z598" s="184"/>
      <c r="AA598" s="184"/>
      <c r="AC598" s="184"/>
      <c r="AD598" s="184"/>
      <c r="AE598" s="184"/>
      <c r="AF598" s="184"/>
      <c r="AG598" s="184"/>
      <c r="AH598" s="184"/>
      <c r="AI598" s="184"/>
      <c r="AR598" s="186"/>
      <c r="AS598" s="187"/>
      <c r="AT598" s="187"/>
      <c r="AU598" s="187"/>
      <c r="AV598" s="246"/>
      <c r="BB598" s="377"/>
      <c r="BC598" s="377"/>
      <c r="BD598" s="377"/>
    </row>
    <row r="599" spans="1:56" s="163" customFormat="1" ht="16.5" customHeight="1">
      <c r="A599" s="247"/>
      <c r="B599" s="244"/>
      <c r="C599" s="245"/>
      <c r="D599" s="245"/>
      <c r="E599" s="183"/>
      <c r="F599" s="183"/>
      <c r="G599" s="183"/>
      <c r="H599" s="184"/>
      <c r="I599" s="184"/>
      <c r="J599" s="184"/>
      <c r="L599" s="184"/>
      <c r="M599" s="184"/>
      <c r="N599" s="184"/>
      <c r="O599" s="184"/>
      <c r="R599" s="185"/>
      <c r="T599" s="184"/>
      <c r="U599" s="184"/>
      <c r="V599" s="184"/>
      <c r="X599" s="184"/>
      <c r="Y599" s="184"/>
      <c r="Z599" s="184"/>
      <c r="AA599" s="184"/>
      <c r="AC599" s="184"/>
      <c r="AD599" s="184"/>
      <c r="AE599" s="184"/>
      <c r="AF599" s="184"/>
      <c r="AG599" s="184"/>
      <c r="AH599" s="184"/>
      <c r="AI599" s="184"/>
      <c r="AR599" s="186"/>
      <c r="AS599" s="187"/>
      <c r="AT599" s="187"/>
      <c r="AU599" s="187"/>
      <c r="AV599" s="246"/>
      <c r="BB599" s="377"/>
      <c r="BC599" s="377"/>
      <c r="BD599" s="377"/>
    </row>
    <row r="600" spans="1:56" s="163" customFormat="1" ht="16.5" customHeight="1">
      <c r="A600" s="247"/>
      <c r="B600" s="244"/>
      <c r="C600" s="245"/>
      <c r="D600" s="245"/>
      <c r="E600" s="183"/>
      <c r="F600" s="183"/>
      <c r="G600" s="183"/>
      <c r="H600" s="184"/>
      <c r="I600" s="184"/>
      <c r="J600" s="184"/>
      <c r="L600" s="184"/>
      <c r="M600" s="184"/>
      <c r="N600" s="184"/>
      <c r="O600" s="184"/>
      <c r="R600" s="185"/>
      <c r="T600" s="184"/>
      <c r="U600" s="184"/>
      <c r="V600" s="184"/>
      <c r="X600" s="184"/>
      <c r="Y600" s="184"/>
      <c r="Z600" s="184"/>
      <c r="AA600" s="184"/>
      <c r="AC600" s="184"/>
      <c r="AD600" s="184"/>
      <c r="AE600" s="184"/>
      <c r="AF600" s="184"/>
      <c r="AG600" s="184"/>
      <c r="AH600" s="184"/>
      <c r="AI600" s="184"/>
      <c r="AR600" s="186"/>
      <c r="AS600" s="187"/>
      <c r="AT600" s="187"/>
      <c r="AU600" s="187"/>
      <c r="AV600" s="246"/>
      <c r="BB600" s="377"/>
      <c r="BC600" s="377"/>
      <c r="BD600" s="377"/>
    </row>
    <row r="601" spans="1:56" s="163" customFormat="1" ht="16.5" customHeight="1">
      <c r="A601" s="247"/>
      <c r="B601" s="244"/>
      <c r="C601" s="245"/>
      <c r="D601" s="245"/>
      <c r="E601" s="183"/>
      <c r="F601" s="183"/>
      <c r="G601" s="183"/>
      <c r="H601" s="184"/>
      <c r="I601" s="184"/>
      <c r="J601" s="184"/>
      <c r="L601" s="184"/>
      <c r="M601" s="184"/>
      <c r="N601" s="184"/>
      <c r="O601" s="184"/>
      <c r="R601" s="185"/>
      <c r="T601" s="184"/>
      <c r="U601" s="184"/>
      <c r="V601" s="184"/>
      <c r="X601" s="184"/>
      <c r="Y601" s="184"/>
      <c r="Z601" s="184"/>
      <c r="AA601" s="184"/>
      <c r="AC601" s="184"/>
      <c r="AD601" s="184"/>
      <c r="AE601" s="184"/>
      <c r="AF601" s="184"/>
      <c r="AG601" s="184"/>
      <c r="AH601" s="184"/>
      <c r="AI601" s="184"/>
      <c r="AR601" s="186"/>
      <c r="AS601" s="187"/>
      <c r="AT601" s="187"/>
      <c r="AU601" s="187"/>
      <c r="AV601" s="246"/>
      <c r="BB601" s="377"/>
      <c r="BC601" s="377"/>
      <c r="BD601" s="377"/>
    </row>
    <row r="602" spans="1:56" s="163" customFormat="1" ht="16.5" customHeight="1">
      <c r="A602" s="247"/>
      <c r="B602" s="244"/>
      <c r="C602" s="245"/>
      <c r="D602" s="245"/>
      <c r="E602" s="183"/>
      <c r="F602" s="183"/>
      <c r="G602" s="183"/>
      <c r="H602" s="184"/>
      <c r="I602" s="184"/>
      <c r="J602" s="184"/>
      <c r="L602" s="184"/>
      <c r="M602" s="184"/>
      <c r="N602" s="184"/>
      <c r="O602" s="184"/>
      <c r="R602" s="185"/>
      <c r="T602" s="184"/>
      <c r="U602" s="184"/>
      <c r="V602" s="184"/>
      <c r="X602" s="184"/>
      <c r="Y602" s="184"/>
      <c r="Z602" s="184"/>
      <c r="AA602" s="184"/>
      <c r="AC602" s="184"/>
      <c r="AD602" s="184"/>
      <c r="AE602" s="184"/>
      <c r="AF602" s="184"/>
      <c r="AG602" s="184"/>
      <c r="AH602" s="184"/>
      <c r="AI602" s="184"/>
      <c r="AR602" s="186"/>
      <c r="AS602" s="187"/>
      <c r="AT602" s="187"/>
      <c r="AU602" s="187"/>
      <c r="AV602" s="246"/>
      <c r="BB602" s="377"/>
      <c r="BC602" s="377"/>
      <c r="BD602" s="377"/>
    </row>
    <row r="603" spans="1:56" s="163" customFormat="1" ht="16.5" customHeight="1">
      <c r="A603" s="247"/>
      <c r="B603" s="244"/>
      <c r="C603" s="245"/>
      <c r="D603" s="245"/>
      <c r="E603" s="183"/>
      <c r="F603" s="183"/>
      <c r="G603" s="183"/>
      <c r="H603" s="184"/>
      <c r="I603" s="184"/>
      <c r="J603" s="184"/>
      <c r="L603" s="184"/>
      <c r="M603" s="184"/>
      <c r="N603" s="184"/>
      <c r="O603" s="184"/>
      <c r="R603" s="185"/>
      <c r="T603" s="184"/>
      <c r="U603" s="184"/>
      <c r="V603" s="184"/>
      <c r="X603" s="184"/>
      <c r="Y603" s="184"/>
      <c r="Z603" s="184"/>
      <c r="AA603" s="184"/>
      <c r="AC603" s="184"/>
      <c r="AD603" s="184"/>
      <c r="AE603" s="184"/>
      <c r="AF603" s="184"/>
      <c r="AG603" s="184"/>
      <c r="AH603" s="184"/>
      <c r="AI603" s="184"/>
      <c r="AR603" s="186"/>
      <c r="AS603" s="187"/>
      <c r="AT603" s="187"/>
      <c r="AU603" s="187"/>
      <c r="AV603" s="246"/>
      <c r="BB603" s="377"/>
      <c r="BC603" s="377"/>
      <c r="BD603" s="377"/>
    </row>
    <row r="604" spans="1:56" s="163" customFormat="1" ht="16.5" customHeight="1">
      <c r="A604" s="247"/>
      <c r="B604" s="244"/>
      <c r="C604" s="245"/>
      <c r="D604" s="245"/>
      <c r="E604" s="183"/>
      <c r="F604" s="183"/>
      <c r="G604" s="183"/>
      <c r="H604" s="184"/>
      <c r="I604" s="184"/>
      <c r="J604" s="184"/>
      <c r="L604" s="184"/>
      <c r="M604" s="184"/>
      <c r="N604" s="184"/>
      <c r="O604" s="184"/>
      <c r="R604" s="185"/>
      <c r="T604" s="184"/>
      <c r="U604" s="184"/>
      <c r="V604" s="184"/>
      <c r="X604" s="184"/>
      <c r="Y604" s="184"/>
      <c r="Z604" s="184"/>
      <c r="AA604" s="184"/>
      <c r="AC604" s="184"/>
      <c r="AD604" s="184"/>
      <c r="AE604" s="184"/>
      <c r="AF604" s="184"/>
      <c r="AG604" s="184"/>
      <c r="AH604" s="184"/>
      <c r="AI604" s="184"/>
      <c r="AR604" s="186"/>
      <c r="AS604" s="187"/>
      <c r="AT604" s="187"/>
      <c r="AU604" s="187"/>
      <c r="AV604" s="246"/>
      <c r="BB604" s="377"/>
      <c r="BC604" s="377"/>
      <c r="BD604" s="377"/>
    </row>
    <row r="605" spans="1:56" s="163" customFormat="1" ht="16.5" customHeight="1">
      <c r="A605" s="247"/>
      <c r="B605" s="244"/>
      <c r="C605" s="245"/>
      <c r="D605" s="245"/>
      <c r="E605" s="183"/>
      <c r="F605" s="183"/>
      <c r="G605" s="183"/>
      <c r="H605" s="184"/>
      <c r="I605" s="184"/>
      <c r="J605" s="184"/>
      <c r="L605" s="184"/>
      <c r="M605" s="184"/>
      <c r="N605" s="184"/>
      <c r="O605" s="184"/>
      <c r="R605" s="185"/>
      <c r="T605" s="184"/>
      <c r="U605" s="184"/>
      <c r="V605" s="184"/>
      <c r="X605" s="184"/>
      <c r="Y605" s="184"/>
      <c r="Z605" s="184"/>
      <c r="AA605" s="184"/>
      <c r="AC605" s="184"/>
      <c r="AD605" s="184"/>
      <c r="AE605" s="184"/>
      <c r="AF605" s="184"/>
      <c r="AG605" s="184"/>
      <c r="AH605" s="184"/>
      <c r="AI605" s="184"/>
      <c r="AR605" s="186"/>
      <c r="AS605" s="187"/>
      <c r="AT605" s="187"/>
      <c r="AU605" s="187"/>
      <c r="AV605" s="246"/>
      <c r="BB605" s="377"/>
      <c r="BC605" s="377"/>
      <c r="BD605" s="377"/>
    </row>
    <row r="606" spans="1:56" s="163" customFormat="1" ht="16.5" customHeight="1">
      <c r="A606" s="247"/>
      <c r="B606" s="244"/>
      <c r="C606" s="245"/>
      <c r="D606" s="245"/>
      <c r="E606" s="183"/>
      <c r="F606" s="183"/>
      <c r="G606" s="183"/>
      <c r="H606" s="184"/>
      <c r="I606" s="184"/>
      <c r="J606" s="184"/>
      <c r="L606" s="184"/>
      <c r="M606" s="184"/>
      <c r="N606" s="184"/>
      <c r="O606" s="184"/>
      <c r="R606" s="185"/>
      <c r="T606" s="184"/>
      <c r="U606" s="184"/>
      <c r="V606" s="184"/>
      <c r="X606" s="184"/>
      <c r="Y606" s="184"/>
      <c r="Z606" s="184"/>
      <c r="AA606" s="184"/>
      <c r="AC606" s="184"/>
      <c r="AD606" s="184"/>
      <c r="AE606" s="184"/>
      <c r="AF606" s="184"/>
      <c r="AG606" s="184"/>
      <c r="AH606" s="184"/>
      <c r="AI606" s="184"/>
      <c r="AR606" s="186"/>
      <c r="AS606" s="187"/>
      <c r="AT606" s="187"/>
      <c r="AU606" s="187"/>
      <c r="AV606" s="246"/>
      <c r="BB606" s="377"/>
      <c r="BC606" s="377"/>
      <c r="BD606" s="377"/>
    </row>
    <row r="607" spans="1:56" s="163" customFormat="1" ht="16.5" customHeight="1">
      <c r="A607" s="247"/>
      <c r="B607" s="244"/>
      <c r="C607" s="245"/>
      <c r="D607" s="245"/>
      <c r="E607" s="183"/>
      <c r="F607" s="183"/>
      <c r="G607" s="183"/>
      <c r="H607" s="184"/>
      <c r="I607" s="184"/>
      <c r="J607" s="184"/>
      <c r="L607" s="184"/>
      <c r="M607" s="184"/>
      <c r="N607" s="184"/>
      <c r="O607" s="184"/>
      <c r="R607" s="185"/>
      <c r="T607" s="184"/>
      <c r="U607" s="184"/>
      <c r="V607" s="184"/>
      <c r="X607" s="184"/>
      <c r="Y607" s="184"/>
      <c r="Z607" s="184"/>
      <c r="AA607" s="184"/>
      <c r="AC607" s="184"/>
      <c r="AD607" s="184"/>
      <c r="AE607" s="184"/>
      <c r="AF607" s="184"/>
      <c r="AG607" s="184"/>
      <c r="AH607" s="184"/>
      <c r="AI607" s="184"/>
      <c r="AR607" s="186"/>
      <c r="AS607" s="187"/>
      <c r="AT607" s="187"/>
      <c r="AU607" s="187"/>
      <c r="AV607" s="246"/>
      <c r="BB607" s="377"/>
      <c r="BC607" s="377"/>
      <c r="BD607" s="377"/>
    </row>
    <row r="608" spans="1:56" s="163" customFormat="1" ht="16.5" customHeight="1">
      <c r="A608" s="247"/>
      <c r="B608" s="244"/>
      <c r="C608" s="245"/>
      <c r="D608" s="245"/>
      <c r="E608" s="183"/>
      <c r="F608" s="183"/>
      <c r="G608" s="183"/>
      <c r="H608" s="184"/>
      <c r="I608" s="184"/>
      <c r="J608" s="184"/>
      <c r="L608" s="184"/>
      <c r="M608" s="184"/>
      <c r="N608" s="184"/>
      <c r="O608" s="184"/>
      <c r="R608" s="185"/>
      <c r="T608" s="184"/>
      <c r="U608" s="184"/>
      <c r="V608" s="184"/>
      <c r="X608" s="184"/>
      <c r="Y608" s="184"/>
      <c r="Z608" s="184"/>
      <c r="AA608" s="184"/>
      <c r="AC608" s="184"/>
      <c r="AD608" s="184"/>
      <c r="AE608" s="184"/>
      <c r="AF608" s="184"/>
      <c r="AG608" s="184"/>
      <c r="AH608" s="184"/>
      <c r="AI608" s="184"/>
      <c r="AR608" s="186"/>
      <c r="AS608" s="187"/>
      <c r="AT608" s="187"/>
      <c r="AU608" s="187"/>
      <c r="AV608" s="246"/>
      <c r="BB608" s="377"/>
      <c r="BC608" s="377"/>
      <c r="BD608" s="377"/>
    </row>
    <row r="609" spans="1:56" s="163" customFormat="1" ht="16.5" customHeight="1">
      <c r="A609" s="247"/>
      <c r="B609" s="244"/>
      <c r="C609" s="245"/>
      <c r="D609" s="245"/>
      <c r="E609" s="183"/>
      <c r="F609" s="183"/>
      <c r="G609" s="183"/>
      <c r="H609" s="184"/>
      <c r="I609" s="184"/>
      <c r="J609" s="184"/>
      <c r="L609" s="184"/>
      <c r="M609" s="184"/>
      <c r="N609" s="184"/>
      <c r="O609" s="184"/>
      <c r="R609" s="185"/>
      <c r="T609" s="184"/>
      <c r="U609" s="184"/>
      <c r="V609" s="184"/>
      <c r="X609" s="184"/>
      <c r="Y609" s="184"/>
      <c r="Z609" s="184"/>
      <c r="AA609" s="184"/>
      <c r="AC609" s="184"/>
      <c r="AD609" s="184"/>
      <c r="AE609" s="184"/>
      <c r="AF609" s="184"/>
      <c r="AG609" s="184"/>
      <c r="AH609" s="184"/>
      <c r="AI609" s="184"/>
      <c r="AR609" s="186"/>
      <c r="AS609" s="187"/>
      <c r="AT609" s="187"/>
      <c r="AU609" s="187"/>
      <c r="AV609" s="246"/>
      <c r="BB609" s="377"/>
      <c r="BC609" s="377"/>
      <c r="BD609" s="377"/>
    </row>
    <row r="610" spans="1:56" s="163" customFormat="1" ht="16.5" customHeight="1">
      <c r="A610" s="247"/>
      <c r="B610" s="244"/>
      <c r="C610" s="245"/>
      <c r="D610" s="245"/>
      <c r="E610" s="183"/>
      <c r="F610" s="183"/>
      <c r="G610" s="183"/>
      <c r="H610" s="184"/>
      <c r="I610" s="184"/>
      <c r="J610" s="184"/>
      <c r="L610" s="184"/>
      <c r="M610" s="184"/>
      <c r="N610" s="184"/>
      <c r="O610" s="184"/>
      <c r="R610" s="185"/>
      <c r="T610" s="184"/>
      <c r="U610" s="184"/>
      <c r="V610" s="184"/>
      <c r="X610" s="184"/>
      <c r="Y610" s="184"/>
      <c r="Z610" s="184"/>
      <c r="AA610" s="184"/>
      <c r="AC610" s="184"/>
      <c r="AD610" s="184"/>
      <c r="AE610" s="184"/>
      <c r="AF610" s="184"/>
      <c r="AG610" s="184"/>
      <c r="AH610" s="184"/>
      <c r="AI610" s="184"/>
      <c r="AR610" s="186"/>
      <c r="AS610" s="187"/>
      <c r="AT610" s="187"/>
      <c r="AU610" s="187"/>
      <c r="AV610" s="246"/>
      <c r="BB610" s="377"/>
      <c r="BC610" s="377"/>
      <c r="BD610" s="377"/>
    </row>
    <row r="611" spans="1:56" s="163" customFormat="1" ht="16.5" customHeight="1">
      <c r="A611" s="247"/>
      <c r="B611" s="244"/>
      <c r="C611" s="245"/>
      <c r="D611" s="245"/>
      <c r="E611" s="183"/>
      <c r="F611" s="183"/>
      <c r="G611" s="183"/>
      <c r="H611" s="184"/>
      <c r="I611" s="184"/>
      <c r="J611" s="184"/>
      <c r="L611" s="184"/>
      <c r="M611" s="184"/>
      <c r="N611" s="184"/>
      <c r="O611" s="184"/>
      <c r="R611" s="185"/>
      <c r="T611" s="184"/>
      <c r="U611" s="184"/>
      <c r="V611" s="184"/>
      <c r="X611" s="184"/>
      <c r="Y611" s="184"/>
      <c r="Z611" s="184"/>
      <c r="AA611" s="184"/>
      <c r="AC611" s="184"/>
      <c r="AD611" s="184"/>
      <c r="AE611" s="184"/>
      <c r="AF611" s="184"/>
      <c r="AG611" s="184"/>
      <c r="AH611" s="184"/>
      <c r="AI611" s="184"/>
      <c r="AR611" s="186"/>
      <c r="AS611" s="187"/>
      <c r="AT611" s="187"/>
      <c r="AU611" s="187"/>
      <c r="AV611" s="246"/>
      <c r="BB611" s="377"/>
      <c r="BC611" s="377"/>
      <c r="BD611" s="377"/>
    </row>
    <row r="612" spans="1:56" s="163" customFormat="1" ht="16.5" customHeight="1">
      <c r="A612" s="247"/>
      <c r="B612" s="244"/>
      <c r="C612" s="245"/>
      <c r="D612" s="245"/>
      <c r="E612" s="183"/>
      <c r="F612" s="183"/>
      <c r="G612" s="183"/>
      <c r="H612" s="184"/>
      <c r="I612" s="184"/>
      <c r="J612" s="184"/>
      <c r="L612" s="184"/>
      <c r="M612" s="184"/>
      <c r="N612" s="184"/>
      <c r="O612" s="184"/>
      <c r="R612" s="185"/>
      <c r="T612" s="184"/>
      <c r="U612" s="184"/>
      <c r="V612" s="184"/>
      <c r="X612" s="184"/>
      <c r="Y612" s="184"/>
      <c r="Z612" s="184"/>
      <c r="AA612" s="184"/>
      <c r="AC612" s="184"/>
      <c r="AD612" s="184"/>
      <c r="AE612" s="184"/>
      <c r="AF612" s="184"/>
      <c r="AG612" s="184"/>
      <c r="AH612" s="184"/>
      <c r="AI612" s="184"/>
      <c r="AR612" s="186"/>
      <c r="AS612" s="187"/>
      <c r="AT612" s="187"/>
      <c r="AU612" s="187"/>
      <c r="AV612" s="246"/>
      <c r="BB612" s="377"/>
      <c r="BC612" s="377"/>
      <c r="BD612" s="377"/>
    </row>
    <row r="613" spans="1:56" s="163" customFormat="1" ht="16.5" customHeight="1">
      <c r="A613" s="247"/>
      <c r="B613" s="244"/>
      <c r="C613" s="245"/>
      <c r="D613" s="245"/>
      <c r="E613" s="183"/>
      <c r="F613" s="183"/>
      <c r="G613" s="183"/>
      <c r="H613" s="184"/>
      <c r="I613" s="184"/>
      <c r="J613" s="184"/>
      <c r="L613" s="184"/>
      <c r="M613" s="184"/>
      <c r="N613" s="184"/>
      <c r="O613" s="184"/>
      <c r="R613" s="185"/>
      <c r="T613" s="184"/>
      <c r="U613" s="184"/>
      <c r="V613" s="184"/>
      <c r="X613" s="184"/>
      <c r="Y613" s="184"/>
      <c r="Z613" s="184"/>
      <c r="AA613" s="184"/>
      <c r="AC613" s="184"/>
      <c r="AD613" s="184"/>
      <c r="AE613" s="184"/>
      <c r="AF613" s="184"/>
      <c r="AG613" s="184"/>
      <c r="AH613" s="184"/>
      <c r="AI613" s="184"/>
      <c r="AR613" s="186"/>
      <c r="AS613" s="187"/>
      <c r="AT613" s="187"/>
      <c r="AU613" s="187"/>
      <c r="AV613" s="246"/>
      <c r="BB613" s="377"/>
      <c r="BC613" s="377"/>
      <c r="BD613" s="377"/>
    </row>
    <row r="614" spans="1:56" s="163" customFormat="1" ht="16.5" customHeight="1">
      <c r="A614" s="247"/>
      <c r="B614" s="244"/>
      <c r="C614" s="245"/>
      <c r="D614" s="245"/>
      <c r="E614" s="183"/>
      <c r="F614" s="183"/>
      <c r="G614" s="183"/>
      <c r="H614" s="184"/>
      <c r="I614" s="184"/>
      <c r="J614" s="184"/>
      <c r="L614" s="184"/>
      <c r="M614" s="184"/>
      <c r="N614" s="184"/>
      <c r="O614" s="184"/>
      <c r="R614" s="185"/>
      <c r="T614" s="184"/>
      <c r="U614" s="184"/>
      <c r="V614" s="184"/>
      <c r="X614" s="184"/>
      <c r="Y614" s="184"/>
      <c r="Z614" s="184"/>
      <c r="AA614" s="184"/>
      <c r="AC614" s="184"/>
      <c r="AD614" s="184"/>
      <c r="AE614" s="184"/>
      <c r="AF614" s="184"/>
      <c r="AG614" s="184"/>
      <c r="AH614" s="184"/>
      <c r="AI614" s="184"/>
      <c r="AR614" s="186"/>
      <c r="AS614" s="187"/>
      <c r="AT614" s="187"/>
      <c r="AU614" s="187"/>
      <c r="AV614" s="246"/>
      <c r="BB614" s="377"/>
      <c r="BC614" s="377"/>
      <c r="BD614" s="377"/>
    </row>
    <row r="615" spans="1:56" s="163" customFormat="1" ht="16.5" customHeight="1">
      <c r="A615" s="247"/>
      <c r="B615" s="244"/>
      <c r="C615" s="245"/>
      <c r="D615" s="245"/>
      <c r="E615" s="183"/>
      <c r="F615" s="183"/>
      <c r="G615" s="183"/>
      <c r="H615" s="184"/>
      <c r="I615" s="184"/>
      <c r="J615" s="184"/>
      <c r="L615" s="184"/>
      <c r="M615" s="184"/>
      <c r="N615" s="184"/>
      <c r="O615" s="184"/>
      <c r="R615" s="185"/>
      <c r="T615" s="184"/>
      <c r="U615" s="184"/>
      <c r="V615" s="184"/>
      <c r="X615" s="184"/>
      <c r="Y615" s="184"/>
      <c r="Z615" s="184"/>
      <c r="AA615" s="184"/>
      <c r="AC615" s="184"/>
      <c r="AD615" s="184"/>
      <c r="AE615" s="184"/>
      <c r="AF615" s="184"/>
      <c r="AG615" s="184"/>
      <c r="AH615" s="184"/>
      <c r="AI615" s="184"/>
      <c r="AR615" s="186"/>
      <c r="AS615" s="187"/>
      <c r="AT615" s="187"/>
      <c r="AU615" s="187"/>
      <c r="AV615" s="246"/>
      <c r="BB615" s="377"/>
      <c r="BC615" s="377"/>
      <c r="BD615" s="377"/>
    </row>
    <row r="616" spans="1:56" s="163" customFormat="1" ht="16.5" customHeight="1">
      <c r="A616" s="247"/>
      <c r="B616" s="244"/>
      <c r="C616" s="245"/>
      <c r="D616" s="245"/>
      <c r="E616" s="183"/>
      <c r="F616" s="183"/>
      <c r="G616" s="183"/>
      <c r="H616" s="184"/>
      <c r="I616" s="184"/>
      <c r="J616" s="184"/>
      <c r="L616" s="184"/>
      <c r="M616" s="184"/>
      <c r="N616" s="184"/>
      <c r="O616" s="184"/>
      <c r="R616" s="185"/>
      <c r="T616" s="184"/>
      <c r="U616" s="184"/>
      <c r="V616" s="184"/>
      <c r="X616" s="184"/>
      <c r="Y616" s="184"/>
      <c r="Z616" s="184"/>
      <c r="AA616" s="184"/>
      <c r="AC616" s="184"/>
      <c r="AD616" s="184"/>
      <c r="AE616" s="184"/>
      <c r="AF616" s="184"/>
      <c r="AG616" s="184"/>
      <c r="AH616" s="184"/>
      <c r="AI616" s="184"/>
      <c r="AR616" s="186"/>
      <c r="AS616" s="187"/>
      <c r="AT616" s="187"/>
      <c r="AU616" s="187"/>
      <c r="AV616" s="246"/>
      <c r="BB616" s="377"/>
      <c r="BC616" s="377"/>
      <c r="BD616" s="377"/>
    </row>
    <row r="617" spans="1:56" s="163" customFormat="1" ht="16.5" customHeight="1">
      <c r="A617" s="247"/>
      <c r="B617" s="244"/>
      <c r="C617" s="245"/>
      <c r="D617" s="245"/>
      <c r="E617" s="183"/>
      <c r="F617" s="183"/>
      <c r="G617" s="183"/>
      <c r="H617" s="184"/>
      <c r="I617" s="184"/>
      <c r="J617" s="184"/>
      <c r="L617" s="184"/>
      <c r="M617" s="184"/>
      <c r="N617" s="184"/>
      <c r="O617" s="184"/>
      <c r="R617" s="185"/>
      <c r="T617" s="184"/>
      <c r="U617" s="184"/>
      <c r="V617" s="184"/>
      <c r="X617" s="184"/>
      <c r="Y617" s="184"/>
      <c r="Z617" s="184"/>
      <c r="AA617" s="184"/>
      <c r="AC617" s="184"/>
      <c r="AD617" s="184"/>
      <c r="AE617" s="184"/>
      <c r="AF617" s="184"/>
      <c r="AG617" s="184"/>
      <c r="AH617" s="184"/>
      <c r="AI617" s="184"/>
      <c r="AR617" s="186"/>
      <c r="AS617" s="187"/>
      <c r="AT617" s="187"/>
      <c r="AU617" s="187"/>
      <c r="AV617" s="246"/>
      <c r="BB617" s="377"/>
      <c r="BC617" s="377"/>
      <c r="BD617" s="377"/>
    </row>
    <row r="618" spans="1:56" s="163" customFormat="1" ht="16.5" customHeight="1">
      <c r="A618" s="247"/>
      <c r="B618" s="244"/>
      <c r="C618" s="245"/>
      <c r="D618" s="245"/>
      <c r="E618" s="183"/>
      <c r="F618" s="183"/>
      <c r="G618" s="183"/>
      <c r="H618" s="184"/>
      <c r="I618" s="184"/>
      <c r="J618" s="184"/>
      <c r="L618" s="184"/>
      <c r="M618" s="184"/>
      <c r="N618" s="184"/>
      <c r="O618" s="184"/>
      <c r="R618" s="185"/>
      <c r="T618" s="184"/>
      <c r="U618" s="184"/>
      <c r="V618" s="184"/>
      <c r="X618" s="184"/>
      <c r="Y618" s="184"/>
      <c r="Z618" s="184"/>
      <c r="AA618" s="184"/>
      <c r="AC618" s="184"/>
      <c r="AD618" s="184"/>
      <c r="AE618" s="184"/>
      <c r="AF618" s="184"/>
      <c r="AG618" s="184"/>
      <c r="AH618" s="184"/>
      <c r="AI618" s="184"/>
      <c r="AR618" s="186"/>
      <c r="AS618" s="187"/>
      <c r="AT618" s="187"/>
      <c r="AU618" s="187"/>
      <c r="AV618" s="246"/>
      <c r="BB618" s="377"/>
      <c r="BC618" s="377"/>
      <c r="BD618" s="377"/>
    </row>
    <row r="619" spans="1:56" s="163" customFormat="1" ht="16.5" customHeight="1">
      <c r="A619" s="247"/>
      <c r="B619" s="244"/>
      <c r="C619" s="245"/>
      <c r="D619" s="245"/>
      <c r="E619" s="183"/>
      <c r="F619" s="183"/>
      <c r="G619" s="183"/>
      <c r="H619" s="184"/>
      <c r="I619" s="184"/>
      <c r="J619" s="184"/>
      <c r="L619" s="184"/>
      <c r="M619" s="184"/>
      <c r="N619" s="184"/>
      <c r="O619" s="184"/>
      <c r="R619" s="185"/>
      <c r="T619" s="184"/>
      <c r="U619" s="184"/>
      <c r="V619" s="184"/>
      <c r="X619" s="184"/>
      <c r="Y619" s="184"/>
      <c r="Z619" s="184"/>
      <c r="AA619" s="184"/>
      <c r="AC619" s="184"/>
      <c r="AD619" s="184"/>
      <c r="AE619" s="184"/>
      <c r="AF619" s="184"/>
      <c r="AG619" s="184"/>
      <c r="AH619" s="184"/>
      <c r="AI619" s="184"/>
      <c r="AR619" s="186"/>
      <c r="AS619" s="187"/>
      <c r="AT619" s="187"/>
      <c r="AU619" s="187"/>
      <c r="AV619" s="246"/>
      <c r="BB619" s="377"/>
      <c r="BC619" s="377"/>
      <c r="BD619" s="377"/>
    </row>
    <row r="620" spans="1:56" s="163" customFormat="1" ht="16.5" customHeight="1">
      <c r="A620" s="247"/>
      <c r="B620" s="244"/>
      <c r="C620" s="245"/>
      <c r="D620" s="245"/>
      <c r="E620" s="183"/>
      <c r="F620" s="183"/>
      <c r="G620" s="183"/>
      <c r="H620" s="184"/>
      <c r="I620" s="184"/>
      <c r="J620" s="184"/>
      <c r="L620" s="184"/>
      <c r="M620" s="184"/>
      <c r="N620" s="184"/>
      <c r="O620" s="184"/>
      <c r="R620" s="185"/>
      <c r="T620" s="184"/>
      <c r="U620" s="184"/>
      <c r="V620" s="184"/>
      <c r="X620" s="184"/>
      <c r="Y620" s="184"/>
      <c r="Z620" s="184"/>
      <c r="AA620" s="184"/>
      <c r="AC620" s="184"/>
      <c r="AD620" s="184"/>
      <c r="AE620" s="184"/>
      <c r="AF620" s="184"/>
      <c r="AG620" s="184"/>
      <c r="AH620" s="184"/>
      <c r="AI620" s="184"/>
      <c r="AR620" s="186"/>
      <c r="AS620" s="187"/>
      <c r="AT620" s="187"/>
      <c r="AU620" s="187"/>
      <c r="AV620" s="246"/>
      <c r="BB620" s="377"/>
      <c r="BC620" s="377"/>
      <c r="BD620" s="377"/>
    </row>
    <row r="621" spans="1:56" s="163" customFormat="1" ht="16.5" customHeight="1">
      <c r="A621" s="247"/>
      <c r="B621" s="244"/>
      <c r="C621" s="245"/>
      <c r="D621" s="245"/>
      <c r="E621" s="183"/>
      <c r="F621" s="183"/>
      <c r="G621" s="183"/>
      <c r="H621" s="184"/>
      <c r="I621" s="184"/>
      <c r="J621" s="184"/>
      <c r="L621" s="184"/>
      <c r="M621" s="184"/>
      <c r="N621" s="184"/>
      <c r="O621" s="184"/>
      <c r="R621" s="185"/>
      <c r="T621" s="184"/>
      <c r="U621" s="184"/>
      <c r="V621" s="184"/>
      <c r="X621" s="184"/>
      <c r="Y621" s="184"/>
      <c r="Z621" s="184"/>
      <c r="AA621" s="184"/>
      <c r="AC621" s="184"/>
      <c r="AD621" s="184"/>
      <c r="AE621" s="184"/>
      <c r="AF621" s="184"/>
      <c r="AG621" s="184"/>
      <c r="AH621" s="184"/>
      <c r="AI621" s="184"/>
      <c r="AR621" s="186"/>
      <c r="AS621" s="187"/>
      <c r="AT621" s="187"/>
      <c r="AU621" s="187"/>
      <c r="AV621" s="246"/>
      <c r="BB621" s="377"/>
      <c r="BC621" s="377"/>
      <c r="BD621" s="377"/>
    </row>
    <row r="622" spans="1:56" s="163" customFormat="1" ht="16.5" customHeight="1">
      <c r="A622" s="247"/>
      <c r="B622" s="244"/>
      <c r="C622" s="245"/>
      <c r="D622" s="245"/>
      <c r="E622" s="183"/>
      <c r="F622" s="183"/>
      <c r="G622" s="183"/>
      <c r="H622" s="184"/>
      <c r="I622" s="184"/>
      <c r="J622" s="184"/>
      <c r="L622" s="184"/>
      <c r="M622" s="184"/>
      <c r="N622" s="184"/>
      <c r="O622" s="184"/>
      <c r="R622" s="185"/>
      <c r="T622" s="184"/>
      <c r="U622" s="184"/>
      <c r="V622" s="184"/>
      <c r="X622" s="184"/>
      <c r="Y622" s="184"/>
      <c r="Z622" s="184"/>
      <c r="AA622" s="184"/>
      <c r="AC622" s="184"/>
      <c r="AD622" s="184"/>
      <c r="AE622" s="184"/>
      <c r="AF622" s="184"/>
      <c r="AG622" s="184"/>
      <c r="AH622" s="184"/>
      <c r="AI622" s="184"/>
      <c r="AR622" s="186"/>
      <c r="AS622" s="187"/>
      <c r="AT622" s="187"/>
      <c r="AU622" s="187"/>
      <c r="AV622" s="246"/>
      <c r="BB622" s="377"/>
      <c r="BC622" s="377"/>
      <c r="BD622" s="377"/>
    </row>
    <row r="623" spans="1:56" s="163" customFormat="1" ht="16.5" customHeight="1">
      <c r="A623" s="247"/>
      <c r="B623" s="244"/>
      <c r="C623" s="245"/>
      <c r="D623" s="245"/>
      <c r="E623" s="183"/>
      <c r="F623" s="183"/>
      <c r="G623" s="183"/>
      <c r="H623" s="184"/>
      <c r="I623" s="184"/>
      <c r="J623" s="184"/>
      <c r="L623" s="184"/>
      <c r="M623" s="184"/>
      <c r="N623" s="184"/>
      <c r="O623" s="184"/>
      <c r="R623" s="185"/>
      <c r="T623" s="184"/>
      <c r="U623" s="184"/>
      <c r="V623" s="184"/>
      <c r="X623" s="184"/>
      <c r="Y623" s="184"/>
      <c r="Z623" s="184"/>
      <c r="AA623" s="184"/>
      <c r="AC623" s="184"/>
      <c r="AD623" s="184"/>
      <c r="AE623" s="184"/>
      <c r="AF623" s="184"/>
      <c r="AG623" s="184"/>
      <c r="AH623" s="184"/>
      <c r="AI623" s="184"/>
      <c r="AR623" s="186"/>
      <c r="AS623" s="187"/>
      <c r="AT623" s="187"/>
      <c r="AU623" s="187"/>
      <c r="AV623" s="246"/>
      <c r="BB623" s="377"/>
      <c r="BC623" s="377"/>
      <c r="BD623" s="377"/>
    </row>
    <row r="624" spans="1:56" s="163" customFormat="1" ht="16.5" customHeight="1">
      <c r="A624" s="247"/>
      <c r="B624" s="244"/>
      <c r="C624" s="245"/>
      <c r="D624" s="245"/>
      <c r="E624" s="183"/>
      <c r="F624" s="183"/>
      <c r="G624" s="183"/>
      <c r="H624" s="184"/>
      <c r="I624" s="184"/>
      <c r="J624" s="184"/>
      <c r="L624" s="184"/>
      <c r="M624" s="184"/>
      <c r="N624" s="184"/>
      <c r="O624" s="184"/>
      <c r="R624" s="185"/>
      <c r="T624" s="184"/>
      <c r="U624" s="184"/>
      <c r="V624" s="184"/>
      <c r="X624" s="184"/>
      <c r="Y624" s="184"/>
      <c r="Z624" s="184"/>
      <c r="AA624" s="184"/>
      <c r="AC624" s="184"/>
      <c r="AD624" s="184"/>
      <c r="AE624" s="184"/>
      <c r="AF624" s="184"/>
      <c r="AG624" s="184"/>
      <c r="AH624" s="184"/>
      <c r="AI624" s="184"/>
      <c r="AR624" s="186"/>
      <c r="AS624" s="187"/>
      <c r="AT624" s="187"/>
      <c r="AU624" s="187"/>
      <c r="AV624" s="246"/>
      <c r="BB624" s="377"/>
      <c r="BC624" s="377"/>
      <c r="BD624" s="377"/>
    </row>
    <row r="625" spans="1:56" s="163" customFormat="1" ht="16.5" customHeight="1">
      <c r="A625" s="247"/>
      <c r="B625" s="244"/>
      <c r="C625" s="245"/>
      <c r="D625" s="245"/>
      <c r="E625" s="183"/>
      <c r="F625" s="183"/>
      <c r="G625" s="183"/>
      <c r="H625" s="184"/>
      <c r="I625" s="184"/>
      <c r="J625" s="184"/>
      <c r="L625" s="184"/>
      <c r="M625" s="184"/>
      <c r="N625" s="184"/>
      <c r="O625" s="184"/>
      <c r="R625" s="185"/>
      <c r="T625" s="184"/>
      <c r="U625" s="184"/>
      <c r="V625" s="184"/>
      <c r="X625" s="184"/>
      <c r="Y625" s="184"/>
      <c r="Z625" s="184"/>
      <c r="AA625" s="184"/>
      <c r="AC625" s="184"/>
      <c r="AD625" s="184"/>
      <c r="AE625" s="184"/>
      <c r="AF625" s="184"/>
      <c r="AG625" s="184"/>
      <c r="AH625" s="184"/>
      <c r="AI625" s="184"/>
      <c r="AR625" s="186"/>
      <c r="AS625" s="187"/>
      <c r="AT625" s="187"/>
      <c r="AU625" s="187"/>
      <c r="AV625" s="246"/>
      <c r="BB625" s="377"/>
      <c r="BC625" s="377"/>
      <c r="BD625" s="377"/>
    </row>
    <row r="626" spans="1:56" s="163" customFormat="1" ht="16.5" customHeight="1">
      <c r="A626" s="247"/>
      <c r="B626" s="244"/>
      <c r="C626" s="245"/>
      <c r="D626" s="245"/>
      <c r="E626" s="183"/>
      <c r="F626" s="183"/>
      <c r="G626" s="183"/>
      <c r="H626" s="184"/>
      <c r="I626" s="184"/>
      <c r="J626" s="184"/>
      <c r="L626" s="184"/>
      <c r="M626" s="184"/>
      <c r="N626" s="184"/>
      <c r="O626" s="184"/>
      <c r="R626" s="185"/>
      <c r="T626" s="184"/>
      <c r="U626" s="184"/>
      <c r="V626" s="184"/>
      <c r="X626" s="184"/>
      <c r="Y626" s="184"/>
      <c r="Z626" s="184"/>
      <c r="AA626" s="184"/>
      <c r="AC626" s="184"/>
      <c r="AD626" s="184"/>
      <c r="AE626" s="184"/>
      <c r="AF626" s="184"/>
      <c r="AG626" s="184"/>
      <c r="AH626" s="184"/>
      <c r="AI626" s="184"/>
      <c r="AR626" s="186"/>
      <c r="AS626" s="187"/>
      <c r="AT626" s="187"/>
      <c r="AU626" s="187"/>
      <c r="AV626" s="246"/>
      <c r="BB626" s="377"/>
      <c r="BC626" s="377"/>
      <c r="BD626" s="377"/>
    </row>
    <row r="627" spans="1:56" s="163" customFormat="1" ht="16.5" customHeight="1">
      <c r="A627" s="247"/>
      <c r="B627" s="244"/>
      <c r="C627" s="245"/>
      <c r="D627" s="245"/>
      <c r="E627" s="183"/>
      <c r="F627" s="183"/>
      <c r="G627" s="183"/>
      <c r="H627" s="184"/>
      <c r="I627" s="184"/>
      <c r="J627" s="184"/>
      <c r="L627" s="184"/>
      <c r="M627" s="184"/>
      <c r="N627" s="184"/>
      <c r="O627" s="184"/>
      <c r="R627" s="185"/>
      <c r="T627" s="184"/>
      <c r="U627" s="184"/>
      <c r="V627" s="184"/>
      <c r="X627" s="184"/>
      <c r="Y627" s="184"/>
      <c r="Z627" s="184"/>
      <c r="AA627" s="184"/>
      <c r="AC627" s="184"/>
      <c r="AD627" s="184"/>
      <c r="AE627" s="184"/>
      <c r="AF627" s="184"/>
      <c r="AG627" s="184"/>
      <c r="AH627" s="184"/>
      <c r="AI627" s="184"/>
      <c r="AR627" s="186"/>
      <c r="AS627" s="187"/>
      <c r="AT627" s="187"/>
      <c r="AU627" s="187"/>
      <c r="AV627" s="246"/>
      <c r="BB627" s="377"/>
      <c r="BC627" s="377"/>
      <c r="BD627" s="377"/>
    </row>
    <row r="628" spans="1:56" s="163" customFormat="1" ht="16.5" customHeight="1">
      <c r="A628" s="247"/>
      <c r="B628" s="244"/>
      <c r="C628" s="245"/>
      <c r="D628" s="245"/>
      <c r="E628" s="183"/>
      <c r="F628" s="183"/>
      <c r="G628" s="183"/>
      <c r="H628" s="184"/>
      <c r="I628" s="184"/>
      <c r="J628" s="184"/>
      <c r="L628" s="184"/>
      <c r="M628" s="184"/>
      <c r="N628" s="184"/>
      <c r="O628" s="184"/>
      <c r="R628" s="185"/>
      <c r="T628" s="184"/>
      <c r="U628" s="184"/>
      <c r="V628" s="184"/>
      <c r="X628" s="184"/>
      <c r="Y628" s="184"/>
      <c r="Z628" s="184"/>
      <c r="AA628" s="184"/>
      <c r="AC628" s="184"/>
      <c r="AD628" s="184"/>
      <c r="AE628" s="184"/>
      <c r="AF628" s="184"/>
      <c r="AG628" s="184"/>
      <c r="AH628" s="184"/>
      <c r="AI628" s="184"/>
      <c r="AR628" s="186"/>
      <c r="AS628" s="187"/>
      <c r="AT628" s="187"/>
      <c r="AU628" s="187"/>
      <c r="AV628" s="246"/>
      <c r="BB628" s="377"/>
      <c r="BC628" s="377"/>
      <c r="BD628" s="377"/>
    </row>
    <row r="629" spans="1:56" s="163" customFormat="1" ht="16.5" customHeight="1">
      <c r="A629" s="247"/>
      <c r="B629" s="244"/>
      <c r="C629" s="245"/>
      <c r="D629" s="245"/>
      <c r="E629" s="183"/>
      <c r="F629" s="183"/>
      <c r="G629" s="183"/>
      <c r="H629" s="184"/>
      <c r="I629" s="184"/>
      <c r="J629" s="184"/>
      <c r="L629" s="184"/>
      <c r="M629" s="184"/>
      <c r="N629" s="184"/>
      <c r="O629" s="184"/>
      <c r="R629" s="185"/>
      <c r="T629" s="184"/>
      <c r="U629" s="184"/>
      <c r="V629" s="184"/>
      <c r="X629" s="184"/>
      <c r="Y629" s="184"/>
      <c r="Z629" s="184"/>
      <c r="AA629" s="184"/>
      <c r="AC629" s="184"/>
      <c r="AD629" s="184"/>
      <c r="AE629" s="184"/>
      <c r="AF629" s="184"/>
      <c r="AG629" s="184"/>
      <c r="AH629" s="184"/>
      <c r="AI629" s="184"/>
      <c r="AR629" s="186"/>
      <c r="AS629" s="187"/>
      <c r="AT629" s="187"/>
      <c r="AU629" s="187"/>
      <c r="AV629" s="246"/>
      <c r="BB629" s="377"/>
      <c r="BC629" s="377"/>
      <c r="BD629" s="377"/>
    </row>
    <row r="630" spans="1:56" s="163" customFormat="1" ht="16.5" customHeight="1">
      <c r="A630" s="247"/>
      <c r="B630" s="244"/>
      <c r="C630" s="245"/>
      <c r="D630" s="245"/>
      <c r="E630" s="183"/>
      <c r="F630" s="183"/>
      <c r="G630" s="183"/>
      <c r="H630" s="184"/>
      <c r="I630" s="184"/>
      <c r="J630" s="184"/>
      <c r="L630" s="184"/>
      <c r="M630" s="184"/>
      <c r="N630" s="184"/>
      <c r="O630" s="184"/>
      <c r="R630" s="185"/>
      <c r="T630" s="184"/>
      <c r="U630" s="184"/>
      <c r="V630" s="184"/>
      <c r="X630" s="184"/>
      <c r="Y630" s="184"/>
      <c r="Z630" s="184"/>
      <c r="AA630" s="184"/>
      <c r="AC630" s="184"/>
      <c r="AD630" s="184"/>
      <c r="AE630" s="184"/>
      <c r="AF630" s="184"/>
      <c r="AG630" s="184"/>
      <c r="AH630" s="184"/>
      <c r="AI630" s="184"/>
      <c r="AR630" s="186"/>
      <c r="AS630" s="187"/>
      <c r="AT630" s="187"/>
      <c r="AU630" s="187"/>
      <c r="AV630" s="246"/>
      <c r="BB630" s="377"/>
      <c r="BC630" s="377"/>
      <c r="BD630" s="377"/>
    </row>
    <row r="631" spans="1:56" s="163" customFormat="1" ht="16.5" customHeight="1">
      <c r="A631" s="247"/>
      <c r="B631" s="244"/>
      <c r="C631" s="245"/>
      <c r="D631" s="245"/>
      <c r="E631" s="183"/>
      <c r="F631" s="183"/>
      <c r="G631" s="183"/>
      <c r="H631" s="184"/>
      <c r="I631" s="184"/>
      <c r="J631" s="184"/>
      <c r="L631" s="184"/>
      <c r="M631" s="184"/>
      <c r="N631" s="184"/>
      <c r="O631" s="184"/>
      <c r="R631" s="185"/>
      <c r="T631" s="184"/>
      <c r="U631" s="184"/>
      <c r="V631" s="184"/>
      <c r="X631" s="184"/>
      <c r="Y631" s="184"/>
      <c r="Z631" s="184"/>
      <c r="AA631" s="184"/>
      <c r="AC631" s="184"/>
      <c r="AD631" s="184"/>
      <c r="AE631" s="184"/>
      <c r="AF631" s="184"/>
      <c r="AG631" s="184"/>
      <c r="AH631" s="184"/>
      <c r="AI631" s="184"/>
      <c r="AR631" s="186"/>
      <c r="AS631" s="187"/>
      <c r="AT631" s="187"/>
      <c r="AU631" s="187"/>
      <c r="AV631" s="246"/>
      <c r="BB631" s="377"/>
      <c r="BC631" s="377"/>
      <c r="BD631" s="377"/>
    </row>
    <row r="632" spans="1:56" s="163" customFormat="1" ht="16.5" customHeight="1">
      <c r="A632" s="247"/>
      <c r="B632" s="244"/>
      <c r="C632" s="245"/>
      <c r="D632" s="245"/>
      <c r="E632" s="183"/>
      <c r="F632" s="183"/>
      <c r="G632" s="183"/>
      <c r="H632" s="184"/>
      <c r="I632" s="184"/>
      <c r="J632" s="184"/>
      <c r="L632" s="184"/>
      <c r="M632" s="184"/>
      <c r="N632" s="184"/>
      <c r="O632" s="184"/>
      <c r="R632" s="185"/>
      <c r="T632" s="184"/>
      <c r="U632" s="184"/>
      <c r="V632" s="184"/>
      <c r="X632" s="184"/>
      <c r="Y632" s="184"/>
      <c r="Z632" s="184"/>
      <c r="AA632" s="184"/>
      <c r="AC632" s="184"/>
      <c r="AD632" s="184"/>
      <c r="AE632" s="184"/>
      <c r="AF632" s="184"/>
      <c r="AG632" s="184"/>
      <c r="AH632" s="184"/>
      <c r="AI632" s="184"/>
      <c r="AR632" s="186"/>
      <c r="AS632" s="187"/>
      <c r="AT632" s="187"/>
      <c r="AU632" s="187"/>
      <c r="AV632" s="246"/>
      <c r="BB632" s="377"/>
      <c r="BC632" s="377"/>
      <c r="BD632" s="377"/>
    </row>
    <row r="633" spans="1:56" s="163" customFormat="1" ht="16.5" customHeight="1">
      <c r="A633" s="247"/>
      <c r="B633" s="244"/>
      <c r="C633" s="245"/>
      <c r="D633" s="245"/>
      <c r="E633" s="183"/>
      <c r="F633" s="183"/>
      <c r="G633" s="183"/>
      <c r="H633" s="184"/>
      <c r="I633" s="184"/>
      <c r="J633" s="184"/>
      <c r="L633" s="184"/>
      <c r="M633" s="184"/>
      <c r="N633" s="184"/>
      <c r="O633" s="184"/>
      <c r="R633" s="185"/>
      <c r="T633" s="184"/>
      <c r="U633" s="184"/>
      <c r="V633" s="184"/>
      <c r="X633" s="184"/>
      <c r="Y633" s="184"/>
      <c r="Z633" s="184"/>
      <c r="AA633" s="184"/>
      <c r="AC633" s="184"/>
      <c r="AD633" s="184"/>
      <c r="AE633" s="184"/>
      <c r="AF633" s="184"/>
      <c r="AG633" s="184"/>
      <c r="AH633" s="184"/>
      <c r="AI633" s="184"/>
      <c r="AR633" s="186"/>
      <c r="AS633" s="187"/>
      <c r="AT633" s="187"/>
      <c r="AU633" s="187"/>
      <c r="AV633" s="246"/>
      <c r="BB633" s="377"/>
      <c r="BC633" s="377"/>
      <c r="BD633" s="377"/>
    </row>
    <row r="634" spans="1:56" s="163" customFormat="1" ht="16.5" customHeight="1">
      <c r="A634" s="247"/>
      <c r="B634" s="244"/>
      <c r="C634" s="245"/>
      <c r="D634" s="245"/>
      <c r="E634" s="183"/>
      <c r="F634" s="183"/>
      <c r="G634" s="183"/>
      <c r="H634" s="184"/>
      <c r="I634" s="184"/>
      <c r="J634" s="184"/>
      <c r="L634" s="184"/>
      <c r="M634" s="184"/>
      <c r="N634" s="184"/>
      <c r="O634" s="184"/>
      <c r="R634" s="185"/>
      <c r="T634" s="184"/>
      <c r="U634" s="184"/>
      <c r="V634" s="184"/>
      <c r="X634" s="184"/>
      <c r="Y634" s="184"/>
      <c r="Z634" s="184"/>
      <c r="AA634" s="184"/>
      <c r="AC634" s="184"/>
      <c r="AD634" s="184"/>
      <c r="AE634" s="184"/>
      <c r="AF634" s="184"/>
      <c r="AG634" s="184"/>
      <c r="AH634" s="184"/>
      <c r="AI634" s="184"/>
      <c r="AR634" s="186"/>
      <c r="AS634" s="187"/>
      <c r="AT634" s="187"/>
      <c r="AU634" s="187"/>
      <c r="AV634" s="246"/>
      <c r="BB634" s="377"/>
      <c r="BC634" s="377"/>
      <c r="BD634" s="377"/>
    </row>
    <row r="635" spans="1:56" s="163" customFormat="1" ht="16.5" customHeight="1">
      <c r="A635" s="247"/>
      <c r="B635" s="244"/>
      <c r="C635" s="245"/>
      <c r="D635" s="245"/>
      <c r="E635" s="183"/>
      <c r="F635" s="183"/>
      <c r="G635" s="183"/>
      <c r="H635" s="184"/>
      <c r="I635" s="184"/>
      <c r="J635" s="184"/>
      <c r="L635" s="184"/>
      <c r="M635" s="184"/>
      <c r="N635" s="184"/>
      <c r="O635" s="184"/>
      <c r="R635" s="185"/>
      <c r="T635" s="184"/>
      <c r="U635" s="184"/>
      <c r="V635" s="184"/>
      <c r="X635" s="184"/>
      <c r="Y635" s="184"/>
      <c r="Z635" s="184"/>
      <c r="AA635" s="184"/>
      <c r="AC635" s="184"/>
      <c r="AD635" s="184"/>
      <c r="AE635" s="184"/>
      <c r="AF635" s="184"/>
      <c r="AG635" s="184"/>
      <c r="AH635" s="184"/>
      <c r="AI635" s="184"/>
      <c r="AR635" s="186"/>
      <c r="AS635" s="187"/>
      <c r="AT635" s="187"/>
      <c r="AU635" s="187"/>
      <c r="AV635" s="246"/>
      <c r="BB635" s="377"/>
      <c r="BC635" s="377"/>
      <c r="BD635" s="377"/>
    </row>
    <row r="636" spans="1:56" s="163" customFormat="1" ht="16.5" customHeight="1">
      <c r="A636" s="247"/>
      <c r="B636" s="244"/>
      <c r="C636" s="245"/>
      <c r="D636" s="245"/>
      <c r="E636" s="183"/>
      <c r="F636" s="183"/>
      <c r="G636" s="183"/>
      <c r="H636" s="184"/>
      <c r="I636" s="184"/>
      <c r="J636" s="184"/>
      <c r="L636" s="184"/>
      <c r="M636" s="184"/>
      <c r="N636" s="184"/>
      <c r="O636" s="184"/>
      <c r="R636" s="185"/>
      <c r="T636" s="184"/>
      <c r="U636" s="184"/>
      <c r="V636" s="184"/>
      <c r="X636" s="184"/>
      <c r="Y636" s="184"/>
      <c r="Z636" s="184"/>
      <c r="AA636" s="184"/>
      <c r="AC636" s="184"/>
      <c r="AD636" s="184"/>
      <c r="AE636" s="184"/>
      <c r="AF636" s="184"/>
      <c r="AG636" s="184"/>
      <c r="AH636" s="184"/>
      <c r="AI636" s="184"/>
      <c r="AR636" s="186"/>
      <c r="AS636" s="187"/>
      <c r="AT636" s="187"/>
      <c r="AU636" s="187"/>
      <c r="AV636" s="246"/>
      <c r="BB636" s="377"/>
      <c r="BC636" s="377"/>
      <c r="BD636" s="377"/>
    </row>
    <row r="637" spans="1:56" s="163" customFormat="1" ht="16.5" customHeight="1">
      <c r="A637" s="247"/>
      <c r="B637" s="244"/>
      <c r="C637" s="245"/>
      <c r="D637" s="245"/>
      <c r="E637" s="183"/>
      <c r="F637" s="183"/>
      <c r="G637" s="183"/>
      <c r="H637" s="184"/>
      <c r="I637" s="184"/>
      <c r="J637" s="184"/>
      <c r="L637" s="184"/>
      <c r="M637" s="184"/>
      <c r="N637" s="184"/>
      <c r="O637" s="184"/>
      <c r="R637" s="185"/>
      <c r="T637" s="184"/>
      <c r="U637" s="184"/>
      <c r="V637" s="184"/>
      <c r="X637" s="184"/>
      <c r="Y637" s="184"/>
      <c r="Z637" s="184"/>
      <c r="AA637" s="184"/>
      <c r="AC637" s="184"/>
      <c r="AD637" s="184"/>
      <c r="AE637" s="184"/>
      <c r="AF637" s="184"/>
      <c r="AG637" s="184"/>
      <c r="AH637" s="184"/>
      <c r="AI637" s="184"/>
      <c r="AR637" s="186"/>
      <c r="AS637" s="187"/>
      <c r="AT637" s="187"/>
      <c r="AU637" s="187"/>
      <c r="AV637" s="246"/>
      <c r="BB637" s="377"/>
      <c r="BC637" s="377"/>
      <c r="BD637" s="377"/>
    </row>
    <row r="638" spans="1:56" s="163" customFormat="1" ht="16.5" customHeight="1">
      <c r="A638" s="247"/>
      <c r="B638" s="244"/>
      <c r="C638" s="245"/>
      <c r="D638" s="245"/>
      <c r="E638" s="183"/>
      <c r="F638" s="183"/>
      <c r="G638" s="183"/>
      <c r="H638" s="184"/>
      <c r="I638" s="184"/>
      <c r="J638" s="184"/>
      <c r="L638" s="184"/>
      <c r="M638" s="184"/>
      <c r="N638" s="184"/>
      <c r="O638" s="184"/>
      <c r="R638" s="185"/>
      <c r="T638" s="184"/>
      <c r="U638" s="184"/>
      <c r="V638" s="184"/>
      <c r="X638" s="184"/>
      <c r="Y638" s="184"/>
      <c r="Z638" s="184"/>
      <c r="AA638" s="184"/>
      <c r="AC638" s="184"/>
      <c r="AD638" s="184"/>
      <c r="AE638" s="184"/>
      <c r="AF638" s="184"/>
      <c r="AG638" s="184"/>
      <c r="AH638" s="184"/>
      <c r="AI638" s="184"/>
      <c r="AR638" s="186"/>
      <c r="AS638" s="187"/>
      <c r="AT638" s="187"/>
      <c r="AU638" s="187"/>
      <c r="AV638" s="246"/>
      <c r="BB638" s="377"/>
      <c r="BC638" s="377"/>
      <c r="BD638" s="377"/>
    </row>
    <row r="639" spans="1:56" s="163" customFormat="1" ht="16.5" customHeight="1">
      <c r="A639" s="247"/>
      <c r="B639" s="244"/>
      <c r="C639" s="245"/>
      <c r="D639" s="245"/>
      <c r="E639" s="183"/>
      <c r="F639" s="183"/>
      <c r="G639" s="183"/>
      <c r="H639" s="184"/>
      <c r="I639" s="184"/>
      <c r="J639" s="184"/>
      <c r="L639" s="184"/>
      <c r="M639" s="184"/>
      <c r="N639" s="184"/>
      <c r="O639" s="184"/>
      <c r="R639" s="185"/>
      <c r="T639" s="184"/>
      <c r="U639" s="184"/>
      <c r="V639" s="184"/>
      <c r="X639" s="184"/>
      <c r="Y639" s="184"/>
      <c r="Z639" s="184"/>
      <c r="AA639" s="184"/>
      <c r="AC639" s="184"/>
      <c r="AD639" s="184"/>
      <c r="AE639" s="184"/>
      <c r="AF639" s="184"/>
      <c r="AG639" s="184"/>
      <c r="AH639" s="184"/>
      <c r="AI639" s="184"/>
      <c r="AR639" s="186"/>
      <c r="AS639" s="187"/>
      <c r="AT639" s="187"/>
      <c r="AU639" s="187"/>
      <c r="AV639" s="246"/>
      <c r="BB639" s="377"/>
      <c r="BC639" s="377"/>
      <c r="BD639" s="377"/>
    </row>
    <row r="640" spans="1:56" s="163" customFormat="1" ht="16.5" customHeight="1">
      <c r="A640" s="247"/>
      <c r="B640" s="244"/>
      <c r="C640" s="245"/>
      <c r="D640" s="245"/>
      <c r="E640" s="183"/>
      <c r="F640" s="183"/>
      <c r="G640" s="183"/>
      <c r="H640" s="184"/>
      <c r="I640" s="184"/>
      <c r="J640" s="184"/>
      <c r="L640" s="184"/>
      <c r="M640" s="184"/>
      <c r="N640" s="184"/>
      <c r="O640" s="184"/>
      <c r="R640" s="185"/>
      <c r="T640" s="184"/>
      <c r="U640" s="184"/>
      <c r="V640" s="184"/>
      <c r="X640" s="184"/>
      <c r="Y640" s="184"/>
      <c r="Z640" s="184"/>
      <c r="AA640" s="184"/>
      <c r="AC640" s="184"/>
      <c r="AD640" s="184"/>
      <c r="AE640" s="184"/>
      <c r="AF640" s="184"/>
      <c r="AG640" s="184"/>
      <c r="AH640" s="184"/>
      <c r="AI640" s="184"/>
      <c r="AR640" s="186"/>
      <c r="AS640" s="187"/>
      <c r="AT640" s="187"/>
      <c r="AU640" s="187"/>
      <c r="AV640" s="246"/>
      <c r="BB640" s="377"/>
      <c r="BC640" s="377"/>
      <c r="BD640" s="377"/>
    </row>
    <row r="641" spans="1:56" s="163" customFormat="1" ht="16.5" customHeight="1">
      <c r="A641" s="247"/>
      <c r="B641" s="244"/>
      <c r="C641" s="245"/>
      <c r="D641" s="245"/>
      <c r="E641" s="183"/>
      <c r="F641" s="183"/>
      <c r="G641" s="183"/>
      <c r="H641" s="184"/>
      <c r="I641" s="184"/>
      <c r="J641" s="184"/>
      <c r="L641" s="184"/>
      <c r="M641" s="184"/>
      <c r="N641" s="184"/>
      <c r="O641" s="184"/>
      <c r="R641" s="185"/>
      <c r="T641" s="184"/>
      <c r="U641" s="184"/>
      <c r="V641" s="184"/>
      <c r="X641" s="184"/>
      <c r="Y641" s="184"/>
      <c r="Z641" s="184"/>
      <c r="AA641" s="184"/>
      <c r="AC641" s="184"/>
      <c r="AD641" s="184"/>
      <c r="AE641" s="184"/>
      <c r="AF641" s="184"/>
      <c r="AG641" s="184"/>
      <c r="AH641" s="184"/>
      <c r="AI641" s="184"/>
      <c r="AR641" s="186"/>
      <c r="AS641" s="187"/>
      <c r="AT641" s="187"/>
      <c r="AU641" s="187"/>
      <c r="AV641" s="246"/>
      <c r="BB641" s="377"/>
      <c r="BC641" s="377"/>
      <c r="BD641" s="377"/>
    </row>
    <row r="642" spans="1:56" s="163" customFormat="1" ht="16.5" customHeight="1">
      <c r="A642" s="247"/>
      <c r="B642" s="244"/>
      <c r="C642" s="245"/>
      <c r="D642" s="245"/>
      <c r="E642" s="183"/>
      <c r="F642" s="183"/>
      <c r="G642" s="183"/>
      <c r="H642" s="184"/>
      <c r="I642" s="184"/>
      <c r="J642" s="184"/>
      <c r="L642" s="184"/>
      <c r="M642" s="184"/>
      <c r="N642" s="184"/>
      <c r="O642" s="184"/>
      <c r="R642" s="185"/>
      <c r="T642" s="184"/>
      <c r="U642" s="184"/>
      <c r="V642" s="184"/>
      <c r="X642" s="184"/>
      <c r="Y642" s="184"/>
      <c r="Z642" s="184"/>
      <c r="AA642" s="184"/>
      <c r="AC642" s="184"/>
      <c r="AD642" s="184"/>
      <c r="AE642" s="184"/>
      <c r="AF642" s="184"/>
      <c r="AG642" s="184"/>
      <c r="AH642" s="184"/>
      <c r="AI642" s="184"/>
      <c r="AR642" s="186"/>
      <c r="AS642" s="187"/>
      <c r="AT642" s="187"/>
      <c r="AU642" s="187"/>
      <c r="AV642" s="246"/>
      <c r="BB642" s="377"/>
      <c r="BC642" s="377"/>
      <c r="BD642" s="377"/>
    </row>
    <row r="643" spans="1:56" s="163" customFormat="1" ht="16.5" customHeight="1">
      <c r="A643" s="247"/>
      <c r="B643" s="244"/>
      <c r="C643" s="245"/>
      <c r="D643" s="245"/>
      <c r="E643" s="183"/>
      <c r="F643" s="183"/>
      <c r="G643" s="183"/>
      <c r="H643" s="184"/>
      <c r="I643" s="184"/>
      <c r="J643" s="184"/>
      <c r="L643" s="184"/>
      <c r="M643" s="184"/>
      <c r="N643" s="184"/>
      <c r="O643" s="184"/>
      <c r="R643" s="185"/>
      <c r="T643" s="184"/>
      <c r="U643" s="184"/>
      <c r="V643" s="184"/>
      <c r="X643" s="184"/>
      <c r="Y643" s="184"/>
      <c r="Z643" s="184"/>
      <c r="AA643" s="184"/>
      <c r="AC643" s="184"/>
      <c r="AD643" s="184"/>
      <c r="AE643" s="184"/>
      <c r="AF643" s="184"/>
      <c r="AG643" s="184"/>
      <c r="AH643" s="184"/>
      <c r="AI643" s="184"/>
      <c r="AR643" s="186"/>
      <c r="AS643" s="187"/>
      <c r="AT643" s="187"/>
      <c r="AU643" s="187"/>
      <c r="AV643" s="246"/>
      <c r="BB643" s="377"/>
      <c r="BC643" s="377"/>
      <c r="BD643" s="377"/>
    </row>
    <row r="644" spans="1:56" s="163" customFormat="1" ht="16.5" customHeight="1">
      <c r="A644" s="247"/>
      <c r="B644" s="244"/>
      <c r="C644" s="245"/>
      <c r="D644" s="245"/>
      <c r="E644" s="183"/>
      <c r="F644" s="183"/>
      <c r="G644" s="183"/>
      <c r="H644" s="184"/>
      <c r="I644" s="184"/>
      <c r="J644" s="184"/>
      <c r="L644" s="184"/>
      <c r="M644" s="184"/>
      <c r="N644" s="184"/>
      <c r="O644" s="184"/>
      <c r="R644" s="185"/>
      <c r="T644" s="184"/>
      <c r="U644" s="184"/>
      <c r="V644" s="184"/>
      <c r="X644" s="184"/>
      <c r="Y644" s="184"/>
      <c r="Z644" s="184"/>
      <c r="AA644" s="184"/>
      <c r="AC644" s="184"/>
      <c r="AD644" s="184"/>
      <c r="AE644" s="184"/>
      <c r="AF644" s="184"/>
      <c r="AG644" s="184"/>
      <c r="AH644" s="184"/>
      <c r="AI644" s="184"/>
      <c r="AR644" s="186"/>
      <c r="AS644" s="187"/>
      <c r="AT644" s="187"/>
      <c r="AU644" s="187"/>
      <c r="AV644" s="246"/>
      <c r="BB644" s="377"/>
      <c r="BC644" s="377"/>
      <c r="BD644" s="377"/>
    </row>
    <row r="645" spans="1:56" s="163" customFormat="1" ht="16.5" customHeight="1">
      <c r="A645" s="247"/>
      <c r="B645" s="244"/>
      <c r="C645" s="245"/>
      <c r="D645" s="245"/>
      <c r="E645" s="183"/>
      <c r="F645" s="183"/>
      <c r="G645" s="183"/>
      <c r="H645" s="184"/>
      <c r="I645" s="184"/>
      <c r="J645" s="184"/>
      <c r="L645" s="184"/>
      <c r="M645" s="184"/>
      <c r="N645" s="184"/>
      <c r="O645" s="184"/>
      <c r="R645" s="185"/>
      <c r="T645" s="184"/>
      <c r="U645" s="184"/>
      <c r="V645" s="184"/>
      <c r="X645" s="184"/>
      <c r="Y645" s="184"/>
      <c r="Z645" s="184"/>
      <c r="AA645" s="184"/>
      <c r="AC645" s="184"/>
      <c r="AD645" s="184"/>
      <c r="AE645" s="184"/>
      <c r="AF645" s="184"/>
      <c r="AG645" s="184"/>
      <c r="AH645" s="184"/>
      <c r="AI645" s="184"/>
      <c r="AR645" s="186"/>
      <c r="AS645" s="187"/>
      <c r="AT645" s="187"/>
      <c r="AU645" s="187"/>
      <c r="AV645" s="246"/>
      <c r="BB645" s="377"/>
      <c r="BC645" s="377"/>
      <c r="BD645" s="377"/>
    </row>
    <row r="646" spans="1:56" s="163" customFormat="1" ht="16.5" customHeight="1">
      <c r="A646" s="247"/>
      <c r="B646" s="244"/>
      <c r="C646" s="245"/>
      <c r="D646" s="245"/>
      <c r="E646" s="183"/>
      <c r="F646" s="183"/>
      <c r="G646" s="183"/>
      <c r="H646" s="184"/>
      <c r="I646" s="184"/>
      <c r="J646" s="184"/>
      <c r="L646" s="184"/>
      <c r="M646" s="184"/>
      <c r="N646" s="184"/>
      <c r="O646" s="184"/>
      <c r="R646" s="185"/>
      <c r="T646" s="184"/>
      <c r="U646" s="184"/>
      <c r="V646" s="184"/>
      <c r="X646" s="184"/>
      <c r="Y646" s="184"/>
      <c r="Z646" s="184"/>
      <c r="AA646" s="184"/>
      <c r="AC646" s="184"/>
      <c r="AD646" s="184"/>
      <c r="AE646" s="184"/>
      <c r="AF646" s="184"/>
      <c r="AG646" s="184"/>
      <c r="AH646" s="184"/>
      <c r="AI646" s="184"/>
      <c r="AR646" s="186"/>
      <c r="AS646" s="187"/>
      <c r="AT646" s="187"/>
      <c r="AU646" s="187"/>
      <c r="AV646" s="246"/>
      <c r="BB646" s="377"/>
      <c r="BC646" s="377"/>
      <c r="BD646" s="377"/>
    </row>
    <row r="647" spans="1:56" s="163" customFormat="1" ht="16.5" customHeight="1">
      <c r="A647" s="247"/>
      <c r="B647" s="244"/>
      <c r="C647" s="245"/>
      <c r="D647" s="245"/>
      <c r="E647" s="183"/>
      <c r="F647" s="183"/>
      <c r="G647" s="183"/>
      <c r="H647" s="184"/>
      <c r="I647" s="184"/>
      <c r="J647" s="184"/>
      <c r="L647" s="184"/>
      <c r="M647" s="184"/>
      <c r="N647" s="184"/>
      <c r="O647" s="184"/>
      <c r="R647" s="185"/>
      <c r="T647" s="184"/>
      <c r="U647" s="184"/>
      <c r="V647" s="184"/>
      <c r="X647" s="184"/>
      <c r="Y647" s="184"/>
      <c r="Z647" s="184"/>
      <c r="AA647" s="184"/>
      <c r="AC647" s="184"/>
      <c r="AD647" s="184"/>
      <c r="AE647" s="184"/>
      <c r="AF647" s="184"/>
      <c r="AG647" s="184"/>
      <c r="AH647" s="184"/>
      <c r="AI647" s="184"/>
      <c r="AR647" s="186"/>
      <c r="AS647" s="187"/>
      <c r="AT647" s="187"/>
      <c r="AU647" s="187"/>
      <c r="AV647" s="246"/>
      <c r="BB647" s="377"/>
      <c r="BC647" s="377"/>
      <c r="BD647" s="377"/>
    </row>
    <row r="648" spans="1:56" s="163" customFormat="1" ht="16.5" customHeight="1">
      <c r="A648" s="247"/>
      <c r="B648" s="244"/>
      <c r="C648" s="245"/>
      <c r="D648" s="245"/>
      <c r="E648" s="183"/>
      <c r="F648" s="183"/>
      <c r="G648" s="183"/>
      <c r="H648" s="184"/>
      <c r="I648" s="184"/>
      <c r="J648" s="184"/>
      <c r="L648" s="184"/>
      <c r="M648" s="184"/>
      <c r="N648" s="184"/>
      <c r="O648" s="184"/>
      <c r="R648" s="185"/>
      <c r="T648" s="184"/>
      <c r="U648" s="184"/>
      <c r="V648" s="184"/>
      <c r="X648" s="184"/>
      <c r="Y648" s="184"/>
      <c r="Z648" s="184"/>
      <c r="AA648" s="184"/>
      <c r="AC648" s="184"/>
      <c r="AD648" s="184"/>
      <c r="AE648" s="184"/>
      <c r="AF648" s="184"/>
      <c r="AG648" s="184"/>
      <c r="AH648" s="184"/>
      <c r="AI648" s="184"/>
      <c r="AR648" s="186"/>
      <c r="AS648" s="187"/>
      <c r="AT648" s="187"/>
      <c r="AU648" s="187"/>
      <c r="AV648" s="246"/>
      <c r="BB648" s="377"/>
      <c r="BC648" s="377"/>
      <c r="BD648" s="377"/>
    </row>
    <row r="649" spans="1:56" s="163" customFormat="1" ht="16.5" customHeight="1">
      <c r="A649" s="247"/>
      <c r="B649" s="244"/>
      <c r="C649" s="245"/>
      <c r="D649" s="245"/>
      <c r="E649" s="183"/>
      <c r="F649" s="183"/>
      <c r="G649" s="183"/>
      <c r="H649" s="184"/>
      <c r="I649" s="184"/>
      <c r="J649" s="184"/>
      <c r="L649" s="184"/>
      <c r="M649" s="184"/>
      <c r="N649" s="184"/>
      <c r="O649" s="184"/>
      <c r="R649" s="185"/>
      <c r="T649" s="184"/>
      <c r="U649" s="184"/>
      <c r="V649" s="184"/>
      <c r="X649" s="184"/>
      <c r="Y649" s="184"/>
      <c r="Z649" s="184"/>
      <c r="AA649" s="184"/>
      <c r="AC649" s="184"/>
      <c r="AD649" s="184"/>
      <c r="AE649" s="184"/>
      <c r="AF649" s="184"/>
      <c r="AG649" s="184"/>
      <c r="AH649" s="184"/>
      <c r="AI649" s="184"/>
      <c r="AR649" s="186"/>
      <c r="AS649" s="187"/>
      <c r="AT649" s="187"/>
      <c r="AU649" s="187"/>
      <c r="AV649" s="246"/>
      <c r="BB649" s="377"/>
      <c r="BC649" s="377"/>
      <c r="BD649" s="377"/>
    </row>
    <row r="650" spans="1:56" s="163" customFormat="1" ht="16.5" customHeight="1">
      <c r="A650" s="247"/>
      <c r="B650" s="244"/>
      <c r="C650" s="245"/>
      <c r="D650" s="245"/>
      <c r="E650" s="183"/>
      <c r="F650" s="183"/>
      <c r="G650" s="183"/>
      <c r="H650" s="184"/>
      <c r="I650" s="184"/>
      <c r="J650" s="184"/>
      <c r="L650" s="184"/>
      <c r="M650" s="184"/>
      <c r="N650" s="184"/>
      <c r="O650" s="184"/>
      <c r="R650" s="185"/>
      <c r="T650" s="184"/>
      <c r="U650" s="184"/>
      <c r="V650" s="184"/>
      <c r="X650" s="184"/>
      <c r="Y650" s="184"/>
      <c r="Z650" s="184"/>
      <c r="AA650" s="184"/>
      <c r="AC650" s="184"/>
      <c r="AD650" s="184"/>
      <c r="AE650" s="184"/>
      <c r="AF650" s="184"/>
      <c r="AG650" s="184"/>
      <c r="AH650" s="184"/>
      <c r="AI650" s="184"/>
      <c r="AR650" s="186"/>
      <c r="AS650" s="187"/>
      <c r="AT650" s="187"/>
      <c r="AU650" s="187"/>
      <c r="AV650" s="246"/>
      <c r="BB650" s="377"/>
      <c r="BC650" s="377"/>
      <c r="BD650" s="377"/>
    </row>
    <row r="651" spans="1:56" s="163" customFormat="1" ht="16.5" customHeight="1">
      <c r="A651" s="247"/>
      <c r="B651" s="244"/>
      <c r="C651" s="245"/>
      <c r="D651" s="245"/>
      <c r="E651" s="183"/>
      <c r="F651" s="183"/>
      <c r="G651" s="183"/>
      <c r="H651" s="184"/>
      <c r="I651" s="184"/>
      <c r="J651" s="184"/>
      <c r="L651" s="184"/>
      <c r="M651" s="184"/>
      <c r="N651" s="184"/>
      <c r="O651" s="184"/>
      <c r="R651" s="185"/>
      <c r="T651" s="184"/>
      <c r="U651" s="184"/>
      <c r="V651" s="184"/>
      <c r="X651" s="184"/>
      <c r="Y651" s="184"/>
      <c r="Z651" s="184"/>
      <c r="AA651" s="184"/>
      <c r="AC651" s="184"/>
      <c r="AD651" s="184"/>
      <c r="AE651" s="184"/>
      <c r="AF651" s="184"/>
      <c r="AG651" s="184"/>
      <c r="AH651" s="184"/>
      <c r="AI651" s="184"/>
      <c r="AR651" s="186"/>
      <c r="AS651" s="187"/>
      <c r="AT651" s="187"/>
      <c r="AU651" s="187"/>
      <c r="AV651" s="246"/>
      <c r="BB651" s="377"/>
      <c r="BC651" s="377"/>
      <c r="BD651" s="377"/>
    </row>
    <row r="652" spans="1:56" s="163" customFormat="1" ht="16.5" customHeight="1">
      <c r="A652" s="247"/>
      <c r="B652" s="244"/>
      <c r="C652" s="245"/>
      <c r="D652" s="245"/>
      <c r="E652" s="183"/>
      <c r="F652" s="183"/>
      <c r="G652" s="183"/>
      <c r="H652" s="184"/>
      <c r="I652" s="184"/>
      <c r="J652" s="184"/>
      <c r="L652" s="184"/>
      <c r="M652" s="184"/>
      <c r="N652" s="184"/>
      <c r="O652" s="184"/>
      <c r="R652" s="185"/>
      <c r="T652" s="184"/>
      <c r="U652" s="184"/>
      <c r="V652" s="184"/>
      <c r="X652" s="184"/>
      <c r="Y652" s="184"/>
      <c r="Z652" s="184"/>
      <c r="AA652" s="184"/>
      <c r="AC652" s="184"/>
      <c r="AD652" s="184"/>
      <c r="AE652" s="184"/>
      <c r="AF652" s="184"/>
      <c r="AG652" s="184"/>
      <c r="AH652" s="184"/>
      <c r="AI652" s="184"/>
      <c r="AR652" s="186"/>
      <c r="AS652" s="187"/>
      <c r="AT652" s="187"/>
      <c r="AU652" s="187"/>
      <c r="AV652" s="246"/>
      <c r="BB652" s="377"/>
      <c r="BC652" s="377"/>
      <c r="BD652" s="377"/>
    </row>
    <row r="653" spans="1:56" s="163" customFormat="1" ht="16.5" customHeight="1">
      <c r="A653" s="247"/>
      <c r="B653" s="244"/>
      <c r="C653" s="245"/>
      <c r="D653" s="245"/>
      <c r="E653" s="183"/>
      <c r="F653" s="183"/>
      <c r="G653" s="183"/>
      <c r="H653" s="184"/>
      <c r="I653" s="184"/>
      <c r="J653" s="184"/>
      <c r="L653" s="184"/>
      <c r="M653" s="184"/>
      <c r="N653" s="184"/>
      <c r="O653" s="184"/>
      <c r="R653" s="185"/>
      <c r="T653" s="184"/>
      <c r="U653" s="184"/>
      <c r="V653" s="184"/>
      <c r="X653" s="184"/>
      <c r="Y653" s="184"/>
      <c r="Z653" s="184"/>
      <c r="AA653" s="184"/>
      <c r="AC653" s="184"/>
      <c r="AD653" s="184"/>
      <c r="AE653" s="184"/>
      <c r="AF653" s="184"/>
      <c r="AG653" s="184"/>
      <c r="AH653" s="184"/>
      <c r="AI653" s="184"/>
      <c r="AR653" s="186"/>
      <c r="AS653" s="187"/>
      <c r="AT653" s="187"/>
      <c r="AU653" s="187"/>
      <c r="AV653" s="246"/>
      <c r="BB653" s="377"/>
      <c r="BC653" s="377"/>
      <c r="BD653" s="377"/>
    </row>
    <row r="654" spans="1:56" s="163" customFormat="1" ht="16.5" customHeight="1">
      <c r="A654" s="247"/>
      <c r="B654" s="244"/>
      <c r="C654" s="245"/>
      <c r="D654" s="245"/>
      <c r="E654" s="183"/>
      <c r="F654" s="183"/>
      <c r="G654" s="183"/>
      <c r="H654" s="184"/>
      <c r="I654" s="184"/>
      <c r="J654" s="184"/>
      <c r="L654" s="184"/>
      <c r="M654" s="184"/>
      <c r="N654" s="184"/>
      <c r="O654" s="184"/>
      <c r="R654" s="185"/>
      <c r="T654" s="184"/>
      <c r="U654" s="184"/>
      <c r="V654" s="184"/>
      <c r="X654" s="184"/>
      <c r="Y654" s="184"/>
      <c r="Z654" s="184"/>
      <c r="AA654" s="184"/>
      <c r="AC654" s="184"/>
      <c r="AD654" s="184"/>
      <c r="AE654" s="184"/>
      <c r="AF654" s="184"/>
      <c r="AG654" s="184"/>
      <c r="AH654" s="184"/>
      <c r="AI654" s="184"/>
      <c r="AR654" s="186"/>
      <c r="AS654" s="187"/>
      <c r="AT654" s="187"/>
      <c r="AU654" s="187"/>
      <c r="AV654" s="246"/>
      <c r="BB654" s="377"/>
      <c r="BC654" s="377"/>
      <c r="BD654" s="377"/>
    </row>
    <row r="655" spans="1:56" s="163" customFormat="1" ht="16.5" customHeight="1">
      <c r="A655" s="247"/>
      <c r="B655" s="244"/>
      <c r="C655" s="245"/>
      <c r="D655" s="245"/>
      <c r="E655" s="183"/>
      <c r="F655" s="183"/>
      <c r="G655" s="183"/>
      <c r="H655" s="184"/>
      <c r="I655" s="184"/>
      <c r="J655" s="184"/>
      <c r="L655" s="184"/>
      <c r="M655" s="184"/>
      <c r="N655" s="184"/>
      <c r="O655" s="184"/>
      <c r="R655" s="185"/>
      <c r="T655" s="184"/>
      <c r="U655" s="184"/>
      <c r="V655" s="184"/>
      <c r="X655" s="184"/>
      <c r="Y655" s="184"/>
      <c r="Z655" s="184"/>
      <c r="AA655" s="184"/>
      <c r="AC655" s="184"/>
      <c r="AD655" s="184"/>
      <c r="AE655" s="184"/>
      <c r="AF655" s="184"/>
      <c r="AG655" s="184"/>
      <c r="AH655" s="184"/>
      <c r="AI655" s="184"/>
      <c r="AR655" s="186"/>
      <c r="AS655" s="187"/>
      <c r="AT655" s="187"/>
      <c r="AU655" s="187"/>
      <c r="AV655" s="246"/>
      <c r="BB655" s="377"/>
      <c r="BC655" s="377"/>
      <c r="BD655" s="377"/>
    </row>
    <row r="656" spans="1:56" s="163" customFormat="1" ht="16.5" customHeight="1">
      <c r="A656" s="247"/>
      <c r="B656" s="244"/>
      <c r="C656" s="245"/>
      <c r="D656" s="245"/>
      <c r="E656" s="183"/>
      <c r="F656" s="183"/>
      <c r="G656" s="183"/>
      <c r="H656" s="184"/>
      <c r="I656" s="184"/>
      <c r="J656" s="184"/>
      <c r="L656" s="184"/>
      <c r="M656" s="184"/>
      <c r="N656" s="184"/>
      <c r="O656" s="184"/>
      <c r="R656" s="185"/>
      <c r="T656" s="184"/>
      <c r="U656" s="184"/>
      <c r="V656" s="184"/>
      <c r="X656" s="184"/>
      <c r="Y656" s="184"/>
      <c r="Z656" s="184"/>
      <c r="AA656" s="184"/>
      <c r="AC656" s="184"/>
      <c r="AD656" s="184"/>
      <c r="AE656" s="184"/>
      <c r="AF656" s="184"/>
      <c r="AG656" s="184"/>
      <c r="AH656" s="184"/>
      <c r="AI656" s="184"/>
      <c r="AR656" s="186"/>
      <c r="AS656" s="187"/>
      <c r="AT656" s="187"/>
      <c r="AU656" s="187"/>
      <c r="AV656" s="246"/>
      <c r="BB656" s="377"/>
      <c r="BC656" s="377"/>
      <c r="BD656" s="377"/>
    </row>
    <row r="657" spans="1:56" s="163" customFormat="1" ht="16.5" customHeight="1">
      <c r="A657" s="247"/>
      <c r="B657" s="244"/>
      <c r="C657" s="245"/>
      <c r="D657" s="245"/>
      <c r="E657" s="183"/>
      <c r="F657" s="183"/>
      <c r="G657" s="183"/>
      <c r="H657" s="184"/>
      <c r="I657" s="184"/>
      <c r="J657" s="184"/>
      <c r="L657" s="184"/>
      <c r="M657" s="184"/>
      <c r="N657" s="184"/>
      <c r="O657" s="184"/>
      <c r="R657" s="185"/>
      <c r="T657" s="184"/>
      <c r="U657" s="184"/>
      <c r="V657" s="184"/>
      <c r="X657" s="184"/>
      <c r="Y657" s="184"/>
      <c r="Z657" s="184"/>
      <c r="AA657" s="184"/>
      <c r="AC657" s="184"/>
      <c r="AD657" s="184"/>
      <c r="AE657" s="184"/>
      <c r="AF657" s="184"/>
      <c r="AG657" s="184"/>
      <c r="AH657" s="184"/>
      <c r="AI657" s="184"/>
      <c r="AR657" s="186"/>
      <c r="AS657" s="187"/>
      <c r="AT657" s="187"/>
      <c r="AU657" s="187"/>
      <c r="AV657" s="246"/>
      <c r="BB657" s="377"/>
      <c r="BC657" s="377"/>
      <c r="BD657" s="377"/>
    </row>
    <row r="658" spans="1:56" s="163" customFormat="1" ht="16.5" customHeight="1">
      <c r="A658" s="247"/>
      <c r="B658" s="244"/>
      <c r="C658" s="245"/>
      <c r="D658" s="245"/>
      <c r="E658" s="183"/>
      <c r="F658" s="183"/>
      <c r="G658" s="183"/>
      <c r="H658" s="184"/>
      <c r="I658" s="184"/>
      <c r="J658" s="184"/>
      <c r="L658" s="184"/>
      <c r="M658" s="184"/>
      <c r="N658" s="184"/>
      <c r="O658" s="184"/>
      <c r="R658" s="185"/>
      <c r="T658" s="184"/>
      <c r="U658" s="184"/>
      <c r="V658" s="184"/>
      <c r="X658" s="184"/>
      <c r="Y658" s="184"/>
      <c r="Z658" s="184"/>
      <c r="AA658" s="184"/>
      <c r="AC658" s="184"/>
      <c r="AD658" s="184"/>
      <c r="AE658" s="184"/>
      <c r="AF658" s="184"/>
      <c r="AG658" s="184"/>
      <c r="AH658" s="184"/>
      <c r="AI658" s="184"/>
      <c r="AR658" s="186"/>
      <c r="AS658" s="187"/>
      <c r="AT658" s="187"/>
      <c r="AU658" s="187"/>
      <c r="AV658" s="246"/>
      <c r="BB658" s="377"/>
      <c r="BC658" s="377"/>
      <c r="BD658" s="377"/>
    </row>
    <row r="659" spans="1:56" s="163" customFormat="1" ht="16.5" customHeight="1">
      <c r="A659" s="247"/>
      <c r="B659" s="244"/>
      <c r="C659" s="245"/>
      <c r="D659" s="245"/>
      <c r="E659" s="183"/>
      <c r="F659" s="183"/>
      <c r="G659" s="183"/>
      <c r="H659" s="184"/>
      <c r="I659" s="184"/>
      <c r="J659" s="184"/>
      <c r="L659" s="184"/>
      <c r="M659" s="184"/>
      <c r="N659" s="184"/>
      <c r="O659" s="184"/>
      <c r="R659" s="185"/>
      <c r="T659" s="184"/>
      <c r="U659" s="184"/>
      <c r="V659" s="184"/>
      <c r="X659" s="184"/>
      <c r="Y659" s="184"/>
      <c r="Z659" s="184"/>
      <c r="AA659" s="184"/>
      <c r="AC659" s="184"/>
      <c r="AD659" s="184"/>
      <c r="AE659" s="184"/>
      <c r="AF659" s="184"/>
      <c r="AG659" s="184"/>
      <c r="AH659" s="184"/>
      <c r="AI659" s="184"/>
      <c r="AR659" s="186"/>
      <c r="AS659" s="187"/>
      <c r="AT659" s="187"/>
      <c r="AU659" s="187"/>
      <c r="AV659" s="246"/>
      <c r="BB659" s="377"/>
      <c r="BC659" s="377"/>
      <c r="BD659" s="377"/>
    </row>
    <row r="660" spans="1:56" s="163" customFormat="1" ht="16.5" customHeight="1">
      <c r="A660" s="247"/>
      <c r="B660" s="244"/>
      <c r="C660" s="245"/>
      <c r="D660" s="245"/>
      <c r="E660" s="183"/>
      <c r="F660" s="183"/>
      <c r="G660" s="183"/>
      <c r="H660" s="184"/>
      <c r="I660" s="184"/>
      <c r="J660" s="184"/>
      <c r="L660" s="184"/>
      <c r="M660" s="184"/>
      <c r="N660" s="184"/>
      <c r="O660" s="184"/>
      <c r="R660" s="185"/>
      <c r="T660" s="184"/>
      <c r="U660" s="184"/>
      <c r="V660" s="184"/>
      <c r="X660" s="184"/>
      <c r="Y660" s="184"/>
      <c r="Z660" s="184"/>
      <c r="AA660" s="184"/>
      <c r="AC660" s="184"/>
      <c r="AD660" s="184"/>
      <c r="AE660" s="184"/>
      <c r="AF660" s="184"/>
      <c r="AG660" s="184"/>
      <c r="AH660" s="184"/>
      <c r="AI660" s="184"/>
      <c r="AR660" s="186"/>
      <c r="AS660" s="187"/>
      <c r="AT660" s="187"/>
      <c r="AU660" s="187"/>
      <c r="AV660" s="246"/>
      <c r="BB660" s="377"/>
      <c r="BC660" s="377"/>
      <c r="BD660" s="377"/>
    </row>
    <row r="661" spans="1:56" s="163" customFormat="1" ht="16.5" customHeight="1">
      <c r="A661" s="247"/>
      <c r="B661" s="244"/>
      <c r="C661" s="245"/>
      <c r="D661" s="245"/>
      <c r="E661" s="183"/>
      <c r="F661" s="183"/>
      <c r="G661" s="183"/>
      <c r="H661" s="184"/>
      <c r="I661" s="184"/>
      <c r="J661" s="184"/>
      <c r="L661" s="184"/>
      <c r="M661" s="184"/>
      <c r="N661" s="184"/>
      <c r="O661" s="184"/>
      <c r="R661" s="185"/>
      <c r="T661" s="184"/>
      <c r="U661" s="184"/>
      <c r="V661" s="184"/>
      <c r="X661" s="184"/>
      <c r="Y661" s="184"/>
      <c r="Z661" s="184"/>
      <c r="AA661" s="184"/>
      <c r="AC661" s="184"/>
      <c r="AD661" s="184"/>
      <c r="AE661" s="184"/>
      <c r="AF661" s="184"/>
      <c r="AG661" s="184"/>
      <c r="AH661" s="184"/>
      <c r="AI661" s="184"/>
      <c r="AR661" s="186"/>
      <c r="AS661" s="187"/>
      <c r="AT661" s="187"/>
      <c r="AU661" s="187"/>
      <c r="AV661" s="246"/>
      <c r="BB661" s="377"/>
      <c r="BC661" s="377"/>
      <c r="BD661" s="377"/>
    </row>
    <row r="662" spans="1:56" s="163" customFormat="1" ht="16.5" customHeight="1">
      <c r="A662" s="247"/>
      <c r="B662" s="244"/>
      <c r="C662" s="245"/>
      <c r="D662" s="245"/>
      <c r="E662" s="183"/>
      <c r="F662" s="183"/>
      <c r="G662" s="183"/>
      <c r="H662" s="184"/>
      <c r="I662" s="184"/>
      <c r="J662" s="184"/>
      <c r="L662" s="184"/>
      <c r="M662" s="184"/>
      <c r="N662" s="184"/>
      <c r="O662" s="184"/>
      <c r="R662" s="185"/>
      <c r="T662" s="184"/>
      <c r="U662" s="184"/>
      <c r="V662" s="184"/>
      <c r="X662" s="184"/>
      <c r="Y662" s="184"/>
      <c r="Z662" s="184"/>
      <c r="AA662" s="184"/>
      <c r="AC662" s="184"/>
      <c r="AD662" s="184"/>
      <c r="AE662" s="184"/>
      <c r="AF662" s="184"/>
      <c r="AG662" s="184"/>
      <c r="AH662" s="184"/>
      <c r="AI662" s="184"/>
      <c r="AR662" s="186"/>
      <c r="AS662" s="187"/>
      <c r="AT662" s="187"/>
      <c r="AU662" s="187"/>
      <c r="AV662" s="246"/>
      <c r="BB662" s="377"/>
      <c r="BC662" s="377"/>
      <c r="BD662" s="377"/>
    </row>
    <row r="663" spans="1:56" s="163" customFormat="1" ht="16.5" customHeight="1">
      <c r="A663" s="247"/>
      <c r="B663" s="244"/>
      <c r="C663" s="245"/>
      <c r="D663" s="245"/>
      <c r="E663" s="183"/>
      <c r="F663" s="183"/>
      <c r="G663" s="183"/>
      <c r="H663" s="184"/>
      <c r="I663" s="184"/>
      <c r="J663" s="184"/>
      <c r="L663" s="184"/>
      <c r="M663" s="184"/>
      <c r="N663" s="184"/>
      <c r="O663" s="184"/>
      <c r="R663" s="185"/>
      <c r="T663" s="184"/>
      <c r="U663" s="184"/>
      <c r="V663" s="184"/>
      <c r="X663" s="184"/>
      <c r="Y663" s="184"/>
      <c r="Z663" s="184"/>
      <c r="AA663" s="184"/>
      <c r="AC663" s="184"/>
      <c r="AD663" s="184"/>
      <c r="AE663" s="184"/>
      <c r="AF663" s="184"/>
      <c r="AG663" s="184"/>
      <c r="AH663" s="184"/>
      <c r="AI663" s="184"/>
      <c r="AR663" s="186"/>
      <c r="AS663" s="187"/>
      <c r="AT663" s="187"/>
      <c r="AU663" s="187"/>
      <c r="AV663" s="246"/>
      <c r="BB663" s="377"/>
      <c r="BC663" s="377"/>
      <c r="BD663" s="377"/>
    </row>
    <row r="664" spans="1:56" s="163" customFormat="1" ht="16.5" customHeight="1">
      <c r="A664" s="247"/>
      <c r="B664" s="244"/>
      <c r="C664" s="245"/>
      <c r="D664" s="245"/>
      <c r="E664" s="183"/>
      <c r="F664" s="183"/>
      <c r="G664" s="183"/>
      <c r="H664" s="184"/>
      <c r="I664" s="184"/>
      <c r="J664" s="184"/>
      <c r="L664" s="184"/>
      <c r="M664" s="184"/>
      <c r="N664" s="184"/>
      <c r="O664" s="184"/>
      <c r="R664" s="185"/>
      <c r="T664" s="184"/>
      <c r="U664" s="184"/>
      <c r="V664" s="184"/>
      <c r="X664" s="184"/>
      <c r="Y664" s="184"/>
      <c r="Z664" s="184"/>
      <c r="AA664" s="184"/>
      <c r="AC664" s="184"/>
      <c r="AD664" s="184"/>
      <c r="AE664" s="184"/>
      <c r="AF664" s="184"/>
      <c r="AG664" s="184"/>
      <c r="AH664" s="184"/>
      <c r="AI664" s="184"/>
      <c r="AR664" s="186"/>
      <c r="AS664" s="187"/>
      <c r="AT664" s="187"/>
      <c r="AU664" s="187"/>
      <c r="AV664" s="246"/>
      <c r="BB664" s="377"/>
      <c r="BC664" s="377"/>
      <c r="BD664" s="377"/>
    </row>
    <row r="665" spans="1:56" s="163" customFormat="1" ht="16.5" customHeight="1">
      <c r="A665" s="247"/>
      <c r="B665" s="244"/>
      <c r="C665" s="245"/>
      <c r="D665" s="245"/>
      <c r="E665" s="183"/>
      <c r="F665" s="183"/>
      <c r="G665" s="183"/>
      <c r="H665" s="184"/>
      <c r="I665" s="184"/>
      <c r="J665" s="184"/>
      <c r="L665" s="184"/>
      <c r="M665" s="184"/>
      <c r="N665" s="184"/>
      <c r="O665" s="184"/>
      <c r="R665" s="185"/>
      <c r="T665" s="184"/>
      <c r="U665" s="184"/>
      <c r="V665" s="184"/>
      <c r="X665" s="184"/>
      <c r="Y665" s="184"/>
      <c r="Z665" s="184"/>
      <c r="AA665" s="184"/>
      <c r="AC665" s="184"/>
      <c r="AD665" s="184"/>
      <c r="AE665" s="184"/>
      <c r="AF665" s="184"/>
      <c r="AG665" s="184"/>
      <c r="AH665" s="184"/>
      <c r="AI665" s="184"/>
      <c r="AR665" s="186"/>
      <c r="AS665" s="187"/>
      <c r="AT665" s="187"/>
      <c r="AU665" s="187"/>
      <c r="AV665" s="246"/>
      <c r="BB665" s="377"/>
      <c r="BC665" s="377"/>
      <c r="BD665" s="377"/>
    </row>
    <row r="666" spans="1:56" s="163" customFormat="1" ht="16.5" customHeight="1">
      <c r="A666" s="247"/>
      <c r="B666" s="244"/>
      <c r="C666" s="245"/>
      <c r="D666" s="245"/>
      <c r="E666" s="183"/>
      <c r="F666" s="183"/>
      <c r="G666" s="183"/>
      <c r="H666" s="184"/>
      <c r="I666" s="184"/>
      <c r="J666" s="184"/>
      <c r="L666" s="184"/>
      <c r="M666" s="184"/>
      <c r="N666" s="184"/>
      <c r="O666" s="184"/>
      <c r="R666" s="185"/>
      <c r="T666" s="184"/>
      <c r="U666" s="184"/>
      <c r="V666" s="184"/>
      <c r="X666" s="184"/>
      <c r="Y666" s="184"/>
      <c r="Z666" s="184"/>
      <c r="AA666" s="184"/>
      <c r="AC666" s="184"/>
      <c r="AD666" s="184"/>
      <c r="AE666" s="184"/>
      <c r="AF666" s="184"/>
      <c r="AG666" s="184"/>
      <c r="AH666" s="184"/>
      <c r="AI666" s="184"/>
      <c r="AR666" s="186"/>
      <c r="AS666" s="187"/>
      <c r="AT666" s="187"/>
      <c r="AU666" s="187"/>
      <c r="AV666" s="246"/>
      <c r="BB666" s="377"/>
      <c r="BC666" s="377"/>
      <c r="BD666" s="377"/>
    </row>
    <row r="667" spans="1:56" s="163" customFormat="1" ht="16.5" customHeight="1">
      <c r="A667" s="247"/>
      <c r="B667" s="244"/>
      <c r="C667" s="245"/>
      <c r="D667" s="245"/>
      <c r="E667" s="183"/>
      <c r="F667" s="183"/>
      <c r="G667" s="183"/>
      <c r="H667" s="184"/>
      <c r="I667" s="184"/>
      <c r="J667" s="184"/>
      <c r="L667" s="184"/>
      <c r="M667" s="184"/>
      <c r="N667" s="184"/>
      <c r="O667" s="184"/>
      <c r="R667" s="185"/>
      <c r="T667" s="184"/>
      <c r="U667" s="184"/>
      <c r="V667" s="184"/>
      <c r="X667" s="184"/>
      <c r="Y667" s="184"/>
      <c r="Z667" s="184"/>
      <c r="AA667" s="184"/>
      <c r="AC667" s="184"/>
      <c r="AD667" s="184"/>
      <c r="AE667" s="184"/>
      <c r="AF667" s="184"/>
      <c r="AG667" s="184"/>
      <c r="AH667" s="184"/>
      <c r="AI667" s="184"/>
      <c r="AR667" s="186"/>
      <c r="AS667" s="187"/>
      <c r="AT667" s="187"/>
      <c r="AU667" s="187"/>
      <c r="AV667" s="246"/>
      <c r="BB667" s="377"/>
      <c r="BC667" s="377"/>
      <c r="BD667" s="377"/>
    </row>
    <row r="668" spans="1:56" s="163" customFormat="1" ht="16.5" customHeight="1">
      <c r="A668" s="247"/>
      <c r="B668" s="244"/>
      <c r="C668" s="245"/>
      <c r="D668" s="245"/>
      <c r="E668" s="183"/>
      <c r="F668" s="183"/>
      <c r="G668" s="183"/>
      <c r="H668" s="184"/>
      <c r="I668" s="184"/>
      <c r="J668" s="184"/>
      <c r="L668" s="184"/>
      <c r="M668" s="184"/>
      <c r="N668" s="184"/>
      <c r="O668" s="184"/>
      <c r="R668" s="185"/>
      <c r="T668" s="184"/>
      <c r="U668" s="184"/>
      <c r="V668" s="184"/>
      <c r="X668" s="184"/>
      <c r="Y668" s="184"/>
      <c r="Z668" s="184"/>
      <c r="AA668" s="184"/>
      <c r="AC668" s="184"/>
      <c r="AD668" s="184"/>
      <c r="AE668" s="184"/>
      <c r="AF668" s="184"/>
      <c r="AG668" s="184"/>
      <c r="AH668" s="184"/>
      <c r="AI668" s="184"/>
      <c r="AR668" s="186"/>
      <c r="AS668" s="187"/>
      <c r="AT668" s="187"/>
      <c r="AU668" s="187"/>
      <c r="AV668" s="246"/>
      <c r="BB668" s="377"/>
      <c r="BC668" s="377"/>
      <c r="BD668" s="377"/>
    </row>
    <row r="669" spans="1:56" s="163" customFormat="1" ht="16.5" customHeight="1">
      <c r="A669" s="247"/>
      <c r="B669" s="244"/>
      <c r="C669" s="245"/>
      <c r="D669" s="245"/>
      <c r="E669" s="183"/>
      <c r="F669" s="183"/>
      <c r="G669" s="183"/>
      <c r="H669" s="184"/>
      <c r="I669" s="184"/>
      <c r="J669" s="184"/>
      <c r="L669" s="184"/>
      <c r="M669" s="184"/>
      <c r="N669" s="184"/>
      <c r="O669" s="184"/>
      <c r="R669" s="185"/>
      <c r="T669" s="184"/>
      <c r="U669" s="184"/>
      <c r="V669" s="184"/>
      <c r="X669" s="184"/>
      <c r="Y669" s="184"/>
      <c r="Z669" s="184"/>
      <c r="AA669" s="184"/>
      <c r="AC669" s="184"/>
      <c r="AD669" s="184"/>
      <c r="AE669" s="184"/>
      <c r="AF669" s="184"/>
      <c r="AG669" s="184"/>
      <c r="AH669" s="184"/>
      <c r="AI669" s="184"/>
      <c r="AR669" s="186"/>
      <c r="AS669" s="187"/>
      <c r="AT669" s="187"/>
      <c r="AU669" s="187"/>
      <c r="AV669" s="246"/>
      <c r="BB669" s="377"/>
      <c r="BC669" s="377"/>
      <c r="BD669" s="377"/>
    </row>
    <row r="670" spans="1:56" s="163" customFormat="1" ht="16.5" customHeight="1">
      <c r="A670" s="247"/>
      <c r="B670" s="244"/>
      <c r="C670" s="245"/>
      <c r="D670" s="245"/>
      <c r="E670" s="183"/>
      <c r="F670" s="183"/>
      <c r="G670" s="183"/>
      <c r="H670" s="184"/>
      <c r="I670" s="184"/>
      <c r="J670" s="184"/>
      <c r="L670" s="184"/>
      <c r="M670" s="184"/>
      <c r="N670" s="184"/>
      <c r="O670" s="184"/>
      <c r="R670" s="185"/>
      <c r="T670" s="184"/>
      <c r="U670" s="184"/>
      <c r="V670" s="184"/>
      <c r="X670" s="184"/>
      <c r="Y670" s="184"/>
      <c r="Z670" s="184"/>
      <c r="AA670" s="184"/>
      <c r="AC670" s="184"/>
      <c r="AD670" s="184"/>
      <c r="AE670" s="184"/>
      <c r="AF670" s="184"/>
      <c r="AG670" s="184"/>
      <c r="AH670" s="184"/>
      <c r="AI670" s="184"/>
      <c r="AR670" s="186"/>
      <c r="AS670" s="187"/>
      <c r="AT670" s="187"/>
      <c r="AU670" s="187"/>
      <c r="AV670" s="246"/>
      <c r="BB670" s="377"/>
      <c r="BC670" s="377"/>
      <c r="BD670" s="377"/>
    </row>
    <row r="671" spans="1:56" s="163" customFormat="1" ht="16.5" customHeight="1">
      <c r="A671" s="247"/>
      <c r="B671" s="244"/>
      <c r="C671" s="245"/>
      <c r="D671" s="245"/>
      <c r="E671" s="183"/>
      <c r="F671" s="183"/>
      <c r="G671" s="183"/>
      <c r="H671" s="184"/>
      <c r="I671" s="184"/>
      <c r="J671" s="184"/>
      <c r="L671" s="184"/>
      <c r="M671" s="184"/>
      <c r="N671" s="184"/>
      <c r="O671" s="184"/>
      <c r="R671" s="185"/>
      <c r="T671" s="184"/>
      <c r="U671" s="184"/>
      <c r="V671" s="184"/>
      <c r="X671" s="184"/>
      <c r="Y671" s="184"/>
      <c r="Z671" s="184"/>
      <c r="AA671" s="184"/>
      <c r="AC671" s="184"/>
      <c r="AD671" s="184"/>
      <c r="AE671" s="184"/>
      <c r="AF671" s="184"/>
      <c r="AG671" s="184"/>
      <c r="AH671" s="184"/>
      <c r="AI671" s="184"/>
      <c r="AR671" s="186"/>
      <c r="AS671" s="187"/>
      <c r="AT671" s="187"/>
      <c r="AU671" s="187"/>
      <c r="AV671" s="246"/>
      <c r="BB671" s="377"/>
      <c r="BC671" s="377"/>
      <c r="BD671" s="377"/>
    </row>
    <row r="672" spans="1:56" s="163" customFormat="1" ht="16.5" customHeight="1">
      <c r="A672" s="247"/>
      <c r="B672" s="244"/>
      <c r="C672" s="245"/>
      <c r="D672" s="245"/>
      <c r="E672" s="183"/>
      <c r="F672" s="183"/>
      <c r="G672" s="183"/>
      <c r="H672" s="184"/>
      <c r="I672" s="184"/>
      <c r="J672" s="184"/>
      <c r="L672" s="184"/>
      <c r="M672" s="184"/>
      <c r="N672" s="184"/>
      <c r="O672" s="184"/>
      <c r="R672" s="185"/>
      <c r="T672" s="184"/>
      <c r="U672" s="184"/>
      <c r="V672" s="184"/>
      <c r="X672" s="184"/>
      <c r="Y672" s="184"/>
      <c r="Z672" s="184"/>
      <c r="AA672" s="184"/>
      <c r="AC672" s="184"/>
      <c r="AD672" s="184"/>
      <c r="AE672" s="184"/>
      <c r="AF672" s="184"/>
      <c r="AG672" s="184"/>
      <c r="AH672" s="184"/>
      <c r="AI672" s="184"/>
      <c r="AR672" s="186"/>
      <c r="AS672" s="187"/>
      <c r="AT672" s="187"/>
      <c r="AU672" s="187"/>
      <c r="AV672" s="246"/>
      <c r="BB672" s="377"/>
      <c r="BC672" s="377"/>
      <c r="BD672" s="377"/>
    </row>
    <row r="673" spans="1:56" s="163" customFormat="1" ht="16.5" customHeight="1">
      <c r="A673" s="247"/>
      <c r="B673" s="244"/>
      <c r="C673" s="245"/>
      <c r="D673" s="245"/>
      <c r="E673" s="183"/>
      <c r="F673" s="183"/>
      <c r="G673" s="183"/>
      <c r="H673" s="184"/>
      <c r="I673" s="184"/>
      <c r="J673" s="184"/>
      <c r="L673" s="184"/>
      <c r="M673" s="184"/>
      <c r="N673" s="184"/>
      <c r="O673" s="184"/>
      <c r="R673" s="185"/>
      <c r="T673" s="184"/>
      <c r="U673" s="184"/>
      <c r="V673" s="184"/>
      <c r="X673" s="184"/>
      <c r="Y673" s="184"/>
      <c r="Z673" s="184"/>
      <c r="AA673" s="184"/>
      <c r="AC673" s="184"/>
      <c r="AD673" s="184"/>
      <c r="AE673" s="184"/>
      <c r="AF673" s="184"/>
      <c r="AG673" s="184"/>
      <c r="AH673" s="184"/>
      <c r="AI673" s="184"/>
      <c r="AR673" s="186"/>
      <c r="AS673" s="187"/>
      <c r="AT673" s="187"/>
      <c r="AU673" s="187"/>
      <c r="AV673" s="246"/>
      <c r="BB673" s="377"/>
      <c r="BC673" s="377"/>
      <c r="BD673" s="377"/>
    </row>
    <row r="674" spans="1:56" s="163" customFormat="1" ht="16.5" customHeight="1">
      <c r="A674" s="247"/>
      <c r="B674" s="244"/>
      <c r="C674" s="245"/>
      <c r="D674" s="245"/>
      <c r="E674" s="183"/>
      <c r="F674" s="183"/>
      <c r="G674" s="183"/>
      <c r="H674" s="184"/>
      <c r="I674" s="184"/>
      <c r="J674" s="184"/>
      <c r="L674" s="184"/>
      <c r="M674" s="184"/>
      <c r="N674" s="184"/>
      <c r="O674" s="184"/>
      <c r="R674" s="185"/>
      <c r="T674" s="184"/>
      <c r="U674" s="184"/>
      <c r="V674" s="184"/>
      <c r="X674" s="184"/>
      <c r="Y674" s="184"/>
      <c r="Z674" s="184"/>
      <c r="AA674" s="184"/>
      <c r="AC674" s="184"/>
      <c r="AD674" s="184"/>
      <c r="AE674" s="184"/>
      <c r="AF674" s="184"/>
      <c r="AG674" s="184"/>
      <c r="AH674" s="184"/>
      <c r="AI674" s="184"/>
      <c r="AR674" s="186"/>
      <c r="AS674" s="187"/>
      <c r="AT674" s="187"/>
      <c r="AU674" s="187"/>
      <c r="AV674" s="246"/>
      <c r="BB674" s="377"/>
      <c r="BC674" s="377"/>
      <c r="BD674" s="377"/>
    </row>
    <row r="675" spans="1:56" s="163" customFormat="1" ht="16.5" customHeight="1">
      <c r="A675" s="247"/>
      <c r="B675" s="244"/>
      <c r="C675" s="245"/>
      <c r="D675" s="245"/>
      <c r="E675" s="183"/>
      <c r="F675" s="183"/>
      <c r="G675" s="183"/>
      <c r="H675" s="184"/>
      <c r="I675" s="184"/>
      <c r="J675" s="184"/>
      <c r="L675" s="184"/>
      <c r="M675" s="184"/>
      <c r="N675" s="184"/>
      <c r="O675" s="184"/>
      <c r="R675" s="185"/>
      <c r="T675" s="184"/>
      <c r="U675" s="184"/>
      <c r="V675" s="184"/>
      <c r="X675" s="184"/>
      <c r="Y675" s="184"/>
      <c r="Z675" s="184"/>
      <c r="AA675" s="184"/>
      <c r="AC675" s="184"/>
      <c r="AD675" s="184"/>
      <c r="AE675" s="184"/>
      <c r="AF675" s="184"/>
      <c r="AG675" s="184"/>
      <c r="AH675" s="184"/>
      <c r="AI675" s="184"/>
      <c r="AR675" s="186"/>
      <c r="AS675" s="187"/>
      <c r="AT675" s="187"/>
      <c r="AU675" s="187"/>
      <c r="AV675" s="246"/>
      <c r="BB675" s="377"/>
      <c r="BC675" s="377"/>
      <c r="BD675" s="377"/>
    </row>
    <row r="676" spans="1:56" s="163" customFormat="1" ht="16.5" customHeight="1">
      <c r="A676" s="247"/>
      <c r="B676" s="244"/>
      <c r="C676" s="245"/>
      <c r="D676" s="245"/>
      <c r="E676" s="183"/>
      <c r="F676" s="183"/>
      <c r="G676" s="183"/>
      <c r="H676" s="184"/>
      <c r="I676" s="184"/>
      <c r="J676" s="184"/>
      <c r="L676" s="184"/>
      <c r="M676" s="184"/>
      <c r="N676" s="184"/>
      <c r="O676" s="184"/>
      <c r="R676" s="185"/>
      <c r="T676" s="184"/>
      <c r="U676" s="184"/>
      <c r="V676" s="184"/>
      <c r="X676" s="184"/>
      <c r="Y676" s="184"/>
      <c r="Z676" s="184"/>
      <c r="AA676" s="184"/>
      <c r="AC676" s="184"/>
      <c r="AD676" s="184"/>
      <c r="AE676" s="184"/>
      <c r="AF676" s="184"/>
      <c r="AG676" s="184"/>
      <c r="AH676" s="184"/>
      <c r="AI676" s="184"/>
      <c r="AR676" s="186"/>
      <c r="AS676" s="187"/>
      <c r="AT676" s="187"/>
      <c r="AU676" s="187"/>
      <c r="AV676" s="246"/>
      <c r="BB676" s="377"/>
      <c r="BC676" s="377"/>
      <c r="BD676" s="377"/>
    </row>
    <row r="677" spans="1:56" s="163" customFormat="1" ht="16.5" customHeight="1">
      <c r="A677" s="247"/>
      <c r="B677" s="244"/>
      <c r="C677" s="245"/>
      <c r="D677" s="245"/>
      <c r="E677" s="183"/>
      <c r="F677" s="183"/>
      <c r="G677" s="183"/>
      <c r="H677" s="184"/>
      <c r="I677" s="184"/>
      <c r="J677" s="184"/>
      <c r="L677" s="184"/>
      <c r="M677" s="184"/>
      <c r="N677" s="184"/>
      <c r="O677" s="184"/>
      <c r="R677" s="185"/>
      <c r="T677" s="184"/>
      <c r="U677" s="184"/>
      <c r="V677" s="184"/>
      <c r="X677" s="184"/>
      <c r="Y677" s="184"/>
      <c r="Z677" s="184"/>
      <c r="AA677" s="184"/>
      <c r="AC677" s="184"/>
      <c r="AD677" s="184"/>
      <c r="AE677" s="184"/>
      <c r="AF677" s="184"/>
      <c r="AG677" s="184"/>
      <c r="AH677" s="184"/>
      <c r="AI677" s="184"/>
      <c r="AR677" s="186"/>
      <c r="AS677" s="187"/>
      <c r="AT677" s="187"/>
      <c r="AU677" s="187"/>
      <c r="AV677" s="246"/>
      <c r="BB677" s="377"/>
      <c r="BC677" s="377"/>
      <c r="BD677" s="377"/>
    </row>
    <row r="678" spans="1:56" s="163" customFormat="1" ht="16.5" customHeight="1">
      <c r="A678" s="247"/>
      <c r="B678" s="244"/>
      <c r="C678" s="245"/>
      <c r="D678" s="245"/>
      <c r="E678" s="183"/>
      <c r="F678" s="183"/>
      <c r="G678" s="183"/>
      <c r="H678" s="184"/>
      <c r="I678" s="184"/>
      <c r="J678" s="184"/>
      <c r="L678" s="184"/>
      <c r="M678" s="184"/>
      <c r="N678" s="184"/>
      <c r="O678" s="184"/>
      <c r="R678" s="185"/>
      <c r="T678" s="184"/>
      <c r="U678" s="184"/>
      <c r="V678" s="184"/>
      <c r="X678" s="184"/>
      <c r="Y678" s="184"/>
      <c r="Z678" s="184"/>
      <c r="AA678" s="184"/>
      <c r="AC678" s="184"/>
      <c r="AD678" s="184"/>
      <c r="AE678" s="184"/>
      <c r="AF678" s="184"/>
      <c r="AG678" s="184"/>
      <c r="AH678" s="184"/>
      <c r="AI678" s="184"/>
      <c r="AR678" s="186"/>
      <c r="AS678" s="187"/>
      <c r="AT678" s="187"/>
      <c r="AU678" s="187"/>
      <c r="AV678" s="246"/>
      <c r="BB678" s="377"/>
      <c r="BC678" s="377"/>
      <c r="BD678" s="377"/>
    </row>
    <row r="679" spans="1:56" s="163" customFormat="1" ht="16.5" customHeight="1">
      <c r="A679" s="247"/>
      <c r="B679" s="244"/>
      <c r="C679" s="245"/>
      <c r="D679" s="245"/>
      <c r="E679" s="183"/>
      <c r="F679" s="183"/>
      <c r="G679" s="183"/>
      <c r="H679" s="184"/>
      <c r="I679" s="184"/>
      <c r="J679" s="184"/>
      <c r="L679" s="184"/>
      <c r="M679" s="184"/>
      <c r="N679" s="184"/>
      <c r="O679" s="184"/>
      <c r="R679" s="185"/>
      <c r="T679" s="184"/>
      <c r="U679" s="184"/>
      <c r="V679" s="184"/>
      <c r="X679" s="184"/>
      <c r="Y679" s="184"/>
      <c r="Z679" s="184"/>
      <c r="AA679" s="184"/>
      <c r="AC679" s="184"/>
      <c r="AD679" s="184"/>
      <c r="AE679" s="184"/>
      <c r="AF679" s="184"/>
      <c r="AG679" s="184"/>
      <c r="AH679" s="184"/>
      <c r="AI679" s="184"/>
      <c r="AR679" s="186"/>
      <c r="AS679" s="187"/>
      <c r="AT679" s="187"/>
      <c r="AU679" s="187"/>
      <c r="AV679" s="246"/>
      <c r="BB679" s="377"/>
      <c r="BC679" s="377"/>
      <c r="BD679" s="377"/>
    </row>
    <row r="680" spans="1:56" s="163" customFormat="1" ht="16.5" customHeight="1">
      <c r="A680" s="247"/>
      <c r="B680" s="244"/>
      <c r="C680" s="245"/>
      <c r="D680" s="245"/>
      <c r="E680" s="183"/>
      <c r="F680" s="183"/>
      <c r="G680" s="183"/>
      <c r="H680" s="184"/>
      <c r="I680" s="184"/>
      <c r="J680" s="184"/>
      <c r="L680" s="184"/>
      <c r="M680" s="184"/>
      <c r="N680" s="184"/>
      <c r="O680" s="184"/>
      <c r="R680" s="185"/>
      <c r="T680" s="184"/>
      <c r="U680" s="184"/>
      <c r="V680" s="184"/>
      <c r="X680" s="184"/>
      <c r="Y680" s="184"/>
      <c r="Z680" s="184"/>
      <c r="AA680" s="184"/>
      <c r="AC680" s="184"/>
      <c r="AD680" s="184"/>
      <c r="AE680" s="184"/>
      <c r="AF680" s="184"/>
      <c r="AG680" s="184"/>
      <c r="AH680" s="184"/>
      <c r="AI680" s="184"/>
      <c r="AR680" s="186"/>
      <c r="AS680" s="187"/>
      <c r="AT680" s="187"/>
      <c r="AU680" s="187"/>
      <c r="AV680" s="246"/>
      <c r="BB680" s="377"/>
      <c r="BC680" s="377"/>
      <c r="BD680" s="377"/>
    </row>
    <row r="681" spans="1:56" s="163" customFormat="1" ht="16.5" customHeight="1">
      <c r="A681" s="247"/>
      <c r="B681" s="244"/>
      <c r="C681" s="245"/>
      <c r="D681" s="245"/>
      <c r="E681" s="183"/>
      <c r="F681" s="183"/>
      <c r="G681" s="183"/>
      <c r="H681" s="184"/>
      <c r="I681" s="184"/>
      <c r="J681" s="184"/>
      <c r="L681" s="184"/>
      <c r="M681" s="184"/>
      <c r="N681" s="184"/>
      <c r="O681" s="184"/>
      <c r="R681" s="185"/>
      <c r="T681" s="184"/>
      <c r="U681" s="184"/>
      <c r="V681" s="184"/>
      <c r="X681" s="184"/>
      <c r="Y681" s="184"/>
      <c r="Z681" s="184"/>
      <c r="AA681" s="184"/>
      <c r="AC681" s="184"/>
      <c r="AD681" s="184"/>
      <c r="AE681" s="184"/>
      <c r="AF681" s="184"/>
      <c r="AG681" s="184"/>
      <c r="AH681" s="184"/>
      <c r="AI681" s="184"/>
      <c r="AR681" s="186"/>
      <c r="AS681" s="187"/>
      <c r="AT681" s="187"/>
      <c r="AU681" s="187"/>
      <c r="AV681" s="246"/>
      <c r="BB681" s="377"/>
      <c r="BC681" s="377"/>
      <c r="BD681" s="377"/>
    </row>
    <row r="682" spans="1:56" s="163" customFormat="1" ht="16.5" customHeight="1">
      <c r="A682" s="247"/>
      <c r="B682" s="244"/>
      <c r="C682" s="245"/>
      <c r="D682" s="245"/>
      <c r="E682" s="183"/>
      <c r="F682" s="183"/>
      <c r="G682" s="183"/>
      <c r="H682" s="184"/>
      <c r="I682" s="184"/>
      <c r="J682" s="184"/>
      <c r="L682" s="184"/>
      <c r="M682" s="184"/>
      <c r="N682" s="184"/>
      <c r="O682" s="184"/>
      <c r="R682" s="185"/>
      <c r="T682" s="184"/>
      <c r="U682" s="184"/>
      <c r="V682" s="184"/>
      <c r="X682" s="184"/>
      <c r="Y682" s="184"/>
      <c r="Z682" s="184"/>
      <c r="AA682" s="184"/>
      <c r="AC682" s="184"/>
      <c r="AD682" s="184"/>
      <c r="AE682" s="184"/>
      <c r="AF682" s="184"/>
      <c r="AG682" s="184"/>
      <c r="AH682" s="184"/>
      <c r="AI682" s="184"/>
      <c r="AR682" s="186"/>
      <c r="AS682" s="187"/>
      <c r="AT682" s="187"/>
      <c r="AU682" s="187"/>
      <c r="AV682" s="246"/>
      <c r="BB682" s="377"/>
      <c r="BC682" s="377"/>
      <c r="BD682" s="377"/>
    </row>
    <row r="683" spans="1:56" s="163" customFormat="1" ht="16.5" customHeight="1">
      <c r="A683" s="247"/>
      <c r="B683" s="244"/>
      <c r="C683" s="245"/>
      <c r="D683" s="245"/>
      <c r="E683" s="183"/>
      <c r="F683" s="183"/>
      <c r="G683" s="183"/>
      <c r="H683" s="184"/>
      <c r="I683" s="184"/>
      <c r="J683" s="184"/>
      <c r="L683" s="184"/>
      <c r="M683" s="184"/>
      <c r="N683" s="184"/>
      <c r="O683" s="184"/>
      <c r="R683" s="185"/>
      <c r="T683" s="184"/>
      <c r="U683" s="184"/>
      <c r="V683" s="184"/>
      <c r="X683" s="184"/>
      <c r="Y683" s="184"/>
      <c r="Z683" s="184"/>
      <c r="AA683" s="184"/>
      <c r="AC683" s="184"/>
      <c r="AD683" s="184"/>
      <c r="AE683" s="184"/>
      <c r="AF683" s="184"/>
      <c r="AG683" s="184"/>
      <c r="AH683" s="184"/>
      <c r="AI683" s="184"/>
      <c r="AR683" s="186"/>
      <c r="AS683" s="187"/>
      <c r="AT683" s="187"/>
      <c r="AU683" s="187"/>
      <c r="AV683" s="246"/>
      <c r="BB683" s="377"/>
      <c r="BC683" s="377"/>
      <c r="BD683" s="377"/>
    </row>
    <row r="684" spans="1:56" s="163" customFormat="1" ht="16.5" customHeight="1">
      <c r="A684" s="247"/>
      <c r="B684" s="244"/>
      <c r="C684" s="245"/>
      <c r="D684" s="245"/>
      <c r="E684" s="183"/>
      <c r="F684" s="183"/>
      <c r="G684" s="183"/>
      <c r="H684" s="184"/>
      <c r="I684" s="184"/>
      <c r="J684" s="184"/>
      <c r="L684" s="184"/>
      <c r="M684" s="184"/>
      <c r="N684" s="184"/>
      <c r="O684" s="184"/>
      <c r="R684" s="185"/>
      <c r="T684" s="184"/>
      <c r="U684" s="184"/>
      <c r="V684" s="184"/>
      <c r="X684" s="184"/>
      <c r="Y684" s="184"/>
      <c r="Z684" s="184"/>
      <c r="AA684" s="184"/>
      <c r="AC684" s="184"/>
      <c r="AD684" s="184"/>
      <c r="AE684" s="184"/>
      <c r="AF684" s="184"/>
      <c r="AG684" s="184"/>
      <c r="AH684" s="184"/>
      <c r="AI684" s="184"/>
      <c r="AR684" s="186"/>
      <c r="AS684" s="187"/>
      <c r="AT684" s="187"/>
      <c r="AU684" s="187"/>
      <c r="AV684" s="246"/>
      <c r="BB684" s="377"/>
      <c r="BC684" s="377"/>
      <c r="BD684" s="377"/>
    </row>
    <row r="685" spans="1:56" s="163" customFormat="1" ht="16.5" customHeight="1">
      <c r="A685" s="247"/>
      <c r="B685" s="244"/>
      <c r="C685" s="245"/>
      <c r="D685" s="245"/>
      <c r="E685" s="183"/>
      <c r="F685" s="183"/>
      <c r="G685" s="183"/>
      <c r="H685" s="184"/>
      <c r="I685" s="184"/>
      <c r="J685" s="184"/>
      <c r="L685" s="184"/>
      <c r="M685" s="184"/>
      <c r="N685" s="184"/>
      <c r="O685" s="184"/>
      <c r="R685" s="185"/>
      <c r="T685" s="184"/>
      <c r="U685" s="184"/>
      <c r="V685" s="184"/>
      <c r="X685" s="184"/>
      <c r="Y685" s="184"/>
      <c r="Z685" s="184"/>
      <c r="AA685" s="184"/>
      <c r="AC685" s="184"/>
      <c r="AD685" s="184"/>
      <c r="AE685" s="184"/>
      <c r="AF685" s="184"/>
      <c r="AG685" s="184"/>
      <c r="AH685" s="184"/>
      <c r="AI685" s="184"/>
      <c r="AR685" s="186"/>
      <c r="AS685" s="187"/>
      <c r="AT685" s="187"/>
      <c r="AU685" s="187"/>
      <c r="AV685" s="246"/>
      <c r="BB685" s="377"/>
      <c r="BC685" s="377"/>
      <c r="BD685" s="377"/>
    </row>
    <row r="686" spans="1:56" s="163" customFormat="1" ht="16.5" customHeight="1">
      <c r="A686" s="247"/>
      <c r="B686" s="244"/>
      <c r="C686" s="245"/>
      <c r="D686" s="245"/>
      <c r="E686" s="183"/>
      <c r="F686" s="183"/>
      <c r="G686" s="183"/>
      <c r="H686" s="184"/>
      <c r="I686" s="184"/>
      <c r="J686" s="184"/>
      <c r="L686" s="184"/>
      <c r="M686" s="184"/>
      <c r="N686" s="184"/>
      <c r="O686" s="184"/>
      <c r="R686" s="185"/>
      <c r="T686" s="184"/>
      <c r="U686" s="184"/>
      <c r="V686" s="184"/>
      <c r="X686" s="184"/>
      <c r="Y686" s="184"/>
      <c r="Z686" s="184"/>
      <c r="AA686" s="184"/>
      <c r="AC686" s="184"/>
      <c r="AD686" s="184"/>
      <c r="AE686" s="184"/>
      <c r="AF686" s="184"/>
      <c r="AG686" s="184"/>
      <c r="AH686" s="184"/>
      <c r="AI686" s="184"/>
      <c r="AR686" s="186"/>
      <c r="AS686" s="187"/>
      <c r="AT686" s="187"/>
      <c r="AU686" s="187"/>
      <c r="AV686" s="246"/>
      <c r="BB686" s="377"/>
      <c r="BC686" s="377"/>
      <c r="BD686" s="377"/>
    </row>
    <row r="687" spans="1:56" s="163" customFormat="1" ht="16.5" customHeight="1">
      <c r="A687" s="247"/>
      <c r="B687" s="244"/>
      <c r="C687" s="245"/>
      <c r="D687" s="245"/>
      <c r="E687" s="183"/>
      <c r="F687" s="183"/>
      <c r="G687" s="183"/>
      <c r="H687" s="184"/>
      <c r="I687" s="184"/>
      <c r="J687" s="184"/>
      <c r="L687" s="184"/>
      <c r="M687" s="184"/>
      <c r="N687" s="184"/>
      <c r="O687" s="184"/>
      <c r="R687" s="185"/>
      <c r="T687" s="184"/>
      <c r="U687" s="184"/>
      <c r="V687" s="184"/>
      <c r="X687" s="184"/>
      <c r="Y687" s="184"/>
      <c r="Z687" s="184"/>
      <c r="AA687" s="184"/>
      <c r="AC687" s="184"/>
      <c r="AD687" s="184"/>
      <c r="AE687" s="184"/>
      <c r="AF687" s="184"/>
      <c r="AG687" s="184"/>
      <c r="AH687" s="184"/>
      <c r="AI687" s="184"/>
      <c r="AR687" s="186"/>
      <c r="AS687" s="187"/>
      <c r="AT687" s="187"/>
      <c r="AU687" s="187"/>
      <c r="AV687" s="246"/>
      <c r="BB687" s="377"/>
      <c r="BC687" s="377"/>
      <c r="BD687" s="377"/>
    </row>
    <row r="688" spans="1:56" s="163" customFormat="1" ht="16.5" customHeight="1">
      <c r="A688" s="247"/>
      <c r="B688" s="244"/>
      <c r="C688" s="245"/>
      <c r="D688" s="245"/>
      <c r="E688" s="183"/>
      <c r="F688" s="183"/>
      <c r="G688" s="183"/>
      <c r="H688" s="184"/>
      <c r="I688" s="184"/>
      <c r="J688" s="184"/>
      <c r="L688" s="184"/>
      <c r="M688" s="184"/>
      <c r="N688" s="184"/>
      <c r="O688" s="184"/>
      <c r="R688" s="185"/>
      <c r="T688" s="184"/>
      <c r="U688" s="184"/>
      <c r="V688" s="184"/>
      <c r="X688" s="184"/>
      <c r="Y688" s="184"/>
      <c r="Z688" s="184"/>
      <c r="AA688" s="184"/>
      <c r="AC688" s="184"/>
      <c r="AD688" s="184"/>
      <c r="AE688" s="184"/>
      <c r="AF688" s="184"/>
      <c r="AG688" s="184"/>
      <c r="AH688" s="184"/>
      <c r="AI688" s="184"/>
      <c r="AR688" s="186"/>
      <c r="AS688" s="187"/>
      <c r="AT688" s="187"/>
      <c r="AU688" s="187"/>
      <c r="AV688" s="246"/>
      <c r="BB688" s="377"/>
      <c r="BC688" s="377"/>
      <c r="BD688" s="377"/>
    </row>
    <row r="689" spans="1:56" s="163" customFormat="1" ht="16.5" customHeight="1">
      <c r="A689" s="247"/>
      <c r="B689" s="244"/>
      <c r="C689" s="245"/>
      <c r="D689" s="245"/>
      <c r="E689" s="183"/>
      <c r="F689" s="183"/>
      <c r="G689" s="183"/>
      <c r="H689" s="184"/>
      <c r="I689" s="184"/>
      <c r="J689" s="184"/>
      <c r="L689" s="184"/>
      <c r="M689" s="184"/>
      <c r="N689" s="184"/>
      <c r="O689" s="184"/>
      <c r="R689" s="185"/>
      <c r="T689" s="184"/>
      <c r="U689" s="184"/>
      <c r="V689" s="184"/>
      <c r="X689" s="184"/>
      <c r="Y689" s="184"/>
      <c r="Z689" s="184"/>
      <c r="AA689" s="184"/>
      <c r="AC689" s="184"/>
      <c r="AD689" s="184"/>
      <c r="AE689" s="184"/>
      <c r="AF689" s="184"/>
      <c r="AG689" s="184"/>
      <c r="AH689" s="184"/>
      <c r="AI689" s="184"/>
      <c r="AR689" s="186"/>
      <c r="AS689" s="187"/>
      <c r="AT689" s="187"/>
      <c r="AU689" s="187"/>
      <c r="AV689" s="246"/>
      <c r="BB689" s="377"/>
      <c r="BC689" s="377"/>
      <c r="BD689" s="377"/>
    </row>
    <row r="690" spans="1:56" s="163" customFormat="1" ht="16.5" customHeight="1">
      <c r="A690" s="247"/>
      <c r="B690" s="244"/>
      <c r="C690" s="245"/>
      <c r="D690" s="245"/>
      <c r="E690" s="183"/>
      <c r="F690" s="183"/>
      <c r="G690" s="183"/>
      <c r="H690" s="184"/>
      <c r="I690" s="184"/>
      <c r="J690" s="184"/>
      <c r="L690" s="184"/>
      <c r="M690" s="184"/>
      <c r="N690" s="184"/>
      <c r="O690" s="184"/>
      <c r="R690" s="185"/>
      <c r="T690" s="184"/>
      <c r="U690" s="184"/>
      <c r="V690" s="184"/>
      <c r="X690" s="184"/>
      <c r="Y690" s="184"/>
      <c r="Z690" s="184"/>
      <c r="AA690" s="184"/>
      <c r="AC690" s="184"/>
      <c r="AD690" s="184"/>
      <c r="AE690" s="184"/>
      <c r="AF690" s="184"/>
      <c r="AG690" s="184"/>
      <c r="AH690" s="184"/>
      <c r="AI690" s="184"/>
      <c r="AR690" s="186"/>
      <c r="AS690" s="187"/>
      <c r="AT690" s="187"/>
      <c r="AU690" s="187"/>
      <c r="AV690" s="246"/>
      <c r="BB690" s="377"/>
      <c r="BC690" s="377"/>
      <c r="BD690" s="377"/>
    </row>
    <row r="691" spans="1:56" s="163" customFormat="1" ht="16.5" customHeight="1">
      <c r="A691" s="247"/>
      <c r="B691" s="244"/>
      <c r="C691" s="245"/>
      <c r="D691" s="245"/>
      <c r="E691" s="183"/>
      <c r="F691" s="183"/>
      <c r="G691" s="183"/>
      <c r="H691" s="184"/>
      <c r="I691" s="184"/>
      <c r="J691" s="184"/>
      <c r="L691" s="184"/>
      <c r="M691" s="184"/>
      <c r="N691" s="184"/>
      <c r="O691" s="184"/>
      <c r="R691" s="185"/>
      <c r="T691" s="184"/>
      <c r="U691" s="184"/>
      <c r="V691" s="184"/>
      <c r="X691" s="184"/>
      <c r="Y691" s="184"/>
      <c r="Z691" s="184"/>
      <c r="AA691" s="184"/>
      <c r="AC691" s="184"/>
      <c r="AD691" s="184"/>
      <c r="AE691" s="184"/>
      <c r="AF691" s="184"/>
      <c r="AG691" s="184"/>
      <c r="AH691" s="184"/>
      <c r="AI691" s="184"/>
      <c r="AR691" s="186"/>
      <c r="AS691" s="187"/>
      <c r="AT691" s="187"/>
      <c r="AU691" s="187"/>
      <c r="AV691" s="246"/>
      <c r="BB691" s="377"/>
      <c r="BC691" s="377"/>
      <c r="BD691" s="377"/>
    </row>
    <row r="692" spans="1:56" s="163" customFormat="1" ht="16.5" customHeight="1">
      <c r="A692" s="247"/>
      <c r="B692" s="244"/>
      <c r="C692" s="245"/>
      <c r="D692" s="245"/>
      <c r="E692" s="183"/>
      <c r="F692" s="183"/>
      <c r="G692" s="183"/>
      <c r="H692" s="184"/>
      <c r="I692" s="184"/>
      <c r="J692" s="184"/>
      <c r="L692" s="184"/>
      <c r="M692" s="184"/>
      <c r="N692" s="184"/>
      <c r="O692" s="184"/>
      <c r="R692" s="185"/>
      <c r="T692" s="184"/>
      <c r="U692" s="184"/>
      <c r="V692" s="184"/>
      <c r="X692" s="184"/>
      <c r="Y692" s="184"/>
      <c r="Z692" s="184"/>
      <c r="AA692" s="184"/>
      <c r="AC692" s="184"/>
      <c r="AD692" s="184"/>
      <c r="AE692" s="184"/>
      <c r="AF692" s="184"/>
      <c r="AG692" s="184"/>
      <c r="AH692" s="184"/>
      <c r="AI692" s="184"/>
      <c r="AR692" s="186"/>
      <c r="AS692" s="187"/>
      <c r="AT692" s="187"/>
      <c r="AU692" s="187"/>
      <c r="AV692" s="246"/>
      <c r="BB692" s="377"/>
      <c r="BC692" s="377"/>
      <c r="BD692" s="377"/>
    </row>
    <row r="693" spans="1:56" s="163" customFormat="1" ht="16.5" customHeight="1">
      <c r="A693" s="247"/>
      <c r="B693" s="244"/>
      <c r="C693" s="245"/>
      <c r="D693" s="245"/>
      <c r="E693" s="183"/>
      <c r="F693" s="183"/>
      <c r="G693" s="183"/>
      <c r="H693" s="184"/>
      <c r="I693" s="184"/>
      <c r="J693" s="184"/>
      <c r="L693" s="184"/>
      <c r="M693" s="184"/>
      <c r="N693" s="184"/>
      <c r="O693" s="184"/>
      <c r="R693" s="185"/>
      <c r="T693" s="184"/>
      <c r="U693" s="184"/>
      <c r="V693" s="184"/>
      <c r="X693" s="184"/>
      <c r="Y693" s="184"/>
      <c r="Z693" s="184"/>
      <c r="AA693" s="184"/>
      <c r="AC693" s="184"/>
      <c r="AD693" s="184"/>
      <c r="AE693" s="184"/>
      <c r="AF693" s="184"/>
      <c r="AG693" s="184"/>
      <c r="AH693" s="184"/>
      <c r="AI693" s="184"/>
      <c r="AR693" s="186"/>
      <c r="AS693" s="187"/>
      <c r="AT693" s="187"/>
      <c r="AU693" s="187"/>
      <c r="AV693" s="246"/>
      <c r="BB693" s="377"/>
      <c r="BC693" s="377"/>
      <c r="BD693" s="377"/>
    </row>
    <row r="694" spans="1:56" s="163" customFormat="1" ht="16.5" customHeight="1">
      <c r="A694" s="247"/>
      <c r="B694" s="244"/>
      <c r="C694" s="245"/>
      <c r="D694" s="245"/>
      <c r="E694" s="183"/>
      <c r="F694" s="183"/>
      <c r="G694" s="183"/>
      <c r="H694" s="184"/>
      <c r="I694" s="184"/>
      <c r="J694" s="184"/>
      <c r="L694" s="184"/>
      <c r="M694" s="184"/>
      <c r="N694" s="184"/>
      <c r="O694" s="184"/>
      <c r="R694" s="185"/>
      <c r="T694" s="184"/>
      <c r="U694" s="184"/>
      <c r="V694" s="184"/>
      <c r="X694" s="184"/>
      <c r="Y694" s="184"/>
      <c r="Z694" s="184"/>
      <c r="AA694" s="184"/>
      <c r="AC694" s="184"/>
      <c r="AD694" s="184"/>
      <c r="AE694" s="184"/>
      <c r="AF694" s="184"/>
      <c r="AG694" s="184"/>
      <c r="AH694" s="184"/>
      <c r="AI694" s="184"/>
      <c r="AR694" s="186"/>
      <c r="AS694" s="187"/>
      <c r="AT694" s="187"/>
      <c r="AU694" s="187"/>
      <c r="AV694" s="246"/>
      <c r="BB694" s="377"/>
      <c r="BC694" s="377"/>
      <c r="BD694" s="377"/>
    </row>
    <row r="695" spans="1:56" s="163" customFormat="1" ht="16.5" customHeight="1">
      <c r="A695" s="247"/>
      <c r="B695" s="244"/>
      <c r="C695" s="245"/>
      <c r="D695" s="245"/>
      <c r="E695" s="183"/>
      <c r="F695" s="183"/>
      <c r="G695" s="183"/>
      <c r="H695" s="184"/>
      <c r="I695" s="184"/>
      <c r="J695" s="184"/>
      <c r="L695" s="184"/>
      <c r="M695" s="184"/>
      <c r="N695" s="184"/>
      <c r="O695" s="184"/>
      <c r="R695" s="185"/>
      <c r="T695" s="184"/>
      <c r="U695" s="184"/>
      <c r="V695" s="184"/>
      <c r="X695" s="184"/>
      <c r="Y695" s="184"/>
      <c r="Z695" s="184"/>
      <c r="AA695" s="184"/>
      <c r="AC695" s="184"/>
      <c r="AD695" s="184"/>
      <c r="AE695" s="184"/>
      <c r="AF695" s="184"/>
      <c r="AG695" s="184"/>
      <c r="AH695" s="184"/>
      <c r="AI695" s="184"/>
      <c r="AR695" s="186"/>
      <c r="AS695" s="187"/>
      <c r="AT695" s="187"/>
      <c r="AU695" s="187"/>
      <c r="AV695" s="246"/>
      <c r="BB695" s="377"/>
      <c r="BC695" s="377"/>
      <c r="BD695" s="377"/>
    </row>
    <row r="696" spans="1:56" s="163" customFormat="1" ht="16.5" customHeight="1">
      <c r="A696" s="247"/>
      <c r="B696" s="244"/>
      <c r="C696" s="245"/>
      <c r="D696" s="245"/>
      <c r="E696" s="183"/>
      <c r="F696" s="183"/>
      <c r="G696" s="183"/>
      <c r="H696" s="184"/>
      <c r="I696" s="184"/>
      <c r="J696" s="184"/>
      <c r="L696" s="184"/>
      <c r="M696" s="184"/>
      <c r="N696" s="184"/>
      <c r="O696" s="184"/>
      <c r="R696" s="185"/>
      <c r="T696" s="184"/>
      <c r="U696" s="184"/>
      <c r="V696" s="184"/>
      <c r="X696" s="184"/>
      <c r="Y696" s="184"/>
      <c r="Z696" s="184"/>
      <c r="AA696" s="184"/>
      <c r="AC696" s="184"/>
      <c r="AD696" s="184"/>
      <c r="AE696" s="184"/>
      <c r="AF696" s="184"/>
      <c r="AG696" s="184"/>
      <c r="AH696" s="184"/>
      <c r="AI696" s="184"/>
      <c r="AR696" s="186"/>
      <c r="AS696" s="187"/>
      <c r="AT696" s="187"/>
      <c r="AU696" s="187"/>
      <c r="AV696" s="246"/>
      <c r="BB696" s="377"/>
      <c r="BC696" s="377"/>
      <c r="BD696" s="377"/>
    </row>
    <row r="697" spans="1:56" s="163" customFormat="1" ht="16.5" customHeight="1">
      <c r="A697" s="247"/>
      <c r="B697" s="244"/>
      <c r="C697" s="245"/>
      <c r="D697" s="245"/>
      <c r="E697" s="183"/>
      <c r="F697" s="183"/>
      <c r="G697" s="183"/>
      <c r="H697" s="184"/>
      <c r="I697" s="184"/>
      <c r="J697" s="184"/>
      <c r="L697" s="184"/>
      <c r="M697" s="184"/>
      <c r="N697" s="184"/>
      <c r="O697" s="184"/>
      <c r="R697" s="185"/>
      <c r="T697" s="184"/>
      <c r="U697" s="184"/>
      <c r="V697" s="184"/>
      <c r="X697" s="184"/>
      <c r="Y697" s="184"/>
      <c r="Z697" s="184"/>
      <c r="AA697" s="184"/>
      <c r="AC697" s="184"/>
      <c r="AD697" s="184"/>
      <c r="AE697" s="184"/>
      <c r="AF697" s="184"/>
      <c r="AG697" s="184"/>
      <c r="AH697" s="184"/>
      <c r="AI697" s="184"/>
      <c r="AR697" s="186"/>
      <c r="AS697" s="187"/>
      <c r="AT697" s="187"/>
      <c r="AU697" s="187"/>
      <c r="AV697" s="246"/>
      <c r="BB697" s="377"/>
      <c r="BC697" s="377"/>
      <c r="BD697" s="377"/>
    </row>
    <row r="698" spans="1:56" s="163" customFormat="1" ht="16.5" customHeight="1">
      <c r="A698" s="247"/>
      <c r="B698" s="244"/>
      <c r="C698" s="245"/>
      <c r="D698" s="245"/>
      <c r="E698" s="183"/>
      <c r="F698" s="183"/>
      <c r="G698" s="183"/>
      <c r="H698" s="184"/>
      <c r="I698" s="184"/>
      <c r="J698" s="184"/>
      <c r="L698" s="184"/>
      <c r="M698" s="184"/>
      <c r="N698" s="184"/>
      <c r="O698" s="184"/>
      <c r="R698" s="185"/>
      <c r="T698" s="184"/>
      <c r="U698" s="184"/>
      <c r="V698" s="184"/>
      <c r="X698" s="184"/>
      <c r="Y698" s="184"/>
      <c r="Z698" s="184"/>
      <c r="AA698" s="184"/>
      <c r="AC698" s="184"/>
      <c r="AD698" s="184"/>
      <c r="AE698" s="184"/>
      <c r="AF698" s="184"/>
      <c r="AG698" s="184"/>
      <c r="AH698" s="184"/>
      <c r="AI698" s="184"/>
      <c r="AR698" s="186"/>
      <c r="AS698" s="187"/>
      <c r="AT698" s="187"/>
      <c r="AU698" s="187"/>
      <c r="AV698" s="246"/>
      <c r="BB698" s="377"/>
      <c r="BC698" s="377"/>
      <c r="BD698" s="377"/>
    </row>
    <row r="699" spans="1:56" s="163" customFormat="1" ht="16.5" customHeight="1">
      <c r="A699" s="247"/>
      <c r="B699" s="244"/>
      <c r="C699" s="245"/>
      <c r="D699" s="245"/>
      <c r="E699" s="183"/>
      <c r="F699" s="183"/>
      <c r="G699" s="183"/>
      <c r="H699" s="184"/>
      <c r="I699" s="184"/>
      <c r="J699" s="184"/>
      <c r="L699" s="184"/>
      <c r="M699" s="184"/>
      <c r="N699" s="184"/>
      <c r="O699" s="184"/>
      <c r="R699" s="185"/>
      <c r="T699" s="184"/>
      <c r="U699" s="184"/>
      <c r="V699" s="184"/>
      <c r="X699" s="184"/>
      <c r="Y699" s="184"/>
      <c r="Z699" s="184"/>
      <c r="AA699" s="184"/>
      <c r="AC699" s="184"/>
      <c r="AD699" s="184"/>
      <c r="AE699" s="184"/>
      <c r="AF699" s="184"/>
      <c r="AG699" s="184"/>
      <c r="AH699" s="184"/>
      <c r="AI699" s="184"/>
      <c r="AR699" s="186"/>
      <c r="AS699" s="187"/>
      <c r="AT699" s="187"/>
      <c r="AU699" s="187"/>
      <c r="AV699" s="246"/>
      <c r="BB699" s="377"/>
      <c r="BC699" s="377"/>
      <c r="BD699" s="377"/>
    </row>
    <row r="700" spans="1:56" s="163" customFormat="1" ht="16.5" customHeight="1">
      <c r="A700" s="247"/>
      <c r="B700" s="244"/>
      <c r="C700" s="245"/>
      <c r="D700" s="245"/>
      <c r="E700" s="183"/>
      <c r="F700" s="183"/>
      <c r="G700" s="183"/>
      <c r="H700" s="184"/>
      <c r="I700" s="184"/>
      <c r="J700" s="184"/>
      <c r="L700" s="184"/>
      <c r="M700" s="184"/>
      <c r="N700" s="184"/>
      <c r="O700" s="184"/>
      <c r="R700" s="185"/>
      <c r="T700" s="184"/>
      <c r="U700" s="184"/>
      <c r="V700" s="184"/>
      <c r="X700" s="184"/>
      <c r="Y700" s="184"/>
      <c r="Z700" s="184"/>
      <c r="AA700" s="184"/>
      <c r="AC700" s="184"/>
      <c r="AD700" s="184"/>
      <c r="AE700" s="184"/>
      <c r="AF700" s="184"/>
      <c r="AG700" s="184"/>
      <c r="AH700" s="184"/>
      <c r="AI700" s="184"/>
      <c r="AR700" s="186"/>
      <c r="AS700" s="187"/>
      <c r="AT700" s="187"/>
      <c r="AU700" s="187"/>
      <c r="AV700" s="246"/>
      <c r="BB700" s="377"/>
      <c r="BC700" s="377"/>
      <c r="BD700" s="377"/>
    </row>
    <row r="701" spans="1:56" s="163" customFormat="1" ht="16.5" customHeight="1">
      <c r="A701" s="247"/>
      <c r="B701" s="244"/>
      <c r="C701" s="245"/>
      <c r="D701" s="245"/>
      <c r="E701" s="183"/>
      <c r="F701" s="183"/>
      <c r="G701" s="183"/>
      <c r="H701" s="184"/>
      <c r="I701" s="184"/>
      <c r="J701" s="184"/>
      <c r="L701" s="184"/>
      <c r="M701" s="184"/>
      <c r="N701" s="184"/>
      <c r="O701" s="184"/>
      <c r="R701" s="185"/>
      <c r="T701" s="184"/>
      <c r="U701" s="184"/>
      <c r="V701" s="184"/>
      <c r="X701" s="184"/>
      <c r="Y701" s="184"/>
      <c r="Z701" s="184"/>
      <c r="AA701" s="184"/>
      <c r="AC701" s="184"/>
      <c r="AD701" s="184"/>
      <c r="AE701" s="184"/>
      <c r="AF701" s="184"/>
      <c r="AG701" s="184"/>
      <c r="AH701" s="184"/>
      <c r="AI701" s="184"/>
      <c r="AR701" s="186"/>
      <c r="AS701" s="187"/>
      <c r="AT701" s="187"/>
      <c r="AU701" s="187"/>
      <c r="AV701" s="246"/>
      <c r="BB701" s="377"/>
      <c r="BC701" s="377"/>
      <c r="BD701" s="377"/>
    </row>
    <row r="702" spans="1:56" s="163" customFormat="1" ht="16.5" customHeight="1">
      <c r="A702" s="247"/>
      <c r="B702" s="244"/>
      <c r="C702" s="245"/>
      <c r="D702" s="245"/>
      <c r="E702" s="183"/>
      <c r="F702" s="183"/>
      <c r="G702" s="183"/>
      <c r="H702" s="184"/>
      <c r="I702" s="184"/>
      <c r="J702" s="184"/>
      <c r="L702" s="184"/>
      <c r="M702" s="184"/>
      <c r="N702" s="184"/>
      <c r="O702" s="184"/>
      <c r="R702" s="185"/>
      <c r="T702" s="184"/>
      <c r="U702" s="184"/>
      <c r="V702" s="184"/>
      <c r="X702" s="184"/>
      <c r="Y702" s="184"/>
      <c r="Z702" s="184"/>
      <c r="AA702" s="184"/>
      <c r="AC702" s="184"/>
      <c r="AD702" s="184"/>
      <c r="AE702" s="184"/>
      <c r="AF702" s="184"/>
      <c r="AG702" s="184"/>
      <c r="AH702" s="184"/>
      <c r="AI702" s="184"/>
      <c r="AR702" s="186"/>
      <c r="AS702" s="187"/>
      <c r="AT702" s="187"/>
      <c r="AU702" s="187"/>
      <c r="AV702" s="246"/>
      <c r="BB702" s="377"/>
      <c r="BC702" s="377"/>
      <c r="BD702" s="377"/>
    </row>
    <row r="703" spans="1:56" s="163" customFormat="1" ht="16.5" customHeight="1">
      <c r="A703" s="247"/>
      <c r="B703" s="244"/>
      <c r="C703" s="245"/>
      <c r="D703" s="245"/>
      <c r="E703" s="183"/>
      <c r="F703" s="183"/>
      <c r="G703" s="183"/>
      <c r="H703" s="184"/>
      <c r="I703" s="184"/>
      <c r="J703" s="184"/>
      <c r="L703" s="184"/>
      <c r="M703" s="184"/>
      <c r="N703" s="184"/>
      <c r="O703" s="184"/>
      <c r="R703" s="185"/>
      <c r="T703" s="184"/>
      <c r="U703" s="184"/>
      <c r="V703" s="184"/>
      <c r="X703" s="184"/>
      <c r="Y703" s="184"/>
      <c r="Z703" s="184"/>
      <c r="AA703" s="184"/>
      <c r="AC703" s="184"/>
      <c r="AD703" s="184"/>
      <c r="AE703" s="184"/>
      <c r="AF703" s="184"/>
      <c r="AG703" s="184"/>
      <c r="AH703" s="184"/>
      <c r="AI703" s="184"/>
      <c r="AR703" s="186"/>
      <c r="AS703" s="187"/>
      <c r="AT703" s="187"/>
      <c r="AU703" s="187"/>
      <c r="AV703" s="246"/>
      <c r="BB703" s="377"/>
      <c r="BC703" s="377"/>
      <c r="BD703" s="377"/>
    </row>
    <row r="704" spans="1:56" s="163" customFormat="1" ht="16.5" customHeight="1">
      <c r="A704" s="247"/>
      <c r="B704" s="244"/>
      <c r="C704" s="245"/>
      <c r="D704" s="245"/>
      <c r="E704" s="183"/>
      <c r="F704" s="183"/>
      <c r="G704" s="183"/>
      <c r="H704" s="184"/>
      <c r="I704" s="184"/>
      <c r="J704" s="184"/>
      <c r="L704" s="184"/>
      <c r="M704" s="184"/>
      <c r="N704" s="184"/>
      <c r="O704" s="184"/>
      <c r="R704" s="185"/>
      <c r="T704" s="184"/>
      <c r="U704" s="184"/>
      <c r="V704" s="184"/>
      <c r="X704" s="184"/>
      <c r="Y704" s="184"/>
      <c r="Z704" s="184"/>
      <c r="AA704" s="184"/>
      <c r="AC704" s="184"/>
      <c r="AD704" s="184"/>
      <c r="AE704" s="184"/>
      <c r="AF704" s="184"/>
      <c r="AG704" s="184"/>
      <c r="AH704" s="184"/>
      <c r="AI704" s="184"/>
      <c r="AR704" s="186"/>
      <c r="AS704" s="187"/>
      <c r="AT704" s="187"/>
      <c r="AU704" s="187"/>
      <c r="AV704" s="246"/>
      <c r="BB704" s="377"/>
      <c r="BC704" s="377"/>
      <c r="BD704" s="377"/>
    </row>
    <row r="705" spans="1:56" s="163" customFormat="1" ht="16.5" customHeight="1">
      <c r="A705" s="247"/>
      <c r="B705" s="244"/>
      <c r="C705" s="245"/>
      <c r="D705" s="245"/>
      <c r="E705" s="183"/>
      <c r="F705" s="183"/>
      <c r="G705" s="183"/>
      <c r="H705" s="184"/>
      <c r="I705" s="184"/>
      <c r="J705" s="184"/>
      <c r="L705" s="184"/>
      <c r="M705" s="184"/>
      <c r="N705" s="184"/>
      <c r="O705" s="184"/>
      <c r="R705" s="185"/>
      <c r="T705" s="184"/>
      <c r="U705" s="184"/>
      <c r="V705" s="184"/>
      <c r="X705" s="184"/>
      <c r="Y705" s="184"/>
      <c r="Z705" s="184"/>
      <c r="AA705" s="184"/>
      <c r="AC705" s="184"/>
      <c r="AD705" s="184"/>
      <c r="AE705" s="184"/>
      <c r="AF705" s="184"/>
      <c r="AG705" s="184"/>
      <c r="AH705" s="184"/>
      <c r="AI705" s="184"/>
      <c r="AR705" s="186"/>
      <c r="AS705" s="187"/>
      <c r="AT705" s="187"/>
      <c r="AU705" s="187"/>
      <c r="AV705" s="246"/>
      <c r="BB705" s="377"/>
      <c r="BC705" s="377"/>
      <c r="BD705" s="377"/>
    </row>
    <row r="706" spans="1:56" s="163" customFormat="1" ht="16.5" customHeight="1">
      <c r="A706" s="247"/>
      <c r="B706" s="244"/>
      <c r="C706" s="245"/>
      <c r="D706" s="245"/>
      <c r="E706" s="183"/>
      <c r="F706" s="183"/>
      <c r="G706" s="183"/>
      <c r="H706" s="184"/>
      <c r="I706" s="184"/>
      <c r="J706" s="184"/>
      <c r="L706" s="184"/>
      <c r="M706" s="184"/>
      <c r="N706" s="184"/>
      <c r="O706" s="184"/>
      <c r="R706" s="185"/>
      <c r="T706" s="184"/>
      <c r="U706" s="184"/>
      <c r="V706" s="184"/>
      <c r="X706" s="184"/>
      <c r="Y706" s="184"/>
      <c r="Z706" s="184"/>
      <c r="AA706" s="184"/>
      <c r="AC706" s="184"/>
      <c r="AD706" s="184"/>
      <c r="AE706" s="184"/>
      <c r="AF706" s="184"/>
      <c r="AG706" s="184"/>
      <c r="AH706" s="184"/>
      <c r="AI706" s="184"/>
      <c r="AR706" s="186"/>
      <c r="AS706" s="187"/>
      <c r="AT706" s="187"/>
      <c r="AU706" s="187"/>
      <c r="AV706" s="246"/>
      <c r="BB706" s="377"/>
      <c r="BC706" s="377"/>
      <c r="BD706" s="377"/>
    </row>
    <row r="707" spans="1:56" s="163" customFormat="1" ht="16.5" customHeight="1">
      <c r="A707" s="247"/>
      <c r="B707" s="244"/>
      <c r="C707" s="245"/>
      <c r="D707" s="245"/>
      <c r="E707" s="183"/>
      <c r="F707" s="183"/>
      <c r="G707" s="183"/>
      <c r="H707" s="184"/>
      <c r="I707" s="184"/>
      <c r="J707" s="184"/>
      <c r="L707" s="184"/>
      <c r="M707" s="184"/>
      <c r="N707" s="184"/>
      <c r="O707" s="184"/>
      <c r="R707" s="185"/>
      <c r="T707" s="184"/>
      <c r="U707" s="184"/>
      <c r="V707" s="184"/>
      <c r="X707" s="184"/>
      <c r="Y707" s="184"/>
      <c r="Z707" s="184"/>
      <c r="AA707" s="184"/>
      <c r="AC707" s="184"/>
      <c r="AD707" s="184"/>
      <c r="AE707" s="184"/>
      <c r="AF707" s="184"/>
      <c r="AG707" s="184"/>
      <c r="AH707" s="184"/>
      <c r="AI707" s="184"/>
      <c r="AR707" s="186"/>
      <c r="AS707" s="187"/>
      <c r="AT707" s="187"/>
      <c r="AU707" s="187"/>
      <c r="AV707" s="246"/>
      <c r="BB707" s="377"/>
      <c r="BC707" s="377"/>
      <c r="BD707" s="377"/>
    </row>
    <row r="708" spans="1:56" s="163" customFormat="1" ht="16.5" customHeight="1">
      <c r="A708" s="247"/>
      <c r="B708" s="244"/>
      <c r="C708" s="245"/>
      <c r="D708" s="245"/>
      <c r="E708" s="183"/>
      <c r="F708" s="183"/>
      <c r="G708" s="183"/>
      <c r="H708" s="184"/>
      <c r="I708" s="184"/>
      <c r="J708" s="184"/>
      <c r="L708" s="184"/>
      <c r="M708" s="184"/>
      <c r="N708" s="184"/>
      <c r="O708" s="184"/>
      <c r="R708" s="185"/>
      <c r="T708" s="184"/>
      <c r="U708" s="184"/>
      <c r="V708" s="184"/>
      <c r="X708" s="184"/>
      <c r="Y708" s="184"/>
      <c r="Z708" s="184"/>
      <c r="AA708" s="184"/>
      <c r="AC708" s="184"/>
      <c r="AD708" s="184"/>
      <c r="AE708" s="184"/>
      <c r="AF708" s="184"/>
      <c r="AG708" s="184"/>
      <c r="AH708" s="184"/>
      <c r="AI708" s="184"/>
      <c r="AR708" s="186"/>
      <c r="AS708" s="187"/>
      <c r="AT708" s="187"/>
      <c r="AU708" s="187"/>
      <c r="AV708" s="246"/>
      <c r="BB708" s="377"/>
      <c r="BC708" s="377"/>
      <c r="BD708" s="377"/>
    </row>
    <row r="709" spans="1:56" s="163" customFormat="1" ht="16.5" customHeight="1">
      <c r="A709" s="247"/>
      <c r="B709" s="244"/>
      <c r="C709" s="245"/>
      <c r="D709" s="245"/>
      <c r="E709" s="183"/>
      <c r="F709" s="183"/>
      <c r="G709" s="183"/>
      <c r="H709" s="184"/>
      <c r="I709" s="184"/>
      <c r="J709" s="184"/>
      <c r="L709" s="184"/>
      <c r="M709" s="184"/>
      <c r="N709" s="184"/>
      <c r="O709" s="184"/>
      <c r="R709" s="185"/>
      <c r="T709" s="184"/>
      <c r="U709" s="184"/>
      <c r="V709" s="184"/>
      <c r="X709" s="184"/>
      <c r="Y709" s="184"/>
      <c r="Z709" s="184"/>
      <c r="AA709" s="184"/>
      <c r="AC709" s="184"/>
      <c r="AD709" s="184"/>
      <c r="AE709" s="184"/>
      <c r="AF709" s="184"/>
      <c r="AG709" s="184"/>
      <c r="AH709" s="184"/>
      <c r="AI709" s="184"/>
      <c r="AR709" s="186"/>
      <c r="AS709" s="187"/>
      <c r="AT709" s="187"/>
      <c r="AU709" s="187"/>
      <c r="AV709" s="246"/>
      <c r="BB709" s="377"/>
      <c r="BC709" s="377"/>
      <c r="BD709" s="377"/>
    </row>
    <row r="710" spans="1:56" s="163" customFormat="1" ht="16.5" customHeight="1">
      <c r="A710" s="247"/>
      <c r="B710" s="244"/>
      <c r="C710" s="245"/>
      <c r="D710" s="245"/>
      <c r="E710" s="183"/>
      <c r="F710" s="183"/>
      <c r="G710" s="183"/>
      <c r="H710" s="184"/>
      <c r="I710" s="184"/>
      <c r="J710" s="184"/>
      <c r="L710" s="184"/>
      <c r="M710" s="184"/>
      <c r="N710" s="184"/>
      <c r="O710" s="184"/>
      <c r="R710" s="185"/>
      <c r="T710" s="184"/>
      <c r="U710" s="184"/>
      <c r="V710" s="184"/>
      <c r="X710" s="184"/>
      <c r="Y710" s="184"/>
      <c r="Z710" s="184"/>
      <c r="AA710" s="184"/>
      <c r="AC710" s="184"/>
      <c r="AD710" s="184"/>
      <c r="AE710" s="184"/>
      <c r="AF710" s="184"/>
      <c r="AG710" s="184"/>
      <c r="AH710" s="184"/>
      <c r="AI710" s="184"/>
      <c r="AR710" s="186"/>
      <c r="AS710" s="187"/>
      <c r="AT710" s="187"/>
      <c r="AU710" s="187"/>
      <c r="AV710" s="246"/>
      <c r="BB710" s="377"/>
      <c r="BC710" s="377"/>
      <c r="BD710" s="377"/>
    </row>
    <row r="711" spans="1:56" s="163" customFormat="1" ht="16.5" customHeight="1">
      <c r="A711" s="247"/>
      <c r="B711" s="244"/>
      <c r="C711" s="245"/>
      <c r="D711" s="245"/>
      <c r="E711" s="183"/>
      <c r="F711" s="183"/>
      <c r="G711" s="183"/>
      <c r="H711" s="184"/>
      <c r="I711" s="184"/>
      <c r="J711" s="184"/>
      <c r="L711" s="184"/>
      <c r="M711" s="184"/>
      <c r="N711" s="184"/>
      <c r="O711" s="184"/>
      <c r="R711" s="185"/>
      <c r="T711" s="184"/>
      <c r="U711" s="184"/>
      <c r="V711" s="184"/>
      <c r="X711" s="184"/>
      <c r="Y711" s="184"/>
      <c r="Z711" s="184"/>
      <c r="AA711" s="184"/>
      <c r="AC711" s="184"/>
      <c r="AD711" s="184"/>
      <c r="AE711" s="184"/>
      <c r="AF711" s="184"/>
      <c r="AG711" s="184"/>
      <c r="AH711" s="184"/>
      <c r="AI711" s="184"/>
      <c r="AR711" s="186"/>
      <c r="AS711" s="187"/>
      <c r="AT711" s="187"/>
      <c r="AU711" s="187"/>
      <c r="AV711" s="246"/>
      <c r="BB711" s="377"/>
      <c r="BC711" s="377"/>
      <c r="BD711" s="377"/>
    </row>
    <row r="712" spans="1:56" s="163" customFormat="1" ht="16.5" customHeight="1">
      <c r="A712" s="247"/>
      <c r="B712" s="244"/>
      <c r="C712" s="245"/>
      <c r="D712" s="245"/>
      <c r="E712" s="183"/>
      <c r="F712" s="183"/>
      <c r="G712" s="183"/>
      <c r="H712" s="184"/>
      <c r="I712" s="184"/>
      <c r="J712" s="184"/>
      <c r="L712" s="184"/>
      <c r="M712" s="184"/>
      <c r="N712" s="184"/>
      <c r="O712" s="184"/>
      <c r="R712" s="185"/>
      <c r="T712" s="184"/>
      <c r="U712" s="184"/>
      <c r="V712" s="184"/>
      <c r="X712" s="184"/>
      <c r="Y712" s="184"/>
      <c r="Z712" s="184"/>
      <c r="AA712" s="184"/>
      <c r="AC712" s="184"/>
      <c r="AD712" s="184"/>
      <c r="AE712" s="184"/>
      <c r="AF712" s="184"/>
      <c r="AG712" s="184"/>
      <c r="AH712" s="184"/>
      <c r="AI712" s="184"/>
      <c r="AR712" s="186"/>
      <c r="AS712" s="187"/>
      <c r="AT712" s="187"/>
      <c r="AU712" s="187"/>
      <c r="AV712" s="246"/>
      <c r="BB712" s="377"/>
      <c r="BC712" s="377"/>
      <c r="BD712" s="377"/>
    </row>
    <row r="713" spans="1:56" s="163" customFormat="1" ht="16.5" customHeight="1">
      <c r="A713" s="247"/>
      <c r="B713" s="244"/>
      <c r="C713" s="245"/>
      <c r="D713" s="245"/>
      <c r="E713" s="183"/>
      <c r="F713" s="183"/>
      <c r="G713" s="183"/>
      <c r="H713" s="184"/>
      <c r="I713" s="184"/>
      <c r="J713" s="184"/>
      <c r="L713" s="184"/>
      <c r="M713" s="184"/>
      <c r="N713" s="184"/>
      <c r="O713" s="184"/>
      <c r="R713" s="185"/>
      <c r="T713" s="184"/>
      <c r="U713" s="184"/>
      <c r="V713" s="184"/>
      <c r="X713" s="184"/>
      <c r="Y713" s="184"/>
      <c r="Z713" s="184"/>
      <c r="AA713" s="184"/>
      <c r="AC713" s="184"/>
      <c r="AD713" s="184"/>
      <c r="AE713" s="184"/>
      <c r="AF713" s="184"/>
      <c r="AG713" s="184"/>
      <c r="AH713" s="184"/>
      <c r="AI713" s="184"/>
      <c r="AR713" s="186"/>
      <c r="AS713" s="187"/>
      <c r="AT713" s="187"/>
      <c r="AU713" s="187"/>
      <c r="AV713" s="246"/>
      <c r="BB713" s="377"/>
      <c r="BC713" s="377"/>
      <c r="BD713" s="377"/>
    </row>
    <row r="714" spans="1:56" s="163" customFormat="1" ht="16.5" customHeight="1">
      <c r="A714" s="247"/>
      <c r="B714" s="244"/>
      <c r="C714" s="245"/>
      <c r="D714" s="245"/>
      <c r="E714" s="183"/>
      <c r="F714" s="183"/>
      <c r="G714" s="183"/>
      <c r="H714" s="184"/>
      <c r="I714" s="184"/>
      <c r="J714" s="184"/>
      <c r="L714" s="184"/>
      <c r="M714" s="184"/>
      <c r="N714" s="184"/>
      <c r="O714" s="184"/>
      <c r="R714" s="185"/>
      <c r="T714" s="184"/>
      <c r="U714" s="184"/>
      <c r="V714" s="184"/>
      <c r="X714" s="184"/>
      <c r="Y714" s="184"/>
      <c r="Z714" s="184"/>
      <c r="AA714" s="184"/>
      <c r="AC714" s="184"/>
      <c r="AD714" s="184"/>
      <c r="AE714" s="184"/>
      <c r="AF714" s="184"/>
      <c r="AG714" s="184"/>
      <c r="AH714" s="184"/>
      <c r="AI714" s="184"/>
      <c r="AR714" s="186"/>
      <c r="AS714" s="187"/>
      <c r="AT714" s="187"/>
      <c r="AU714" s="187"/>
      <c r="AV714" s="246"/>
      <c r="BB714" s="377"/>
      <c r="BC714" s="377"/>
      <c r="BD714" s="377"/>
    </row>
    <row r="715" spans="1:56" s="163" customFormat="1" ht="16.5" customHeight="1">
      <c r="A715" s="247"/>
      <c r="B715" s="244"/>
      <c r="C715" s="245"/>
      <c r="D715" s="245"/>
      <c r="E715" s="183"/>
      <c r="F715" s="183"/>
      <c r="G715" s="183"/>
      <c r="H715" s="184"/>
      <c r="I715" s="184"/>
      <c r="J715" s="184"/>
      <c r="L715" s="184"/>
      <c r="M715" s="184"/>
      <c r="N715" s="184"/>
      <c r="O715" s="184"/>
      <c r="R715" s="185"/>
      <c r="T715" s="184"/>
      <c r="U715" s="184"/>
      <c r="V715" s="184"/>
      <c r="X715" s="184"/>
      <c r="Y715" s="184"/>
      <c r="Z715" s="184"/>
      <c r="AA715" s="184"/>
      <c r="AC715" s="184"/>
      <c r="AD715" s="184"/>
      <c r="AE715" s="184"/>
      <c r="AF715" s="184"/>
      <c r="AG715" s="184"/>
      <c r="AH715" s="184"/>
      <c r="AI715" s="184"/>
      <c r="AR715" s="186"/>
      <c r="AS715" s="187"/>
      <c r="AT715" s="187"/>
      <c r="AU715" s="187"/>
      <c r="AV715" s="246"/>
      <c r="BB715" s="377"/>
      <c r="BC715" s="377"/>
      <c r="BD715" s="377"/>
    </row>
    <row r="716" spans="1:56" s="163" customFormat="1" ht="16.5" customHeight="1">
      <c r="A716" s="247"/>
      <c r="B716" s="244"/>
      <c r="C716" s="245"/>
      <c r="D716" s="245"/>
      <c r="E716" s="183"/>
      <c r="F716" s="183"/>
      <c r="G716" s="183"/>
      <c r="H716" s="184"/>
      <c r="I716" s="184"/>
      <c r="J716" s="184"/>
      <c r="L716" s="184"/>
      <c r="M716" s="184"/>
      <c r="N716" s="184"/>
      <c r="O716" s="184"/>
      <c r="R716" s="185"/>
      <c r="T716" s="184"/>
      <c r="U716" s="184"/>
      <c r="V716" s="184"/>
      <c r="X716" s="184"/>
      <c r="Y716" s="184"/>
      <c r="Z716" s="184"/>
      <c r="AA716" s="184"/>
      <c r="AC716" s="184"/>
      <c r="AD716" s="184"/>
      <c r="AE716" s="184"/>
      <c r="AF716" s="184"/>
      <c r="AG716" s="184"/>
      <c r="AH716" s="184"/>
      <c r="AI716" s="184"/>
      <c r="AR716" s="186"/>
      <c r="AS716" s="187"/>
      <c r="AT716" s="187"/>
      <c r="AU716" s="187"/>
      <c r="AV716" s="246"/>
      <c r="BB716" s="377"/>
      <c r="BC716" s="377"/>
      <c r="BD716" s="377"/>
    </row>
    <row r="717" spans="1:56" s="163" customFormat="1" ht="16.5" customHeight="1">
      <c r="A717" s="247"/>
      <c r="B717" s="244"/>
      <c r="C717" s="245"/>
      <c r="D717" s="245"/>
      <c r="E717" s="183"/>
      <c r="F717" s="183"/>
      <c r="G717" s="183"/>
      <c r="H717" s="184"/>
      <c r="I717" s="184"/>
      <c r="J717" s="184"/>
      <c r="L717" s="184"/>
      <c r="M717" s="184"/>
      <c r="N717" s="184"/>
      <c r="O717" s="184"/>
      <c r="R717" s="185"/>
      <c r="T717" s="184"/>
      <c r="U717" s="184"/>
      <c r="V717" s="184"/>
      <c r="X717" s="184"/>
      <c r="Y717" s="184"/>
      <c r="Z717" s="184"/>
      <c r="AA717" s="184"/>
      <c r="AC717" s="184"/>
      <c r="AD717" s="184"/>
      <c r="AE717" s="184"/>
      <c r="AF717" s="184"/>
      <c r="AG717" s="184"/>
      <c r="AH717" s="184"/>
      <c r="AI717" s="184"/>
      <c r="AR717" s="186"/>
      <c r="AS717" s="187"/>
      <c r="AT717" s="187"/>
      <c r="AU717" s="187"/>
      <c r="AV717" s="246"/>
      <c r="BB717" s="377"/>
      <c r="BC717" s="377"/>
      <c r="BD717" s="377"/>
    </row>
    <row r="718" spans="1:56" s="163" customFormat="1" ht="16.5" customHeight="1">
      <c r="A718" s="247"/>
      <c r="B718" s="244"/>
      <c r="C718" s="245"/>
      <c r="D718" s="245"/>
      <c r="E718" s="183"/>
      <c r="F718" s="183"/>
      <c r="G718" s="183"/>
      <c r="H718" s="184"/>
      <c r="I718" s="184"/>
      <c r="J718" s="184"/>
      <c r="L718" s="184"/>
      <c r="M718" s="184"/>
      <c r="N718" s="184"/>
      <c r="O718" s="184"/>
      <c r="R718" s="185"/>
      <c r="T718" s="184"/>
      <c r="U718" s="184"/>
      <c r="V718" s="184"/>
      <c r="X718" s="184"/>
      <c r="Y718" s="184"/>
      <c r="Z718" s="184"/>
      <c r="AA718" s="184"/>
      <c r="AC718" s="184"/>
      <c r="AD718" s="184"/>
      <c r="AE718" s="184"/>
      <c r="AF718" s="184"/>
      <c r="AG718" s="184"/>
      <c r="AH718" s="184"/>
      <c r="AI718" s="184"/>
      <c r="AR718" s="186"/>
      <c r="AS718" s="187"/>
      <c r="AT718" s="187"/>
      <c r="AU718" s="187"/>
      <c r="AV718" s="246"/>
      <c r="BB718" s="377"/>
      <c r="BC718" s="377"/>
      <c r="BD718" s="377"/>
    </row>
    <row r="719" spans="1:56" s="163" customFormat="1" ht="16.5" customHeight="1">
      <c r="A719" s="247"/>
      <c r="B719" s="244"/>
      <c r="C719" s="245"/>
      <c r="D719" s="245"/>
      <c r="E719" s="183"/>
      <c r="F719" s="183"/>
      <c r="G719" s="183"/>
      <c r="H719" s="184"/>
      <c r="I719" s="184"/>
      <c r="J719" s="184"/>
      <c r="L719" s="184"/>
      <c r="M719" s="184"/>
      <c r="N719" s="184"/>
      <c r="O719" s="184"/>
      <c r="R719" s="185"/>
      <c r="T719" s="184"/>
      <c r="U719" s="184"/>
      <c r="V719" s="184"/>
      <c r="X719" s="184"/>
      <c r="Y719" s="184"/>
      <c r="Z719" s="184"/>
      <c r="AA719" s="184"/>
      <c r="AC719" s="184"/>
      <c r="AD719" s="184"/>
      <c r="AE719" s="184"/>
      <c r="AF719" s="184"/>
      <c r="AG719" s="184"/>
      <c r="AH719" s="184"/>
      <c r="AI719" s="184"/>
      <c r="AR719" s="186"/>
      <c r="AS719" s="187"/>
      <c r="AT719" s="187"/>
      <c r="AU719" s="187"/>
      <c r="AV719" s="246"/>
      <c r="BB719" s="377"/>
      <c r="BC719" s="377"/>
      <c r="BD719" s="377"/>
    </row>
    <row r="720" spans="1:56" s="163" customFormat="1" ht="16.5" customHeight="1">
      <c r="A720" s="247"/>
      <c r="B720" s="244"/>
      <c r="C720" s="245"/>
      <c r="D720" s="245"/>
      <c r="E720" s="183"/>
      <c r="F720" s="183"/>
      <c r="G720" s="183"/>
      <c r="H720" s="184"/>
      <c r="I720" s="184"/>
      <c r="J720" s="184"/>
      <c r="L720" s="184"/>
      <c r="M720" s="184"/>
      <c r="N720" s="184"/>
      <c r="O720" s="184"/>
      <c r="R720" s="185"/>
      <c r="T720" s="184"/>
      <c r="U720" s="184"/>
      <c r="V720" s="184"/>
      <c r="X720" s="184"/>
      <c r="Y720" s="184"/>
      <c r="Z720" s="184"/>
      <c r="AA720" s="184"/>
      <c r="AC720" s="184"/>
      <c r="AD720" s="184"/>
      <c r="AE720" s="184"/>
      <c r="AF720" s="184"/>
      <c r="AG720" s="184"/>
      <c r="AH720" s="184"/>
      <c r="AI720" s="184"/>
      <c r="AR720" s="186"/>
      <c r="AS720" s="187"/>
      <c r="AT720" s="187"/>
      <c r="AU720" s="187"/>
      <c r="AV720" s="246"/>
      <c r="BB720" s="377"/>
      <c r="BC720" s="377"/>
      <c r="BD720" s="377"/>
    </row>
    <row r="721" spans="1:56" s="163" customFormat="1" ht="16.5" customHeight="1">
      <c r="A721" s="247"/>
      <c r="B721" s="244"/>
      <c r="C721" s="245"/>
      <c r="D721" s="245"/>
      <c r="E721" s="183"/>
      <c r="F721" s="183"/>
      <c r="G721" s="183"/>
      <c r="H721" s="184"/>
      <c r="I721" s="184"/>
      <c r="J721" s="184"/>
      <c r="L721" s="184"/>
      <c r="M721" s="184"/>
      <c r="N721" s="184"/>
      <c r="O721" s="184"/>
      <c r="R721" s="185"/>
      <c r="T721" s="184"/>
      <c r="U721" s="184"/>
      <c r="V721" s="184"/>
      <c r="X721" s="184"/>
      <c r="Y721" s="184"/>
      <c r="Z721" s="184"/>
      <c r="AA721" s="184"/>
      <c r="AC721" s="184"/>
      <c r="AD721" s="184"/>
      <c r="AE721" s="184"/>
      <c r="AF721" s="184"/>
      <c r="AG721" s="184"/>
      <c r="AH721" s="184"/>
      <c r="AI721" s="184"/>
      <c r="AR721" s="186"/>
      <c r="AS721" s="187"/>
      <c r="AT721" s="187"/>
      <c r="AU721" s="187"/>
      <c r="AV721" s="246"/>
      <c r="BB721" s="377"/>
      <c r="BC721" s="377"/>
      <c r="BD721" s="377"/>
    </row>
    <row r="722" spans="1:56" s="163" customFormat="1" ht="16.5" customHeight="1">
      <c r="A722" s="247"/>
      <c r="B722" s="244"/>
      <c r="C722" s="245"/>
      <c r="D722" s="245"/>
      <c r="E722" s="183"/>
      <c r="F722" s="183"/>
      <c r="G722" s="183"/>
      <c r="H722" s="184"/>
      <c r="I722" s="184"/>
      <c r="J722" s="184"/>
      <c r="L722" s="184"/>
      <c r="M722" s="184"/>
      <c r="N722" s="184"/>
      <c r="O722" s="184"/>
      <c r="R722" s="185"/>
      <c r="T722" s="184"/>
      <c r="U722" s="184"/>
      <c r="V722" s="184"/>
      <c r="X722" s="184"/>
      <c r="Y722" s="184"/>
      <c r="Z722" s="184"/>
      <c r="AA722" s="184"/>
      <c r="AC722" s="184"/>
      <c r="AD722" s="184"/>
      <c r="AE722" s="184"/>
      <c r="AF722" s="184"/>
      <c r="AG722" s="184"/>
      <c r="AH722" s="184"/>
      <c r="AI722" s="184"/>
      <c r="AR722" s="186"/>
      <c r="AS722" s="187"/>
      <c r="AT722" s="187"/>
      <c r="AU722" s="187"/>
      <c r="AV722" s="246"/>
      <c r="BB722" s="377"/>
      <c r="BC722" s="377"/>
      <c r="BD722" s="377"/>
    </row>
    <row r="723" spans="1:56" s="163" customFormat="1" ht="16.5" customHeight="1">
      <c r="A723" s="247"/>
      <c r="B723" s="244"/>
      <c r="C723" s="245"/>
      <c r="D723" s="245"/>
      <c r="E723" s="183"/>
      <c r="F723" s="183"/>
      <c r="G723" s="183"/>
      <c r="H723" s="184"/>
      <c r="I723" s="184"/>
      <c r="J723" s="184"/>
      <c r="L723" s="184"/>
      <c r="M723" s="184"/>
      <c r="N723" s="184"/>
      <c r="O723" s="184"/>
      <c r="R723" s="185"/>
      <c r="T723" s="184"/>
      <c r="U723" s="184"/>
      <c r="V723" s="184"/>
      <c r="X723" s="184"/>
      <c r="Y723" s="184"/>
      <c r="Z723" s="184"/>
      <c r="AA723" s="184"/>
      <c r="AC723" s="184"/>
      <c r="AD723" s="184"/>
      <c r="AE723" s="184"/>
      <c r="AF723" s="184"/>
      <c r="AG723" s="184"/>
      <c r="AH723" s="184"/>
      <c r="AI723" s="184"/>
      <c r="AR723" s="186"/>
      <c r="AS723" s="187"/>
      <c r="AT723" s="187"/>
      <c r="AU723" s="187"/>
      <c r="AV723" s="246"/>
      <c r="BB723" s="377"/>
      <c r="BC723" s="377"/>
      <c r="BD723" s="377"/>
    </row>
    <row r="724" spans="1:56" s="163" customFormat="1" ht="16.5" customHeight="1">
      <c r="A724" s="247"/>
      <c r="B724" s="244"/>
      <c r="C724" s="245"/>
      <c r="D724" s="245"/>
      <c r="E724" s="183"/>
      <c r="F724" s="183"/>
      <c r="G724" s="183"/>
      <c r="H724" s="184"/>
      <c r="I724" s="184"/>
      <c r="J724" s="184"/>
      <c r="L724" s="184"/>
      <c r="M724" s="184"/>
      <c r="N724" s="184"/>
      <c r="O724" s="184"/>
      <c r="R724" s="185"/>
      <c r="T724" s="184"/>
      <c r="U724" s="184"/>
      <c r="V724" s="184"/>
      <c r="X724" s="184"/>
      <c r="Y724" s="184"/>
      <c r="Z724" s="184"/>
      <c r="AA724" s="184"/>
      <c r="AC724" s="184"/>
      <c r="AD724" s="184"/>
      <c r="AE724" s="184"/>
      <c r="AF724" s="184"/>
      <c r="AG724" s="184"/>
      <c r="AH724" s="184"/>
      <c r="AI724" s="184"/>
      <c r="AR724" s="186"/>
      <c r="AS724" s="187"/>
      <c r="AT724" s="187"/>
      <c r="AU724" s="187"/>
      <c r="AV724" s="246"/>
      <c r="BB724" s="377"/>
      <c r="BC724" s="377"/>
      <c r="BD724" s="377"/>
    </row>
    <row r="725" spans="1:56" s="163" customFormat="1" ht="16.5" customHeight="1">
      <c r="A725" s="247"/>
      <c r="B725" s="244"/>
      <c r="C725" s="245"/>
      <c r="D725" s="245"/>
      <c r="E725" s="183"/>
      <c r="F725" s="183"/>
      <c r="G725" s="183"/>
      <c r="H725" s="184"/>
      <c r="I725" s="184"/>
      <c r="J725" s="184"/>
      <c r="L725" s="184"/>
      <c r="M725" s="184"/>
      <c r="N725" s="184"/>
      <c r="O725" s="184"/>
      <c r="R725" s="185"/>
      <c r="T725" s="184"/>
      <c r="U725" s="184"/>
      <c r="V725" s="184"/>
      <c r="X725" s="184"/>
      <c r="Y725" s="184"/>
      <c r="Z725" s="184"/>
      <c r="AA725" s="184"/>
      <c r="AC725" s="184"/>
      <c r="AD725" s="184"/>
      <c r="AE725" s="184"/>
      <c r="AF725" s="184"/>
      <c r="AG725" s="184"/>
      <c r="AH725" s="184"/>
      <c r="AI725" s="184"/>
      <c r="AR725" s="186"/>
      <c r="AS725" s="187"/>
      <c r="AT725" s="187"/>
      <c r="AU725" s="187"/>
      <c r="AV725" s="246"/>
      <c r="BB725" s="377"/>
      <c r="BC725" s="377"/>
      <c r="BD725" s="377"/>
    </row>
    <row r="726" spans="1:56" s="163" customFormat="1" ht="16.5" customHeight="1">
      <c r="A726" s="247"/>
      <c r="B726" s="244"/>
      <c r="C726" s="245"/>
      <c r="D726" s="245"/>
      <c r="E726" s="183"/>
      <c r="F726" s="183"/>
      <c r="G726" s="183"/>
      <c r="H726" s="184"/>
      <c r="I726" s="184"/>
      <c r="J726" s="184"/>
      <c r="L726" s="184"/>
      <c r="M726" s="184"/>
      <c r="N726" s="184"/>
      <c r="O726" s="184"/>
      <c r="R726" s="185"/>
      <c r="T726" s="184"/>
      <c r="U726" s="184"/>
      <c r="V726" s="184"/>
      <c r="X726" s="184"/>
      <c r="Y726" s="184"/>
      <c r="Z726" s="184"/>
      <c r="AA726" s="184"/>
      <c r="AC726" s="184"/>
      <c r="AD726" s="184"/>
      <c r="AE726" s="184"/>
      <c r="AF726" s="184"/>
      <c r="AG726" s="184"/>
      <c r="AH726" s="184"/>
      <c r="AI726" s="184"/>
      <c r="AR726" s="186"/>
      <c r="AS726" s="187"/>
      <c r="AT726" s="187"/>
      <c r="AU726" s="187"/>
      <c r="AV726" s="246"/>
      <c r="BB726" s="377"/>
      <c r="BC726" s="377"/>
      <c r="BD726" s="377"/>
    </row>
    <row r="727" spans="1:56" s="163" customFormat="1" ht="16.5" customHeight="1">
      <c r="A727" s="247"/>
      <c r="B727" s="244"/>
      <c r="C727" s="245"/>
      <c r="D727" s="245"/>
      <c r="E727" s="183"/>
      <c r="F727" s="183"/>
      <c r="G727" s="183"/>
      <c r="H727" s="184"/>
      <c r="I727" s="184"/>
      <c r="J727" s="184"/>
      <c r="L727" s="184"/>
      <c r="M727" s="184"/>
      <c r="N727" s="184"/>
      <c r="O727" s="184"/>
      <c r="R727" s="185"/>
      <c r="T727" s="184"/>
      <c r="U727" s="184"/>
      <c r="V727" s="184"/>
      <c r="X727" s="184"/>
      <c r="Y727" s="184"/>
      <c r="Z727" s="184"/>
      <c r="AA727" s="184"/>
      <c r="AC727" s="184"/>
      <c r="AD727" s="184"/>
      <c r="AE727" s="184"/>
      <c r="AF727" s="184"/>
      <c r="AG727" s="184"/>
      <c r="AH727" s="184"/>
      <c r="AI727" s="184"/>
      <c r="AR727" s="186"/>
      <c r="AS727" s="187"/>
      <c r="AT727" s="187"/>
      <c r="AU727" s="187"/>
      <c r="AV727" s="246"/>
      <c r="BB727" s="377"/>
      <c r="BC727" s="377"/>
      <c r="BD727" s="377"/>
    </row>
    <row r="728" spans="1:56" s="163" customFormat="1" ht="16.5" customHeight="1">
      <c r="A728" s="247"/>
      <c r="B728" s="244"/>
      <c r="C728" s="245"/>
      <c r="D728" s="245"/>
      <c r="E728" s="183"/>
      <c r="F728" s="183"/>
      <c r="G728" s="183"/>
      <c r="H728" s="184"/>
      <c r="I728" s="184"/>
      <c r="J728" s="184"/>
      <c r="L728" s="184"/>
      <c r="M728" s="184"/>
      <c r="N728" s="184"/>
      <c r="O728" s="184"/>
      <c r="R728" s="185"/>
      <c r="T728" s="184"/>
      <c r="U728" s="184"/>
      <c r="V728" s="184"/>
      <c r="X728" s="184"/>
      <c r="Y728" s="184"/>
      <c r="Z728" s="184"/>
      <c r="AA728" s="184"/>
      <c r="AC728" s="184"/>
      <c r="AD728" s="184"/>
      <c r="AE728" s="184"/>
      <c r="AF728" s="184"/>
      <c r="AG728" s="184"/>
      <c r="AH728" s="184"/>
      <c r="AI728" s="184"/>
      <c r="AR728" s="186"/>
      <c r="AS728" s="187"/>
      <c r="AT728" s="187"/>
      <c r="AU728" s="187"/>
      <c r="AV728" s="246"/>
      <c r="BB728" s="377"/>
      <c r="BC728" s="377"/>
      <c r="BD728" s="377"/>
    </row>
    <row r="729" spans="1:56" s="163" customFormat="1" ht="16.5" customHeight="1">
      <c r="A729" s="247"/>
      <c r="B729" s="244"/>
      <c r="C729" s="245"/>
      <c r="D729" s="245"/>
      <c r="E729" s="183"/>
      <c r="F729" s="183"/>
      <c r="G729" s="183"/>
      <c r="H729" s="184"/>
      <c r="I729" s="184"/>
      <c r="J729" s="184"/>
      <c r="L729" s="184"/>
      <c r="M729" s="184"/>
      <c r="N729" s="184"/>
      <c r="O729" s="184"/>
      <c r="R729" s="185"/>
      <c r="T729" s="184"/>
      <c r="U729" s="184"/>
      <c r="V729" s="184"/>
      <c r="X729" s="184"/>
      <c r="Y729" s="184"/>
      <c r="Z729" s="184"/>
      <c r="AA729" s="184"/>
      <c r="AC729" s="184"/>
      <c r="AD729" s="184"/>
      <c r="AE729" s="184"/>
      <c r="AF729" s="184"/>
      <c r="AG729" s="184"/>
      <c r="AH729" s="184"/>
      <c r="AI729" s="184"/>
      <c r="AR729" s="186"/>
      <c r="AS729" s="187"/>
      <c r="AT729" s="187"/>
      <c r="AU729" s="187"/>
      <c r="AV729" s="246"/>
      <c r="BB729" s="377"/>
      <c r="BC729" s="377"/>
      <c r="BD729" s="377"/>
    </row>
    <row r="730" spans="1:56" s="163" customFormat="1" ht="16.5" customHeight="1">
      <c r="A730" s="247"/>
      <c r="B730" s="244"/>
      <c r="C730" s="245"/>
      <c r="D730" s="245"/>
      <c r="E730" s="183"/>
      <c r="F730" s="183"/>
      <c r="G730" s="183"/>
      <c r="H730" s="184"/>
      <c r="I730" s="184"/>
      <c r="J730" s="184"/>
      <c r="L730" s="184"/>
      <c r="M730" s="184"/>
      <c r="N730" s="184"/>
      <c r="O730" s="184"/>
      <c r="R730" s="185"/>
      <c r="T730" s="184"/>
      <c r="U730" s="184"/>
      <c r="V730" s="184"/>
      <c r="X730" s="184"/>
      <c r="Y730" s="184"/>
      <c r="Z730" s="184"/>
      <c r="AA730" s="184"/>
      <c r="AC730" s="184"/>
      <c r="AD730" s="184"/>
      <c r="AE730" s="184"/>
      <c r="AF730" s="184"/>
      <c r="AG730" s="184"/>
      <c r="AH730" s="184"/>
      <c r="AI730" s="184"/>
      <c r="AR730" s="186"/>
      <c r="AS730" s="187"/>
      <c r="AT730" s="187"/>
      <c r="AU730" s="187"/>
      <c r="AV730" s="246"/>
      <c r="BB730" s="377"/>
      <c r="BC730" s="377"/>
      <c r="BD730" s="377"/>
    </row>
    <row r="731" spans="1:56" s="163" customFormat="1" ht="16.5" customHeight="1">
      <c r="A731" s="247"/>
      <c r="B731" s="244"/>
      <c r="C731" s="245"/>
      <c r="D731" s="245"/>
      <c r="E731" s="183"/>
      <c r="F731" s="183"/>
      <c r="G731" s="183"/>
      <c r="H731" s="184"/>
      <c r="I731" s="184"/>
      <c r="J731" s="184"/>
      <c r="L731" s="184"/>
      <c r="M731" s="184"/>
      <c r="N731" s="184"/>
      <c r="O731" s="184"/>
      <c r="R731" s="185"/>
      <c r="T731" s="184"/>
      <c r="U731" s="184"/>
      <c r="V731" s="184"/>
      <c r="X731" s="184"/>
      <c r="Y731" s="184"/>
      <c r="Z731" s="184"/>
      <c r="AA731" s="184"/>
      <c r="AC731" s="184"/>
      <c r="AD731" s="184"/>
      <c r="AE731" s="184"/>
      <c r="AF731" s="184"/>
      <c r="AG731" s="184"/>
      <c r="AH731" s="184"/>
      <c r="AI731" s="184"/>
      <c r="AR731" s="186"/>
      <c r="AS731" s="187"/>
      <c r="AT731" s="187"/>
      <c r="AU731" s="187"/>
      <c r="AV731" s="246"/>
      <c r="BB731" s="377"/>
      <c r="BC731" s="377"/>
      <c r="BD731" s="377"/>
    </row>
    <row r="732" spans="1:56" s="163" customFormat="1" ht="16.5" customHeight="1">
      <c r="A732" s="247"/>
      <c r="B732" s="244"/>
      <c r="C732" s="245"/>
      <c r="D732" s="245"/>
      <c r="E732" s="183"/>
      <c r="F732" s="183"/>
      <c r="G732" s="183"/>
      <c r="H732" s="184"/>
      <c r="I732" s="184"/>
      <c r="J732" s="184"/>
      <c r="L732" s="184"/>
      <c r="M732" s="184"/>
      <c r="N732" s="184"/>
      <c r="O732" s="184"/>
      <c r="R732" s="185"/>
      <c r="T732" s="184"/>
      <c r="U732" s="184"/>
      <c r="V732" s="184"/>
      <c r="X732" s="184"/>
      <c r="Y732" s="184"/>
      <c r="Z732" s="184"/>
      <c r="AA732" s="184"/>
      <c r="AC732" s="184"/>
      <c r="AD732" s="184"/>
      <c r="AE732" s="184"/>
      <c r="AF732" s="184"/>
      <c r="AG732" s="184"/>
      <c r="AH732" s="184"/>
      <c r="AI732" s="184"/>
      <c r="AR732" s="186"/>
      <c r="AS732" s="187"/>
      <c r="AT732" s="187"/>
      <c r="AU732" s="187"/>
      <c r="AV732" s="246"/>
      <c r="BB732" s="377"/>
      <c r="BC732" s="377"/>
      <c r="BD732" s="377"/>
    </row>
    <row r="733" spans="1:56" s="163" customFormat="1" ht="16.5" customHeight="1">
      <c r="A733" s="247"/>
      <c r="B733" s="244"/>
      <c r="C733" s="245"/>
      <c r="D733" s="245"/>
      <c r="E733" s="183"/>
      <c r="F733" s="183"/>
      <c r="G733" s="183"/>
      <c r="H733" s="184"/>
      <c r="I733" s="184"/>
      <c r="J733" s="184"/>
      <c r="L733" s="184"/>
      <c r="M733" s="184"/>
      <c r="N733" s="184"/>
      <c r="O733" s="184"/>
      <c r="R733" s="185"/>
      <c r="T733" s="184"/>
      <c r="U733" s="184"/>
      <c r="V733" s="184"/>
      <c r="X733" s="184"/>
      <c r="Y733" s="184"/>
      <c r="Z733" s="184"/>
      <c r="AA733" s="184"/>
      <c r="AC733" s="184"/>
      <c r="AD733" s="184"/>
      <c r="AE733" s="184"/>
      <c r="AF733" s="184"/>
      <c r="AG733" s="184"/>
      <c r="AH733" s="184"/>
      <c r="AI733" s="184"/>
      <c r="AR733" s="186"/>
      <c r="AS733" s="187"/>
      <c r="AT733" s="187"/>
      <c r="AU733" s="187"/>
      <c r="AV733" s="246"/>
      <c r="BB733" s="377"/>
      <c r="BC733" s="377"/>
      <c r="BD733" s="377"/>
    </row>
    <row r="734" spans="1:56" s="163" customFormat="1" ht="16.5" customHeight="1">
      <c r="A734" s="247"/>
      <c r="B734" s="244"/>
      <c r="C734" s="245"/>
      <c r="D734" s="245"/>
      <c r="E734" s="183"/>
      <c r="F734" s="183"/>
      <c r="G734" s="183"/>
      <c r="H734" s="184"/>
      <c r="I734" s="184"/>
      <c r="J734" s="184"/>
      <c r="L734" s="184"/>
      <c r="M734" s="184"/>
      <c r="N734" s="184"/>
      <c r="O734" s="184"/>
      <c r="R734" s="185"/>
      <c r="T734" s="184"/>
      <c r="U734" s="184"/>
      <c r="V734" s="184"/>
      <c r="X734" s="184"/>
      <c r="Y734" s="184"/>
      <c r="Z734" s="184"/>
      <c r="AA734" s="184"/>
      <c r="AC734" s="184"/>
      <c r="AD734" s="184"/>
      <c r="AE734" s="184"/>
      <c r="AF734" s="184"/>
      <c r="AG734" s="184"/>
      <c r="AH734" s="184"/>
      <c r="AI734" s="184"/>
      <c r="AR734" s="186"/>
      <c r="AS734" s="187"/>
      <c r="AT734" s="187"/>
      <c r="AU734" s="187"/>
      <c r="AV734" s="246"/>
      <c r="BB734" s="377"/>
      <c r="BC734" s="377"/>
      <c r="BD734" s="377"/>
    </row>
    <row r="735" spans="1:56" s="163" customFormat="1" ht="16.5" customHeight="1">
      <c r="A735" s="247"/>
      <c r="B735" s="244"/>
      <c r="C735" s="245"/>
      <c r="D735" s="245"/>
      <c r="E735" s="183"/>
      <c r="F735" s="183"/>
      <c r="G735" s="183"/>
      <c r="H735" s="184"/>
      <c r="I735" s="184"/>
      <c r="J735" s="184"/>
      <c r="L735" s="184"/>
      <c r="M735" s="184"/>
      <c r="N735" s="184"/>
      <c r="O735" s="184"/>
      <c r="R735" s="185"/>
      <c r="T735" s="184"/>
      <c r="U735" s="184"/>
      <c r="V735" s="184"/>
      <c r="X735" s="184"/>
      <c r="Y735" s="184"/>
      <c r="Z735" s="184"/>
      <c r="AA735" s="184"/>
      <c r="AC735" s="184"/>
      <c r="AD735" s="184"/>
      <c r="AE735" s="184"/>
      <c r="AF735" s="184"/>
      <c r="AG735" s="184"/>
      <c r="AH735" s="184"/>
      <c r="AI735" s="184"/>
      <c r="AR735" s="186"/>
      <c r="AS735" s="187"/>
      <c r="AT735" s="187"/>
      <c r="AU735" s="187"/>
      <c r="AV735" s="246"/>
      <c r="BB735" s="377"/>
      <c r="BC735" s="377"/>
      <c r="BD735" s="377"/>
    </row>
    <row r="736" spans="1:56" s="163" customFormat="1" ht="16.5" customHeight="1">
      <c r="A736" s="247"/>
      <c r="B736" s="244"/>
      <c r="C736" s="245"/>
      <c r="D736" s="245"/>
      <c r="E736" s="183"/>
      <c r="F736" s="183"/>
      <c r="G736" s="183"/>
      <c r="H736" s="184"/>
      <c r="I736" s="184"/>
      <c r="J736" s="184"/>
      <c r="L736" s="184"/>
      <c r="M736" s="184"/>
      <c r="N736" s="184"/>
      <c r="O736" s="184"/>
      <c r="R736" s="185"/>
      <c r="T736" s="184"/>
      <c r="U736" s="184"/>
      <c r="V736" s="184"/>
      <c r="X736" s="184"/>
      <c r="Y736" s="184"/>
      <c r="Z736" s="184"/>
      <c r="AA736" s="184"/>
      <c r="AC736" s="184"/>
      <c r="AD736" s="184"/>
      <c r="AE736" s="184"/>
      <c r="AF736" s="184"/>
      <c r="AG736" s="184"/>
      <c r="AH736" s="184"/>
      <c r="AI736" s="184"/>
      <c r="AR736" s="186"/>
      <c r="AS736" s="187"/>
      <c r="AT736" s="187"/>
      <c r="AU736" s="187"/>
      <c r="AV736" s="246"/>
      <c r="BB736" s="377"/>
      <c r="BC736" s="377"/>
      <c r="BD736" s="377"/>
    </row>
    <row r="737" spans="1:56" s="163" customFormat="1" ht="16.5" customHeight="1">
      <c r="A737" s="247"/>
      <c r="B737" s="244"/>
      <c r="C737" s="245"/>
      <c r="D737" s="245"/>
      <c r="E737" s="183"/>
      <c r="F737" s="183"/>
      <c r="G737" s="183"/>
      <c r="H737" s="184"/>
      <c r="I737" s="184"/>
      <c r="J737" s="184"/>
      <c r="L737" s="184"/>
      <c r="M737" s="184"/>
      <c r="N737" s="184"/>
      <c r="O737" s="184"/>
      <c r="R737" s="185"/>
      <c r="T737" s="184"/>
      <c r="U737" s="184"/>
      <c r="V737" s="184"/>
      <c r="X737" s="184"/>
      <c r="Y737" s="184"/>
      <c r="Z737" s="184"/>
      <c r="AA737" s="184"/>
      <c r="AC737" s="184"/>
      <c r="AD737" s="184"/>
      <c r="AE737" s="184"/>
      <c r="AF737" s="184"/>
      <c r="AG737" s="184"/>
      <c r="AH737" s="184"/>
      <c r="AI737" s="184"/>
      <c r="AR737" s="186"/>
      <c r="AS737" s="187"/>
      <c r="AT737" s="187"/>
      <c r="AU737" s="187"/>
      <c r="AV737" s="246"/>
      <c r="BB737" s="377"/>
      <c r="BC737" s="377"/>
      <c r="BD737" s="377"/>
    </row>
    <row r="738" spans="1:56" s="163" customFormat="1" ht="16.5" customHeight="1">
      <c r="A738" s="247"/>
      <c r="B738" s="244"/>
      <c r="C738" s="245"/>
      <c r="D738" s="245"/>
      <c r="E738" s="183"/>
      <c r="F738" s="183"/>
      <c r="G738" s="183"/>
      <c r="H738" s="184"/>
      <c r="I738" s="184"/>
      <c r="J738" s="184"/>
      <c r="L738" s="184"/>
      <c r="M738" s="184"/>
      <c r="N738" s="184"/>
      <c r="O738" s="184"/>
      <c r="R738" s="185"/>
      <c r="T738" s="184"/>
      <c r="U738" s="184"/>
      <c r="V738" s="184"/>
      <c r="X738" s="184"/>
      <c r="Y738" s="184"/>
      <c r="Z738" s="184"/>
      <c r="AA738" s="184"/>
      <c r="AC738" s="184"/>
      <c r="AD738" s="184"/>
      <c r="AE738" s="184"/>
      <c r="AF738" s="184"/>
      <c r="AG738" s="184"/>
      <c r="AH738" s="184"/>
      <c r="AI738" s="184"/>
      <c r="AR738" s="186"/>
      <c r="AS738" s="187"/>
      <c r="AT738" s="187"/>
      <c r="AU738" s="187"/>
      <c r="AV738" s="246"/>
      <c r="BB738" s="377"/>
      <c r="BC738" s="377"/>
      <c r="BD738" s="377"/>
    </row>
    <row r="739" spans="1:56" s="163" customFormat="1" ht="16.5" customHeight="1">
      <c r="A739" s="247"/>
      <c r="B739" s="244"/>
      <c r="C739" s="245"/>
      <c r="D739" s="245"/>
      <c r="E739" s="183"/>
      <c r="F739" s="183"/>
      <c r="G739" s="183"/>
      <c r="H739" s="184"/>
      <c r="I739" s="184"/>
      <c r="J739" s="184"/>
      <c r="L739" s="184"/>
      <c r="M739" s="184"/>
      <c r="N739" s="184"/>
      <c r="O739" s="184"/>
      <c r="R739" s="185"/>
      <c r="T739" s="184"/>
      <c r="U739" s="184"/>
      <c r="V739" s="184"/>
      <c r="X739" s="184"/>
      <c r="Y739" s="184"/>
      <c r="Z739" s="184"/>
      <c r="AA739" s="184"/>
      <c r="AC739" s="184"/>
      <c r="AD739" s="184"/>
      <c r="AE739" s="184"/>
      <c r="AF739" s="184"/>
      <c r="AG739" s="184"/>
      <c r="AH739" s="184"/>
      <c r="AI739" s="184"/>
      <c r="AR739" s="186"/>
      <c r="AS739" s="187"/>
      <c r="AT739" s="187"/>
      <c r="AU739" s="187"/>
      <c r="AV739" s="246"/>
      <c r="BB739" s="377"/>
      <c r="BC739" s="377"/>
      <c r="BD739" s="377"/>
    </row>
    <row r="740" spans="1:56" s="163" customFormat="1" ht="16.5" customHeight="1">
      <c r="A740" s="247"/>
      <c r="B740" s="244"/>
      <c r="C740" s="245"/>
      <c r="D740" s="245"/>
      <c r="E740" s="183"/>
      <c r="F740" s="183"/>
      <c r="G740" s="183"/>
      <c r="H740" s="184"/>
      <c r="I740" s="184"/>
      <c r="J740" s="184"/>
      <c r="L740" s="184"/>
      <c r="M740" s="184"/>
      <c r="N740" s="184"/>
      <c r="O740" s="184"/>
      <c r="R740" s="185"/>
      <c r="T740" s="184"/>
      <c r="U740" s="184"/>
      <c r="V740" s="184"/>
      <c r="X740" s="184"/>
      <c r="Y740" s="184"/>
      <c r="Z740" s="184"/>
      <c r="AA740" s="184"/>
      <c r="AC740" s="184"/>
      <c r="AD740" s="184"/>
      <c r="AE740" s="184"/>
      <c r="AF740" s="184"/>
      <c r="AG740" s="184"/>
      <c r="AH740" s="184"/>
      <c r="AI740" s="184"/>
      <c r="AR740" s="186"/>
      <c r="AS740" s="187"/>
      <c r="AT740" s="187"/>
      <c r="AU740" s="187"/>
      <c r="AV740" s="246"/>
      <c r="BB740" s="377"/>
      <c r="BC740" s="377"/>
      <c r="BD740" s="377"/>
    </row>
    <row r="741" spans="1:56" s="163" customFormat="1" ht="16.5" customHeight="1">
      <c r="A741" s="247"/>
      <c r="B741" s="244"/>
      <c r="C741" s="245"/>
      <c r="D741" s="245"/>
      <c r="E741" s="183"/>
      <c r="F741" s="183"/>
      <c r="G741" s="183"/>
      <c r="H741" s="184"/>
      <c r="I741" s="184"/>
      <c r="J741" s="184"/>
      <c r="L741" s="184"/>
      <c r="M741" s="184"/>
      <c r="N741" s="184"/>
      <c r="O741" s="184"/>
      <c r="R741" s="185"/>
      <c r="T741" s="184"/>
      <c r="U741" s="184"/>
      <c r="V741" s="184"/>
      <c r="X741" s="184"/>
      <c r="Y741" s="184"/>
      <c r="Z741" s="184"/>
      <c r="AA741" s="184"/>
      <c r="AC741" s="184"/>
      <c r="AD741" s="184"/>
      <c r="AE741" s="184"/>
      <c r="AF741" s="184"/>
      <c r="AG741" s="184"/>
      <c r="AH741" s="184"/>
      <c r="AI741" s="184"/>
      <c r="AR741" s="186"/>
      <c r="AS741" s="187"/>
      <c r="AT741" s="187"/>
      <c r="AU741" s="187"/>
      <c r="AV741" s="246"/>
      <c r="BB741" s="377"/>
      <c r="BC741" s="377"/>
      <c r="BD741" s="377"/>
    </row>
    <row r="742" spans="1:56" s="163" customFormat="1" ht="16.5" customHeight="1">
      <c r="A742" s="247"/>
      <c r="B742" s="244"/>
      <c r="C742" s="245"/>
      <c r="D742" s="245"/>
      <c r="E742" s="183"/>
      <c r="F742" s="183"/>
      <c r="G742" s="183"/>
      <c r="H742" s="184"/>
      <c r="I742" s="184"/>
      <c r="J742" s="184"/>
      <c r="L742" s="184"/>
      <c r="M742" s="184"/>
      <c r="N742" s="184"/>
      <c r="O742" s="184"/>
      <c r="R742" s="185"/>
      <c r="T742" s="184"/>
      <c r="U742" s="184"/>
      <c r="V742" s="184"/>
      <c r="X742" s="184"/>
      <c r="Y742" s="184"/>
      <c r="Z742" s="184"/>
      <c r="AA742" s="184"/>
      <c r="AC742" s="184"/>
      <c r="AD742" s="184"/>
      <c r="AE742" s="184"/>
      <c r="AF742" s="184"/>
      <c r="AG742" s="184"/>
      <c r="AH742" s="184"/>
      <c r="AI742" s="184"/>
      <c r="AR742" s="186"/>
      <c r="AS742" s="187"/>
      <c r="AT742" s="187"/>
      <c r="AU742" s="187"/>
      <c r="AV742" s="246"/>
      <c r="BB742" s="377"/>
      <c r="BC742" s="377"/>
      <c r="BD742" s="377"/>
    </row>
    <row r="743" spans="1:56" s="163" customFormat="1" ht="16.5" customHeight="1">
      <c r="A743" s="247"/>
      <c r="B743" s="244"/>
      <c r="C743" s="245"/>
      <c r="D743" s="245"/>
      <c r="E743" s="183"/>
      <c r="F743" s="183"/>
      <c r="G743" s="183"/>
      <c r="H743" s="184"/>
      <c r="I743" s="184"/>
      <c r="J743" s="184"/>
      <c r="L743" s="184"/>
      <c r="M743" s="184"/>
      <c r="N743" s="184"/>
      <c r="O743" s="184"/>
      <c r="R743" s="185"/>
      <c r="T743" s="184"/>
      <c r="U743" s="184"/>
      <c r="V743" s="184"/>
      <c r="X743" s="184"/>
      <c r="Y743" s="184"/>
      <c r="Z743" s="184"/>
      <c r="AA743" s="184"/>
      <c r="AC743" s="184"/>
      <c r="AD743" s="184"/>
      <c r="AE743" s="184"/>
      <c r="AF743" s="184"/>
      <c r="AG743" s="184"/>
      <c r="AH743" s="184"/>
      <c r="AI743" s="184"/>
      <c r="AR743" s="186"/>
      <c r="AS743" s="187"/>
      <c r="AT743" s="187"/>
      <c r="AU743" s="187"/>
      <c r="AV743" s="246"/>
      <c r="BB743" s="377"/>
      <c r="BC743" s="377"/>
      <c r="BD743" s="377"/>
    </row>
    <row r="744" spans="1:56" s="163" customFormat="1" ht="16.5" customHeight="1">
      <c r="A744" s="247"/>
      <c r="B744" s="244"/>
      <c r="C744" s="245"/>
      <c r="D744" s="245"/>
      <c r="E744" s="183"/>
      <c r="F744" s="183"/>
      <c r="G744" s="183"/>
      <c r="H744" s="184"/>
      <c r="I744" s="184"/>
      <c r="J744" s="184"/>
      <c r="L744" s="184"/>
      <c r="M744" s="184"/>
      <c r="N744" s="184"/>
      <c r="O744" s="184"/>
      <c r="R744" s="185"/>
      <c r="T744" s="184"/>
      <c r="U744" s="184"/>
      <c r="V744" s="184"/>
      <c r="X744" s="184"/>
      <c r="Y744" s="184"/>
      <c r="Z744" s="184"/>
      <c r="AA744" s="184"/>
      <c r="AC744" s="184"/>
      <c r="AD744" s="184"/>
      <c r="AE744" s="184"/>
      <c r="AF744" s="184"/>
      <c r="AG744" s="184"/>
      <c r="AH744" s="184"/>
      <c r="AI744" s="184"/>
      <c r="AR744" s="186"/>
      <c r="AS744" s="187"/>
      <c r="AT744" s="187"/>
      <c r="AU744" s="187"/>
      <c r="AV744" s="246"/>
      <c r="BB744" s="377"/>
      <c r="BC744" s="377"/>
      <c r="BD744" s="377"/>
    </row>
    <row r="745" spans="1:56" s="163" customFormat="1" ht="16.5" customHeight="1">
      <c r="A745" s="247"/>
      <c r="B745" s="244"/>
      <c r="C745" s="245"/>
      <c r="D745" s="245"/>
      <c r="E745" s="183"/>
      <c r="F745" s="183"/>
      <c r="G745" s="183"/>
      <c r="H745" s="184"/>
      <c r="I745" s="184"/>
      <c r="J745" s="184"/>
      <c r="L745" s="184"/>
      <c r="M745" s="184"/>
      <c r="N745" s="184"/>
      <c r="O745" s="184"/>
      <c r="R745" s="185"/>
      <c r="T745" s="184"/>
      <c r="U745" s="184"/>
      <c r="V745" s="184"/>
      <c r="X745" s="184"/>
      <c r="Y745" s="184"/>
      <c r="Z745" s="184"/>
      <c r="AA745" s="184"/>
      <c r="AC745" s="184"/>
      <c r="AD745" s="184"/>
      <c r="AE745" s="184"/>
      <c r="AF745" s="184"/>
      <c r="AG745" s="184"/>
      <c r="AH745" s="184"/>
      <c r="AI745" s="184"/>
      <c r="AR745" s="186"/>
      <c r="AS745" s="187"/>
      <c r="AT745" s="187"/>
      <c r="AU745" s="187"/>
      <c r="AV745" s="246"/>
      <c r="BB745" s="377"/>
      <c r="BC745" s="377"/>
      <c r="BD745" s="377"/>
    </row>
    <row r="746" spans="1:56" s="163" customFormat="1" ht="16.5" customHeight="1">
      <c r="A746" s="247"/>
      <c r="B746" s="244"/>
      <c r="C746" s="245"/>
      <c r="D746" s="245"/>
      <c r="E746" s="183"/>
      <c r="F746" s="183"/>
      <c r="G746" s="183"/>
      <c r="H746" s="184"/>
      <c r="I746" s="184"/>
      <c r="J746" s="184"/>
      <c r="L746" s="184"/>
      <c r="M746" s="184"/>
      <c r="N746" s="184"/>
      <c r="O746" s="184"/>
      <c r="R746" s="185"/>
      <c r="T746" s="184"/>
      <c r="U746" s="184"/>
      <c r="V746" s="184"/>
      <c r="X746" s="184"/>
      <c r="Y746" s="184"/>
      <c r="Z746" s="184"/>
      <c r="AA746" s="184"/>
      <c r="AC746" s="184"/>
      <c r="AD746" s="184"/>
      <c r="AE746" s="184"/>
      <c r="AF746" s="184"/>
      <c r="AG746" s="184"/>
      <c r="AH746" s="184"/>
      <c r="AI746" s="184"/>
      <c r="AR746" s="186"/>
      <c r="AS746" s="187"/>
      <c r="AT746" s="187"/>
      <c r="AU746" s="187"/>
      <c r="AV746" s="246"/>
      <c r="BB746" s="377"/>
      <c r="BC746" s="377"/>
      <c r="BD746" s="377"/>
    </row>
    <row r="747" spans="1:56" s="163" customFormat="1" ht="16.5" customHeight="1">
      <c r="A747" s="247"/>
      <c r="B747" s="244"/>
      <c r="C747" s="245"/>
      <c r="D747" s="245"/>
      <c r="E747" s="183"/>
      <c r="F747" s="183"/>
      <c r="G747" s="183"/>
      <c r="H747" s="184"/>
      <c r="I747" s="184"/>
      <c r="J747" s="184"/>
      <c r="L747" s="184"/>
      <c r="M747" s="184"/>
      <c r="N747" s="184"/>
      <c r="O747" s="184"/>
      <c r="R747" s="185"/>
      <c r="T747" s="184"/>
      <c r="U747" s="184"/>
      <c r="V747" s="184"/>
      <c r="X747" s="184"/>
      <c r="Y747" s="184"/>
      <c r="Z747" s="184"/>
      <c r="AA747" s="184"/>
      <c r="AC747" s="184"/>
      <c r="AD747" s="184"/>
      <c r="AE747" s="184"/>
      <c r="AF747" s="184"/>
      <c r="AG747" s="184"/>
      <c r="AH747" s="184"/>
      <c r="AI747" s="184"/>
      <c r="AR747" s="186"/>
      <c r="AS747" s="187"/>
      <c r="AT747" s="187"/>
      <c r="AU747" s="187"/>
      <c r="AV747" s="246"/>
      <c r="BB747" s="377"/>
      <c r="BC747" s="377"/>
      <c r="BD747" s="377"/>
    </row>
    <row r="748" spans="1:56" s="163" customFormat="1" ht="16.5" customHeight="1">
      <c r="A748" s="247"/>
      <c r="B748" s="244"/>
      <c r="C748" s="245"/>
      <c r="D748" s="245"/>
      <c r="E748" s="183"/>
      <c r="F748" s="183"/>
      <c r="G748" s="183"/>
      <c r="H748" s="184"/>
      <c r="I748" s="184"/>
      <c r="J748" s="184"/>
      <c r="L748" s="184"/>
      <c r="M748" s="184"/>
      <c r="N748" s="184"/>
      <c r="O748" s="184"/>
      <c r="R748" s="185"/>
      <c r="T748" s="184"/>
      <c r="U748" s="184"/>
      <c r="V748" s="184"/>
      <c r="X748" s="184"/>
      <c r="Y748" s="184"/>
      <c r="Z748" s="184"/>
      <c r="AA748" s="184"/>
      <c r="AC748" s="184"/>
      <c r="AD748" s="184"/>
      <c r="AE748" s="184"/>
      <c r="AF748" s="184"/>
      <c r="AG748" s="184"/>
      <c r="AH748" s="184"/>
      <c r="AI748" s="184"/>
      <c r="AR748" s="186"/>
      <c r="AS748" s="187"/>
      <c r="AT748" s="187"/>
      <c r="AU748" s="187"/>
      <c r="AV748" s="246"/>
      <c r="BB748" s="377"/>
      <c r="BC748" s="377"/>
      <c r="BD748" s="377"/>
    </row>
    <row r="749" spans="1:56" s="163" customFormat="1" ht="16.5" customHeight="1">
      <c r="A749" s="247"/>
      <c r="B749" s="244"/>
      <c r="C749" s="245"/>
      <c r="D749" s="245"/>
      <c r="E749" s="183"/>
      <c r="F749" s="183"/>
      <c r="G749" s="183"/>
      <c r="H749" s="184"/>
      <c r="I749" s="184"/>
      <c r="J749" s="184"/>
      <c r="L749" s="184"/>
      <c r="M749" s="184"/>
      <c r="N749" s="184"/>
      <c r="O749" s="184"/>
      <c r="R749" s="185"/>
      <c r="T749" s="184"/>
      <c r="U749" s="184"/>
      <c r="V749" s="184"/>
      <c r="X749" s="184"/>
      <c r="Y749" s="184"/>
      <c r="Z749" s="184"/>
      <c r="AA749" s="184"/>
      <c r="AC749" s="184"/>
      <c r="AD749" s="184"/>
      <c r="AE749" s="184"/>
      <c r="AF749" s="184"/>
      <c r="AG749" s="184"/>
      <c r="AH749" s="184"/>
      <c r="AI749" s="184"/>
      <c r="AR749" s="186"/>
      <c r="AS749" s="187"/>
      <c r="AT749" s="187"/>
      <c r="AU749" s="187"/>
      <c r="AV749" s="246"/>
      <c r="BB749" s="377"/>
      <c r="BC749" s="377"/>
      <c r="BD749" s="377"/>
    </row>
    <row r="750" spans="1:56" s="163" customFormat="1" ht="16.5" customHeight="1">
      <c r="A750" s="247"/>
      <c r="B750" s="244"/>
      <c r="C750" s="245"/>
      <c r="D750" s="245"/>
      <c r="E750" s="183"/>
      <c r="F750" s="183"/>
      <c r="G750" s="183"/>
      <c r="H750" s="184"/>
      <c r="I750" s="184"/>
      <c r="J750" s="184"/>
      <c r="L750" s="184"/>
      <c r="M750" s="184"/>
      <c r="N750" s="184"/>
      <c r="O750" s="184"/>
      <c r="R750" s="185"/>
      <c r="T750" s="184"/>
      <c r="U750" s="184"/>
      <c r="V750" s="184"/>
      <c r="X750" s="184"/>
      <c r="Y750" s="184"/>
      <c r="Z750" s="184"/>
      <c r="AA750" s="184"/>
      <c r="AC750" s="184"/>
      <c r="AD750" s="184"/>
      <c r="AE750" s="184"/>
      <c r="AF750" s="184"/>
      <c r="AG750" s="184"/>
      <c r="AH750" s="184"/>
      <c r="AI750" s="184"/>
      <c r="AR750" s="186"/>
      <c r="AS750" s="187"/>
      <c r="AT750" s="187"/>
      <c r="AU750" s="187"/>
      <c r="AV750" s="246"/>
      <c r="BB750" s="377"/>
      <c r="BC750" s="377"/>
      <c r="BD750" s="377"/>
    </row>
    <row r="751" spans="1:56" s="163" customFormat="1" ht="16.5" customHeight="1">
      <c r="A751" s="247"/>
      <c r="B751" s="244"/>
      <c r="C751" s="245"/>
      <c r="D751" s="245"/>
      <c r="E751" s="183"/>
      <c r="F751" s="183"/>
      <c r="G751" s="183"/>
      <c r="H751" s="184"/>
      <c r="I751" s="184"/>
      <c r="J751" s="184"/>
      <c r="L751" s="184"/>
      <c r="M751" s="184"/>
      <c r="N751" s="184"/>
      <c r="O751" s="184"/>
      <c r="R751" s="185"/>
      <c r="T751" s="184"/>
      <c r="U751" s="184"/>
      <c r="V751" s="184"/>
      <c r="X751" s="184"/>
      <c r="Y751" s="184"/>
      <c r="Z751" s="184"/>
      <c r="AA751" s="184"/>
      <c r="AC751" s="184"/>
      <c r="AD751" s="184"/>
      <c r="AE751" s="184"/>
      <c r="AF751" s="184"/>
      <c r="AG751" s="184"/>
      <c r="AH751" s="184"/>
      <c r="AI751" s="184"/>
      <c r="AR751" s="186"/>
      <c r="AS751" s="187"/>
      <c r="AT751" s="187"/>
      <c r="AU751" s="187"/>
      <c r="AV751" s="246"/>
      <c r="BB751" s="377"/>
      <c r="BC751" s="377"/>
      <c r="BD751" s="377"/>
    </row>
    <row r="752" spans="1:56" s="163" customFormat="1" ht="16.5" customHeight="1">
      <c r="A752" s="247"/>
      <c r="B752" s="244"/>
      <c r="C752" s="245"/>
      <c r="D752" s="245"/>
      <c r="E752" s="183"/>
      <c r="F752" s="183"/>
      <c r="G752" s="183"/>
      <c r="H752" s="184"/>
      <c r="I752" s="184"/>
      <c r="J752" s="184"/>
      <c r="L752" s="184"/>
      <c r="M752" s="184"/>
      <c r="N752" s="184"/>
      <c r="O752" s="184"/>
      <c r="R752" s="185"/>
      <c r="T752" s="184"/>
      <c r="U752" s="184"/>
      <c r="V752" s="184"/>
      <c r="X752" s="184"/>
      <c r="Y752" s="184"/>
      <c r="Z752" s="184"/>
      <c r="AA752" s="184"/>
      <c r="AC752" s="184"/>
      <c r="AD752" s="184"/>
      <c r="AE752" s="184"/>
      <c r="AF752" s="184"/>
      <c r="AG752" s="184"/>
      <c r="AH752" s="184"/>
      <c r="AI752" s="184"/>
      <c r="AR752" s="186"/>
      <c r="AS752" s="187"/>
      <c r="AT752" s="187"/>
      <c r="AU752" s="187"/>
      <c r="AV752" s="246"/>
      <c r="BB752" s="377"/>
      <c r="BC752" s="377"/>
      <c r="BD752" s="377"/>
    </row>
    <row r="753" spans="1:56" s="163" customFormat="1" ht="16.5" customHeight="1">
      <c r="A753" s="247"/>
      <c r="B753" s="244"/>
      <c r="C753" s="245"/>
      <c r="D753" s="245"/>
      <c r="E753" s="183"/>
      <c r="F753" s="183"/>
      <c r="G753" s="183"/>
      <c r="H753" s="184"/>
      <c r="I753" s="184"/>
      <c r="J753" s="184"/>
      <c r="L753" s="184"/>
      <c r="M753" s="184"/>
      <c r="N753" s="184"/>
      <c r="O753" s="184"/>
      <c r="R753" s="185"/>
      <c r="T753" s="184"/>
      <c r="U753" s="184"/>
      <c r="V753" s="184"/>
      <c r="X753" s="184"/>
      <c r="Y753" s="184"/>
      <c r="Z753" s="184"/>
      <c r="AA753" s="184"/>
      <c r="AC753" s="184"/>
      <c r="AD753" s="184"/>
      <c r="AE753" s="184"/>
      <c r="AF753" s="184"/>
      <c r="AG753" s="184"/>
      <c r="AH753" s="184"/>
      <c r="AI753" s="184"/>
      <c r="AR753" s="186"/>
      <c r="AS753" s="187"/>
      <c r="AT753" s="187"/>
      <c r="AU753" s="187"/>
      <c r="AV753" s="246"/>
      <c r="BB753" s="377"/>
      <c r="BC753" s="377"/>
      <c r="BD753" s="377"/>
    </row>
    <row r="754" spans="1:56" s="163" customFormat="1" ht="16.5" customHeight="1">
      <c r="A754" s="247"/>
      <c r="B754" s="244"/>
      <c r="C754" s="245"/>
      <c r="D754" s="245"/>
      <c r="E754" s="183"/>
      <c r="F754" s="183"/>
      <c r="G754" s="183"/>
      <c r="H754" s="184"/>
      <c r="I754" s="184"/>
      <c r="J754" s="184"/>
      <c r="L754" s="184"/>
      <c r="M754" s="184"/>
      <c r="N754" s="184"/>
      <c r="O754" s="184"/>
      <c r="R754" s="185"/>
      <c r="T754" s="184"/>
      <c r="U754" s="184"/>
      <c r="V754" s="184"/>
      <c r="X754" s="184"/>
      <c r="Y754" s="184"/>
      <c r="Z754" s="184"/>
      <c r="AA754" s="184"/>
      <c r="AC754" s="184"/>
      <c r="AD754" s="184"/>
      <c r="AE754" s="184"/>
      <c r="AF754" s="184"/>
      <c r="AG754" s="184"/>
      <c r="AH754" s="184"/>
      <c r="AI754" s="184"/>
      <c r="AR754" s="186"/>
      <c r="AS754" s="187"/>
      <c r="AT754" s="187"/>
      <c r="AU754" s="187"/>
      <c r="AV754" s="246"/>
      <c r="BB754" s="377"/>
      <c r="BC754" s="377"/>
      <c r="BD754" s="377"/>
    </row>
    <row r="755" spans="1:56" s="163" customFormat="1" ht="16.5" customHeight="1">
      <c r="A755" s="247"/>
      <c r="B755" s="244"/>
      <c r="C755" s="245"/>
      <c r="D755" s="245"/>
      <c r="E755" s="183"/>
      <c r="F755" s="183"/>
      <c r="G755" s="183"/>
      <c r="H755" s="184"/>
      <c r="I755" s="184"/>
      <c r="J755" s="184"/>
      <c r="L755" s="184"/>
      <c r="M755" s="184"/>
      <c r="N755" s="184"/>
      <c r="O755" s="184"/>
      <c r="R755" s="185"/>
      <c r="T755" s="184"/>
      <c r="U755" s="184"/>
      <c r="V755" s="184"/>
      <c r="X755" s="184"/>
      <c r="Y755" s="184"/>
      <c r="Z755" s="184"/>
      <c r="AA755" s="184"/>
      <c r="AC755" s="184"/>
      <c r="AD755" s="184"/>
      <c r="AE755" s="184"/>
      <c r="AF755" s="184"/>
      <c r="AG755" s="184"/>
      <c r="AH755" s="184"/>
      <c r="AI755" s="184"/>
      <c r="AR755" s="186"/>
      <c r="AS755" s="187"/>
      <c r="AT755" s="187"/>
      <c r="AU755" s="187"/>
      <c r="AV755" s="246"/>
      <c r="BB755" s="377"/>
      <c r="BC755" s="377"/>
      <c r="BD755" s="377"/>
    </row>
    <row r="756" spans="1:56" s="163" customFormat="1" ht="16.5" customHeight="1">
      <c r="A756" s="247"/>
      <c r="B756" s="244"/>
      <c r="C756" s="245"/>
      <c r="D756" s="245"/>
      <c r="E756" s="183"/>
      <c r="F756" s="183"/>
      <c r="G756" s="183"/>
      <c r="H756" s="184"/>
      <c r="I756" s="184"/>
      <c r="J756" s="184"/>
      <c r="L756" s="184"/>
      <c r="M756" s="184"/>
      <c r="N756" s="184"/>
      <c r="O756" s="184"/>
      <c r="R756" s="185"/>
      <c r="T756" s="184"/>
      <c r="U756" s="184"/>
      <c r="V756" s="184"/>
      <c r="X756" s="184"/>
      <c r="Y756" s="184"/>
      <c r="Z756" s="184"/>
      <c r="AA756" s="184"/>
      <c r="AC756" s="184"/>
      <c r="AD756" s="184"/>
      <c r="AE756" s="184"/>
      <c r="AF756" s="184"/>
      <c r="AG756" s="184"/>
      <c r="AH756" s="184"/>
      <c r="AI756" s="184"/>
      <c r="AR756" s="186"/>
      <c r="AS756" s="187"/>
      <c r="AT756" s="187"/>
      <c r="AU756" s="187"/>
      <c r="AV756" s="246"/>
      <c r="BB756" s="377"/>
      <c r="BC756" s="377"/>
      <c r="BD756" s="377"/>
    </row>
    <row r="757" spans="1:56" s="163" customFormat="1" ht="16.5" customHeight="1">
      <c r="A757" s="247"/>
      <c r="B757" s="244"/>
      <c r="C757" s="245"/>
      <c r="D757" s="245"/>
      <c r="E757" s="183"/>
      <c r="F757" s="183"/>
      <c r="G757" s="183"/>
      <c r="H757" s="184"/>
      <c r="I757" s="184"/>
      <c r="J757" s="184"/>
      <c r="L757" s="184"/>
      <c r="M757" s="184"/>
      <c r="N757" s="184"/>
      <c r="O757" s="184"/>
      <c r="R757" s="185"/>
      <c r="T757" s="184"/>
      <c r="U757" s="184"/>
      <c r="V757" s="184"/>
      <c r="X757" s="184"/>
      <c r="Y757" s="184"/>
      <c r="Z757" s="184"/>
      <c r="AA757" s="184"/>
      <c r="AC757" s="184"/>
      <c r="AD757" s="184"/>
      <c r="AE757" s="184"/>
      <c r="AF757" s="184"/>
      <c r="AG757" s="184"/>
      <c r="AH757" s="184"/>
      <c r="AI757" s="184"/>
      <c r="AR757" s="186"/>
      <c r="AS757" s="187"/>
      <c r="AT757" s="187"/>
      <c r="AU757" s="187"/>
      <c r="AV757" s="246"/>
      <c r="BB757" s="377"/>
      <c r="BC757" s="377"/>
      <c r="BD757" s="377"/>
    </row>
    <row r="758" spans="1:56" s="163" customFormat="1" ht="16.5" customHeight="1">
      <c r="A758" s="247"/>
      <c r="B758" s="244"/>
      <c r="C758" s="245"/>
      <c r="D758" s="245"/>
      <c r="E758" s="183"/>
      <c r="F758" s="183"/>
      <c r="G758" s="183"/>
      <c r="H758" s="184"/>
      <c r="I758" s="184"/>
      <c r="J758" s="184"/>
      <c r="L758" s="184"/>
      <c r="M758" s="184"/>
      <c r="N758" s="184"/>
      <c r="O758" s="184"/>
      <c r="R758" s="185"/>
      <c r="T758" s="184"/>
      <c r="U758" s="184"/>
      <c r="V758" s="184"/>
      <c r="X758" s="184"/>
      <c r="Y758" s="184"/>
      <c r="Z758" s="184"/>
      <c r="AA758" s="184"/>
      <c r="AC758" s="184"/>
      <c r="AD758" s="184"/>
      <c r="AE758" s="184"/>
      <c r="AF758" s="184"/>
      <c r="AG758" s="184"/>
      <c r="AH758" s="184"/>
      <c r="AI758" s="184"/>
      <c r="AR758" s="186"/>
      <c r="AS758" s="187"/>
      <c r="AT758" s="187"/>
      <c r="AU758" s="187"/>
      <c r="AV758" s="246"/>
      <c r="BB758" s="377"/>
      <c r="BC758" s="377"/>
      <c r="BD758" s="377"/>
    </row>
    <row r="759" spans="1:56" s="163" customFormat="1" ht="16.5" customHeight="1">
      <c r="A759" s="247"/>
      <c r="B759" s="244"/>
      <c r="C759" s="245"/>
      <c r="D759" s="245"/>
      <c r="E759" s="183"/>
      <c r="F759" s="183"/>
      <c r="G759" s="183"/>
      <c r="H759" s="184"/>
      <c r="I759" s="184"/>
      <c r="J759" s="184"/>
      <c r="L759" s="184"/>
      <c r="M759" s="184"/>
      <c r="N759" s="184"/>
      <c r="O759" s="184"/>
      <c r="R759" s="185"/>
      <c r="T759" s="184"/>
      <c r="U759" s="184"/>
      <c r="V759" s="184"/>
      <c r="X759" s="184"/>
      <c r="Y759" s="184"/>
      <c r="Z759" s="184"/>
      <c r="AA759" s="184"/>
      <c r="AC759" s="184"/>
      <c r="AD759" s="184"/>
      <c r="AE759" s="184"/>
      <c r="AF759" s="184"/>
      <c r="AG759" s="184"/>
      <c r="AH759" s="184"/>
      <c r="AI759" s="184"/>
      <c r="AR759" s="186"/>
      <c r="AS759" s="187"/>
      <c r="AT759" s="187"/>
      <c r="AU759" s="187"/>
      <c r="AV759" s="246"/>
      <c r="BB759" s="377"/>
      <c r="BC759" s="377"/>
      <c r="BD759" s="377"/>
    </row>
    <row r="760" spans="1:56" s="163" customFormat="1" ht="16.5" customHeight="1">
      <c r="A760" s="247"/>
      <c r="B760" s="244"/>
      <c r="C760" s="245"/>
      <c r="D760" s="245"/>
      <c r="E760" s="183"/>
      <c r="F760" s="183"/>
      <c r="G760" s="183"/>
      <c r="H760" s="184"/>
      <c r="I760" s="184"/>
      <c r="J760" s="184"/>
      <c r="L760" s="184"/>
      <c r="M760" s="184"/>
      <c r="N760" s="184"/>
      <c r="O760" s="184"/>
      <c r="R760" s="185"/>
      <c r="T760" s="184"/>
      <c r="U760" s="184"/>
      <c r="V760" s="184"/>
      <c r="X760" s="184"/>
      <c r="Y760" s="184"/>
      <c r="Z760" s="184"/>
      <c r="AA760" s="184"/>
      <c r="AC760" s="184"/>
      <c r="AD760" s="184"/>
      <c r="AE760" s="184"/>
      <c r="AF760" s="184"/>
      <c r="AG760" s="184"/>
      <c r="AH760" s="184"/>
      <c r="AI760" s="184"/>
      <c r="AR760" s="186"/>
      <c r="AS760" s="187"/>
      <c r="AT760" s="187"/>
      <c r="AU760" s="187"/>
      <c r="AV760" s="246"/>
      <c r="BB760" s="377"/>
      <c r="BC760" s="377"/>
      <c r="BD760" s="377"/>
    </row>
    <row r="761" spans="1:56" s="163" customFormat="1" ht="16.5" customHeight="1">
      <c r="A761" s="247"/>
      <c r="B761" s="244"/>
      <c r="C761" s="245"/>
      <c r="D761" s="245"/>
      <c r="E761" s="183"/>
      <c r="F761" s="183"/>
      <c r="G761" s="183"/>
      <c r="H761" s="184"/>
      <c r="I761" s="184"/>
      <c r="J761" s="184"/>
      <c r="L761" s="184"/>
      <c r="M761" s="184"/>
      <c r="N761" s="184"/>
      <c r="O761" s="184"/>
      <c r="R761" s="185"/>
      <c r="T761" s="184"/>
      <c r="U761" s="184"/>
      <c r="V761" s="184"/>
      <c r="X761" s="184"/>
      <c r="Y761" s="184"/>
      <c r="Z761" s="184"/>
      <c r="AA761" s="184"/>
      <c r="AC761" s="184"/>
      <c r="AD761" s="184"/>
      <c r="AE761" s="184"/>
      <c r="AF761" s="184"/>
      <c r="AG761" s="184"/>
      <c r="AH761" s="184"/>
      <c r="AI761" s="184"/>
      <c r="AR761" s="186"/>
      <c r="AS761" s="187"/>
      <c r="AT761" s="187"/>
      <c r="AU761" s="187"/>
      <c r="AV761" s="246"/>
      <c r="BB761" s="377"/>
      <c r="BC761" s="377"/>
      <c r="BD761" s="377"/>
    </row>
    <row r="762" spans="1:56" s="163" customFormat="1" ht="16.5" customHeight="1">
      <c r="A762" s="247"/>
      <c r="B762" s="244"/>
      <c r="C762" s="245"/>
      <c r="D762" s="245"/>
      <c r="E762" s="183"/>
      <c r="F762" s="183"/>
      <c r="G762" s="183"/>
      <c r="H762" s="184"/>
      <c r="I762" s="184"/>
      <c r="J762" s="184"/>
      <c r="L762" s="184"/>
      <c r="M762" s="184"/>
      <c r="N762" s="184"/>
      <c r="O762" s="184"/>
      <c r="R762" s="185"/>
      <c r="T762" s="184"/>
      <c r="U762" s="184"/>
      <c r="V762" s="184"/>
      <c r="X762" s="184"/>
      <c r="Y762" s="184"/>
      <c r="Z762" s="184"/>
      <c r="AA762" s="184"/>
      <c r="AC762" s="184"/>
      <c r="AD762" s="184"/>
      <c r="AE762" s="184"/>
      <c r="AF762" s="184"/>
      <c r="AG762" s="184"/>
      <c r="AH762" s="184"/>
      <c r="AI762" s="184"/>
      <c r="AR762" s="186"/>
      <c r="AS762" s="187"/>
      <c r="AT762" s="187"/>
      <c r="AU762" s="187"/>
      <c r="AV762" s="246"/>
      <c r="BB762" s="377"/>
      <c r="BC762" s="377"/>
      <c r="BD762" s="377"/>
    </row>
    <row r="763" spans="1:56" s="163" customFormat="1" ht="16.5" customHeight="1">
      <c r="A763" s="247"/>
      <c r="B763" s="244"/>
      <c r="C763" s="245"/>
      <c r="D763" s="245"/>
      <c r="E763" s="183"/>
      <c r="F763" s="183"/>
      <c r="G763" s="183"/>
      <c r="H763" s="184"/>
      <c r="I763" s="184"/>
      <c r="J763" s="184"/>
      <c r="L763" s="184"/>
      <c r="M763" s="184"/>
      <c r="N763" s="184"/>
      <c r="O763" s="184"/>
      <c r="R763" s="185"/>
      <c r="T763" s="184"/>
      <c r="U763" s="184"/>
      <c r="V763" s="184"/>
      <c r="X763" s="184"/>
      <c r="Y763" s="184"/>
      <c r="Z763" s="184"/>
      <c r="AA763" s="184"/>
      <c r="AC763" s="184"/>
      <c r="AD763" s="184"/>
      <c r="AE763" s="184"/>
      <c r="AF763" s="184"/>
      <c r="AG763" s="184"/>
      <c r="AH763" s="184"/>
      <c r="AI763" s="184"/>
      <c r="AR763" s="186"/>
      <c r="AS763" s="187"/>
      <c r="AT763" s="187"/>
      <c r="AU763" s="187"/>
      <c r="AV763" s="246"/>
      <c r="BB763" s="377"/>
      <c r="BC763" s="377"/>
      <c r="BD763" s="377"/>
    </row>
    <row r="764" spans="1:56" s="163" customFormat="1" ht="16.5" customHeight="1">
      <c r="A764" s="247"/>
      <c r="B764" s="244"/>
      <c r="C764" s="245"/>
      <c r="D764" s="245"/>
      <c r="E764" s="183"/>
      <c r="F764" s="183"/>
      <c r="G764" s="183"/>
      <c r="H764" s="184"/>
      <c r="I764" s="184"/>
      <c r="J764" s="184"/>
      <c r="L764" s="184"/>
      <c r="M764" s="184"/>
      <c r="N764" s="184"/>
      <c r="O764" s="184"/>
      <c r="R764" s="185"/>
      <c r="T764" s="184"/>
      <c r="U764" s="184"/>
      <c r="V764" s="184"/>
      <c r="X764" s="184"/>
      <c r="Y764" s="184"/>
      <c r="Z764" s="184"/>
      <c r="AA764" s="184"/>
      <c r="AC764" s="184"/>
      <c r="AD764" s="184"/>
      <c r="AE764" s="184"/>
      <c r="AF764" s="184"/>
      <c r="AG764" s="184"/>
      <c r="AH764" s="184"/>
      <c r="AI764" s="184"/>
      <c r="AR764" s="186"/>
      <c r="AS764" s="187"/>
      <c r="AT764" s="187"/>
      <c r="AU764" s="187"/>
      <c r="AV764" s="246"/>
      <c r="BB764" s="377"/>
      <c r="BC764" s="377"/>
      <c r="BD764" s="377"/>
    </row>
    <row r="765" spans="1:56" s="163" customFormat="1" ht="16.5" customHeight="1">
      <c r="A765" s="247"/>
      <c r="B765" s="244"/>
      <c r="C765" s="245"/>
      <c r="D765" s="245"/>
      <c r="E765" s="183"/>
      <c r="F765" s="183"/>
      <c r="G765" s="183"/>
      <c r="H765" s="184"/>
      <c r="I765" s="184"/>
      <c r="J765" s="184"/>
      <c r="L765" s="184"/>
      <c r="M765" s="184"/>
      <c r="N765" s="184"/>
      <c r="O765" s="184"/>
      <c r="R765" s="185"/>
      <c r="T765" s="184"/>
      <c r="U765" s="184"/>
      <c r="V765" s="184"/>
      <c r="X765" s="184"/>
      <c r="Y765" s="184"/>
      <c r="Z765" s="184"/>
      <c r="AA765" s="184"/>
      <c r="AC765" s="184"/>
      <c r="AD765" s="184"/>
      <c r="AE765" s="184"/>
      <c r="AF765" s="184"/>
      <c r="AG765" s="184"/>
      <c r="AH765" s="184"/>
      <c r="AI765" s="184"/>
      <c r="AR765" s="186"/>
      <c r="AS765" s="187"/>
      <c r="AT765" s="187"/>
      <c r="AU765" s="187"/>
      <c r="AV765" s="246"/>
      <c r="BB765" s="377"/>
      <c r="BC765" s="377"/>
      <c r="BD765" s="377"/>
    </row>
    <row r="766" spans="1:56" s="163" customFormat="1" ht="16.5" customHeight="1">
      <c r="A766" s="247"/>
      <c r="B766" s="244"/>
      <c r="C766" s="245"/>
      <c r="D766" s="245"/>
      <c r="E766" s="183"/>
      <c r="F766" s="183"/>
      <c r="G766" s="183"/>
      <c r="H766" s="184"/>
      <c r="I766" s="184"/>
      <c r="J766" s="184"/>
      <c r="L766" s="184"/>
      <c r="M766" s="184"/>
      <c r="N766" s="184"/>
      <c r="O766" s="184"/>
      <c r="R766" s="185"/>
      <c r="T766" s="184"/>
      <c r="U766" s="184"/>
      <c r="V766" s="184"/>
      <c r="X766" s="184"/>
      <c r="Y766" s="184"/>
      <c r="Z766" s="184"/>
      <c r="AA766" s="184"/>
      <c r="AC766" s="184"/>
      <c r="AD766" s="184"/>
      <c r="AE766" s="184"/>
      <c r="AF766" s="184"/>
      <c r="AG766" s="184"/>
      <c r="AH766" s="184"/>
      <c r="AI766" s="184"/>
      <c r="AR766" s="186"/>
      <c r="AS766" s="187"/>
      <c r="AT766" s="187"/>
      <c r="AU766" s="187"/>
      <c r="AV766" s="246"/>
      <c r="BB766" s="377"/>
      <c r="BC766" s="377"/>
      <c r="BD766" s="377"/>
    </row>
    <row r="767" spans="1:56" s="163" customFormat="1" ht="16.5" customHeight="1">
      <c r="A767" s="247"/>
      <c r="B767" s="244"/>
      <c r="C767" s="245"/>
      <c r="D767" s="245"/>
      <c r="E767" s="183"/>
      <c r="F767" s="183"/>
      <c r="G767" s="183"/>
      <c r="H767" s="184"/>
      <c r="I767" s="184"/>
      <c r="J767" s="184"/>
      <c r="L767" s="184"/>
      <c r="M767" s="184"/>
      <c r="N767" s="184"/>
      <c r="O767" s="184"/>
      <c r="R767" s="185"/>
      <c r="T767" s="184"/>
      <c r="U767" s="184"/>
      <c r="V767" s="184"/>
      <c r="X767" s="184"/>
      <c r="Y767" s="184"/>
      <c r="Z767" s="184"/>
      <c r="AA767" s="184"/>
      <c r="AC767" s="184"/>
      <c r="AD767" s="184"/>
      <c r="AE767" s="184"/>
      <c r="AF767" s="184"/>
      <c r="AG767" s="184"/>
      <c r="AH767" s="184"/>
      <c r="AI767" s="184"/>
      <c r="AR767" s="186"/>
      <c r="AS767" s="187"/>
      <c r="AT767" s="187"/>
      <c r="AU767" s="187"/>
      <c r="AV767" s="246"/>
      <c r="BB767" s="377"/>
      <c r="BC767" s="377"/>
      <c r="BD767" s="377"/>
    </row>
    <row r="768" spans="1:56" s="163" customFormat="1" ht="16.5" customHeight="1">
      <c r="A768" s="247"/>
      <c r="B768" s="244"/>
      <c r="C768" s="245"/>
      <c r="D768" s="245"/>
      <c r="E768" s="183"/>
      <c r="F768" s="183"/>
      <c r="G768" s="183"/>
      <c r="H768" s="184"/>
      <c r="I768" s="184"/>
      <c r="J768" s="184"/>
      <c r="L768" s="184"/>
      <c r="M768" s="184"/>
      <c r="N768" s="184"/>
      <c r="O768" s="184"/>
      <c r="R768" s="185"/>
      <c r="T768" s="184"/>
      <c r="U768" s="184"/>
      <c r="V768" s="184"/>
      <c r="X768" s="184"/>
      <c r="Y768" s="184"/>
      <c r="Z768" s="184"/>
      <c r="AA768" s="184"/>
      <c r="AC768" s="184"/>
      <c r="AD768" s="184"/>
      <c r="AE768" s="184"/>
      <c r="AF768" s="184"/>
      <c r="AG768" s="184"/>
      <c r="AH768" s="184"/>
      <c r="AI768" s="184"/>
      <c r="AR768" s="186"/>
      <c r="AS768" s="187"/>
      <c r="AT768" s="187"/>
      <c r="AU768" s="187"/>
      <c r="AV768" s="246"/>
      <c r="BB768" s="377"/>
      <c r="BC768" s="377"/>
      <c r="BD768" s="377"/>
    </row>
    <row r="769" spans="1:56" s="163" customFormat="1" ht="16.5" customHeight="1">
      <c r="A769" s="247"/>
      <c r="B769" s="244"/>
      <c r="C769" s="245"/>
      <c r="D769" s="245"/>
      <c r="E769" s="183"/>
      <c r="F769" s="183"/>
      <c r="G769" s="183"/>
      <c r="H769" s="184"/>
      <c r="I769" s="184"/>
      <c r="J769" s="184"/>
      <c r="L769" s="184"/>
      <c r="M769" s="184"/>
      <c r="N769" s="184"/>
      <c r="O769" s="184"/>
      <c r="R769" s="185"/>
      <c r="T769" s="184"/>
      <c r="U769" s="184"/>
      <c r="V769" s="184"/>
      <c r="X769" s="184"/>
      <c r="Y769" s="184"/>
      <c r="Z769" s="184"/>
      <c r="AA769" s="184"/>
      <c r="AC769" s="184"/>
      <c r="AD769" s="184"/>
      <c r="AE769" s="184"/>
      <c r="AF769" s="184"/>
      <c r="AG769" s="184"/>
      <c r="AH769" s="184"/>
      <c r="AI769" s="184"/>
      <c r="AR769" s="186"/>
      <c r="AS769" s="187"/>
      <c r="AT769" s="187"/>
      <c r="AU769" s="187"/>
      <c r="AV769" s="246"/>
      <c r="BB769" s="377"/>
      <c r="BC769" s="377"/>
      <c r="BD769" s="377"/>
    </row>
    <row r="770" spans="1:56" s="163" customFormat="1" ht="16.5" customHeight="1">
      <c r="A770" s="247"/>
      <c r="B770" s="244"/>
      <c r="C770" s="245"/>
      <c r="D770" s="245"/>
      <c r="E770" s="183"/>
      <c r="F770" s="183"/>
      <c r="G770" s="183"/>
      <c r="H770" s="184"/>
      <c r="I770" s="184"/>
      <c r="J770" s="184"/>
      <c r="L770" s="184"/>
      <c r="M770" s="184"/>
      <c r="N770" s="184"/>
      <c r="O770" s="184"/>
      <c r="R770" s="185"/>
      <c r="T770" s="184"/>
      <c r="U770" s="184"/>
      <c r="V770" s="184"/>
      <c r="X770" s="184"/>
      <c r="Y770" s="184"/>
      <c r="Z770" s="184"/>
      <c r="AA770" s="184"/>
      <c r="AC770" s="184"/>
      <c r="AD770" s="184"/>
      <c r="AE770" s="184"/>
      <c r="AF770" s="184"/>
      <c r="AG770" s="184"/>
      <c r="AH770" s="184"/>
      <c r="AI770" s="184"/>
      <c r="AR770" s="186"/>
      <c r="AS770" s="187"/>
      <c r="AT770" s="187"/>
      <c r="AU770" s="187"/>
      <c r="AV770" s="246"/>
      <c r="BB770" s="377"/>
      <c r="BC770" s="377"/>
      <c r="BD770" s="377"/>
    </row>
    <row r="771" spans="1:56" s="163" customFormat="1" ht="16.5" customHeight="1">
      <c r="A771" s="247"/>
      <c r="B771" s="244"/>
      <c r="C771" s="245"/>
      <c r="D771" s="245"/>
      <c r="E771" s="183"/>
      <c r="F771" s="183"/>
      <c r="G771" s="183"/>
      <c r="H771" s="184"/>
      <c r="I771" s="184"/>
      <c r="J771" s="184"/>
      <c r="L771" s="184"/>
      <c r="M771" s="184"/>
      <c r="N771" s="184"/>
      <c r="O771" s="184"/>
      <c r="R771" s="185"/>
      <c r="T771" s="184"/>
      <c r="U771" s="184"/>
      <c r="V771" s="184"/>
      <c r="X771" s="184"/>
      <c r="Y771" s="184"/>
      <c r="Z771" s="184"/>
      <c r="AA771" s="184"/>
      <c r="AC771" s="184"/>
      <c r="AD771" s="184"/>
      <c r="AE771" s="184"/>
      <c r="AF771" s="184"/>
      <c r="AG771" s="184"/>
      <c r="AH771" s="184"/>
      <c r="AI771" s="184"/>
      <c r="AR771" s="186"/>
      <c r="AS771" s="187"/>
      <c r="AT771" s="187"/>
      <c r="AU771" s="187"/>
      <c r="AV771" s="246"/>
      <c r="BB771" s="377"/>
      <c r="BC771" s="377"/>
      <c r="BD771" s="377"/>
    </row>
    <row r="772" spans="1:56" s="163" customFormat="1" ht="16.5" customHeight="1">
      <c r="A772" s="247"/>
      <c r="B772" s="244"/>
      <c r="C772" s="245"/>
      <c r="D772" s="245"/>
      <c r="E772" s="183"/>
      <c r="F772" s="183"/>
      <c r="G772" s="183"/>
      <c r="H772" s="184"/>
      <c r="I772" s="184"/>
      <c r="J772" s="184"/>
      <c r="L772" s="184"/>
      <c r="M772" s="184"/>
      <c r="N772" s="184"/>
      <c r="O772" s="184"/>
      <c r="R772" s="185"/>
      <c r="T772" s="184"/>
      <c r="U772" s="184"/>
      <c r="V772" s="184"/>
      <c r="X772" s="184"/>
      <c r="Y772" s="184"/>
      <c r="Z772" s="184"/>
      <c r="AA772" s="184"/>
      <c r="AC772" s="184"/>
      <c r="AD772" s="184"/>
      <c r="AE772" s="184"/>
      <c r="AF772" s="184"/>
      <c r="AG772" s="184"/>
      <c r="AH772" s="184"/>
      <c r="AI772" s="184"/>
      <c r="AR772" s="186"/>
      <c r="AS772" s="187"/>
      <c r="AT772" s="187"/>
      <c r="AU772" s="187"/>
      <c r="AV772" s="246"/>
      <c r="BB772" s="377"/>
      <c r="BC772" s="377"/>
      <c r="BD772" s="377"/>
    </row>
    <row r="773" spans="1:56" s="163" customFormat="1" ht="16.5" customHeight="1">
      <c r="A773" s="247"/>
      <c r="B773" s="244"/>
      <c r="C773" s="245"/>
      <c r="D773" s="245"/>
      <c r="E773" s="183"/>
      <c r="F773" s="183"/>
      <c r="G773" s="183"/>
      <c r="H773" s="184"/>
      <c r="I773" s="184"/>
      <c r="J773" s="184"/>
      <c r="L773" s="184"/>
      <c r="M773" s="184"/>
      <c r="N773" s="184"/>
      <c r="O773" s="184"/>
      <c r="R773" s="185"/>
      <c r="T773" s="184"/>
      <c r="U773" s="184"/>
      <c r="V773" s="184"/>
      <c r="X773" s="184"/>
      <c r="Y773" s="184"/>
      <c r="Z773" s="184"/>
      <c r="AA773" s="184"/>
      <c r="AC773" s="184"/>
      <c r="AD773" s="184"/>
      <c r="AE773" s="184"/>
      <c r="AF773" s="184"/>
      <c r="AG773" s="184"/>
      <c r="AH773" s="184"/>
      <c r="AI773" s="184"/>
      <c r="AR773" s="186"/>
      <c r="AS773" s="187"/>
      <c r="AT773" s="187"/>
      <c r="AU773" s="187"/>
      <c r="AV773" s="246"/>
      <c r="BB773" s="377"/>
      <c r="BC773" s="377"/>
      <c r="BD773" s="377"/>
    </row>
    <row r="774" spans="1:56" s="163" customFormat="1" ht="16.5" customHeight="1">
      <c r="A774" s="247"/>
      <c r="B774" s="244"/>
      <c r="C774" s="245"/>
      <c r="D774" s="245"/>
      <c r="E774" s="183"/>
      <c r="F774" s="183"/>
      <c r="G774" s="183"/>
      <c r="H774" s="184"/>
      <c r="I774" s="184"/>
      <c r="J774" s="184"/>
      <c r="L774" s="184"/>
      <c r="M774" s="184"/>
      <c r="N774" s="184"/>
      <c r="O774" s="184"/>
      <c r="R774" s="185"/>
      <c r="T774" s="184"/>
      <c r="U774" s="184"/>
      <c r="V774" s="184"/>
      <c r="X774" s="184"/>
      <c r="Y774" s="184"/>
      <c r="Z774" s="184"/>
      <c r="AA774" s="184"/>
      <c r="AC774" s="184"/>
      <c r="AD774" s="184"/>
      <c r="AE774" s="184"/>
      <c r="AF774" s="184"/>
      <c r="AG774" s="184"/>
      <c r="AH774" s="184"/>
      <c r="AI774" s="184"/>
      <c r="AR774" s="186"/>
      <c r="AS774" s="187"/>
      <c r="AT774" s="187"/>
      <c r="AU774" s="187"/>
      <c r="AV774" s="246"/>
      <c r="BB774" s="377"/>
      <c r="BC774" s="377"/>
      <c r="BD774" s="377"/>
    </row>
    <row r="775" spans="1:56" s="163" customFormat="1" ht="16.5" customHeight="1">
      <c r="A775" s="247"/>
      <c r="B775" s="244"/>
      <c r="C775" s="245"/>
      <c r="D775" s="245"/>
      <c r="E775" s="183"/>
      <c r="F775" s="183"/>
      <c r="G775" s="183"/>
      <c r="H775" s="184"/>
      <c r="I775" s="184"/>
      <c r="J775" s="184"/>
      <c r="L775" s="184"/>
      <c r="M775" s="184"/>
      <c r="N775" s="184"/>
      <c r="O775" s="184"/>
      <c r="R775" s="185"/>
      <c r="T775" s="184"/>
      <c r="U775" s="184"/>
      <c r="V775" s="184"/>
      <c r="X775" s="184"/>
      <c r="Y775" s="184"/>
      <c r="Z775" s="184"/>
      <c r="AA775" s="184"/>
      <c r="AC775" s="184"/>
      <c r="AD775" s="184"/>
      <c r="AE775" s="184"/>
      <c r="AF775" s="184"/>
      <c r="AG775" s="184"/>
      <c r="AH775" s="184"/>
      <c r="AI775" s="184"/>
      <c r="AR775" s="186"/>
      <c r="AS775" s="187"/>
      <c r="AT775" s="187"/>
      <c r="AU775" s="187"/>
      <c r="AV775" s="246"/>
      <c r="BB775" s="377"/>
      <c r="BC775" s="377"/>
      <c r="BD775" s="377"/>
    </row>
    <row r="776" spans="1:56" s="163" customFormat="1" ht="16.5" customHeight="1">
      <c r="A776" s="247"/>
      <c r="B776" s="244"/>
      <c r="C776" s="245"/>
      <c r="D776" s="245"/>
      <c r="E776" s="183"/>
      <c r="F776" s="183"/>
      <c r="G776" s="183"/>
      <c r="H776" s="184"/>
      <c r="I776" s="184"/>
      <c r="J776" s="184"/>
      <c r="L776" s="184"/>
      <c r="M776" s="184"/>
      <c r="N776" s="184"/>
      <c r="O776" s="184"/>
      <c r="R776" s="185"/>
      <c r="T776" s="184"/>
      <c r="U776" s="184"/>
      <c r="V776" s="184"/>
      <c r="X776" s="184"/>
      <c r="Y776" s="184"/>
      <c r="Z776" s="184"/>
      <c r="AA776" s="184"/>
      <c r="AC776" s="184"/>
      <c r="AD776" s="184"/>
      <c r="AE776" s="184"/>
      <c r="AF776" s="184"/>
      <c r="AG776" s="184"/>
      <c r="AH776" s="184"/>
      <c r="AI776" s="184"/>
      <c r="AR776" s="186"/>
      <c r="AS776" s="187"/>
      <c r="AT776" s="187"/>
      <c r="AU776" s="187"/>
      <c r="AV776" s="246"/>
      <c r="BB776" s="377"/>
      <c r="BC776" s="377"/>
      <c r="BD776" s="377"/>
    </row>
    <row r="777" spans="1:56" s="163" customFormat="1" ht="16.5" customHeight="1">
      <c r="A777" s="247"/>
      <c r="B777" s="244"/>
      <c r="C777" s="245"/>
      <c r="D777" s="245"/>
      <c r="E777" s="183"/>
      <c r="F777" s="183"/>
      <c r="G777" s="183"/>
      <c r="H777" s="184"/>
      <c r="I777" s="184"/>
      <c r="J777" s="184"/>
      <c r="L777" s="184"/>
      <c r="M777" s="184"/>
      <c r="N777" s="184"/>
      <c r="O777" s="184"/>
      <c r="R777" s="185"/>
      <c r="T777" s="184"/>
      <c r="U777" s="184"/>
      <c r="V777" s="184"/>
      <c r="X777" s="184"/>
      <c r="Y777" s="184"/>
      <c r="Z777" s="184"/>
      <c r="AA777" s="184"/>
      <c r="AC777" s="184"/>
      <c r="AD777" s="184"/>
      <c r="AE777" s="184"/>
      <c r="AF777" s="184"/>
      <c r="AG777" s="184"/>
      <c r="AH777" s="184"/>
      <c r="AI777" s="184"/>
      <c r="AR777" s="186"/>
      <c r="AS777" s="187"/>
      <c r="AT777" s="187"/>
      <c r="AU777" s="187"/>
      <c r="AV777" s="246"/>
      <c r="BB777" s="377"/>
      <c r="BC777" s="377"/>
      <c r="BD777" s="377"/>
    </row>
    <row r="778" spans="1:56" s="163" customFormat="1" ht="16.5" customHeight="1">
      <c r="A778" s="247"/>
      <c r="B778" s="244"/>
      <c r="C778" s="245"/>
      <c r="D778" s="245"/>
      <c r="E778" s="183"/>
      <c r="F778" s="183"/>
      <c r="G778" s="183"/>
      <c r="H778" s="184"/>
      <c r="I778" s="184"/>
      <c r="J778" s="184"/>
      <c r="L778" s="184"/>
      <c r="M778" s="184"/>
      <c r="N778" s="184"/>
      <c r="O778" s="184"/>
      <c r="R778" s="185"/>
      <c r="T778" s="184"/>
      <c r="U778" s="184"/>
      <c r="V778" s="184"/>
      <c r="X778" s="184"/>
      <c r="Y778" s="184"/>
      <c r="Z778" s="184"/>
      <c r="AA778" s="184"/>
      <c r="AC778" s="184"/>
      <c r="AD778" s="184"/>
      <c r="AE778" s="184"/>
      <c r="AF778" s="184"/>
      <c r="AG778" s="184"/>
      <c r="AH778" s="184"/>
      <c r="AI778" s="184"/>
      <c r="AR778" s="186"/>
      <c r="AS778" s="187"/>
      <c r="AT778" s="187"/>
      <c r="AU778" s="187"/>
      <c r="AV778" s="246"/>
      <c r="BB778" s="377"/>
      <c r="BC778" s="377"/>
      <c r="BD778" s="377"/>
    </row>
    <row r="779" spans="1:56" s="163" customFormat="1" ht="16.5" customHeight="1">
      <c r="A779" s="247"/>
      <c r="B779" s="244"/>
      <c r="C779" s="245"/>
      <c r="D779" s="245"/>
      <c r="E779" s="183"/>
      <c r="F779" s="183"/>
      <c r="G779" s="183"/>
      <c r="H779" s="184"/>
      <c r="I779" s="184"/>
      <c r="J779" s="184"/>
      <c r="L779" s="184"/>
      <c r="M779" s="184"/>
      <c r="N779" s="184"/>
      <c r="O779" s="184"/>
      <c r="R779" s="185"/>
      <c r="T779" s="184"/>
      <c r="U779" s="184"/>
      <c r="V779" s="184"/>
      <c r="X779" s="184"/>
      <c r="Y779" s="184"/>
      <c r="Z779" s="184"/>
      <c r="AA779" s="184"/>
      <c r="AC779" s="184"/>
      <c r="AD779" s="184"/>
      <c r="AE779" s="184"/>
      <c r="AF779" s="184"/>
      <c r="AG779" s="184"/>
      <c r="AH779" s="184"/>
      <c r="AI779" s="184"/>
      <c r="AR779" s="186"/>
      <c r="AS779" s="187"/>
      <c r="AT779" s="187"/>
      <c r="AU779" s="187"/>
      <c r="AV779" s="246"/>
      <c r="BB779" s="377"/>
      <c r="BC779" s="377"/>
      <c r="BD779" s="377"/>
    </row>
    <row r="780" spans="1:56" s="163" customFormat="1" ht="16.5" customHeight="1">
      <c r="A780" s="247"/>
      <c r="B780" s="244"/>
      <c r="C780" s="245"/>
      <c r="D780" s="245"/>
      <c r="E780" s="183"/>
      <c r="F780" s="183"/>
      <c r="G780" s="183"/>
      <c r="H780" s="184"/>
      <c r="I780" s="184"/>
      <c r="J780" s="184"/>
      <c r="L780" s="184"/>
      <c r="M780" s="184"/>
      <c r="N780" s="184"/>
      <c r="O780" s="184"/>
      <c r="R780" s="185"/>
      <c r="T780" s="184"/>
      <c r="U780" s="184"/>
      <c r="V780" s="184"/>
      <c r="X780" s="184"/>
      <c r="Y780" s="184"/>
      <c r="Z780" s="184"/>
      <c r="AA780" s="184"/>
      <c r="AC780" s="184"/>
      <c r="AD780" s="184"/>
      <c r="AE780" s="184"/>
      <c r="AF780" s="184"/>
      <c r="AG780" s="184"/>
      <c r="AH780" s="184"/>
      <c r="AI780" s="184"/>
      <c r="AR780" s="186"/>
      <c r="AS780" s="187"/>
      <c r="AT780" s="187"/>
      <c r="AU780" s="187"/>
      <c r="AV780" s="246"/>
      <c r="BB780" s="377"/>
      <c r="BC780" s="377"/>
      <c r="BD780" s="377"/>
    </row>
    <row r="781" spans="1:56" s="163" customFormat="1" ht="16.5" customHeight="1">
      <c r="A781" s="247"/>
      <c r="B781" s="244"/>
      <c r="C781" s="245"/>
      <c r="D781" s="245"/>
      <c r="E781" s="183"/>
      <c r="F781" s="183"/>
      <c r="G781" s="183"/>
      <c r="H781" s="184"/>
      <c r="I781" s="184"/>
      <c r="J781" s="184"/>
      <c r="L781" s="184"/>
      <c r="M781" s="184"/>
      <c r="N781" s="184"/>
      <c r="O781" s="184"/>
      <c r="R781" s="185"/>
      <c r="T781" s="184"/>
      <c r="U781" s="184"/>
      <c r="V781" s="184"/>
      <c r="X781" s="184"/>
      <c r="Y781" s="184"/>
      <c r="Z781" s="184"/>
      <c r="AA781" s="184"/>
      <c r="AC781" s="184"/>
      <c r="AD781" s="184"/>
      <c r="AE781" s="184"/>
      <c r="AF781" s="184"/>
      <c r="AG781" s="184"/>
      <c r="AH781" s="184"/>
      <c r="AI781" s="184"/>
      <c r="AR781" s="186"/>
      <c r="AS781" s="187"/>
      <c r="AT781" s="187"/>
      <c r="AU781" s="187"/>
      <c r="AV781" s="246"/>
      <c r="BB781" s="377"/>
      <c r="BC781" s="377"/>
      <c r="BD781" s="377"/>
    </row>
    <row r="782" spans="1:56" s="163" customFormat="1" ht="16.5" customHeight="1">
      <c r="A782" s="247"/>
      <c r="B782" s="244"/>
      <c r="C782" s="245"/>
      <c r="D782" s="245"/>
      <c r="E782" s="183"/>
      <c r="F782" s="183"/>
      <c r="G782" s="183"/>
      <c r="H782" s="184"/>
      <c r="I782" s="184"/>
      <c r="J782" s="184"/>
      <c r="L782" s="184"/>
      <c r="M782" s="184"/>
      <c r="N782" s="184"/>
      <c r="O782" s="184"/>
      <c r="R782" s="185"/>
      <c r="T782" s="184"/>
      <c r="U782" s="184"/>
      <c r="V782" s="184"/>
      <c r="X782" s="184"/>
      <c r="Y782" s="184"/>
      <c r="Z782" s="184"/>
      <c r="AA782" s="184"/>
      <c r="AC782" s="184"/>
      <c r="AD782" s="184"/>
      <c r="AE782" s="184"/>
      <c r="AF782" s="184"/>
      <c r="AG782" s="184"/>
      <c r="AH782" s="184"/>
      <c r="AI782" s="184"/>
      <c r="AR782" s="186"/>
      <c r="AS782" s="187"/>
      <c r="AT782" s="187"/>
      <c r="AU782" s="187"/>
      <c r="AV782" s="246"/>
      <c r="BB782" s="377"/>
      <c r="BC782" s="377"/>
      <c r="BD782" s="377"/>
    </row>
    <row r="783" spans="1:56" s="163" customFormat="1" ht="16.5" customHeight="1">
      <c r="A783" s="247"/>
      <c r="B783" s="244"/>
      <c r="C783" s="245"/>
      <c r="D783" s="245"/>
      <c r="E783" s="183"/>
      <c r="F783" s="183"/>
      <c r="G783" s="183"/>
      <c r="H783" s="184"/>
      <c r="I783" s="184"/>
      <c r="J783" s="184"/>
      <c r="L783" s="184"/>
      <c r="M783" s="184"/>
      <c r="N783" s="184"/>
      <c r="O783" s="184"/>
      <c r="R783" s="185"/>
      <c r="T783" s="184"/>
      <c r="U783" s="184"/>
      <c r="V783" s="184"/>
      <c r="X783" s="184"/>
      <c r="Y783" s="184"/>
      <c r="Z783" s="184"/>
      <c r="AA783" s="184"/>
      <c r="AC783" s="184"/>
      <c r="AD783" s="184"/>
      <c r="AE783" s="184"/>
      <c r="AF783" s="184"/>
      <c r="AG783" s="184"/>
      <c r="AH783" s="184"/>
      <c r="AI783" s="184"/>
      <c r="AR783" s="186"/>
      <c r="AS783" s="187"/>
      <c r="AT783" s="187"/>
      <c r="AU783" s="187"/>
      <c r="AV783" s="246"/>
      <c r="BB783" s="377"/>
      <c r="BC783" s="377"/>
      <c r="BD783" s="377"/>
    </row>
    <row r="784" spans="1:56" s="163" customFormat="1" ht="16.5" customHeight="1">
      <c r="A784" s="247"/>
      <c r="B784" s="244"/>
      <c r="C784" s="245"/>
      <c r="D784" s="245"/>
      <c r="E784" s="183"/>
      <c r="F784" s="183"/>
      <c r="G784" s="183"/>
      <c r="H784" s="184"/>
      <c r="I784" s="184"/>
      <c r="J784" s="184"/>
      <c r="L784" s="184"/>
      <c r="M784" s="184"/>
      <c r="N784" s="184"/>
      <c r="O784" s="184"/>
      <c r="R784" s="185"/>
      <c r="T784" s="184"/>
      <c r="U784" s="184"/>
      <c r="V784" s="184"/>
      <c r="X784" s="184"/>
      <c r="Y784" s="184"/>
      <c r="Z784" s="184"/>
      <c r="AA784" s="184"/>
      <c r="AC784" s="184"/>
      <c r="AD784" s="184"/>
      <c r="AE784" s="184"/>
      <c r="AF784" s="184"/>
      <c r="AG784" s="184"/>
      <c r="AH784" s="184"/>
      <c r="AI784" s="184"/>
      <c r="AR784" s="186"/>
      <c r="AS784" s="187"/>
      <c r="AT784" s="187"/>
      <c r="AU784" s="187"/>
      <c r="AV784" s="246"/>
      <c r="BB784" s="377"/>
      <c r="BC784" s="377"/>
      <c r="BD784" s="377"/>
    </row>
    <row r="785" spans="1:56" s="163" customFormat="1" ht="16.5" customHeight="1">
      <c r="A785" s="247"/>
      <c r="B785" s="244"/>
      <c r="C785" s="245"/>
      <c r="D785" s="245"/>
      <c r="E785" s="183"/>
      <c r="F785" s="183"/>
      <c r="G785" s="183"/>
      <c r="H785" s="184"/>
      <c r="I785" s="184"/>
      <c r="J785" s="184"/>
      <c r="L785" s="184"/>
      <c r="M785" s="184"/>
      <c r="N785" s="184"/>
      <c r="O785" s="184"/>
      <c r="R785" s="185"/>
      <c r="T785" s="184"/>
      <c r="U785" s="184"/>
      <c r="V785" s="184"/>
      <c r="X785" s="184"/>
      <c r="Y785" s="184"/>
      <c r="Z785" s="184"/>
      <c r="AA785" s="184"/>
      <c r="AC785" s="184"/>
      <c r="AD785" s="184"/>
      <c r="AE785" s="184"/>
      <c r="AF785" s="184"/>
      <c r="AG785" s="184"/>
      <c r="AH785" s="184"/>
      <c r="AI785" s="184"/>
      <c r="AR785" s="186"/>
      <c r="AS785" s="187"/>
      <c r="AT785" s="187"/>
      <c r="AU785" s="187"/>
      <c r="AV785" s="246"/>
      <c r="BB785" s="377"/>
      <c r="BC785" s="377"/>
      <c r="BD785" s="377"/>
    </row>
    <row r="786" spans="1:56" s="163" customFormat="1" ht="16.5" customHeight="1">
      <c r="A786" s="247"/>
      <c r="B786" s="244"/>
      <c r="C786" s="245"/>
      <c r="D786" s="245"/>
      <c r="E786" s="183"/>
      <c r="F786" s="183"/>
      <c r="G786" s="183"/>
      <c r="H786" s="184"/>
      <c r="I786" s="184"/>
      <c r="J786" s="184"/>
      <c r="L786" s="184"/>
      <c r="M786" s="184"/>
      <c r="N786" s="184"/>
      <c r="O786" s="184"/>
      <c r="R786" s="185"/>
      <c r="T786" s="184"/>
      <c r="U786" s="184"/>
      <c r="V786" s="184"/>
      <c r="X786" s="184"/>
      <c r="Y786" s="184"/>
      <c r="Z786" s="184"/>
      <c r="AA786" s="184"/>
      <c r="AC786" s="184"/>
      <c r="AD786" s="184"/>
      <c r="AE786" s="184"/>
      <c r="AF786" s="184"/>
      <c r="AG786" s="184"/>
      <c r="AH786" s="184"/>
      <c r="AI786" s="184"/>
      <c r="AR786" s="186"/>
      <c r="AS786" s="187"/>
      <c r="AT786" s="187"/>
      <c r="AU786" s="187"/>
      <c r="AV786" s="246"/>
      <c r="BB786" s="377"/>
      <c r="BC786" s="377"/>
      <c r="BD786" s="377"/>
    </row>
    <row r="787" spans="1:56" s="163" customFormat="1" ht="16.5" customHeight="1">
      <c r="A787" s="247"/>
      <c r="B787" s="244"/>
      <c r="C787" s="245"/>
      <c r="D787" s="245"/>
      <c r="E787" s="183"/>
      <c r="F787" s="183"/>
      <c r="G787" s="183"/>
      <c r="H787" s="184"/>
      <c r="I787" s="184"/>
      <c r="J787" s="184"/>
      <c r="L787" s="184"/>
      <c r="M787" s="184"/>
      <c r="N787" s="184"/>
      <c r="O787" s="184"/>
      <c r="R787" s="185"/>
      <c r="T787" s="184"/>
      <c r="U787" s="184"/>
      <c r="V787" s="184"/>
      <c r="X787" s="184"/>
      <c r="Y787" s="184"/>
      <c r="Z787" s="184"/>
      <c r="AA787" s="184"/>
      <c r="AC787" s="184"/>
      <c r="AD787" s="184"/>
      <c r="AE787" s="184"/>
      <c r="AF787" s="184"/>
      <c r="AG787" s="184"/>
      <c r="AH787" s="184"/>
      <c r="AI787" s="184"/>
      <c r="AR787" s="186"/>
      <c r="AS787" s="187"/>
      <c r="AT787" s="187"/>
      <c r="AU787" s="187"/>
      <c r="AV787" s="246"/>
      <c r="BB787" s="377"/>
      <c r="BC787" s="377"/>
      <c r="BD787" s="377"/>
    </row>
    <row r="788" spans="1:56" s="163" customFormat="1" ht="16.5" customHeight="1">
      <c r="A788" s="247"/>
      <c r="B788" s="244"/>
      <c r="C788" s="245"/>
      <c r="D788" s="245"/>
      <c r="E788" s="183"/>
      <c r="F788" s="183"/>
      <c r="G788" s="183"/>
      <c r="H788" s="184"/>
      <c r="I788" s="184"/>
      <c r="J788" s="184"/>
      <c r="L788" s="184"/>
      <c r="M788" s="184"/>
      <c r="N788" s="184"/>
      <c r="O788" s="184"/>
      <c r="R788" s="185"/>
      <c r="T788" s="184"/>
      <c r="U788" s="184"/>
      <c r="V788" s="184"/>
      <c r="X788" s="184"/>
      <c r="Y788" s="184"/>
      <c r="Z788" s="184"/>
      <c r="AA788" s="184"/>
      <c r="AC788" s="184"/>
      <c r="AD788" s="184"/>
      <c r="AE788" s="184"/>
      <c r="AF788" s="184"/>
      <c r="AG788" s="184"/>
      <c r="AH788" s="184"/>
      <c r="AI788" s="184"/>
      <c r="AR788" s="186"/>
      <c r="AS788" s="187"/>
      <c r="AT788" s="187"/>
      <c r="AU788" s="187"/>
      <c r="AV788" s="246"/>
      <c r="BB788" s="377"/>
      <c r="BC788" s="377"/>
      <c r="BD788" s="377"/>
    </row>
    <row r="789" spans="1:56" s="163" customFormat="1" ht="16.5" customHeight="1">
      <c r="A789" s="247"/>
      <c r="B789" s="244"/>
      <c r="C789" s="245"/>
      <c r="D789" s="245"/>
      <c r="E789" s="183"/>
      <c r="F789" s="183"/>
      <c r="G789" s="183"/>
      <c r="H789" s="184"/>
      <c r="I789" s="184"/>
      <c r="J789" s="184"/>
      <c r="L789" s="184"/>
      <c r="M789" s="184"/>
      <c r="N789" s="184"/>
      <c r="O789" s="184"/>
      <c r="R789" s="185"/>
      <c r="T789" s="184"/>
      <c r="U789" s="184"/>
      <c r="V789" s="184"/>
      <c r="X789" s="184"/>
      <c r="Y789" s="184"/>
      <c r="Z789" s="184"/>
      <c r="AA789" s="184"/>
      <c r="AC789" s="184"/>
      <c r="AD789" s="184"/>
      <c r="AE789" s="184"/>
      <c r="AF789" s="184"/>
      <c r="AG789" s="184"/>
      <c r="AH789" s="184"/>
      <c r="AI789" s="184"/>
      <c r="AR789" s="186"/>
      <c r="AS789" s="187"/>
      <c r="AT789" s="187"/>
      <c r="AU789" s="187"/>
      <c r="AV789" s="246"/>
      <c r="BB789" s="377"/>
      <c r="BC789" s="377"/>
      <c r="BD789" s="377"/>
    </row>
    <row r="790" spans="1:56" s="163" customFormat="1" ht="16.5" customHeight="1">
      <c r="A790" s="247"/>
      <c r="B790" s="244"/>
      <c r="C790" s="245"/>
      <c r="D790" s="245"/>
      <c r="E790" s="183"/>
      <c r="F790" s="183"/>
      <c r="G790" s="183"/>
      <c r="H790" s="184"/>
      <c r="I790" s="184"/>
      <c r="J790" s="184"/>
      <c r="L790" s="184"/>
      <c r="M790" s="184"/>
      <c r="N790" s="184"/>
      <c r="O790" s="184"/>
      <c r="R790" s="185"/>
      <c r="T790" s="184"/>
      <c r="U790" s="184"/>
      <c r="V790" s="184"/>
      <c r="X790" s="184"/>
      <c r="Y790" s="184"/>
      <c r="Z790" s="184"/>
      <c r="AA790" s="184"/>
      <c r="AC790" s="184"/>
      <c r="AD790" s="184"/>
      <c r="AE790" s="184"/>
      <c r="AF790" s="184"/>
      <c r="AG790" s="184"/>
      <c r="AH790" s="184"/>
      <c r="AI790" s="184"/>
      <c r="AR790" s="186"/>
      <c r="AS790" s="187"/>
      <c r="AT790" s="187"/>
      <c r="AU790" s="187"/>
      <c r="AV790" s="246"/>
      <c r="BB790" s="377"/>
      <c r="BC790" s="377"/>
      <c r="BD790" s="377"/>
    </row>
    <row r="791" spans="1:56" s="163" customFormat="1" ht="16.5" customHeight="1">
      <c r="A791" s="247"/>
      <c r="B791" s="244"/>
      <c r="C791" s="245"/>
      <c r="D791" s="245"/>
      <c r="E791" s="183"/>
      <c r="F791" s="183"/>
      <c r="G791" s="183"/>
      <c r="H791" s="184"/>
      <c r="I791" s="184"/>
      <c r="J791" s="184"/>
      <c r="L791" s="184"/>
      <c r="M791" s="184"/>
      <c r="N791" s="184"/>
      <c r="O791" s="184"/>
      <c r="R791" s="185"/>
      <c r="T791" s="184"/>
      <c r="U791" s="184"/>
      <c r="V791" s="184"/>
      <c r="X791" s="184"/>
      <c r="Y791" s="184"/>
      <c r="Z791" s="184"/>
      <c r="AA791" s="184"/>
      <c r="AC791" s="184"/>
      <c r="AD791" s="184"/>
      <c r="AE791" s="184"/>
      <c r="AF791" s="184"/>
      <c r="AG791" s="184"/>
      <c r="AH791" s="184"/>
      <c r="AI791" s="184"/>
      <c r="AR791" s="186"/>
      <c r="AS791" s="187"/>
      <c r="AT791" s="187"/>
      <c r="AU791" s="187"/>
      <c r="AV791" s="246"/>
      <c r="BB791" s="377"/>
      <c r="BC791" s="377"/>
      <c r="BD791" s="377"/>
    </row>
    <row r="792" spans="1:56" s="163" customFormat="1" ht="16.5" customHeight="1">
      <c r="A792" s="247"/>
      <c r="B792" s="244"/>
      <c r="C792" s="245"/>
      <c r="D792" s="245"/>
      <c r="E792" s="183"/>
      <c r="F792" s="183"/>
      <c r="G792" s="183"/>
      <c r="H792" s="184"/>
      <c r="I792" s="184"/>
      <c r="J792" s="184"/>
      <c r="L792" s="184"/>
      <c r="M792" s="184"/>
      <c r="N792" s="184"/>
      <c r="O792" s="184"/>
      <c r="R792" s="185"/>
      <c r="T792" s="184"/>
      <c r="U792" s="184"/>
      <c r="V792" s="184"/>
      <c r="X792" s="184"/>
      <c r="Y792" s="184"/>
      <c r="Z792" s="184"/>
      <c r="AA792" s="184"/>
      <c r="AC792" s="184"/>
      <c r="AD792" s="184"/>
      <c r="AE792" s="184"/>
      <c r="AF792" s="184"/>
      <c r="AG792" s="184"/>
      <c r="AH792" s="184"/>
      <c r="AI792" s="184"/>
      <c r="AR792" s="186"/>
      <c r="AS792" s="187"/>
      <c r="AT792" s="187"/>
      <c r="AU792" s="187"/>
      <c r="AV792" s="246"/>
      <c r="BB792" s="377"/>
      <c r="BC792" s="377"/>
      <c r="BD792" s="377"/>
    </row>
    <row r="793" spans="1:56" s="163" customFormat="1" ht="16.5" customHeight="1">
      <c r="A793" s="247"/>
      <c r="B793" s="244"/>
      <c r="C793" s="245"/>
      <c r="D793" s="245"/>
      <c r="E793" s="183"/>
      <c r="F793" s="183"/>
      <c r="G793" s="183"/>
      <c r="H793" s="184"/>
      <c r="I793" s="184"/>
      <c r="J793" s="184"/>
      <c r="L793" s="184"/>
      <c r="M793" s="184"/>
      <c r="N793" s="184"/>
      <c r="O793" s="184"/>
      <c r="R793" s="185"/>
      <c r="T793" s="184"/>
      <c r="U793" s="184"/>
      <c r="V793" s="184"/>
      <c r="X793" s="184"/>
      <c r="Y793" s="184"/>
      <c r="Z793" s="184"/>
      <c r="AA793" s="184"/>
      <c r="AC793" s="184"/>
      <c r="AD793" s="184"/>
      <c r="AE793" s="184"/>
      <c r="AF793" s="184"/>
      <c r="AG793" s="184"/>
      <c r="AH793" s="184"/>
      <c r="AI793" s="184"/>
      <c r="AR793" s="186"/>
      <c r="AS793" s="187"/>
      <c r="AT793" s="187"/>
      <c r="AU793" s="187"/>
      <c r="AV793" s="246"/>
      <c r="BB793" s="377"/>
      <c r="BC793" s="377"/>
      <c r="BD793" s="377"/>
    </row>
    <row r="794" spans="1:56" s="163" customFormat="1" ht="16.5" customHeight="1">
      <c r="A794" s="247"/>
      <c r="B794" s="244"/>
      <c r="C794" s="245"/>
      <c r="D794" s="245"/>
      <c r="E794" s="183"/>
      <c r="F794" s="183"/>
      <c r="G794" s="183"/>
      <c r="H794" s="184"/>
      <c r="I794" s="184"/>
      <c r="J794" s="184"/>
      <c r="L794" s="184"/>
      <c r="M794" s="184"/>
      <c r="N794" s="184"/>
      <c r="O794" s="184"/>
      <c r="R794" s="185"/>
      <c r="T794" s="184"/>
      <c r="U794" s="184"/>
      <c r="V794" s="184"/>
      <c r="X794" s="184"/>
      <c r="Y794" s="184"/>
      <c r="Z794" s="184"/>
      <c r="AA794" s="184"/>
      <c r="AC794" s="184"/>
      <c r="AD794" s="184"/>
      <c r="AE794" s="184"/>
      <c r="AF794" s="184"/>
      <c r="AG794" s="184"/>
      <c r="AH794" s="184"/>
      <c r="AI794" s="184"/>
      <c r="AR794" s="186"/>
      <c r="AS794" s="187"/>
      <c r="AT794" s="187"/>
      <c r="AU794" s="187"/>
      <c r="AV794" s="246"/>
      <c r="BB794" s="377"/>
      <c r="BC794" s="377"/>
      <c r="BD794" s="377"/>
    </row>
    <row r="795" spans="1:56" s="163" customFormat="1" ht="16.5" customHeight="1">
      <c r="A795" s="247"/>
      <c r="B795" s="244"/>
      <c r="C795" s="245"/>
      <c r="D795" s="245"/>
      <c r="E795" s="183"/>
      <c r="F795" s="183"/>
      <c r="G795" s="183"/>
      <c r="H795" s="184"/>
      <c r="I795" s="184"/>
      <c r="J795" s="184"/>
      <c r="L795" s="184"/>
      <c r="M795" s="184"/>
      <c r="N795" s="184"/>
      <c r="O795" s="184"/>
      <c r="R795" s="185"/>
      <c r="T795" s="184"/>
      <c r="U795" s="184"/>
      <c r="V795" s="184"/>
      <c r="X795" s="184"/>
      <c r="Y795" s="184"/>
      <c r="Z795" s="184"/>
      <c r="AA795" s="184"/>
      <c r="AC795" s="184"/>
      <c r="AD795" s="184"/>
      <c r="AE795" s="184"/>
      <c r="AF795" s="184"/>
      <c r="AG795" s="184"/>
      <c r="AH795" s="184"/>
      <c r="AI795" s="184"/>
      <c r="AR795" s="186"/>
      <c r="AS795" s="187"/>
      <c r="AT795" s="187"/>
      <c r="AU795" s="187"/>
      <c r="AV795" s="246"/>
      <c r="BB795" s="377"/>
      <c r="BC795" s="377"/>
      <c r="BD795" s="377"/>
    </row>
    <row r="796" spans="1:56" s="163" customFormat="1" ht="16.5" customHeight="1">
      <c r="A796" s="247"/>
      <c r="B796" s="244"/>
      <c r="C796" s="245"/>
      <c r="D796" s="245"/>
      <c r="E796" s="183"/>
      <c r="F796" s="183"/>
      <c r="G796" s="183"/>
      <c r="H796" s="184"/>
      <c r="I796" s="184"/>
      <c r="J796" s="184"/>
      <c r="L796" s="184"/>
      <c r="M796" s="184"/>
      <c r="N796" s="184"/>
      <c r="O796" s="184"/>
      <c r="R796" s="185"/>
      <c r="T796" s="184"/>
      <c r="U796" s="184"/>
      <c r="V796" s="184"/>
      <c r="X796" s="184"/>
      <c r="Y796" s="184"/>
      <c r="Z796" s="184"/>
      <c r="AA796" s="184"/>
      <c r="AC796" s="184"/>
      <c r="AD796" s="184"/>
      <c r="AE796" s="184"/>
      <c r="AF796" s="184"/>
      <c r="AG796" s="184"/>
      <c r="AH796" s="184"/>
      <c r="AI796" s="184"/>
      <c r="AR796" s="186"/>
      <c r="AS796" s="187"/>
      <c r="AT796" s="187"/>
      <c r="AU796" s="187"/>
      <c r="AV796" s="246"/>
      <c r="BB796" s="377"/>
      <c r="BC796" s="377"/>
      <c r="BD796" s="377"/>
    </row>
    <row r="797" spans="1:56" s="163" customFormat="1" ht="16.5" customHeight="1">
      <c r="A797" s="247"/>
      <c r="B797" s="244"/>
      <c r="C797" s="245"/>
      <c r="D797" s="245"/>
      <c r="E797" s="183"/>
      <c r="F797" s="183"/>
      <c r="G797" s="183"/>
      <c r="H797" s="184"/>
      <c r="I797" s="184"/>
      <c r="J797" s="184"/>
      <c r="L797" s="184"/>
      <c r="M797" s="184"/>
      <c r="N797" s="184"/>
      <c r="O797" s="184"/>
      <c r="R797" s="185"/>
      <c r="T797" s="184"/>
      <c r="U797" s="184"/>
      <c r="V797" s="184"/>
      <c r="X797" s="184"/>
      <c r="Y797" s="184"/>
      <c r="Z797" s="184"/>
      <c r="AA797" s="184"/>
      <c r="AC797" s="184"/>
      <c r="AD797" s="184"/>
      <c r="AE797" s="184"/>
      <c r="AF797" s="184"/>
      <c r="AG797" s="184"/>
      <c r="AH797" s="184"/>
      <c r="AI797" s="184"/>
      <c r="AR797" s="186"/>
      <c r="AS797" s="187"/>
      <c r="AT797" s="187"/>
      <c r="AU797" s="187"/>
      <c r="AV797" s="246"/>
      <c r="BB797" s="377"/>
      <c r="BC797" s="377"/>
      <c r="BD797" s="377"/>
    </row>
    <row r="798" spans="1:56" s="163" customFormat="1" ht="16.5" customHeight="1">
      <c r="A798" s="247"/>
      <c r="B798" s="244"/>
      <c r="C798" s="245"/>
      <c r="D798" s="245"/>
      <c r="E798" s="183"/>
      <c r="F798" s="183"/>
      <c r="G798" s="183"/>
      <c r="H798" s="184"/>
      <c r="I798" s="184"/>
      <c r="J798" s="184"/>
      <c r="L798" s="184"/>
      <c r="M798" s="184"/>
      <c r="N798" s="184"/>
      <c r="O798" s="184"/>
      <c r="R798" s="185"/>
      <c r="T798" s="184"/>
      <c r="U798" s="184"/>
      <c r="V798" s="184"/>
      <c r="X798" s="184"/>
      <c r="Y798" s="184"/>
      <c r="Z798" s="184"/>
      <c r="AA798" s="184"/>
      <c r="AC798" s="184"/>
      <c r="AD798" s="184"/>
      <c r="AE798" s="184"/>
      <c r="AF798" s="184"/>
      <c r="AG798" s="184"/>
      <c r="AH798" s="184"/>
      <c r="AI798" s="184"/>
      <c r="AR798" s="186"/>
      <c r="AS798" s="187"/>
      <c r="AT798" s="187"/>
      <c r="AU798" s="187"/>
      <c r="AV798" s="246"/>
      <c r="BB798" s="377"/>
      <c r="BC798" s="377"/>
      <c r="BD798" s="377"/>
    </row>
    <row r="799" spans="1:56" s="163" customFormat="1" ht="16.5" customHeight="1">
      <c r="A799" s="247"/>
      <c r="B799" s="244"/>
      <c r="C799" s="245"/>
      <c r="D799" s="245"/>
      <c r="E799" s="183"/>
      <c r="F799" s="183"/>
      <c r="G799" s="183"/>
      <c r="H799" s="184"/>
      <c r="I799" s="184"/>
      <c r="J799" s="184"/>
      <c r="L799" s="184"/>
      <c r="M799" s="184"/>
      <c r="N799" s="184"/>
      <c r="O799" s="184"/>
      <c r="R799" s="185"/>
      <c r="T799" s="184"/>
      <c r="U799" s="184"/>
      <c r="V799" s="184"/>
      <c r="X799" s="184"/>
      <c r="Y799" s="184"/>
      <c r="Z799" s="184"/>
      <c r="AA799" s="184"/>
      <c r="AC799" s="184"/>
      <c r="AD799" s="184"/>
      <c r="AE799" s="184"/>
      <c r="AF799" s="184"/>
      <c r="AG799" s="184"/>
      <c r="AH799" s="184"/>
      <c r="AI799" s="184"/>
      <c r="AR799" s="186"/>
      <c r="AS799" s="187"/>
      <c r="AT799" s="187"/>
      <c r="AU799" s="187"/>
      <c r="AV799" s="246"/>
      <c r="BB799" s="377"/>
      <c r="BC799" s="377"/>
      <c r="BD799" s="377"/>
    </row>
    <row r="800" spans="1:56" s="163" customFormat="1" ht="16.5" customHeight="1">
      <c r="A800" s="247"/>
      <c r="B800" s="244"/>
      <c r="C800" s="245"/>
      <c r="D800" s="245"/>
      <c r="E800" s="183"/>
      <c r="F800" s="183"/>
      <c r="G800" s="183"/>
      <c r="H800" s="184"/>
      <c r="I800" s="184"/>
      <c r="J800" s="184"/>
      <c r="L800" s="184"/>
      <c r="M800" s="184"/>
      <c r="N800" s="184"/>
      <c r="O800" s="184"/>
      <c r="R800" s="185"/>
      <c r="T800" s="184"/>
      <c r="U800" s="184"/>
      <c r="V800" s="184"/>
      <c r="X800" s="184"/>
      <c r="Y800" s="184"/>
      <c r="Z800" s="184"/>
      <c r="AA800" s="184"/>
      <c r="AC800" s="184"/>
      <c r="AD800" s="184"/>
      <c r="AE800" s="184"/>
      <c r="AF800" s="184"/>
      <c r="AG800" s="184"/>
      <c r="AH800" s="184"/>
      <c r="AI800" s="184"/>
      <c r="AR800" s="186"/>
      <c r="AS800" s="187"/>
      <c r="AT800" s="187"/>
      <c r="AU800" s="187"/>
      <c r="AV800" s="246"/>
      <c r="BB800" s="377"/>
      <c r="BC800" s="377"/>
      <c r="BD800" s="377"/>
    </row>
    <row r="801" spans="1:56" s="163" customFormat="1" ht="16.5" customHeight="1">
      <c r="A801" s="247"/>
      <c r="B801" s="244"/>
      <c r="C801" s="245"/>
      <c r="D801" s="245"/>
      <c r="E801" s="183"/>
      <c r="F801" s="183"/>
      <c r="G801" s="183"/>
      <c r="H801" s="184"/>
      <c r="I801" s="184"/>
      <c r="J801" s="184"/>
      <c r="L801" s="184"/>
      <c r="M801" s="184"/>
      <c r="N801" s="184"/>
      <c r="O801" s="184"/>
      <c r="R801" s="185"/>
      <c r="T801" s="184"/>
      <c r="U801" s="184"/>
      <c r="V801" s="184"/>
      <c r="X801" s="184"/>
      <c r="Y801" s="184"/>
      <c r="Z801" s="184"/>
      <c r="AA801" s="184"/>
      <c r="AC801" s="184"/>
      <c r="AD801" s="184"/>
      <c r="AE801" s="184"/>
      <c r="AF801" s="184"/>
      <c r="AG801" s="184"/>
      <c r="AH801" s="184"/>
      <c r="AI801" s="184"/>
      <c r="AR801" s="186"/>
      <c r="AS801" s="187"/>
      <c r="AT801" s="187"/>
      <c r="AU801" s="187"/>
      <c r="AV801" s="246"/>
      <c r="BB801" s="377"/>
      <c r="BC801" s="377"/>
      <c r="BD801" s="377"/>
    </row>
    <row r="802" spans="1:56" s="163" customFormat="1" ht="16.5" customHeight="1">
      <c r="A802" s="247"/>
      <c r="B802" s="244"/>
      <c r="C802" s="245"/>
      <c r="D802" s="245"/>
      <c r="E802" s="183"/>
      <c r="F802" s="183"/>
      <c r="G802" s="183"/>
      <c r="H802" s="184"/>
      <c r="I802" s="184"/>
      <c r="J802" s="184"/>
      <c r="L802" s="184"/>
      <c r="M802" s="184"/>
      <c r="N802" s="184"/>
      <c r="O802" s="184"/>
      <c r="R802" s="185"/>
      <c r="T802" s="184"/>
      <c r="U802" s="184"/>
      <c r="V802" s="184"/>
      <c r="X802" s="184"/>
      <c r="Y802" s="184"/>
      <c r="Z802" s="184"/>
      <c r="AA802" s="184"/>
      <c r="AC802" s="184"/>
      <c r="AD802" s="184"/>
      <c r="AE802" s="184"/>
      <c r="AF802" s="184"/>
      <c r="AG802" s="184"/>
      <c r="AH802" s="184"/>
      <c r="AI802" s="184"/>
      <c r="AR802" s="186"/>
      <c r="AS802" s="187"/>
      <c r="AT802" s="187"/>
      <c r="AU802" s="187"/>
      <c r="AV802" s="246"/>
      <c r="BB802" s="377"/>
      <c r="BC802" s="377"/>
      <c r="BD802" s="377"/>
    </row>
    <row r="803" spans="1:56" s="163" customFormat="1" ht="16.5" customHeight="1">
      <c r="A803" s="247"/>
      <c r="B803" s="244"/>
      <c r="C803" s="245"/>
      <c r="D803" s="245"/>
      <c r="E803" s="183"/>
      <c r="F803" s="183"/>
      <c r="G803" s="183"/>
      <c r="H803" s="184"/>
      <c r="I803" s="184"/>
      <c r="J803" s="184"/>
      <c r="L803" s="184"/>
      <c r="M803" s="184"/>
      <c r="N803" s="184"/>
      <c r="O803" s="184"/>
      <c r="R803" s="185"/>
      <c r="T803" s="184"/>
      <c r="U803" s="184"/>
      <c r="V803" s="184"/>
      <c r="X803" s="184"/>
      <c r="Y803" s="184"/>
      <c r="Z803" s="184"/>
      <c r="AA803" s="184"/>
      <c r="AC803" s="184"/>
      <c r="AD803" s="184"/>
      <c r="AE803" s="184"/>
      <c r="AF803" s="184"/>
      <c r="AG803" s="184"/>
      <c r="AH803" s="184"/>
      <c r="AI803" s="184"/>
      <c r="AR803" s="186"/>
      <c r="AS803" s="187"/>
      <c r="AT803" s="187"/>
      <c r="AU803" s="187"/>
      <c r="AV803" s="246"/>
      <c r="BB803" s="377"/>
      <c r="BC803" s="377"/>
      <c r="BD803" s="377"/>
    </row>
    <row r="804" spans="1:56" s="163" customFormat="1" ht="16.5" customHeight="1">
      <c r="A804" s="247"/>
      <c r="B804" s="244"/>
      <c r="C804" s="245"/>
      <c r="D804" s="245"/>
      <c r="E804" s="183"/>
      <c r="F804" s="183"/>
      <c r="G804" s="183"/>
      <c r="H804" s="184"/>
      <c r="I804" s="184"/>
      <c r="J804" s="184"/>
      <c r="L804" s="184"/>
      <c r="M804" s="184"/>
      <c r="N804" s="184"/>
      <c r="O804" s="184"/>
      <c r="R804" s="185"/>
      <c r="T804" s="184"/>
      <c r="U804" s="184"/>
      <c r="V804" s="184"/>
      <c r="X804" s="184"/>
      <c r="Y804" s="184"/>
      <c r="Z804" s="184"/>
      <c r="AA804" s="184"/>
      <c r="AC804" s="184"/>
      <c r="AD804" s="184"/>
      <c r="AE804" s="184"/>
      <c r="AF804" s="184"/>
      <c r="AG804" s="184"/>
      <c r="AH804" s="184"/>
      <c r="AI804" s="184"/>
      <c r="AR804" s="186"/>
      <c r="AS804" s="187"/>
      <c r="AT804" s="187"/>
      <c r="AU804" s="187"/>
      <c r="AV804" s="246"/>
      <c r="BB804" s="377"/>
      <c r="BC804" s="377"/>
      <c r="BD804" s="377"/>
    </row>
    <row r="805" spans="1:56" s="163" customFormat="1" ht="16.5" customHeight="1">
      <c r="A805" s="247"/>
      <c r="B805" s="244"/>
      <c r="C805" s="245"/>
      <c r="D805" s="245"/>
      <c r="E805" s="183"/>
      <c r="F805" s="183"/>
      <c r="G805" s="183"/>
      <c r="H805" s="184"/>
      <c r="I805" s="184"/>
      <c r="J805" s="184"/>
      <c r="L805" s="184"/>
      <c r="M805" s="184"/>
      <c r="N805" s="184"/>
      <c r="O805" s="184"/>
      <c r="R805" s="185"/>
      <c r="T805" s="184"/>
      <c r="U805" s="184"/>
      <c r="V805" s="184"/>
      <c r="X805" s="184"/>
      <c r="Y805" s="184"/>
      <c r="Z805" s="184"/>
      <c r="AA805" s="184"/>
      <c r="AC805" s="184"/>
      <c r="AD805" s="184"/>
      <c r="AE805" s="184"/>
      <c r="AF805" s="184"/>
      <c r="AG805" s="184"/>
      <c r="AH805" s="184"/>
      <c r="AI805" s="184"/>
      <c r="AR805" s="186"/>
      <c r="AS805" s="187"/>
      <c r="AT805" s="187"/>
      <c r="AU805" s="187"/>
      <c r="AV805" s="246"/>
      <c r="BB805" s="377"/>
      <c r="BC805" s="377"/>
      <c r="BD805" s="377"/>
    </row>
    <row r="806" spans="1:56" s="163" customFormat="1" ht="16.5" customHeight="1">
      <c r="A806" s="247"/>
      <c r="B806" s="244"/>
      <c r="C806" s="245"/>
      <c r="D806" s="245"/>
      <c r="E806" s="183"/>
      <c r="F806" s="183"/>
      <c r="G806" s="183"/>
      <c r="H806" s="184"/>
      <c r="I806" s="184"/>
      <c r="J806" s="184"/>
      <c r="L806" s="184"/>
      <c r="M806" s="184"/>
      <c r="N806" s="184"/>
      <c r="O806" s="184"/>
      <c r="R806" s="185"/>
      <c r="T806" s="184"/>
      <c r="U806" s="184"/>
      <c r="V806" s="184"/>
      <c r="X806" s="184"/>
      <c r="Y806" s="184"/>
      <c r="Z806" s="184"/>
      <c r="AA806" s="184"/>
      <c r="AC806" s="184"/>
      <c r="AD806" s="184"/>
      <c r="AE806" s="184"/>
      <c r="AF806" s="184"/>
      <c r="AG806" s="184"/>
      <c r="AH806" s="184"/>
      <c r="AI806" s="184"/>
      <c r="AR806" s="186"/>
      <c r="AS806" s="187"/>
      <c r="AT806" s="187"/>
      <c r="AU806" s="187"/>
      <c r="AV806" s="246"/>
      <c r="BB806" s="377"/>
      <c r="BC806" s="377"/>
      <c r="BD806" s="377"/>
    </row>
    <row r="807" spans="1:56" s="163" customFormat="1" ht="16.5" customHeight="1">
      <c r="A807" s="247"/>
      <c r="B807" s="244"/>
      <c r="C807" s="245"/>
      <c r="D807" s="245"/>
      <c r="E807" s="183"/>
      <c r="F807" s="183"/>
      <c r="G807" s="183"/>
      <c r="H807" s="184"/>
      <c r="I807" s="184"/>
      <c r="J807" s="184"/>
      <c r="L807" s="184"/>
      <c r="M807" s="184"/>
      <c r="N807" s="184"/>
      <c r="O807" s="184"/>
      <c r="R807" s="185"/>
      <c r="T807" s="184"/>
      <c r="U807" s="184"/>
      <c r="V807" s="184"/>
      <c r="X807" s="184"/>
      <c r="Y807" s="184"/>
      <c r="Z807" s="184"/>
      <c r="AA807" s="184"/>
      <c r="AC807" s="184"/>
      <c r="AD807" s="184"/>
      <c r="AE807" s="184"/>
      <c r="AF807" s="184"/>
      <c r="AG807" s="184"/>
      <c r="AH807" s="184"/>
      <c r="AI807" s="184"/>
      <c r="AR807" s="186"/>
      <c r="AS807" s="187"/>
      <c r="AT807" s="187"/>
      <c r="AU807" s="187"/>
      <c r="AV807" s="246"/>
      <c r="BB807" s="377"/>
      <c r="BC807" s="377"/>
      <c r="BD807" s="377"/>
    </row>
    <row r="808" spans="1:56" s="163" customFormat="1" ht="16.5" customHeight="1">
      <c r="A808" s="247"/>
      <c r="B808" s="244"/>
      <c r="C808" s="245"/>
      <c r="D808" s="245"/>
      <c r="E808" s="183"/>
      <c r="F808" s="183"/>
      <c r="G808" s="183"/>
      <c r="H808" s="184"/>
      <c r="I808" s="184"/>
      <c r="J808" s="184"/>
      <c r="L808" s="184"/>
      <c r="M808" s="184"/>
      <c r="N808" s="184"/>
      <c r="O808" s="184"/>
      <c r="R808" s="185"/>
      <c r="T808" s="184"/>
      <c r="U808" s="184"/>
      <c r="V808" s="184"/>
      <c r="X808" s="184"/>
      <c r="Y808" s="184"/>
      <c r="Z808" s="184"/>
      <c r="AA808" s="184"/>
      <c r="AC808" s="184"/>
      <c r="AD808" s="184"/>
      <c r="AE808" s="184"/>
      <c r="AF808" s="184"/>
      <c r="AG808" s="184"/>
      <c r="AH808" s="184"/>
      <c r="AI808" s="184"/>
      <c r="AR808" s="186"/>
      <c r="AS808" s="187"/>
      <c r="AT808" s="187"/>
      <c r="AU808" s="187"/>
      <c r="AV808" s="246"/>
      <c r="BB808" s="377"/>
      <c r="BC808" s="377"/>
      <c r="BD808" s="377"/>
    </row>
    <row r="809" spans="1:56" s="163" customFormat="1" ht="16.5" customHeight="1">
      <c r="A809" s="247"/>
      <c r="B809" s="244"/>
      <c r="C809" s="245"/>
      <c r="D809" s="245"/>
      <c r="E809" s="183"/>
      <c r="F809" s="183"/>
      <c r="G809" s="183"/>
      <c r="H809" s="184"/>
      <c r="I809" s="184"/>
      <c r="J809" s="184"/>
      <c r="L809" s="184"/>
      <c r="M809" s="184"/>
      <c r="N809" s="184"/>
      <c r="O809" s="184"/>
      <c r="R809" s="185"/>
      <c r="T809" s="184"/>
      <c r="U809" s="184"/>
      <c r="V809" s="184"/>
      <c r="X809" s="184"/>
      <c r="Y809" s="184"/>
      <c r="Z809" s="184"/>
      <c r="AA809" s="184"/>
      <c r="AC809" s="184"/>
      <c r="AD809" s="184"/>
      <c r="AE809" s="184"/>
      <c r="AF809" s="184"/>
      <c r="AG809" s="184"/>
      <c r="AH809" s="184"/>
      <c r="AI809" s="184"/>
      <c r="AR809" s="186"/>
      <c r="AS809" s="187"/>
      <c r="AT809" s="187"/>
      <c r="AU809" s="187"/>
      <c r="AV809" s="246"/>
      <c r="BB809" s="377"/>
      <c r="BC809" s="377"/>
      <c r="BD809" s="377"/>
    </row>
    <row r="810" spans="1:56" s="163" customFormat="1" ht="16.5" customHeight="1">
      <c r="A810" s="247"/>
      <c r="B810" s="244"/>
      <c r="C810" s="245"/>
      <c r="D810" s="245"/>
      <c r="E810" s="183"/>
      <c r="F810" s="183"/>
      <c r="G810" s="183"/>
      <c r="H810" s="184"/>
      <c r="I810" s="184"/>
      <c r="J810" s="184"/>
      <c r="L810" s="184"/>
      <c r="M810" s="184"/>
      <c r="N810" s="184"/>
      <c r="O810" s="184"/>
      <c r="R810" s="185"/>
      <c r="T810" s="184"/>
      <c r="U810" s="184"/>
      <c r="V810" s="184"/>
      <c r="X810" s="184"/>
      <c r="Y810" s="184"/>
      <c r="Z810" s="184"/>
      <c r="AA810" s="184"/>
      <c r="AC810" s="184"/>
      <c r="AD810" s="184"/>
      <c r="AE810" s="184"/>
      <c r="AF810" s="184"/>
      <c r="AG810" s="184"/>
      <c r="AH810" s="184"/>
      <c r="AI810" s="184"/>
      <c r="AR810" s="186"/>
      <c r="AS810" s="187"/>
      <c r="AT810" s="187"/>
      <c r="AU810" s="187"/>
      <c r="AV810" s="246"/>
      <c r="BB810" s="377"/>
      <c r="BC810" s="377"/>
      <c r="BD810" s="377"/>
    </row>
    <row r="811" spans="1:56" s="163" customFormat="1" ht="16.5" customHeight="1">
      <c r="A811" s="247"/>
      <c r="B811" s="244"/>
      <c r="C811" s="245"/>
      <c r="D811" s="245"/>
      <c r="E811" s="183"/>
      <c r="F811" s="183"/>
      <c r="G811" s="183"/>
      <c r="H811" s="184"/>
      <c r="I811" s="184"/>
      <c r="J811" s="184"/>
      <c r="L811" s="184"/>
      <c r="M811" s="184"/>
      <c r="N811" s="184"/>
      <c r="O811" s="184"/>
      <c r="R811" s="185"/>
      <c r="T811" s="184"/>
      <c r="U811" s="184"/>
      <c r="V811" s="184"/>
      <c r="X811" s="184"/>
      <c r="Y811" s="184"/>
      <c r="Z811" s="184"/>
      <c r="AA811" s="184"/>
      <c r="AC811" s="184"/>
      <c r="AD811" s="184"/>
      <c r="AE811" s="184"/>
      <c r="AF811" s="184"/>
      <c r="AG811" s="184"/>
      <c r="AH811" s="184"/>
      <c r="AI811" s="184"/>
      <c r="AR811" s="186"/>
      <c r="AS811" s="187"/>
      <c r="AT811" s="187"/>
      <c r="AU811" s="187"/>
      <c r="AV811" s="246"/>
      <c r="BB811" s="377"/>
      <c r="BC811" s="377"/>
      <c r="BD811" s="377"/>
    </row>
    <row r="812" spans="1:56" s="163" customFormat="1" ht="16.5" customHeight="1">
      <c r="A812" s="247"/>
      <c r="B812" s="244"/>
      <c r="C812" s="245"/>
      <c r="D812" s="245"/>
      <c r="E812" s="183"/>
      <c r="F812" s="183"/>
      <c r="G812" s="183"/>
      <c r="H812" s="184"/>
      <c r="I812" s="184"/>
      <c r="J812" s="184"/>
      <c r="L812" s="184"/>
      <c r="M812" s="184"/>
      <c r="N812" s="184"/>
      <c r="O812" s="184"/>
      <c r="R812" s="185"/>
      <c r="T812" s="184"/>
      <c r="U812" s="184"/>
      <c r="V812" s="184"/>
      <c r="X812" s="184"/>
      <c r="Y812" s="184"/>
      <c r="Z812" s="184"/>
      <c r="AA812" s="184"/>
      <c r="AC812" s="184"/>
      <c r="AD812" s="184"/>
      <c r="AE812" s="184"/>
      <c r="AF812" s="184"/>
      <c r="AG812" s="184"/>
      <c r="AH812" s="184"/>
      <c r="AI812" s="184"/>
      <c r="AR812" s="186"/>
      <c r="AS812" s="187"/>
      <c r="AT812" s="187"/>
      <c r="AU812" s="187"/>
      <c r="AV812" s="246"/>
      <c r="BB812" s="377"/>
      <c r="BC812" s="377"/>
      <c r="BD812" s="377"/>
    </row>
    <row r="813" spans="1:56" s="163" customFormat="1" ht="16.5" customHeight="1">
      <c r="A813" s="247"/>
      <c r="B813" s="244"/>
      <c r="C813" s="245"/>
      <c r="D813" s="245"/>
      <c r="E813" s="183"/>
      <c r="F813" s="183"/>
      <c r="G813" s="183"/>
      <c r="H813" s="184"/>
      <c r="I813" s="184"/>
      <c r="J813" s="184"/>
      <c r="L813" s="184"/>
      <c r="M813" s="184"/>
      <c r="N813" s="184"/>
      <c r="O813" s="184"/>
      <c r="R813" s="185"/>
      <c r="T813" s="184"/>
      <c r="U813" s="184"/>
      <c r="V813" s="184"/>
      <c r="X813" s="184"/>
      <c r="Y813" s="184"/>
      <c r="Z813" s="184"/>
      <c r="AA813" s="184"/>
      <c r="AC813" s="184"/>
      <c r="AD813" s="184"/>
      <c r="AE813" s="184"/>
      <c r="AF813" s="184"/>
      <c r="AG813" s="184"/>
      <c r="AH813" s="184"/>
      <c r="AI813" s="184"/>
      <c r="AR813" s="186"/>
      <c r="AS813" s="187"/>
      <c r="AT813" s="187"/>
      <c r="AU813" s="187"/>
      <c r="AV813" s="246"/>
      <c r="BB813" s="377"/>
      <c r="BC813" s="377"/>
      <c r="BD813" s="377"/>
    </row>
    <row r="814" spans="1:56" s="163" customFormat="1" ht="16.5" customHeight="1">
      <c r="A814" s="247"/>
      <c r="B814" s="244"/>
      <c r="C814" s="245"/>
      <c r="D814" s="245"/>
      <c r="E814" s="183"/>
      <c r="F814" s="183"/>
      <c r="G814" s="183"/>
      <c r="H814" s="184"/>
      <c r="I814" s="184"/>
      <c r="J814" s="184"/>
      <c r="L814" s="184"/>
      <c r="M814" s="184"/>
      <c r="N814" s="184"/>
      <c r="O814" s="184"/>
      <c r="R814" s="185"/>
      <c r="T814" s="184"/>
      <c r="U814" s="184"/>
      <c r="V814" s="184"/>
      <c r="X814" s="184"/>
      <c r="Y814" s="184"/>
      <c r="Z814" s="184"/>
      <c r="AA814" s="184"/>
      <c r="AC814" s="184"/>
      <c r="AD814" s="184"/>
      <c r="AE814" s="184"/>
      <c r="AF814" s="184"/>
      <c r="AG814" s="184"/>
      <c r="AH814" s="184"/>
      <c r="AI814" s="184"/>
      <c r="AR814" s="186"/>
      <c r="AS814" s="187"/>
      <c r="AT814" s="187"/>
      <c r="AU814" s="187"/>
      <c r="AV814" s="246"/>
      <c r="BB814" s="377"/>
      <c r="BC814" s="377"/>
      <c r="BD814" s="377"/>
    </row>
    <row r="815" spans="1:56" s="163" customFormat="1" ht="16.5" customHeight="1">
      <c r="A815" s="247"/>
      <c r="B815" s="244"/>
      <c r="C815" s="245"/>
      <c r="D815" s="245"/>
      <c r="E815" s="183"/>
      <c r="F815" s="183"/>
      <c r="G815" s="183"/>
      <c r="H815" s="184"/>
      <c r="I815" s="184"/>
      <c r="J815" s="184"/>
      <c r="L815" s="184"/>
      <c r="M815" s="184"/>
      <c r="N815" s="184"/>
      <c r="O815" s="184"/>
      <c r="R815" s="185"/>
      <c r="T815" s="184"/>
      <c r="U815" s="184"/>
      <c r="V815" s="184"/>
      <c r="X815" s="184"/>
      <c r="Y815" s="184"/>
      <c r="Z815" s="184"/>
      <c r="AA815" s="184"/>
      <c r="AC815" s="184"/>
      <c r="AD815" s="184"/>
      <c r="AE815" s="184"/>
      <c r="AF815" s="184"/>
      <c r="AG815" s="184"/>
      <c r="AH815" s="184"/>
      <c r="AI815" s="184"/>
      <c r="AR815" s="186"/>
      <c r="AS815" s="187"/>
      <c r="AT815" s="187"/>
      <c r="AU815" s="187"/>
      <c r="AV815" s="246"/>
      <c r="BB815" s="377"/>
      <c r="BC815" s="377"/>
      <c r="BD815" s="377"/>
    </row>
    <row r="816" spans="1:56" s="163" customFormat="1" ht="16.5" customHeight="1">
      <c r="A816" s="247"/>
      <c r="B816" s="244"/>
      <c r="C816" s="245"/>
      <c r="D816" s="245"/>
      <c r="E816" s="183"/>
      <c r="F816" s="183"/>
      <c r="G816" s="183"/>
      <c r="H816" s="184"/>
      <c r="I816" s="184"/>
      <c r="J816" s="184"/>
      <c r="L816" s="184"/>
      <c r="M816" s="184"/>
      <c r="N816" s="184"/>
      <c r="O816" s="184"/>
      <c r="R816" s="185"/>
      <c r="T816" s="184"/>
      <c r="U816" s="184"/>
      <c r="V816" s="184"/>
      <c r="X816" s="184"/>
      <c r="Y816" s="184"/>
      <c r="Z816" s="184"/>
      <c r="AA816" s="184"/>
      <c r="AC816" s="184"/>
      <c r="AD816" s="184"/>
      <c r="AE816" s="184"/>
      <c r="AF816" s="184"/>
      <c r="AG816" s="184"/>
      <c r="AH816" s="184"/>
      <c r="AI816" s="184"/>
      <c r="AR816" s="186"/>
      <c r="AS816" s="187"/>
      <c r="AT816" s="187"/>
      <c r="AU816" s="187"/>
      <c r="AV816" s="246"/>
      <c r="BB816" s="377"/>
      <c r="BC816" s="377"/>
      <c r="BD816" s="377"/>
    </row>
    <row r="817" spans="1:56" s="163" customFormat="1" ht="16.5" customHeight="1">
      <c r="A817" s="247"/>
      <c r="B817" s="244"/>
      <c r="C817" s="245"/>
      <c r="D817" s="245"/>
      <c r="E817" s="183"/>
      <c r="F817" s="183"/>
      <c r="G817" s="183"/>
      <c r="H817" s="184"/>
      <c r="I817" s="184"/>
      <c r="J817" s="184"/>
      <c r="L817" s="184"/>
      <c r="M817" s="184"/>
      <c r="N817" s="184"/>
      <c r="O817" s="184"/>
      <c r="R817" s="185"/>
      <c r="T817" s="184"/>
      <c r="U817" s="184"/>
      <c r="V817" s="184"/>
      <c r="X817" s="184"/>
      <c r="Y817" s="184"/>
      <c r="Z817" s="184"/>
      <c r="AA817" s="184"/>
      <c r="AC817" s="184"/>
      <c r="AD817" s="184"/>
      <c r="AE817" s="184"/>
      <c r="AF817" s="184"/>
      <c r="AG817" s="184"/>
      <c r="AH817" s="184"/>
      <c r="AI817" s="184"/>
      <c r="AR817" s="186"/>
      <c r="AS817" s="187"/>
      <c r="AT817" s="187"/>
      <c r="AU817" s="187"/>
      <c r="AV817" s="246"/>
      <c r="BB817" s="377"/>
      <c r="BC817" s="377"/>
      <c r="BD817" s="377"/>
    </row>
    <row r="818" spans="1:56" s="163" customFormat="1" ht="16.5" customHeight="1">
      <c r="A818" s="247"/>
      <c r="B818" s="244"/>
      <c r="C818" s="245"/>
      <c r="D818" s="245"/>
      <c r="E818" s="183"/>
      <c r="F818" s="183"/>
      <c r="G818" s="183"/>
      <c r="H818" s="184"/>
      <c r="I818" s="184"/>
      <c r="J818" s="184"/>
      <c r="L818" s="184"/>
      <c r="M818" s="184"/>
      <c r="N818" s="184"/>
      <c r="O818" s="184"/>
      <c r="R818" s="185"/>
      <c r="T818" s="184"/>
      <c r="U818" s="184"/>
      <c r="V818" s="184"/>
      <c r="X818" s="184"/>
      <c r="Y818" s="184"/>
      <c r="Z818" s="184"/>
      <c r="AA818" s="184"/>
      <c r="AC818" s="184"/>
      <c r="AD818" s="184"/>
      <c r="AE818" s="184"/>
      <c r="AF818" s="184"/>
      <c r="AG818" s="184"/>
      <c r="AH818" s="184"/>
      <c r="AI818" s="184"/>
      <c r="AR818" s="186"/>
      <c r="AS818" s="187"/>
      <c r="AT818" s="187"/>
      <c r="AU818" s="187"/>
      <c r="AV818" s="246"/>
      <c r="BB818" s="377"/>
      <c r="BC818" s="377"/>
      <c r="BD818" s="377"/>
    </row>
    <row r="819" spans="1:56" s="163" customFormat="1" ht="16.5" customHeight="1">
      <c r="A819" s="247"/>
      <c r="B819" s="244"/>
      <c r="C819" s="245"/>
      <c r="D819" s="245"/>
      <c r="E819" s="183"/>
      <c r="F819" s="183"/>
      <c r="G819" s="183"/>
      <c r="H819" s="184"/>
      <c r="I819" s="184"/>
      <c r="J819" s="184"/>
      <c r="L819" s="184"/>
      <c r="M819" s="184"/>
      <c r="N819" s="184"/>
      <c r="O819" s="184"/>
      <c r="R819" s="185"/>
      <c r="T819" s="184"/>
      <c r="U819" s="184"/>
      <c r="V819" s="184"/>
      <c r="X819" s="184"/>
      <c r="Y819" s="184"/>
      <c r="Z819" s="184"/>
      <c r="AA819" s="184"/>
      <c r="AC819" s="184"/>
      <c r="AD819" s="184"/>
      <c r="AE819" s="184"/>
      <c r="AF819" s="184"/>
      <c r="AG819" s="184"/>
      <c r="AH819" s="184"/>
      <c r="AI819" s="184"/>
      <c r="AR819" s="186"/>
      <c r="AS819" s="187"/>
      <c r="AT819" s="187"/>
      <c r="AU819" s="187"/>
      <c r="AV819" s="246"/>
      <c r="BB819" s="377"/>
      <c r="BC819" s="377"/>
      <c r="BD819" s="377"/>
    </row>
    <row r="820" spans="1:56" s="163" customFormat="1" ht="16.5" customHeight="1">
      <c r="A820" s="247"/>
      <c r="B820" s="244"/>
      <c r="C820" s="245"/>
      <c r="D820" s="245"/>
      <c r="E820" s="183"/>
      <c r="F820" s="183"/>
      <c r="G820" s="183"/>
      <c r="H820" s="184"/>
      <c r="I820" s="184"/>
      <c r="J820" s="184"/>
      <c r="L820" s="184"/>
      <c r="M820" s="184"/>
      <c r="N820" s="184"/>
      <c r="O820" s="184"/>
      <c r="R820" s="185"/>
      <c r="T820" s="184"/>
      <c r="U820" s="184"/>
      <c r="V820" s="184"/>
      <c r="X820" s="184"/>
      <c r="Y820" s="184"/>
      <c r="Z820" s="184"/>
      <c r="AA820" s="184"/>
      <c r="AC820" s="184"/>
      <c r="AD820" s="184"/>
      <c r="AE820" s="184"/>
      <c r="AF820" s="184"/>
      <c r="AG820" s="184"/>
      <c r="AH820" s="184"/>
      <c r="AI820" s="184"/>
      <c r="AR820" s="186"/>
      <c r="AS820" s="187"/>
      <c r="AT820" s="187"/>
      <c r="AU820" s="187"/>
      <c r="AV820" s="246"/>
      <c r="BB820" s="377"/>
      <c r="BC820" s="377"/>
      <c r="BD820" s="377"/>
    </row>
    <row r="821" spans="1:56" s="163" customFormat="1" ht="16.5" customHeight="1">
      <c r="A821" s="247"/>
      <c r="B821" s="244"/>
      <c r="C821" s="245"/>
      <c r="D821" s="245"/>
      <c r="E821" s="183"/>
      <c r="F821" s="183"/>
      <c r="G821" s="183"/>
      <c r="H821" s="184"/>
      <c r="I821" s="184"/>
      <c r="J821" s="184"/>
      <c r="L821" s="184"/>
      <c r="M821" s="184"/>
      <c r="N821" s="184"/>
      <c r="O821" s="184"/>
      <c r="R821" s="185"/>
      <c r="T821" s="184"/>
      <c r="U821" s="184"/>
      <c r="V821" s="184"/>
      <c r="X821" s="184"/>
      <c r="Y821" s="184"/>
      <c r="Z821" s="184"/>
      <c r="AA821" s="184"/>
      <c r="AC821" s="184"/>
      <c r="AD821" s="184"/>
      <c r="AE821" s="184"/>
      <c r="AF821" s="184"/>
      <c r="AG821" s="184"/>
      <c r="AH821" s="184"/>
      <c r="AI821" s="184"/>
      <c r="AR821" s="186"/>
      <c r="AS821" s="187"/>
      <c r="AT821" s="187"/>
      <c r="AU821" s="187"/>
      <c r="AV821" s="246"/>
      <c r="BB821" s="377"/>
      <c r="BC821" s="377"/>
      <c r="BD821" s="377"/>
    </row>
    <row r="822" spans="1:56" s="163" customFormat="1" ht="16.5" customHeight="1">
      <c r="A822" s="247"/>
      <c r="B822" s="244"/>
      <c r="C822" s="245"/>
      <c r="D822" s="245"/>
      <c r="E822" s="183"/>
      <c r="F822" s="183"/>
      <c r="G822" s="183"/>
      <c r="H822" s="184"/>
      <c r="I822" s="184"/>
      <c r="J822" s="184"/>
      <c r="L822" s="184"/>
      <c r="M822" s="184"/>
      <c r="N822" s="184"/>
      <c r="O822" s="184"/>
      <c r="R822" s="185"/>
      <c r="T822" s="184"/>
      <c r="U822" s="184"/>
      <c r="V822" s="184"/>
      <c r="X822" s="184"/>
      <c r="Y822" s="184"/>
      <c r="Z822" s="184"/>
      <c r="AA822" s="184"/>
      <c r="AC822" s="184"/>
      <c r="AD822" s="184"/>
      <c r="AE822" s="184"/>
      <c r="AF822" s="184"/>
      <c r="AG822" s="184"/>
      <c r="AH822" s="184"/>
      <c r="AI822" s="184"/>
      <c r="AR822" s="186"/>
      <c r="AS822" s="187"/>
      <c r="AT822" s="187"/>
      <c r="AU822" s="187"/>
      <c r="AV822" s="246"/>
      <c r="BB822" s="377"/>
      <c r="BC822" s="377"/>
      <c r="BD822" s="377"/>
    </row>
    <row r="823" spans="1:56" s="163" customFormat="1" ht="16.5" customHeight="1">
      <c r="A823" s="247"/>
      <c r="B823" s="244"/>
      <c r="C823" s="245"/>
      <c r="D823" s="245"/>
      <c r="E823" s="183"/>
      <c r="F823" s="183"/>
      <c r="G823" s="183"/>
      <c r="H823" s="184"/>
      <c r="I823" s="184"/>
      <c r="J823" s="184"/>
      <c r="L823" s="184"/>
      <c r="M823" s="184"/>
      <c r="N823" s="184"/>
      <c r="O823" s="184"/>
      <c r="R823" s="185"/>
      <c r="T823" s="184"/>
      <c r="U823" s="184"/>
      <c r="V823" s="184"/>
      <c r="X823" s="184"/>
      <c r="Y823" s="184"/>
      <c r="Z823" s="184"/>
      <c r="AA823" s="184"/>
      <c r="AC823" s="184"/>
      <c r="AD823" s="184"/>
      <c r="AE823" s="184"/>
      <c r="AF823" s="184"/>
      <c r="AG823" s="184"/>
      <c r="AH823" s="184"/>
      <c r="AI823" s="184"/>
      <c r="AR823" s="186"/>
      <c r="AS823" s="187"/>
      <c r="AT823" s="187"/>
      <c r="AU823" s="187"/>
      <c r="AV823" s="246"/>
      <c r="BB823" s="377"/>
      <c r="BC823" s="377"/>
      <c r="BD823" s="377"/>
    </row>
    <row r="824" spans="1:56" s="163" customFormat="1" ht="16.5" customHeight="1">
      <c r="A824" s="247"/>
      <c r="B824" s="244"/>
      <c r="C824" s="245"/>
      <c r="D824" s="245"/>
      <c r="E824" s="183"/>
      <c r="F824" s="183"/>
      <c r="G824" s="183"/>
      <c r="H824" s="184"/>
      <c r="I824" s="184"/>
      <c r="J824" s="184"/>
      <c r="L824" s="184"/>
      <c r="M824" s="184"/>
      <c r="N824" s="184"/>
      <c r="O824" s="184"/>
      <c r="R824" s="185"/>
      <c r="T824" s="184"/>
      <c r="U824" s="184"/>
      <c r="V824" s="184"/>
      <c r="X824" s="184"/>
      <c r="Y824" s="184"/>
      <c r="Z824" s="184"/>
      <c r="AA824" s="184"/>
      <c r="AC824" s="184"/>
      <c r="AD824" s="184"/>
      <c r="AE824" s="184"/>
      <c r="AF824" s="184"/>
      <c r="AG824" s="184"/>
      <c r="AH824" s="184"/>
      <c r="AI824" s="184"/>
      <c r="AR824" s="186"/>
      <c r="AS824" s="187"/>
      <c r="AT824" s="187"/>
      <c r="AU824" s="187"/>
      <c r="AV824" s="246"/>
      <c r="BB824" s="377"/>
      <c r="BC824" s="377"/>
      <c r="BD824" s="377"/>
    </row>
    <row r="825" spans="1:56" s="163" customFormat="1" ht="16.5" customHeight="1">
      <c r="A825" s="247"/>
      <c r="B825" s="244"/>
      <c r="C825" s="245"/>
      <c r="D825" s="245"/>
      <c r="E825" s="183"/>
      <c r="F825" s="183"/>
      <c r="G825" s="183"/>
      <c r="H825" s="184"/>
      <c r="I825" s="184"/>
      <c r="J825" s="184"/>
      <c r="L825" s="184"/>
      <c r="M825" s="184"/>
      <c r="N825" s="184"/>
      <c r="O825" s="184"/>
      <c r="R825" s="185"/>
      <c r="T825" s="184"/>
      <c r="U825" s="184"/>
      <c r="V825" s="184"/>
      <c r="X825" s="184"/>
      <c r="Y825" s="184"/>
      <c r="Z825" s="184"/>
      <c r="AA825" s="184"/>
      <c r="AC825" s="184"/>
      <c r="AD825" s="184"/>
      <c r="AE825" s="184"/>
      <c r="AF825" s="184"/>
      <c r="AG825" s="184"/>
      <c r="AH825" s="184"/>
      <c r="AI825" s="184"/>
      <c r="AR825" s="186"/>
      <c r="AS825" s="187"/>
      <c r="AT825" s="187"/>
      <c r="AU825" s="187"/>
      <c r="AV825" s="246"/>
      <c r="BB825" s="377"/>
      <c r="BC825" s="377"/>
      <c r="BD825" s="377"/>
    </row>
    <row r="826" spans="1:56" s="163" customFormat="1" ht="16.5" customHeight="1">
      <c r="A826" s="247"/>
      <c r="B826" s="244"/>
      <c r="C826" s="245"/>
      <c r="D826" s="245"/>
      <c r="E826" s="183"/>
      <c r="F826" s="183"/>
      <c r="G826" s="183"/>
      <c r="H826" s="184"/>
      <c r="I826" s="184"/>
      <c r="J826" s="184"/>
      <c r="L826" s="184"/>
      <c r="M826" s="184"/>
      <c r="N826" s="184"/>
      <c r="O826" s="184"/>
      <c r="R826" s="185"/>
      <c r="T826" s="184"/>
      <c r="U826" s="184"/>
      <c r="V826" s="184"/>
      <c r="X826" s="184"/>
      <c r="Y826" s="184"/>
      <c r="Z826" s="184"/>
      <c r="AA826" s="184"/>
      <c r="AC826" s="184"/>
      <c r="AD826" s="184"/>
      <c r="AE826" s="184"/>
      <c r="AF826" s="184"/>
      <c r="AG826" s="184"/>
      <c r="AH826" s="184"/>
      <c r="AI826" s="184"/>
      <c r="AR826" s="186"/>
      <c r="AS826" s="187"/>
      <c r="AT826" s="187"/>
      <c r="AU826" s="187"/>
      <c r="AV826" s="246"/>
      <c r="BB826" s="377"/>
      <c r="BC826" s="377"/>
      <c r="BD826" s="377"/>
    </row>
    <row r="827" spans="1:56" s="163" customFormat="1" ht="16.5" customHeight="1">
      <c r="A827" s="247"/>
      <c r="B827" s="244"/>
      <c r="C827" s="245"/>
      <c r="D827" s="245"/>
      <c r="E827" s="183"/>
      <c r="F827" s="183"/>
      <c r="G827" s="183"/>
      <c r="H827" s="184"/>
      <c r="I827" s="184"/>
      <c r="J827" s="184"/>
      <c r="L827" s="184"/>
      <c r="M827" s="184"/>
      <c r="N827" s="184"/>
      <c r="O827" s="184"/>
      <c r="R827" s="185"/>
      <c r="T827" s="184"/>
      <c r="U827" s="184"/>
      <c r="V827" s="184"/>
      <c r="X827" s="184"/>
      <c r="Y827" s="184"/>
      <c r="Z827" s="184"/>
      <c r="AA827" s="184"/>
      <c r="AC827" s="184"/>
      <c r="AD827" s="184"/>
      <c r="AE827" s="184"/>
      <c r="AF827" s="184"/>
      <c r="AG827" s="184"/>
      <c r="AH827" s="184"/>
      <c r="AI827" s="184"/>
      <c r="AR827" s="186"/>
      <c r="AS827" s="187"/>
      <c r="AT827" s="187"/>
      <c r="AU827" s="187"/>
      <c r="AV827" s="246"/>
      <c r="BB827" s="377"/>
      <c r="BC827" s="377"/>
      <c r="BD827" s="377"/>
    </row>
    <row r="828" spans="1:56" s="163" customFormat="1" ht="16.5" customHeight="1">
      <c r="A828" s="247"/>
      <c r="B828" s="244"/>
      <c r="C828" s="245"/>
      <c r="D828" s="245"/>
      <c r="E828" s="183"/>
      <c r="F828" s="183"/>
      <c r="G828" s="183"/>
      <c r="H828" s="184"/>
      <c r="I828" s="184"/>
      <c r="J828" s="184"/>
      <c r="L828" s="184"/>
      <c r="M828" s="184"/>
      <c r="N828" s="184"/>
      <c r="O828" s="184"/>
      <c r="R828" s="185"/>
      <c r="T828" s="184"/>
      <c r="U828" s="184"/>
      <c r="V828" s="184"/>
      <c r="X828" s="184"/>
      <c r="Y828" s="184"/>
      <c r="Z828" s="184"/>
      <c r="AA828" s="184"/>
      <c r="AC828" s="184"/>
      <c r="AD828" s="184"/>
      <c r="AE828" s="184"/>
      <c r="AF828" s="184"/>
      <c r="AG828" s="184"/>
      <c r="AH828" s="184"/>
      <c r="AI828" s="184"/>
      <c r="AR828" s="186"/>
      <c r="AS828" s="187"/>
      <c r="AT828" s="187"/>
      <c r="AU828" s="187"/>
      <c r="AV828" s="246"/>
      <c r="BB828" s="377"/>
      <c r="BC828" s="377"/>
      <c r="BD828" s="377"/>
    </row>
    <row r="829" spans="1:56" s="163" customFormat="1" ht="16.5" customHeight="1">
      <c r="A829" s="247"/>
      <c r="B829" s="244"/>
      <c r="C829" s="245"/>
      <c r="D829" s="245"/>
      <c r="E829" s="183"/>
      <c r="F829" s="183"/>
      <c r="G829" s="183"/>
      <c r="H829" s="184"/>
      <c r="I829" s="184"/>
      <c r="J829" s="184"/>
      <c r="L829" s="184"/>
      <c r="M829" s="184"/>
      <c r="N829" s="184"/>
      <c r="O829" s="184"/>
      <c r="R829" s="185"/>
      <c r="T829" s="184"/>
      <c r="U829" s="184"/>
      <c r="V829" s="184"/>
      <c r="X829" s="184"/>
      <c r="Y829" s="184"/>
      <c r="Z829" s="184"/>
      <c r="AA829" s="184"/>
      <c r="AC829" s="184"/>
      <c r="AD829" s="184"/>
      <c r="AE829" s="184"/>
      <c r="AF829" s="184"/>
      <c r="AG829" s="184"/>
      <c r="AH829" s="184"/>
      <c r="AI829" s="184"/>
      <c r="AR829" s="186"/>
      <c r="AS829" s="187"/>
      <c r="AT829" s="187"/>
      <c r="AU829" s="187"/>
      <c r="AV829" s="246"/>
      <c r="BB829" s="377"/>
      <c r="BC829" s="377"/>
      <c r="BD829" s="377"/>
    </row>
    <row r="830" spans="1:56" s="163" customFormat="1" ht="16.5" customHeight="1">
      <c r="A830" s="247"/>
      <c r="B830" s="244"/>
      <c r="C830" s="245"/>
      <c r="D830" s="245"/>
      <c r="E830" s="183"/>
      <c r="F830" s="183"/>
      <c r="G830" s="183"/>
      <c r="H830" s="184"/>
      <c r="I830" s="184"/>
      <c r="J830" s="184"/>
      <c r="L830" s="184"/>
      <c r="M830" s="184"/>
      <c r="N830" s="184"/>
      <c r="O830" s="184"/>
      <c r="R830" s="185"/>
      <c r="T830" s="184"/>
      <c r="U830" s="184"/>
      <c r="V830" s="184"/>
      <c r="X830" s="184"/>
      <c r="Y830" s="184"/>
      <c r="Z830" s="184"/>
      <c r="AA830" s="184"/>
      <c r="AC830" s="184"/>
      <c r="AD830" s="184"/>
      <c r="AE830" s="184"/>
      <c r="AF830" s="184"/>
      <c r="AG830" s="184"/>
      <c r="AH830" s="184"/>
      <c r="AI830" s="184"/>
      <c r="AR830" s="186"/>
      <c r="AS830" s="187"/>
      <c r="AT830" s="187"/>
      <c r="AU830" s="187"/>
      <c r="AV830" s="246"/>
      <c r="BB830" s="377"/>
      <c r="BC830" s="377"/>
      <c r="BD830" s="377"/>
    </row>
    <row r="831" spans="1:56" s="163" customFormat="1" ht="16.5" customHeight="1">
      <c r="A831" s="247"/>
      <c r="B831" s="244"/>
      <c r="C831" s="245"/>
      <c r="D831" s="245"/>
      <c r="E831" s="183"/>
      <c r="F831" s="183"/>
      <c r="G831" s="183"/>
      <c r="H831" s="184"/>
      <c r="I831" s="184"/>
      <c r="J831" s="184"/>
      <c r="L831" s="184"/>
      <c r="M831" s="184"/>
      <c r="N831" s="184"/>
      <c r="O831" s="184"/>
      <c r="R831" s="185"/>
      <c r="T831" s="184"/>
      <c r="U831" s="184"/>
      <c r="V831" s="184"/>
      <c r="X831" s="184"/>
      <c r="Y831" s="184"/>
      <c r="Z831" s="184"/>
      <c r="AA831" s="184"/>
      <c r="AC831" s="184"/>
      <c r="AD831" s="184"/>
      <c r="AE831" s="184"/>
      <c r="AF831" s="184"/>
      <c r="AG831" s="184"/>
      <c r="AH831" s="184"/>
      <c r="AI831" s="184"/>
      <c r="AR831" s="186"/>
      <c r="AS831" s="187"/>
      <c r="AT831" s="187"/>
      <c r="AU831" s="187"/>
      <c r="AV831" s="246"/>
      <c r="BB831" s="377"/>
      <c r="BC831" s="377"/>
      <c r="BD831" s="377"/>
    </row>
    <row r="832" spans="1:56" s="163" customFormat="1" ht="16.5" customHeight="1">
      <c r="A832" s="247"/>
      <c r="B832" s="244"/>
      <c r="C832" s="245"/>
      <c r="D832" s="245"/>
      <c r="E832" s="183"/>
      <c r="F832" s="183"/>
      <c r="G832" s="183"/>
      <c r="H832" s="184"/>
      <c r="I832" s="184"/>
      <c r="J832" s="184"/>
      <c r="L832" s="184"/>
      <c r="M832" s="184"/>
      <c r="N832" s="184"/>
      <c r="O832" s="184"/>
      <c r="R832" s="185"/>
      <c r="T832" s="184"/>
      <c r="U832" s="184"/>
      <c r="V832" s="184"/>
      <c r="X832" s="184"/>
      <c r="Y832" s="184"/>
      <c r="Z832" s="184"/>
      <c r="AA832" s="184"/>
      <c r="AC832" s="184"/>
      <c r="AD832" s="184"/>
      <c r="AE832" s="184"/>
      <c r="AF832" s="184"/>
      <c r="AG832" s="184"/>
      <c r="AH832" s="184"/>
      <c r="AI832" s="184"/>
      <c r="AR832" s="186"/>
      <c r="AS832" s="187"/>
      <c r="AT832" s="187"/>
      <c r="AU832" s="187"/>
      <c r="AV832" s="246"/>
      <c r="BB832" s="377"/>
      <c r="BC832" s="377"/>
      <c r="BD832" s="377"/>
    </row>
    <row r="833" spans="1:56" s="163" customFormat="1" ht="16.5" customHeight="1">
      <c r="A833" s="247"/>
      <c r="B833" s="244"/>
      <c r="C833" s="245"/>
      <c r="D833" s="245"/>
      <c r="E833" s="183"/>
      <c r="F833" s="183"/>
      <c r="G833" s="183"/>
      <c r="H833" s="184"/>
      <c r="I833" s="184"/>
      <c r="J833" s="184"/>
      <c r="L833" s="184"/>
      <c r="M833" s="184"/>
      <c r="N833" s="184"/>
      <c r="O833" s="184"/>
      <c r="R833" s="185"/>
      <c r="T833" s="184"/>
      <c r="U833" s="184"/>
      <c r="V833" s="184"/>
      <c r="X833" s="184"/>
      <c r="Y833" s="184"/>
      <c r="Z833" s="184"/>
      <c r="AA833" s="184"/>
      <c r="AC833" s="184"/>
      <c r="AD833" s="184"/>
      <c r="AE833" s="184"/>
      <c r="AF833" s="184"/>
      <c r="AG833" s="184"/>
      <c r="AH833" s="184"/>
      <c r="AI833" s="184"/>
      <c r="AR833" s="186"/>
      <c r="AS833" s="187"/>
      <c r="AT833" s="187"/>
      <c r="AU833" s="187"/>
      <c r="AV833" s="246"/>
      <c r="BB833" s="377"/>
      <c r="BC833" s="377"/>
      <c r="BD833" s="377"/>
    </row>
    <row r="834" spans="1:56" s="163" customFormat="1" ht="16.5" customHeight="1">
      <c r="A834" s="247"/>
      <c r="B834" s="244"/>
      <c r="C834" s="245"/>
      <c r="D834" s="245"/>
      <c r="E834" s="183"/>
      <c r="F834" s="183"/>
      <c r="G834" s="183"/>
      <c r="H834" s="184"/>
      <c r="I834" s="184"/>
      <c r="J834" s="184"/>
      <c r="L834" s="184"/>
      <c r="M834" s="184"/>
      <c r="N834" s="184"/>
      <c r="O834" s="184"/>
      <c r="R834" s="185"/>
      <c r="T834" s="184"/>
      <c r="U834" s="184"/>
      <c r="V834" s="184"/>
      <c r="X834" s="184"/>
      <c r="Y834" s="184"/>
      <c r="Z834" s="184"/>
      <c r="AA834" s="184"/>
      <c r="AC834" s="184"/>
      <c r="AD834" s="184"/>
      <c r="AE834" s="184"/>
      <c r="AF834" s="184"/>
      <c r="AG834" s="184"/>
      <c r="AH834" s="184"/>
      <c r="AI834" s="184"/>
      <c r="AR834" s="186"/>
      <c r="AS834" s="187"/>
      <c r="AT834" s="187"/>
      <c r="AU834" s="187"/>
      <c r="AV834" s="246"/>
      <c r="BB834" s="377"/>
      <c r="BC834" s="377"/>
      <c r="BD834" s="377"/>
    </row>
    <row r="835" spans="1:56" s="163" customFormat="1" ht="16.5" customHeight="1">
      <c r="A835" s="247"/>
      <c r="B835" s="244"/>
      <c r="C835" s="245"/>
      <c r="D835" s="245"/>
      <c r="E835" s="183"/>
      <c r="F835" s="183"/>
      <c r="G835" s="183"/>
      <c r="H835" s="184"/>
      <c r="I835" s="184"/>
      <c r="J835" s="184"/>
      <c r="L835" s="184"/>
      <c r="M835" s="184"/>
      <c r="N835" s="184"/>
      <c r="O835" s="184"/>
      <c r="R835" s="185"/>
      <c r="T835" s="184"/>
      <c r="U835" s="184"/>
      <c r="V835" s="184"/>
      <c r="X835" s="184"/>
      <c r="Y835" s="184"/>
      <c r="Z835" s="184"/>
      <c r="AA835" s="184"/>
      <c r="AC835" s="184"/>
      <c r="AD835" s="184"/>
      <c r="AE835" s="184"/>
      <c r="AF835" s="184"/>
      <c r="AG835" s="184"/>
      <c r="AH835" s="184"/>
      <c r="AI835" s="184"/>
      <c r="AR835" s="186"/>
      <c r="AS835" s="187"/>
      <c r="AT835" s="187"/>
      <c r="AU835" s="187"/>
      <c r="AV835" s="246"/>
      <c r="BB835" s="377"/>
      <c r="BC835" s="377"/>
      <c r="BD835" s="377"/>
    </row>
    <row r="836" spans="1:56" s="163" customFormat="1" ht="16.5" customHeight="1">
      <c r="A836" s="247"/>
      <c r="B836" s="244"/>
      <c r="C836" s="245"/>
      <c r="D836" s="245"/>
      <c r="E836" s="183"/>
      <c r="F836" s="183"/>
      <c r="G836" s="183"/>
      <c r="H836" s="184"/>
      <c r="I836" s="184"/>
      <c r="J836" s="184"/>
      <c r="L836" s="184"/>
      <c r="M836" s="184"/>
      <c r="N836" s="184"/>
      <c r="O836" s="184"/>
      <c r="R836" s="185"/>
      <c r="T836" s="184"/>
      <c r="U836" s="184"/>
      <c r="V836" s="184"/>
      <c r="X836" s="184"/>
      <c r="Y836" s="184"/>
      <c r="Z836" s="184"/>
      <c r="AA836" s="184"/>
      <c r="AC836" s="184"/>
      <c r="AD836" s="184"/>
      <c r="AE836" s="184"/>
      <c r="AF836" s="184"/>
      <c r="AG836" s="184"/>
      <c r="AH836" s="184"/>
      <c r="AI836" s="184"/>
      <c r="AR836" s="186"/>
      <c r="AS836" s="187"/>
      <c r="AT836" s="187"/>
      <c r="AU836" s="187"/>
      <c r="AV836" s="246"/>
      <c r="BB836" s="377"/>
      <c r="BC836" s="377"/>
      <c r="BD836" s="377"/>
    </row>
    <row r="837" spans="1:56" s="163" customFormat="1" ht="16.5" customHeight="1">
      <c r="A837" s="247"/>
      <c r="B837" s="244"/>
      <c r="C837" s="245"/>
      <c r="D837" s="245"/>
      <c r="E837" s="183"/>
      <c r="F837" s="183"/>
      <c r="G837" s="183"/>
      <c r="H837" s="184"/>
      <c r="I837" s="184"/>
      <c r="J837" s="184"/>
      <c r="L837" s="184"/>
      <c r="M837" s="184"/>
      <c r="N837" s="184"/>
      <c r="O837" s="184"/>
      <c r="R837" s="185"/>
      <c r="T837" s="184"/>
      <c r="U837" s="184"/>
      <c r="V837" s="184"/>
      <c r="X837" s="184"/>
      <c r="Y837" s="184"/>
      <c r="Z837" s="184"/>
      <c r="AA837" s="184"/>
      <c r="AC837" s="184"/>
      <c r="AD837" s="184"/>
      <c r="AE837" s="184"/>
      <c r="AF837" s="184"/>
      <c r="AG837" s="184"/>
      <c r="AH837" s="184"/>
      <c r="AI837" s="184"/>
      <c r="AR837" s="186"/>
      <c r="AS837" s="187"/>
      <c r="AT837" s="187"/>
      <c r="AU837" s="187"/>
      <c r="AV837" s="246"/>
      <c r="BB837" s="377"/>
      <c r="BC837" s="377"/>
      <c r="BD837" s="377"/>
    </row>
    <row r="838" spans="1:56" s="163" customFormat="1" ht="16.5" customHeight="1">
      <c r="A838" s="247"/>
      <c r="B838" s="244"/>
      <c r="C838" s="245"/>
      <c r="D838" s="245"/>
      <c r="E838" s="183"/>
      <c r="F838" s="183"/>
      <c r="G838" s="183"/>
      <c r="H838" s="184"/>
      <c r="I838" s="184"/>
      <c r="J838" s="184"/>
      <c r="L838" s="184"/>
      <c r="M838" s="184"/>
      <c r="N838" s="184"/>
      <c r="O838" s="184"/>
      <c r="R838" s="185"/>
      <c r="T838" s="184"/>
      <c r="U838" s="184"/>
      <c r="V838" s="184"/>
      <c r="X838" s="184"/>
      <c r="Y838" s="184"/>
      <c r="Z838" s="184"/>
      <c r="AA838" s="184"/>
      <c r="AC838" s="184"/>
      <c r="AD838" s="184"/>
      <c r="AE838" s="184"/>
      <c r="AF838" s="184"/>
      <c r="AG838" s="184"/>
      <c r="AH838" s="184"/>
      <c r="AI838" s="184"/>
      <c r="AR838" s="186"/>
      <c r="AS838" s="187"/>
      <c r="AT838" s="187"/>
      <c r="AU838" s="187"/>
      <c r="AV838" s="246"/>
      <c r="BB838" s="377"/>
      <c r="BC838" s="377"/>
      <c r="BD838" s="377"/>
    </row>
    <row r="839" spans="1:56" s="163" customFormat="1" ht="16.5" customHeight="1">
      <c r="A839" s="247"/>
      <c r="B839" s="244"/>
      <c r="C839" s="245"/>
      <c r="D839" s="245"/>
      <c r="E839" s="183"/>
      <c r="F839" s="183"/>
      <c r="G839" s="183"/>
      <c r="H839" s="184"/>
      <c r="I839" s="184"/>
      <c r="J839" s="184"/>
      <c r="L839" s="184"/>
      <c r="M839" s="184"/>
      <c r="N839" s="184"/>
      <c r="O839" s="184"/>
      <c r="R839" s="185"/>
      <c r="T839" s="184"/>
      <c r="U839" s="184"/>
      <c r="V839" s="184"/>
      <c r="X839" s="184"/>
      <c r="Y839" s="184"/>
      <c r="Z839" s="184"/>
      <c r="AA839" s="184"/>
      <c r="AC839" s="184"/>
      <c r="AD839" s="184"/>
      <c r="AE839" s="184"/>
      <c r="AF839" s="184"/>
      <c r="AG839" s="184"/>
      <c r="AH839" s="184"/>
      <c r="AI839" s="184"/>
      <c r="AR839" s="186"/>
      <c r="AS839" s="187"/>
      <c r="AT839" s="187"/>
      <c r="AU839" s="187"/>
      <c r="AV839" s="246"/>
      <c r="BB839" s="377"/>
      <c r="BC839" s="377"/>
      <c r="BD839" s="377"/>
    </row>
    <row r="840" spans="1:56" s="163" customFormat="1" ht="16.5" customHeight="1">
      <c r="A840" s="247"/>
      <c r="B840" s="244"/>
      <c r="C840" s="245"/>
      <c r="D840" s="245"/>
      <c r="E840" s="183"/>
      <c r="F840" s="183"/>
      <c r="G840" s="183"/>
      <c r="H840" s="184"/>
      <c r="I840" s="184"/>
      <c r="J840" s="184"/>
      <c r="L840" s="184"/>
      <c r="M840" s="184"/>
      <c r="N840" s="184"/>
      <c r="O840" s="184"/>
      <c r="R840" s="185"/>
      <c r="T840" s="184"/>
      <c r="U840" s="184"/>
      <c r="V840" s="184"/>
      <c r="X840" s="184"/>
      <c r="Y840" s="184"/>
      <c r="Z840" s="184"/>
      <c r="AA840" s="184"/>
      <c r="AC840" s="184"/>
      <c r="AD840" s="184"/>
      <c r="AE840" s="184"/>
      <c r="AF840" s="184"/>
      <c r="AG840" s="184"/>
      <c r="AH840" s="184"/>
      <c r="AI840" s="184"/>
      <c r="AR840" s="186"/>
      <c r="AS840" s="187"/>
      <c r="AT840" s="187"/>
      <c r="AU840" s="187"/>
      <c r="AV840" s="246"/>
      <c r="BB840" s="377"/>
      <c r="BC840" s="377"/>
      <c r="BD840" s="377"/>
    </row>
    <row r="841" spans="1:56" s="163" customFormat="1" ht="16.5" customHeight="1">
      <c r="A841" s="247"/>
      <c r="B841" s="244"/>
      <c r="C841" s="245"/>
      <c r="D841" s="245"/>
      <c r="E841" s="183"/>
      <c r="F841" s="183"/>
      <c r="G841" s="183"/>
      <c r="H841" s="184"/>
      <c r="I841" s="184"/>
      <c r="J841" s="184"/>
      <c r="L841" s="184"/>
      <c r="M841" s="184"/>
      <c r="N841" s="184"/>
      <c r="O841" s="184"/>
      <c r="R841" s="185"/>
      <c r="T841" s="184"/>
      <c r="U841" s="184"/>
      <c r="V841" s="184"/>
      <c r="X841" s="184"/>
      <c r="Y841" s="184"/>
      <c r="Z841" s="184"/>
      <c r="AA841" s="184"/>
      <c r="AC841" s="184"/>
      <c r="AD841" s="184"/>
      <c r="AE841" s="184"/>
      <c r="AF841" s="184"/>
      <c r="AG841" s="184"/>
      <c r="AH841" s="184"/>
      <c r="AI841" s="184"/>
      <c r="AR841" s="186"/>
      <c r="AS841" s="187"/>
      <c r="AT841" s="187"/>
      <c r="AU841" s="187"/>
      <c r="AV841" s="246"/>
      <c r="BB841" s="377"/>
      <c r="BC841" s="377"/>
      <c r="BD841" s="377"/>
    </row>
    <row r="842" spans="1:56" s="163" customFormat="1" ht="16.5" customHeight="1">
      <c r="A842" s="247"/>
      <c r="B842" s="244"/>
      <c r="C842" s="245"/>
      <c r="D842" s="245"/>
      <c r="E842" s="183"/>
      <c r="F842" s="183"/>
      <c r="G842" s="183"/>
      <c r="H842" s="184"/>
      <c r="I842" s="184"/>
      <c r="J842" s="184"/>
      <c r="L842" s="184"/>
      <c r="M842" s="184"/>
      <c r="N842" s="184"/>
      <c r="O842" s="184"/>
      <c r="R842" s="185"/>
      <c r="T842" s="184"/>
      <c r="U842" s="184"/>
      <c r="V842" s="184"/>
      <c r="X842" s="184"/>
      <c r="Y842" s="184"/>
      <c r="Z842" s="184"/>
      <c r="AA842" s="184"/>
      <c r="AC842" s="184"/>
      <c r="AD842" s="184"/>
      <c r="AE842" s="184"/>
      <c r="AF842" s="184"/>
      <c r="AG842" s="184"/>
      <c r="AH842" s="184"/>
      <c r="AI842" s="184"/>
      <c r="AR842" s="186"/>
      <c r="AS842" s="187"/>
      <c r="AT842" s="187"/>
      <c r="AU842" s="187"/>
      <c r="AV842" s="246"/>
      <c r="BB842" s="377"/>
      <c r="BC842" s="377"/>
      <c r="BD842" s="377"/>
    </row>
    <row r="843" spans="1:56" s="163" customFormat="1" ht="16.5" customHeight="1">
      <c r="A843" s="247"/>
      <c r="B843" s="244"/>
      <c r="C843" s="245"/>
      <c r="D843" s="245"/>
      <c r="E843" s="183"/>
      <c r="F843" s="183"/>
      <c r="G843" s="183"/>
      <c r="H843" s="184"/>
      <c r="I843" s="184"/>
      <c r="J843" s="184"/>
      <c r="L843" s="184"/>
      <c r="M843" s="184"/>
      <c r="N843" s="184"/>
      <c r="O843" s="184"/>
      <c r="R843" s="185"/>
      <c r="T843" s="184"/>
      <c r="U843" s="184"/>
      <c r="V843" s="184"/>
      <c r="X843" s="184"/>
      <c r="Y843" s="184"/>
      <c r="Z843" s="184"/>
      <c r="AA843" s="184"/>
      <c r="AC843" s="184"/>
      <c r="AD843" s="184"/>
      <c r="AE843" s="184"/>
      <c r="AF843" s="184"/>
      <c r="AG843" s="184"/>
      <c r="AH843" s="184"/>
      <c r="AI843" s="184"/>
      <c r="AR843" s="186"/>
      <c r="AS843" s="187"/>
      <c r="AT843" s="187"/>
      <c r="AU843" s="187"/>
      <c r="AV843" s="246"/>
      <c r="BB843" s="377"/>
      <c r="BC843" s="377"/>
      <c r="BD843" s="377"/>
    </row>
    <row r="844" spans="1:56" s="163" customFormat="1" ht="16.5" customHeight="1">
      <c r="A844" s="247"/>
      <c r="B844" s="244"/>
      <c r="C844" s="245"/>
      <c r="D844" s="245"/>
      <c r="E844" s="183"/>
      <c r="F844" s="183"/>
      <c r="G844" s="183"/>
      <c r="H844" s="184"/>
      <c r="I844" s="184"/>
      <c r="J844" s="184"/>
      <c r="L844" s="184"/>
      <c r="M844" s="184"/>
      <c r="N844" s="184"/>
      <c r="O844" s="184"/>
      <c r="R844" s="185"/>
      <c r="T844" s="184"/>
      <c r="U844" s="184"/>
      <c r="V844" s="184"/>
      <c r="X844" s="184"/>
      <c r="Y844" s="184"/>
      <c r="Z844" s="184"/>
      <c r="AA844" s="184"/>
      <c r="AC844" s="184"/>
      <c r="AD844" s="184"/>
      <c r="AE844" s="184"/>
      <c r="AF844" s="184"/>
      <c r="AG844" s="184"/>
      <c r="AH844" s="184"/>
      <c r="AI844" s="184"/>
      <c r="AR844" s="186"/>
      <c r="AS844" s="187"/>
      <c r="AT844" s="187"/>
      <c r="AU844" s="187"/>
      <c r="AV844" s="246"/>
      <c r="BB844" s="377"/>
      <c r="BC844" s="377"/>
      <c r="BD844" s="377"/>
    </row>
    <row r="845" spans="1:56" s="163" customFormat="1" ht="16.5" customHeight="1">
      <c r="A845" s="247"/>
      <c r="B845" s="244"/>
      <c r="C845" s="245"/>
      <c r="D845" s="245"/>
      <c r="E845" s="183"/>
      <c r="F845" s="183"/>
      <c r="G845" s="183"/>
      <c r="H845" s="184"/>
      <c r="I845" s="184"/>
      <c r="J845" s="184"/>
      <c r="L845" s="184"/>
      <c r="M845" s="184"/>
      <c r="N845" s="184"/>
      <c r="O845" s="184"/>
      <c r="R845" s="185"/>
      <c r="T845" s="184"/>
      <c r="U845" s="184"/>
      <c r="V845" s="184"/>
      <c r="X845" s="184"/>
      <c r="Y845" s="184"/>
      <c r="Z845" s="184"/>
      <c r="AA845" s="184"/>
      <c r="AC845" s="184"/>
      <c r="AD845" s="184"/>
      <c r="AE845" s="184"/>
      <c r="AF845" s="184"/>
      <c r="AG845" s="184"/>
      <c r="AH845" s="184"/>
      <c r="AI845" s="184"/>
      <c r="AR845" s="186"/>
      <c r="AS845" s="187"/>
      <c r="AT845" s="187"/>
      <c r="AU845" s="187"/>
      <c r="AV845" s="246"/>
      <c r="BB845" s="377"/>
      <c r="BC845" s="377"/>
      <c r="BD845" s="377"/>
    </row>
    <row r="846" spans="1:56" s="163" customFormat="1" ht="16.5" customHeight="1">
      <c r="A846" s="247"/>
      <c r="B846" s="244"/>
      <c r="C846" s="245"/>
      <c r="D846" s="245"/>
      <c r="E846" s="183"/>
      <c r="F846" s="183"/>
      <c r="G846" s="183"/>
      <c r="H846" s="184"/>
      <c r="I846" s="184"/>
      <c r="J846" s="184"/>
      <c r="L846" s="184"/>
      <c r="M846" s="184"/>
      <c r="N846" s="184"/>
      <c r="O846" s="184"/>
      <c r="R846" s="185"/>
      <c r="T846" s="184"/>
      <c r="U846" s="184"/>
      <c r="V846" s="184"/>
      <c r="X846" s="184"/>
      <c r="Y846" s="184"/>
      <c r="Z846" s="184"/>
      <c r="AA846" s="184"/>
      <c r="AC846" s="184"/>
      <c r="AD846" s="184"/>
      <c r="AE846" s="184"/>
      <c r="AF846" s="184"/>
      <c r="AG846" s="184"/>
      <c r="AH846" s="184"/>
      <c r="AI846" s="184"/>
      <c r="AR846" s="186"/>
      <c r="AS846" s="187"/>
      <c r="AT846" s="187"/>
      <c r="AU846" s="187"/>
      <c r="AV846" s="246"/>
      <c r="BB846" s="377"/>
      <c r="BC846" s="377"/>
      <c r="BD846" s="377"/>
    </row>
    <row r="847" spans="1:56" s="163" customFormat="1" ht="16.5" customHeight="1">
      <c r="A847" s="247"/>
      <c r="B847" s="244"/>
      <c r="C847" s="245"/>
      <c r="D847" s="245"/>
      <c r="E847" s="183"/>
      <c r="F847" s="183"/>
      <c r="G847" s="183"/>
      <c r="H847" s="184"/>
      <c r="I847" s="184"/>
      <c r="J847" s="184"/>
      <c r="L847" s="184"/>
      <c r="M847" s="184"/>
      <c r="N847" s="184"/>
      <c r="O847" s="184"/>
      <c r="R847" s="185"/>
      <c r="T847" s="184"/>
      <c r="U847" s="184"/>
      <c r="V847" s="184"/>
      <c r="X847" s="184"/>
      <c r="Y847" s="184"/>
      <c r="Z847" s="184"/>
      <c r="AA847" s="184"/>
      <c r="AC847" s="184"/>
      <c r="AD847" s="184"/>
      <c r="AE847" s="184"/>
      <c r="AF847" s="184"/>
      <c r="AG847" s="184"/>
      <c r="AH847" s="184"/>
      <c r="AI847" s="184"/>
      <c r="AR847" s="186"/>
      <c r="AS847" s="187"/>
      <c r="AT847" s="187"/>
      <c r="AU847" s="187"/>
      <c r="AV847" s="246"/>
      <c r="BB847" s="377"/>
      <c r="BC847" s="377"/>
      <c r="BD847" s="377"/>
    </row>
    <row r="848" spans="1:56" s="163" customFormat="1" ht="16.5" customHeight="1">
      <c r="A848" s="247"/>
      <c r="B848" s="244"/>
      <c r="C848" s="245"/>
      <c r="D848" s="245"/>
      <c r="E848" s="183"/>
      <c r="F848" s="183"/>
      <c r="G848" s="183"/>
      <c r="H848" s="184"/>
      <c r="I848" s="184"/>
      <c r="J848" s="184"/>
      <c r="L848" s="184"/>
      <c r="M848" s="184"/>
      <c r="N848" s="184"/>
      <c r="O848" s="184"/>
      <c r="R848" s="185"/>
      <c r="T848" s="184"/>
      <c r="U848" s="184"/>
      <c r="V848" s="184"/>
      <c r="X848" s="184"/>
      <c r="Y848" s="184"/>
      <c r="Z848" s="184"/>
      <c r="AA848" s="184"/>
      <c r="AC848" s="184"/>
      <c r="AD848" s="184"/>
      <c r="AE848" s="184"/>
      <c r="AF848" s="184"/>
      <c r="AG848" s="184"/>
      <c r="AH848" s="184"/>
      <c r="AI848" s="184"/>
      <c r="AR848" s="186"/>
      <c r="AS848" s="187"/>
      <c r="AT848" s="187"/>
      <c r="AU848" s="187"/>
      <c r="AV848" s="246"/>
      <c r="BB848" s="377"/>
      <c r="BC848" s="377"/>
      <c r="BD848" s="377"/>
    </row>
    <row r="849" spans="1:56" s="163" customFormat="1" ht="16.5" customHeight="1">
      <c r="A849" s="247"/>
      <c r="B849" s="244"/>
      <c r="C849" s="245"/>
      <c r="D849" s="245"/>
      <c r="E849" s="183"/>
      <c r="F849" s="183"/>
      <c r="G849" s="183"/>
      <c r="H849" s="184"/>
      <c r="I849" s="184"/>
      <c r="J849" s="184"/>
      <c r="L849" s="184"/>
      <c r="M849" s="184"/>
      <c r="N849" s="184"/>
      <c r="O849" s="184"/>
      <c r="R849" s="185"/>
      <c r="T849" s="184"/>
      <c r="U849" s="184"/>
      <c r="V849" s="184"/>
      <c r="X849" s="184"/>
      <c r="Y849" s="184"/>
      <c r="Z849" s="184"/>
      <c r="AA849" s="184"/>
      <c r="AC849" s="184"/>
      <c r="AD849" s="184"/>
      <c r="AE849" s="184"/>
      <c r="AF849" s="184"/>
      <c r="AG849" s="184"/>
      <c r="AH849" s="184"/>
      <c r="AI849" s="184"/>
      <c r="AR849" s="186"/>
      <c r="AS849" s="187"/>
      <c r="AT849" s="187"/>
      <c r="AU849" s="187"/>
      <c r="AV849" s="246"/>
      <c r="BB849" s="377"/>
      <c r="BC849" s="377"/>
      <c r="BD849" s="377"/>
    </row>
    <row r="850" spans="1:56" s="163" customFormat="1" ht="16.5" customHeight="1">
      <c r="A850" s="247"/>
      <c r="B850" s="244"/>
      <c r="C850" s="245"/>
      <c r="D850" s="245"/>
      <c r="E850" s="183"/>
      <c r="F850" s="183"/>
      <c r="G850" s="183"/>
      <c r="H850" s="184"/>
      <c r="I850" s="184"/>
      <c r="J850" s="184"/>
      <c r="L850" s="184"/>
      <c r="M850" s="184"/>
      <c r="N850" s="184"/>
      <c r="O850" s="184"/>
      <c r="R850" s="185"/>
      <c r="T850" s="184"/>
      <c r="U850" s="184"/>
      <c r="V850" s="184"/>
      <c r="X850" s="184"/>
      <c r="Y850" s="184"/>
      <c r="Z850" s="184"/>
      <c r="AA850" s="184"/>
      <c r="AC850" s="184"/>
      <c r="AD850" s="184"/>
      <c r="AE850" s="184"/>
      <c r="AF850" s="184"/>
      <c r="AG850" s="184"/>
      <c r="AH850" s="184"/>
      <c r="AI850" s="184"/>
      <c r="AR850" s="186"/>
      <c r="AS850" s="187"/>
      <c r="AT850" s="187"/>
      <c r="AU850" s="187"/>
      <c r="AV850" s="246"/>
      <c r="BB850" s="377"/>
      <c r="BC850" s="377"/>
      <c r="BD850" s="377"/>
    </row>
    <row r="851" spans="1:56" s="163" customFormat="1" ht="16.5" customHeight="1">
      <c r="A851" s="247"/>
      <c r="B851" s="244"/>
      <c r="C851" s="245"/>
      <c r="D851" s="245"/>
      <c r="E851" s="183"/>
      <c r="F851" s="183"/>
      <c r="G851" s="183"/>
      <c r="H851" s="184"/>
      <c r="I851" s="184"/>
      <c r="J851" s="184"/>
      <c r="L851" s="184"/>
      <c r="M851" s="184"/>
      <c r="N851" s="184"/>
      <c r="O851" s="184"/>
      <c r="R851" s="185"/>
      <c r="T851" s="184"/>
      <c r="U851" s="184"/>
      <c r="V851" s="184"/>
      <c r="X851" s="184"/>
      <c r="Y851" s="184"/>
      <c r="Z851" s="184"/>
      <c r="AA851" s="184"/>
      <c r="AC851" s="184"/>
      <c r="AD851" s="184"/>
      <c r="AE851" s="184"/>
      <c r="AF851" s="184"/>
      <c r="AG851" s="184"/>
      <c r="AH851" s="184"/>
      <c r="AI851" s="184"/>
      <c r="AR851" s="186"/>
      <c r="AS851" s="187"/>
      <c r="AT851" s="187"/>
      <c r="AU851" s="187"/>
      <c r="AV851" s="246"/>
      <c r="BB851" s="377"/>
      <c r="BC851" s="377"/>
      <c r="BD851" s="377"/>
    </row>
    <row r="852" spans="1:56" s="163" customFormat="1" ht="16.5" customHeight="1">
      <c r="A852" s="247"/>
      <c r="B852" s="244"/>
      <c r="C852" s="245"/>
      <c r="D852" s="245"/>
      <c r="E852" s="183"/>
      <c r="F852" s="183"/>
      <c r="G852" s="183"/>
      <c r="H852" s="184"/>
      <c r="I852" s="184"/>
      <c r="J852" s="184"/>
      <c r="L852" s="184"/>
      <c r="M852" s="184"/>
      <c r="N852" s="184"/>
      <c r="O852" s="184"/>
      <c r="R852" s="185"/>
      <c r="T852" s="184"/>
      <c r="U852" s="184"/>
      <c r="V852" s="184"/>
      <c r="X852" s="184"/>
      <c r="Y852" s="184"/>
      <c r="Z852" s="184"/>
      <c r="AA852" s="184"/>
      <c r="AC852" s="184"/>
      <c r="AD852" s="184"/>
      <c r="AE852" s="184"/>
      <c r="AF852" s="184"/>
      <c r="AG852" s="184"/>
      <c r="AH852" s="184"/>
      <c r="AI852" s="184"/>
      <c r="AR852" s="186"/>
      <c r="AS852" s="187"/>
      <c r="AT852" s="187"/>
      <c r="AU852" s="187"/>
      <c r="AV852" s="246"/>
      <c r="BB852" s="377"/>
      <c r="BC852" s="377"/>
      <c r="BD852" s="377"/>
    </row>
    <row r="853" spans="1:56" s="163" customFormat="1" ht="16.5" customHeight="1">
      <c r="A853" s="247"/>
      <c r="B853" s="244"/>
      <c r="C853" s="245"/>
      <c r="D853" s="245"/>
      <c r="E853" s="183"/>
      <c r="F853" s="183"/>
      <c r="G853" s="183"/>
      <c r="H853" s="184"/>
      <c r="I853" s="184"/>
      <c r="J853" s="184"/>
      <c r="L853" s="184"/>
      <c r="M853" s="184"/>
      <c r="N853" s="184"/>
      <c r="O853" s="184"/>
      <c r="R853" s="185"/>
      <c r="T853" s="184"/>
      <c r="U853" s="184"/>
      <c r="V853" s="184"/>
      <c r="X853" s="184"/>
      <c r="Y853" s="184"/>
      <c r="Z853" s="184"/>
      <c r="AA853" s="184"/>
      <c r="AC853" s="184"/>
      <c r="AD853" s="184"/>
      <c r="AE853" s="184"/>
      <c r="AF853" s="184"/>
      <c r="AG853" s="184"/>
      <c r="AH853" s="184"/>
      <c r="AI853" s="184"/>
      <c r="AR853" s="186"/>
      <c r="AS853" s="187"/>
      <c r="AT853" s="187"/>
      <c r="AU853" s="187"/>
      <c r="AV853" s="246"/>
      <c r="BB853" s="377"/>
      <c r="BC853" s="377"/>
      <c r="BD853" s="377"/>
    </row>
    <row r="854" spans="1:56" s="163" customFormat="1" ht="16.5" customHeight="1">
      <c r="A854" s="247"/>
      <c r="B854" s="244"/>
      <c r="C854" s="245"/>
      <c r="D854" s="245"/>
      <c r="E854" s="183"/>
      <c r="F854" s="183"/>
      <c r="G854" s="183"/>
      <c r="H854" s="184"/>
      <c r="I854" s="184"/>
      <c r="J854" s="184"/>
      <c r="L854" s="184"/>
      <c r="M854" s="184"/>
      <c r="N854" s="184"/>
      <c r="O854" s="184"/>
      <c r="R854" s="185"/>
      <c r="T854" s="184"/>
      <c r="U854" s="184"/>
      <c r="V854" s="184"/>
      <c r="X854" s="184"/>
      <c r="Y854" s="184"/>
      <c r="Z854" s="184"/>
      <c r="AA854" s="184"/>
      <c r="AC854" s="184"/>
      <c r="AD854" s="184"/>
      <c r="AE854" s="184"/>
      <c r="AF854" s="184"/>
      <c r="AG854" s="184"/>
      <c r="AH854" s="184"/>
      <c r="AI854" s="184"/>
      <c r="AR854" s="186"/>
      <c r="AS854" s="187"/>
      <c r="AT854" s="187"/>
      <c r="AU854" s="187"/>
      <c r="AV854" s="246"/>
      <c r="BB854" s="377"/>
      <c r="BC854" s="377"/>
      <c r="BD854" s="377"/>
    </row>
    <row r="855" spans="1:56" s="163" customFormat="1" ht="16.5" customHeight="1">
      <c r="A855" s="247"/>
      <c r="B855" s="244"/>
      <c r="C855" s="245"/>
      <c r="D855" s="245"/>
      <c r="E855" s="183"/>
      <c r="F855" s="183"/>
      <c r="G855" s="183"/>
      <c r="H855" s="184"/>
      <c r="I855" s="184"/>
      <c r="J855" s="184"/>
      <c r="L855" s="184"/>
      <c r="M855" s="184"/>
      <c r="N855" s="184"/>
      <c r="O855" s="184"/>
      <c r="R855" s="185"/>
      <c r="T855" s="184"/>
      <c r="U855" s="184"/>
      <c r="V855" s="184"/>
      <c r="X855" s="184"/>
      <c r="Y855" s="184"/>
      <c r="Z855" s="184"/>
      <c r="AA855" s="184"/>
      <c r="AC855" s="184"/>
      <c r="AD855" s="184"/>
      <c r="AE855" s="184"/>
      <c r="AF855" s="184"/>
      <c r="AG855" s="184"/>
      <c r="AH855" s="184"/>
      <c r="AI855" s="184"/>
      <c r="AR855" s="186"/>
      <c r="AS855" s="187"/>
      <c r="AT855" s="187"/>
      <c r="AU855" s="187"/>
      <c r="AV855" s="246"/>
      <c r="BB855" s="377"/>
      <c r="BC855" s="377"/>
      <c r="BD855" s="377"/>
    </row>
    <row r="856" spans="1:56" s="163" customFormat="1" ht="16.5" customHeight="1">
      <c r="A856" s="247"/>
      <c r="B856" s="244"/>
      <c r="C856" s="245"/>
      <c r="D856" s="245"/>
      <c r="E856" s="183"/>
      <c r="F856" s="183"/>
      <c r="G856" s="183"/>
      <c r="H856" s="184"/>
      <c r="I856" s="184"/>
      <c r="J856" s="184"/>
      <c r="L856" s="184"/>
      <c r="M856" s="184"/>
      <c r="N856" s="184"/>
      <c r="O856" s="184"/>
      <c r="R856" s="185"/>
      <c r="T856" s="184"/>
      <c r="U856" s="184"/>
      <c r="V856" s="184"/>
      <c r="X856" s="184"/>
      <c r="Y856" s="184"/>
      <c r="Z856" s="184"/>
      <c r="AA856" s="184"/>
      <c r="AC856" s="184"/>
      <c r="AD856" s="184"/>
      <c r="AE856" s="184"/>
      <c r="AF856" s="184"/>
      <c r="AG856" s="184"/>
      <c r="AH856" s="184"/>
      <c r="AI856" s="184"/>
      <c r="AR856" s="186"/>
      <c r="AS856" s="187"/>
      <c r="AT856" s="187"/>
      <c r="AU856" s="187"/>
      <c r="AV856" s="246"/>
      <c r="BB856" s="377"/>
      <c r="BC856" s="377"/>
      <c r="BD856" s="377"/>
    </row>
    <row r="857" spans="1:56" s="163" customFormat="1" ht="16.5" customHeight="1">
      <c r="A857" s="247"/>
      <c r="B857" s="244"/>
      <c r="C857" s="245"/>
      <c r="D857" s="245"/>
      <c r="E857" s="183"/>
      <c r="F857" s="183"/>
      <c r="G857" s="183"/>
      <c r="H857" s="184"/>
      <c r="I857" s="184"/>
      <c r="J857" s="184"/>
      <c r="L857" s="184"/>
      <c r="M857" s="184"/>
      <c r="N857" s="184"/>
      <c r="O857" s="184"/>
      <c r="R857" s="185"/>
      <c r="T857" s="184"/>
      <c r="U857" s="184"/>
      <c r="V857" s="184"/>
      <c r="X857" s="184"/>
      <c r="Y857" s="184"/>
      <c r="Z857" s="184"/>
      <c r="AA857" s="184"/>
      <c r="AC857" s="184"/>
      <c r="AD857" s="184"/>
      <c r="AE857" s="184"/>
      <c r="AF857" s="184"/>
      <c r="AG857" s="184"/>
      <c r="AH857" s="184"/>
      <c r="AI857" s="184"/>
      <c r="AR857" s="186"/>
      <c r="AS857" s="187"/>
      <c r="AT857" s="187"/>
      <c r="AU857" s="187"/>
      <c r="AV857" s="246"/>
      <c r="BB857" s="377"/>
      <c r="BC857" s="377"/>
      <c r="BD857" s="377"/>
    </row>
    <row r="858" spans="1:56" s="163" customFormat="1" ht="16.5" customHeight="1">
      <c r="A858" s="247"/>
      <c r="B858" s="244"/>
      <c r="C858" s="245"/>
      <c r="D858" s="245"/>
      <c r="E858" s="183"/>
      <c r="F858" s="183"/>
      <c r="G858" s="183"/>
      <c r="H858" s="184"/>
      <c r="I858" s="184"/>
      <c r="J858" s="184"/>
      <c r="L858" s="184"/>
      <c r="M858" s="184"/>
      <c r="N858" s="184"/>
      <c r="O858" s="184"/>
      <c r="R858" s="185"/>
      <c r="T858" s="184"/>
      <c r="U858" s="184"/>
      <c r="V858" s="184"/>
      <c r="X858" s="184"/>
      <c r="Y858" s="184"/>
      <c r="Z858" s="184"/>
      <c r="AA858" s="184"/>
      <c r="AC858" s="184"/>
      <c r="AD858" s="184"/>
      <c r="AE858" s="184"/>
      <c r="AF858" s="184"/>
      <c r="AG858" s="184"/>
      <c r="AH858" s="184"/>
      <c r="AI858" s="184"/>
      <c r="AR858" s="186"/>
      <c r="AS858" s="187"/>
      <c r="AT858" s="187"/>
      <c r="AU858" s="187"/>
      <c r="AV858" s="246"/>
      <c r="BB858" s="377"/>
      <c r="BC858" s="377"/>
      <c r="BD858" s="377"/>
    </row>
    <row r="859" spans="1:56" s="163" customFormat="1" ht="16.5" customHeight="1">
      <c r="A859" s="247"/>
      <c r="B859" s="244"/>
      <c r="C859" s="245"/>
      <c r="D859" s="245"/>
      <c r="E859" s="183"/>
      <c r="F859" s="183"/>
      <c r="G859" s="183"/>
      <c r="H859" s="184"/>
      <c r="I859" s="184"/>
      <c r="J859" s="184"/>
      <c r="L859" s="184"/>
      <c r="M859" s="184"/>
      <c r="N859" s="184"/>
      <c r="O859" s="184"/>
      <c r="R859" s="185"/>
      <c r="T859" s="184"/>
      <c r="U859" s="184"/>
      <c r="V859" s="184"/>
      <c r="X859" s="184"/>
      <c r="Y859" s="184"/>
      <c r="Z859" s="184"/>
      <c r="AA859" s="184"/>
      <c r="AC859" s="184"/>
      <c r="AD859" s="184"/>
      <c r="AE859" s="184"/>
      <c r="AF859" s="184"/>
      <c r="AG859" s="184"/>
      <c r="AH859" s="184"/>
      <c r="AI859" s="184"/>
      <c r="AR859" s="186"/>
      <c r="AS859" s="187"/>
      <c r="AT859" s="187"/>
      <c r="AU859" s="187"/>
      <c r="AV859" s="246"/>
      <c r="BB859" s="377"/>
      <c r="BC859" s="377"/>
      <c r="BD859" s="377"/>
    </row>
    <row r="860" spans="1:56" s="163" customFormat="1" ht="16.5" customHeight="1">
      <c r="A860" s="247"/>
      <c r="B860" s="244"/>
      <c r="C860" s="245"/>
      <c r="D860" s="245"/>
      <c r="E860" s="183"/>
      <c r="F860" s="183"/>
      <c r="G860" s="183"/>
      <c r="H860" s="184"/>
      <c r="I860" s="184"/>
      <c r="J860" s="184"/>
      <c r="L860" s="184"/>
      <c r="M860" s="184"/>
      <c r="N860" s="184"/>
      <c r="O860" s="184"/>
      <c r="R860" s="185"/>
      <c r="T860" s="184"/>
      <c r="U860" s="184"/>
      <c r="V860" s="184"/>
      <c r="X860" s="184"/>
      <c r="Y860" s="184"/>
      <c r="Z860" s="184"/>
      <c r="AA860" s="184"/>
      <c r="AC860" s="184"/>
      <c r="AD860" s="184"/>
      <c r="AE860" s="184"/>
      <c r="AF860" s="184"/>
      <c r="AG860" s="184"/>
      <c r="AH860" s="184"/>
      <c r="AI860" s="184"/>
      <c r="AR860" s="186"/>
      <c r="AS860" s="187"/>
      <c r="AT860" s="187"/>
      <c r="AU860" s="187"/>
      <c r="AV860" s="246"/>
      <c r="BB860" s="377"/>
      <c r="BC860" s="377"/>
      <c r="BD860" s="377"/>
    </row>
    <row r="861" spans="1:56" s="163" customFormat="1" ht="16.5" customHeight="1">
      <c r="A861" s="247"/>
      <c r="B861" s="244"/>
      <c r="C861" s="245"/>
      <c r="D861" s="245"/>
      <c r="E861" s="183"/>
      <c r="F861" s="183"/>
      <c r="G861" s="183"/>
      <c r="H861" s="184"/>
      <c r="I861" s="184"/>
      <c r="J861" s="184"/>
      <c r="L861" s="184"/>
      <c r="M861" s="184"/>
      <c r="N861" s="184"/>
      <c r="O861" s="184"/>
      <c r="R861" s="185"/>
      <c r="T861" s="184"/>
      <c r="U861" s="184"/>
      <c r="V861" s="184"/>
      <c r="X861" s="184"/>
      <c r="Y861" s="184"/>
      <c r="Z861" s="184"/>
      <c r="AA861" s="184"/>
      <c r="AC861" s="184"/>
      <c r="AD861" s="184"/>
      <c r="AE861" s="184"/>
      <c r="AF861" s="184"/>
      <c r="AG861" s="184"/>
      <c r="AH861" s="184"/>
      <c r="AI861" s="184"/>
      <c r="AR861" s="186"/>
      <c r="AS861" s="187"/>
      <c r="AT861" s="187"/>
      <c r="AU861" s="187"/>
      <c r="AV861" s="246"/>
      <c r="BB861" s="377"/>
      <c r="BC861" s="377"/>
      <c r="BD861" s="377"/>
    </row>
    <row r="862" spans="1:56" s="163" customFormat="1" ht="16.5" customHeight="1">
      <c r="A862" s="247"/>
      <c r="B862" s="244"/>
      <c r="C862" s="245"/>
      <c r="D862" s="245"/>
      <c r="E862" s="183"/>
      <c r="F862" s="183"/>
      <c r="G862" s="183"/>
      <c r="H862" s="184"/>
      <c r="I862" s="184"/>
      <c r="J862" s="184"/>
      <c r="L862" s="184"/>
      <c r="M862" s="184"/>
      <c r="N862" s="184"/>
      <c r="O862" s="184"/>
      <c r="R862" s="185"/>
      <c r="T862" s="184"/>
      <c r="U862" s="184"/>
      <c r="V862" s="184"/>
      <c r="X862" s="184"/>
      <c r="Y862" s="184"/>
      <c r="Z862" s="184"/>
      <c r="AA862" s="184"/>
      <c r="AC862" s="184"/>
      <c r="AD862" s="184"/>
      <c r="AE862" s="184"/>
      <c r="AF862" s="184"/>
      <c r="AG862" s="184"/>
      <c r="AH862" s="184"/>
      <c r="AI862" s="184"/>
      <c r="AR862" s="186"/>
      <c r="AS862" s="187"/>
      <c r="AT862" s="187"/>
      <c r="AU862" s="187"/>
      <c r="AV862" s="246"/>
      <c r="BB862" s="377"/>
      <c r="BC862" s="377"/>
      <c r="BD862" s="377"/>
    </row>
    <row r="863" spans="1:56" s="163" customFormat="1" ht="16.5" customHeight="1">
      <c r="A863" s="247"/>
      <c r="B863" s="244"/>
      <c r="C863" s="245"/>
      <c r="D863" s="245"/>
      <c r="E863" s="183"/>
      <c r="F863" s="183"/>
      <c r="G863" s="183"/>
      <c r="H863" s="184"/>
      <c r="I863" s="184"/>
      <c r="J863" s="184"/>
      <c r="L863" s="184"/>
      <c r="M863" s="184"/>
      <c r="N863" s="184"/>
      <c r="O863" s="184"/>
      <c r="R863" s="185"/>
      <c r="T863" s="184"/>
      <c r="U863" s="184"/>
      <c r="V863" s="184"/>
      <c r="X863" s="184"/>
      <c r="Y863" s="184"/>
      <c r="Z863" s="184"/>
      <c r="AA863" s="184"/>
      <c r="AC863" s="184"/>
      <c r="AD863" s="184"/>
      <c r="AE863" s="184"/>
      <c r="AF863" s="184"/>
      <c r="AG863" s="184"/>
      <c r="AH863" s="184"/>
      <c r="AI863" s="184"/>
      <c r="AR863" s="186"/>
      <c r="AS863" s="187"/>
      <c r="AT863" s="187"/>
      <c r="AU863" s="187"/>
      <c r="AV863" s="246"/>
      <c r="BB863" s="377"/>
      <c r="BC863" s="377"/>
      <c r="BD863" s="377"/>
    </row>
    <row r="864" spans="1:56" s="163" customFormat="1" ht="16.5" customHeight="1">
      <c r="A864" s="247"/>
      <c r="B864" s="244"/>
      <c r="C864" s="245"/>
      <c r="D864" s="245"/>
      <c r="E864" s="183"/>
      <c r="F864" s="183"/>
      <c r="G864" s="183"/>
      <c r="H864" s="184"/>
      <c r="I864" s="184"/>
      <c r="J864" s="184"/>
      <c r="L864" s="184"/>
      <c r="M864" s="184"/>
      <c r="N864" s="184"/>
      <c r="O864" s="184"/>
      <c r="R864" s="185"/>
      <c r="T864" s="184"/>
      <c r="U864" s="184"/>
      <c r="V864" s="184"/>
      <c r="X864" s="184"/>
      <c r="Y864" s="184"/>
      <c r="Z864" s="184"/>
      <c r="AA864" s="184"/>
      <c r="AC864" s="184"/>
      <c r="AD864" s="184"/>
      <c r="AE864" s="184"/>
      <c r="AF864" s="184"/>
      <c r="AG864" s="184"/>
      <c r="AH864" s="184"/>
      <c r="AI864" s="184"/>
      <c r="AR864" s="186"/>
      <c r="AS864" s="187"/>
      <c r="AT864" s="187"/>
      <c r="AU864" s="187"/>
      <c r="AV864" s="246"/>
      <c r="BB864" s="377"/>
      <c r="BC864" s="377"/>
      <c r="BD864" s="377"/>
    </row>
    <row r="865" spans="1:56" s="163" customFormat="1" ht="16.5" customHeight="1">
      <c r="A865" s="247"/>
      <c r="B865" s="244"/>
      <c r="C865" s="245"/>
      <c r="D865" s="245"/>
      <c r="E865" s="183"/>
      <c r="F865" s="183"/>
      <c r="G865" s="183"/>
      <c r="H865" s="184"/>
      <c r="I865" s="184"/>
      <c r="J865" s="184"/>
      <c r="L865" s="184"/>
      <c r="M865" s="184"/>
      <c r="N865" s="184"/>
      <c r="O865" s="184"/>
      <c r="R865" s="185"/>
      <c r="T865" s="184"/>
      <c r="U865" s="184"/>
      <c r="V865" s="184"/>
      <c r="X865" s="184"/>
      <c r="Y865" s="184"/>
      <c r="Z865" s="184"/>
      <c r="AA865" s="184"/>
      <c r="AC865" s="184"/>
      <c r="AD865" s="184"/>
      <c r="AE865" s="184"/>
      <c r="AF865" s="184"/>
      <c r="AG865" s="184"/>
      <c r="AH865" s="184"/>
      <c r="AI865" s="184"/>
      <c r="AR865" s="186"/>
      <c r="AS865" s="187"/>
      <c r="AT865" s="187"/>
      <c r="AU865" s="187"/>
      <c r="AV865" s="246"/>
      <c r="BB865" s="377"/>
      <c r="BC865" s="377"/>
      <c r="BD865" s="377"/>
    </row>
    <row r="866" spans="1:56" s="163" customFormat="1" ht="16.5" customHeight="1">
      <c r="A866" s="247"/>
      <c r="B866" s="244"/>
      <c r="C866" s="245"/>
      <c r="D866" s="245"/>
      <c r="E866" s="183"/>
      <c r="F866" s="183"/>
      <c r="G866" s="183"/>
      <c r="H866" s="184"/>
      <c r="I866" s="184"/>
      <c r="J866" s="184"/>
      <c r="L866" s="184"/>
      <c r="M866" s="184"/>
      <c r="N866" s="184"/>
      <c r="O866" s="184"/>
      <c r="R866" s="185"/>
      <c r="T866" s="184"/>
      <c r="U866" s="184"/>
      <c r="V866" s="184"/>
      <c r="X866" s="184"/>
      <c r="Y866" s="184"/>
      <c r="Z866" s="184"/>
      <c r="AA866" s="184"/>
      <c r="AC866" s="184"/>
      <c r="AD866" s="184"/>
      <c r="AE866" s="184"/>
      <c r="AF866" s="184"/>
      <c r="AG866" s="184"/>
      <c r="AH866" s="184"/>
      <c r="AI866" s="184"/>
      <c r="AR866" s="186"/>
      <c r="AS866" s="187"/>
      <c r="AT866" s="187"/>
      <c r="AU866" s="187"/>
      <c r="AV866" s="246"/>
      <c r="BB866" s="377"/>
      <c r="BC866" s="377"/>
      <c r="BD866" s="377"/>
    </row>
    <row r="867" spans="1:56" s="163" customFormat="1" ht="16.5" customHeight="1">
      <c r="A867" s="247"/>
      <c r="B867" s="244"/>
      <c r="C867" s="245"/>
      <c r="D867" s="245"/>
      <c r="E867" s="183"/>
      <c r="F867" s="183"/>
      <c r="G867" s="183"/>
      <c r="H867" s="184"/>
      <c r="I867" s="184"/>
      <c r="J867" s="184"/>
      <c r="L867" s="184"/>
      <c r="M867" s="184"/>
      <c r="N867" s="184"/>
      <c r="O867" s="184"/>
      <c r="R867" s="185"/>
      <c r="T867" s="184"/>
      <c r="U867" s="184"/>
      <c r="V867" s="184"/>
      <c r="X867" s="184"/>
      <c r="Y867" s="184"/>
      <c r="Z867" s="184"/>
      <c r="AA867" s="184"/>
      <c r="AC867" s="184"/>
      <c r="AD867" s="184"/>
      <c r="AE867" s="184"/>
      <c r="AF867" s="184"/>
      <c r="AG867" s="184"/>
      <c r="AH867" s="184"/>
      <c r="AI867" s="184"/>
      <c r="AR867" s="186"/>
      <c r="AS867" s="187"/>
      <c r="AT867" s="187"/>
      <c r="AU867" s="187"/>
      <c r="AV867" s="246"/>
      <c r="BB867" s="377"/>
      <c r="BC867" s="377"/>
      <c r="BD867" s="377"/>
    </row>
    <row r="868" spans="1:56" s="163" customFormat="1" ht="16.5" customHeight="1">
      <c r="A868" s="247"/>
      <c r="B868" s="244"/>
      <c r="C868" s="245"/>
      <c r="D868" s="245"/>
      <c r="E868" s="183"/>
      <c r="F868" s="183"/>
      <c r="G868" s="183"/>
      <c r="H868" s="184"/>
      <c r="I868" s="184"/>
      <c r="J868" s="184"/>
      <c r="L868" s="184"/>
      <c r="M868" s="184"/>
      <c r="N868" s="184"/>
      <c r="O868" s="184"/>
      <c r="R868" s="185"/>
      <c r="T868" s="184"/>
      <c r="U868" s="184"/>
      <c r="V868" s="184"/>
      <c r="X868" s="184"/>
      <c r="Y868" s="184"/>
      <c r="Z868" s="184"/>
      <c r="AA868" s="184"/>
      <c r="AC868" s="184"/>
      <c r="AD868" s="184"/>
      <c r="AE868" s="184"/>
      <c r="AF868" s="184"/>
      <c r="AG868" s="184"/>
      <c r="AH868" s="184"/>
      <c r="AI868" s="184"/>
      <c r="AR868" s="186"/>
      <c r="AS868" s="187"/>
      <c r="AT868" s="187"/>
      <c r="AU868" s="187"/>
      <c r="AV868" s="246"/>
      <c r="BB868" s="377"/>
      <c r="BC868" s="377"/>
      <c r="BD868" s="377"/>
    </row>
    <row r="869" spans="1:56" s="163" customFormat="1" ht="16.5" customHeight="1">
      <c r="A869" s="247"/>
      <c r="B869" s="244"/>
      <c r="C869" s="245"/>
      <c r="D869" s="245"/>
      <c r="E869" s="183"/>
      <c r="F869" s="183"/>
      <c r="G869" s="183"/>
      <c r="H869" s="184"/>
      <c r="I869" s="184"/>
      <c r="J869" s="184"/>
      <c r="L869" s="184"/>
      <c r="M869" s="184"/>
      <c r="N869" s="184"/>
      <c r="O869" s="184"/>
      <c r="R869" s="185"/>
      <c r="T869" s="184"/>
      <c r="U869" s="184"/>
      <c r="V869" s="184"/>
      <c r="X869" s="184"/>
      <c r="Y869" s="184"/>
      <c r="Z869" s="184"/>
      <c r="AA869" s="184"/>
      <c r="AC869" s="184"/>
      <c r="AD869" s="184"/>
      <c r="AE869" s="184"/>
      <c r="AF869" s="184"/>
      <c r="AG869" s="184"/>
      <c r="AH869" s="184"/>
      <c r="AI869" s="184"/>
      <c r="AR869" s="186"/>
      <c r="AS869" s="187"/>
      <c r="AT869" s="187"/>
      <c r="AU869" s="187"/>
      <c r="AV869" s="246"/>
      <c r="BB869" s="377"/>
      <c r="BC869" s="377"/>
      <c r="BD869" s="377"/>
    </row>
  </sheetData>
  <phoneticPr fontId="5"/>
  <conditionalFormatting sqref="E4">
    <cfRule type="duplicateValues" dxfId="62" priority="7"/>
  </conditionalFormatting>
  <conditionalFormatting sqref="E5:E9">
    <cfRule type="duplicateValues" dxfId="61" priority="44"/>
  </conditionalFormatting>
  <conditionalFormatting sqref="E10">
    <cfRule type="duplicateValues" dxfId="60" priority="39"/>
  </conditionalFormatting>
  <conditionalFormatting sqref="E11">
    <cfRule type="duplicateValues" dxfId="59" priority="9"/>
  </conditionalFormatting>
  <conditionalFormatting sqref="E12">
    <cfRule type="duplicateValues" dxfId="58" priority="33"/>
  </conditionalFormatting>
  <conditionalFormatting sqref="E14">
    <cfRule type="duplicateValues" dxfId="57" priority="6"/>
  </conditionalFormatting>
  <conditionalFormatting sqref="E15">
    <cfRule type="duplicateValues" dxfId="56" priority="42"/>
  </conditionalFormatting>
  <conditionalFormatting sqref="E16">
    <cfRule type="duplicateValues" dxfId="55" priority="25"/>
  </conditionalFormatting>
  <conditionalFormatting sqref="E17">
    <cfRule type="duplicateValues" dxfId="54" priority="13"/>
  </conditionalFormatting>
  <conditionalFormatting sqref="E18">
    <cfRule type="duplicateValues" dxfId="53" priority="24"/>
  </conditionalFormatting>
  <conditionalFormatting sqref="E19">
    <cfRule type="duplicateValues" dxfId="52" priority="38"/>
  </conditionalFormatting>
  <conditionalFormatting sqref="E20:E31">
    <cfRule type="duplicateValues" dxfId="51" priority="43"/>
  </conditionalFormatting>
  <conditionalFormatting sqref="E32:E38">
    <cfRule type="duplicateValues" dxfId="50" priority="37"/>
  </conditionalFormatting>
  <conditionalFormatting sqref="E39">
    <cfRule type="duplicateValues" dxfId="49" priority="21"/>
  </conditionalFormatting>
  <conditionalFormatting sqref="E40:E75 E77:E88">
    <cfRule type="duplicateValues" dxfId="48" priority="36"/>
  </conditionalFormatting>
  <conditionalFormatting sqref="E76">
    <cfRule type="duplicateValues" dxfId="47" priority="3"/>
  </conditionalFormatting>
  <conditionalFormatting sqref="E89">
    <cfRule type="duplicateValues" dxfId="46" priority="41"/>
  </conditionalFormatting>
  <conditionalFormatting sqref="E90:E104">
    <cfRule type="duplicateValues" dxfId="45" priority="35"/>
  </conditionalFormatting>
  <conditionalFormatting sqref="E105">
    <cfRule type="duplicateValues" dxfId="44" priority="22"/>
  </conditionalFormatting>
  <conditionalFormatting sqref="E106:E107">
    <cfRule type="duplicateValues" dxfId="43" priority="27"/>
  </conditionalFormatting>
  <conditionalFormatting sqref="E108:E109">
    <cfRule type="duplicateValues" dxfId="42" priority="17"/>
  </conditionalFormatting>
  <conditionalFormatting sqref="E110:E113">
    <cfRule type="duplicateValues" dxfId="41" priority="32"/>
  </conditionalFormatting>
  <conditionalFormatting sqref="E114">
    <cfRule type="duplicateValues" dxfId="40" priority="2"/>
  </conditionalFormatting>
  <conditionalFormatting sqref="E115">
    <cfRule type="duplicateValues" dxfId="39" priority="30"/>
  </conditionalFormatting>
  <conditionalFormatting sqref="E116">
    <cfRule type="duplicateValues" dxfId="38" priority="31"/>
  </conditionalFormatting>
  <conditionalFormatting sqref="E117:E118">
    <cfRule type="duplicateValues" dxfId="37" priority="16"/>
  </conditionalFormatting>
  <conditionalFormatting sqref="E119">
    <cfRule type="duplicateValues" dxfId="36" priority="5"/>
  </conditionalFormatting>
  <conditionalFormatting sqref="E120">
    <cfRule type="duplicateValues" dxfId="35" priority="53"/>
  </conditionalFormatting>
  <conditionalFormatting sqref="E121:E124">
    <cfRule type="duplicateValues" dxfId="34" priority="29"/>
  </conditionalFormatting>
  <conditionalFormatting sqref="E130:E146">
    <cfRule type="duplicateValues" dxfId="33" priority="12"/>
  </conditionalFormatting>
  <conditionalFormatting sqref="E147:E163">
    <cfRule type="duplicateValues" dxfId="32" priority="28"/>
  </conditionalFormatting>
  <conditionalFormatting sqref="E164:E171">
    <cfRule type="duplicateValues" dxfId="31" priority="11"/>
  </conditionalFormatting>
  <conditionalFormatting sqref="E172">
    <cfRule type="duplicateValues" dxfId="30" priority="47"/>
  </conditionalFormatting>
  <conditionalFormatting sqref="E174">
    <cfRule type="duplicateValues" dxfId="29" priority="46"/>
  </conditionalFormatting>
  <conditionalFormatting sqref="E175">
    <cfRule type="duplicateValues" dxfId="28" priority="45"/>
  </conditionalFormatting>
  <conditionalFormatting sqref="E176:E192">
    <cfRule type="duplicateValues" dxfId="27" priority="10"/>
  </conditionalFormatting>
  <conditionalFormatting sqref="E193">
    <cfRule type="duplicateValues" dxfId="26" priority="1"/>
  </conditionalFormatting>
  <conditionalFormatting sqref="E198">
    <cfRule type="duplicateValues" dxfId="25" priority="40"/>
  </conditionalFormatting>
  <conditionalFormatting sqref="E199:E200">
    <cfRule type="duplicateValues" dxfId="24" priority="34"/>
  </conditionalFormatting>
  <conditionalFormatting sqref="E201">
    <cfRule type="duplicateValues" dxfId="23" priority="54"/>
  </conditionalFormatting>
  <conditionalFormatting sqref="E202:E226">
    <cfRule type="duplicateValues" dxfId="22" priority="15"/>
  </conditionalFormatting>
  <conditionalFormatting sqref="E227:E233">
    <cfRule type="duplicateValues" dxfId="21" priority="20"/>
  </conditionalFormatting>
  <conditionalFormatting sqref="E234">
    <cfRule type="duplicateValues" dxfId="20" priority="48"/>
  </conditionalFormatting>
  <conditionalFormatting sqref="E235">
    <cfRule type="duplicateValues" dxfId="19" priority="8"/>
  </conditionalFormatting>
  <conditionalFormatting sqref="E236:E239">
    <cfRule type="duplicateValues" dxfId="18" priority="4"/>
  </conditionalFormatting>
  <conditionalFormatting sqref="E240:E252">
    <cfRule type="duplicateValues" dxfId="17" priority="19"/>
  </conditionalFormatting>
  <conditionalFormatting sqref="E253">
    <cfRule type="duplicateValues" dxfId="16" priority="50"/>
  </conditionalFormatting>
  <conditionalFormatting sqref="E254">
    <cfRule type="duplicateValues" dxfId="15" priority="18"/>
  </conditionalFormatting>
  <conditionalFormatting sqref="E255">
    <cfRule type="duplicateValues" dxfId="14" priority="49"/>
  </conditionalFormatting>
  <conditionalFormatting sqref="E256">
    <cfRule type="duplicateValues" dxfId="13" priority="26"/>
  </conditionalFormatting>
  <conditionalFormatting sqref="E257">
    <cfRule type="duplicateValues" dxfId="12" priority="23"/>
  </conditionalFormatting>
  <conditionalFormatting sqref="E258">
    <cfRule type="duplicateValues" dxfId="11" priority="52"/>
  </conditionalFormatting>
  <conditionalFormatting sqref="E259">
    <cfRule type="duplicateValues" dxfId="10" priority="14"/>
  </conditionalFormatting>
  <conditionalFormatting sqref="E269:E272">
    <cfRule type="duplicateValues" dxfId="9" priority="55"/>
  </conditionalFormatting>
  <conditionalFormatting sqref="E273">
    <cfRule type="duplicateValues" dxfId="8" priority="51"/>
  </conditionalFormatting>
  <conditionalFormatting sqref="E274:E1048576 E1:E3 E125:E129 E260:E268 E173 E194:E197 E13">
    <cfRule type="duplicateValues" dxfId="7" priority="56"/>
  </conditionalFormatting>
  <pageMargins left="0.70866141732283472" right="0.70866141732283472" top="0.74803149606299213" bottom="0.74803149606299213" header="0.31496062992125984" footer="0.31496062992125984"/>
  <pageSetup paperSize="8" scale="70" fitToWidth="2" fitToHeight="0" orientation="landscape" r:id="rId1"/>
  <headerFooter>
    <oddHeader>&amp;L&amp;A&amp;R&amp;F</oddHeader>
    <oddFooter>&amp;R&amp;P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pageSetUpPr fitToPage="1"/>
  </sheetPr>
  <dimension ref="A1:BB869"/>
  <sheetViews>
    <sheetView topLeftCell="R256" workbookViewId="0">
      <selection activeCell="AR4" sqref="AR4:AR256"/>
    </sheetView>
    <sheetView workbookViewId="1"/>
  </sheetViews>
  <sheetFormatPr defaultColWidth="9" defaultRowHeight="11.25"/>
  <cols>
    <col min="1" max="1" width="5.5" style="7" customWidth="1"/>
    <col min="2" max="2" width="3.875" style="42" customWidth="1"/>
    <col min="3" max="4" width="4.125" style="8" customWidth="1"/>
    <col min="5" max="5" width="13.875" style="9" customWidth="1"/>
    <col min="6" max="6" width="7.375" style="9" customWidth="1"/>
    <col min="7" max="7" width="22.875" style="9" customWidth="1"/>
    <col min="8" max="11" width="6.75" style="11" customWidth="1"/>
    <col min="12" max="15" width="6.875" style="11" customWidth="1"/>
    <col min="16" max="16" width="6.375" style="15" customWidth="1"/>
    <col min="17" max="17" width="7.5" style="11" customWidth="1"/>
    <col min="18" max="19" width="6.125" style="12" customWidth="1"/>
    <col min="20" max="20" width="8.75" style="15" customWidth="1"/>
    <col min="21" max="22" width="6.875" style="11" customWidth="1"/>
    <col min="23" max="23" width="7.5" style="11" customWidth="1"/>
    <col min="24" max="24" width="6.875" style="11" customWidth="1"/>
    <col min="25" max="37" width="7.5" style="11" customWidth="1"/>
    <col min="38" max="44" width="9.75" style="11" customWidth="1"/>
    <col min="45" max="45" width="14.375" style="13" customWidth="1"/>
    <col min="46" max="48" width="14.375" style="14" customWidth="1"/>
    <col min="49" max="49" width="4.625" style="10" hidden="1" customWidth="1"/>
    <col min="50" max="54" width="9.75" style="11" hidden="1" customWidth="1"/>
    <col min="55" max="16384" width="9" style="15"/>
  </cols>
  <sheetData>
    <row r="1" spans="1:54" s="90" customFormat="1" ht="13.5">
      <c r="A1" s="76" t="s">
        <v>1803</v>
      </c>
      <c r="B1" s="77"/>
      <c r="C1" s="78"/>
      <c r="D1" s="78"/>
      <c r="E1" s="79"/>
      <c r="F1" s="79"/>
      <c r="G1" s="79"/>
      <c r="H1" s="80" t="s">
        <v>2561</v>
      </c>
      <c r="I1" s="81"/>
      <c r="J1" s="81"/>
      <c r="K1" s="82"/>
      <c r="L1" s="225" t="s">
        <v>2567</v>
      </c>
      <c r="M1" s="81"/>
      <c r="N1" s="81"/>
      <c r="O1" s="81"/>
      <c r="P1" s="84"/>
      <c r="Q1" s="84"/>
      <c r="R1" s="85"/>
      <c r="S1" s="85"/>
      <c r="T1" s="84"/>
      <c r="U1" s="81"/>
      <c r="V1" s="81"/>
      <c r="W1" s="84"/>
      <c r="X1" s="82"/>
      <c r="Y1" s="80" t="s">
        <v>2566</v>
      </c>
      <c r="Z1" s="81"/>
      <c r="AA1" s="81"/>
      <c r="AB1" s="81"/>
      <c r="AC1" s="82"/>
      <c r="AD1" s="80" t="s">
        <v>2565</v>
      </c>
      <c r="AE1" s="81"/>
      <c r="AF1" s="81"/>
      <c r="AG1" s="81"/>
      <c r="AH1" s="81"/>
      <c r="AI1" s="81"/>
      <c r="AJ1" s="81"/>
      <c r="AK1" s="82"/>
      <c r="AL1" s="336" t="s">
        <v>1987</v>
      </c>
      <c r="AM1" s="81"/>
      <c r="AN1" s="81"/>
      <c r="AO1" s="81"/>
      <c r="AP1" s="81"/>
      <c r="AQ1" s="81" t="s">
        <v>1988</v>
      </c>
      <c r="AR1" s="82" t="s">
        <v>1991</v>
      </c>
      <c r="AS1" s="87" t="s">
        <v>1804</v>
      </c>
      <c r="AT1" s="88"/>
      <c r="AU1" s="88"/>
      <c r="AV1" s="89"/>
      <c r="AW1" s="336" t="s">
        <v>1952</v>
      </c>
      <c r="AX1" s="81"/>
      <c r="AY1" s="81"/>
      <c r="AZ1" s="81"/>
      <c r="BA1" s="81"/>
      <c r="BB1" s="82"/>
    </row>
    <row r="2" spans="1:54" s="90" customFormat="1" ht="16.5" customHeight="1">
      <c r="A2" s="76"/>
      <c r="B2" s="77"/>
      <c r="C2" s="78"/>
      <c r="D2" s="78"/>
      <c r="E2" s="79"/>
      <c r="F2" s="79"/>
      <c r="G2" s="79"/>
      <c r="H2" s="80" t="s">
        <v>1820</v>
      </c>
      <c r="I2" s="81" t="s">
        <v>1821</v>
      </c>
      <c r="J2" s="81" t="s">
        <v>1822</v>
      </c>
      <c r="K2" s="82" t="s">
        <v>1823</v>
      </c>
      <c r="L2" s="80" t="s">
        <v>1824</v>
      </c>
      <c r="M2" s="81" t="s">
        <v>1825</v>
      </c>
      <c r="N2" s="81" t="s">
        <v>1826</v>
      </c>
      <c r="O2" s="81" t="s">
        <v>1827</v>
      </c>
      <c r="P2" s="83" t="s">
        <v>1819</v>
      </c>
      <c r="Q2" s="84"/>
      <c r="R2" s="85"/>
      <c r="S2" s="86"/>
      <c r="T2" s="84" t="s">
        <v>1828</v>
      </c>
      <c r="U2" s="81" t="s">
        <v>1829</v>
      </c>
      <c r="V2" s="81" t="s">
        <v>1830</v>
      </c>
      <c r="W2" s="84" t="s">
        <v>1831</v>
      </c>
      <c r="X2" s="82" t="s">
        <v>1832</v>
      </c>
      <c r="Y2" s="80" t="s">
        <v>1833</v>
      </c>
      <c r="Z2" s="81" t="s">
        <v>1834</v>
      </c>
      <c r="AA2" s="81" t="s">
        <v>1835</v>
      </c>
      <c r="AB2" s="81" t="s">
        <v>1836</v>
      </c>
      <c r="AC2" s="82" t="s">
        <v>1837</v>
      </c>
      <c r="AD2" s="80" t="s">
        <v>1838</v>
      </c>
      <c r="AE2" s="81" t="s">
        <v>1839</v>
      </c>
      <c r="AF2" s="81" t="s">
        <v>1840</v>
      </c>
      <c r="AG2" s="81" t="s">
        <v>1841</v>
      </c>
      <c r="AH2" s="84" t="s">
        <v>1842</v>
      </c>
      <c r="AI2" s="81" t="s">
        <v>1843</v>
      </c>
      <c r="AJ2" s="81" t="s">
        <v>1844</v>
      </c>
      <c r="AK2" s="82" t="s">
        <v>1845</v>
      </c>
      <c r="AL2" s="80"/>
      <c r="AM2" s="81"/>
      <c r="AN2" s="81"/>
      <c r="AO2" s="81"/>
      <c r="AP2" s="81"/>
      <c r="AQ2" s="81" t="s">
        <v>1989</v>
      </c>
      <c r="AR2" s="82" t="s">
        <v>1989</v>
      </c>
      <c r="AS2" s="87"/>
      <c r="AT2" s="88"/>
      <c r="AU2" s="88"/>
      <c r="AV2" s="89"/>
      <c r="AW2" s="188"/>
      <c r="AX2" s="81"/>
      <c r="AY2" s="81"/>
      <c r="AZ2" s="81"/>
      <c r="BA2" s="81"/>
      <c r="BB2" s="82"/>
    </row>
    <row r="3" spans="1:54" s="103" customFormat="1" ht="16.5" customHeight="1">
      <c r="A3" s="91" t="s">
        <v>1805</v>
      </c>
      <c r="B3" s="92" t="s">
        <v>0</v>
      </c>
      <c r="C3" s="93" t="s">
        <v>1</v>
      </c>
      <c r="D3" s="93" t="s">
        <v>2417</v>
      </c>
      <c r="E3" s="94" t="s">
        <v>2414</v>
      </c>
      <c r="F3" s="94" t="s">
        <v>1806</v>
      </c>
      <c r="G3" s="95" t="s">
        <v>1807</v>
      </c>
      <c r="H3" s="91" t="s">
        <v>2391</v>
      </c>
      <c r="I3" s="96" t="s">
        <v>2392</v>
      </c>
      <c r="J3" s="96" t="s">
        <v>2393</v>
      </c>
      <c r="K3" s="97" t="s">
        <v>2394</v>
      </c>
      <c r="L3" s="91" t="s">
        <v>2396</v>
      </c>
      <c r="M3" s="96" t="s">
        <v>2398</v>
      </c>
      <c r="N3" s="96" t="s">
        <v>2399</v>
      </c>
      <c r="O3" s="96" t="s">
        <v>2397</v>
      </c>
      <c r="P3" s="96" t="s">
        <v>1818</v>
      </c>
      <c r="Q3" s="96" t="s">
        <v>1817</v>
      </c>
      <c r="R3" s="98" t="s">
        <v>1815</v>
      </c>
      <c r="S3" s="98" t="s">
        <v>1816</v>
      </c>
      <c r="T3" s="96" t="s">
        <v>2395</v>
      </c>
      <c r="U3" s="96" t="s">
        <v>2400</v>
      </c>
      <c r="V3" s="99" t="s">
        <v>2401</v>
      </c>
      <c r="W3" s="96" t="s">
        <v>2404</v>
      </c>
      <c r="X3" s="97" t="s">
        <v>2394</v>
      </c>
      <c r="Y3" s="91" t="s">
        <v>2403</v>
      </c>
      <c r="Z3" s="96" t="s">
        <v>2392</v>
      </c>
      <c r="AA3" s="99" t="s">
        <v>2393</v>
      </c>
      <c r="AB3" s="96" t="s">
        <v>2402</v>
      </c>
      <c r="AC3" s="97" t="s">
        <v>2394</v>
      </c>
      <c r="AD3" s="91" t="s">
        <v>2396</v>
      </c>
      <c r="AE3" s="96" t="s">
        <v>2398</v>
      </c>
      <c r="AF3" s="96" t="s">
        <v>2399</v>
      </c>
      <c r="AG3" s="99" t="s">
        <v>2397</v>
      </c>
      <c r="AH3" s="96" t="s">
        <v>2395</v>
      </c>
      <c r="AI3" s="96" t="s">
        <v>2400</v>
      </c>
      <c r="AJ3" s="96" t="s">
        <v>2401</v>
      </c>
      <c r="AK3" s="97" t="s">
        <v>2394</v>
      </c>
      <c r="AL3" s="91" t="s">
        <v>1948</v>
      </c>
      <c r="AM3" s="189" t="s">
        <v>1949</v>
      </c>
      <c r="AN3" s="189" t="s">
        <v>1950</v>
      </c>
      <c r="AO3" s="189" t="s">
        <v>1954</v>
      </c>
      <c r="AP3" s="189" t="s">
        <v>1951</v>
      </c>
      <c r="AQ3" s="189" t="s">
        <v>1990</v>
      </c>
      <c r="AR3" s="190" t="s">
        <v>1992</v>
      </c>
      <c r="AS3" s="100" t="s">
        <v>1808</v>
      </c>
      <c r="AT3" s="101" t="s">
        <v>1809</v>
      </c>
      <c r="AU3" s="101" t="s">
        <v>1810</v>
      </c>
      <c r="AV3" s="102" t="s">
        <v>1811</v>
      </c>
      <c r="AW3" s="191" t="s">
        <v>1953</v>
      </c>
      <c r="AX3" s="96" t="s">
        <v>1948</v>
      </c>
      <c r="AY3" s="189" t="s">
        <v>1949</v>
      </c>
      <c r="AZ3" s="189" t="s">
        <v>1950</v>
      </c>
      <c r="BA3" s="189" t="s">
        <v>1954</v>
      </c>
      <c r="BB3" s="190" t="s">
        <v>1951</v>
      </c>
    </row>
    <row r="4" spans="1:54" s="121" customFormat="1" ht="16.5" customHeight="1">
      <c r="A4" s="104" t="s">
        <v>2099</v>
      </c>
      <c r="B4" s="105" t="s">
        <v>51</v>
      </c>
      <c r="C4" s="106" t="s">
        <v>52</v>
      </c>
      <c r="D4" s="107" t="s">
        <v>2415</v>
      </c>
      <c r="E4" s="108" t="s">
        <v>53</v>
      </c>
      <c r="F4" s="71" t="s">
        <v>54</v>
      </c>
      <c r="G4" s="109" t="s">
        <v>55</v>
      </c>
      <c r="H4" s="110">
        <v>2610</v>
      </c>
      <c r="I4" s="111">
        <v>14872</v>
      </c>
      <c r="J4" s="112">
        <v>5541</v>
      </c>
      <c r="K4" s="113">
        <f t="shared" ref="K4:K67" si="0">SUBTOTAL(9,H4:J4)</f>
        <v>23023</v>
      </c>
      <c r="L4" s="110">
        <v>61254</v>
      </c>
      <c r="M4" s="111">
        <v>108983</v>
      </c>
      <c r="N4" s="112">
        <v>0</v>
      </c>
      <c r="O4" s="111">
        <v>5126</v>
      </c>
      <c r="P4" s="114">
        <v>10</v>
      </c>
      <c r="Q4" s="111">
        <v>8428</v>
      </c>
      <c r="R4" s="115">
        <v>15618</v>
      </c>
      <c r="S4" s="115">
        <v>0</v>
      </c>
      <c r="T4" s="111">
        <f t="shared" ref="T4:T67" si="1">ROUND(P4*Q4,0)+R4+S4</f>
        <v>99898</v>
      </c>
      <c r="U4" s="112">
        <v>36650</v>
      </c>
      <c r="V4" s="116">
        <v>0</v>
      </c>
      <c r="W4" s="111">
        <v>0</v>
      </c>
      <c r="X4" s="113">
        <f>SUBTOTAL(9,L4:O4,T4:W4)</f>
        <v>311911</v>
      </c>
      <c r="Y4" s="110">
        <v>0</v>
      </c>
      <c r="Z4" s="111">
        <v>0</v>
      </c>
      <c r="AA4" s="116">
        <v>0</v>
      </c>
      <c r="AB4" s="111">
        <v>10473</v>
      </c>
      <c r="AC4" s="113">
        <f>SUBTOTAL(9,Y4:AB4)</f>
        <v>10473</v>
      </c>
      <c r="AD4" s="110">
        <v>0</v>
      </c>
      <c r="AE4" s="111">
        <v>25</v>
      </c>
      <c r="AF4" s="112">
        <v>0</v>
      </c>
      <c r="AG4" s="117">
        <v>171</v>
      </c>
      <c r="AH4" s="111">
        <v>0</v>
      </c>
      <c r="AI4" s="112">
        <v>869</v>
      </c>
      <c r="AJ4" s="112">
        <v>14934</v>
      </c>
      <c r="AK4" s="113">
        <f>SUBTOTAL(9,AD4:AJ4)</f>
        <v>15999</v>
      </c>
      <c r="AL4" s="143">
        <f t="shared" ref="AL4:AL35" si="2">AX4/1000</f>
        <v>7156479.0599999996</v>
      </c>
      <c r="AM4" s="112">
        <f t="shared" ref="AM4:AO67" si="3">AY4/1000</f>
        <v>6044433.1789999995</v>
      </c>
      <c r="AN4" s="112">
        <f t="shared" si="3"/>
        <v>1112045.8810000001</v>
      </c>
      <c r="AO4" s="112">
        <f t="shared" si="3"/>
        <v>197206.71799999999</v>
      </c>
      <c r="AP4" s="192">
        <f t="shared" ref="AP4:AP67" si="4">BB4</f>
        <v>0.84460991617852932</v>
      </c>
      <c r="AQ4" s="193">
        <f t="shared" ref="AQ4:AQ67" si="5">X4+AO4</f>
        <v>509117.71799999999</v>
      </c>
      <c r="AR4" s="194">
        <f t="shared" ref="AR4:AR67" si="6">K4-AQ4</f>
        <v>-486094.71799999999</v>
      </c>
      <c r="AS4" s="118"/>
      <c r="AT4" s="119"/>
      <c r="AU4" s="119"/>
      <c r="AV4" s="120"/>
      <c r="AW4" s="195"/>
      <c r="AX4" s="112">
        <v>7156479060</v>
      </c>
      <c r="AY4" s="162">
        <v>6044433179</v>
      </c>
      <c r="AZ4" s="162">
        <v>1112045881</v>
      </c>
      <c r="BA4" s="162">
        <v>197206718</v>
      </c>
      <c r="BB4" s="196">
        <f>AY4/AX4</f>
        <v>0.84460991617852932</v>
      </c>
    </row>
    <row r="5" spans="1:54" s="121" customFormat="1" ht="16.5" customHeight="1">
      <c r="A5" s="104" t="s">
        <v>2099</v>
      </c>
      <c r="B5" s="105" t="s">
        <v>75</v>
      </c>
      <c r="C5" s="106" t="s">
        <v>76</v>
      </c>
      <c r="D5" s="106" t="s">
        <v>2415</v>
      </c>
      <c r="E5" s="71" t="s">
        <v>77</v>
      </c>
      <c r="F5" s="71" t="s">
        <v>78</v>
      </c>
      <c r="G5" s="109" t="s">
        <v>79</v>
      </c>
      <c r="H5" s="110"/>
      <c r="I5" s="112">
        <v>1445</v>
      </c>
      <c r="J5" s="112"/>
      <c r="K5" s="113">
        <f t="shared" si="0"/>
        <v>1445</v>
      </c>
      <c r="L5" s="143"/>
      <c r="M5" s="111">
        <v>0</v>
      </c>
      <c r="N5" s="112"/>
      <c r="O5" s="112">
        <v>0</v>
      </c>
      <c r="P5" s="114">
        <v>2</v>
      </c>
      <c r="Q5" s="111">
        <v>8428</v>
      </c>
      <c r="R5" s="115">
        <v>2991</v>
      </c>
      <c r="S5" s="112"/>
      <c r="T5" s="111">
        <f t="shared" si="1"/>
        <v>19847</v>
      </c>
      <c r="U5" s="112">
        <v>457</v>
      </c>
      <c r="V5" s="116">
        <v>373</v>
      </c>
      <c r="W5" s="111"/>
      <c r="X5" s="113">
        <f t="shared" ref="X5:X68" si="7">SUBTOTAL(9,L5:O5,T5:W5)</f>
        <v>20677</v>
      </c>
      <c r="Y5" s="110"/>
      <c r="Z5" s="111"/>
      <c r="AA5" s="116"/>
      <c r="AB5" s="111"/>
      <c r="AC5" s="113">
        <f t="shared" ref="AC5:AC68" si="8">SUBTOTAL(9,Y5:AB5)</f>
        <v>0</v>
      </c>
      <c r="AD5" s="110"/>
      <c r="AE5" s="111"/>
      <c r="AF5" s="112"/>
      <c r="AG5" s="117"/>
      <c r="AH5" s="111"/>
      <c r="AI5" s="112"/>
      <c r="AJ5" s="112"/>
      <c r="AK5" s="113">
        <f t="shared" ref="AK5:AK68" si="9">SUBTOTAL(9,AD5:AJ5)</f>
        <v>0</v>
      </c>
      <c r="AL5" s="143">
        <f t="shared" si="2"/>
        <v>29993.912681085705</v>
      </c>
      <c r="AM5" s="112">
        <f t="shared" si="3"/>
        <v>5673.1464567191142</v>
      </c>
      <c r="AN5" s="112">
        <f t="shared" si="3"/>
        <v>24320.766224366595</v>
      </c>
      <c r="AO5" s="112">
        <f t="shared" si="3"/>
        <v>1134.6292913438228</v>
      </c>
      <c r="AP5" s="192">
        <f t="shared" si="4"/>
        <v>0.18914326106899104</v>
      </c>
      <c r="AQ5" s="193">
        <f t="shared" si="5"/>
        <v>21811.629291343823</v>
      </c>
      <c r="AR5" s="194">
        <f t="shared" si="6"/>
        <v>-20366.629291343823</v>
      </c>
      <c r="AS5" s="118" t="s">
        <v>1855</v>
      </c>
      <c r="AT5" s="119" t="s">
        <v>1856</v>
      </c>
      <c r="AU5" s="119"/>
      <c r="AV5" s="120"/>
      <c r="AW5" s="195" t="s">
        <v>1846</v>
      </c>
      <c r="AX5" s="112">
        <v>29993912.681085706</v>
      </c>
      <c r="AY5" s="162">
        <v>5673146.4567191144</v>
      </c>
      <c r="AZ5" s="162">
        <v>24320766.224366594</v>
      </c>
      <c r="BA5" s="162">
        <v>1134629.2913438228</v>
      </c>
      <c r="BB5" s="196">
        <f t="shared" ref="BB5:BB68" si="10">AY5/AX5</f>
        <v>0.18914326106899104</v>
      </c>
    </row>
    <row r="6" spans="1:54" s="121" customFormat="1" ht="16.5" customHeight="1">
      <c r="A6" s="104" t="s">
        <v>2143</v>
      </c>
      <c r="B6" s="105" t="s">
        <v>88</v>
      </c>
      <c r="C6" s="106" t="s">
        <v>89</v>
      </c>
      <c r="D6" s="106" t="s">
        <v>2415</v>
      </c>
      <c r="E6" s="71" t="s">
        <v>90</v>
      </c>
      <c r="F6" s="71" t="s">
        <v>78</v>
      </c>
      <c r="G6" s="109" t="s">
        <v>79</v>
      </c>
      <c r="H6" s="110"/>
      <c r="I6" s="112">
        <v>3795</v>
      </c>
      <c r="J6" s="112"/>
      <c r="K6" s="113">
        <f t="shared" si="0"/>
        <v>3795</v>
      </c>
      <c r="L6" s="143"/>
      <c r="M6" s="112">
        <v>93</v>
      </c>
      <c r="N6" s="112"/>
      <c r="O6" s="112">
        <v>0</v>
      </c>
      <c r="P6" s="114">
        <v>2</v>
      </c>
      <c r="Q6" s="111">
        <v>8428</v>
      </c>
      <c r="R6" s="115">
        <v>4813</v>
      </c>
      <c r="S6" s="112"/>
      <c r="T6" s="111">
        <f t="shared" si="1"/>
        <v>21669</v>
      </c>
      <c r="U6" s="112">
        <v>1607</v>
      </c>
      <c r="V6" s="116">
        <v>358</v>
      </c>
      <c r="W6" s="111"/>
      <c r="X6" s="113">
        <f t="shared" si="7"/>
        <v>23727</v>
      </c>
      <c r="Y6" s="110"/>
      <c r="Z6" s="111"/>
      <c r="AA6" s="116"/>
      <c r="AB6" s="111"/>
      <c r="AC6" s="113">
        <f t="shared" si="8"/>
        <v>0</v>
      </c>
      <c r="AD6" s="110"/>
      <c r="AE6" s="111"/>
      <c r="AF6" s="112"/>
      <c r="AG6" s="117"/>
      <c r="AH6" s="111"/>
      <c r="AI6" s="112"/>
      <c r="AJ6" s="112"/>
      <c r="AK6" s="113">
        <f t="shared" si="9"/>
        <v>0</v>
      </c>
      <c r="AL6" s="143">
        <f t="shared" si="2"/>
        <v>5249.2599397369013</v>
      </c>
      <c r="AM6" s="112">
        <f t="shared" si="3"/>
        <v>2952.9337672058773</v>
      </c>
      <c r="AN6" s="112">
        <f t="shared" si="3"/>
        <v>2296.3261725310231</v>
      </c>
      <c r="AO6" s="112">
        <f t="shared" si="3"/>
        <v>75.984989207624622</v>
      </c>
      <c r="AP6" s="192">
        <f t="shared" si="4"/>
        <v>0.56254287292046001</v>
      </c>
      <c r="AQ6" s="193">
        <f t="shared" si="5"/>
        <v>23802.984989207624</v>
      </c>
      <c r="AR6" s="194">
        <f t="shared" si="6"/>
        <v>-20007.984989207624</v>
      </c>
      <c r="AS6" s="118" t="s">
        <v>1857</v>
      </c>
      <c r="AT6" s="119" t="s">
        <v>1853</v>
      </c>
      <c r="AU6" s="119"/>
      <c r="AV6" s="120"/>
      <c r="AW6" s="195" t="s">
        <v>1846</v>
      </c>
      <c r="AX6" s="112">
        <v>5249259.9397369009</v>
      </c>
      <c r="AY6" s="162">
        <v>2952933.7672058772</v>
      </c>
      <c r="AZ6" s="162">
        <v>2296326.1725310232</v>
      </c>
      <c r="BA6" s="162">
        <v>75984.989207624618</v>
      </c>
      <c r="BB6" s="196">
        <f t="shared" si="10"/>
        <v>0.56254287292046001</v>
      </c>
    </row>
    <row r="7" spans="1:54" s="121" customFormat="1" ht="16.5" customHeight="1">
      <c r="A7" s="104" t="s">
        <v>2143</v>
      </c>
      <c r="B7" s="105" t="s">
        <v>96</v>
      </c>
      <c r="C7" s="106" t="s">
        <v>97</v>
      </c>
      <c r="D7" s="106" t="s">
        <v>2415</v>
      </c>
      <c r="E7" s="71" t="s">
        <v>98</v>
      </c>
      <c r="F7" s="71" t="s">
        <v>78</v>
      </c>
      <c r="G7" s="109" t="s">
        <v>79</v>
      </c>
      <c r="H7" s="110"/>
      <c r="I7" s="112">
        <v>2579</v>
      </c>
      <c r="J7" s="112"/>
      <c r="K7" s="113">
        <f t="shared" si="0"/>
        <v>2579</v>
      </c>
      <c r="L7" s="110">
        <v>140</v>
      </c>
      <c r="M7" s="111">
        <v>88</v>
      </c>
      <c r="N7" s="112"/>
      <c r="O7" s="111">
        <v>56</v>
      </c>
      <c r="P7" s="114">
        <v>2</v>
      </c>
      <c r="Q7" s="111">
        <v>8428</v>
      </c>
      <c r="R7" s="115">
        <v>3345</v>
      </c>
      <c r="S7" s="112"/>
      <c r="T7" s="111">
        <f t="shared" si="1"/>
        <v>20201</v>
      </c>
      <c r="U7" s="112">
        <v>978</v>
      </c>
      <c r="V7" s="116">
        <v>852</v>
      </c>
      <c r="W7" s="111"/>
      <c r="X7" s="113">
        <f t="shared" si="7"/>
        <v>22315</v>
      </c>
      <c r="Y7" s="110"/>
      <c r="Z7" s="111"/>
      <c r="AA7" s="116"/>
      <c r="AB7" s="111"/>
      <c r="AC7" s="113">
        <f t="shared" si="8"/>
        <v>0</v>
      </c>
      <c r="AD7" s="110"/>
      <c r="AE7" s="111"/>
      <c r="AF7" s="112"/>
      <c r="AG7" s="117"/>
      <c r="AH7" s="111"/>
      <c r="AI7" s="112"/>
      <c r="AJ7" s="112"/>
      <c r="AK7" s="113">
        <f t="shared" si="9"/>
        <v>0</v>
      </c>
      <c r="AL7" s="143">
        <f t="shared" si="2"/>
        <v>5586</v>
      </c>
      <c r="AM7" s="112">
        <f t="shared" si="3"/>
        <v>1117.2</v>
      </c>
      <c r="AN7" s="112">
        <f t="shared" si="3"/>
        <v>4468.8</v>
      </c>
      <c r="AO7" s="112">
        <f t="shared" si="3"/>
        <v>111.72</v>
      </c>
      <c r="AP7" s="192">
        <f t="shared" si="4"/>
        <v>0.2</v>
      </c>
      <c r="AQ7" s="193">
        <f t="shared" si="5"/>
        <v>22426.720000000001</v>
      </c>
      <c r="AR7" s="194">
        <f t="shared" si="6"/>
        <v>-19847.72</v>
      </c>
      <c r="AS7" s="118" t="s">
        <v>1857</v>
      </c>
      <c r="AT7" s="119" t="s">
        <v>1854</v>
      </c>
      <c r="AU7" s="119"/>
      <c r="AV7" s="120"/>
      <c r="AW7" s="195"/>
      <c r="AX7" s="112">
        <v>5586000</v>
      </c>
      <c r="AY7" s="162">
        <v>1117200</v>
      </c>
      <c r="AZ7" s="162">
        <v>4468800</v>
      </c>
      <c r="BA7" s="162">
        <v>111720</v>
      </c>
      <c r="BB7" s="196">
        <f t="shared" si="10"/>
        <v>0.2</v>
      </c>
    </row>
    <row r="8" spans="1:54" s="121" customFormat="1" ht="16.5" customHeight="1">
      <c r="A8" s="104" t="s">
        <v>2143</v>
      </c>
      <c r="B8" s="105" t="s">
        <v>102</v>
      </c>
      <c r="C8" s="106" t="s">
        <v>103</v>
      </c>
      <c r="D8" s="106" t="s">
        <v>2415</v>
      </c>
      <c r="E8" s="71" t="s">
        <v>104</v>
      </c>
      <c r="F8" s="71" t="s">
        <v>78</v>
      </c>
      <c r="G8" s="109" t="s">
        <v>79</v>
      </c>
      <c r="H8" s="110"/>
      <c r="I8" s="112">
        <v>2969</v>
      </c>
      <c r="J8" s="112"/>
      <c r="K8" s="113">
        <f t="shared" si="0"/>
        <v>2969</v>
      </c>
      <c r="L8" s="143"/>
      <c r="M8" s="111">
        <v>172</v>
      </c>
      <c r="N8" s="112"/>
      <c r="O8" s="112">
        <v>0</v>
      </c>
      <c r="P8" s="114">
        <v>1</v>
      </c>
      <c r="Q8" s="111">
        <v>8428</v>
      </c>
      <c r="R8" s="115">
        <v>7223</v>
      </c>
      <c r="S8" s="112"/>
      <c r="T8" s="111">
        <f t="shared" si="1"/>
        <v>15651</v>
      </c>
      <c r="U8" s="112">
        <v>1074</v>
      </c>
      <c r="V8" s="116">
        <v>58</v>
      </c>
      <c r="W8" s="111"/>
      <c r="X8" s="113">
        <f t="shared" si="7"/>
        <v>16955</v>
      </c>
      <c r="Y8" s="110"/>
      <c r="Z8" s="111"/>
      <c r="AA8" s="116"/>
      <c r="AB8" s="111"/>
      <c r="AC8" s="113">
        <f t="shared" si="8"/>
        <v>0</v>
      </c>
      <c r="AD8" s="110"/>
      <c r="AE8" s="111"/>
      <c r="AF8" s="112"/>
      <c r="AG8" s="117"/>
      <c r="AH8" s="111"/>
      <c r="AI8" s="112"/>
      <c r="AJ8" s="112"/>
      <c r="AK8" s="113">
        <f t="shared" si="9"/>
        <v>0</v>
      </c>
      <c r="AL8" s="143">
        <f t="shared" si="2"/>
        <v>5621.5296780296385</v>
      </c>
      <c r="AM8" s="112">
        <f t="shared" si="3"/>
        <v>5039.5908226185047</v>
      </c>
      <c r="AN8" s="112">
        <f t="shared" si="3"/>
        <v>581.93885541113411</v>
      </c>
      <c r="AO8" s="112">
        <f t="shared" si="3"/>
        <v>15.10362260449147</v>
      </c>
      <c r="AP8" s="192">
        <f t="shared" si="4"/>
        <v>0.89648033742746247</v>
      </c>
      <c r="AQ8" s="193">
        <f t="shared" si="5"/>
        <v>16970.103622604493</v>
      </c>
      <c r="AR8" s="194">
        <f t="shared" si="6"/>
        <v>-14001.103622604493</v>
      </c>
      <c r="AS8" s="118" t="s">
        <v>1857</v>
      </c>
      <c r="AT8" s="119" t="s">
        <v>1852</v>
      </c>
      <c r="AU8" s="119"/>
      <c r="AV8" s="120"/>
      <c r="AW8" s="195" t="s">
        <v>1846</v>
      </c>
      <c r="AX8" s="112">
        <v>5621529.6780296387</v>
      </c>
      <c r="AY8" s="162">
        <v>5039590.822618505</v>
      </c>
      <c r="AZ8" s="162">
        <v>581938.85541113408</v>
      </c>
      <c r="BA8" s="162">
        <v>15103.622604491469</v>
      </c>
      <c r="BB8" s="196">
        <f t="shared" si="10"/>
        <v>0.89648033742746247</v>
      </c>
    </row>
    <row r="9" spans="1:54" s="121" customFormat="1" ht="16.5" customHeight="1">
      <c r="A9" s="104" t="s">
        <v>2143</v>
      </c>
      <c r="B9" s="105" t="s">
        <v>113</v>
      </c>
      <c r="C9" s="106" t="s">
        <v>114</v>
      </c>
      <c r="D9" s="106" t="s">
        <v>2415</v>
      </c>
      <c r="E9" s="71" t="s">
        <v>115</v>
      </c>
      <c r="F9" s="71" t="s">
        <v>78</v>
      </c>
      <c r="G9" s="109" t="s">
        <v>79</v>
      </c>
      <c r="H9" s="110"/>
      <c r="I9" s="112">
        <v>2272</v>
      </c>
      <c r="J9" s="112"/>
      <c r="K9" s="113">
        <f t="shared" si="0"/>
        <v>2272</v>
      </c>
      <c r="L9" s="143"/>
      <c r="M9" s="111">
        <v>172</v>
      </c>
      <c r="N9" s="112"/>
      <c r="O9" s="112">
        <v>40</v>
      </c>
      <c r="P9" s="114">
        <v>1</v>
      </c>
      <c r="Q9" s="111">
        <v>8428</v>
      </c>
      <c r="R9" s="115">
        <v>5733</v>
      </c>
      <c r="S9" s="112"/>
      <c r="T9" s="111">
        <f t="shared" si="1"/>
        <v>14161</v>
      </c>
      <c r="U9" s="112">
        <v>876</v>
      </c>
      <c r="V9" s="116">
        <v>62</v>
      </c>
      <c r="W9" s="111"/>
      <c r="X9" s="113">
        <f t="shared" si="7"/>
        <v>15311</v>
      </c>
      <c r="Y9" s="110"/>
      <c r="Z9" s="111"/>
      <c r="AA9" s="116"/>
      <c r="AB9" s="111"/>
      <c r="AC9" s="113">
        <f t="shared" si="8"/>
        <v>0</v>
      </c>
      <c r="AD9" s="110"/>
      <c r="AE9" s="111"/>
      <c r="AF9" s="112"/>
      <c r="AG9" s="117"/>
      <c r="AH9" s="111"/>
      <c r="AI9" s="112"/>
      <c r="AJ9" s="112"/>
      <c r="AK9" s="113">
        <f t="shared" si="9"/>
        <v>0</v>
      </c>
      <c r="AL9" s="143">
        <f t="shared" si="2"/>
        <v>6250.5530611588329</v>
      </c>
      <c r="AM9" s="112">
        <f t="shared" si="3"/>
        <v>5111.8267252195728</v>
      </c>
      <c r="AN9" s="112">
        <f t="shared" si="3"/>
        <v>1138.7263359392593</v>
      </c>
      <c r="AO9" s="112">
        <f t="shared" si="3"/>
        <v>149.72398738860474</v>
      </c>
      <c r="AP9" s="192">
        <f t="shared" si="4"/>
        <v>0.81781990732702559</v>
      </c>
      <c r="AQ9" s="193">
        <f t="shared" si="5"/>
        <v>15460.723987388605</v>
      </c>
      <c r="AR9" s="194">
        <f t="shared" si="6"/>
        <v>-13188.723987388605</v>
      </c>
      <c r="AS9" s="118" t="s">
        <v>1857</v>
      </c>
      <c r="AT9" s="119" t="s">
        <v>1852</v>
      </c>
      <c r="AU9" s="119"/>
      <c r="AV9" s="120"/>
      <c r="AW9" s="195" t="s">
        <v>1846</v>
      </c>
      <c r="AX9" s="112">
        <v>6250553.0611588331</v>
      </c>
      <c r="AY9" s="162">
        <v>5111826.7252195729</v>
      </c>
      <c r="AZ9" s="162">
        <v>1138726.3359392593</v>
      </c>
      <c r="BA9" s="162">
        <v>149723.98738860473</v>
      </c>
      <c r="BB9" s="196">
        <f t="shared" si="10"/>
        <v>0.81781990732702559</v>
      </c>
    </row>
    <row r="10" spans="1:54" s="121" customFormat="1" ht="16.5" customHeight="1">
      <c r="A10" s="104" t="s">
        <v>2143</v>
      </c>
      <c r="B10" s="105" t="s">
        <v>122</v>
      </c>
      <c r="C10" s="106" t="s">
        <v>123</v>
      </c>
      <c r="D10" s="106" t="s">
        <v>2415</v>
      </c>
      <c r="E10" s="71" t="s">
        <v>124</v>
      </c>
      <c r="F10" s="71" t="s">
        <v>78</v>
      </c>
      <c r="G10" s="109" t="s">
        <v>125</v>
      </c>
      <c r="H10" s="110"/>
      <c r="I10" s="111"/>
      <c r="J10" s="112"/>
      <c r="K10" s="113">
        <f t="shared" si="0"/>
        <v>0</v>
      </c>
      <c r="L10" s="143"/>
      <c r="M10" s="111">
        <v>2442</v>
      </c>
      <c r="N10" s="112"/>
      <c r="O10" s="112"/>
      <c r="P10" s="114">
        <v>6</v>
      </c>
      <c r="Q10" s="111">
        <v>8428</v>
      </c>
      <c r="R10" s="115">
        <v>16245</v>
      </c>
      <c r="S10" s="115"/>
      <c r="T10" s="111">
        <f t="shared" si="1"/>
        <v>66813</v>
      </c>
      <c r="U10" s="112">
        <v>9218</v>
      </c>
      <c r="V10" s="116"/>
      <c r="W10" s="111"/>
      <c r="X10" s="113">
        <f t="shared" si="7"/>
        <v>78473</v>
      </c>
      <c r="Y10" s="110"/>
      <c r="Z10" s="111"/>
      <c r="AA10" s="116"/>
      <c r="AB10" s="111"/>
      <c r="AC10" s="113">
        <f t="shared" si="8"/>
        <v>0</v>
      </c>
      <c r="AD10" s="110"/>
      <c r="AE10" s="111"/>
      <c r="AF10" s="112"/>
      <c r="AG10" s="117"/>
      <c r="AH10" s="111"/>
      <c r="AI10" s="112"/>
      <c r="AJ10" s="112"/>
      <c r="AK10" s="113">
        <f t="shared" si="9"/>
        <v>0</v>
      </c>
      <c r="AL10" s="143">
        <f t="shared" si="2"/>
        <v>109215.91393702519</v>
      </c>
      <c r="AM10" s="112">
        <f t="shared" si="3"/>
        <v>37666.160201073078</v>
      </c>
      <c r="AN10" s="112">
        <f t="shared" si="3"/>
        <v>71549.753735952094</v>
      </c>
      <c r="AO10" s="112">
        <f t="shared" si="3"/>
        <v>2721.3524596406746</v>
      </c>
      <c r="AP10" s="192">
        <f t="shared" si="4"/>
        <v>0.34487794720824022</v>
      </c>
      <c r="AQ10" s="193">
        <f t="shared" si="5"/>
        <v>81194.352459640679</v>
      </c>
      <c r="AR10" s="194">
        <f t="shared" si="6"/>
        <v>-81194.352459640679</v>
      </c>
      <c r="AS10" s="118"/>
      <c r="AT10" s="119"/>
      <c r="AU10" s="119"/>
      <c r="AV10" s="120"/>
      <c r="AW10" s="195"/>
      <c r="AX10" s="112">
        <v>109215913.93702519</v>
      </c>
      <c r="AY10" s="162">
        <v>37666160.20107308</v>
      </c>
      <c r="AZ10" s="162">
        <v>71549753.735952094</v>
      </c>
      <c r="BA10" s="162">
        <v>2721352.4596406748</v>
      </c>
      <c r="BB10" s="196">
        <f t="shared" si="10"/>
        <v>0.34487794720824022</v>
      </c>
    </row>
    <row r="11" spans="1:54" s="121" customFormat="1" ht="16.5" customHeight="1">
      <c r="A11" s="104" t="s">
        <v>2143</v>
      </c>
      <c r="B11" s="105" t="s">
        <v>136</v>
      </c>
      <c r="C11" s="106" t="s">
        <v>137</v>
      </c>
      <c r="D11" s="106" t="s">
        <v>2415</v>
      </c>
      <c r="E11" s="71" t="s">
        <v>138</v>
      </c>
      <c r="F11" s="71" t="s">
        <v>139</v>
      </c>
      <c r="G11" s="109" t="s">
        <v>140</v>
      </c>
      <c r="H11" s="110"/>
      <c r="I11" s="111"/>
      <c r="J11" s="112">
        <v>1266</v>
      </c>
      <c r="K11" s="113">
        <f t="shared" si="0"/>
        <v>1266</v>
      </c>
      <c r="L11" s="110">
        <v>3711</v>
      </c>
      <c r="M11" s="111">
        <v>2512</v>
      </c>
      <c r="N11" s="112"/>
      <c r="O11" s="111">
        <v>602</v>
      </c>
      <c r="P11" s="114">
        <v>25.4</v>
      </c>
      <c r="Q11" s="111">
        <v>8428</v>
      </c>
      <c r="R11" s="115"/>
      <c r="S11" s="115">
        <v>39272</v>
      </c>
      <c r="T11" s="111">
        <f t="shared" si="1"/>
        <v>253343</v>
      </c>
      <c r="U11" s="112">
        <v>1313890</v>
      </c>
      <c r="V11" s="116">
        <v>16026</v>
      </c>
      <c r="W11" s="111"/>
      <c r="X11" s="113">
        <f t="shared" si="7"/>
        <v>1590084</v>
      </c>
      <c r="Y11" s="110"/>
      <c r="Z11" s="111"/>
      <c r="AA11" s="116"/>
      <c r="AB11" s="111"/>
      <c r="AC11" s="113">
        <f t="shared" si="8"/>
        <v>0</v>
      </c>
      <c r="AD11" s="110"/>
      <c r="AE11" s="111"/>
      <c r="AF11" s="112"/>
      <c r="AG11" s="117"/>
      <c r="AH11" s="111"/>
      <c r="AI11" s="112"/>
      <c r="AJ11" s="112"/>
      <c r="AK11" s="113">
        <f t="shared" si="9"/>
        <v>0</v>
      </c>
      <c r="AL11" s="143">
        <f t="shared" si="2"/>
        <v>363872.55900000001</v>
      </c>
      <c r="AM11" s="112">
        <f t="shared" si="3"/>
        <v>232674.261</v>
      </c>
      <c r="AN11" s="112">
        <f t="shared" si="3"/>
        <v>131198.29800000001</v>
      </c>
      <c r="AO11" s="112">
        <f t="shared" si="3"/>
        <v>8489.9390000000003</v>
      </c>
      <c r="AP11" s="192">
        <f t="shared" si="4"/>
        <v>0.63943887837939439</v>
      </c>
      <c r="AQ11" s="193">
        <f t="shared" si="5"/>
        <v>1598573.939</v>
      </c>
      <c r="AR11" s="194">
        <f t="shared" si="6"/>
        <v>-1597307.939</v>
      </c>
      <c r="AS11" s="118"/>
      <c r="AT11" s="119"/>
      <c r="AU11" s="119"/>
      <c r="AV11" s="120"/>
      <c r="AW11" s="195"/>
      <c r="AX11" s="112">
        <v>363872559</v>
      </c>
      <c r="AY11" s="162">
        <v>232674261</v>
      </c>
      <c r="AZ11" s="162">
        <v>131198298</v>
      </c>
      <c r="BA11" s="162">
        <v>8489939</v>
      </c>
      <c r="BB11" s="196">
        <f t="shared" si="10"/>
        <v>0.63943887837939439</v>
      </c>
    </row>
    <row r="12" spans="1:54" s="121" customFormat="1" ht="16.5" customHeight="1">
      <c r="A12" s="104" t="s">
        <v>2143</v>
      </c>
      <c r="B12" s="105" t="s">
        <v>146</v>
      </c>
      <c r="C12" s="106" t="s">
        <v>2141</v>
      </c>
      <c r="D12" s="106" t="s">
        <v>2415</v>
      </c>
      <c r="E12" s="71" t="s">
        <v>2151</v>
      </c>
      <c r="F12" s="71" t="s">
        <v>2144</v>
      </c>
      <c r="G12" s="109" t="s">
        <v>2273</v>
      </c>
      <c r="H12" s="110">
        <v>1718</v>
      </c>
      <c r="I12" s="111"/>
      <c r="J12" s="112"/>
      <c r="K12" s="113">
        <f t="shared" si="0"/>
        <v>1718</v>
      </c>
      <c r="L12" s="110"/>
      <c r="M12" s="111"/>
      <c r="N12" s="112"/>
      <c r="O12" s="111"/>
      <c r="P12" s="114"/>
      <c r="Q12" s="111">
        <v>8428</v>
      </c>
      <c r="R12" s="115"/>
      <c r="S12" s="115"/>
      <c r="T12" s="111">
        <f t="shared" si="1"/>
        <v>0</v>
      </c>
      <c r="U12" s="112"/>
      <c r="V12" s="116">
        <v>2000</v>
      </c>
      <c r="W12" s="111">
        <v>11373</v>
      </c>
      <c r="X12" s="113">
        <f t="shared" si="7"/>
        <v>13373</v>
      </c>
      <c r="Y12" s="110">
        <v>0</v>
      </c>
      <c r="Z12" s="111">
        <v>14555</v>
      </c>
      <c r="AA12" s="116">
        <v>2000</v>
      </c>
      <c r="AB12" s="111">
        <v>11373</v>
      </c>
      <c r="AC12" s="113">
        <f t="shared" si="8"/>
        <v>27928</v>
      </c>
      <c r="AD12" s="110">
        <v>448</v>
      </c>
      <c r="AE12" s="111">
        <v>322</v>
      </c>
      <c r="AF12" s="112">
        <v>0</v>
      </c>
      <c r="AG12" s="117">
        <v>0</v>
      </c>
      <c r="AH12" s="111">
        <v>19540</v>
      </c>
      <c r="AI12" s="112">
        <v>7639</v>
      </c>
      <c r="AJ12" s="112">
        <v>0</v>
      </c>
      <c r="AK12" s="113">
        <f t="shared" si="9"/>
        <v>27949</v>
      </c>
      <c r="AL12" s="143">
        <f t="shared" si="2"/>
        <v>36569.406000000003</v>
      </c>
      <c r="AM12" s="112">
        <f t="shared" si="3"/>
        <v>1350.25</v>
      </c>
      <c r="AN12" s="112">
        <f t="shared" si="3"/>
        <v>35219.156000000003</v>
      </c>
      <c r="AO12" s="112">
        <f>BA12/1000</f>
        <v>1350.25</v>
      </c>
      <c r="AP12" s="192">
        <f t="shared" si="4"/>
        <v>3.6922940449183123E-2</v>
      </c>
      <c r="AQ12" s="193">
        <f t="shared" si="5"/>
        <v>14723.25</v>
      </c>
      <c r="AR12" s="194">
        <f t="shared" si="6"/>
        <v>-13005.25</v>
      </c>
      <c r="AS12" s="118"/>
      <c r="AT12" s="119"/>
      <c r="AU12" s="119"/>
      <c r="AV12" s="120"/>
      <c r="AW12" s="195"/>
      <c r="AX12" s="112">
        <v>36569406</v>
      </c>
      <c r="AY12" s="162">
        <v>1350250</v>
      </c>
      <c r="AZ12" s="162">
        <v>35219156</v>
      </c>
      <c r="BA12" s="162">
        <v>1350250</v>
      </c>
      <c r="BB12" s="196">
        <f t="shared" si="10"/>
        <v>3.6922940449183123E-2</v>
      </c>
    </row>
    <row r="13" spans="1:54" s="121" customFormat="1" ht="16.5" customHeight="1">
      <c r="A13" s="104" t="s">
        <v>2143</v>
      </c>
      <c r="B13" s="105" t="s">
        <v>153</v>
      </c>
      <c r="C13" s="106" t="s">
        <v>2156</v>
      </c>
      <c r="D13" s="106" t="s">
        <v>2415</v>
      </c>
      <c r="E13" s="71" t="s">
        <v>2163</v>
      </c>
      <c r="F13" s="71" t="s">
        <v>2085</v>
      </c>
      <c r="G13" s="109" t="s">
        <v>2157</v>
      </c>
      <c r="H13" s="110">
        <v>162</v>
      </c>
      <c r="I13" s="111"/>
      <c r="J13" s="112"/>
      <c r="K13" s="113">
        <f t="shared" si="0"/>
        <v>162</v>
      </c>
      <c r="L13" s="110"/>
      <c r="M13" s="111"/>
      <c r="N13" s="112"/>
      <c r="O13" s="111"/>
      <c r="P13" s="114">
        <v>0.35</v>
      </c>
      <c r="Q13" s="111">
        <v>8428</v>
      </c>
      <c r="R13" s="115"/>
      <c r="S13" s="115"/>
      <c r="T13" s="111">
        <f t="shared" si="1"/>
        <v>2950</v>
      </c>
      <c r="U13" s="112"/>
      <c r="V13" s="116"/>
      <c r="W13" s="111">
        <v>7494</v>
      </c>
      <c r="X13" s="113">
        <f t="shared" si="7"/>
        <v>10444</v>
      </c>
      <c r="Y13" s="110"/>
      <c r="Z13" s="111"/>
      <c r="AA13" s="116"/>
      <c r="AB13" s="111">
        <v>7494</v>
      </c>
      <c r="AC13" s="113">
        <f t="shared" si="8"/>
        <v>7494</v>
      </c>
      <c r="AD13" s="110">
        <v>293</v>
      </c>
      <c r="AE13" s="111">
        <v>738</v>
      </c>
      <c r="AF13" s="112">
        <v>0</v>
      </c>
      <c r="AG13" s="117">
        <v>0</v>
      </c>
      <c r="AH13" s="111">
        <v>3756</v>
      </c>
      <c r="AI13" s="112">
        <v>211</v>
      </c>
      <c r="AJ13" s="112">
        <v>1586</v>
      </c>
      <c r="AK13" s="113">
        <f t="shared" si="9"/>
        <v>6584</v>
      </c>
      <c r="AL13" s="143">
        <f t="shared" si="2"/>
        <v>343361.34399999998</v>
      </c>
      <c r="AM13" s="112">
        <f t="shared" si="3"/>
        <v>0</v>
      </c>
      <c r="AN13" s="112">
        <f t="shared" si="3"/>
        <v>343361.34399999998</v>
      </c>
      <c r="AO13" s="112">
        <f t="shared" si="3"/>
        <v>0</v>
      </c>
      <c r="AP13" s="192">
        <f t="shared" si="4"/>
        <v>0</v>
      </c>
      <c r="AQ13" s="193">
        <f t="shared" si="5"/>
        <v>10444</v>
      </c>
      <c r="AR13" s="194">
        <f t="shared" si="6"/>
        <v>-10282</v>
      </c>
      <c r="AS13" s="118"/>
      <c r="AT13" s="119"/>
      <c r="AU13" s="119"/>
      <c r="AV13" s="120"/>
      <c r="AW13" s="195"/>
      <c r="AX13" s="112">
        <v>343361344</v>
      </c>
      <c r="AY13" s="162">
        <v>0</v>
      </c>
      <c r="AZ13" s="162">
        <v>343361344</v>
      </c>
      <c r="BA13" s="162">
        <v>0</v>
      </c>
      <c r="BB13" s="196">
        <f t="shared" si="10"/>
        <v>0</v>
      </c>
    </row>
    <row r="14" spans="1:54" s="121" customFormat="1" ht="16.5" customHeight="1">
      <c r="A14" s="104" t="s">
        <v>2143</v>
      </c>
      <c r="B14" s="105" t="s">
        <v>167</v>
      </c>
      <c r="C14" s="106" t="s">
        <v>2118</v>
      </c>
      <c r="D14" s="106" t="s">
        <v>2415</v>
      </c>
      <c r="E14" s="71" t="s">
        <v>2428</v>
      </c>
      <c r="F14" s="71" t="s">
        <v>78</v>
      </c>
      <c r="G14" s="109" t="s">
        <v>147</v>
      </c>
      <c r="H14" s="110">
        <v>0</v>
      </c>
      <c r="I14" s="111">
        <v>0</v>
      </c>
      <c r="J14" s="112">
        <v>1252.0360000000001</v>
      </c>
      <c r="K14" s="113">
        <f t="shared" si="0"/>
        <v>1252.0360000000001</v>
      </c>
      <c r="L14" s="110">
        <v>0</v>
      </c>
      <c r="M14" s="111">
        <v>0</v>
      </c>
      <c r="N14" s="111">
        <v>0</v>
      </c>
      <c r="O14" s="111">
        <v>0</v>
      </c>
      <c r="P14" s="122">
        <v>0</v>
      </c>
      <c r="Q14" s="111">
        <v>8428</v>
      </c>
      <c r="R14" s="111">
        <v>0</v>
      </c>
      <c r="S14" s="111">
        <v>0</v>
      </c>
      <c r="T14" s="111">
        <f t="shared" si="1"/>
        <v>0</v>
      </c>
      <c r="U14" s="111">
        <v>0</v>
      </c>
      <c r="V14" s="117">
        <v>0</v>
      </c>
      <c r="W14" s="111">
        <v>39720</v>
      </c>
      <c r="X14" s="113">
        <f t="shared" si="7"/>
        <v>39720</v>
      </c>
      <c r="Y14" s="110">
        <v>81.36</v>
      </c>
      <c r="Z14" s="111">
        <v>0</v>
      </c>
      <c r="AA14" s="116">
        <v>19.815999999999999</v>
      </c>
      <c r="AB14" s="111">
        <v>38467.964</v>
      </c>
      <c r="AC14" s="113">
        <f t="shared" si="8"/>
        <v>38569.14</v>
      </c>
      <c r="AD14" s="110">
        <v>888.08399999999995</v>
      </c>
      <c r="AE14" s="111">
        <v>1947.12</v>
      </c>
      <c r="AF14" s="112">
        <v>439.18400000000003</v>
      </c>
      <c r="AG14" s="117">
        <v>12.76</v>
      </c>
      <c r="AH14" s="111">
        <v>23341.600999999999</v>
      </c>
      <c r="AI14" s="112">
        <v>5525.6530000000002</v>
      </c>
      <c r="AJ14" s="112">
        <v>5490.8109999999997</v>
      </c>
      <c r="AK14" s="113">
        <f t="shared" si="9"/>
        <v>37645.213000000003</v>
      </c>
      <c r="AL14" s="143">
        <f t="shared" si="2"/>
        <v>171618.96373355959</v>
      </c>
      <c r="AM14" s="112">
        <f t="shared" si="3"/>
        <v>59187.595914435464</v>
      </c>
      <c r="AN14" s="112">
        <f t="shared" si="3"/>
        <v>112431.36781912411</v>
      </c>
      <c r="AO14" s="112">
        <f t="shared" si="3"/>
        <v>4276.2604115239365</v>
      </c>
      <c r="AP14" s="192">
        <f t="shared" si="4"/>
        <v>0.34487794720824028</v>
      </c>
      <c r="AQ14" s="193">
        <f t="shared" si="5"/>
        <v>43996.260411523937</v>
      </c>
      <c r="AR14" s="194">
        <f t="shared" si="6"/>
        <v>-42744.224411523937</v>
      </c>
      <c r="AS14" s="118" t="s">
        <v>2242</v>
      </c>
      <c r="AT14" s="119" t="s">
        <v>2243</v>
      </c>
      <c r="AU14" s="119" t="s">
        <v>2244</v>
      </c>
      <c r="AV14" s="120" t="s">
        <v>2245</v>
      </c>
      <c r="AW14" s="195"/>
      <c r="AX14" s="112">
        <v>171618963.73355958</v>
      </c>
      <c r="AY14" s="162">
        <v>59187595.914435461</v>
      </c>
      <c r="AZ14" s="162">
        <v>112431367.8191241</v>
      </c>
      <c r="BA14" s="162">
        <v>4276260.4115239363</v>
      </c>
      <c r="BB14" s="196">
        <f t="shared" si="10"/>
        <v>0.34487794720824028</v>
      </c>
    </row>
    <row r="15" spans="1:54" s="121" customFormat="1" ht="16.5" customHeight="1">
      <c r="A15" s="104" t="s">
        <v>2143</v>
      </c>
      <c r="B15" s="105" t="s">
        <v>177</v>
      </c>
      <c r="C15" s="106" t="s">
        <v>154</v>
      </c>
      <c r="D15" s="106" t="s">
        <v>2415</v>
      </c>
      <c r="E15" s="71" t="s">
        <v>155</v>
      </c>
      <c r="F15" s="71" t="s">
        <v>78</v>
      </c>
      <c r="G15" s="109" t="s">
        <v>156</v>
      </c>
      <c r="H15" s="110">
        <v>44</v>
      </c>
      <c r="I15" s="111">
        <v>104</v>
      </c>
      <c r="J15" s="112">
        <v>13</v>
      </c>
      <c r="K15" s="113">
        <f t="shared" si="0"/>
        <v>161</v>
      </c>
      <c r="L15" s="110">
        <v>1677</v>
      </c>
      <c r="M15" s="111">
        <v>23730</v>
      </c>
      <c r="N15" s="112">
        <v>0</v>
      </c>
      <c r="O15" s="111">
        <v>1186</v>
      </c>
      <c r="P15" s="114">
        <v>5.38</v>
      </c>
      <c r="Q15" s="111">
        <v>8428</v>
      </c>
      <c r="R15" s="115">
        <v>15506</v>
      </c>
      <c r="S15" s="115"/>
      <c r="T15" s="111">
        <f t="shared" si="1"/>
        <v>60849</v>
      </c>
      <c r="U15" s="112">
        <v>6680</v>
      </c>
      <c r="V15" s="116"/>
      <c r="W15" s="112"/>
      <c r="X15" s="113">
        <f t="shared" si="7"/>
        <v>94122</v>
      </c>
      <c r="Y15" s="110"/>
      <c r="Z15" s="111"/>
      <c r="AA15" s="116"/>
      <c r="AB15" s="111"/>
      <c r="AC15" s="113">
        <f t="shared" si="8"/>
        <v>0</v>
      </c>
      <c r="AD15" s="110"/>
      <c r="AE15" s="111"/>
      <c r="AF15" s="112"/>
      <c r="AG15" s="117"/>
      <c r="AH15" s="111"/>
      <c r="AI15" s="112"/>
      <c r="AJ15" s="112"/>
      <c r="AK15" s="113">
        <f t="shared" si="9"/>
        <v>0</v>
      </c>
      <c r="AL15" s="143">
        <f t="shared" si="2"/>
        <v>508476.06</v>
      </c>
      <c r="AM15" s="112">
        <f t="shared" si="3"/>
        <v>342276.40100000001</v>
      </c>
      <c r="AN15" s="112">
        <f t="shared" si="3"/>
        <v>166199.65900000001</v>
      </c>
      <c r="AO15" s="112">
        <f t="shared" si="3"/>
        <v>10984.317999999999</v>
      </c>
      <c r="AP15" s="192">
        <f t="shared" si="4"/>
        <v>0.67314162440607328</v>
      </c>
      <c r="AQ15" s="193">
        <f t="shared" si="5"/>
        <v>105106.318</v>
      </c>
      <c r="AR15" s="194">
        <f t="shared" si="6"/>
        <v>-104945.318</v>
      </c>
      <c r="AS15" s="118"/>
      <c r="AT15" s="119"/>
      <c r="AU15" s="119"/>
      <c r="AV15" s="120"/>
      <c r="AW15" s="195"/>
      <c r="AX15" s="112">
        <v>508476060</v>
      </c>
      <c r="AY15" s="162">
        <v>342276401</v>
      </c>
      <c r="AZ15" s="162">
        <v>166199659</v>
      </c>
      <c r="BA15" s="162">
        <v>10984318</v>
      </c>
      <c r="BB15" s="196">
        <f t="shared" si="10"/>
        <v>0.67314162440607328</v>
      </c>
    </row>
    <row r="16" spans="1:54" s="121" customFormat="1" ht="16.5" customHeight="1">
      <c r="A16" s="104" t="s">
        <v>2143</v>
      </c>
      <c r="B16" s="105" t="s">
        <v>185</v>
      </c>
      <c r="C16" s="106" t="s">
        <v>168</v>
      </c>
      <c r="D16" s="106" t="s">
        <v>2415</v>
      </c>
      <c r="E16" s="71" t="s">
        <v>169</v>
      </c>
      <c r="F16" s="71" t="s">
        <v>170</v>
      </c>
      <c r="G16" s="109" t="s">
        <v>171</v>
      </c>
      <c r="H16" s="110">
        <v>37</v>
      </c>
      <c r="I16" s="111">
        <v>16</v>
      </c>
      <c r="J16" s="112">
        <v>42</v>
      </c>
      <c r="K16" s="113">
        <f t="shared" si="0"/>
        <v>95</v>
      </c>
      <c r="L16" s="110">
        <v>3800</v>
      </c>
      <c r="M16" s="111">
        <v>5152</v>
      </c>
      <c r="N16" s="112">
        <v>0</v>
      </c>
      <c r="O16" s="111">
        <v>369</v>
      </c>
      <c r="P16" s="114">
        <v>8</v>
      </c>
      <c r="Q16" s="111">
        <v>8428</v>
      </c>
      <c r="R16" s="115">
        <v>35481</v>
      </c>
      <c r="S16" s="115"/>
      <c r="T16" s="111">
        <f t="shared" si="1"/>
        <v>102905</v>
      </c>
      <c r="U16" s="112">
        <v>68336</v>
      </c>
      <c r="V16" s="116"/>
      <c r="W16" s="111"/>
      <c r="X16" s="113">
        <f t="shared" si="7"/>
        <v>180562</v>
      </c>
      <c r="Y16" s="110"/>
      <c r="Z16" s="111"/>
      <c r="AA16" s="116"/>
      <c r="AB16" s="111"/>
      <c r="AC16" s="113">
        <f t="shared" si="8"/>
        <v>0</v>
      </c>
      <c r="AD16" s="110"/>
      <c r="AE16" s="111"/>
      <c r="AF16" s="112"/>
      <c r="AG16" s="117"/>
      <c r="AH16" s="111"/>
      <c r="AI16" s="112"/>
      <c r="AJ16" s="112"/>
      <c r="AK16" s="113">
        <f t="shared" si="9"/>
        <v>0</v>
      </c>
      <c r="AL16" s="143">
        <f t="shared" si="2"/>
        <v>1529532.2</v>
      </c>
      <c r="AM16" s="112">
        <f t="shared" si="3"/>
        <v>770542.35</v>
      </c>
      <c r="AN16" s="112">
        <f t="shared" si="3"/>
        <v>758989.85</v>
      </c>
      <c r="AO16" s="112">
        <f t="shared" si="3"/>
        <v>34981.019999999997</v>
      </c>
      <c r="AP16" s="192">
        <f t="shared" si="4"/>
        <v>0.50377648146276355</v>
      </c>
      <c r="AQ16" s="193">
        <f t="shared" si="5"/>
        <v>215543.02</v>
      </c>
      <c r="AR16" s="194">
        <f t="shared" si="6"/>
        <v>-215448.02</v>
      </c>
      <c r="AS16" s="118"/>
      <c r="AT16" s="119"/>
      <c r="AU16" s="119"/>
      <c r="AV16" s="120"/>
      <c r="AW16" s="195"/>
      <c r="AX16" s="112">
        <v>1529532200</v>
      </c>
      <c r="AY16" s="162">
        <v>770542350</v>
      </c>
      <c r="AZ16" s="162">
        <v>758989850</v>
      </c>
      <c r="BA16" s="162">
        <v>34981020</v>
      </c>
      <c r="BB16" s="196">
        <f t="shared" si="10"/>
        <v>0.50377648146276355</v>
      </c>
    </row>
    <row r="17" spans="1:54" s="121" customFormat="1" ht="16.5" customHeight="1">
      <c r="A17" s="104" t="s">
        <v>2143</v>
      </c>
      <c r="B17" s="105" t="s">
        <v>195</v>
      </c>
      <c r="C17" s="106" t="s">
        <v>2135</v>
      </c>
      <c r="D17" s="106" t="s">
        <v>2415</v>
      </c>
      <c r="E17" s="71" t="s">
        <v>2152</v>
      </c>
      <c r="F17" s="71" t="s">
        <v>2085</v>
      </c>
      <c r="G17" s="109" t="s">
        <v>2153</v>
      </c>
      <c r="H17" s="110"/>
      <c r="I17" s="111">
        <v>9403</v>
      </c>
      <c r="J17" s="112"/>
      <c r="K17" s="113">
        <f t="shared" si="0"/>
        <v>9403</v>
      </c>
      <c r="L17" s="110"/>
      <c r="M17" s="111"/>
      <c r="N17" s="112"/>
      <c r="O17" s="111"/>
      <c r="P17" s="114">
        <v>4</v>
      </c>
      <c r="Q17" s="111">
        <v>8428</v>
      </c>
      <c r="R17" s="115"/>
      <c r="S17" s="115"/>
      <c r="T17" s="111">
        <f t="shared" si="1"/>
        <v>33712</v>
      </c>
      <c r="U17" s="111">
        <v>454</v>
      </c>
      <c r="V17" s="116"/>
      <c r="W17" s="111"/>
      <c r="X17" s="113">
        <f t="shared" si="7"/>
        <v>34166</v>
      </c>
      <c r="Y17" s="110"/>
      <c r="Z17" s="111"/>
      <c r="AA17" s="116"/>
      <c r="AB17" s="111"/>
      <c r="AC17" s="113">
        <f t="shared" si="8"/>
        <v>0</v>
      </c>
      <c r="AD17" s="110"/>
      <c r="AE17" s="111"/>
      <c r="AF17" s="112"/>
      <c r="AG17" s="117"/>
      <c r="AH17" s="111"/>
      <c r="AI17" s="112"/>
      <c r="AJ17" s="112"/>
      <c r="AK17" s="113">
        <f t="shared" si="9"/>
        <v>0</v>
      </c>
      <c r="AL17" s="143">
        <f t="shared" si="2"/>
        <v>0</v>
      </c>
      <c r="AM17" s="112">
        <f t="shared" si="3"/>
        <v>0</v>
      </c>
      <c r="AN17" s="112">
        <f t="shared" si="3"/>
        <v>0</v>
      </c>
      <c r="AO17" s="112">
        <f t="shared" si="3"/>
        <v>0</v>
      </c>
      <c r="AP17" s="192">
        <f t="shared" si="4"/>
        <v>0</v>
      </c>
      <c r="AQ17" s="193">
        <f t="shared" si="5"/>
        <v>34166</v>
      </c>
      <c r="AR17" s="194">
        <f t="shared" si="6"/>
        <v>-24763</v>
      </c>
      <c r="AS17" s="118"/>
      <c r="AT17" s="119"/>
      <c r="AU17" s="119"/>
      <c r="AV17" s="120"/>
      <c r="AW17" s="195"/>
      <c r="AX17" s="112">
        <v>0</v>
      </c>
      <c r="AY17" s="162">
        <v>0</v>
      </c>
      <c r="AZ17" s="162">
        <v>0</v>
      </c>
      <c r="BA17" s="162">
        <v>0</v>
      </c>
      <c r="BB17" s="196">
        <v>0</v>
      </c>
    </row>
    <row r="18" spans="1:54" s="121" customFormat="1" ht="16.5" customHeight="1">
      <c r="A18" s="104" t="s">
        <v>2099</v>
      </c>
      <c r="B18" s="105" t="s">
        <v>203</v>
      </c>
      <c r="C18" s="106" t="s">
        <v>2230</v>
      </c>
      <c r="D18" s="106" t="s">
        <v>2415</v>
      </c>
      <c r="E18" s="71" t="s">
        <v>2231</v>
      </c>
      <c r="F18" s="71" t="s">
        <v>2085</v>
      </c>
      <c r="G18" s="109" t="s">
        <v>171</v>
      </c>
      <c r="H18" s="110">
        <v>0</v>
      </c>
      <c r="I18" s="111">
        <v>0</v>
      </c>
      <c r="J18" s="112">
        <v>0</v>
      </c>
      <c r="K18" s="113">
        <f t="shared" si="0"/>
        <v>0</v>
      </c>
      <c r="L18" s="110">
        <v>335</v>
      </c>
      <c r="M18" s="111">
        <v>173</v>
      </c>
      <c r="N18" s="112">
        <v>0</v>
      </c>
      <c r="O18" s="111">
        <v>288</v>
      </c>
      <c r="P18" s="114"/>
      <c r="Q18" s="111">
        <v>8428</v>
      </c>
      <c r="R18" s="115">
        <v>5631</v>
      </c>
      <c r="S18" s="115"/>
      <c r="T18" s="111">
        <f t="shared" si="1"/>
        <v>5631</v>
      </c>
      <c r="U18" s="112">
        <v>2397</v>
      </c>
      <c r="V18" s="116"/>
      <c r="W18" s="111"/>
      <c r="X18" s="113">
        <f t="shared" si="7"/>
        <v>8824</v>
      </c>
      <c r="Y18" s="110"/>
      <c r="Z18" s="111"/>
      <c r="AA18" s="116"/>
      <c r="AB18" s="111"/>
      <c r="AC18" s="113">
        <f t="shared" si="8"/>
        <v>0</v>
      </c>
      <c r="AD18" s="110"/>
      <c r="AE18" s="111"/>
      <c r="AF18" s="112"/>
      <c r="AG18" s="117"/>
      <c r="AH18" s="111"/>
      <c r="AI18" s="112"/>
      <c r="AJ18" s="112"/>
      <c r="AK18" s="113">
        <f t="shared" si="9"/>
        <v>0</v>
      </c>
      <c r="AL18" s="143">
        <f t="shared" si="2"/>
        <v>13870.293</v>
      </c>
      <c r="AM18" s="112">
        <f t="shared" si="3"/>
        <v>0</v>
      </c>
      <c r="AN18" s="112">
        <f t="shared" si="3"/>
        <v>13870.293</v>
      </c>
      <c r="AO18" s="112">
        <f t="shared" si="3"/>
        <v>0</v>
      </c>
      <c r="AP18" s="192">
        <f t="shared" si="4"/>
        <v>0</v>
      </c>
      <c r="AQ18" s="193">
        <f t="shared" si="5"/>
        <v>8824</v>
      </c>
      <c r="AR18" s="194">
        <f t="shared" si="6"/>
        <v>-8824</v>
      </c>
      <c r="AS18" s="118"/>
      <c r="AT18" s="119"/>
      <c r="AU18" s="119"/>
      <c r="AV18" s="120"/>
      <c r="AW18" s="195"/>
      <c r="AX18" s="112">
        <v>13870293</v>
      </c>
      <c r="AY18" s="162">
        <v>0</v>
      </c>
      <c r="AZ18" s="162">
        <v>13870293</v>
      </c>
      <c r="BA18" s="162">
        <v>0</v>
      </c>
      <c r="BB18" s="196">
        <f t="shared" si="10"/>
        <v>0</v>
      </c>
    </row>
    <row r="19" spans="1:54" s="121" customFormat="1" ht="16.5" customHeight="1">
      <c r="A19" s="104" t="s">
        <v>2143</v>
      </c>
      <c r="B19" s="105" t="s">
        <v>209</v>
      </c>
      <c r="C19" s="106" t="s">
        <v>178</v>
      </c>
      <c r="D19" s="106" t="s">
        <v>2415</v>
      </c>
      <c r="E19" s="71" t="s">
        <v>179</v>
      </c>
      <c r="F19" s="71" t="s">
        <v>78</v>
      </c>
      <c r="G19" s="109" t="s">
        <v>180</v>
      </c>
      <c r="H19" s="110"/>
      <c r="I19" s="112"/>
      <c r="J19" s="112"/>
      <c r="K19" s="113">
        <f t="shared" si="0"/>
        <v>0</v>
      </c>
      <c r="L19" s="143"/>
      <c r="M19" s="111"/>
      <c r="N19" s="112"/>
      <c r="O19" s="111"/>
      <c r="P19" s="114">
        <v>0.9</v>
      </c>
      <c r="Q19" s="111">
        <v>8428</v>
      </c>
      <c r="R19" s="112"/>
      <c r="S19" s="112"/>
      <c r="T19" s="111">
        <f t="shared" si="1"/>
        <v>7585</v>
      </c>
      <c r="U19" s="112">
        <v>5842</v>
      </c>
      <c r="V19" s="116"/>
      <c r="W19" s="111">
        <v>7490</v>
      </c>
      <c r="X19" s="113">
        <f t="shared" si="7"/>
        <v>20917</v>
      </c>
      <c r="Y19" s="110"/>
      <c r="Z19" s="111"/>
      <c r="AA19" s="116"/>
      <c r="AB19" s="111">
        <v>7490</v>
      </c>
      <c r="AC19" s="113">
        <f t="shared" si="8"/>
        <v>7490</v>
      </c>
      <c r="AD19" s="110">
        <v>0</v>
      </c>
      <c r="AE19" s="111">
        <v>0</v>
      </c>
      <c r="AF19" s="112">
        <v>0</v>
      </c>
      <c r="AG19" s="117">
        <v>68.08</v>
      </c>
      <c r="AH19" s="111">
        <v>8186.0079999999998</v>
      </c>
      <c r="AI19" s="112">
        <v>383.41899999999998</v>
      </c>
      <c r="AJ19" s="112"/>
      <c r="AK19" s="113">
        <f t="shared" si="9"/>
        <v>8637.5069999999996</v>
      </c>
      <c r="AL19" s="143">
        <f t="shared" si="2"/>
        <v>0</v>
      </c>
      <c r="AM19" s="112">
        <f t="shared" si="3"/>
        <v>0</v>
      </c>
      <c r="AN19" s="112">
        <f t="shared" si="3"/>
        <v>0</v>
      </c>
      <c r="AO19" s="112">
        <f t="shared" si="3"/>
        <v>0</v>
      </c>
      <c r="AP19" s="192">
        <f t="shared" si="4"/>
        <v>0</v>
      </c>
      <c r="AQ19" s="193">
        <f t="shared" si="5"/>
        <v>20917</v>
      </c>
      <c r="AR19" s="194">
        <f t="shared" si="6"/>
        <v>-20917</v>
      </c>
      <c r="AS19" s="118"/>
      <c r="AT19" s="119"/>
      <c r="AU19" s="119"/>
      <c r="AV19" s="120"/>
      <c r="AW19" s="195"/>
      <c r="AX19" s="112">
        <v>0</v>
      </c>
      <c r="AY19" s="162">
        <v>0</v>
      </c>
      <c r="AZ19" s="162">
        <v>0</v>
      </c>
      <c r="BA19" s="162">
        <v>0</v>
      </c>
      <c r="BB19" s="196">
        <v>0</v>
      </c>
    </row>
    <row r="20" spans="1:54" s="121" customFormat="1" ht="16.5" customHeight="1">
      <c r="A20" s="104" t="s">
        <v>2143</v>
      </c>
      <c r="B20" s="105" t="s">
        <v>213</v>
      </c>
      <c r="C20" s="106" t="s">
        <v>186</v>
      </c>
      <c r="D20" s="106" t="s">
        <v>2415</v>
      </c>
      <c r="E20" s="71" t="s">
        <v>2057</v>
      </c>
      <c r="F20" s="71" t="s">
        <v>187</v>
      </c>
      <c r="G20" s="109" t="s">
        <v>2058</v>
      </c>
      <c r="H20" s="123"/>
      <c r="I20" s="124"/>
      <c r="J20" s="124"/>
      <c r="K20" s="113">
        <f t="shared" si="0"/>
        <v>0</v>
      </c>
      <c r="L20" s="110">
        <v>7620</v>
      </c>
      <c r="M20" s="111">
        <v>3322</v>
      </c>
      <c r="N20" s="112"/>
      <c r="O20" s="111">
        <v>768</v>
      </c>
      <c r="P20" s="114">
        <v>2.2999999999999998</v>
      </c>
      <c r="Q20" s="111">
        <v>8428</v>
      </c>
      <c r="R20" s="124"/>
      <c r="S20" s="124"/>
      <c r="T20" s="111">
        <f t="shared" si="1"/>
        <v>19384</v>
      </c>
      <c r="U20" s="112">
        <v>1923</v>
      </c>
      <c r="V20" s="116"/>
      <c r="W20" s="124"/>
      <c r="X20" s="113">
        <f t="shared" si="7"/>
        <v>33017</v>
      </c>
      <c r="Y20" s="123"/>
      <c r="Z20" s="125"/>
      <c r="AA20" s="126"/>
      <c r="AB20" s="125"/>
      <c r="AC20" s="113">
        <f t="shared" si="8"/>
        <v>0</v>
      </c>
      <c r="AD20" s="123"/>
      <c r="AE20" s="125"/>
      <c r="AF20" s="124"/>
      <c r="AG20" s="197"/>
      <c r="AH20" s="125"/>
      <c r="AI20" s="124"/>
      <c r="AJ20" s="124"/>
      <c r="AK20" s="113">
        <f t="shared" si="9"/>
        <v>0</v>
      </c>
      <c r="AL20" s="143">
        <f t="shared" si="2"/>
        <v>942257.21499999997</v>
      </c>
      <c r="AM20" s="112">
        <f t="shared" si="3"/>
        <v>686932.41399999999</v>
      </c>
      <c r="AN20" s="112">
        <f t="shared" si="3"/>
        <v>255324.80100000001</v>
      </c>
      <c r="AO20" s="112">
        <f t="shared" si="3"/>
        <v>22235.274000000001</v>
      </c>
      <c r="AP20" s="192">
        <f t="shared" si="4"/>
        <v>0.72902855299441782</v>
      </c>
      <c r="AQ20" s="193">
        <f t="shared" si="5"/>
        <v>55252.274000000005</v>
      </c>
      <c r="AR20" s="194">
        <f t="shared" si="6"/>
        <v>-55252.274000000005</v>
      </c>
      <c r="AS20" s="127"/>
      <c r="AT20" s="128"/>
      <c r="AU20" s="128"/>
      <c r="AV20" s="129"/>
      <c r="AW20" s="198"/>
      <c r="AX20" s="112">
        <v>942257215</v>
      </c>
      <c r="AY20" s="162">
        <v>686932414</v>
      </c>
      <c r="AZ20" s="162">
        <v>255324801</v>
      </c>
      <c r="BA20" s="162">
        <v>22235274</v>
      </c>
      <c r="BB20" s="196">
        <f t="shared" si="10"/>
        <v>0.72902855299441782</v>
      </c>
    </row>
    <row r="21" spans="1:54" s="121" customFormat="1" ht="16.5" customHeight="1">
      <c r="A21" s="104" t="s">
        <v>2143</v>
      </c>
      <c r="B21" s="105" t="s">
        <v>218</v>
      </c>
      <c r="C21" s="106" t="s">
        <v>196</v>
      </c>
      <c r="D21" s="106" t="s">
        <v>2415</v>
      </c>
      <c r="E21" s="71" t="s">
        <v>197</v>
      </c>
      <c r="F21" s="71" t="s">
        <v>187</v>
      </c>
      <c r="G21" s="109" t="s">
        <v>2058</v>
      </c>
      <c r="H21" s="123"/>
      <c r="I21" s="124"/>
      <c r="J21" s="124"/>
      <c r="K21" s="113">
        <f t="shared" si="0"/>
        <v>0</v>
      </c>
      <c r="L21" s="110">
        <v>3194</v>
      </c>
      <c r="M21" s="111">
        <v>767</v>
      </c>
      <c r="N21" s="112"/>
      <c r="O21" s="111">
        <v>359</v>
      </c>
      <c r="P21" s="114"/>
      <c r="Q21" s="111">
        <v>8428</v>
      </c>
      <c r="R21" s="124"/>
      <c r="S21" s="124"/>
      <c r="T21" s="111">
        <f t="shared" si="1"/>
        <v>0</v>
      </c>
      <c r="U21" s="112">
        <v>1337</v>
      </c>
      <c r="V21" s="116"/>
      <c r="W21" s="124"/>
      <c r="X21" s="113">
        <f t="shared" si="7"/>
        <v>5657</v>
      </c>
      <c r="Y21" s="123"/>
      <c r="Z21" s="125"/>
      <c r="AA21" s="126"/>
      <c r="AB21" s="125"/>
      <c r="AC21" s="113">
        <f t="shared" si="8"/>
        <v>0</v>
      </c>
      <c r="AD21" s="123"/>
      <c r="AE21" s="125"/>
      <c r="AF21" s="124"/>
      <c r="AG21" s="197"/>
      <c r="AH21" s="125"/>
      <c r="AI21" s="124"/>
      <c r="AJ21" s="124"/>
      <c r="AK21" s="113">
        <f t="shared" si="9"/>
        <v>0</v>
      </c>
      <c r="AL21" s="143">
        <f t="shared" si="2"/>
        <v>284528.7</v>
      </c>
      <c r="AM21" s="112">
        <f t="shared" si="3"/>
        <v>161396.98499999999</v>
      </c>
      <c r="AN21" s="112">
        <f t="shared" si="3"/>
        <v>123131.715</v>
      </c>
      <c r="AO21" s="112">
        <f t="shared" si="3"/>
        <v>9615.4860000000008</v>
      </c>
      <c r="AP21" s="192">
        <f t="shared" si="4"/>
        <v>0.56724325173523793</v>
      </c>
      <c r="AQ21" s="193">
        <f t="shared" si="5"/>
        <v>15272.486000000001</v>
      </c>
      <c r="AR21" s="194">
        <f t="shared" si="6"/>
        <v>-15272.486000000001</v>
      </c>
      <c r="AS21" s="127"/>
      <c r="AT21" s="128"/>
      <c r="AU21" s="128"/>
      <c r="AV21" s="129"/>
      <c r="AW21" s="198"/>
      <c r="AX21" s="112">
        <v>284528700</v>
      </c>
      <c r="AY21" s="162">
        <v>161396985</v>
      </c>
      <c r="AZ21" s="162">
        <v>123131715</v>
      </c>
      <c r="BA21" s="162">
        <v>9615486</v>
      </c>
      <c r="BB21" s="196">
        <f t="shared" si="10"/>
        <v>0.56724325173523793</v>
      </c>
    </row>
    <row r="22" spans="1:54" s="121" customFormat="1" ht="16.5" customHeight="1">
      <c r="A22" s="104" t="s">
        <v>2143</v>
      </c>
      <c r="B22" s="105" t="s">
        <v>223</v>
      </c>
      <c r="C22" s="106" t="s">
        <v>210</v>
      </c>
      <c r="D22" s="106" t="s">
        <v>2415</v>
      </c>
      <c r="E22" s="71" t="s">
        <v>2381</v>
      </c>
      <c r="F22" s="71" t="s">
        <v>187</v>
      </c>
      <c r="G22" s="109" t="s">
        <v>2058</v>
      </c>
      <c r="H22" s="130"/>
      <c r="I22" s="124"/>
      <c r="J22" s="124"/>
      <c r="K22" s="113">
        <f t="shared" si="0"/>
        <v>0</v>
      </c>
      <c r="L22" s="110">
        <v>1207</v>
      </c>
      <c r="M22" s="111">
        <v>28</v>
      </c>
      <c r="N22" s="112"/>
      <c r="O22" s="111">
        <v>81</v>
      </c>
      <c r="P22" s="114"/>
      <c r="Q22" s="111">
        <v>8428</v>
      </c>
      <c r="R22" s="124"/>
      <c r="S22" s="124"/>
      <c r="T22" s="111">
        <f t="shared" si="1"/>
        <v>0</v>
      </c>
      <c r="U22" s="112">
        <v>337</v>
      </c>
      <c r="V22" s="116"/>
      <c r="W22" s="124"/>
      <c r="X22" s="113">
        <f t="shared" si="7"/>
        <v>1653</v>
      </c>
      <c r="Y22" s="123"/>
      <c r="Z22" s="125"/>
      <c r="AA22" s="126"/>
      <c r="AB22" s="125"/>
      <c r="AC22" s="113">
        <f t="shared" si="8"/>
        <v>0</v>
      </c>
      <c r="AD22" s="123"/>
      <c r="AE22" s="125"/>
      <c r="AF22" s="124"/>
      <c r="AG22" s="197"/>
      <c r="AH22" s="125"/>
      <c r="AI22" s="124"/>
      <c r="AJ22" s="124"/>
      <c r="AK22" s="113">
        <f t="shared" si="9"/>
        <v>0</v>
      </c>
      <c r="AL22" s="143">
        <f t="shared" si="2"/>
        <v>58221.453999999998</v>
      </c>
      <c r="AM22" s="112">
        <f t="shared" si="3"/>
        <v>36140.002</v>
      </c>
      <c r="AN22" s="112">
        <f t="shared" si="3"/>
        <v>22081.452000000001</v>
      </c>
      <c r="AO22" s="112">
        <f t="shared" si="3"/>
        <v>1957.01</v>
      </c>
      <c r="AP22" s="192">
        <f t="shared" si="4"/>
        <v>0.62073341555502892</v>
      </c>
      <c r="AQ22" s="193">
        <f t="shared" si="5"/>
        <v>3610.01</v>
      </c>
      <c r="AR22" s="194">
        <f t="shared" si="6"/>
        <v>-3610.01</v>
      </c>
      <c r="AS22" s="127"/>
      <c r="AT22" s="128"/>
      <c r="AU22" s="128"/>
      <c r="AV22" s="129"/>
      <c r="AW22" s="198"/>
      <c r="AX22" s="112">
        <v>58221454</v>
      </c>
      <c r="AY22" s="162">
        <v>36140002</v>
      </c>
      <c r="AZ22" s="162">
        <v>22081452</v>
      </c>
      <c r="BA22" s="162">
        <v>1957010</v>
      </c>
      <c r="BB22" s="196">
        <f t="shared" si="10"/>
        <v>0.62073341555502892</v>
      </c>
    </row>
    <row r="23" spans="1:54" s="121" customFormat="1" ht="16.5" customHeight="1">
      <c r="A23" s="104" t="s">
        <v>2143</v>
      </c>
      <c r="B23" s="105" t="s">
        <v>231</v>
      </c>
      <c r="C23" s="106" t="s">
        <v>214</v>
      </c>
      <c r="D23" s="106" t="s">
        <v>2415</v>
      </c>
      <c r="E23" s="71" t="s">
        <v>215</v>
      </c>
      <c r="F23" s="71" t="s">
        <v>187</v>
      </c>
      <c r="G23" s="109" t="s">
        <v>2058</v>
      </c>
      <c r="H23" s="130"/>
      <c r="I23" s="124"/>
      <c r="J23" s="124"/>
      <c r="K23" s="113">
        <f t="shared" si="0"/>
        <v>0</v>
      </c>
      <c r="L23" s="110">
        <v>1464</v>
      </c>
      <c r="M23" s="111">
        <v>75</v>
      </c>
      <c r="N23" s="112"/>
      <c r="O23" s="111">
        <v>251</v>
      </c>
      <c r="P23" s="114"/>
      <c r="Q23" s="111">
        <v>8428</v>
      </c>
      <c r="R23" s="124"/>
      <c r="S23" s="124"/>
      <c r="T23" s="111">
        <f t="shared" si="1"/>
        <v>0</v>
      </c>
      <c r="U23" s="112">
        <v>535</v>
      </c>
      <c r="V23" s="116"/>
      <c r="W23" s="124"/>
      <c r="X23" s="113">
        <f t="shared" si="7"/>
        <v>2325</v>
      </c>
      <c r="Y23" s="123"/>
      <c r="Z23" s="125"/>
      <c r="AA23" s="126"/>
      <c r="AB23" s="125"/>
      <c r="AC23" s="113">
        <f t="shared" si="8"/>
        <v>0</v>
      </c>
      <c r="AD23" s="123"/>
      <c r="AE23" s="125"/>
      <c r="AF23" s="124"/>
      <c r="AG23" s="197"/>
      <c r="AH23" s="125"/>
      <c r="AI23" s="124"/>
      <c r="AJ23" s="124"/>
      <c r="AK23" s="113">
        <f t="shared" si="9"/>
        <v>0</v>
      </c>
      <c r="AL23" s="143">
        <f t="shared" si="2"/>
        <v>91275</v>
      </c>
      <c r="AM23" s="112">
        <f t="shared" si="3"/>
        <v>53545.923000000003</v>
      </c>
      <c r="AN23" s="112">
        <f t="shared" si="3"/>
        <v>37729.076999999997</v>
      </c>
      <c r="AO23" s="112">
        <f t="shared" si="3"/>
        <v>2164.1129999999998</v>
      </c>
      <c r="AP23" s="192">
        <f t="shared" si="4"/>
        <v>0.58664391125718984</v>
      </c>
      <c r="AQ23" s="193">
        <f t="shared" si="5"/>
        <v>4489.1129999999994</v>
      </c>
      <c r="AR23" s="194">
        <f t="shared" si="6"/>
        <v>-4489.1129999999994</v>
      </c>
      <c r="AS23" s="127"/>
      <c r="AT23" s="128"/>
      <c r="AU23" s="128"/>
      <c r="AV23" s="129"/>
      <c r="AW23" s="198"/>
      <c r="AX23" s="112">
        <v>91275000</v>
      </c>
      <c r="AY23" s="162">
        <v>53545923</v>
      </c>
      <c r="AZ23" s="162">
        <v>37729077</v>
      </c>
      <c r="BA23" s="162">
        <v>2164113</v>
      </c>
      <c r="BB23" s="196">
        <f t="shared" si="10"/>
        <v>0.58664391125718984</v>
      </c>
    </row>
    <row r="24" spans="1:54" s="121" customFormat="1" ht="16.5" customHeight="1">
      <c r="A24" s="104" t="s">
        <v>2143</v>
      </c>
      <c r="B24" s="105" t="s">
        <v>236</v>
      </c>
      <c r="C24" s="106" t="s">
        <v>204</v>
      </c>
      <c r="D24" s="106" t="s">
        <v>2415</v>
      </c>
      <c r="E24" s="71" t="s">
        <v>205</v>
      </c>
      <c r="F24" s="71" t="s">
        <v>187</v>
      </c>
      <c r="G24" s="109" t="s">
        <v>2058</v>
      </c>
      <c r="H24" s="130"/>
      <c r="I24" s="124"/>
      <c r="J24" s="124"/>
      <c r="K24" s="113">
        <f t="shared" si="0"/>
        <v>0</v>
      </c>
      <c r="L24" s="110">
        <v>1056</v>
      </c>
      <c r="M24" s="111">
        <v>29</v>
      </c>
      <c r="N24" s="112"/>
      <c r="O24" s="111">
        <v>555</v>
      </c>
      <c r="P24" s="114"/>
      <c r="Q24" s="111">
        <v>8428</v>
      </c>
      <c r="R24" s="124"/>
      <c r="S24" s="124"/>
      <c r="T24" s="111">
        <f t="shared" si="1"/>
        <v>0</v>
      </c>
      <c r="U24" s="112">
        <v>341</v>
      </c>
      <c r="V24" s="116"/>
      <c r="W24" s="124"/>
      <c r="X24" s="113">
        <f t="shared" si="7"/>
        <v>1981</v>
      </c>
      <c r="Y24" s="123"/>
      <c r="Z24" s="125"/>
      <c r="AA24" s="126"/>
      <c r="AB24" s="125"/>
      <c r="AC24" s="113">
        <f t="shared" si="8"/>
        <v>0</v>
      </c>
      <c r="AD24" s="123"/>
      <c r="AE24" s="125"/>
      <c r="AF24" s="124"/>
      <c r="AG24" s="197"/>
      <c r="AH24" s="125"/>
      <c r="AI24" s="124"/>
      <c r="AJ24" s="124"/>
      <c r="AK24" s="113">
        <f t="shared" si="9"/>
        <v>0</v>
      </c>
      <c r="AL24" s="143">
        <f t="shared" si="2"/>
        <v>42587.601000000002</v>
      </c>
      <c r="AM24" s="112">
        <f t="shared" si="3"/>
        <v>26103.241999999998</v>
      </c>
      <c r="AN24" s="112">
        <f t="shared" si="3"/>
        <v>16484.359</v>
      </c>
      <c r="AO24" s="112">
        <f t="shared" si="3"/>
        <v>860.42</v>
      </c>
      <c r="AP24" s="192">
        <f t="shared" si="4"/>
        <v>0.61293055694778398</v>
      </c>
      <c r="AQ24" s="193">
        <f t="shared" si="5"/>
        <v>2841.42</v>
      </c>
      <c r="AR24" s="194">
        <f t="shared" si="6"/>
        <v>-2841.42</v>
      </c>
      <c r="AS24" s="127"/>
      <c r="AT24" s="128"/>
      <c r="AU24" s="128"/>
      <c r="AV24" s="129"/>
      <c r="AW24" s="198"/>
      <c r="AX24" s="112">
        <v>42587601</v>
      </c>
      <c r="AY24" s="162">
        <v>26103242</v>
      </c>
      <c r="AZ24" s="162">
        <v>16484359</v>
      </c>
      <c r="BA24" s="162">
        <v>860420</v>
      </c>
      <c r="BB24" s="196">
        <f t="shared" si="10"/>
        <v>0.61293055694778398</v>
      </c>
    </row>
    <row r="25" spans="1:54" s="121" customFormat="1" ht="16.5" customHeight="1">
      <c r="A25" s="104" t="s">
        <v>2143</v>
      </c>
      <c r="B25" s="105" t="s">
        <v>241</v>
      </c>
      <c r="C25" s="106" t="s">
        <v>219</v>
      </c>
      <c r="D25" s="106" t="s">
        <v>2415</v>
      </c>
      <c r="E25" s="71" t="s">
        <v>220</v>
      </c>
      <c r="F25" s="71" t="s">
        <v>187</v>
      </c>
      <c r="G25" s="109" t="s">
        <v>2058</v>
      </c>
      <c r="H25" s="130"/>
      <c r="I25" s="124"/>
      <c r="J25" s="124"/>
      <c r="K25" s="113">
        <f t="shared" si="0"/>
        <v>0</v>
      </c>
      <c r="L25" s="110">
        <v>1494</v>
      </c>
      <c r="M25" s="111">
        <v>93</v>
      </c>
      <c r="N25" s="112"/>
      <c r="O25" s="111">
        <v>267</v>
      </c>
      <c r="P25" s="114"/>
      <c r="Q25" s="111">
        <v>8428</v>
      </c>
      <c r="R25" s="124"/>
      <c r="S25" s="124"/>
      <c r="T25" s="111">
        <f t="shared" si="1"/>
        <v>0</v>
      </c>
      <c r="U25" s="112">
        <v>554</v>
      </c>
      <c r="V25" s="116"/>
      <c r="W25" s="124"/>
      <c r="X25" s="113">
        <f t="shared" si="7"/>
        <v>2408</v>
      </c>
      <c r="Y25" s="123"/>
      <c r="Z25" s="125"/>
      <c r="AA25" s="126"/>
      <c r="AB25" s="125"/>
      <c r="AC25" s="113">
        <f t="shared" si="8"/>
        <v>0</v>
      </c>
      <c r="AD25" s="123"/>
      <c r="AE25" s="125"/>
      <c r="AF25" s="124"/>
      <c r="AG25" s="197"/>
      <c r="AH25" s="125"/>
      <c r="AI25" s="124"/>
      <c r="AJ25" s="124"/>
      <c r="AK25" s="113">
        <f t="shared" si="9"/>
        <v>0</v>
      </c>
      <c r="AL25" s="143">
        <f t="shared" si="2"/>
        <v>102776.552</v>
      </c>
      <c r="AM25" s="112">
        <f t="shared" si="3"/>
        <v>50412.91</v>
      </c>
      <c r="AN25" s="112">
        <f t="shared" si="3"/>
        <v>52363.642</v>
      </c>
      <c r="AO25" s="112">
        <f t="shared" si="3"/>
        <v>2120.3069999999998</v>
      </c>
      <c r="AP25" s="192">
        <f t="shared" si="4"/>
        <v>0.4905098392481585</v>
      </c>
      <c r="AQ25" s="193">
        <f t="shared" si="5"/>
        <v>4528.3069999999998</v>
      </c>
      <c r="AR25" s="194">
        <f t="shared" si="6"/>
        <v>-4528.3069999999998</v>
      </c>
      <c r="AS25" s="127"/>
      <c r="AT25" s="128"/>
      <c r="AU25" s="128"/>
      <c r="AV25" s="129"/>
      <c r="AW25" s="198"/>
      <c r="AX25" s="112">
        <v>102776552</v>
      </c>
      <c r="AY25" s="162">
        <v>50412910</v>
      </c>
      <c r="AZ25" s="162">
        <v>52363642</v>
      </c>
      <c r="BA25" s="162">
        <v>2120307</v>
      </c>
      <c r="BB25" s="196">
        <f t="shared" si="10"/>
        <v>0.4905098392481585</v>
      </c>
    </row>
    <row r="26" spans="1:54" s="121" customFormat="1" ht="16.5" customHeight="1">
      <c r="A26" s="104" t="s">
        <v>2143</v>
      </c>
      <c r="B26" s="105" t="s">
        <v>246</v>
      </c>
      <c r="C26" s="106" t="s">
        <v>224</v>
      </c>
      <c r="D26" s="106" t="s">
        <v>2415</v>
      </c>
      <c r="E26" s="71" t="s">
        <v>225</v>
      </c>
      <c r="F26" s="71" t="s">
        <v>187</v>
      </c>
      <c r="G26" s="109" t="s">
        <v>2058</v>
      </c>
      <c r="H26" s="130"/>
      <c r="I26" s="124"/>
      <c r="J26" s="124"/>
      <c r="K26" s="113">
        <f t="shared" si="0"/>
        <v>0</v>
      </c>
      <c r="L26" s="110">
        <v>37</v>
      </c>
      <c r="M26" s="112"/>
      <c r="N26" s="112"/>
      <c r="O26" s="112">
        <v>89</v>
      </c>
      <c r="P26" s="114"/>
      <c r="Q26" s="111">
        <v>8428</v>
      </c>
      <c r="R26" s="124"/>
      <c r="S26" s="124"/>
      <c r="T26" s="111">
        <f t="shared" si="1"/>
        <v>0</v>
      </c>
      <c r="U26" s="124"/>
      <c r="V26" s="126"/>
      <c r="W26" s="124"/>
      <c r="X26" s="113">
        <f t="shared" si="7"/>
        <v>126</v>
      </c>
      <c r="Y26" s="123"/>
      <c r="Z26" s="125"/>
      <c r="AA26" s="126"/>
      <c r="AB26" s="125"/>
      <c r="AC26" s="113">
        <f t="shared" si="8"/>
        <v>0</v>
      </c>
      <c r="AD26" s="123"/>
      <c r="AE26" s="125"/>
      <c r="AF26" s="124"/>
      <c r="AG26" s="197"/>
      <c r="AH26" s="125"/>
      <c r="AI26" s="124"/>
      <c r="AJ26" s="124"/>
      <c r="AK26" s="113">
        <f t="shared" si="9"/>
        <v>0</v>
      </c>
      <c r="AL26" s="143">
        <f t="shared" si="2"/>
        <v>4767.6000000000004</v>
      </c>
      <c r="AM26" s="112">
        <f t="shared" si="3"/>
        <v>1258.6400000000001</v>
      </c>
      <c r="AN26" s="112">
        <f t="shared" si="3"/>
        <v>3508.96</v>
      </c>
      <c r="AO26" s="112">
        <f t="shared" si="3"/>
        <v>157.33000000000001</v>
      </c>
      <c r="AP26" s="192">
        <f t="shared" si="4"/>
        <v>0.26399865760550384</v>
      </c>
      <c r="AQ26" s="193">
        <f t="shared" si="5"/>
        <v>283.33000000000004</v>
      </c>
      <c r="AR26" s="194">
        <f t="shared" si="6"/>
        <v>-283.33000000000004</v>
      </c>
      <c r="AS26" s="127"/>
      <c r="AT26" s="128"/>
      <c r="AU26" s="128"/>
      <c r="AV26" s="129"/>
      <c r="AW26" s="198"/>
      <c r="AX26" s="112">
        <v>4767600</v>
      </c>
      <c r="AY26" s="162">
        <v>1258640</v>
      </c>
      <c r="AZ26" s="162">
        <v>3508960</v>
      </c>
      <c r="BA26" s="162">
        <v>157330</v>
      </c>
      <c r="BB26" s="196">
        <f t="shared" si="10"/>
        <v>0.26399865760550384</v>
      </c>
    </row>
    <row r="27" spans="1:54" s="121" customFormat="1" ht="16.5" customHeight="1">
      <c r="A27" s="104" t="s">
        <v>2143</v>
      </c>
      <c r="B27" s="105" t="s">
        <v>253</v>
      </c>
      <c r="C27" s="106" t="s">
        <v>247</v>
      </c>
      <c r="D27" s="106" t="s">
        <v>2415</v>
      </c>
      <c r="E27" s="71" t="s">
        <v>248</v>
      </c>
      <c r="F27" s="71" t="s">
        <v>187</v>
      </c>
      <c r="G27" s="109" t="s">
        <v>2058</v>
      </c>
      <c r="H27" s="130"/>
      <c r="I27" s="124"/>
      <c r="J27" s="124"/>
      <c r="K27" s="113">
        <f t="shared" si="0"/>
        <v>0</v>
      </c>
      <c r="L27" s="143"/>
      <c r="M27" s="112"/>
      <c r="N27" s="112"/>
      <c r="O27" s="112"/>
      <c r="P27" s="114"/>
      <c r="Q27" s="111">
        <v>8428</v>
      </c>
      <c r="R27" s="124"/>
      <c r="S27" s="124"/>
      <c r="T27" s="111">
        <f t="shared" si="1"/>
        <v>0</v>
      </c>
      <c r="U27" s="124"/>
      <c r="V27" s="126"/>
      <c r="W27" s="124"/>
      <c r="X27" s="113">
        <f t="shared" si="7"/>
        <v>0</v>
      </c>
      <c r="Y27" s="123"/>
      <c r="Z27" s="125"/>
      <c r="AA27" s="126"/>
      <c r="AB27" s="125"/>
      <c r="AC27" s="113">
        <f t="shared" si="8"/>
        <v>0</v>
      </c>
      <c r="AD27" s="123"/>
      <c r="AE27" s="125"/>
      <c r="AF27" s="124"/>
      <c r="AG27" s="197"/>
      <c r="AH27" s="125"/>
      <c r="AI27" s="124"/>
      <c r="AJ27" s="124"/>
      <c r="AK27" s="113">
        <f t="shared" si="9"/>
        <v>0</v>
      </c>
      <c r="AL27" s="143">
        <f t="shared" si="2"/>
        <v>10833.9</v>
      </c>
      <c r="AM27" s="112">
        <f t="shared" si="3"/>
        <v>10227.200000000001</v>
      </c>
      <c r="AN27" s="112">
        <f t="shared" si="3"/>
        <v>606.70000000000005</v>
      </c>
      <c r="AO27" s="112">
        <f t="shared" si="3"/>
        <v>639.20000000000005</v>
      </c>
      <c r="AP27" s="192">
        <f t="shared" si="4"/>
        <v>0.94399985231541739</v>
      </c>
      <c r="AQ27" s="193">
        <f t="shared" si="5"/>
        <v>639.20000000000005</v>
      </c>
      <c r="AR27" s="194">
        <f t="shared" si="6"/>
        <v>-639.20000000000005</v>
      </c>
      <c r="AS27" s="127"/>
      <c r="AT27" s="128"/>
      <c r="AU27" s="128"/>
      <c r="AV27" s="129"/>
      <c r="AW27" s="198"/>
      <c r="AX27" s="112">
        <v>10833900</v>
      </c>
      <c r="AY27" s="162">
        <v>10227200</v>
      </c>
      <c r="AZ27" s="162">
        <v>606700</v>
      </c>
      <c r="BA27" s="162">
        <v>639200</v>
      </c>
      <c r="BB27" s="196">
        <f t="shared" si="10"/>
        <v>0.94399985231541739</v>
      </c>
    </row>
    <row r="28" spans="1:54" s="121" customFormat="1" ht="16.5" customHeight="1">
      <c r="A28" s="104" t="s">
        <v>2143</v>
      </c>
      <c r="B28" s="105" t="s">
        <v>259</v>
      </c>
      <c r="C28" s="106" t="s">
        <v>254</v>
      </c>
      <c r="D28" s="106" t="s">
        <v>2415</v>
      </c>
      <c r="E28" s="71" t="s">
        <v>255</v>
      </c>
      <c r="F28" s="71" t="s">
        <v>187</v>
      </c>
      <c r="G28" s="109" t="s">
        <v>2058</v>
      </c>
      <c r="H28" s="130"/>
      <c r="I28" s="124"/>
      <c r="J28" s="124"/>
      <c r="K28" s="113">
        <f t="shared" si="0"/>
        <v>0</v>
      </c>
      <c r="L28" s="110">
        <v>31</v>
      </c>
      <c r="M28" s="112"/>
      <c r="N28" s="112"/>
      <c r="O28" s="111"/>
      <c r="P28" s="114"/>
      <c r="Q28" s="111">
        <v>8428</v>
      </c>
      <c r="R28" s="124"/>
      <c r="S28" s="124"/>
      <c r="T28" s="111">
        <f t="shared" si="1"/>
        <v>0</v>
      </c>
      <c r="U28" s="124"/>
      <c r="V28" s="126"/>
      <c r="W28" s="124"/>
      <c r="X28" s="113">
        <f t="shared" si="7"/>
        <v>31</v>
      </c>
      <c r="Y28" s="123"/>
      <c r="Z28" s="125"/>
      <c r="AA28" s="126"/>
      <c r="AB28" s="125"/>
      <c r="AC28" s="113">
        <f t="shared" si="8"/>
        <v>0</v>
      </c>
      <c r="AD28" s="123"/>
      <c r="AE28" s="125"/>
      <c r="AF28" s="124"/>
      <c r="AG28" s="197"/>
      <c r="AH28" s="125"/>
      <c r="AI28" s="124"/>
      <c r="AJ28" s="124"/>
      <c r="AK28" s="113">
        <f t="shared" si="9"/>
        <v>0</v>
      </c>
      <c r="AL28" s="143">
        <f t="shared" si="2"/>
        <v>15750</v>
      </c>
      <c r="AM28" s="112">
        <f t="shared" si="3"/>
        <v>6756.75</v>
      </c>
      <c r="AN28" s="112">
        <f t="shared" si="3"/>
        <v>8993.25</v>
      </c>
      <c r="AO28" s="112">
        <f t="shared" si="3"/>
        <v>519.75</v>
      </c>
      <c r="AP28" s="192">
        <f t="shared" si="4"/>
        <v>0.42899999999999999</v>
      </c>
      <c r="AQ28" s="193">
        <f t="shared" si="5"/>
        <v>550.75</v>
      </c>
      <c r="AR28" s="194">
        <f t="shared" si="6"/>
        <v>-550.75</v>
      </c>
      <c r="AS28" s="127"/>
      <c r="AT28" s="128"/>
      <c r="AU28" s="128"/>
      <c r="AV28" s="129"/>
      <c r="AW28" s="198"/>
      <c r="AX28" s="112">
        <v>15750000</v>
      </c>
      <c r="AY28" s="162">
        <v>6756750</v>
      </c>
      <c r="AZ28" s="162">
        <v>8993250</v>
      </c>
      <c r="BA28" s="162">
        <v>519750</v>
      </c>
      <c r="BB28" s="196">
        <f t="shared" si="10"/>
        <v>0.42899999999999999</v>
      </c>
    </row>
    <row r="29" spans="1:54" s="121" customFormat="1" ht="16.5" customHeight="1">
      <c r="A29" s="104" t="s">
        <v>2143</v>
      </c>
      <c r="B29" s="105" t="s">
        <v>272</v>
      </c>
      <c r="C29" s="106" t="s">
        <v>237</v>
      </c>
      <c r="D29" s="106" t="s">
        <v>2415</v>
      </c>
      <c r="E29" s="71" t="s">
        <v>238</v>
      </c>
      <c r="F29" s="71" t="s">
        <v>187</v>
      </c>
      <c r="G29" s="109" t="s">
        <v>2058</v>
      </c>
      <c r="H29" s="130"/>
      <c r="I29" s="124"/>
      <c r="J29" s="124"/>
      <c r="K29" s="113">
        <f t="shared" si="0"/>
        <v>0</v>
      </c>
      <c r="L29" s="110">
        <v>35</v>
      </c>
      <c r="M29" s="112"/>
      <c r="N29" s="112"/>
      <c r="O29" s="112">
        <v>172</v>
      </c>
      <c r="P29" s="114"/>
      <c r="Q29" s="111">
        <v>8428</v>
      </c>
      <c r="R29" s="124"/>
      <c r="S29" s="124"/>
      <c r="T29" s="111">
        <f t="shared" si="1"/>
        <v>0</v>
      </c>
      <c r="U29" s="124"/>
      <c r="V29" s="126"/>
      <c r="W29" s="124"/>
      <c r="X29" s="113">
        <f t="shared" si="7"/>
        <v>207</v>
      </c>
      <c r="Y29" s="123"/>
      <c r="Z29" s="125"/>
      <c r="AA29" s="126"/>
      <c r="AB29" s="125"/>
      <c r="AC29" s="113">
        <f t="shared" si="8"/>
        <v>0</v>
      </c>
      <c r="AD29" s="123"/>
      <c r="AE29" s="125"/>
      <c r="AF29" s="124"/>
      <c r="AG29" s="197"/>
      <c r="AH29" s="125"/>
      <c r="AI29" s="124"/>
      <c r="AJ29" s="124"/>
      <c r="AK29" s="113">
        <f t="shared" si="9"/>
        <v>0</v>
      </c>
      <c r="AL29" s="143">
        <f t="shared" si="2"/>
        <v>29116</v>
      </c>
      <c r="AM29" s="112">
        <f t="shared" si="3"/>
        <v>14936.508</v>
      </c>
      <c r="AN29" s="112">
        <f t="shared" si="3"/>
        <v>14179.492</v>
      </c>
      <c r="AO29" s="112">
        <f t="shared" si="3"/>
        <v>786.13199999999995</v>
      </c>
      <c r="AP29" s="192">
        <f t="shared" si="4"/>
        <v>0.51300000000000001</v>
      </c>
      <c r="AQ29" s="193">
        <f t="shared" si="5"/>
        <v>993.13199999999995</v>
      </c>
      <c r="AR29" s="194">
        <f t="shared" si="6"/>
        <v>-993.13199999999995</v>
      </c>
      <c r="AS29" s="127"/>
      <c r="AT29" s="128"/>
      <c r="AU29" s="128"/>
      <c r="AV29" s="129"/>
      <c r="AW29" s="198"/>
      <c r="AX29" s="112">
        <v>29116000</v>
      </c>
      <c r="AY29" s="162">
        <v>14936508</v>
      </c>
      <c r="AZ29" s="162">
        <v>14179492</v>
      </c>
      <c r="BA29" s="162">
        <v>786132</v>
      </c>
      <c r="BB29" s="196">
        <f t="shared" si="10"/>
        <v>0.51300000000000001</v>
      </c>
    </row>
    <row r="30" spans="1:54" s="121" customFormat="1" ht="16.5" customHeight="1">
      <c r="A30" s="104" t="s">
        <v>2143</v>
      </c>
      <c r="B30" s="105" t="s">
        <v>277</v>
      </c>
      <c r="C30" s="106" t="s">
        <v>232</v>
      </c>
      <c r="D30" s="106" t="s">
        <v>2415</v>
      </c>
      <c r="E30" s="71" t="s">
        <v>233</v>
      </c>
      <c r="F30" s="71" t="s">
        <v>187</v>
      </c>
      <c r="G30" s="109" t="s">
        <v>2058</v>
      </c>
      <c r="H30" s="130"/>
      <c r="I30" s="124"/>
      <c r="J30" s="124"/>
      <c r="K30" s="113">
        <f t="shared" si="0"/>
        <v>0</v>
      </c>
      <c r="L30" s="110">
        <v>32</v>
      </c>
      <c r="M30" s="112"/>
      <c r="N30" s="112"/>
      <c r="O30" s="112"/>
      <c r="P30" s="114"/>
      <c r="Q30" s="111">
        <v>8428</v>
      </c>
      <c r="R30" s="124"/>
      <c r="S30" s="124"/>
      <c r="T30" s="111">
        <f t="shared" si="1"/>
        <v>0</v>
      </c>
      <c r="U30" s="124"/>
      <c r="V30" s="126"/>
      <c r="W30" s="124"/>
      <c r="X30" s="113">
        <f t="shared" si="7"/>
        <v>32</v>
      </c>
      <c r="Y30" s="123"/>
      <c r="Z30" s="125"/>
      <c r="AA30" s="126"/>
      <c r="AB30" s="125"/>
      <c r="AC30" s="113">
        <f t="shared" si="8"/>
        <v>0</v>
      </c>
      <c r="AD30" s="123"/>
      <c r="AE30" s="125"/>
      <c r="AF30" s="124"/>
      <c r="AG30" s="197"/>
      <c r="AH30" s="125"/>
      <c r="AI30" s="124"/>
      <c r="AJ30" s="124"/>
      <c r="AK30" s="113">
        <f t="shared" si="9"/>
        <v>0</v>
      </c>
      <c r="AL30" s="143">
        <f t="shared" si="2"/>
        <v>21840</v>
      </c>
      <c r="AM30" s="112">
        <f t="shared" si="3"/>
        <v>12383.28</v>
      </c>
      <c r="AN30" s="112">
        <f t="shared" si="3"/>
        <v>9456.7199999999993</v>
      </c>
      <c r="AO30" s="112">
        <f t="shared" si="3"/>
        <v>589.67999999999995</v>
      </c>
      <c r="AP30" s="192">
        <f t="shared" si="4"/>
        <v>0.56699999999999995</v>
      </c>
      <c r="AQ30" s="193">
        <f t="shared" si="5"/>
        <v>621.67999999999995</v>
      </c>
      <c r="AR30" s="194">
        <f t="shared" si="6"/>
        <v>-621.67999999999995</v>
      </c>
      <c r="AS30" s="127"/>
      <c r="AT30" s="128"/>
      <c r="AU30" s="128"/>
      <c r="AV30" s="129"/>
      <c r="AW30" s="198"/>
      <c r="AX30" s="112">
        <v>21840000</v>
      </c>
      <c r="AY30" s="162">
        <v>12383280</v>
      </c>
      <c r="AZ30" s="162">
        <v>9456720</v>
      </c>
      <c r="BA30" s="162">
        <v>589680</v>
      </c>
      <c r="BB30" s="196">
        <f t="shared" si="10"/>
        <v>0.56699999999999995</v>
      </c>
    </row>
    <row r="31" spans="1:54" s="121" customFormat="1" ht="16.5" customHeight="1">
      <c r="A31" s="104" t="s">
        <v>2143</v>
      </c>
      <c r="B31" s="105" t="s">
        <v>282</v>
      </c>
      <c r="C31" s="106" t="s">
        <v>242</v>
      </c>
      <c r="D31" s="106" t="s">
        <v>2415</v>
      </c>
      <c r="E31" s="71" t="s">
        <v>243</v>
      </c>
      <c r="F31" s="71" t="s">
        <v>187</v>
      </c>
      <c r="G31" s="109" t="s">
        <v>2058</v>
      </c>
      <c r="H31" s="130"/>
      <c r="I31" s="124"/>
      <c r="J31" s="124"/>
      <c r="K31" s="113">
        <f t="shared" si="0"/>
        <v>0</v>
      </c>
      <c r="L31" s="110">
        <v>26</v>
      </c>
      <c r="M31" s="112"/>
      <c r="N31" s="112"/>
      <c r="O31" s="112"/>
      <c r="P31" s="114"/>
      <c r="Q31" s="111">
        <v>8428</v>
      </c>
      <c r="R31" s="124"/>
      <c r="S31" s="124"/>
      <c r="T31" s="111">
        <f t="shared" si="1"/>
        <v>0</v>
      </c>
      <c r="U31" s="124"/>
      <c r="V31" s="126"/>
      <c r="W31" s="124"/>
      <c r="X31" s="113">
        <f t="shared" si="7"/>
        <v>26</v>
      </c>
      <c r="Y31" s="199"/>
      <c r="Z31" s="200"/>
      <c r="AA31" s="201"/>
      <c r="AB31" s="200"/>
      <c r="AC31" s="113">
        <f t="shared" si="8"/>
        <v>0</v>
      </c>
      <c r="AD31" s="199"/>
      <c r="AE31" s="200"/>
      <c r="AF31" s="202"/>
      <c r="AG31" s="203"/>
      <c r="AH31" s="200"/>
      <c r="AI31" s="202"/>
      <c r="AJ31" s="202"/>
      <c r="AK31" s="113">
        <f t="shared" si="9"/>
        <v>0</v>
      </c>
      <c r="AL31" s="143">
        <f t="shared" si="2"/>
        <v>14595</v>
      </c>
      <c r="AM31" s="112">
        <f t="shared" si="3"/>
        <v>5297.9849999999997</v>
      </c>
      <c r="AN31" s="112">
        <f t="shared" si="3"/>
        <v>9297.0149999999994</v>
      </c>
      <c r="AO31" s="112">
        <f t="shared" si="3"/>
        <v>481.63499999999999</v>
      </c>
      <c r="AP31" s="192">
        <f t="shared" si="4"/>
        <v>0.36299999999999999</v>
      </c>
      <c r="AQ31" s="193">
        <f t="shared" si="5"/>
        <v>507.63499999999999</v>
      </c>
      <c r="AR31" s="194">
        <f t="shared" si="6"/>
        <v>-507.63499999999999</v>
      </c>
      <c r="AS31" s="204"/>
      <c r="AT31" s="205"/>
      <c r="AU31" s="205"/>
      <c r="AV31" s="206"/>
      <c r="AW31" s="207"/>
      <c r="AX31" s="112">
        <v>14595000</v>
      </c>
      <c r="AY31" s="162">
        <v>5297985</v>
      </c>
      <c r="AZ31" s="162">
        <v>9297015</v>
      </c>
      <c r="BA31" s="162">
        <v>481635</v>
      </c>
      <c r="BB31" s="196">
        <f t="shared" si="10"/>
        <v>0.36299999999999999</v>
      </c>
    </row>
    <row r="32" spans="1:54" s="121" customFormat="1" ht="16.5" customHeight="1">
      <c r="A32" s="104" t="s">
        <v>2143</v>
      </c>
      <c r="B32" s="105" t="s">
        <v>289</v>
      </c>
      <c r="C32" s="107" t="s">
        <v>260</v>
      </c>
      <c r="D32" s="106" t="s">
        <v>2415</v>
      </c>
      <c r="E32" s="71" t="s">
        <v>261</v>
      </c>
      <c r="F32" s="131" t="s">
        <v>78</v>
      </c>
      <c r="G32" s="132" t="s">
        <v>180</v>
      </c>
      <c r="H32" s="133">
        <v>0</v>
      </c>
      <c r="I32" s="134">
        <v>0</v>
      </c>
      <c r="J32" s="134">
        <v>0</v>
      </c>
      <c r="K32" s="113">
        <f t="shared" si="0"/>
        <v>0</v>
      </c>
      <c r="L32" s="133">
        <v>206.00700000000001</v>
      </c>
      <c r="M32" s="135">
        <v>22.943000000000001</v>
      </c>
      <c r="N32" s="134">
        <v>0</v>
      </c>
      <c r="O32" s="135">
        <v>301.39999999999998</v>
      </c>
      <c r="P32" s="136">
        <v>5.0099999999999999E-2</v>
      </c>
      <c r="Q32" s="111">
        <v>8428</v>
      </c>
      <c r="R32" s="134"/>
      <c r="S32" s="134"/>
      <c r="T32" s="111">
        <f t="shared" si="1"/>
        <v>422</v>
      </c>
      <c r="U32" s="134">
        <v>0</v>
      </c>
      <c r="V32" s="137">
        <v>21.988</v>
      </c>
      <c r="W32" s="135">
        <v>100</v>
      </c>
      <c r="X32" s="113">
        <f t="shared" si="7"/>
        <v>1074.338</v>
      </c>
      <c r="Y32" s="133">
        <v>0</v>
      </c>
      <c r="Z32" s="135">
        <v>0</v>
      </c>
      <c r="AA32" s="137">
        <v>4.0000000000000001E-3</v>
      </c>
      <c r="AB32" s="135">
        <v>100.22199999999999</v>
      </c>
      <c r="AC32" s="113">
        <f t="shared" si="8"/>
        <v>100.226</v>
      </c>
      <c r="AD32" s="133">
        <v>0</v>
      </c>
      <c r="AE32" s="135">
        <v>0</v>
      </c>
      <c r="AF32" s="134">
        <v>0</v>
      </c>
      <c r="AG32" s="138">
        <v>0</v>
      </c>
      <c r="AH32" s="135">
        <v>0</v>
      </c>
      <c r="AI32" s="134">
        <v>0</v>
      </c>
      <c r="AJ32" s="134">
        <v>24.568000000000001</v>
      </c>
      <c r="AK32" s="113">
        <f t="shared" si="9"/>
        <v>24.568000000000001</v>
      </c>
      <c r="AL32" s="143">
        <f t="shared" si="2"/>
        <v>45186.3</v>
      </c>
      <c r="AM32" s="112">
        <f t="shared" si="3"/>
        <v>38973.665000000001</v>
      </c>
      <c r="AN32" s="112">
        <f t="shared" si="3"/>
        <v>6212.6350000000002</v>
      </c>
      <c r="AO32" s="112">
        <f t="shared" si="3"/>
        <v>412.49200000000002</v>
      </c>
      <c r="AP32" s="192">
        <f t="shared" si="4"/>
        <v>0.86251065035198726</v>
      </c>
      <c r="AQ32" s="193">
        <f t="shared" si="5"/>
        <v>1486.83</v>
      </c>
      <c r="AR32" s="194">
        <f t="shared" si="6"/>
        <v>-1486.83</v>
      </c>
      <c r="AS32" s="139"/>
      <c r="AT32" s="140"/>
      <c r="AU32" s="140"/>
      <c r="AV32" s="141"/>
      <c r="AW32" s="208"/>
      <c r="AX32" s="112">
        <v>45186300</v>
      </c>
      <c r="AY32" s="162">
        <v>38973665</v>
      </c>
      <c r="AZ32" s="162">
        <v>6212635</v>
      </c>
      <c r="BA32" s="162">
        <v>412492</v>
      </c>
      <c r="BB32" s="196">
        <f t="shared" si="10"/>
        <v>0.86251065035198726</v>
      </c>
    </row>
    <row r="33" spans="1:54" s="121" customFormat="1" ht="16.5" customHeight="1">
      <c r="A33" s="104" t="s">
        <v>2143</v>
      </c>
      <c r="B33" s="105" t="s">
        <v>294</v>
      </c>
      <c r="C33" s="106" t="s">
        <v>273</v>
      </c>
      <c r="D33" s="106" t="s">
        <v>2415</v>
      </c>
      <c r="E33" s="71" t="s">
        <v>274</v>
      </c>
      <c r="F33" s="71" t="s">
        <v>78</v>
      </c>
      <c r="G33" s="109" t="s">
        <v>180</v>
      </c>
      <c r="H33" s="110">
        <v>0</v>
      </c>
      <c r="I33" s="112">
        <v>0</v>
      </c>
      <c r="J33" s="112">
        <v>53</v>
      </c>
      <c r="K33" s="113">
        <f t="shared" si="0"/>
        <v>53</v>
      </c>
      <c r="L33" s="110">
        <v>223.583</v>
      </c>
      <c r="M33" s="111">
        <v>22.943000000000001</v>
      </c>
      <c r="N33" s="112">
        <v>0</v>
      </c>
      <c r="O33" s="111">
        <v>121</v>
      </c>
      <c r="P33" s="142">
        <v>5.0099999999999999E-2</v>
      </c>
      <c r="Q33" s="111">
        <v>8428</v>
      </c>
      <c r="R33" s="112"/>
      <c r="S33" s="112"/>
      <c r="T33" s="111">
        <f t="shared" si="1"/>
        <v>422</v>
      </c>
      <c r="U33" s="112">
        <v>0</v>
      </c>
      <c r="V33" s="116">
        <v>21.988</v>
      </c>
      <c r="W33" s="111">
        <v>100</v>
      </c>
      <c r="X33" s="113">
        <f t="shared" si="7"/>
        <v>911.51400000000012</v>
      </c>
      <c r="Y33" s="110">
        <v>0</v>
      </c>
      <c r="Z33" s="111">
        <v>0</v>
      </c>
      <c r="AA33" s="116">
        <v>139.80099999999999</v>
      </c>
      <c r="AB33" s="111">
        <v>100.22199999999999</v>
      </c>
      <c r="AC33" s="113">
        <f t="shared" si="8"/>
        <v>240.02299999999997</v>
      </c>
      <c r="AD33" s="110">
        <v>0</v>
      </c>
      <c r="AE33" s="111">
        <v>1.905</v>
      </c>
      <c r="AF33" s="112">
        <v>0</v>
      </c>
      <c r="AG33" s="117">
        <v>0</v>
      </c>
      <c r="AH33" s="111">
        <v>50.04</v>
      </c>
      <c r="AI33" s="112">
        <v>0</v>
      </c>
      <c r="AJ33" s="112">
        <v>16.788</v>
      </c>
      <c r="AK33" s="113">
        <f t="shared" si="9"/>
        <v>68.733000000000004</v>
      </c>
      <c r="AL33" s="143">
        <f t="shared" si="2"/>
        <v>33622.199999999997</v>
      </c>
      <c r="AM33" s="112">
        <f t="shared" si="3"/>
        <v>32067.226999999999</v>
      </c>
      <c r="AN33" s="112">
        <f t="shared" si="3"/>
        <v>1554.973</v>
      </c>
      <c r="AO33" s="112">
        <f t="shared" si="3"/>
        <v>88.734999999999999</v>
      </c>
      <c r="AP33" s="192">
        <f t="shared" si="4"/>
        <v>0.95375159864613257</v>
      </c>
      <c r="AQ33" s="193">
        <f t="shared" si="5"/>
        <v>1000.2490000000001</v>
      </c>
      <c r="AR33" s="194">
        <f t="shared" si="6"/>
        <v>-947.24900000000014</v>
      </c>
      <c r="AS33" s="118"/>
      <c r="AT33" s="119"/>
      <c r="AU33" s="119"/>
      <c r="AV33" s="120"/>
      <c r="AW33" s="195"/>
      <c r="AX33" s="112">
        <v>33622200</v>
      </c>
      <c r="AY33" s="162">
        <v>32067227</v>
      </c>
      <c r="AZ33" s="162">
        <v>1554973</v>
      </c>
      <c r="BA33" s="162">
        <v>88735</v>
      </c>
      <c r="BB33" s="196">
        <f t="shared" si="10"/>
        <v>0.95375159864613257</v>
      </c>
    </row>
    <row r="34" spans="1:54" s="121" customFormat="1" ht="16.5" customHeight="1">
      <c r="A34" s="104" t="s">
        <v>2143</v>
      </c>
      <c r="B34" s="105" t="s">
        <v>297</v>
      </c>
      <c r="C34" s="106" t="s">
        <v>278</v>
      </c>
      <c r="D34" s="106" t="s">
        <v>2415</v>
      </c>
      <c r="E34" s="71" t="s">
        <v>279</v>
      </c>
      <c r="F34" s="71" t="s">
        <v>78</v>
      </c>
      <c r="G34" s="109" t="s">
        <v>180</v>
      </c>
      <c r="H34" s="110">
        <v>0</v>
      </c>
      <c r="I34" s="112">
        <v>0</v>
      </c>
      <c r="J34" s="112">
        <v>109</v>
      </c>
      <c r="K34" s="113">
        <f t="shared" si="0"/>
        <v>109</v>
      </c>
      <c r="L34" s="110">
        <v>423.98700000000002</v>
      </c>
      <c r="M34" s="111">
        <v>22.943000000000001</v>
      </c>
      <c r="N34" s="112">
        <v>0</v>
      </c>
      <c r="O34" s="111">
        <v>93.5</v>
      </c>
      <c r="P34" s="142">
        <v>5.0099999999999999E-2</v>
      </c>
      <c r="Q34" s="111">
        <v>8428</v>
      </c>
      <c r="R34" s="112"/>
      <c r="S34" s="112"/>
      <c r="T34" s="111">
        <f t="shared" si="1"/>
        <v>422</v>
      </c>
      <c r="U34" s="112">
        <v>0</v>
      </c>
      <c r="V34" s="116">
        <v>21.988</v>
      </c>
      <c r="W34" s="135">
        <v>100</v>
      </c>
      <c r="X34" s="113">
        <f t="shared" si="7"/>
        <v>1084.4180000000001</v>
      </c>
      <c r="Y34" s="110">
        <v>0</v>
      </c>
      <c r="Z34" s="111">
        <v>0</v>
      </c>
      <c r="AA34" s="116">
        <v>169.10300000000001</v>
      </c>
      <c r="AB34" s="111">
        <v>100.22199999999999</v>
      </c>
      <c r="AC34" s="113">
        <f t="shared" si="8"/>
        <v>269.32499999999999</v>
      </c>
      <c r="AD34" s="110">
        <v>0</v>
      </c>
      <c r="AE34" s="111">
        <v>174.90799999999999</v>
      </c>
      <c r="AF34" s="112">
        <v>0</v>
      </c>
      <c r="AG34" s="117">
        <v>0</v>
      </c>
      <c r="AH34" s="111">
        <v>74</v>
      </c>
      <c r="AI34" s="112">
        <v>0</v>
      </c>
      <c r="AJ34" s="112">
        <v>22.731000000000002</v>
      </c>
      <c r="AK34" s="113">
        <f t="shared" si="9"/>
        <v>271.63900000000001</v>
      </c>
      <c r="AL34" s="143">
        <f t="shared" si="2"/>
        <v>89133.1</v>
      </c>
      <c r="AM34" s="112">
        <f t="shared" si="3"/>
        <v>80533.245999999999</v>
      </c>
      <c r="AN34" s="112">
        <f t="shared" si="3"/>
        <v>8599.8539999999994</v>
      </c>
      <c r="AO34" s="112">
        <f t="shared" si="3"/>
        <v>2070.433</v>
      </c>
      <c r="AP34" s="192">
        <f t="shared" si="4"/>
        <v>0.90351671825618096</v>
      </c>
      <c r="AQ34" s="193">
        <f t="shared" si="5"/>
        <v>3154.8510000000001</v>
      </c>
      <c r="AR34" s="194">
        <f t="shared" si="6"/>
        <v>-3045.8510000000001</v>
      </c>
      <c r="AS34" s="118"/>
      <c r="AT34" s="119"/>
      <c r="AU34" s="119"/>
      <c r="AV34" s="120"/>
      <c r="AW34" s="195"/>
      <c r="AX34" s="112">
        <v>89133100</v>
      </c>
      <c r="AY34" s="162">
        <v>80533246</v>
      </c>
      <c r="AZ34" s="162">
        <v>8599854</v>
      </c>
      <c r="BA34" s="162">
        <v>2070433</v>
      </c>
      <c r="BB34" s="196">
        <f t="shared" si="10"/>
        <v>0.90351671825618096</v>
      </c>
    </row>
    <row r="35" spans="1:54" s="121" customFormat="1" ht="16.5" customHeight="1">
      <c r="A35" s="104" t="s">
        <v>2143</v>
      </c>
      <c r="B35" s="105" t="s">
        <v>301</v>
      </c>
      <c r="C35" s="106" t="s">
        <v>283</v>
      </c>
      <c r="D35" s="106" t="s">
        <v>2415</v>
      </c>
      <c r="E35" s="71" t="s">
        <v>284</v>
      </c>
      <c r="F35" s="71" t="s">
        <v>78</v>
      </c>
      <c r="G35" s="109" t="s">
        <v>180</v>
      </c>
      <c r="H35" s="110">
        <v>0</v>
      </c>
      <c r="I35" s="112">
        <v>0</v>
      </c>
      <c r="J35" s="112">
        <v>0</v>
      </c>
      <c r="K35" s="113">
        <f t="shared" si="0"/>
        <v>0</v>
      </c>
      <c r="L35" s="110">
        <v>127.104</v>
      </c>
      <c r="M35" s="111">
        <v>22.943000000000001</v>
      </c>
      <c r="N35" s="112">
        <v>0</v>
      </c>
      <c r="O35" s="111">
        <v>31.9</v>
      </c>
      <c r="P35" s="142">
        <v>5.0099999999999999E-2</v>
      </c>
      <c r="Q35" s="111">
        <v>8428</v>
      </c>
      <c r="R35" s="112"/>
      <c r="S35" s="112"/>
      <c r="T35" s="111">
        <f t="shared" si="1"/>
        <v>422</v>
      </c>
      <c r="U35" s="112">
        <v>0</v>
      </c>
      <c r="V35" s="116">
        <v>21.988</v>
      </c>
      <c r="W35" s="111">
        <v>100</v>
      </c>
      <c r="X35" s="113">
        <f t="shared" si="7"/>
        <v>725.93499999999995</v>
      </c>
      <c r="Y35" s="110">
        <v>0</v>
      </c>
      <c r="Z35" s="111">
        <v>0</v>
      </c>
      <c r="AA35" s="116">
        <v>2E-3</v>
      </c>
      <c r="AB35" s="111">
        <v>100.22199999999999</v>
      </c>
      <c r="AC35" s="113">
        <f t="shared" si="8"/>
        <v>100.22399999999999</v>
      </c>
      <c r="AD35" s="110">
        <v>0</v>
      </c>
      <c r="AE35" s="111">
        <v>0</v>
      </c>
      <c r="AF35" s="112">
        <v>0</v>
      </c>
      <c r="AG35" s="117">
        <v>0</v>
      </c>
      <c r="AH35" s="111">
        <v>0</v>
      </c>
      <c r="AI35" s="112">
        <v>0</v>
      </c>
      <c r="AJ35" s="112">
        <v>0.01</v>
      </c>
      <c r="AK35" s="113">
        <f t="shared" si="9"/>
        <v>0.01</v>
      </c>
      <c r="AL35" s="143">
        <f t="shared" si="2"/>
        <v>48817.7</v>
      </c>
      <c r="AM35" s="112">
        <f t="shared" si="3"/>
        <v>36633.682999999997</v>
      </c>
      <c r="AN35" s="112">
        <f t="shared" si="3"/>
        <v>12184.017</v>
      </c>
      <c r="AO35" s="112">
        <f t="shared" si="3"/>
        <v>1112.7090000000001</v>
      </c>
      <c r="AP35" s="192">
        <f t="shared" si="4"/>
        <v>0.75041804509429977</v>
      </c>
      <c r="AQ35" s="193">
        <f t="shared" si="5"/>
        <v>1838.644</v>
      </c>
      <c r="AR35" s="194">
        <f t="shared" si="6"/>
        <v>-1838.644</v>
      </c>
      <c r="AS35" s="118"/>
      <c r="AT35" s="119"/>
      <c r="AU35" s="119"/>
      <c r="AV35" s="120"/>
      <c r="AW35" s="195"/>
      <c r="AX35" s="112">
        <v>48817700</v>
      </c>
      <c r="AY35" s="162">
        <v>36633683</v>
      </c>
      <c r="AZ35" s="162">
        <v>12184017</v>
      </c>
      <c r="BA35" s="162">
        <v>1112709</v>
      </c>
      <c r="BB35" s="196">
        <f t="shared" si="10"/>
        <v>0.75041804509429977</v>
      </c>
    </row>
    <row r="36" spans="1:54" s="121" customFormat="1" ht="16.5" customHeight="1">
      <c r="A36" s="104" t="s">
        <v>2143</v>
      </c>
      <c r="B36" s="105" t="s">
        <v>310</v>
      </c>
      <c r="C36" s="106" t="s">
        <v>290</v>
      </c>
      <c r="D36" s="106" t="s">
        <v>2415</v>
      </c>
      <c r="E36" s="71" t="s">
        <v>291</v>
      </c>
      <c r="F36" s="71" t="s">
        <v>78</v>
      </c>
      <c r="G36" s="109" t="s">
        <v>180</v>
      </c>
      <c r="H36" s="110">
        <v>0</v>
      </c>
      <c r="I36" s="112">
        <v>0</v>
      </c>
      <c r="J36" s="112">
        <v>223</v>
      </c>
      <c r="K36" s="113">
        <f t="shared" si="0"/>
        <v>223</v>
      </c>
      <c r="L36" s="110">
        <v>658.61699999999996</v>
      </c>
      <c r="M36" s="111">
        <v>22.943000000000001</v>
      </c>
      <c r="N36" s="112">
        <v>1454.355</v>
      </c>
      <c r="O36" s="111">
        <v>216.7</v>
      </c>
      <c r="P36" s="142">
        <v>5.0099999999999999E-2</v>
      </c>
      <c r="Q36" s="111">
        <v>8428</v>
      </c>
      <c r="R36" s="112"/>
      <c r="S36" s="112"/>
      <c r="T36" s="111">
        <f t="shared" si="1"/>
        <v>422</v>
      </c>
      <c r="U36" s="112">
        <v>0</v>
      </c>
      <c r="V36" s="116">
        <v>21.988</v>
      </c>
      <c r="W36" s="135">
        <v>100</v>
      </c>
      <c r="X36" s="113">
        <f t="shared" si="7"/>
        <v>2896.6029999999996</v>
      </c>
      <c r="Y36" s="110">
        <v>0</v>
      </c>
      <c r="Z36" s="111">
        <v>0</v>
      </c>
      <c r="AA36" s="116">
        <v>461.53</v>
      </c>
      <c r="AB36" s="111">
        <v>100.22199999999999</v>
      </c>
      <c r="AC36" s="113">
        <f t="shared" si="8"/>
        <v>561.75199999999995</v>
      </c>
      <c r="AD36" s="110">
        <v>0</v>
      </c>
      <c r="AE36" s="111">
        <v>59.155000000000001</v>
      </c>
      <c r="AF36" s="112">
        <v>0</v>
      </c>
      <c r="AG36" s="117">
        <v>0</v>
      </c>
      <c r="AH36" s="111">
        <v>170</v>
      </c>
      <c r="AI36" s="112">
        <v>0</v>
      </c>
      <c r="AJ36" s="112">
        <v>122.773</v>
      </c>
      <c r="AK36" s="113">
        <f t="shared" si="9"/>
        <v>351.928</v>
      </c>
      <c r="AL36" s="143">
        <f t="shared" ref="AL36:AL68" si="11">AX36/1000</f>
        <v>86574.281000000003</v>
      </c>
      <c r="AM36" s="112">
        <f t="shared" si="3"/>
        <v>69822.063999999998</v>
      </c>
      <c r="AN36" s="112">
        <f t="shared" si="3"/>
        <v>16752.217000000001</v>
      </c>
      <c r="AO36" s="112">
        <f t="shared" si="3"/>
        <v>2058.7159999999999</v>
      </c>
      <c r="AP36" s="192">
        <f t="shared" si="4"/>
        <v>0.80649891854140843</v>
      </c>
      <c r="AQ36" s="193">
        <f t="shared" si="5"/>
        <v>4955.3189999999995</v>
      </c>
      <c r="AR36" s="194">
        <f t="shared" si="6"/>
        <v>-4732.3189999999995</v>
      </c>
      <c r="AS36" s="118"/>
      <c r="AT36" s="119"/>
      <c r="AU36" s="119"/>
      <c r="AV36" s="120"/>
      <c r="AW36" s="195"/>
      <c r="AX36" s="112">
        <v>86574281</v>
      </c>
      <c r="AY36" s="162">
        <v>69822064</v>
      </c>
      <c r="AZ36" s="162">
        <v>16752217</v>
      </c>
      <c r="BA36" s="162">
        <v>2058716</v>
      </c>
      <c r="BB36" s="196">
        <f t="shared" si="10"/>
        <v>0.80649891854140843</v>
      </c>
    </row>
    <row r="37" spans="1:54" s="121" customFormat="1" ht="16.5" customHeight="1">
      <c r="A37" s="104" t="s">
        <v>2143</v>
      </c>
      <c r="B37" s="105" t="s">
        <v>317</v>
      </c>
      <c r="C37" s="106" t="s">
        <v>295</v>
      </c>
      <c r="D37" s="106" t="s">
        <v>2415</v>
      </c>
      <c r="E37" s="71" t="s">
        <v>296</v>
      </c>
      <c r="F37" s="71" t="s">
        <v>78</v>
      </c>
      <c r="G37" s="109" t="s">
        <v>180</v>
      </c>
      <c r="H37" s="110">
        <v>0</v>
      </c>
      <c r="I37" s="112">
        <v>0</v>
      </c>
      <c r="J37" s="112">
        <v>218</v>
      </c>
      <c r="K37" s="113">
        <f t="shared" si="0"/>
        <v>218</v>
      </c>
      <c r="L37" s="110">
        <v>493.3</v>
      </c>
      <c r="M37" s="111">
        <v>22.943000000000001</v>
      </c>
      <c r="N37" s="112">
        <v>0</v>
      </c>
      <c r="O37" s="111">
        <v>91.3</v>
      </c>
      <c r="P37" s="142">
        <v>5.0099999999999999E-2</v>
      </c>
      <c r="Q37" s="111">
        <v>8428</v>
      </c>
      <c r="R37" s="112"/>
      <c r="S37" s="112"/>
      <c r="T37" s="111">
        <f t="shared" si="1"/>
        <v>422</v>
      </c>
      <c r="U37" s="112">
        <v>0</v>
      </c>
      <c r="V37" s="116">
        <v>21.988</v>
      </c>
      <c r="W37" s="111">
        <v>100</v>
      </c>
      <c r="X37" s="113">
        <f t="shared" si="7"/>
        <v>1151.5310000000002</v>
      </c>
      <c r="Y37" s="110">
        <v>0</v>
      </c>
      <c r="Z37" s="111">
        <v>0</v>
      </c>
      <c r="AA37" s="116">
        <v>366.108</v>
      </c>
      <c r="AB37" s="111">
        <v>100.22199999999999</v>
      </c>
      <c r="AC37" s="113">
        <f t="shared" si="8"/>
        <v>466.33</v>
      </c>
      <c r="AD37" s="110">
        <v>0</v>
      </c>
      <c r="AE37" s="111">
        <v>29.672999999999998</v>
      </c>
      <c r="AF37" s="112">
        <v>0</v>
      </c>
      <c r="AG37" s="117">
        <v>19.888000000000002</v>
      </c>
      <c r="AH37" s="111">
        <v>160.5</v>
      </c>
      <c r="AI37" s="112">
        <v>0</v>
      </c>
      <c r="AJ37" s="112">
        <v>67.808000000000007</v>
      </c>
      <c r="AK37" s="113">
        <f t="shared" si="9"/>
        <v>277.86900000000003</v>
      </c>
      <c r="AL37" s="143">
        <f t="shared" si="11"/>
        <v>82423.199999999997</v>
      </c>
      <c r="AM37" s="112">
        <f t="shared" si="3"/>
        <v>58699.107000000004</v>
      </c>
      <c r="AN37" s="112">
        <f t="shared" si="3"/>
        <v>23724.093000000001</v>
      </c>
      <c r="AO37" s="112">
        <f t="shared" si="3"/>
        <v>2059.0100000000002</v>
      </c>
      <c r="AP37" s="192">
        <f t="shared" si="4"/>
        <v>0.7121672902774947</v>
      </c>
      <c r="AQ37" s="193">
        <f t="shared" si="5"/>
        <v>3210.5410000000002</v>
      </c>
      <c r="AR37" s="194">
        <f t="shared" si="6"/>
        <v>-2992.5410000000002</v>
      </c>
      <c r="AS37" s="118"/>
      <c r="AT37" s="119"/>
      <c r="AU37" s="119"/>
      <c r="AV37" s="120"/>
      <c r="AW37" s="195"/>
      <c r="AX37" s="112">
        <v>82423200</v>
      </c>
      <c r="AY37" s="162">
        <v>58699107</v>
      </c>
      <c r="AZ37" s="162">
        <v>23724093</v>
      </c>
      <c r="BA37" s="162">
        <v>2059010</v>
      </c>
      <c r="BB37" s="196">
        <f t="shared" si="10"/>
        <v>0.7121672902774947</v>
      </c>
    </row>
    <row r="38" spans="1:54" s="121" customFormat="1" ht="16.5" customHeight="1">
      <c r="A38" s="104" t="s">
        <v>2143</v>
      </c>
      <c r="B38" s="105" t="s">
        <v>322</v>
      </c>
      <c r="C38" s="106" t="s">
        <v>298</v>
      </c>
      <c r="D38" s="106" t="s">
        <v>2415</v>
      </c>
      <c r="E38" s="71" t="s">
        <v>2165</v>
      </c>
      <c r="F38" s="71" t="s">
        <v>78</v>
      </c>
      <c r="G38" s="109" t="s">
        <v>180</v>
      </c>
      <c r="H38" s="110">
        <v>0</v>
      </c>
      <c r="I38" s="112">
        <v>0</v>
      </c>
      <c r="J38" s="112">
        <v>62</v>
      </c>
      <c r="K38" s="113">
        <f t="shared" si="0"/>
        <v>62</v>
      </c>
      <c r="L38" s="110">
        <v>227.608</v>
      </c>
      <c r="M38" s="111">
        <v>22.943000000000001</v>
      </c>
      <c r="N38" s="112">
        <v>0</v>
      </c>
      <c r="O38" s="111">
        <v>34.1</v>
      </c>
      <c r="P38" s="142">
        <v>5.0099999999999999E-2</v>
      </c>
      <c r="Q38" s="111">
        <v>8428</v>
      </c>
      <c r="R38" s="112"/>
      <c r="S38" s="112"/>
      <c r="T38" s="111">
        <f t="shared" si="1"/>
        <v>422</v>
      </c>
      <c r="U38" s="112">
        <v>0</v>
      </c>
      <c r="V38" s="116">
        <v>21.988</v>
      </c>
      <c r="W38" s="135">
        <v>100</v>
      </c>
      <c r="X38" s="113">
        <f t="shared" si="7"/>
        <v>828.63900000000012</v>
      </c>
      <c r="Y38" s="110">
        <v>0</v>
      </c>
      <c r="Z38" s="111">
        <v>0</v>
      </c>
      <c r="AA38" s="116">
        <v>125.304</v>
      </c>
      <c r="AB38" s="111">
        <v>100.22199999999999</v>
      </c>
      <c r="AC38" s="113">
        <f t="shared" si="8"/>
        <v>225.52600000000001</v>
      </c>
      <c r="AD38" s="110">
        <v>0</v>
      </c>
      <c r="AE38" s="111">
        <v>120</v>
      </c>
      <c r="AF38" s="112">
        <v>0</v>
      </c>
      <c r="AG38" s="117">
        <v>0</v>
      </c>
      <c r="AH38" s="111">
        <v>180</v>
      </c>
      <c r="AI38" s="112">
        <v>0</v>
      </c>
      <c r="AJ38" s="112">
        <v>27.587</v>
      </c>
      <c r="AK38" s="113">
        <f t="shared" si="9"/>
        <v>327.58699999999999</v>
      </c>
      <c r="AL38" s="143">
        <f t="shared" si="11"/>
        <v>61779.5</v>
      </c>
      <c r="AM38" s="112">
        <f t="shared" si="3"/>
        <v>41663.288</v>
      </c>
      <c r="AN38" s="112">
        <f t="shared" si="3"/>
        <v>20116.212</v>
      </c>
      <c r="AO38" s="112">
        <f t="shared" si="3"/>
        <v>1627.056</v>
      </c>
      <c r="AP38" s="192">
        <f t="shared" si="4"/>
        <v>0.67438694065183435</v>
      </c>
      <c r="AQ38" s="193">
        <f t="shared" si="5"/>
        <v>2455.6950000000002</v>
      </c>
      <c r="AR38" s="194">
        <f t="shared" si="6"/>
        <v>-2393.6950000000002</v>
      </c>
      <c r="AS38" s="118"/>
      <c r="AT38" s="119"/>
      <c r="AU38" s="119"/>
      <c r="AV38" s="120"/>
      <c r="AW38" s="195"/>
      <c r="AX38" s="112">
        <v>61779500</v>
      </c>
      <c r="AY38" s="162">
        <v>41663288</v>
      </c>
      <c r="AZ38" s="162">
        <v>20116212</v>
      </c>
      <c r="BA38" s="162">
        <v>1627056</v>
      </c>
      <c r="BB38" s="196">
        <f t="shared" si="10"/>
        <v>0.67438694065183435</v>
      </c>
    </row>
    <row r="39" spans="1:54" s="121" customFormat="1" ht="16.5" customHeight="1">
      <c r="A39" s="104" t="s">
        <v>2143</v>
      </c>
      <c r="B39" s="105" t="s">
        <v>326</v>
      </c>
      <c r="C39" s="106" t="s">
        <v>302</v>
      </c>
      <c r="D39" s="106" t="s">
        <v>2415</v>
      </c>
      <c r="E39" s="71" t="s">
        <v>303</v>
      </c>
      <c r="F39" s="71" t="s">
        <v>78</v>
      </c>
      <c r="G39" s="109" t="s">
        <v>304</v>
      </c>
      <c r="H39" s="143"/>
      <c r="I39" s="112"/>
      <c r="J39" s="112"/>
      <c r="K39" s="113">
        <f t="shared" si="0"/>
        <v>0</v>
      </c>
      <c r="L39" s="110">
        <v>1.716</v>
      </c>
      <c r="M39" s="111">
        <v>0.86799999999999999</v>
      </c>
      <c r="N39" s="112">
        <v>0</v>
      </c>
      <c r="O39" s="111">
        <v>0.17499999999999999</v>
      </c>
      <c r="P39" s="142"/>
      <c r="Q39" s="111">
        <v>8428</v>
      </c>
      <c r="R39" s="112"/>
      <c r="S39" s="112"/>
      <c r="T39" s="111">
        <f t="shared" si="1"/>
        <v>0</v>
      </c>
      <c r="U39" s="112">
        <v>7.9000000000000001E-2</v>
      </c>
      <c r="V39" s="116">
        <v>0</v>
      </c>
      <c r="W39" s="112"/>
      <c r="X39" s="113">
        <f t="shared" si="7"/>
        <v>2.8380000000000001</v>
      </c>
      <c r="Y39" s="110">
        <v>0</v>
      </c>
      <c r="Z39" s="111">
        <v>0</v>
      </c>
      <c r="AA39" s="116">
        <v>0</v>
      </c>
      <c r="AB39" s="111">
        <v>0</v>
      </c>
      <c r="AC39" s="113">
        <f t="shared" si="8"/>
        <v>0</v>
      </c>
      <c r="AD39" s="110">
        <v>0</v>
      </c>
      <c r="AE39" s="111">
        <v>0</v>
      </c>
      <c r="AF39" s="112">
        <v>0</v>
      </c>
      <c r="AG39" s="117">
        <v>0</v>
      </c>
      <c r="AH39" s="111">
        <v>0</v>
      </c>
      <c r="AI39" s="112">
        <v>0</v>
      </c>
      <c r="AJ39" s="112">
        <v>0</v>
      </c>
      <c r="AK39" s="113">
        <f t="shared" si="9"/>
        <v>0</v>
      </c>
      <c r="AL39" s="143">
        <f t="shared" si="11"/>
        <v>118440</v>
      </c>
      <c r="AM39" s="112">
        <f t="shared" si="3"/>
        <v>109438.56</v>
      </c>
      <c r="AN39" s="112">
        <f t="shared" si="3"/>
        <v>9001.44</v>
      </c>
      <c r="AO39" s="112">
        <f t="shared" si="3"/>
        <v>2605.6799999999998</v>
      </c>
      <c r="AP39" s="192">
        <f t="shared" si="4"/>
        <v>0.92400000000000004</v>
      </c>
      <c r="AQ39" s="193">
        <f t="shared" si="5"/>
        <v>2608.518</v>
      </c>
      <c r="AR39" s="194">
        <f t="shared" si="6"/>
        <v>-2608.518</v>
      </c>
      <c r="AS39" s="118"/>
      <c r="AT39" s="119"/>
      <c r="AU39" s="119"/>
      <c r="AV39" s="120"/>
      <c r="AW39" s="209"/>
      <c r="AX39" s="112">
        <v>118440000</v>
      </c>
      <c r="AY39" s="162">
        <v>109438560</v>
      </c>
      <c r="AZ39" s="162">
        <v>9001440</v>
      </c>
      <c r="BA39" s="162">
        <v>2605680</v>
      </c>
      <c r="BB39" s="196">
        <f t="shared" si="10"/>
        <v>0.92400000000000004</v>
      </c>
    </row>
    <row r="40" spans="1:54" s="121" customFormat="1" ht="16.5" customHeight="1">
      <c r="A40" s="104" t="s">
        <v>2143</v>
      </c>
      <c r="B40" s="105" t="s">
        <v>329</v>
      </c>
      <c r="C40" s="106" t="s">
        <v>311</v>
      </c>
      <c r="D40" s="106" t="s">
        <v>2415</v>
      </c>
      <c r="E40" s="71" t="s">
        <v>312</v>
      </c>
      <c r="F40" s="71" t="s">
        <v>78</v>
      </c>
      <c r="G40" s="109" t="s">
        <v>180</v>
      </c>
      <c r="H40" s="110">
        <v>0</v>
      </c>
      <c r="I40" s="112">
        <v>0</v>
      </c>
      <c r="J40" s="112">
        <v>134</v>
      </c>
      <c r="K40" s="113">
        <f t="shared" si="0"/>
        <v>134</v>
      </c>
      <c r="L40" s="110">
        <v>559.22</v>
      </c>
      <c r="M40" s="111">
        <v>22.943000000000001</v>
      </c>
      <c r="N40" s="115">
        <v>1740.67</v>
      </c>
      <c r="O40" s="111">
        <v>198</v>
      </c>
      <c r="P40" s="142">
        <v>5.0099999999999999E-2</v>
      </c>
      <c r="Q40" s="111">
        <v>8428</v>
      </c>
      <c r="R40" s="112"/>
      <c r="S40" s="112"/>
      <c r="T40" s="111">
        <f t="shared" si="1"/>
        <v>422</v>
      </c>
      <c r="U40" s="115">
        <v>0</v>
      </c>
      <c r="V40" s="144">
        <v>14.12</v>
      </c>
      <c r="W40" s="111">
        <v>100</v>
      </c>
      <c r="X40" s="113">
        <f t="shared" si="7"/>
        <v>3056.953</v>
      </c>
      <c r="Y40" s="110">
        <v>0</v>
      </c>
      <c r="Z40" s="111">
        <v>0</v>
      </c>
      <c r="AA40" s="116">
        <v>361.6</v>
      </c>
      <c r="AB40" s="111">
        <v>100.22199999999999</v>
      </c>
      <c r="AC40" s="113">
        <f t="shared" si="8"/>
        <v>461.822</v>
      </c>
      <c r="AD40" s="110">
        <v>0</v>
      </c>
      <c r="AE40" s="111">
        <v>153.78100000000001</v>
      </c>
      <c r="AF40" s="112">
        <v>0</v>
      </c>
      <c r="AG40" s="117">
        <v>2.1560000000000001</v>
      </c>
      <c r="AH40" s="111">
        <v>341.6</v>
      </c>
      <c r="AI40" s="112">
        <v>0</v>
      </c>
      <c r="AJ40" s="112">
        <v>37.695999999999998</v>
      </c>
      <c r="AK40" s="113">
        <f t="shared" si="9"/>
        <v>535.23300000000006</v>
      </c>
      <c r="AL40" s="143">
        <f t="shared" si="11"/>
        <v>100630.9</v>
      </c>
      <c r="AM40" s="112">
        <f t="shared" si="3"/>
        <v>74314.551000000007</v>
      </c>
      <c r="AN40" s="112">
        <f t="shared" si="3"/>
        <v>26316.348999999998</v>
      </c>
      <c r="AO40" s="112">
        <f t="shared" si="3"/>
        <v>2213.8789999999999</v>
      </c>
      <c r="AP40" s="192">
        <f t="shared" si="4"/>
        <v>0.73848639930677351</v>
      </c>
      <c r="AQ40" s="193">
        <f t="shared" si="5"/>
        <v>5270.8320000000003</v>
      </c>
      <c r="AR40" s="194">
        <f t="shared" si="6"/>
        <v>-5136.8320000000003</v>
      </c>
      <c r="AS40" s="118"/>
      <c r="AT40" s="119"/>
      <c r="AU40" s="119"/>
      <c r="AV40" s="120"/>
      <c r="AW40" s="195"/>
      <c r="AX40" s="112">
        <v>100630900</v>
      </c>
      <c r="AY40" s="162">
        <v>74314551</v>
      </c>
      <c r="AZ40" s="162">
        <v>26316349</v>
      </c>
      <c r="BA40" s="162">
        <v>2213879</v>
      </c>
      <c r="BB40" s="196">
        <f t="shared" si="10"/>
        <v>0.73848639930677351</v>
      </c>
    </row>
    <row r="41" spans="1:54" s="121" customFormat="1" ht="16.5" customHeight="1">
      <c r="A41" s="104" t="s">
        <v>2143</v>
      </c>
      <c r="B41" s="105" t="s">
        <v>334</v>
      </c>
      <c r="C41" s="106" t="s">
        <v>318</v>
      </c>
      <c r="D41" s="106" t="s">
        <v>2415</v>
      </c>
      <c r="E41" s="71" t="s">
        <v>319</v>
      </c>
      <c r="F41" s="71" t="s">
        <v>78</v>
      </c>
      <c r="G41" s="109" t="s">
        <v>180</v>
      </c>
      <c r="H41" s="110">
        <v>0</v>
      </c>
      <c r="I41" s="112">
        <v>0</v>
      </c>
      <c r="J41" s="112">
        <v>28</v>
      </c>
      <c r="K41" s="113">
        <f t="shared" si="0"/>
        <v>28</v>
      </c>
      <c r="L41" s="110">
        <v>232.09100000000001</v>
      </c>
      <c r="M41" s="111">
        <v>22.943000000000001</v>
      </c>
      <c r="N41" s="115">
        <v>0</v>
      </c>
      <c r="O41" s="111">
        <v>0</v>
      </c>
      <c r="P41" s="142">
        <v>5.0099999999999999E-2</v>
      </c>
      <c r="Q41" s="111">
        <v>8428</v>
      </c>
      <c r="R41" s="112"/>
      <c r="S41" s="112"/>
      <c r="T41" s="111">
        <f t="shared" si="1"/>
        <v>422</v>
      </c>
      <c r="U41" s="115">
        <v>0</v>
      </c>
      <c r="V41" s="144">
        <v>21.988</v>
      </c>
      <c r="W41" s="111">
        <v>100</v>
      </c>
      <c r="X41" s="113">
        <f t="shared" si="7"/>
        <v>799.02199999999993</v>
      </c>
      <c r="Y41" s="110">
        <v>0</v>
      </c>
      <c r="Z41" s="111">
        <v>0</v>
      </c>
      <c r="AA41" s="116">
        <v>81.908000000000001</v>
      </c>
      <c r="AB41" s="111">
        <v>100.22199999999999</v>
      </c>
      <c r="AC41" s="113">
        <f t="shared" si="8"/>
        <v>182.13</v>
      </c>
      <c r="AD41" s="110">
        <v>0</v>
      </c>
      <c r="AE41" s="111">
        <v>34.119999999999997</v>
      </c>
      <c r="AF41" s="112">
        <v>0</v>
      </c>
      <c r="AG41" s="117">
        <v>0</v>
      </c>
      <c r="AH41" s="111">
        <v>30</v>
      </c>
      <c r="AI41" s="112">
        <v>0</v>
      </c>
      <c r="AJ41" s="112">
        <v>167.958</v>
      </c>
      <c r="AK41" s="113">
        <f t="shared" si="9"/>
        <v>232.078</v>
      </c>
      <c r="AL41" s="143">
        <f t="shared" si="11"/>
        <v>37308.974999999999</v>
      </c>
      <c r="AM41" s="112">
        <f t="shared" si="3"/>
        <v>25371.421999999999</v>
      </c>
      <c r="AN41" s="112">
        <f t="shared" si="3"/>
        <v>11937.553</v>
      </c>
      <c r="AO41" s="112">
        <f t="shared" si="3"/>
        <v>1175.6400000000001</v>
      </c>
      <c r="AP41" s="192">
        <f t="shared" si="4"/>
        <v>0.68003535342367349</v>
      </c>
      <c r="AQ41" s="193">
        <f t="shared" si="5"/>
        <v>1974.662</v>
      </c>
      <c r="AR41" s="194">
        <f t="shared" si="6"/>
        <v>-1946.662</v>
      </c>
      <c r="AS41" s="118"/>
      <c r="AT41" s="119"/>
      <c r="AU41" s="119"/>
      <c r="AV41" s="120"/>
      <c r="AW41" s="195"/>
      <c r="AX41" s="112">
        <v>37308975</v>
      </c>
      <c r="AY41" s="162">
        <v>25371422</v>
      </c>
      <c r="AZ41" s="162">
        <v>11937553</v>
      </c>
      <c r="BA41" s="162">
        <v>1175640</v>
      </c>
      <c r="BB41" s="196">
        <f t="shared" si="10"/>
        <v>0.68003535342367349</v>
      </c>
    </row>
    <row r="42" spans="1:54" s="121" customFormat="1" ht="16.5" customHeight="1">
      <c r="A42" s="104" t="s">
        <v>2143</v>
      </c>
      <c r="B42" s="105" t="s">
        <v>340</v>
      </c>
      <c r="C42" s="106" t="s">
        <v>323</v>
      </c>
      <c r="D42" s="106" t="s">
        <v>2415</v>
      </c>
      <c r="E42" s="71" t="s">
        <v>2166</v>
      </c>
      <c r="F42" s="71" t="s">
        <v>78</v>
      </c>
      <c r="G42" s="109" t="s">
        <v>180</v>
      </c>
      <c r="H42" s="110">
        <v>0</v>
      </c>
      <c r="I42" s="112">
        <v>0</v>
      </c>
      <c r="J42" s="112">
        <v>21</v>
      </c>
      <c r="K42" s="113">
        <f t="shared" si="0"/>
        <v>21</v>
      </c>
      <c r="L42" s="110">
        <v>197.351</v>
      </c>
      <c r="M42" s="111">
        <v>22.942</v>
      </c>
      <c r="N42" s="115">
        <v>0</v>
      </c>
      <c r="O42" s="111">
        <v>66</v>
      </c>
      <c r="P42" s="142">
        <v>5.0099999999999999E-2</v>
      </c>
      <c r="Q42" s="111">
        <v>8428</v>
      </c>
      <c r="R42" s="112"/>
      <c r="S42" s="112"/>
      <c r="T42" s="111">
        <f t="shared" si="1"/>
        <v>422</v>
      </c>
      <c r="U42" s="115">
        <v>0</v>
      </c>
      <c r="V42" s="144">
        <v>21.986999999999998</v>
      </c>
      <c r="W42" s="111">
        <v>100</v>
      </c>
      <c r="X42" s="113">
        <f t="shared" si="7"/>
        <v>830.28</v>
      </c>
      <c r="Y42" s="110">
        <v>0</v>
      </c>
      <c r="Z42" s="111">
        <v>0</v>
      </c>
      <c r="AA42" s="116">
        <v>27.4</v>
      </c>
      <c r="AB42" s="111">
        <v>100.22199999999999</v>
      </c>
      <c r="AC42" s="113">
        <f t="shared" si="8"/>
        <v>127.62199999999999</v>
      </c>
      <c r="AD42" s="110">
        <v>0</v>
      </c>
      <c r="AE42" s="111">
        <v>62.085000000000001</v>
      </c>
      <c r="AF42" s="112">
        <v>0</v>
      </c>
      <c r="AG42" s="117">
        <v>0</v>
      </c>
      <c r="AH42" s="111">
        <v>10</v>
      </c>
      <c r="AI42" s="112">
        <v>0</v>
      </c>
      <c r="AJ42" s="112">
        <v>27.632000000000001</v>
      </c>
      <c r="AK42" s="113">
        <f t="shared" si="9"/>
        <v>99.717000000000013</v>
      </c>
      <c r="AL42" s="143">
        <f t="shared" si="11"/>
        <v>38555.449999999997</v>
      </c>
      <c r="AM42" s="112">
        <f t="shared" si="3"/>
        <v>30137.569</v>
      </c>
      <c r="AN42" s="112">
        <f t="shared" si="3"/>
        <v>8417.8809999999994</v>
      </c>
      <c r="AO42" s="112">
        <f t="shared" si="3"/>
        <v>706.38499999999999</v>
      </c>
      <c r="AP42" s="192">
        <f t="shared" si="4"/>
        <v>0.78166819476883298</v>
      </c>
      <c r="AQ42" s="193">
        <f t="shared" si="5"/>
        <v>1536.665</v>
      </c>
      <c r="AR42" s="194">
        <f t="shared" si="6"/>
        <v>-1515.665</v>
      </c>
      <c r="AS42" s="118"/>
      <c r="AT42" s="119"/>
      <c r="AU42" s="119"/>
      <c r="AV42" s="120"/>
      <c r="AW42" s="195"/>
      <c r="AX42" s="112">
        <v>38555450</v>
      </c>
      <c r="AY42" s="162">
        <v>30137569</v>
      </c>
      <c r="AZ42" s="162">
        <v>8417881</v>
      </c>
      <c r="BA42" s="162">
        <v>706385</v>
      </c>
      <c r="BB42" s="196">
        <f t="shared" si="10"/>
        <v>0.78166819476883298</v>
      </c>
    </row>
    <row r="43" spans="1:54" s="121" customFormat="1" ht="16.5" customHeight="1">
      <c r="A43" s="104" t="s">
        <v>2143</v>
      </c>
      <c r="B43" s="105" t="s">
        <v>346</v>
      </c>
      <c r="C43" s="106" t="s">
        <v>327</v>
      </c>
      <c r="D43" s="106" t="s">
        <v>2415</v>
      </c>
      <c r="E43" s="71" t="s">
        <v>108</v>
      </c>
      <c r="F43" s="71" t="s">
        <v>78</v>
      </c>
      <c r="G43" s="109" t="s">
        <v>180</v>
      </c>
      <c r="H43" s="110">
        <v>0</v>
      </c>
      <c r="I43" s="112">
        <v>0</v>
      </c>
      <c r="J43" s="112">
        <v>58</v>
      </c>
      <c r="K43" s="113">
        <f t="shared" si="0"/>
        <v>58</v>
      </c>
      <c r="L43" s="143">
        <v>775.69500000000005</v>
      </c>
      <c r="M43" s="111">
        <v>964.10299999999995</v>
      </c>
      <c r="N43" s="112">
        <v>1742.6759999999999</v>
      </c>
      <c r="O43" s="111">
        <v>1607.1</v>
      </c>
      <c r="P43" s="142">
        <v>5.0099999999999999E-2</v>
      </c>
      <c r="Q43" s="111">
        <v>8428</v>
      </c>
      <c r="R43" s="112"/>
      <c r="S43" s="112">
        <v>1653</v>
      </c>
      <c r="T43" s="111">
        <f t="shared" si="1"/>
        <v>2075</v>
      </c>
      <c r="U43" s="115">
        <v>0</v>
      </c>
      <c r="V43" s="144">
        <v>38.427</v>
      </c>
      <c r="W43" s="111"/>
      <c r="X43" s="113">
        <f t="shared" si="7"/>
        <v>7203.0010000000002</v>
      </c>
      <c r="Y43" s="110">
        <v>0</v>
      </c>
      <c r="Z43" s="111">
        <v>0</v>
      </c>
      <c r="AA43" s="116">
        <v>0</v>
      </c>
      <c r="AB43" s="111">
        <v>0</v>
      </c>
      <c r="AC43" s="113">
        <f t="shared" si="8"/>
        <v>0</v>
      </c>
      <c r="AD43" s="110">
        <v>0</v>
      </c>
      <c r="AE43" s="111">
        <v>0</v>
      </c>
      <c r="AF43" s="112">
        <v>0</v>
      </c>
      <c r="AG43" s="117">
        <v>0</v>
      </c>
      <c r="AH43" s="111">
        <v>0</v>
      </c>
      <c r="AI43" s="112">
        <v>0</v>
      </c>
      <c r="AJ43" s="112">
        <v>0</v>
      </c>
      <c r="AK43" s="113">
        <f t="shared" si="9"/>
        <v>0</v>
      </c>
      <c r="AL43" s="143">
        <f t="shared" si="11"/>
        <v>147193.06232197036</v>
      </c>
      <c r="AM43" s="112">
        <f t="shared" si="3"/>
        <v>131955.68617738149</v>
      </c>
      <c r="AN43" s="112">
        <f t="shared" si="3"/>
        <v>15237.376144588865</v>
      </c>
      <c r="AO43" s="112">
        <f t="shared" si="3"/>
        <v>395.47037739550854</v>
      </c>
      <c r="AP43" s="192">
        <f t="shared" si="4"/>
        <v>0.89648033742746247</v>
      </c>
      <c r="AQ43" s="193">
        <f t="shared" si="5"/>
        <v>7598.4713773955091</v>
      </c>
      <c r="AR43" s="194">
        <f t="shared" si="6"/>
        <v>-7540.4713773955091</v>
      </c>
      <c r="AS43" s="118"/>
      <c r="AT43" s="119"/>
      <c r="AU43" s="119"/>
      <c r="AV43" s="120"/>
      <c r="AW43" s="195" t="s">
        <v>63</v>
      </c>
      <c r="AX43" s="112">
        <v>147193062.32197034</v>
      </c>
      <c r="AY43" s="162">
        <v>131955686.17738149</v>
      </c>
      <c r="AZ43" s="162">
        <v>15237376.144588865</v>
      </c>
      <c r="BA43" s="162">
        <v>395470.37739550852</v>
      </c>
      <c r="BB43" s="196">
        <f t="shared" si="10"/>
        <v>0.89648033742746247</v>
      </c>
    </row>
    <row r="44" spans="1:54" s="121" customFormat="1" ht="16.5" customHeight="1">
      <c r="A44" s="104" t="s">
        <v>2143</v>
      </c>
      <c r="B44" s="105" t="s">
        <v>352</v>
      </c>
      <c r="C44" s="106" t="s">
        <v>330</v>
      </c>
      <c r="D44" s="106" t="s">
        <v>2415</v>
      </c>
      <c r="E44" s="71" t="s">
        <v>331</v>
      </c>
      <c r="F44" s="71" t="s">
        <v>78</v>
      </c>
      <c r="G44" s="109" t="s">
        <v>180</v>
      </c>
      <c r="H44" s="110">
        <v>0</v>
      </c>
      <c r="I44" s="112">
        <v>0</v>
      </c>
      <c r="J44" s="112">
        <v>0</v>
      </c>
      <c r="K44" s="113">
        <f t="shared" si="0"/>
        <v>0</v>
      </c>
      <c r="L44" s="110">
        <v>192.11699999999999</v>
      </c>
      <c r="M44" s="111">
        <v>22.943000000000001</v>
      </c>
      <c r="N44" s="115">
        <v>0</v>
      </c>
      <c r="O44" s="111">
        <v>11.847</v>
      </c>
      <c r="P44" s="142">
        <v>5.0099999999999999E-2</v>
      </c>
      <c r="Q44" s="111">
        <v>8428</v>
      </c>
      <c r="R44" s="112"/>
      <c r="S44" s="112"/>
      <c r="T44" s="111">
        <f t="shared" si="1"/>
        <v>422</v>
      </c>
      <c r="U44" s="115">
        <v>0</v>
      </c>
      <c r="V44" s="144">
        <v>21.988</v>
      </c>
      <c r="W44" s="111">
        <v>100</v>
      </c>
      <c r="X44" s="113">
        <f t="shared" si="7"/>
        <v>770.89499999999998</v>
      </c>
      <c r="Y44" s="110">
        <v>0</v>
      </c>
      <c r="Z44" s="111">
        <v>0</v>
      </c>
      <c r="AA44" s="116">
        <v>4.1000000000000002E-2</v>
      </c>
      <c r="AB44" s="111">
        <v>100.22199999999999</v>
      </c>
      <c r="AC44" s="113">
        <f t="shared" si="8"/>
        <v>100.26299999999999</v>
      </c>
      <c r="AD44" s="110">
        <v>0</v>
      </c>
      <c r="AE44" s="111">
        <v>100.22199999999999</v>
      </c>
      <c r="AF44" s="112">
        <v>0</v>
      </c>
      <c r="AG44" s="117">
        <v>0</v>
      </c>
      <c r="AH44" s="111">
        <v>0</v>
      </c>
      <c r="AI44" s="112">
        <v>0</v>
      </c>
      <c r="AJ44" s="112">
        <v>0</v>
      </c>
      <c r="AK44" s="113">
        <f t="shared" si="9"/>
        <v>100.22199999999999</v>
      </c>
      <c r="AL44" s="143">
        <f t="shared" si="11"/>
        <v>36705.199999999997</v>
      </c>
      <c r="AM44" s="112">
        <f t="shared" si="3"/>
        <v>34426.841999999997</v>
      </c>
      <c r="AN44" s="112">
        <f t="shared" si="3"/>
        <v>2278.3580000000002</v>
      </c>
      <c r="AO44" s="112">
        <f t="shared" si="3"/>
        <v>450.11500000000001</v>
      </c>
      <c r="AP44" s="192">
        <f t="shared" si="4"/>
        <v>0.9379281954600438</v>
      </c>
      <c r="AQ44" s="193">
        <f t="shared" si="5"/>
        <v>1221.01</v>
      </c>
      <c r="AR44" s="194">
        <f t="shared" si="6"/>
        <v>-1221.01</v>
      </c>
      <c r="AS44" s="118"/>
      <c r="AT44" s="119"/>
      <c r="AU44" s="119"/>
      <c r="AV44" s="120"/>
      <c r="AW44" s="195"/>
      <c r="AX44" s="112">
        <v>36705200</v>
      </c>
      <c r="AY44" s="162">
        <v>34426842</v>
      </c>
      <c r="AZ44" s="162">
        <v>2278358</v>
      </c>
      <c r="BA44" s="162">
        <v>450115</v>
      </c>
      <c r="BB44" s="196">
        <f t="shared" si="10"/>
        <v>0.9379281954600438</v>
      </c>
    </row>
    <row r="45" spans="1:54" s="121" customFormat="1" ht="16.5" customHeight="1">
      <c r="A45" s="104" t="s">
        <v>2143</v>
      </c>
      <c r="B45" s="105" t="s">
        <v>359</v>
      </c>
      <c r="C45" s="106" t="s">
        <v>335</v>
      </c>
      <c r="D45" s="106" t="s">
        <v>2415</v>
      </c>
      <c r="E45" s="71" t="s">
        <v>336</v>
      </c>
      <c r="F45" s="71" t="s">
        <v>78</v>
      </c>
      <c r="G45" s="109" t="s">
        <v>180</v>
      </c>
      <c r="H45" s="110">
        <v>0</v>
      </c>
      <c r="I45" s="112">
        <v>0</v>
      </c>
      <c r="J45" s="112">
        <v>34</v>
      </c>
      <c r="K45" s="113">
        <f t="shared" si="0"/>
        <v>34</v>
      </c>
      <c r="L45" s="110">
        <v>502.53399999999999</v>
      </c>
      <c r="M45" s="111">
        <v>22.943000000000001</v>
      </c>
      <c r="N45" s="115">
        <v>0</v>
      </c>
      <c r="O45" s="111">
        <v>323.39999999999998</v>
      </c>
      <c r="P45" s="142">
        <v>5.0099999999999999E-2</v>
      </c>
      <c r="Q45" s="111">
        <v>8428</v>
      </c>
      <c r="R45" s="112"/>
      <c r="S45" s="112"/>
      <c r="T45" s="111">
        <f t="shared" si="1"/>
        <v>422</v>
      </c>
      <c r="U45" s="115">
        <v>0</v>
      </c>
      <c r="V45" s="144">
        <v>21.988</v>
      </c>
      <c r="W45" s="111">
        <v>100</v>
      </c>
      <c r="X45" s="113">
        <f t="shared" si="7"/>
        <v>1392.865</v>
      </c>
      <c r="Y45" s="110">
        <v>0</v>
      </c>
      <c r="Z45" s="111">
        <v>0</v>
      </c>
      <c r="AA45" s="116">
        <v>111.52500000000001</v>
      </c>
      <c r="AB45" s="111">
        <v>100.22199999999999</v>
      </c>
      <c r="AC45" s="113">
        <f t="shared" si="8"/>
        <v>211.74700000000001</v>
      </c>
      <c r="AD45" s="110">
        <v>0</v>
      </c>
      <c r="AE45" s="111">
        <v>107.64</v>
      </c>
      <c r="AF45" s="112">
        <v>0</v>
      </c>
      <c r="AG45" s="117">
        <v>0</v>
      </c>
      <c r="AH45" s="111">
        <v>120</v>
      </c>
      <c r="AI45" s="112">
        <v>0</v>
      </c>
      <c r="AJ45" s="112">
        <v>14.773</v>
      </c>
      <c r="AK45" s="113">
        <f t="shared" si="9"/>
        <v>242.41299999999998</v>
      </c>
      <c r="AL45" s="143">
        <f t="shared" si="11"/>
        <v>81048.448999999993</v>
      </c>
      <c r="AM45" s="112">
        <f t="shared" si="3"/>
        <v>62794.14</v>
      </c>
      <c r="AN45" s="112">
        <f t="shared" si="3"/>
        <v>18254.309000000001</v>
      </c>
      <c r="AO45" s="112">
        <f t="shared" si="3"/>
        <v>1944.1669999999999</v>
      </c>
      <c r="AP45" s="192">
        <f t="shared" si="4"/>
        <v>0.77477287689984053</v>
      </c>
      <c r="AQ45" s="193">
        <f t="shared" si="5"/>
        <v>3337.0320000000002</v>
      </c>
      <c r="AR45" s="194">
        <f t="shared" si="6"/>
        <v>-3303.0320000000002</v>
      </c>
      <c r="AS45" s="118"/>
      <c r="AT45" s="119"/>
      <c r="AU45" s="119"/>
      <c r="AV45" s="120"/>
      <c r="AW45" s="195"/>
      <c r="AX45" s="112">
        <v>81048449</v>
      </c>
      <c r="AY45" s="162">
        <v>62794140</v>
      </c>
      <c r="AZ45" s="162">
        <v>18254309</v>
      </c>
      <c r="BA45" s="162">
        <v>1944167</v>
      </c>
      <c r="BB45" s="196">
        <f t="shared" si="10"/>
        <v>0.77477287689984053</v>
      </c>
    </row>
    <row r="46" spans="1:54" s="121" customFormat="1" ht="16.5" customHeight="1">
      <c r="A46" s="104" t="s">
        <v>2143</v>
      </c>
      <c r="B46" s="105" t="s">
        <v>365</v>
      </c>
      <c r="C46" s="106" t="s">
        <v>341</v>
      </c>
      <c r="D46" s="106" t="s">
        <v>2415</v>
      </c>
      <c r="E46" s="71" t="s">
        <v>342</v>
      </c>
      <c r="F46" s="71" t="s">
        <v>78</v>
      </c>
      <c r="G46" s="109" t="s">
        <v>180</v>
      </c>
      <c r="H46" s="110">
        <v>0</v>
      </c>
      <c r="I46" s="112">
        <v>0</v>
      </c>
      <c r="J46" s="112">
        <v>36</v>
      </c>
      <c r="K46" s="113">
        <f t="shared" si="0"/>
        <v>36</v>
      </c>
      <c r="L46" s="110">
        <v>504.214</v>
      </c>
      <c r="M46" s="111">
        <v>22.943000000000001</v>
      </c>
      <c r="N46" s="115">
        <v>0</v>
      </c>
      <c r="O46" s="111">
        <v>304.7</v>
      </c>
      <c r="P46" s="142">
        <v>5.0099999999999999E-2</v>
      </c>
      <c r="Q46" s="111">
        <v>8428</v>
      </c>
      <c r="R46" s="112"/>
      <c r="S46" s="112"/>
      <c r="T46" s="111">
        <f t="shared" si="1"/>
        <v>422</v>
      </c>
      <c r="U46" s="115">
        <v>0</v>
      </c>
      <c r="V46" s="144">
        <v>26.988</v>
      </c>
      <c r="W46" s="111">
        <v>100</v>
      </c>
      <c r="X46" s="113">
        <f t="shared" si="7"/>
        <v>1380.845</v>
      </c>
      <c r="Y46" s="110">
        <v>0</v>
      </c>
      <c r="Z46" s="111">
        <v>0</v>
      </c>
      <c r="AA46" s="116">
        <v>44.152000000000001</v>
      </c>
      <c r="AB46" s="111">
        <v>100.22199999999999</v>
      </c>
      <c r="AC46" s="113">
        <f t="shared" si="8"/>
        <v>144.374</v>
      </c>
      <c r="AD46" s="110">
        <v>0</v>
      </c>
      <c r="AE46" s="111">
        <v>69.69</v>
      </c>
      <c r="AF46" s="112">
        <v>0</v>
      </c>
      <c r="AG46" s="117">
        <v>0</v>
      </c>
      <c r="AH46" s="111">
        <v>108</v>
      </c>
      <c r="AI46" s="112">
        <v>0</v>
      </c>
      <c r="AJ46" s="112">
        <v>24.957000000000001</v>
      </c>
      <c r="AK46" s="113">
        <f t="shared" si="9"/>
        <v>202.64699999999999</v>
      </c>
      <c r="AL46" s="143">
        <f t="shared" si="11"/>
        <v>88379.782999999996</v>
      </c>
      <c r="AM46" s="112">
        <f t="shared" si="3"/>
        <v>68442.687999999995</v>
      </c>
      <c r="AN46" s="112">
        <f t="shared" si="3"/>
        <v>19937.095000000001</v>
      </c>
      <c r="AO46" s="112">
        <f t="shared" si="3"/>
        <v>2807.7150000000001</v>
      </c>
      <c r="AP46" s="192">
        <f t="shared" si="4"/>
        <v>0.77441566019685748</v>
      </c>
      <c r="AQ46" s="193">
        <f t="shared" si="5"/>
        <v>4188.5600000000004</v>
      </c>
      <c r="AR46" s="194">
        <f t="shared" si="6"/>
        <v>-4152.5600000000004</v>
      </c>
      <c r="AS46" s="118"/>
      <c r="AT46" s="119"/>
      <c r="AU46" s="119"/>
      <c r="AV46" s="120"/>
      <c r="AW46" s="195"/>
      <c r="AX46" s="112">
        <v>88379783</v>
      </c>
      <c r="AY46" s="162">
        <v>68442688</v>
      </c>
      <c r="AZ46" s="162">
        <v>19937095</v>
      </c>
      <c r="BA46" s="162">
        <v>2807715</v>
      </c>
      <c r="BB46" s="196">
        <f t="shared" si="10"/>
        <v>0.77441566019685748</v>
      </c>
    </row>
    <row r="47" spans="1:54" s="121" customFormat="1" ht="16.5" customHeight="1">
      <c r="A47" s="104" t="s">
        <v>2143</v>
      </c>
      <c r="B47" s="105" t="s">
        <v>372</v>
      </c>
      <c r="C47" s="106" t="s">
        <v>347</v>
      </c>
      <c r="D47" s="106" t="s">
        <v>2415</v>
      </c>
      <c r="E47" s="71" t="s">
        <v>348</v>
      </c>
      <c r="F47" s="71" t="s">
        <v>78</v>
      </c>
      <c r="G47" s="109" t="s">
        <v>180</v>
      </c>
      <c r="H47" s="110">
        <v>0</v>
      </c>
      <c r="I47" s="112">
        <v>0</v>
      </c>
      <c r="J47" s="112">
        <v>137</v>
      </c>
      <c r="K47" s="113">
        <f t="shared" si="0"/>
        <v>137</v>
      </c>
      <c r="L47" s="110">
        <v>165.71299999999999</v>
      </c>
      <c r="M47" s="111">
        <v>22.942</v>
      </c>
      <c r="N47" s="115">
        <v>0</v>
      </c>
      <c r="O47" s="111">
        <v>13.2</v>
      </c>
      <c r="P47" s="142">
        <v>5.0099999999999999E-2</v>
      </c>
      <c r="Q47" s="111">
        <v>8428</v>
      </c>
      <c r="R47" s="112"/>
      <c r="S47" s="112"/>
      <c r="T47" s="111">
        <f t="shared" si="1"/>
        <v>422</v>
      </c>
      <c r="U47" s="115">
        <v>1505.194</v>
      </c>
      <c r="V47" s="144">
        <v>21.986999999999998</v>
      </c>
      <c r="W47" s="111">
        <v>100</v>
      </c>
      <c r="X47" s="113">
        <f t="shared" si="7"/>
        <v>2251.0360000000001</v>
      </c>
      <c r="Y47" s="110">
        <v>0</v>
      </c>
      <c r="Z47" s="111">
        <v>0</v>
      </c>
      <c r="AA47" s="116">
        <v>210.50299999999999</v>
      </c>
      <c r="AB47" s="111">
        <v>100.22199999999999</v>
      </c>
      <c r="AC47" s="113">
        <f t="shared" si="8"/>
        <v>310.72499999999997</v>
      </c>
      <c r="AD47" s="110">
        <v>0</v>
      </c>
      <c r="AE47" s="111">
        <v>106.14</v>
      </c>
      <c r="AF47" s="112">
        <v>0</v>
      </c>
      <c r="AG47" s="117">
        <v>0</v>
      </c>
      <c r="AH47" s="111">
        <v>150</v>
      </c>
      <c r="AI47" s="112">
        <v>0</v>
      </c>
      <c r="AJ47" s="112">
        <v>279.63799999999998</v>
      </c>
      <c r="AK47" s="113">
        <f t="shared" si="9"/>
        <v>535.77800000000002</v>
      </c>
      <c r="AL47" s="143">
        <f t="shared" si="11"/>
        <v>30221.545999999998</v>
      </c>
      <c r="AM47" s="112">
        <f t="shared" si="3"/>
        <v>19778.251</v>
      </c>
      <c r="AN47" s="112">
        <f t="shared" si="3"/>
        <v>10443.295</v>
      </c>
      <c r="AO47" s="112">
        <f t="shared" si="3"/>
        <v>639.76400000000001</v>
      </c>
      <c r="AP47" s="192">
        <f t="shared" si="4"/>
        <v>0.65444206593534293</v>
      </c>
      <c r="AQ47" s="193">
        <f t="shared" si="5"/>
        <v>2890.8</v>
      </c>
      <c r="AR47" s="194">
        <f t="shared" si="6"/>
        <v>-2753.8</v>
      </c>
      <c r="AS47" s="118"/>
      <c r="AT47" s="119"/>
      <c r="AU47" s="119"/>
      <c r="AV47" s="120"/>
      <c r="AW47" s="195"/>
      <c r="AX47" s="112">
        <v>30221546</v>
      </c>
      <c r="AY47" s="162">
        <v>19778251</v>
      </c>
      <c r="AZ47" s="162">
        <v>10443295</v>
      </c>
      <c r="BA47" s="162">
        <v>639764</v>
      </c>
      <c r="BB47" s="196">
        <f t="shared" si="10"/>
        <v>0.65444206593534293</v>
      </c>
    </row>
    <row r="48" spans="1:54" s="121" customFormat="1" ht="16.5" customHeight="1">
      <c r="A48" s="104" t="s">
        <v>2143</v>
      </c>
      <c r="B48" s="105" t="s">
        <v>379</v>
      </c>
      <c r="C48" s="106" t="s">
        <v>353</v>
      </c>
      <c r="D48" s="106" t="s">
        <v>2415</v>
      </c>
      <c r="E48" s="71" t="s">
        <v>354</v>
      </c>
      <c r="F48" s="71" t="s">
        <v>78</v>
      </c>
      <c r="G48" s="109" t="s">
        <v>180</v>
      </c>
      <c r="H48" s="110">
        <v>0</v>
      </c>
      <c r="I48" s="112">
        <v>0</v>
      </c>
      <c r="J48" s="112">
        <v>131</v>
      </c>
      <c r="K48" s="113">
        <f t="shared" si="0"/>
        <v>131</v>
      </c>
      <c r="L48" s="110">
        <v>262.46600000000001</v>
      </c>
      <c r="M48" s="111">
        <v>89.361000000000004</v>
      </c>
      <c r="N48" s="115">
        <v>0</v>
      </c>
      <c r="O48" s="111">
        <v>122.1</v>
      </c>
      <c r="P48" s="142">
        <v>5.0099999999999999E-2</v>
      </c>
      <c r="Q48" s="111">
        <v>8428</v>
      </c>
      <c r="R48" s="112"/>
      <c r="S48" s="112"/>
      <c r="T48" s="111">
        <f t="shared" si="1"/>
        <v>422</v>
      </c>
      <c r="U48" s="115">
        <v>0</v>
      </c>
      <c r="V48" s="144">
        <v>21.988</v>
      </c>
      <c r="W48" s="111">
        <v>100</v>
      </c>
      <c r="X48" s="113">
        <f t="shared" si="7"/>
        <v>1017.915</v>
      </c>
      <c r="Y48" s="110">
        <v>0</v>
      </c>
      <c r="Z48" s="111">
        <v>0</v>
      </c>
      <c r="AA48" s="116">
        <v>36.799999999999997</v>
      </c>
      <c r="AB48" s="111">
        <v>100.22199999999999</v>
      </c>
      <c r="AC48" s="113">
        <f t="shared" si="8"/>
        <v>137.02199999999999</v>
      </c>
      <c r="AD48" s="110">
        <v>0</v>
      </c>
      <c r="AE48" s="111">
        <v>0</v>
      </c>
      <c r="AF48" s="112">
        <v>0</v>
      </c>
      <c r="AG48" s="117">
        <v>0</v>
      </c>
      <c r="AH48" s="111">
        <v>0</v>
      </c>
      <c r="AI48" s="112">
        <v>0</v>
      </c>
      <c r="AJ48" s="112">
        <v>212.71199999999999</v>
      </c>
      <c r="AK48" s="113">
        <f t="shared" si="9"/>
        <v>212.71199999999999</v>
      </c>
      <c r="AL48" s="143">
        <f t="shared" si="11"/>
        <v>49620.92</v>
      </c>
      <c r="AM48" s="112">
        <f t="shared" si="3"/>
        <v>35482.862999999998</v>
      </c>
      <c r="AN48" s="112">
        <f t="shared" si="3"/>
        <v>14138.057000000001</v>
      </c>
      <c r="AO48" s="112">
        <f t="shared" si="3"/>
        <v>1266.9570000000001</v>
      </c>
      <c r="AP48" s="192">
        <f t="shared" si="4"/>
        <v>0.71507870067705315</v>
      </c>
      <c r="AQ48" s="193">
        <f t="shared" si="5"/>
        <v>2284.8720000000003</v>
      </c>
      <c r="AR48" s="194">
        <f t="shared" si="6"/>
        <v>-2153.8720000000003</v>
      </c>
      <c r="AS48" s="118"/>
      <c r="AT48" s="119"/>
      <c r="AU48" s="119"/>
      <c r="AV48" s="120"/>
      <c r="AW48" s="195"/>
      <c r="AX48" s="112">
        <v>49620920</v>
      </c>
      <c r="AY48" s="162">
        <v>35482863</v>
      </c>
      <c r="AZ48" s="162">
        <v>14138057</v>
      </c>
      <c r="BA48" s="162">
        <v>1266957</v>
      </c>
      <c r="BB48" s="196">
        <f t="shared" si="10"/>
        <v>0.71507870067705315</v>
      </c>
    </row>
    <row r="49" spans="1:54" s="121" customFormat="1" ht="16.5" customHeight="1">
      <c r="A49" s="104" t="s">
        <v>2143</v>
      </c>
      <c r="B49" s="105" t="s">
        <v>385</v>
      </c>
      <c r="C49" s="106" t="s">
        <v>360</v>
      </c>
      <c r="D49" s="106" t="s">
        <v>2415</v>
      </c>
      <c r="E49" s="71" t="s">
        <v>361</v>
      </c>
      <c r="F49" s="71" t="s">
        <v>78</v>
      </c>
      <c r="G49" s="109" t="s">
        <v>180</v>
      </c>
      <c r="H49" s="110">
        <v>0</v>
      </c>
      <c r="I49" s="112">
        <v>0</v>
      </c>
      <c r="J49" s="112">
        <v>38</v>
      </c>
      <c r="K49" s="113">
        <f t="shared" si="0"/>
        <v>38</v>
      </c>
      <c r="L49" s="110">
        <v>0</v>
      </c>
      <c r="M49" s="111">
        <v>0</v>
      </c>
      <c r="N49" s="115">
        <v>0</v>
      </c>
      <c r="O49" s="111">
        <v>161.47999999999999</v>
      </c>
      <c r="P49" s="142"/>
      <c r="Q49" s="111">
        <v>8428</v>
      </c>
      <c r="R49" s="112"/>
      <c r="S49" s="112"/>
      <c r="T49" s="111">
        <f t="shared" si="1"/>
        <v>0</v>
      </c>
      <c r="U49" s="115">
        <v>0</v>
      </c>
      <c r="V49" s="144">
        <v>8.1720000000000006</v>
      </c>
      <c r="W49" s="111">
        <v>16816</v>
      </c>
      <c r="X49" s="113">
        <f t="shared" si="7"/>
        <v>16985.651999999998</v>
      </c>
      <c r="Y49" s="110">
        <v>0</v>
      </c>
      <c r="Z49" s="111">
        <v>0</v>
      </c>
      <c r="AA49" s="116">
        <v>0</v>
      </c>
      <c r="AB49" s="111">
        <v>16815.952000000001</v>
      </c>
      <c r="AC49" s="113">
        <f t="shared" si="8"/>
        <v>16815.952000000001</v>
      </c>
      <c r="AD49" s="110">
        <v>2440.9270000000001</v>
      </c>
      <c r="AE49" s="111">
        <v>1671.491</v>
      </c>
      <c r="AF49" s="112">
        <v>0</v>
      </c>
      <c r="AG49" s="117">
        <v>60.732999999999997</v>
      </c>
      <c r="AH49" s="111">
        <v>11000.536</v>
      </c>
      <c r="AI49" s="112">
        <v>488.233</v>
      </c>
      <c r="AJ49" s="112">
        <v>751.524</v>
      </c>
      <c r="AK49" s="113">
        <f t="shared" si="9"/>
        <v>16413.444</v>
      </c>
      <c r="AL49" s="143">
        <f t="shared" si="11"/>
        <v>315310.56125265016</v>
      </c>
      <c r="AM49" s="112">
        <f t="shared" si="3"/>
        <v>59638.867804820082</v>
      </c>
      <c r="AN49" s="112">
        <f t="shared" si="3"/>
        <v>255671.69344783004</v>
      </c>
      <c r="AO49" s="112">
        <f t="shared" si="3"/>
        <v>11927.773560964017</v>
      </c>
      <c r="AP49" s="192">
        <f t="shared" si="4"/>
        <v>0.18914326106899099</v>
      </c>
      <c r="AQ49" s="193">
        <f t="shared" si="5"/>
        <v>28913.425560964017</v>
      </c>
      <c r="AR49" s="194">
        <f t="shared" si="6"/>
        <v>-28875.425560964017</v>
      </c>
      <c r="AS49" s="118"/>
      <c r="AT49" s="119"/>
      <c r="AU49" s="119"/>
      <c r="AV49" s="120"/>
      <c r="AW49" s="195" t="s">
        <v>63</v>
      </c>
      <c r="AX49" s="112">
        <v>315310561.25265014</v>
      </c>
      <c r="AY49" s="162">
        <v>59638867.804820083</v>
      </c>
      <c r="AZ49" s="162">
        <v>255671693.44783005</v>
      </c>
      <c r="BA49" s="162">
        <v>11927773.560964016</v>
      </c>
      <c r="BB49" s="196">
        <f t="shared" si="10"/>
        <v>0.18914326106899099</v>
      </c>
    </row>
    <row r="50" spans="1:54" s="121" customFormat="1" ht="16.5" customHeight="1">
      <c r="A50" s="104" t="s">
        <v>2143</v>
      </c>
      <c r="B50" s="105" t="s">
        <v>392</v>
      </c>
      <c r="C50" s="106" t="s">
        <v>366</v>
      </c>
      <c r="D50" s="106" t="s">
        <v>2415</v>
      </c>
      <c r="E50" s="71" t="s">
        <v>367</v>
      </c>
      <c r="F50" s="71" t="s">
        <v>78</v>
      </c>
      <c r="G50" s="109" t="s">
        <v>180</v>
      </c>
      <c r="H50" s="110">
        <v>0</v>
      </c>
      <c r="I50" s="112">
        <v>0</v>
      </c>
      <c r="J50" s="112">
        <v>0</v>
      </c>
      <c r="K50" s="113">
        <f t="shared" si="0"/>
        <v>0</v>
      </c>
      <c r="L50" s="110">
        <v>275.30900000000003</v>
      </c>
      <c r="M50" s="111">
        <v>22.943000000000001</v>
      </c>
      <c r="N50" s="115">
        <v>0</v>
      </c>
      <c r="O50" s="111">
        <v>0</v>
      </c>
      <c r="P50" s="142">
        <v>5.0099999999999999E-2</v>
      </c>
      <c r="Q50" s="111">
        <v>8428</v>
      </c>
      <c r="R50" s="112"/>
      <c r="S50" s="112"/>
      <c r="T50" s="111">
        <f t="shared" si="1"/>
        <v>422</v>
      </c>
      <c r="U50" s="115">
        <v>0</v>
      </c>
      <c r="V50" s="144">
        <v>21.988</v>
      </c>
      <c r="W50" s="111">
        <v>100</v>
      </c>
      <c r="X50" s="113">
        <f t="shared" si="7"/>
        <v>842.24</v>
      </c>
      <c r="Y50" s="110">
        <v>0</v>
      </c>
      <c r="Z50" s="111">
        <v>0</v>
      </c>
      <c r="AA50" s="116">
        <v>0.7</v>
      </c>
      <c r="AB50" s="111">
        <v>100.22199999999999</v>
      </c>
      <c r="AC50" s="113">
        <f t="shared" si="8"/>
        <v>100.922</v>
      </c>
      <c r="AD50" s="110">
        <v>0</v>
      </c>
      <c r="AE50" s="111">
        <v>70</v>
      </c>
      <c r="AF50" s="112">
        <v>0</v>
      </c>
      <c r="AG50" s="117">
        <v>0</v>
      </c>
      <c r="AH50" s="111">
        <v>0</v>
      </c>
      <c r="AI50" s="112">
        <v>0</v>
      </c>
      <c r="AJ50" s="112">
        <v>0</v>
      </c>
      <c r="AK50" s="113">
        <f t="shared" si="9"/>
        <v>70</v>
      </c>
      <c r="AL50" s="143">
        <f t="shared" si="11"/>
        <v>60679.3</v>
      </c>
      <c r="AM50" s="112">
        <f t="shared" si="3"/>
        <v>49854.699000000001</v>
      </c>
      <c r="AN50" s="112">
        <f t="shared" si="3"/>
        <v>10824.601000000001</v>
      </c>
      <c r="AO50" s="112">
        <f t="shared" si="3"/>
        <v>827.096</v>
      </c>
      <c r="AP50" s="192">
        <f t="shared" si="4"/>
        <v>0.82160965930721019</v>
      </c>
      <c r="AQ50" s="193">
        <f t="shared" si="5"/>
        <v>1669.336</v>
      </c>
      <c r="AR50" s="194">
        <f t="shared" si="6"/>
        <v>-1669.336</v>
      </c>
      <c r="AS50" s="118"/>
      <c r="AT50" s="119"/>
      <c r="AU50" s="119"/>
      <c r="AV50" s="120"/>
      <c r="AW50" s="195"/>
      <c r="AX50" s="112">
        <v>60679300</v>
      </c>
      <c r="AY50" s="162">
        <v>49854699</v>
      </c>
      <c r="AZ50" s="162">
        <v>10824601</v>
      </c>
      <c r="BA50" s="162">
        <v>827096</v>
      </c>
      <c r="BB50" s="196">
        <f t="shared" si="10"/>
        <v>0.82160965930721019</v>
      </c>
    </row>
    <row r="51" spans="1:54" s="121" customFormat="1" ht="16.5" customHeight="1">
      <c r="A51" s="104" t="s">
        <v>2143</v>
      </c>
      <c r="B51" s="105" t="s">
        <v>399</v>
      </c>
      <c r="C51" s="106" t="s">
        <v>373</v>
      </c>
      <c r="D51" s="106" t="s">
        <v>2415</v>
      </c>
      <c r="E51" s="71" t="s">
        <v>374</v>
      </c>
      <c r="F51" s="71" t="s">
        <v>78</v>
      </c>
      <c r="G51" s="109" t="s">
        <v>180</v>
      </c>
      <c r="H51" s="110">
        <v>0</v>
      </c>
      <c r="I51" s="112">
        <v>0</v>
      </c>
      <c r="J51" s="112">
        <v>0</v>
      </c>
      <c r="K51" s="113">
        <f t="shared" si="0"/>
        <v>0</v>
      </c>
      <c r="L51" s="110">
        <v>278.08100000000002</v>
      </c>
      <c r="M51" s="111">
        <v>22.943000000000001</v>
      </c>
      <c r="N51" s="115">
        <v>0</v>
      </c>
      <c r="O51" s="111">
        <v>2588.3000000000002</v>
      </c>
      <c r="P51" s="142">
        <v>5.0099999999999999E-2</v>
      </c>
      <c r="Q51" s="111">
        <v>8428</v>
      </c>
      <c r="R51" s="112"/>
      <c r="S51" s="112"/>
      <c r="T51" s="111">
        <f t="shared" si="1"/>
        <v>422</v>
      </c>
      <c r="U51" s="115">
        <v>0</v>
      </c>
      <c r="V51" s="144">
        <v>23.988</v>
      </c>
      <c r="W51" s="111">
        <v>100</v>
      </c>
      <c r="X51" s="113">
        <f t="shared" si="7"/>
        <v>3435.3119999999999</v>
      </c>
      <c r="Y51" s="110">
        <v>0</v>
      </c>
      <c r="Z51" s="111">
        <v>0</v>
      </c>
      <c r="AA51" s="116">
        <v>0</v>
      </c>
      <c r="AB51" s="111">
        <v>100.22199999999999</v>
      </c>
      <c r="AC51" s="113">
        <f t="shared" si="8"/>
        <v>100.22199999999999</v>
      </c>
      <c r="AD51" s="110">
        <v>0</v>
      </c>
      <c r="AE51" s="111">
        <v>0</v>
      </c>
      <c r="AF51" s="112">
        <v>0</v>
      </c>
      <c r="AG51" s="117">
        <v>0</v>
      </c>
      <c r="AH51" s="111">
        <v>0</v>
      </c>
      <c r="AI51" s="112">
        <v>0</v>
      </c>
      <c r="AJ51" s="112">
        <v>0</v>
      </c>
      <c r="AK51" s="113">
        <f t="shared" si="9"/>
        <v>0</v>
      </c>
      <c r="AL51" s="143">
        <f t="shared" si="11"/>
        <v>90775.05</v>
      </c>
      <c r="AM51" s="112">
        <f t="shared" si="3"/>
        <v>80318.456999999995</v>
      </c>
      <c r="AN51" s="112">
        <f t="shared" si="3"/>
        <v>10456.593000000001</v>
      </c>
      <c r="AO51" s="112">
        <f t="shared" si="3"/>
        <v>363.17599999999999</v>
      </c>
      <c r="AP51" s="192">
        <f t="shared" si="4"/>
        <v>0.88480763161243092</v>
      </c>
      <c r="AQ51" s="193">
        <f t="shared" si="5"/>
        <v>3798.4879999999998</v>
      </c>
      <c r="AR51" s="194">
        <f t="shared" si="6"/>
        <v>-3798.4879999999998</v>
      </c>
      <c r="AS51" s="118"/>
      <c r="AT51" s="119"/>
      <c r="AU51" s="119"/>
      <c r="AV51" s="120"/>
      <c r="AW51" s="195"/>
      <c r="AX51" s="112">
        <v>90775050</v>
      </c>
      <c r="AY51" s="162">
        <v>80318457</v>
      </c>
      <c r="AZ51" s="162">
        <v>10456593</v>
      </c>
      <c r="BA51" s="162">
        <v>363176</v>
      </c>
      <c r="BB51" s="196">
        <f t="shared" si="10"/>
        <v>0.88480763161243092</v>
      </c>
    </row>
    <row r="52" spans="1:54" s="121" customFormat="1" ht="16.5" customHeight="1">
      <c r="A52" s="104" t="s">
        <v>2143</v>
      </c>
      <c r="B52" s="105" t="s">
        <v>405</v>
      </c>
      <c r="C52" s="106" t="s">
        <v>380</v>
      </c>
      <c r="D52" s="106" t="s">
        <v>2415</v>
      </c>
      <c r="E52" s="71" t="s">
        <v>381</v>
      </c>
      <c r="F52" s="71" t="s">
        <v>78</v>
      </c>
      <c r="G52" s="109" t="s">
        <v>180</v>
      </c>
      <c r="H52" s="110">
        <v>0</v>
      </c>
      <c r="I52" s="112">
        <v>0</v>
      </c>
      <c r="J52" s="112">
        <v>5</v>
      </c>
      <c r="K52" s="113">
        <f t="shared" si="0"/>
        <v>5</v>
      </c>
      <c r="L52" s="110">
        <v>199.649</v>
      </c>
      <c r="M52" s="111">
        <v>22.943000000000001</v>
      </c>
      <c r="N52" s="115">
        <v>0</v>
      </c>
      <c r="O52" s="111">
        <v>95.7</v>
      </c>
      <c r="P52" s="142">
        <v>5.0099999999999999E-2</v>
      </c>
      <c r="Q52" s="111">
        <v>8428</v>
      </c>
      <c r="R52" s="112"/>
      <c r="S52" s="112"/>
      <c r="T52" s="111">
        <f t="shared" si="1"/>
        <v>422</v>
      </c>
      <c r="U52" s="115">
        <v>0</v>
      </c>
      <c r="V52" s="144">
        <v>21.988</v>
      </c>
      <c r="W52" s="111">
        <v>100</v>
      </c>
      <c r="X52" s="113">
        <f t="shared" si="7"/>
        <v>862.28</v>
      </c>
      <c r="Y52" s="110">
        <v>0</v>
      </c>
      <c r="Z52" s="111">
        <v>0</v>
      </c>
      <c r="AA52" s="116">
        <v>680.00300000000004</v>
      </c>
      <c r="AB52" s="111">
        <v>100.22199999999999</v>
      </c>
      <c r="AC52" s="113">
        <f t="shared" si="8"/>
        <v>780.22500000000002</v>
      </c>
      <c r="AD52" s="110">
        <v>4.9470000000000001</v>
      </c>
      <c r="AE52" s="111">
        <v>0</v>
      </c>
      <c r="AF52" s="112">
        <v>0</v>
      </c>
      <c r="AG52" s="117">
        <v>0</v>
      </c>
      <c r="AH52" s="111">
        <v>660</v>
      </c>
      <c r="AI52" s="112">
        <v>0</v>
      </c>
      <c r="AJ52" s="112">
        <v>115.27800000000001</v>
      </c>
      <c r="AK52" s="113">
        <f t="shared" si="9"/>
        <v>780.22500000000002</v>
      </c>
      <c r="AL52" s="143">
        <f t="shared" si="11"/>
        <v>50238.9</v>
      </c>
      <c r="AM52" s="112">
        <f t="shared" si="3"/>
        <v>45855.650999999998</v>
      </c>
      <c r="AN52" s="112">
        <f t="shared" si="3"/>
        <v>4383.2489999999998</v>
      </c>
      <c r="AO52" s="112">
        <f t="shared" si="3"/>
        <v>165.143</v>
      </c>
      <c r="AP52" s="192">
        <f t="shared" si="4"/>
        <v>0.91275189146259172</v>
      </c>
      <c r="AQ52" s="193">
        <f t="shared" si="5"/>
        <v>1027.423</v>
      </c>
      <c r="AR52" s="194">
        <f t="shared" si="6"/>
        <v>-1022.423</v>
      </c>
      <c r="AS52" s="118"/>
      <c r="AT52" s="119"/>
      <c r="AU52" s="119"/>
      <c r="AV52" s="120"/>
      <c r="AW52" s="195"/>
      <c r="AX52" s="112">
        <v>50238900</v>
      </c>
      <c r="AY52" s="162">
        <v>45855651</v>
      </c>
      <c r="AZ52" s="162">
        <v>4383249</v>
      </c>
      <c r="BA52" s="162">
        <v>165143</v>
      </c>
      <c r="BB52" s="196">
        <f t="shared" si="10"/>
        <v>0.91275189146259172</v>
      </c>
    </row>
    <row r="53" spans="1:54" s="121" customFormat="1" ht="16.5" customHeight="1">
      <c r="A53" s="104" t="s">
        <v>2143</v>
      </c>
      <c r="B53" s="105" t="s">
        <v>410</v>
      </c>
      <c r="C53" s="106" t="s">
        <v>386</v>
      </c>
      <c r="D53" s="106" t="s">
        <v>2415</v>
      </c>
      <c r="E53" s="71" t="s">
        <v>387</v>
      </c>
      <c r="F53" s="71" t="s">
        <v>78</v>
      </c>
      <c r="G53" s="109" t="s">
        <v>180</v>
      </c>
      <c r="H53" s="110">
        <v>0</v>
      </c>
      <c r="I53" s="112">
        <v>0</v>
      </c>
      <c r="J53" s="112">
        <v>12</v>
      </c>
      <c r="K53" s="113">
        <f t="shared" si="0"/>
        <v>12</v>
      </c>
      <c r="L53" s="110">
        <v>440.94499999999999</v>
      </c>
      <c r="M53" s="111">
        <v>22.943000000000001</v>
      </c>
      <c r="N53" s="115">
        <v>0</v>
      </c>
      <c r="O53" s="111">
        <v>151.80000000000001</v>
      </c>
      <c r="P53" s="142">
        <v>5.0099999999999999E-2</v>
      </c>
      <c r="Q53" s="111">
        <v>8428</v>
      </c>
      <c r="R53" s="112"/>
      <c r="S53" s="112"/>
      <c r="T53" s="111">
        <f t="shared" si="1"/>
        <v>422</v>
      </c>
      <c r="U53" s="115">
        <v>0</v>
      </c>
      <c r="V53" s="144">
        <v>21.988</v>
      </c>
      <c r="W53" s="111">
        <v>100</v>
      </c>
      <c r="X53" s="113">
        <f t="shared" si="7"/>
        <v>1159.6760000000002</v>
      </c>
      <c r="Y53" s="110">
        <v>0</v>
      </c>
      <c r="Z53" s="111">
        <v>0</v>
      </c>
      <c r="AA53" s="116">
        <v>4.4089999999999998</v>
      </c>
      <c r="AB53" s="111">
        <v>100.22199999999999</v>
      </c>
      <c r="AC53" s="113">
        <f t="shared" si="8"/>
        <v>104.631</v>
      </c>
      <c r="AD53" s="110">
        <v>0</v>
      </c>
      <c r="AE53" s="111">
        <v>48</v>
      </c>
      <c r="AF53" s="112">
        <v>0</v>
      </c>
      <c r="AG53" s="117">
        <v>0</v>
      </c>
      <c r="AH53" s="111">
        <v>0</v>
      </c>
      <c r="AI53" s="112">
        <v>0</v>
      </c>
      <c r="AJ53" s="112">
        <v>65.070999999999998</v>
      </c>
      <c r="AK53" s="113">
        <f t="shared" si="9"/>
        <v>113.071</v>
      </c>
      <c r="AL53" s="143">
        <f t="shared" si="11"/>
        <v>90704.207999999999</v>
      </c>
      <c r="AM53" s="112">
        <f t="shared" si="3"/>
        <v>84756.218999999997</v>
      </c>
      <c r="AN53" s="112">
        <f t="shared" si="3"/>
        <v>5947.9889999999996</v>
      </c>
      <c r="AO53" s="112">
        <f t="shared" si="3"/>
        <v>1119.8399999999999</v>
      </c>
      <c r="AP53" s="192">
        <f t="shared" si="4"/>
        <v>0.93442433233086608</v>
      </c>
      <c r="AQ53" s="193">
        <f t="shared" si="5"/>
        <v>2279.5160000000001</v>
      </c>
      <c r="AR53" s="194">
        <f t="shared" si="6"/>
        <v>-2267.5160000000001</v>
      </c>
      <c r="AS53" s="118"/>
      <c r="AT53" s="119"/>
      <c r="AU53" s="119"/>
      <c r="AV53" s="120"/>
      <c r="AW53" s="195"/>
      <c r="AX53" s="112">
        <v>90704208</v>
      </c>
      <c r="AY53" s="162">
        <v>84756219</v>
      </c>
      <c r="AZ53" s="162">
        <v>5947989</v>
      </c>
      <c r="BA53" s="162">
        <v>1119840</v>
      </c>
      <c r="BB53" s="196">
        <f t="shared" si="10"/>
        <v>0.93442433233086608</v>
      </c>
    </row>
    <row r="54" spans="1:54" s="121" customFormat="1" ht="16.5" customHeight="1">
      <c r="A54" s="104" t="s">
        <v>2143</v>
      </c>
      <c r="B54" s="105" t="s">
        <v>416</v>
      </c>
      <c r="C54" s="106" t="s">
        <v>393</v>
      </c>
      <c r="D54" s="106" t="s">
        <v>2415</v>
      </c>
      <c r="E54" s="71" t="s">
        <v>394</v>
      </c>
      <c r="F54" s="71" t="s">
        <v>78</v>
      </c>
      <c r="G54" s="109" t="s">
        <v>180</v>
      </c>
      <c r="H54" s="110">
        <v>0</v>
      </c>
      <c r="I54" s="112">
        <v>0</v>
      </c>
      <c r="J54" s="112">
        <v>21</v>
      </c>
      <c r="K54" s="113">
        <f t="shared" si="0"/>
        <v>21</v>
      </c>
      <c r="L54" s="110">
        <v>354.06299999999999</v>
      </c>
      <c r="M54" s="111">
        <v>22.943000000000001</v>
      </c>
      <c r="N54" s="115">
        <v>0</v>
      </c>
      <c r="O54" s="111">
        <v>69.3</v>
      </c>
      <c r="P54" s="142">
        <v>5.0099999999999999E-2</v>
      </c>
      <c r="Q54" s="111">
        <v>8428</v>
      </c>
      <c r="R54" s="112"/>
      <c r="S54" s="112"/>
      <c r="T54" s="111">
        <f t="shared" si="1"/>
        <v>422</v>
      </c>
      <c r="U54" s="115">
        <v>0</v>
      </c>
      <c r="V54" s="144">
        <v>21.988</v>
      </c>
      <c r="W54" s="111">
        <v>100</v>
      </c>
      <c r="X54" s="113">
        <f t="shared" si="7"/>
        <v>990.2940000000001</v>
      </c>
      <c r="Y54" s="110">
        <v>0</v>
      </c>
      <c r="Z54" s="111">
        <v>0</v>
      </c>
      <c r="AA54" s="116">
        <v>74.201999999999998</v>
      </c>
      <c r="AB54" s="111">
        <v>100.22199999999999</v>
      </c>
      <c r="AC54" s="113">
        <f t="shared" si="8"/>
        <v>174.42399999999998</v>
      </c>
      <c r="AD54" s="110">
        <v>21</v>
      </c>
      <c r="AE54" s="111">
        <v>50</v>
      </c>
      <c r="AF54" s="112">
        <v>0</v>
      </c>
      <c r="AG54" s="117">
        <v>0</v>
      </c>
      <c r="AH54" s="111">
        <v>40</v>
      </c>
      <c r="AI54" s="112">
        <v>0</v>
      </c>
      <c r="AJ54" s="112">
        <v>2.4249999999999998</v>
      </c>
      <c r="AK54" s="113">
        <f t="shared" si="9"/>
        <v>113.425</v>
      </c>
      <c r="AL54" s="143">
        <f t="shared" si="11"/>
        <v>78735.626999999993</v>
      </c>
      <c r="AM54" s="112">
        <f t="shared" si="3"/>
        <v>63021.322</v>
      </c>
      <c r="AN54" s="112">
        <f t="shared" si="3"/>
        <v>15714.305</v>
      </c>
      <c r="AO54" s="112">
        <f t="shared" si="3"/>
        <v>2075.7829999999999</v>
      </c>
      <c r="AP54" s="192">
        <f t="shared" si="4"/>
        <v>0.80041684306394101</v>
      </c>
      <c r="AQ54" s="193">
        <f t="shared" si="5"/>
        <v>3066.0770000000002</v>
      </c>
      <c r="AR54" s="194">
        <f t="shared" si="6"/>
        <v>-3045.0770000000002</v>
      </c>
      <c r="AS54" s="118"/>
      <c r="AT54" s="119"/>
      <c r="AU54" s="119"/>
      <c r="AV54" s="120"/>
      <c r="AW54" s="195"/>
      <c r="AX54" s="112">
        <v>78735627</v>
      </c>
      <c r="AY54" s="162">
        <v>63021322</v>
      </c>
      <c r="AZ54" s="162">
        <v>15714305</v>
      </c>
      <c r="BA54" s="162">
        <v>2075783</v>
      </c>
      <c r="BB54" s="196">
        <f t="shared" si="10"/>
        <v>0.80041684306394101</v>
      </c>
    </row>
    <row r="55" spans="1:54" s="121" customFormat="1" ht="16.5" customHeight="1">
      <c r="A55" s="104" t="s">
        <v>2143</v>
      </c>
      <c r="B55" s="105" t="s">
        <v>423</v>
      </c>
      <c r="C55" s="106" t="s">
        <v>400</v>
      </c>
      <c r="D55" s="106" t="s">
        <v>2415</v>
      </c>
      <c r="E55" s="71" t="s">
        <v>401</v>
      </c>
      <c r="F55" s="71" t="s">
        <v>78</v>
      </c>
      <c r="G55" s="109" t="s">
        <v>180</v>
      </c>
      <c r="H55" s="110">
        <v>0</v>
      </c>
      <c r="I55" s="112">
        <v>0</v>
      </c>
      <c r="J55" s="112">
        <v>0</v>
      </c>
      <c r="K55" s="113">
        <f t="shared" si="0"/>
        <v>0</v>
      </c>
      <c r="L55" s="110">
        <v>133.852</v>
      </c>
      <c r="M55" s="111">
        <v>22.942</v>
      </c>
      <c r="N55" s="115">
        <v>0</v>
      </c>
      <c r="O55" s="111">
        <v>484</v>
      </c>
      <c r="P55" s="142">
        <v>5.0099999999999999E-2</v>
      </c>
      <c r="Q55" s="111">
        <v>8428</v>
      </c>
      <c r="R55" s="112"/>
      <c r="S55" s="112"/>
      <c r="T55" s="111">
        <f t="shared" si="1"/>
        <v>422</v>
      </c>
      <c r="U55" s="115">
        <v>0</v>
      </c>
      <c r="V55" s="144">
        <v>21.986999999999998</v>
      </c>
      <c r="W55" s="111">
        <v>100</v>
      </c>
      <c r="X55" s="113">
        <f t="shared" si="7"/>
        <v>1184.7809999999999</v>
      </c>
      <c r="Y55" s="110">
        <v>0</v>
      </c>
      <c r="Z55" s="111">
        <v>0</v>
      </c>
      <c r="AA55" s="116">
        <v>6.0000000000000001E-3</v>
      </c>
      <c r="AB55" s="111">
        <v>100.22199999999999</v>
      </c>
      <c r="AC55" s="113">
        <f t="shared" si="8"/>
        <v>100.22799999999999</v>
      </c>
      <c r="AD55" s="110">
        <v>0</v>
      </c>
      <c r="AE55" s="111">
        <v>0</v>
      </c>
      <c r="AF55" s="112">
        <v>0</v>
      </c>
      <c r="AG55" s="117">
        <v>0</v>
      </c>
      <c r="AH55" s="111">
        <v>48</v>
      </c>
      <c r="AI55" s="112">
        <v>0</v>
      </c>
      <c r="AJ55" s="112">
        <v>19.597000000000001</v>
      </c>
      <c r="AK55" s="113">
        <f t="shared" si="9"/>
        <v>67.597000000000008</v>
      </c>
      <c r="AL55" s="143">
        <f t="shared" si="11"/>
        <v>40942.5</v>
      </c>
      <c r="AM55" s="112">
        <f t="shared" si="3"/>
        <v>21617.64</v>
      </c>
      <c r="AN55" s="112">
        <f t="shared" si="3"/>
        <v>19324.86</v>
      </c>
      <c r="AO55" s="112">
        <f t="shared" si="3"/>
        <v>900.73500000000001</v>
      </c>
      <c r="AP55" s="192">
        <f t="shared" si="4"/>
        <v>0.52800000000000002</v>
      </c>
      <c r="AQ55" s="193">
        <f t="shared" si="5"/>
        <v>2085.5160000000001</v>
      </c>
      <c r="AR55" s="194">
        <f t="shared" si="6"/>
        <v>-2085.5160000000001</v>
      </c>
      <c r="AS55" s="118"/>
      <c r="AT55" s="119"/>
      <c r="AU55" s="119"/>
      <c r="AV55" s="120"/>
      <c r="AW55" s="195"/>
      <c r="AX55" s="112">
        <v>40942500</v>
      </c>
      <c r="AY55" s="162">
        <v>21617640</v>
      </c>
      <c r="AZ55" s="162">
        <v>19324860</v>
      </c>
      <c r="BA55" s="162">
        <v>900735</v>
      </c>
      <c r="BB55" s="196">
        <f t="shared" si="10"/>
        <v>0.52800000000000002</v>
      </c>
    </row>
    <row r="56" spans="1:54" s="121" customFormat="1" ht="16.5" customHeight="1">
      <c r="A56" s="104" t="s">
        <v>2143</v>
      </c>
      <c r="B56" s="105" t="s">
        <v>429</v>
      </c>
      <c r="C56" s="106" t="s">
        <v>406</v>
      </c>
      <c r="D56" s="106" t="s">
        <v>2415</v>
      </c>
      <c r="E56" s="71" t="s">
        <v>407</v>
      </c>
      <c r="F56" s="71" t="s">
        <v>78</v>
      </c>
      <c r="G56" s="109" t="s">
        <v>180</v>
      </c>
      <c r="H56" s="110">
        <v>0</v>
      </c>
      <c r="I56" s="112">
        <v>0</v>
      </c>
      <c r="J56" s="112">
        <v>0</v>
      </c>
      <c r="K56" s="113">
        <f t="shared" si="0"/>
        <v>0</v>
      </c>
      <c r="L56" s="110">
        <v>128.017</v>
      </c>
      <c r="M56" s="111">
        <v>22.943000000000001</v>
      </c>
      <c r="N56" s="115">
        <v>0</v>
      </c>
      <c r="O56" s="111">
        <v>16.5</v>
      </c>
      <c r="P56" s="142">
        <v>5.0099999999999999E-2</v>
      </c>
      <c r="Q56" s="111">
        <v>8428</v>
      </c>
      <c r="R56" s="112"/>
      <c r="S56" s="112"/>
      <c r="T56" s="111">
        <f t="shared" si="1"/>
        <v>422</v>
      </c>
      <c r="U56" s="115">
        <v>0</v>
      </c>
      <c r="V56" s="144">
        <v>21.986999999999998</v>
      </c>
      <c r="W56" s="111">
        <v>100</v>
      </c>
      <c r="X56" s="113">
        <f t="shared" si="7"/>
        <v>711.447</v>
      </c>
      <c r="Y56" s="110">
        <v>0</v>
      </c>
      <c r="Z56" s="111">
        <v>0</v>
      </c>
      <c r="AA56" s="116">
        <v>1E-3</v>
      </c>
      <c r="AB56" s="111">
        <v>100.22199999999999</v>
      </c>
      <c r="AC56" s="113">
        <f t="shared" si="8"/>
        <v>100.223</v>
      </c>
      <c r="AD56" s="110">
        <v>0</v>
      </c>
      <c r="AE56" s="111">
        <v>22.824000000000002</v>
      </c>
      <c r="AF56" s="112">
        <v>0</v>
      </c>
      <c r="AG56" s="117">
        <v>0</v>
      </c>
      <c r="AH56" s="111">
        <v>0</v>
      </c>
      <c r="AI56" s="112">
        <v>0</v>
      </c>
      <c r="AJ56" s="112">
        <v>53.204000000000001</v>
      </c>
      <c r="AK56" s="113">
        <f t="shared" si="9"/>
        <v>76.028000000000006</v>
      </c>
      <c r="AL56" s="143">
        <f t="shared" si="11"/>
        <v>38747</v>
      </c>
      <c r="AM56" s="112">
        <f t="shared" si="3"/>
        <v>20129.241000000002</v>
      </c>
      <c r="AN56" s="112">
        <f t="shared" si="3"/>
        <v>18617.758999999998</v>
      </c>
      <c r="AO56" s="112">
        <f t="shared" si="3"/>
        <v>852.43399999999997</v>
      </c>
      <c r="AP56" s="192">
        <f t="shared" si="4"/>
        <v>0.51950450357447031</v>
      </c>
      <c r="AQ56" s="193">
        <f t="shared" si="5"/>
        <v>1563.8809999999999</v>
      </c>
      <c r="AR56" s="194">
        <f t="shared" si="6"/>
        <v>-1563.8809999999999</v>
      </c>
      <c r="AS56" s="118"/>
      <c r="AT56" s="119"/>
      <c r="AU56" s="119"/>
      <c r="AV56" s="120"/>
      <c r="AW56" s="195"/>
      <c r="AX56" s="112">
        <v>38747000</v>
      </c>
      <c r="AY56" s="162">
        <v>20129241</v>
      </c>
      <c r="AZ56" s="162">
        <v>18617759</v>
      </c>
      <c r="BA56" s="162">
        <v>852434</v>
      </c>
      <c r="BB56" s="196">
        <f t="shared" si="10"/>
        <v>0.51950450357447031</v>
      </c>
    </row>
    <row r="57" spans="1:54" s="121" customFormat="1" ht="16.5" customHeight="1">
      <c r="A57" s="104" t="s">
        <v>2143</v>
      </c>
      <c r="B57" s="105" t="s">
        <v>438</v>
      </c>
      <c r="C57" s="106" t="s">
        <v>411</v>
      </c>
      <c r="D57" s="106" t="s">
        <v>2415</v>
      </c>
      <c r="E57" s="71" t="s">
        <v>412</v>
      </c>
      <c r="F57" s="71" t="s">
        <v>78</v>
      </c>
      <c r="G57" s="109" t="s">
        <v>180</v>
      </c>
      <c r="H57" s="110">
        <v>0</v>
      </c>
      <c r="I57" s="112">
        <v>0</v>
      </c>
      <c r="J57" s="112">
        <v>0</v>
      </c>
      <c r="K57" s="113">
        <f t="shared" si="0"/>
        <v>0</v>
      </c>
      <c r="L57" s="110">
        <v>304.41300000000001</v>
      </c>
      <c r="M57" s="111">
        <v>22.943000000000001</v>
      </c>
      <c r="N57" s="115">
        <v>0</v>
      </c>
      <c r="O57" s="111">
        <v>79.2</v>
      </c>
      <c r="P57" s="142">
        <v>5.0099999999999999E-2</v>
      </c>
      <c r="Q57" s="111">
        <v>8428</v>
      </c>
      <c r="R57" s="112"/>
      <c r="S57" s="112"/>
      <c r="T57" s="111">
        <f t="shared" si="1"/>
        <v>422</v>
      </c>
      <c r="U57" s="115">
        <v>1650</v>
      </c>
      <c r="V57" s="144">
        <v>21.988</v>
      </c>
      <c r="W57" s="111">
        <v>100</v>
      </c>
      <c r="X57" s="113">
        <f t="shared" si="7"/>
        <v>2600.5439999999999</v>
      </c>
      <c r="Y57" s="110">
        <v>0</v>
      </c>
      <c r="Z57" s="111">
        <v>0</v>
      </c>
      <c r="AA57" s="116">
        <v>1E-3</v>
      </c>
      <c r="AB57" s="111">
        <v>100.22199999999999</v>
      </c>
      <c r="AC57" s="113">
        <f t="shared" si="8"/>
        <v>100.223</v>
      </c>
      <c r="AD57" s="110">
        <v>0</v>
      </c>
      <c r="AE57" s="111">
        <v>32</v>
      </c>
      <c r="AF57" s="112">
        <v>0</v>
      </c>
      <c r="AG57" s="117">
        <v>8.7119999999999997</v>
      </c>
      <c r="AH57" s="111">
        <v>0</v>
      </c>
      <c r="AI57" s="112">
        <v>0</v>
      </c>
      <c r="AJ57" s="112">
        <v>14.569000000000001</v>
      </c>
      <c r="AK57" s="113">
        <f t="shared" si="9"/>
        <v>55.281000000000006</v>
      </c>
      <c r="AL57" s="143">
        <f t="shared" si="11"/>
        <v>48869.25</v>
      </c>
      <c r="AM57" s="112">
        <f t="shared" si="3"/>
        <v>39130.233</v>
      </c>
      <c r="AN57" s="112">
        <f t="shared" si="3"/>
        <v>9739.0169999999998</v>
      </c>
      <c r="AO57" s="112">
        <f t="shared" si="3"/>
        <v>285.29599999999999</v>
      </c>
      <c r="AP57" s="192">
        <f t="shared" si="4"/>
        <v>0.80071277950858666</v>
      </c>
      <c r="AQ57" s="193">
        <f t="shared" si="5"/>
        <v>2885.8399999999997</v>
      </c>
      <c r="AR57" s="194">
        <f t="shared" si="6"/>
        <v>-2885.8399999999997</v>
      </c>
      <c r="AS57" s="118"/>
      <c r="AT57" s="119"/>
      <c r="AU57" s="119"/>
      <c r="AV57" s="120"/>
      <c r="AW57" s="195"/>
      <c r="AX57" s="112">
        <v>48869250</v>
      </c>
      <c r="AY57" s="162">
        <v>39130233</v>
      </c>
      <c r="AZ57" s="162">
        <v>9739017</v>
      </c>
      <c r="BA57" s="162">
        <v>285296</v>
      </c>
      <c r="BB57" s="196">
        <f t="shared" si="10"/>
        <v>0.80071277950858666</v>
      </c>
    </row>
    <row r="58" spans="1:54" s="121" customFormat="1" ht="16.5" customHeight="1">
      <c r="A58" s="104" t="s">
        <v>2143</v>
      </c>
      <c r="B58" s="105" t="s">
        <v>446</v>
      </c>
      <c r="C58" s="106" t="s">
        <v>417</v>
      </c>
      <c r="D58" s="106" t="s">
        <v>2415</v>
      </c>
      <c r="E58" s="71" t="s">
        <v>418</v>
      </c>
      <c r="F58" s="71" t="s">
        <v>78</v>
      </c>
      <c r="G58" s="109" t="s">
        <v>180</v>
      </c>
      <c r="H58" s="110">
        <v>0</v>
      </c>
      <c r="I58" s="112">
        <v>0</v>
      </c>
      <c r="J58" s="112">
        <v>4</v>
      </c>
      <c r="K58" s="113">
        <f t="shared" si="0"/>
        <v>4</v>
      </c>
      <c r="L58" s="110">
        <v>208.13800000000001</v>
      </c>
      <c r="M58" s="111">
        <v>22.943000000000001</v>
      </c>
      <c r="N58" s="115">
        <v>0</v>
      </c>
      <c r="O58" s="111">
        <v>0</v>
      </c>
      <c r="P58" s="142">
        <v>5.0099999999999999E-2</v>
      </c>
      <c r="Q58" s="111">
        <v>8428</v>
      </c>
      <c r="R58" s="112"/>
      <c r="S58" s="112"/>
      <c r="T58" s="111">
        <f t="shared" si="1"/>
        <v>422</v>
      </c>
      <c r="U58" s="115">
        <v>0</v>
      </c>
      <c r="V58" s="144">
        <v>21.988</v>
      </c>
      <c r="W58" s="111">
        <v>100</v>
      </c>
      <c r="X58" s="113">
        <f t="shared" si="7"/>
        <v>775.06899999999996</v>
      </c>
      <c r="Y58" s="110">
        <v>0</v>
      </c>
      <c r="Z58" s="111">
        <v>0</v>
      </c>
      <c r="AA58" s="116">
        <v>16.001999999999999</v>
      </c>
      <c r="AB58" s="111">
        <v>100.22199999999999</v>
      </c>
      <c r="AC58" s="113">
        <f t="shared" si="8"/>
        <v>116.22399999999999</v>
      </c>
      <c r="AD58" s="110">
        <v>0</v>
      </c>
      <c r="AE58" s="111">
        <v>93.691999999999993</v>
      </c>
      <c r="AF58" s="112">
        <v>0</v>
      </c>
      <c r="AG58" s="117">
        <v>0</v>
      </c>
      <c r="AH58" s="111">
        <v>0</v>
      </c>
      <c r="AI58" s="112">
        <v>0</v>
      </c>
      <c r="AJ58" s="112">
        <v>103.22499999999999</v>
      </c>
      <c r="AK58" s="113">
        <f t="shared" si="9"/>
        <v>196.91699999999997</v>
      </c>
      <c r="AL58" s="143">
        <f t="shared" si="11"/>
        <v>41307</v>
      </c>
      <c r="AM58" s="112">
        <f t="shared" si="3"/>
        <v>12722.556</v>
      </c>
      <c r="AN58" s="112">
        <f t="shared" si="3"/>
        <v>28584.444</v>
      </c>
      <c r="AO58" s="112">
        <f t="shared" si="3"/>
        <v>908.75400000000002</v>
      </c>
      <c r="AP58" s="192">
        <f t="shared" si="4"/>
        <v>0.308</v>
      </c>
      <c r="AQ58" s="193">
        <f t="shared" si="5"/>
        <v>1683.8229999999999</v>
      </c>
      <c r="AR58" s="194">
        <f t="shared" si="6"/>
        <v>-1679.8229999999999</v>
      </c>
      <c r="AS58" s="118"/>
      <c r="AT58" s="119"/>
      <c r="AU58" s="119"/>
      <c r="AV58" s="120"/>
      <c r="AW58" s="195"/>
      <c r="AX58" s="112">
        <v>41307000</v>
      </c>
      <c r="AY58" s="162">
        <v>12722556</v>
      </c>
      <c r="AZ58" s="162">
        <v>28584444</v>
      </c>
      <c r="BA58" s="162">
        <v>908754</v>
      </c>
      <c r="BB58" s="196">
        <f t="shared" si="10"/>
        <v>0.308</v>
      </c>
    </row>
    <row r="59" spans="1:54" s="121" customFormat="1" ht="16.5" customHeight="1">
      <c r="A59" s="104" t="s">
        <v>2143</v>
      </c>
      <c r="B59" s="105" t="s">
        <v>452</v>
      </c>
      <c r="C59" s="106" t="s">
        <v>424</v>
      </c>
      <c r="D59" s="106" t="s">
        <v>2415</v>
      </c>
      <c r="E59" s="71" t="s">
        <v>425</v>
      </c>
      <c r="F59" s="71" t="s">
        <v>78</v>
      </c>
      <c r="G59" s="109" t="s">
        <v>180</v>
      </c>
      <c r="H59" s="110">
        <v>0</v>
      </c>
      <c r="I59" s="112">
        <v>0</v>
      </c>
      <c r="J59" s="112">
        <v>37</v>
      </c>
      <c r="K59" s="113">
        <f t="shared" si="0"/>
        <v>37</v>
      </c>
      <c r="L59" s="110">
        <v>193.57599999999999</v>
      </c>
      <c r="M59" s="111">
        <v>22.943000000000001</v>
      </c>
      <c r="N59" s="115">
        <v>0</v>
      </c>
      <c r="O59" s="111">
        <v>0</v>
      </c>
      <c r="P59" s="142">
        <v>5.0099999999999999E-2</v>
      </c>
      <c r="Q59" s="111">
        <v>8428</v>
      </c>
      <c r="R59" s="112"/>
      <c r="S59" s="112"/>
      <c r="T59" s="111">
        <f t="shared" si="1"/>
        <v>422</v>
      </c>
      <c r="U59" s="115">
        <v>0</v>
      </c>
      <c r="V59" s="144">
        <v>21.988</v>
      </c>
      <c r="W59" s="111">
        <v>100</v>
      </c>
      <c r="X59" s="113">
        <f t="shared" si="7"/>
        <v>760.50700000000006</v>
      </c>
      <c r="Y59" s="110">
        <v>0</v>
      </c>
      <c r="Z59" s="111">
        <v>0</v>
      </c>
      <c r="AA59" s="116">
        <v>61.002000000000002</v>
      </c>
      <c r="AB59" s="111">
        <v>100.22199999999999</v>
      </c>
      <c r="AC59" s="113">
        <f t="shared" si="8"/>
        <v>161.22399999999999</v>
      </c>
      <c r="AD59" s="110">
        <v>0</v>
      </c>
      <c r="AE59" s="111">
        <v>28.62</v>
      </c>
      <c r="AF59" s="112">
        <v>0</v>
      </c>
      <c r="AG59" s="117">
        <v>0</v>
      </c>
      <c r="AH59" s="111">
        <v>144</v>
      </c>
      <c r="AI59" s="112">
        <v>0</v>
      </c>
      <c r="AJ59" s="112">
        <v>0</v>
      </c>
      <c r="AK59" s="113">
        <f t="shared" si="9"/>
        <v>172.62</v>
      </c>
      <c r="AL59" s="143">
        <f t="shared" si="11"/>
        <v>52504</v>
      </c>
      <c r="AM59" s="112">
        <f t="shared" si="3"/>
        <v>32785.004999999997</v>
      </c>
      <c r="AN59" s="112">
        <f t="shared" si="3"/>
        <v>19718.994999999999</v>
      </c>
      <c r="AO59" s="112">
        <f t="shared" si="3"/>
        <v>1155.088</v>
      </c>
      <c r="AP59" s="192">
        <f t="shared" si="4"/>
        <v>0.6244287101935091</v>
      </c>
      <c r="AQ59" s="193">
        <f t="shared" si="5"/>
        <v>1915.595</v>
      </c>
      <c r="AR59" s="194">
        <f t="shared" si="6"/>
        <v>-1878.595</v>
      </c>
      <c r="AS59" s="118"/>
      <c r="AT59" s="119"/>
      <c r="AU59" s="119"/>
      <c r="AV59" s="120"/>
      <c r="AW59" s="195"/>
      <c r="AX59" s="112">
        <v>52504000</v>
      </c>
      <c r="AY59" s="162">
        <v>32785005</v>
      </c>
      <c r="AZ59" s="162">
        <v>19718995</v>
      </c>
      <c r="BA59" s="162">
        <v>1155088</v>
      </c>
      <c r="BB59" s="196">
        <f t="shared" si="10"/>
        <v>0.6244287101935091</v>
      </c>
    </row>
    <row r="60" spans="1:54" s="121" customFormat="1" ht="16.5" customHeight="1">
      <c r="A60" s="104" t="s">
        <v>2143</v>
      </c>
      <c r="B60" s="105" t="s">
        <v>453</v>
      </c>
      <c r="C60" s="106" t="s">
        <v>430</v>
      </c>
      <c r="D60" s="106" t="s">
        <v>2415</v>
      </c>
      <c r="E60" s="71" t="s">
        <v>431</v>
      </c>
      <c r="F60" s="71" t="s">
        <v>78</v>
      </c>
      <c r="G60" s="109" t="s">
        <v>180</v>
      </c>
      <c r="H60" s="110">
        <v>0</v>
      </c>
      <c r="I60" s="112">
        <v>0</v>
      </c>
      <c r="J60" s="112">
        <v>87</v>
      </c>
      <c r="K60" s="113">
        <f t="shared" si="0"/>
        <v>87</v>
      </c>
      <c r="L60" s="110">
        <v>84.992000000000004</v>
      </c>
      <c r="M60" s="111">
        <v>268.57299999999998</v>
      </c>
      <c r="N60" s="115">
        <v>0</v>
      </c>
      <c r="O60" s="111">
        <v>6.6</v>
      </c>
      <c r="P60" s="142">
        <v>5.0099999999999999E-2</v>
      </c>
      <c r="Q60" s="111">
        <v>8428</v>
      </c>
      <c r="R60" s="112"/>
      <c r="S60" s="112"/>
      <c r="T60" s="111">
        <f t="shared" si="1"/>
        <v>422</v>
      </c>
      <c r="U60" s="115">
        <v>0</v>
      </c>
      <c r="V60" s="144">
        <v>21.988</v>
      </c>
      <c r="W60" s="111">
        <v>100</v>
      </c>
      <c r="X60" s="113">
        <f t="shared" si="7"/>
        <v>904.15300000000002</v>
      </c>
      <c r="Y60" s="110">
        <v>0</v>
      </c>
      <c r="Z60" s="111">
        <v>0</v>
      </c>
      <c r="AA60" s="116">
        <v>138.304</v>
      </c>
      <c r="AB60" s="111">
        <v>100.22199999999999</v>
      </c>
      <c r="AC60" s="113">
        <f t="shared" si="8"/>
        <v>238.52600000000001</v>
      </c>
      <c r="AD60" s="110">
        <v>0</v>
      </c>
      <c r="AE60" s="111">
        <v>0</v>
      </c>
      <c r="AF60" s="112">
        <v>0</v>
      </c>
      <c r="AG60" s="117">
        <v>0</v>
      </c>
      <c r="AH60" s="111">
        <v>130</v>
      </c>
      <c r="AI60" s="112">
        <v>0</v>
      </c>
      <c r="AJ60" s="112">
        <v>0</v>
      </c>
      <c r="AK60" s="113">
        <f t="shared" si="9"/>
        <v>130</v>
      </c>
      <c r="AL60" s="143">
        <f t="shared" si="11"/>
        <v>96280</v>
      </c>
      <c r="AM60" s="112">
        <f t="shared" si="3"/>
        <v>76562.873000000007</v>
      </c>
      <c r="AN60" s="112">
        <f t="shared" si="3"/>
        <v>19717.127</v>
      </c>
      <c r="AO60" s="112">
        <f t="shared" si="3"/>
        <v>1644.874</v>
      </c>
      <c r="AP60" s="192">
        <f t="shared" si="4"/>
        <v>0.7952105629414209</v>
      </c>
      <c r="AQ60" s="193">
        <f t="shared" si="5"/>
        <v>2549.027</v>
      </c>
      <c r="AR60" s="194">
        <f t="shared" si="6"/>
        <v>-2462.027</v>
      </c>
      <c r="AS60" s="118"/>
      <c r="AT60" s="119"/>
      <c r="AU60" s="119"/>
      <c r="AV60" s="120"/>
      <c r="AW60" s="195"/>
      <c r="AX60" s="112">
        <v>96280000</v>
      </c>
      <c r="AY60" s="162">
        <v>76562873</v>
      </c>
      <c r="AZ60" s="162">
        <v>19717127</v>
      </c>
      <c r="BA60" s="162">
        <v>1644874</v>
      </c>
      <c r="BB60" s="196">
        <f t="shared" si="10"/>
        <v>0.7952105629414209</v>
      </c>
    </row>
    <row r="61" spans="1:54" s="121" customFormat="1" ht="16.5" customHeight="1">
      <c r="A61" s="104" t="s">
        <v>2143</v>
      </c>
      <c r="B61" s="105" t="s">
        <v>460</v>
      </c>
      <c r="C61" s="106" t="s">
        <v>439</v>
      </c>
      <c r="D61" s="106" t="s">
        <v>2415</v>
      </c>
      <c r="E61" s="71" t="s">
        <v>440</v>
      </c>
      <c r="F61" s="71" t="s">
        <v>78</v>
      </c>
      <c r="G61" s="109" t="s">
        <v>180</v>
      </c>
      <c r="H61" s="110">
        <v>0</v>
      </c>
      <c r="I61" s="112">
        <v>0</v>
      </c>
      <c r="J61" s="112">
        <v>125</v>
      </c>
      <c r="K61" s="113">
        <f t="shared" si="0"/>
        <v>125</v>
      </c>
      <c r="L61" s="110">
        <v>0</v>
      </c>
      <c r="M61" s="111">
        <v>902.28300000000002</v>
      </c>
      <c r="N61" s="115">
        <v>0</v>
      </c>
      <c r="O61" s="111">
        <v>449.9</v>
      </c>
      <c r="P61" s="142">
        <v>5.0099999999999999E-2</v>
      </c>
      <c r="Q61" s="111">
        <v>8428</v>
      </c>
      <c r="R61" s="112"/>
      <c r="S61" s="112"/>
      <c r="T61" s="111">
        <f t="shared" si="1"/>
        <v>422</v>
      </c>
      <c r="U61" s="115">
        <v>0</v>
      </c>
      <c r="V61" s="144">
        <v>21.988</v>
      </c>
      <c r="W61" s="111">
        <v>100</v>
      </c>
      <c r="X61" s="113">
        <f t="shared" si="7"/>
        <v>1896.171</v>
      </c>
      <c r="Y61" s="110">
        <v>0</v>
      </c>
      <c r="Z61" s="111">
        <v>0</v>
      </c>
      <c r="AA61" s="116">
        <v>107.002</v>
      </c>
      <c r="AB61" s="111">
        <v>100.22199999999999</v>
      </c>
      <c r="AC61" s="113">
        <f t="shared" si="8"/>
        <v>207.22399999999999</v>
      </c>
      <c r="AD61" s="110">
        <v>0</v>
      </c>
      <c r="AE61" s="111">
        <v>0</v>
      </c>
      <c r="AF61" s="112">
        <v>0</v>
      </c>
      <c r="AG61" s="117">
        <v>0</v>
      </c>
      <c r="AH61" s="111">
        <v>100</v>
      </c>
      <c r="AI61" s="112">
        <v>0</v>
      </c>
      <c r="AJ61" s="112">
        <v>0</v>
      </c>
      <c r="AK61" s="113">
        <f t="shared" si="9"/>
        <v>100</v>
      </c>
      <c r="AL61" s="143">
        <f t="shared" si="11"/>
        <v>158400.9</v>
      </c>
      <c r="AM61" s="112">
        <f t="shared" si="3"/>
        <v>69696.38</v>
      </c>
      <c r="AN61" s="112">
        <f t="shared" si="3"/>
        <v>88704.52</v>
      </c>
      <c r="AO61" s="112">
        <f t="shared" si="3"/>
        <v>3484.819</v>
      </c>
      <c r="AP61" s="192">
        <f t="shared" si="4"/>
        <v>0.43999989899047293</v>
      </c>
      <c r="AQ61" s="193">
        <f t="shared" si="5"/>
        <v>5380.99</v>
      </c>
      <c r="AR61" s="194">
        <f t="shared" si="6"/>
        <v>-5255.99</v>
      </c>
      <c r="AS61" s="118"/>
      <c r="AT61" s="119"/>
      <c r="AU61" s="119"/>
      <c r="AV61" s="120"/>
      <c r="AW61" s="195"/>
      <c r="AX61" s="112">
        <v>158400900</v>
      </c>
      <c r="AY61" s="162">
        <v>69696380</v>
      </c>
      <c r="AZ61" s="162">
        <v>88704520</v>
      </c>
      <c r="BA61" s="162">
        <v>3484819</v>
      </c>
      <c r="BB61" s="196">
        <f t="shared" si="10"/>
        <v>0.43999989899047293</v>
      </c>
    </row>
    <row r="62" spans="1:54" s="121" customFormat="1" ht="16.5" customHeight="1">
      <c r="A62" s="104" t="s">
        <v>2143</v>
      </c>
      <c r="B62" s="105" t="s">
        <v>466</v>
      </c>
      <c r="C62" s="106" t="s">
        <v>447</v>
      </c>
      <c r="D62" s="106" t="s">
        <v>2415</v>
      </c>
      <c r="E62" s="71" t="s">
        <v>252</v>
      </c>
      <c r="F62" s="71" t="s">
        <v>78</v>
      </c>
      <c r="G62" s="109" t="s">
        <v>180</v>
      </c>
      <c r="H62" s="110">
        <v>0</v>
      </c>
      <c r="I62" s="112">
        <v>0</v>
      </c>
      <c r="J62" s="112">
        <v>14</v>
      </c>
      <c r="K62" s="113">
        <f t="shared" si="0"/>
        <v>14</v>
      </c>
      <c r="L62" s="110">
        <v>545.096</v>
      </c>
      <c r="M62" s="111">
        <v>47.692999999999998</v>
      </c>
      <c r="N62" s="115">
        <v>0</v>
      </c>
      <c r="O62" s="111">
        <v>25.3</v>
      </c>
      <c r="P62" s="142">
        <v>5.0099999999999999E-2</v>
      </c>
      <c r="Q62" s="111">
        <v>8428</v>
      </c>
      <c r="R62" s="112"/>
      <c r="S62" s="112"/>
      <c r="T62" s="111">
        <f t="shared" si="1"/>
        <v>422</v>
      </c>
      <c r="U62" s="115">
        <v>0</v>
      </c>
      <c r="V62" s="144">
        <v>21.988</v>
      </c>
      <c r="W62" s="111">
        <v>100</v>
      </c>
      <c r="X62" s="113">
        <f t="shared" si="7"/>
        <v>1162.077</v>
      </c>
      <c r="Y62" s="110">
        <v>0</v>
      </c>
      <c r="Z62" s="111">
        <v>0</v>
      </c>
      <c r="AA62" s="116">
        <v>62.503999999999998</v>
      </c>
      <c r="AB62" s="111">
        <v>100.22199999999999</v>
      </c>
      <c r="AC62" s="113">
        <f t="shared" si="8"/>
        <v>162.726</v>
      </c>
      <c r="AD62" s="110">
        <v>0</v>
      </c>
      <c r="AE62" s="111">
        <v>0</v>
      </c>
      <c r="AF62" s="112">
        <v>0</v>
      </c>
      <c r="AG62" s="117">
        <v>0</v>
      </c>
      <c r="AH62" s="111">
        <v>100.22199999999999</v>
      </c>
      <c r="AI62" s="112">
        <v>0</v>
      </c>
      <c r="AJ62" s="112">
        <v>54.470999999999997</v>
      </c>
      <c r="AK62" s="113">
        <f t="shared" si="9"/>
        <v>154.69299999999998</v>
      </c>
      <c r="AL62" s="143">
        <f t="shared" si="11"/>
        <v>100815.75</v>
      </c>
      <c r="AM62" s="112">
        <f t="shared" si="3"/>
        <v>74200.384000000005</v>
      </c>
      <c r="AN62" s="112">
        <f t="shared" si="3"/>
        <v>26615.366000000002</v>
      </c>
      <c r="AO62" s="112">
        <f t="shared" si="3"/>
        <v>4637.5240000000003</v>
      </c>
      <c r="AP62" s="192">
        <f t="shared" si="4"/>
        <v>0.73599992064731945</v>
      </c>
      <c r="AQ62" s="193">
        <f t="shared" si="5"/>
        <v>5799.6010000000006</v>
      </c>
      <c r="AR62" s="194">
        <f t="shared" si="6"/>
        <v>-5785.6010000000006</v>
      </c>
      <c r="AS62" s="118"/>
      <c r="AT62" s="119"/>
      <c r="AU62" s="119"/>
      <c r="AV62" s="120"/>
      <c r="AW62" s="195"/>
      <c r="AX62" s="112">
        <v>100815750</v>
      </c>
      <c r="AY62" s="162">
        <v>74200384</v>
      </c>
      <c r="AZ62" s="162">
        <v>26615366</v>
      </c>
      <c r="BA62" s="162">
        <v>4637524</v>
      </c>
      <c r="BB62" s="196">
        <f t="shared" si="10"/>
        <v>0.73599992064731945</v>
      </c>
    </row>
    <row r="63" spans="1:54" s="121" customFormat="1" ht="16.5" customHeight="1">
      <c r="A63" s="104" t="s">
        <v>2143</v>
      </c>
      <c r="B63" s="105" t="s">
        <v>56</v>
      </c>
      <c r="C63" s="106" t="s">
        <v>454</v>
      </c>
      <c r="D63" s="106" t="s">
        <v>2415</v>
      </c>
      <c r="E63" s="71" t="s">
        <v>455</v>
      </c>
      <c r="F63" s="71" t="s">
        <v>78</v>
      </c>
      <c r="G63" s="109" t="s">
        <v>180</v>
      </c>
      <c r="H63" s="110">
        <v>0</v>
      </c>
      <c r="I63" s="112">
        <v>0</v>
      </c>
      <c r="J63" s="112">
        <v>5</v>
      </c>
      <c r="K63" s="113">
        <f t="shared" si="0"/>
        <v>5</v>
      </c>
      <c r="L63" s="110">
        <v>234.803</v>
      </c>
      <c r="M63" s="111">
        <v>22.943000000000001</v>
      </c>
      <c r="N63" s="115">
        <v>0</v>
      </c>
      <c r="O63" s="111">
        <v>0</v>
      </c>
      <c r="P63" s="142">
        <v>5.0099999999999999E-2</v>
      </c>
      <c r="Q63" s="111">
        <v>8428</v>
      </c>
      <c r="R63" s="112"/>
      <c r="S63" s="112"/>
      <c r="T63" s="111">
        <f t="shared" si="1"/>
        <v>422</v>
      </c>
      <c r="U63" s="115">
        <v>0</v>
      </c>
      <c r="V63" s="144">
        <v>21.988</v>
      </c>
      <c r="W63" s="111">
        <v>100</v>
      </c>
      <c r="X63" s="113">
        <f t="shared" si="7"/>
        <v>801.73399999999992</v>
      </c>
      <c r="Y63" s="110">
        <v>0</v>
      </c>
      <c r="Z63" s="111">
        <v>0</v>
      </c>
      <c r="AA63" s="116">
        <v>0</v>
      </c>
      <c r="AB63" s="111">
        <v>100.22199999999999</v>
      </c>
      <c r="AC63" s="113">
        <f t="shared" si="8"/>
        <v>100.22199999999999</v>
      </c>
      <c r="AD63" s="110">
        <v>0</v>
      </c>
      <c r="AE63" s="111">
        <v>60</v>
      </c>
      <c r="AF63" s="112">
        <v>0</v>
      </c>
      <c r="AG63" s="117">
        <v>0</v>
      </c>
      <c r="AH63" s="111">
        <v>0</v>
      </c>
      <c r="AI63" s="112">
        <v>0</v>
      </c>
      <c r="AJ63" s="112">
        <v>33.994999999999997</v>
      </c>
      <c r="AK63" s="113">
        <f t="shared" si="9"/>
        <v>93.995000000000005</v>
      </c>
      <c r="AL63" s="143">
        <f t="shared" si="11"/>
        <v>42144.9</v>
      </c>
      <c r="AM63" s="112">
        <f t="shared" si="3"/>
        <v>35233.106</v>
      </c>
      <c r="AN63" s="112">
        <f t="shared" si="3"/>
        <v>6911.7939999999999</v>
      </c>
      <c r="AO63" s="112">
        <f t="shared" si="3"/>
        <v>927.18700000000001</v>
      </c>
      <c r="AP63" s="192">
        <f t="shared" si="4"/>
        <v>0.83599927867903356</v>
      </c>
      <c r="AQ63" s="193">
        <f t="shared" si="5"/>
        <v>1728.9209999999998</v>
      </c>
      <c r="AR63" s="194">
        <f t="shared" si="6"/>
        <v>-1723.9209999999998</v>
      </c>
      <c r="AS63" s="118"/>
      <c r="AT63" s="119"/>
      <c r="AU63" s="119"/>
      <c r="AV63" s="120"/>
      <c r="AW63" s="195"/>
      <c r="AX63" s="112">
        <v>42144900</v>
      </c>
      <c r="AY63" s="162">
        <v>35233106</v>
      </c>
      <c r="AZ63" s="162">
        <v>6911794</v>
      </c>
      <c r="BA63" s="162">
        <v>927187</v>
      </c>
      <c r="BB63" s="196">
        <f t="shared" si="10"/>
        <v>0.83599927867903356</v>
      </c>
    </row>
    <row r="64" spans="1:54" s="121" customFormat="1" ht="16.5" customHeight="1">
      <c r="A64" s="104" t="s">
        <v>2143</v>
      </c>
      <c r="B64" s="105" t="s">
        <v>475</v>
      </c>
      <c r="C64" s="106" t="s">
        <v>461</v>
      </c>
      <c r="D64" s="106" t="s">
        <v>2415</v>
      </c>
      <c r="E64" s="71" t="s">
        <v>462</v>
      </c>
      <c r="F64" s="71" t="s">
        <v>78</v>
      </c>
      <c r="G64" s="109" t="s">
        <v>180</v>
      </c>
      <c r="H64" s="110">
        <v>0</v>
      </c>
      <c r="I64" s="112">
        <v>0</v>
      </c>
      <c r="J64" s="112">
        <v>27</v>
      </c>
      <c r="K64" s="113">
        <f t="shared" si="0"/>
        <v>27</v>
      </c>
      <c r="L64" s="110">
        <v>134.15299999999999</v>
      </c>
      <c r="M64" s="111">
        <v>22.942</v>
      </c>
      <c r="N64" s="115">
        <v>0</v>
      </c>
      <c r="O64" s="111">
        <v>22</v>
      </c>
      <c r="P64" s="142">
        <v>5.0099999999999999E-2</v>
      </c>
      <c r="Q64" s="111">
        <v>8428</v>
      </c>
      <c r="R64" s="112"/>
      <c r="S64" s="112"/>
      <c r="T64" s="111">
        <f t="shared" si="1"/>
        <v>422</v>
      </c>
      <c r="U64" s="115">
        <v>0</v>
      </c>
      <c r="V64" s="144">
        <v>26.986999999999998</v>
      </c>
      <c r="W64" s="111">
        <v>100</v>
      </c>
      <c r="X64" s="113">
        <f t="shared" si="7"/>
        <v>728.08199999999999</v>
      </c>
      <c r="Y64" s="110">
        <v>0</v>
      </c>
      <c r="Z64" s="111">
        <v>0</v>
      </c>
      <c r="AA64" s="116">
        <v>38.506999999999998</v>
      </c>
      <c r="AB64" s="111">
        <v>100.22199999999999</v>
      </c>
      <c r="AC64" s="113">
        <f t="shared" si="8"/>
        <v>138.72899999999998</v>
      </c>
      <c r="AD64" s="110">
        <v>0</v>
      </c>
      <c r="AE64" s="111">
        <v>70</v>
      </c>
      <c r="AF64" s="112">
        <v>0</v>
      </c>
      <c r="AG64" s="117">
        <v>0</v>
      </c>
      <c r="AH64" s="111">
        <v>100</v>
      </c>
      <c r="AI64" s="112">
        <v>0</v>
      </c>
      <c r="AJ64" s="112">
        <v>1.3109999999999999</v>
      </c>
      <c r="AK64" s="113">
        <f t="shared" si="9"/>
        <v>171.31100000000001</v>
      </c>
      <c r="AL64" s="143">
        <f t="shared" si="11"/>
        <v>55003.383000000002</v>
      </c>
      <c r="AM64" s="112">
        <f t="shared" si="3"/>
        <v>32404.435000000001</v>
      </c>
      <c r="AN64" s="112">
        <f t="shared" si="3"/>
        <v>22598.948</v>
      </c>
      <c r="AO64" s="112">
        <f t="shared" si="3"/>
        <v>1459.171</v>
      </c>
      <c r="AP64" s="192">
        <f t="shared" si="4"/>
        <v>0.58913530827731087</v>
      </c>
      <c r="AQ64" s="193">
        <f t="shared" si="5"/>
        <v>2187.2530000000002</v>
      </c>
      <c r="AR64" s="194">
        <f t="shared" si="6"/>
        <v>-2160.2530000000002</v>
      </c>
      <c r="AS64" s="118"/>
      <c r="AT64" s="119"/>
      <c r="AU64" s="119"/>
      <c r="AV64" s="120"/>
      <c r="AW64" s="195"/>
      <c r="AX64" s="112">
        <v>55003383</v>
      </c>
      <c r="AY64" s="162">
        <v>32404435</v>
      </c>
      <c r="AZ64" s="162">
        <v>22598948</v>
      </c>
      <c r="BA64" s="162">
        <v>1459171</v>
      </c>
      <c r="BB64" s="196">
        <f t="shared" si="10"/>
        <v>0.58913530827731087</v>
      </c>
    </row>
    <row r="65" spans="1:54" s="121" customFormat="1" ht="16.5" customHeight="1">
      <c r="A65" s="104" t="s">
        <v>2143</v>
      </c>
      <c r="B65" s="105" t="s">
        <v>481</v>
      </c>
      <c r="C65" s="106" t="s">
        <v>467</v>
      </c>
      <c r="D65" s="106" t="s">
        <v>2415</v>
      </c>
      <c r="E65" s="71" t="s">
        <v>468</v>
      </c>
      <c r="F65" s="71" t="s">
        <v>78</v>
      </c>
      <c r="G65" s="109" t="s">
        <v>180</v>
      </c>
      <c r="H65" s="110">
        <v>0</v>
      </c>
      <c r="I65" s="112">
        <v>0</v>
      </c>
      <c r="J65" s="112">
        <v>0</v>
      </c>
      <c r="K65" s="113">
        <f t="shared" si="0"/>
        <v>0</v>
      </c>
      <c r="L65" s="110">
        <v>152.125</v>
      </c>
      <c r="M65" s="111">
        <v>22.942</v>
      </c>
      <c r="N65" s="115">
        <v>0</v>
      </c>
      <c r="O65" s="111">
        <v>108.9</v>
      </c>
      <c r="P65" s="142">
        <v>5.0099999999999999E-2</v>
      </c>
      <c r="Q65" s="111">
        <v>8428</v>
      </c>
      <c r="R65" s="112"/>
      <c r="S65" s="112"/>
      <c r="T65" s="111">
        <f t="shared" si="1"/>
        <v>422</v>
      </c>
      <c r="U65" s="115">
        <v>0</v>
      </c>
      <c r="V65" s="144">
        <v>21.986999999999998</v>
      </c>
      <c r="W65" s="111">
        <v>100</v>
      </c>
      <c r="X65" s="113">
        <f t="shared" si="7"/>
        <v>827.95399999999995</v>
      </c>
      <c r="Y65" s="110">
        <v>0</v>
      </c>
      <c r="Z65" s="111">
        <v>0</v>
      </c>
      <c r="AA65" s="116">
        <v>0</v>
      </c>
      <c r="AB65" s="111">
        <v>100.22199999999999</v>
      </c>
      <c r="AC65" s="113">
        <f t="shared" si="8"/>
        <v>100.22199999999999</v>
      </c>
      <c r="AD65" s="110">
        <v>0</v>
      </c>
      <c r="AE65" s="111">
        <v>30</v>
      </c>
      <c r="AF65" s="112">
        <v>0</v>
      </c>
      <c r="AG65" s="117">
        <v>0</v>
      </c>
      <c r="AH65" s="111">
        <v>10</v>
      </c>
      <c r="AI65" s="112">
        <v>0</v>
      </c>
      <c r="AJ65" s="112">
        <v>0</v>
      </c>
      <c r="AK65" s="113">
        <f t="shared" si="9"/>
        <v>40</v>
      </c>
      <c r="AL65" s="143">
        <f t="shared" si="11"/>
        <v>40947.9</v>
      </c>
      <c r="AM65" s="112">
        <f t="shared" si="3"/>
        <v>26501.43</v>
      </c>
      <c r="AN65" s="112">
        <f t="shared" si="3"/>
        <v>14446.47</v>
      </c>
      <c r="AO65" s="112">
        <f t="shared" si="3"/>
        <v>974.56299999999999</v>
      </c>
      <c r="AP65" s="192">
        <f t="shared" si="4"/>
        <v>0.64719875744543676</v>
      </c>
      <c r="AQ65" s="193">
        <f t="shared" si="5"/>
        <v>1802.5169999999998</v>
      </c>
      <c r="AR65" s="194">
        <f t="shared" si="6"/>
        <v>-1802.5169999999998</v>
      </c>
      <c r="AS65" s="118"/>
      <c r="AT65" s="119"/>
      <c r="AU65" s="119"/>
      <c r="AV65" s="120"/>
      <c r="AW65" s="195"/>
      <c r="AX65" s="112">
        <v>40947900</v>
      </c>
      <c r="AY65" s="162">
        <v>26501430</v>
      </c>
      <c r="AZ65" s="162">
        <v>14446470</v>
      </c>
      <c r="BA65" s="162">
        <v>974563</v>
      </c>
      <c r="BB65" s="196">
        <f t="shared" si="10"/>
        <v>0.64719875744543676</v>
      </c>
    </row>
    <row r="66" spans="1:54" s="121" customFormat="1" ht="16.5" customHeight="1">
      <c r="A66" s="104" t="s">
        <v>2143</v>
      </c>
      <c r="B66" s="105" t="s">
        <v>486</v>
      </c>
      <c r="C66" s="106" t="s">
        <v>471</v>
      </c>
      <c r="D66" s="106" t="s">
        <v>2415</v>
      </c>
      <c r="E66" s="71" t="s">
        <v>472</v>
      </c>
      <c r="F66" s="71" t="s">
        <v>78</v>
      </c>
      <c r="G66" s="109" t="s">
        <v>180</v>
      </c>
      <c r="H66" s="110">
        <v>0</v>
      </c>
      <c r="I66" s="112">
        <v>0</v>
      </c>
      <c r="J66" s="112">
        <v>0</v>
      </c>
      <c r="K66" s="113">
        <f t="shared" si="0"/>
        <v>0</v>
      </c>
      <c r="L66" s="110">
        <v>604.53399999999999</v>
      </c>
      <c r="M66" s="111">
        <v>77.942999999999998</v>
      </c>
      <c r="N66" s="115">
        <v>0</v>
      </c>
      <c r="O66" s="111">
        <v>1224.3</v>
      </c>
      <c r="P66" s="142">
        <v>5.0099999999999999E-2</v>
      </c>
      <c r="Q66" s="111">
        <v>8428</v>
      </c>
      <c r="R66" s="112"/>
      <c r="S66" s="112"/>
      <c r="T66" s="111">
        <f t="shared" si="1"/>
        <v>422</v>
      </c>
      <c r="U66" s="115">
        <v>0</v>
      </c>
      <c r="V66" s="144">
        <v>21.988</v>
      </c>
      <c r="W66" s="111">
        <v>200</v>
      </c>
      <c r="X66" s="113">
        <f t="shared" si="7"/>
        <v>2550.7649999999999</v>
      </c>
      <c r="Y66" s="110">
        <v>0</v>
      </c>
      <c r="Z66" s="111">
        <v>0</v>
      </c>
      <c r="AA66" s="116">
        <v>331.2</v>
      </c>
      <c r="AB66" s="111">
        <v>200.44399999999999</v>
      </c>
      <c r="AC66" s="113">
        <f t="shared" si="8"/>
        <v>531.64400000000001</v>
      </c>
      <c r="AD66" s="110">
        <v>0</v>
      </c>
      <c r="AE66" s="111">
        <v>191.92</v>
      </c>
      <c r="AF66" s="112">
        <v>0</v>
      </c>
      <c r="AG66" s="117">
        <v>0</v>
      </c>
      <c r="AH66" s="111">
        <v>300</v>
      </c>
      <c r="AI66" s="112">
        <v>0</v>
      </c>
      <c r="AJ66" s="112">
        <v>68.006</v>
      </c>
      <c r="AK66" s="113">
        <f t="shared" si="9"/>
        <v>559.92599999999993</v>
      </c>
      <c r="AL66" s="143">
        <f t="shared" si="11"/>
        <v>218508.77600000001</v>
      </c>
      <c r="AM66" s="112">
        <f t="shared" si="3"/>
        <v>193049.223</v>
      </c>
      <c r="AN66" s="112">
        <f t="shared" si="3"/>
        <v>25459.553</v>
      </c>
      <c r="AO66" s="112">
        <f t="shared" si="3"/>
        <v>718.09400000000005</v>
      </c>
      <c r="AP66" s="192">
        <f t="shared" si="4"/>
        <v>0.8834849864336799</v>
      </c>
      <c r="AQ66" s="193">
        <f t="shared" si="5"/>
        <v>3268.8589999999999</v>
      </c>
      <c r="AR66" s="194">
        <f t="shared" si="6"/>
        <v>-3268.8589999999999</v>
      </c>
      <c r="AS66" s="118"/>
      <c r="AT66" s="119"/>
      <c r="AU66" s="119"/>
      <c r="AV66" s="120"/>
      <c r="AW66" s="195"/>
      <c r="AX66" s="112">
        <v>218508776</v>
      </c>
      <c r="AY66" s="162">
        <v>193049223</v>
      </c>
      <c r="AZ66" s="162">
        <v>25459553</v>
      </c>
      <c r="BA66" s="162">
        <v>718094</v>
      </c>
      <c r="BB66" s="196">
        <f t="shared" si="10"/>
        <v>0.8834849864336799</v>
      </c>
    </row>
    <row r="67" spans="1:54" s="121" customFormat="1" ht="16.5" customHeight="1">
      <c r="A67" s="104" t="s">
        <v>2143</v>
      </c>
      <c r="B67" s="105" t="s">
        <v>492</v>
      </c>
      <c r="C67" s="106" t="s">
        <v>476</v>
      </c>
      <c r="D67" s="106" t="s">
        <v>2415</v>
      </c>
      <c r="E67" s="71" t="s">
        <v>477</v>
      </c>
      <c r="F67" s="71" t="s">
        <v>78</v>
      </c>
      <c r="G67" s="109" t="s">
        <v>180</v>
      </c>
      <c r="H67" s="110">
        <v>0</v>
      </c>
      <c r="I67" s="112">
        <v>0</v>
      </c>
      <c r="J67" s="112">
        <v>19</v>
      </c>
      <c r="K67" s="113">
        <f t="shared" si="0"/>
        <v>19</v>
      </c>
      <c r="L67" s="110">
        <v>298.37599999999998</v>
      </c>
      <c r="M67" s="111">
        <v>22.943000000000001</v>
      </c>
      <c r="N67" s="115">
        <v>0</v>
      </c>
      <c r="O67" s="111">
        <v>150.69999999999999</v>
      </c>
      <c r="P67" s="142">
        <v>5.0099999999999999E-2</v>
      </c>
      <c r="Q67" s="111">
        <v>8428</v>
      </c>
      <c r="R67" s="112"/>
      <c r="S67" s="112"/>
      <c r="T67" s="111">
        <f t="shared" si="1"/>
        <v>422</v>
      </c>
      <c r="U67" s="115">
        <v>0</v>
      </c>
      <c r="V67" s="144">
        <v>21.988</v>
      </c>
      <c r="W67" s="111">
        <v>100</v>
      </c>
      <c r="X67" s="113">
        <f t="shared" si="7"/>
        <v>1016.0070000000001</v>
      </c>
      <c r="Y67" s="110">
        <v>0</v>
      </c>
      <c r="Z67" s="111">
        <v>0</v>
      </c>
      <c r="AA67" s="116">
        <v>55.100999999999999</v>
      </c>
      <c r="AB67" s="111">
        <v>100.22199999999999</v>
      </c>
      <c r="AC67" s="113">
        <f t="shared" si="8"/>
        <v>155.32299999999998</v>
      </c>
      <c r="AD67" s="110">
        <v>0</v>
      </c>
      <c r="AE67" s="111">
        <v>45.787999999999997</v>
      </c>
      <c r="AF67" s="112">
        <v>0</v>
      </c>
      <c r="AG67" s="117">
        <v>0</v>
      </c>
      <c r="AH67" s="111">
        <v>36</v>
      </c>
      <c r="AI67" s="112">
        <v>0</v>
      </c>
      <c r="AJ67" s="112">
        <v>64.593000000000004</v>
      </c>
      <c r="AK67" s="113">
        <f t="shared" si="9"/>
        <v>146.381</v>
      </c>
      <c r="AL67" s="143">
        <f t="shared" si="11"/>
        <v>88557.5</v>
      </c>
      <c r="AM67" s="112">
        <f t="shared" si="3"/>
        <v>79964.025999999998</v>
      </c>
      <c r="AN67" s="112">
        <f t="shared" si="3"/>
        <v>8593.4740000000002</v>
      </c>
      <c r="AO67" s="112">
        <f t="shared" si="3"/>
        <v>321.78300000000002</v>
      </c>
      <c r="AP67" s="192">
        <f t="shared" si="4"/>
        <v>0.90296164638794008</v>
      </c>
      <c r="AQ67" s="193">
        <f t="shared" si="5"/>
        <v>1337.79</v>
      </c>
      <c r="AR67" s="194">
        <f t="shared" si="6"/>
        <v>-1318.79</v>
      </c>
      <c r="AS67" s="118"/>
      <c r="AT67" s="119"/>
      <c r="AU67" s="119"/>
      <c r="AV67" s="120"/>
      <c r="AW67" s="195"/>
      <c r="AX67" s="112">
        <v>88557500</v>
      </c>
      <c r="AY67" s="162">
        <v>79964026</v>
      </c>
      <c r="AZ67" s="162">
        <v>8593474</v>
      </c>
      <c r="BA67" s="162">
        <v>321783</v>
      </c>
      <c r="BB67" s="196">
        <f t="shared" si="10"/>
        <v>0.90296164638794008</v>
      </c>
    </row>
    <row r="68" spans="1:54" s="121" customFormat="1" ht="16.5" customHeight="1">
      <c r="A68" s="104" t="s">
        <v>2143</v>
      </c>
      <c r="B68" s="105" t="s">
        <v>499</v>
      </c>
      <c r="C68" s="106" t="s">
        <v>482</v>
      </c>
      <c r="D68" s="106" t="s">
        <v>2415</v>
      </c>
      <c r="E68" s="71" t="s">
        <v>483</v>
      </c>
      <c r="F68" s="71" t="s">
        <v>78</v>
      </c>
      <c r="G68" s="109" t="s">
        <v>180</v>
      </c>
      <c r="H68" s="110">
        <v>0</v>
      </c>
      <c r="I68" s="112">
        <v>0</v>
      </c>
      <c r="J68" s="112">
        <v>0</v>
      </c>
      <c r="K68" s="113">
        <f t="shared" ref="K68:K131" si="12">SUBTOTAL(9,H68:J68)</f>
        <v>0</v>
      </c>
      <c r="L68" s="110">
        <v>126.20099999999999</v>
      </c>
      <c r="M68" s="111">
        <v>22.943000000000001</v>
      </c>
      <c r="N68" s="115">
        <v>0</v>
      </c>
      <c r="O68" s="111">
        <v>31.9</v>
      </c>
      <c r="P68" s="142">
        <v>5.0099999999999999E-2</v>
      </c>
      <c r="Q68" s="111">
        <v>8428</v>
      </c>
      <c r="R68" s="112"/>
      <c r="S68" s="112"/>
      <c r="T68" s="111">
        <f t="shared" ref="T68:T131" si="13">ROUND(P68*Q68,0)+R68+S68</f>
        <v>422</v>
      </c>
      <c r="U68" s="115">
        <v>0</v>
      </c>
      <c r="V68" s="144">
        <v>21.988</v>
      </c>
      <c r="W68" s="111">
        <v>100</v>
      </c>
      <c r="X68" s="113">
        <f t="shared" si="7"/>
        <v>725.03199999999993</v>
      </c>
      <c r="Y68" s="110">
        <v>0</v>
      </c>
      <c r="Z68" s="111">
        <v>0</v>
      </c>
      <c r="AA68" s="116">
        <v>2E-3</v>
      </c>
      <c r="AB68" s="111">
        <v>100.22199999999999</v>
      </c>
      <c r="AC68" s="113">
        <f t="shared" si="8"/>
        <v>100.22399999999999</v>
      </c>
      <c r="AD68" s="110">
        <v>0</v>
      </c>
      <c r="AE68" s="111">
        <v>15.6</v>
      </c>
      <c r="AF68" s="112">
        <v>0</v>
      </c>
      <c r="AG68" s="117">
        <v>0</v>
      </c>
      <c r="AH68" s="111">
        <v>10</v>
      </c>
      <c r="AI68" s="112">
        <v>0</v>
      </c>
      <c r="AJ68" s="112">
        <v>42.12</v>
      </c>
      <c r="AK68" s="113">
        <f t="shared" si="9"/>
        <v>67.72</v>
      </c>
      <c r="AL68" s="143">
        <f t="shared" si="11"/>
        <v>37489.5</v>
      </c>
      <c r="AM68" s="112">
        <f>AY68/1000</f>
        <v>28503.386999999999</v>
      </c>
      <c r="AN68" s="112">
        <f>AZ68/1000</f>
        <v>8986.1129999999994</v>
      </c>
      <c r="AO68" s="112">
        <f>BA68/1000</f>
        <v>824.76900000000001</v>
      </c>
      <c r="AP68" s="192">
        <f t="shared" ref="AP68:AP131" si="14">BB68</f>
        <v>0.76030320489737124</v>
      </c>
      <c r="AQ68" s="193">
        <f t="shared" ref="AQ68:AQ131" si="15">X68+AO68</f>
        <v>1549.8009999999999</v>
      </c>
      <c r="AR68" s="194">
        <f t="shared" ref="AR68:AR131" si="16">K68-AQ68</f>
        <v>-1549.8009999999999</v>
      </c>
      <c r="AS68" s="118"/>
      <c r="AT68" s="119"/>
      <c r="AU68" s="119"/>
      <c r="AV68" s="120"/>
      <c r="AW68" s="195"/>
      <c r="AX68" s="112">
        <v>37489500</v>
      </c>
      <c r="AY68" s="162">
        <v>28503387</v>
      </c>
      <c r="AZ68" s="162">
        <v>8986113</v>
      </c>
      <c r="BA68" s="162">
        <v>824769</v>
      </c>
      <c r="BB68" s="196">
        <f t="shared" si="10"/>
        <v>0.76030320489737124</v>
      </c>
    </row>
    <row r="69" spans="1:54" s="121" customFormat="1" ht="16.5" customHeight="1">
      <c r="A69" s="104" t="s">
        <v>2143</v>
      </c>
      <c r="B69" s="105" t="s">
        <v>505</v>
      </c>
      <c r="C69" s="106" t="s">
        <v>487</v>
      </c>
      <c r="D69" s="106" t="s">
        <v>2415</v>
      </c>
      <c r="E69" s="71" t="s">
        <v>488</v>
      </c>
      <c r="F69" s="71" t="s">
        <v>78</v>
      </c>
      <c r="G69" s="109" t="s">
        <v>180</v>
      </c>
      <c r="H69" s="110">
        <v>0</v>
      </c>
      <c r="I69" s="112">
        <v>0</v>
      </c>
      <c r="J69" s="112">
        <v>0</v>
      </c>
      <c r="K69" s="113">
        <f t="shared" si="12"/>
        <v>0</v>
      </c>
      <c r="L69" s="110">
        <v>376.12900000000002</v>
      </c>
      <c r="M69" s="111">
        <v>22.943000000000001</v>
      </c>
      <c r="N69" s="115">
        <v>0</v>
      </c>
      <c r="O69" s="111">
        <v>455.4</v>
      </c>
      <c r="P69" s="142">
        <v>5.0099999999999999E-2</v>
      </c>
      <c r="Q69" s="111">
        <v>8428</v>
      </c>
      <c r="R69" s="112"/>
      <c r="S69" s="112"/>
      <c r="T69" s="111">
        <f t="shared" si="13"/>
        <v>422</v>
      </c>
      <c r="U69" s="115">
        <v>0</v>
      </c>
      <c r="V69" s="144">
        <v>26.988</v>
      </c>
      <c r="W69" s="111">
        <v>100</v>
      </c>
      <c r="X69" s="113">
        <f t="shared" ref="X69:X132" si="17">SUBTOTAL(9,L69:O69,T69:W69)</f>
        <v>1403.46</v>
      </c>
      <c r="Y69" s="110">
        <v>0</v>
      </c>
      <c r="Z69" s="111">
        <v>0</v>
      </c>
      <c r="AA69" s="116">
        <v>270.00200000000001</v>
      </c>
      <c r="AB69" s="111">
        <v>100.22199999999999</v>
      </c>
      <c r="AC69" s="113">
        <f t="shared" ref="AC69:AC132" si="18">SUBTOTAL(9,Y69:AB69)</f>
        <v>370.22399999999999</v>
      </c>
      <c r="AD69" s="110">
        <v>0</v>
      </c>
      <c r="AE69" s="111">
        <v>150</v>
      </c>
      <c r="AF69" s="112">
        <v>0</v>
      </c>
      <c r="AG69" s="117">
        <v>0</v>
      </c>
      <c r="AH69" s="111">
        <v>0</v>
      </c>
      <c r="AI69" s="112">
        <v>0</v>
      </c>
      <c r="AJ69" s="112">
        <v>233.92</v>
      </c>
      <c r="AK69" s="113">
        <f t="shared" ref="AK69:AK132" si="19">SUBTOTAL(9,AD69:AJ69)</f>
        <v>383.91999999999996</v>
      </c>
      <c r="AL69" s="143">
        <f t="shared" ref="AL69:AO132" si="20">AX69/1000</f>
        <v>83334.100000000006</v>
      </c>
      <c r="AM69" s="112">
        <f t="shared" si="20"/>
        <v>76448.92</v>
      </c>
      <c r="AN69" s="112">
        <f t="shared" si="20"/>
        <v>6885.18</v>
      </c>
      <c r="AO69" s="112">
        <f t="shared" si="20"/>
        <v>2272.7750000000001</v>
      </c>
      <c r="AP69" s="192">
        <f t="shared" si="14"/>
        <v>0.91737860011687888</v>
      </c>
      <c r="AQ69" s="193">
        <f t="shared" si="15"/>
        <v>3676.2350000000001</v>
      </c>
      <c r="AR69" s="194">
        <f t="shared" si="16"/>
        <v>-3676.2350000000001</v>
      </c>
      <c r="AS69" s="118"/>
      <c r="AT69" s="119"/>
      <c r="AU69" s="119"/>
      <c r="AV69" s="120"/>
      <c r="AW69" s="195"/>
      <c r="AX69" s="112">
        <v>83334100</v>
      </c>
      <c r="AY69" s="162">
        <v>76448920</v>
      </c>
      <c r="AZ69" s="162">
        <v>6885180</v>
      </c>
      <c r="BA69" s="162">
        <v>2272775</v>
      </c>
      <c r="BB69" s="196">
        <f t="shared" ref="BB69:BB132" si="21">AY69/AX69</f>
        <v>0.91737860011687888</v>
      </c>
    </row>
    <row r="70" spans="1:54" s="121" customFormat="1" ht="16.5" customHeight="1">
      <c r="A70" s="104" t="s">
        <v>2143</v>
      </c>
      <c r="B70" s="105" t="s">
        <v>513</v>
      </c>
      <c r="C70" s="106" t="s">
        <v>493</v>
      </c>
      <c r="D70" s="106" t="s">
        <v>2415</v>
      </c>
      <c r="E70" s="71" t="s">
        <v>494</v>
      </c>
      <c r="F70" s="71" t="s">
        <v>78</v>
      </c>
      <c r="G70" s="109" t="s">
        <v>180</v>
      </c>
      <c r="H70" s="110">
        <v>0</v>
      </c>
      <c r="I70" s="112">
        <v>0</v>
      </c>
      <c r="J70" s="112">
        <v>11</v>
      </c>
      <c r="K70" s="113">
        <f t="shared" si="12"/>
        <v>11</v>
      </c>
      <c r="L70" s="110">
        <v>614.58799999999997</v>
      </c>
      <c r="M70" s="111">
        <v>97.742999999999995</v>
      </c>
      <c r="N70" s="115">
        <v>0</v>
      </c>
      <c r="O70" s="111">
        <v>116.6</v>
      </c>
      <c r="P70" s="142">
        <v>5.0099999999999999E-2</v>
      </c>
      <c r="Q70" s="111">
        <v>8428</v>
      </c>
      <c r="R70" s="112"/>
      <c r="S70" s="112"/>
      <c r="T70" s="111">
        <f t="shared" si="13"/>
        <v>422</v>
      </c>
      <c r="U70" s="115">
        <v>0</v>
      </c>
      <c r="V70" s="144">
        <v>21.988</v>
      </c>
      <c r="W70" s="111">
        <v>100</v>
      </c>
      <c r="X70" s="113">
        <f t="shared" si="17"/>
        <v>1372.9190000000001</v>
      </c>
      <c r="Y70" s="110">
        <v>0</v>
      </c>
      <c r="Z70" s="111">
        <v>0</v>
      </c>
      <c r="AA70" s="116">
        <v>170</v>
      </c>
      <c r="AB70" s="111">
        <v>100.22199999999999</v>
      </c>
      <c r="AC70" s="113">
        <f t="shared" si="18"/>
        <v>270.22199999999998</v>
      </c>
      <c r="AD70" s="110">
        <v>0</v>
      </c>
      <c r="AE70" s="111">
        <v>0</v>
      </c>
      <c r="AF70" s="112">
        <v>0</v>
      </c>
      <c r="AG70" s="117">
        <v>0</v>
      </c>
      <c r="AH70" s="111">
        <v>216</v>
      </c>
      <c r="AI70" s="112">
        <v>0</v>
      </c>
      <c r="AJ70" s="112">
        <v>19.486999999999998</v>
      </c>
      <c r="AK70" s="113">
        <f t="shared" si="19"/>
        <v>235.48699999999999</v>
      </c>
      <c r="AL70" s="143">
        <f t="shared" si="20"/>
        <v>100172.7</v>
      </c>
      <c r="AM70" s="112">
        <f t="shared" si="20"/>
        <v>77363.981</v>
      </c>
      <c r="AN70" s="112">
        <f t="shared" si="20"/>
        <v>22808.719000000001</v>
      </c>
      <c r="AO70" s="112">
        <f t="shared" si="20"/>
        <v>1862.3810000000001</v>
      </c>
      <c r="AP70" s="192">
        <f t="shared" si="14"/>
        <v>0.77230603747328364</v>
      </c>
      <c r="AQ70" s="193">
        <f t="shared" si="15"/>
        <v>3235.3</v>
      </c>
      <c r="AR70" s="194">
        <f t="shared" si="16"/>
        <v>-3224.3</v>
      </c>
      <c r="AS70" s="118"/>
      <c r="AT70" s="119"/>
      <c r="AU70" s="119"/>
      <c r="AV70" s="120"/>
      <c r="AW70" s="195"/>
      <c r="AX70" s="112">
        <v>100172700</v>
      </c>
      <c r="AY70" s="162">
        <v>77363981</v>
      </c>
      <c r="AZ70" s="162">
        <v>22808719</v>
      </c>
      <c r="BA70" s="162">
        <v>1862381</v>
      </c>
      <c r="BB70" s="196">
        <f t="shared" si="21"/>
        <v>0.77230603747328364</v>
      </c>
    </row>
    <row r="71" spans="1:54" s="121" customFormat="1" ht="16.5" customHeight="1">
      <c r="A71" s="104" t="s">
        <v>2143</v>
      </c>
      <c r="B71" s="105" t="s">
        <v>518</v>
      </c>
      <c r="C71" s="106" t="s">
        <v>500</v>
      </c>
      <c r="D71" s="106" t="s">
        <v>2415</v>
      </c>
      <c r="E71" s="71" t="s">
        <v>501</v>
      </c>
      <c r="F71" s="71" t="s">
        <v>78</v>
      </c>
      <c r="G71" s="109" t="s">
        <v>180</v>
      </c>
      <c r="H71" s="110">
        <v>0</v>
      </c>
      <c r="I71" s="112">
        <v>0</v>
      </c>
      <c r="J71" s="112">
        <v>52</v>
      </c>
      <c r="K71" s="113">
        <f t="shared" si="12"/>
        <v>52</v>
      </c>
      <c r="L71" s="110">
        <v>169.66900000000001</v>
      </c>
      <c r="M71" s="111">
        <v>22.943000000000001</v>
      </c>
      <c r="N71" s="115">
        <v>0</v>
      </c>
      <c r="O71" s="111">
        <v>316.8</v>
      </c>
      <c r="P71" s="142">
        <v>5.0099999999999999E-2</v>
      </c>
      <c r="Q71" s="111">
        <v>8428</v>
      </c>
      <c r="R71" s="112"/>
      <c r="S71" s="112"/>
      <c r="T71" s="111">
        <f t="shared" si="13"/>
        <v>422</v>
      </c>
      <c r="U71" s="115">
        <v>0</v>
      </c>
      <c r="V71" s="144">
        <v>21.988</v>
      </c>
      <c r="W71" s="111">
        <v>100</v>
      </c>
      <c r="X71" s="113">
        <f t="shared" si="17"/>
        <v>1053.4000000000001</v>
      </c>
      <c r="Y71" s="110">
        <v>0</v>
      </c>
      <c r="Z71" s="111">
        <v>0</v>
      </c>
      <c r="AA71" s="116">
        <v>82.603999999999999</v>
      </c>
      <c r="AB71" s="111">
        <v>100.22199999999999</v>
      </c>
      <c r="AC71" s="113">
        <f t="shared" si="18"/>
        <v>182.82599999999999</v>
      </c>
      <c r="AD71" s="110">
        <v>0</v>
      </c>
      <c r="AE71" s="111">
        <v>67.504999999999995</v>
      </c>
      <c r="AF71" s="112">
        <v>0</v>
      </c>
      <c r="AG71" s="117">
        <v>62.31</v>
      </c>
      <c r="AH71" s="111">
        <v>67</v>
      </c>
      <c r="AI71" s="112">
        <v>0</v>
      </c>
      <c r="AJ71" s="112">
        <v>18.632000000000001</v>
      </c>
      <c r="AK71" s="113">
        <f t="shared" si="19"/>
        <v>215.447</v>
      </c>
      <c r="AL71" s="143">
        <f t="shared" si="20"/>
        <v>38725.5</v>
      </c>
      <c r="AM71" s="112">
        <f t="shared" si="20"/>
        <v>33456.368000000002</v>
      </c>
      <c r="AN71" s="112">
        <f t="shared" si="20"/>
        <v>5269.1319999999996</v>
      </c>
      <c r="AO71" s="112">
        <f t="shared" si="20"/>
        <v>488.18</v>
      </c>
      <c r="AP71" s="192">
        <f t="shared" si="14"/>
        <v>0.86393637267433598</v>
      </c>
      <c r="AQ71" s="193">
        <f t="shared" si="15"/>
        <v>1541.5800000000002</v>
      </c>
      <c r="AR71" s="194">
        <f t="shared" si="16"/>
        <v>-1489.5800000000002</v>
      </c>
      <c r="AS71" s="118"/>
      <c r="AT71" s="119"/>
      <c r="AU71" s="119"/>
      <c r="AV71" s="120"/>
      <c r="AW71" s="195"/>
      <c r="AX71" s="112">
        <v>38725500</v>
      </c>
      <c r="AY71" s="162">
        <v>33456368</v>
      </c>
      <c r="AZ71" s="162">
        <v>5269132</v>
      </c>
      <c r="BA71" s="162">
        <v>488180</v>
      </c>
      <c r="BB71" s="196">
        <f t="shared" si="21"/>
        <v>0.86393637267433598</v>
      </c>
    </row>
    <row r="72" spans="1:54" s="121" customFormat="1" ht="16.5" customHeight="1">
      <c r="A72" s="104" t="s">
        <v>2143</v>
      </c>
      <c r="B72" s="105" t="s">
        <v>523</v>
      </c>
      <c r="C72" s="106" t="s">
        <v>506</v>
      </c>
      <c r="D72" s="106" t="s">
        <v>2415</v>
      </c>
      <c r="E72" s="71" t="s">
        <v>507</v>
      </c>
      <c r="F72" s="71" t="s">
        <v>78</v>
      </c>
      <c r="G72" s="109" t="s">
        <v>180</v>
      </c>
      <c r="H72" s="110">
        <v>0</v>
      </c>
      <c r="I72" s="112">
        <v>0</v>
      </c>
      <c r="J72" s="112">
        <v>59</v>
      </c>
      <c r="K72" s="113">
        <f t="shared" si="12"/>
        <v>59</v>
      </c>
      <c r="L72" s="110">
        <v>289.74900000000002</v>
      </c>
      <c r="M72" s="111">
        <v>22.943000000000001</v>
      </c>
      <c r="N72" s="115">
        <v>0</v>
      </c>
      <c r="O72" s="111">
        <v>3117.4</v>
      </c>
      <c r="P72" s="142">
        <v>5.0099999999999999E-2</v>
      </c>
      <c r="Q72" s="111">
        <v>8428</v>
      </c>
      <c r="R72" s="112"/>
      <c r="S72" s="112"/>
      <c r="T72" s="111">
        <f t="shared" si="13"/>
        <v>422</v>
      </c>
      <c r="U72" s="115">
        <v>0</v>
      </c>
      <c r="V72" s="144">
        <v>21.988</v>
      </c>
      <c r="W72" s="111">
        <v>100</v>
      </c>
      <c r="X72" s="113">
        <f t="shared" si="17"/>
        <v>3974.08</v>
      </c>
      <c r="Y72" s="110">
        <v>0</v>
      </c>
      <c r="Z72" s="111">
        <v>0</v>
      </c>
      <c r="AA72" s="116">
        <v>108.40300000000001</v>
      </c>
      <c r="AB72" s="111">
        <v>100.22199999999999</v>
      </c>
      <c r="AC72" s="113">
        <f t="shared" si="18"/>
        <v>208.625</v>
      </c>
      <c r="AD72" s="110">
        <v>0</v>
      </c>
      <c r="AE72" s="111">
        <v>47.77</v>
      </c>
      <c r="AF72" s="112">
        <v>0</v>
      </c>
      <c r="AG72" s="117">
        <v>0</v>
      </c>
      <c r="AH72" s="111">
        <v>112</v>
      </c>
      <c r="AI72" s="112">
        <v>0</v>
      </c>
      <c r="AJ72" s="112">
        <v>9.85</v>
      </c>
      <c r="AK72" s="113">
        <f t="shared" si="19"/>
        <v>169.62</v>
      </c>
      <c r="AL72" s="143">
        <f t="shared" si="20"/>
        <v>83945.3</v>
      </c>
      <c r="AM72" s="112">
        <f t="shared" si="20"/>
        <v>69643.335999999996</v>
      </c>
      <c r="AN72" s="112">
        <f t="shared" si="20"/>
        <v>14301.964</v>
      </c>
      <c r="AO72" s="112">
        <f t="shared" si="20"/>
        <v>1846.796</v>
      </c>
      <c r="AP72" s="192">
        <f t="shared" si="14"/>
        <v>0.82962757891150551</v>
      </c>
      <c r="AQ72" s="193">
        <f t="shared" si="15"/>
        <v>5820.8760000000002</v>
      </c>
      <c r="AR72" s="194">
        <f t="shared" si="16"/>
        <v>-5761.8760000000002</v>
      </c>
      <c r="AS72" s="118"/>
      <c r="AT72" s="119"/>
      <c r="AU72" s="119"/>
      <c r="AV72" s="120"/>
      <c r="AW72" s="195"/>
      <c r="AX72" s="112">
        <v>83945300</v>
      </c>
      <c r="AY72" s="162">
        <v>69643336</v>
      </c>
      <c r="AZ72" s="162">
        <v>14301964</v>
      </c>
      <c r="BA72" s="162">
        <v>1846796</v>
      </c>
      <c r="BB72" s="196">
        <f t="shared" si="21"/>
        <v>0.82962757891150551</v>
      </c>
    </row>
    <row r="73" spans="1:54" s="121" customFormat="1" ht="16.5" customHeight="1">
      <c r="A73" s="104" t="s">
        <v>2143</v>
      </c>
      <c r="B73" s="105" t="s">
        <v>526</v>
      </c>
      <c r="C73" s="106" t="s">
        <v>514</v>
      </c>
      <c r="D73" s="106" t="s">
        <v>2415</v>
      </c>
      <c r="E73" s="71" t="s">
        <v>515</v>
      </c>
      <c r="F73" s="71" t="s">
        <v>78</v>
      </c>
      <c r="G73" s="109" t="s">
        <v>180</v>
      </c>
      <c r="H73" s="110">
        <v>0</v>
      </c>
      <c r="I73" s="112">
        <v>0</v>
      </c>
      <c r="J73" s="112">
        <v>48</v>
      </c>
      <c r="K73" s="113">
        <f t="shared" si="12"/>
        <v>48</v>
      </c>
      <c r="L73" s="110">
        <v>258.77300000000002</v>
      </c>
      <c r="M73" s="111">
        <v>22.943000000000001</v>
      </c>
      <c r="N73" s="115">
        <v>0</v>
      </c>
      <c r="O73" s="111">
        <v>242</v>
      </c>
      <c r="P73" s="142">
        <v>5.0099999999999999E-2</v>
      </c>
      <c r="Q73" s="111">
        <v>8428</v>
      </c>
      <c r="R73" s="112"/>
      <c r="S73" s="112"/>
      <c r="T73" s="111">
        <f t="shared" si="13"/>
        <v>422</v>
      </c>
      <c r="U73" s="115">
        <v>0</v>
      </c>
      <c r="V73" s="144">
        <v>8.1720000000000006</v>
      </c>
      <c r="W73" s="111">
        <v>100</v>
      </c>
      <c r="X73" s="113">
        <f t="shared" si="17"/>
        <v>1053.8879999999999</v>
      </c>
      <c r="Y73" s="110">
        <v>0</v>
      </c>
      <c r="Z73" s="111">
        <v>0</v>
      </c>
      <c r="AA73" s="116">
        <v>58.212000000000003</v>
      </c>
      <c r="AB73" s="111">
        <v>100.22199999999999</v>
      </c>
      <c r="AC73" s="113">
        <f t="shared" si="18"/>
        <v>158.434</v>
      </c>
      <c r="AD73" s="110">
        <v>0</v>
      </c>
      <c r="AE73" s="111">
        <v>74.747</v>
      </c>
      <c r="AF73" s="112">
        <v>0</v>
      </c>
      <c r="AG73" s="117">
        <v>0</v>
      </c>
      <c r="AH73" s="111">
        <v>0</v>
      </c>
      <c r="AI73" s="112">
        <v>0</v>
      </c>
      <c r="AJ73" s="112">
        <v>33.567</v>
      </c>
      <c r="AK73" s="113">
        <f t="shared" si="19"/>
        <v>108.31399999999999</v>
      </c>
      <c r="AL73" s="143">
        <f t="shared" si="20"/>
        <v>96887</v>
      </c>
      <c r="AM73" s="112">
        <f t="shared" si="20"/>
        <v>69626.964999999997</v>
      </c>
      <c r="AN73" s="112">
        <f t="shared" si="20"/>
        <v>27260.035</v>
      </c>
      <c r="AO73" s="112">
        <f t="shared" si="20"/>
        <v>2573.9340000000002</v>
      </c>
      <c r="AP73" s="192">
        <f t="shared" si="14"/>
        <v>0.71864094254131106</v>
      </c>
      <c r="AQ73" s="193">
        <f t="shared" si="15"/>
        <v>3627.8220000000001</v>
      </c>
      <c r="AR73" s="194">
        <f t="shared" si="16"/>
        <v>-3579.8220000000001</v>
      </c>
      <c r="AS73" s="118"/>
      <c r="AT73" s="119"/>
      <c r="AU73" s="119"/>
      <c r="AV73" s="120"/>
      <c r="AW73" s="195"/>
      <c r="AX73" s="112">
        <v>96887000</v>
      </c>
      <c r="AY73" s="162">
        <v>69626965</v>
      </c>
      <c r="AZ73" s="162">
        <v>27260035</v>
      </c>
      <c r="BA73" s="162">
        <v>2573934</v>
      </c>
      <c r="BB73" s="196">
        <f t="shared" si="21"/>
        <v>0.71864094254131106</v>
      </c>
    </row>
    <row r="74" spans="1:54" s="121" customFormat="1" ht="16.5" customHeight="1">
      <c r="A74" s="104" t="s">
        <v>2143</v>
      </c>
      <c r="B74" s="105" t="s">
        <v>528</v>
      </c>
      <c r="C74" s="106" t="s">
        <v>519</v>
      </c>
      <c r="D74" s="106" t="s">
        <v>2415</v>
      </c>
      <c r="E74" s="71" t="s">
        <v>520</v>
      </c>
      <c r="F74" s="71" t="s">
        <v>78</v>
      </c>
      <c r="G74" s="109" t="s">
        <v>180</v>
      </c>
      <c r="H74" s="110">
        <v>0</v>
      </c>
      <c r="I74" s="112">
        <v>0</v>
      </c>
      <c r="J74" s="112">
        <v>128</v>
      </c>
      <c r="K74" s="113">
        <f t="shared" si="12"/>
        <v>128</v>
      </c>
      <c r="L74" s="110">
        <v>256.863</v>
      </c>
      <c r="M74" s="111">
        <v>22.943000000000001</v>
      </c>
      <c r="N74" s="115">
        <v>0</v>
      </c>
      <c r="O74" s="111">
        <v>61.6</v>
      </c>
      <c r="P74" s="142">
        <v>5.0099999999999999E-2</v>
      </c>
      <c r="Q74" s="111">
        <v>8428</v>
      </c>
      <c r="R74" s="112"/>
      <c r="S74" s="112"/>
      <c r="T74" s="111">
        <f t="shared" si="13"/>
        <v>422</v>
      </c>
      <c r="U74" s="115">
        <v>0</v>
      </c>
      <c r="V74" s="144">
        <v>21.988</v>
      </c>
      <c r="W74" s="111">
        <v>100</v>
      </c>
      <c r="X74" s="113">
        <f t="shared" si="17"/>
        <v>885.39400000000001</v>
      </c>
      <c r="Y74" s="110">
        <v>0</v>
      </c>
      <c r="Z74" s="111">
        <v>0</v>
      </c>
      <c r="AA74" s="116">
        <v>312.5</v>
      </c>
      <c r="AB74" s="111">
        <v>100.22199999999999</v>
      </c>
      <c r="AC74" s="113">
        <f t="shared" si="18"/>
        <v>412.72199999999998</v>
      </c>
      <c r="AD74" s="110">
        <v>0</v>
      </c>
      <c r="AE74" s="111">
        <v>155.03399999999999</v>
      </c>
      <c r="AF74" s="112">
        <v>0</v>
      </c>
      <c r="AG74" s="117">
        <v>0</v>
      </c>
      <c r="AH74" s="111">
        <v>100.22199999999999</v>
      </c>
      <c r="AI74" s="112">
        <v>0</v>
      </c>
      <c r="AJ74" s="112">
        <v>52.795000000000002</v>
      </c>
      <c r="AK74" s="113">
        <f t="shared" si="19"/>
        <v>308.05099999999999</v>
      </c>
      <c r="AL74" s="143">
        <f t="shared" si="20"/>
        <v>51404.406000000003</v>
      </c>
      <c r="AM74" s="112">
        <f t="shared" si="20"/>
        <v>34478.616000000002</v>
      </c>
      <c r="AN74" s="112">
        <f t="shared" si="20"/>
        <v>16925.79</v>
      </c>
      <c r="AO74" s="112">
        <f t="shared" si="20"/>
        <v>1209.575</v>
      </c>
      <c r="AP74" s="192">
        <f t="shared" si="14"/>
        <v>0.67073269944992653</v>
      </c>
      <c r="AQ74" s="193">
        <f t="shared" si="15"/>
        <v>2094.9690000000001</v>
      </c>
      <c r="AR74" s="194">
        <f t="shared" si="16"/>
        <v>-1966.9690000000001</v>
      </c>
      <c r="AS74" s="118"/>
      <c r="AT74" s="119"/>
      <c r="AU74" s="119"/>
      <c r="AV74" s="120"/>
      <c r="AW74" s="195"/>
      <c r="AX74" s="112">
        <v>51404406</v>
      </c>
      <c r="AY74" s="162">
        <v>34478616</v>
      </c>
      <c r="AZ74" s="162">
        <v>16925790</v>
      </c>
      <c r="BA74" s="162">
        <v>1209575</v>
      </c>
      <c r="BB74" s="196">
        <f t="shared" si="21"/>
        <v>0.67073269944992653</v>
      </c>
    </row>
    <row r="75" spans="1:54" s="121" customFormat="1" ht="16.5" customHeight="1">
      <c r="A75" s="104" t="s">
        <v>2143</v>
      </c>
      <c r="B75" s="105" t="s">
        <v>1966</v>
      </c>
      <c r="C75" s="106" t="s">
        <v>527</v>
      </c>
      <c r="D75" s="106" t="s">
        <v>2415</v>
      </c>
      <c r="E75" s="71" t="s">
        <v>2588</v>
      </c>
      <c r="F75" s="71" t="s">
        <v>78</v>
      </c>
      <c r="G75" s="109" t="s">
        <v>180</v>
      </c>
      <c r="H75" s="110">
        <v>0</v>
      </c>
      <c r="I75" s="112">
        <v>0</v>
      </c>
      <c r="J75" s="112">
        <v>3</v>
      </c>
      <c r="K75" s="113">
        <f t="shared" si="12"/>
        <v>3</v>
      </c>
      <c r="L75" s="110">
        <v>192.93899999999999</v>
      </c>
      <c r="M75" s="111">
        <v>22.943000000000001</v>
      </c>
      <c r="N75" s="115">
        <v>0</v>
      </c>
      <c r="O75" s="111">
        <v>138.6</v>
      </c>
      <c r="P75" s="142">
        <v>5.0099999999999999E-2</v>
      </c>
      <c r="Q75" s="111">
        <v>8428</v>
      </c>
      <c r="R75" s="112"/>
      <c r="S75" s="112"/>
      <c r="T75" s="111">
        <f t="shared" si="13"/>
        <v>422</v>
      </c>
      <c r="U75" s="115">
        <v>0</v>
      </c>
      <c r="V75" s="144">
        <v>21.988</v>
      </c>
      <c r="W75" s="111">
        <v>100</v>
      </c>
      <c r="X75" s="113">
        <f t="shared" si="17"/>
        <v>898.47</v>
      </c>
      <c r="Y75" s="110">
        <v>0</v>
      </c>
      <c r="Z75" s="111">
        <v>0</v>
      </c>
      <c r="AA75" s="116">
        <v>4</v>
      </c>
      <c r="AB75" s="111">
        <v>100.22199999999999</v>
      </c>
      <c r="AC75" s="113">
        <f t="shared" si="18"/>
        <v>104.22199999999999</v>
      </c>
      <c r="AD75" s="110">
        <v>0</v>
      </c>
      <c r="AE75" s="111">
        <v>9.2539999999999996</v>
      </c>
      <c r="AF75" s="112">
        <v>0</v>
      </c>
      <c r="AG75" s="117">
        <v>0</v>
      </c>
      <c r="AH75" s="111">
        <v>59</v>
      </c>
      <c r="AI75" s="112">
        <v>0</v>
      </c>
      <c r="AJ75" s="112">
        <v>15.026</v>
      </c>
      <c r="AK75" s="113">
        <f t="shared" si="19"/>
        <v>83.28</v>
      </c>
      <c r="AL75" s="143">
        <f t="shared" si="20"/>
        <v>50188.3</v>
      </c>
      <c r="AM75" s="112">
        <f t="shared" si="20"/>
        <v>41897.499000000003</v>
      </c>
      <c r="AN75" s="112">
        <f t="shared" si="20"/>
        <v>8290.8009999999995</v>
      </c>
      <c r="AO75" s="112">
        <f t="shared" si="20"/>
        <v>269.80799999999999</v>
      </c>
      <c r="AP75" s="192">
        <f t="shared" si="14"/>
        <v>0.83480610022654678</v>
      </c>
      <c r="AQ75" s="193">
        <f t="shared" si="15"/>
        <v>1168.278</v>
      </c>
      <c r="AR75" s="194">
        <f t="shared" si="16"/>
        <v>-1165.278</v>
      </c>
      <c r="AS75" s="118"/>
      <c r="AT75" s="119"/>
      <c r="AU75" s="119"/>
      <c r="AV75" s="120"/>
      <c r="AW75" s="195"/>
      <c r="AX75" s="112">
        <v>50188300</v>
      </c>
      <c r="AY75" s="162">
        <v>41897499</v>
      </c>
      <c r="AZ75" s="162">
        <v>8290801</v>
      </c>
      <c r="BA75" s="162">
        <v>269808</v>
      </c>
      <c r="BB75" s="196">
        <f t="shared" si="21"/>
        <v>0.83480610022654678</v>
      </c>
    </row>
    <row r="76" spans="1:54" s="121" customFormat="1" ht="16.5" customHeight="1">
      <c r="A76" s="104" t="s">
        <v>2143</v>
      </c>
      <c r="B76" s="105" t="s">
        <v>539</v>
      </c>
      <c r="C76" s="106" t="s">
        <v>529</v>
      </c>
      <c r="D76" s="106" t="s">
        <v>2415</v>
      </c>
      <c r="E76" s="71" t="s">
        <v>530</v>
      </c>
      <c r="F76" s="71" t="s">
        <v>78</v>
      </c>
      <c r="G76" s="109" t="s">
        <v>180</v>
      </c>
      <c r="H76" s="110">
        <v>0</v>
      </c>
      <c r="I76" s="112">
        <v>0</v>
      </c>
      <c r="J76" s="112">
        <v>110</v>
      </c>
      <c r="K76" s="113">
        <f t="shared" si="12"/>
        <v>110</v>
      </c>
      <c r="L76" s="110">
        <v>332.73700000000002</v>
      </c>
      <c r="M76" s="111">
        <v>22.943000000000001</v>
      </c>
      <c r="N76" s="115">
        <v>0</v>
      </c>
      <c r="O76" s="111">
        <v>1215.3019999999999</v>
      </c>
      <c r="P76" s="142">
        <v>5.0099999999999999E-2</v>
      </c>
      <c r="Q76" s="111">
        <v>8428</v>
      </c>
      <c r="R76" s="112"/>
      <c r="S76" s="112"/>
      <c r="T76" s="111">
        <f t="shared" si="13"/>
        <v>422</v>
      </c>
      <c r="U76" s="115">
        <v>0</v>
      </c>
      <c r="V76" s="144">
        <v>27.928000000000001</v>
      </c>
      <c r="W76" s="111">
        <v>100</v>
      </c>
      <c r="X76" s="113">
        <f t="shared" si="17"/>
        <v>2120.91</v>
      </c>
      <c r="Y76" s="110">
        <v>0</v>
      </c>
      <c r="Z76" s="111">
        <v>0</v>
      </c>
      <c r="AA76" s="116">
        <v>263.10000000000002</v>
      </c>
      <c r="AB76" s="111">
        <v>100.22199999999999</v>
      </c>
      <c r="AC76" s="113">
        <f t="shared" si="18"/>
        <v>363.322</v>
      </c>
      <c r="AD76" s="110">
        <v>0</v>
      </c>
      <c r="AE76" s="111">
        <v>30</v>
      </c>
      <c r="AF76" s="112">
        <v>0</v>
      </c>
      <c r="AG76" s="117">
        <v>0</v>
      </c>
      <c r="AH76" s="111">
        <v>0</v>
      </c>
      <c r="AI76" s="112">
        <v>0</v>
      </c>
      <c r="AJ76" s="112">
        <v>54.597000000000001</v>
      </c>
      <c r="AK76" s="113">
        <f t="shared" si="19"/>
        <v>84.597000000000008</v>
      </c>
      <c r="AL76" s="143">
        <f t="shared" si="20"/>
        <v>89486.7</v>
      </c>
      <c r="AM76" s="112">
        <f t="shared" si="20"/>
        <v>83761.551000000007</v>
      </c>
      <c r="AN76" s="112">
        <f t="shared" si="20"/>
        <v>5725.1490000000003</v>
      </c>
      <c r="AO76" s="112">
        <f t="shared" si="20"/>
        <v>301.53199999999998</v>
      </c>
      <c r="AP76" s="192">
        <f t="shared" si="14"/>
        <v>0.93602234745498492</v>
      </c>
      <c r="AQ76" s="193">
        <f t="shared" si="15"/>
        <v>2422.442</v>
      </c>
      <c r="AR76" s="194">
        <f t="shared" si="16"/>
        <v>-2312.442</v>
      </c>
      <c r="AS76" s="118"/>
      <c r="AT76" s="119"/>
      <c r="AU76" s="119"/>
      <c r="AV76" s="120"/>
      <c r="AW76" s="195"/>
      <c r="AX76" s="112">
        <v>89486700</v>
      </c>
      <c r="AY76" s="162">
        <v>83761551</v>
      </c>
      <c r="AZ76" s="162">
        <v>5725149</v>
      </c>
      <c r="BA76" s="162">
        <v>301532</v>
      </c>
      <c r="BB76" s="196">
        <f t="shared" si="21"/>
        <v>0.93602234745498492</v>
      </c>
    </row>
    <row r="77" spans="1:54" s="121" customFormat="1" ht="16.5" customHeight="1">
      <c r="A77" s="104" t="s">
        <v>2143</v>
      </c>
      <c r="B77" s="105" t="s">
        <v>544</v>
      </c>
      <c r="C77" s="106" t="s">
        <v>534</v>
      </c>
      <c r="D77" s="106" t="s">
        <v>2415</v>
      </c>
      <c r="E77" s="71" t="s">
        <v>535</v>
      </c>
      <c r="F77" s="71" t="s">
        <v>78</v>
      </c>
      <c r="G77" s="109" t="s">
        <v>180</v>
      </c>
      <c r="H77" s="110">
        <v>0</v>
      </c>
      <c r="I77" s="112">
        <v>0</v>
      </c>
      <c r="J77" s="112">
        <v>26</v>
      </c>
      <c r="K77" s="113">
        <f t="shared" si="12"/>
        <v>26</v>
      </c>
      <c r="L77" s="110">
        <v>354.947</v>
      </c>
      <c r="M77" s="111">
        <v>22.943000000000001</v>
      </c>
      <c r="N77" s="115">
        <v>0</v>
      </c>
      <c r="O77" s="111">
        <v>1500.95</v>
      </c>
      <c r="P77" s="142">
        <v>5.0099999999999999E-2</v>
      </c>
      <c r="Q77" s="111">
        <v>8428</v>
      </c>
      <c r="R77" s="112"/>
      <c r="S77" s="112"/>
      <c r="T77" s="111">
        <f t="shared" si="13"/>
        <v>422</v>
      </c>
      <c r="U77" s="115">
        <v>0</v>
      </c>
      <c r="V77" s="144">
        <v>21.988</v>
      </c>
      <c r="W77" s="111">
        <v>100</v>
      </c>
      <c r="X77" s="113">
        <f t="shared" si="17"/>
        <v>2422.828</v>
      </c>
      <c r="Y77" s="110">
        <v>0</v>
      </c>
      <c r="Z77" s="111">
        <v>0</v>
      </c>
      <c r="AA77" s="116">
        <v>53.674999999999997</v>
      </c>
      <c r="AB77" s="111">
        <v>100.22199999999999</v>
      </c>
      <c r="AC77" s="113">
        <f t="shared" si="18"/>
        <v>153.89699999999999</v>
      </c>
      <c r="AD77" s="110">
        <v>0</v>
      </c>
      <c r="AE77" s="111">
        <v>46.398000000000003</v>
      </c>
      <c r="AF77" s="112">
        <v>0</v>
      </c>
      <c r="AG77" s="117">
        <v>0</v>
      </c>
      <c r="AH77" s="111">
        <v>48</v>
      </c>
      <c r="AI77" s="112">
        <v>0</v>
      </c>
      <c r="AJ77" s="112">
        <v>15.269</v>
      </c>
      <c r="AK77" s="113">
        <f t="shared" si="19"/>
        <v>109.667</v>
      </c>
      <c r="AL77" s="143">
        <f t="shared" si="20"/>
        <v>80579.100000000006</v>
      </c>
      <c r="AM77" s="112">
        <f t="shared" si="20"/>
        <v>75804.119000000006</v>
      </c>
      <c r="AN77" s="112">
        <f t="shared" si="20"/>
        <v>4774.9809999999998</v>
      </c>
      <c r="AO77" s="112">
        <f t="shared" si="20"/>
        <v>880.89499999999998</v>
      </c>
      <c r="AP77" s="192">
        <f t="shared" si="14"/>
        <v>0.94074169356570125</v>
      </c>
      <c r="AQ77" s="193">
        <f t="shared" si="15"/>
        <v>3303.723</v>
      </c>
      <c r="AR77" s="194">
        <f t="shared" si="16"/>
        <v>-3277.723</v>
      </c>
      <c r="AS77" s="118"/>
      <c r="AT77" s="119"/>
      <c r="AU77" s="119"/>
      <c r="AV77" s="120"/>
      <c r="AW77" s="195"/>
      <c r="AX77" s="112">
        <v>80579100</v>
      </c>
      <c r="AY77" s="162">
        <v>75804119</v>
      </c>
      <c r="AZ77" s="162">
        <v>4774981</v>
      </c>
      <c r="BA77" s="162">
        <v>880895</v>
      </c>
      <c r="BB77" s="196">
        <f t="shared" si="21"/>
        <v>0.94074169356570125</v>
      </c>
    </row>
    <row r="78" spans="1:54" s="121" customFormat="1" ht="16.5" customHeight="1">
      <c r="A78" s="104" t="s">
        <v>2143</v>
      </c>
      <c r="B78" s="105" t="s">
        <v>551</v>
      </c>
      <c r="C78" s="106" t="s">
        <v>540</v>
      </c>
      <c r="D78" s="106" t="s">
        <v>2415</v>
      </c>
      <c r="E78" s="71" t="s">
        <v>541</v>
      </c>
      <c r="F78" s="71" t="s">
        <v>78</v>
      </c>
      <c r="G78" s="109" t="s">
        <v>180</v>
      </c>
      <c r="H78" s="110">
        <v>0</v>
      </c>
      <c r="I78" s="112">
        <v>0</v>
      </c>
      <c r="J78" s="112">
        <v>26</v>
      </c>
      <c r="K78" s="113">
        <f t="shared" si="12"/>
        <v>26</v>
      </c>
      <c r="L78" s="110">
        <v>149.52799999999999</v>
      </c>
      <c r="M78" s="111">
        <v>22.942</v>
      </c>
      <c r="N78" s="115">
        <v>0</v>
      </c>
      <c r="O78" s="111">
        <v>80.3</v>
      </c>
      <c r="P78" s="142">
        <v>5.0099999999999999E-2</v>
      </c>
      <c r="Q78" s="111">
        <v>8428</v>
      </c>
      <c r="R78" s="112"/>
      <c r="S78" s="112"/>
      <c r="T78" s="111">
        <f t="shared" si="13"/>
        <v>422</v>
      </c>
      <c r="U78" s="115">
        <v>0</v>
      </c>
      <c r="V78" s="144">
        <v>21.986999999999998</v>
      </c>
      <c r="W78" s="111">
        <v>100</v>
      </c>
      <c r="X78" s="113">
        <f t="shared" si="17"/>
        <v>796.75699999999995</v>
      </c>
      <c r="Y78" s="110">
        <v>0</v>
      </c>
      <c r="Z78" s="111">
        <v>0</v>
      </c>
      <c r="AA78" s="116">
        <v>48.6</v>
      </c>
      <c r="AB78" s="111">
        <v>100.22199999999999</v>
      </c>
      <c r="AC78" s="113">
        <f t="shared" si="18"/>
        <v>148.822</v>
      </c>
      <c r="AD78" s="110">
        <v>26.1</v>
      </c>
      <c r="AE78" s="111">
        <v>11.555999999999999</v>
      </c>
      <c r="AF78" s="112">
        <v>0</v>
      </c>
      <c r="AG78" s="117">
        <v>0</v>
      </c>
      <c r="AH78" s="111">
        <v>74</v>
      </c>
      <c r="AI78" s="112">
        <v>0</v>
      </c>
      <c r="AJ78" s="112">
        <v>44.32</v>
      </c>
      <c r="AK78" s="113">
        <f t="shared" si="19"/>
        <v>155.976</v>
      </c>
      <c r="AL78" s="143">
        <f t="shared" si="20"/>
        <v>44681</v>
      </c>
      <c r="AM78" s="112">
        <f t="shared" si="20"/>
        <v>30406.655999999999</v>
      </c>
      <c r="AN78" s="112">
        <f t="shared" si="20"/>
        <v>14274.343999999999</v>
      </c>
      <c r="AO78" s="112">
        <f t="shared" si="20"/>
        <v>1098.7439999999999</v>
      </c>
      <c r="AP78" s="192">
        <f t="shared" si="14"/>
        <v>0.6805276515744948</v>
      </c>
      <c r="AQ78" s="193">
        <f t="shared" si="15"/>
        <v>1895.5009999999997</v>
      </c>
      <c r="AR78" s="194">
        <f t="shared" si="16"/>
        <v>-1869.5009999999997</v>
      </c>
      <c r="AS78" s="118"/>
      <c r="AT78" s="119"/>
      <c r="AU78" s="119"/>
      <c r="AV78" s="120"/>
      <c r="AW78" s="195"/>
      <c r="AX78" s="112">
        <v>44681000</v>
      </c>
      <c r="AY78" s="162">
        <v>30406656</v>
      </c>
      <c r="AZ78" s="162">
        <v>14274344</v>
      </c>
      <c r="BA78" s="162">
        <v>1098744</v>
      </c>
      <c r="BB78" s="196">
        <f t="shared" si="21"/>
        <v>0.6805276515744948</v>
      </c>
    </row>
    <row r="79" spans="1:54" s="121" customFormat="1" ht="16.5" customHeight="1">
      <c r="A79" s="104" t="s">
        <v>2143</v>
      </c>
      <c r="B79" s="105" t="s">
        <v>556</v>
      </c>
      <c r="C79" s="106" t="s">
        <v>545</v>
      </c>
      <c r="D79" s="106" t="s">
        <v>2415</v>
      </c>
      <c r="E79" s="71" t="s">
        <v>546</v>
      </c>
      <c r="F79" s="71" t="s">
        <v>78</v>
      </c>
      <c r="G79" s="109" t="s">
        <v>180</v>
      </c>
      <c r="H79" s="110">
        <v>0</v>
      </c>
      <c r="I79" s="112">
        <v>0</v>
      </c>
      <c r="J79" s="112">
        <v>524</v>
      </c>
      <c r="K79" s="113">
        <f t="shared" si="12"/>
        <v>524</v>
      </c>
      <c r="L79" s="110">
        <v>471.63200000000001</v>
      </c>
      <c r="M79" s="111">
        <v>22.943000000000001</v>
      </c>
      <c r="N79" s="115">
        <v>0</v>
      </c>
      <c r="O79" s="111">
        <v>433.4</v>
      </c>
      <c r="P79" s="142">
        <v>5.0099999999999999E-2</v>
      </c>
      <c r="Q79" s="111">
        <v>8428</v>
      </c>
      <c r="R79" s="112"/>
      <c r="S79" s="112"/>
      <c r="T79" s="111">
        <f t="shared" si="13"/>
        <v>422</v>
      </c>
      <c r="U79" s="115">
        <v>0</v>
      </c>
      <c r="V79" s="144">
        <v>26.988</v>
      </c>
      <c r="W79" s="111">
        <v>100</v>
      </c>
      <c r="X79" s="113">
        <f t="shared" si="17"/>
        <v>1476.963</v>
      </c>
      <c r="Y79" s="110">
        <v>0</v>
      </c>
      <c r="Z79" s="111">
        <v>0</v>
      </c>
      <c r="AA79" s="116">
        <v>988.89099999999996</v>
      </c>
      <c r="AB79" s="111">
        <v>100.22199999999999</v>
      </c>
      <c r="AC79" s="113">
        <f t="shared" si="18"/>
        <v>1089.1130000000001</v>
      </c>
      <c r="AD79" s="110">
        <v>0</v>
      </c>
      <c r="AE79" s="111">
        <v>245.98</v>
      </c>
      <c r="AF79" s="112">
        <v>0</v>
      </c>
      <c r="AG79" s="117">
        <v>0</v>
      </c>
      <c r="AH79" s="111">
        <v>780</v>
      </c>
      <c r="AI79" s="112">
        <v>0</v>
      </c>
      <c r="AJ79" s="112">
        <v>97.385999999999996</v>
      </c>
      <c r="AK79" s="113">
        <f t="shared" si="19"/>
        <v>1123.366</v>
      </c>
      <c r="AL79" s="143">
        <f t="shared" si="20"/>
        <v>85390.55</v>
      </c>
      <c r="AM79" s="112">
        <f t="shared" si="20"/>
        <v>79789.429000000004</v>
      </c>
      <c r="AN79" s="112">
        <f t="shared" si="20"/>
        <v>5601.1210000000001</v>
      </c>
      <c r="AO79" s="112">
        <f t="shared" si="20"/>
        <v>957.94399999999996</v>
      </c>
      <c r="AP79" s="192">
        <f t="shared" si="14"/>
        <v>0.93440584467484988</v>
      </c>
      <c r="AQ79" s="193">
        <f t="shared" si="15"/>
        <v>2434.9070000000002</v>
      </c>
      <c r="AR79" s="194">
        <f t="shared" si="16"/>
        <v>-1910.9070000000002</v>
      </c>
      <c r="AS79" s="118"/>
      <c r="AT79" s="119"/>
      <c r="AU79" s="119"/>
      <c r="AV79" s="120"/>
      <c r="AW79" s="195"/>
      <c r="AX79" s="112">
        <v>85390550</v>
      </c>
      <c r="AY79" s="162">
        <v>79789429</v>
      </c>
      <c r="AZ79" s="162">
        <v>5601121</v>
      </c>
      <c r="BA79" s="162">
        <v>957944</v>
      </c>
      <c r="BB79" s="196">
        <f t="shared" si="21"/>
        <v>0.93440584467484988</v>
      </c>
    </row>
    <row r="80" spans="1:54" s="121" customFormat="1" ht="16.5" customHeight="1">
      <c r="A80" s="104" t="s">
        <v>2143</v>
      </c>
      <c r="B80" s="105" t="s">
        <v>562</v>
      </c>
      <c r="C80" s="106" t="s">
        <v>552</v>
      </c>
      <c r="D80" s="106" t="s">
        <v>2415</v>
      </c>
      <c r="E80" s="71" t="s">
        <v>553</v>
      </c>
      <c r="F80" s="71" t="s">
        <v>78</v>
      </c>
      <c r="G80" s="109" t="s">
        <v>180</v>
      </c>
      <c r="H80" s="110">
        <v>0</v>
      </c>
      <c r="I80" s="112">
        <v>0</v>
      </c>
      <c r="J80" s="112">
        <v>16</v>
      </c>
      <c r="K80" s="113">
        <f t="shared" si="12"/>
        <v>16</v>
      </c>
      <c r="L80" s="110">
        <v>179.143</v>
      </c>
      <c r="M80" s="111">
        <v>22.943000000000001</v>
      </c>
      <c r="N80" s="115">
        <v>0</v>
      </c>
      <c r="O80" s="111">
        <v>62.7</v>
      </c>
      <c r="P80" s="142">
        <v>5.0099999999999999E-2</v>
      </c>
      <c r="Q80" s="111">
        <v>8428</v>
      </c>
      <c r="R80" s="112"/>
      <c r="S80" s="112"/>
      <c r="T80" s="111">
        <f t="shared" si="13"/>
        <v>422</v>
      </c>
      <c r="U80" s="115">
        <v>0</v>
      </c>
      <c r="V80" s="144">
        <v>21.988</v>
      </c>
      <c r="W80" s="111">
        <v>100</v>
      </c>
      <c r="X80" s="113">
        <f t="shared" si="17"/>
        <v>808.77400000000011</v>
      </c>
      <c r="Y80" s="110">
        <v>0</v>
      </c>
      <c r="Z80" s="111">
        <v>0</v>
      </c>
      <c r="AA80" s="116">
        <v>46.000999999999998</v>
      </c>
      <c r="AB80" s="111">
        <v>100.22199999999999</v>
      </c>
      <c r="AC80" s="113">
        <f t="shared" si="18"/>
        <v>146.22299999999998</v>
      </c>
      <c r="AD80" s="110">
        <v>0</v>
      </c>
      <c r="AE80" s="111">
        <v>10.199999999999999</v>
      </c>
      <c r="AF80" s="112">
        <v>0</v>
      </c>
      <c r="AG80" s="117">
        <v>0</v>
      </c>
      <c r="AH80" s="111">
        <v>50</v>
      </c>
      <c r="AI80" s="112">
        <v>0</v>
      </c>
      <c r="AJ80" s="112">
        <v>118.626</v>
      </c>
      <c r="AK80" s="113">
        <f t="shared" si="19"/>
        <v>178.82600000000002</v>
      </c>
      <c r="AL80" s="143">
        <f t="shared" si="20"/>
        <v>29554.5</v>
      </c>
      <c r="AM80" s="112">
        <f t="shared" si="20"/>
        <v>25734.39</v>
      </c>
      <c r="AN80" s="112">
        <f t="shared" si="20"/>
        <v>3820.11</v>
      </c>
      <c r="AO80" s="112">
        <f t="shared" si="20"/>
        <v>650.19899999999996</v>
      </c>
      <c r="AP80" s="192">
        <f t="shared" si="14"/>
        <v>0.87074354159265088</v>
      </c>
      <c r="AQ80" s="193">
        <f t="shared" si="15"/>
        <v>1458.973</v>
      </c>
      <c r="AR80" s="194">
        <f t="shared" si="16"/>
        <v>-1442.973</v>
      </c>
      <c r="AS80" s="118"/>
      <c r="AT80" s="119"/>
      <c r="AU80" s="119"/>
      <c r="AV80" s="120"/>
      <c r="AW80" s="195"/>
      <c r="AX80" s="112">
        <v>29554500</v>
      </c>
      <c r="AY80" s="162">
        <v>25734390</v>
      </c>
      <c r="AZ80" s="162">
        <v>3820110</v>
      </c>
      <c r="BA80" s="162">
        <v>650199</v>
      </c>
      <c r="BB80" s="196">
        <f t="shared" si="21"/>
        <v>0.87074354159265088</v>
      </c>
    </row>
    <row r="81" spans="1:54" s="121" customFormat="1" ht="16.5" customHeight="1">
      <c r="A81" s="104" t="s">
        <v>2143</v>
      </c>
      <c r="B81" s="105" t="s">
        <v>568</v>
      </c>
      <c r="C81" s="106" t="s">
        <v>557</v>
      </c>
      <c r="D81" s="106" t="s">
        <v>2415</v>
      </c>
      <c r="E81" s="71" t="s">
        <v>558</v>
      </c>
      <c r="F81" s="71" t="s">
        <v>78</v>
      </c>
      <c r="G81" s="109" t="s">
        <v>180</v>
      </c>
      <c r="H81" s="110">
        <v>0</v>
      </c>
      <c r="I81" s="112">
        <v>0</v>
      </c>
      <c r="J81" s="112">
        <v>41</v>
      </c>
      <c r="K81" s="113">
        <f t="shared" si="12"/>
        <v>41</v>
      </c>
      <c r="L81" s="110">
        <v>225.42099999999999</v>
      </c>
      <c r="M81" s="111">
        <v>22.943000000000001</v>
      </c>
      <c r="N81" s="115">
        <v>623.678</v>
      </c>
      <c r="O81" s="111">
        <v>44</v>
      </c>
      <c r="P81" s="142">
        <v>5.0099999999999999E-2</v>
      </c>
      <c r="Q81" s="111">
        <v>8428</v>
      </c>
      <c r="R81" s="112"/>
      <c r="S81" s="112"/>
      <c r="T81" s="111">
        <f t="shared" si="13"/>
        <v>422</v>
      </c>
      <c r="U81" s="115">
        <v>0</v>
      </c>
      <c r="V81" s="144">
        <v>21.988</v>
      </c>
      <c r="W81" s="111">
        <v>100</v>
      </c>
      <c r="X81" s="113">
        <f t="shared" si="17"/>
        <v>1460.03</v>
      </c>
      <c r="Y81" s="110">
        <v>0</v>
      </c>
      <c r="Z81" s="111">
        <v>0</v>
      </c>
      <c r="AA81" s="116">
        <v>107.804</v>
      </c>
      <c r="AB81" s="111">
        <v>100.22199999999999</v>
      </c>
      <c r="AC81" s="113">
        <f t="shared" si="18"/>
        <v>208.02600000000001</v>
      </c>
      <c r="AD81" s="110">
        <v>0</v>
      </c>
      <c r="AE81" s="111">
        <v>34.881</v>
      </c>
      <c r="AF81" s="112">
        <v>0</v>
      </c>
      <c r="AG81" s="117">
        <v>0</v>
      </c>
      <c r="AH81" s="111">
        <v>100.22199999999999</v>
      </c>
      <c r="AI81" s="112">
        <v>0</v>
      </c>
      <c r="AJ81" s="112">
        <v>73.945999999999998</v>
      </c>
      <c r="AK81" s="113">
        <f t="shared" si="19"/>
        <v>209.04900000000001</v>
      </c>
      <c r="AL81" s="143">
        <f t="shared" si="20"/>
        <v>38229.800000000003</v>
      </c>
      <c r="AM81" s="112">
        <f t="shared" si="20"/>
        <v>32801.144999999997</v>
      </c>
      <c r="AN81" s="112">
        <f t="shared" si="20"/>
        <v>5428.6549999999997</v>
      </c>
      <c r="AO81" s="112">
        <f t="shared" si="20"/>
        <v>841.05499999999995</v>
      </c>
      <c r="AP81" s="192">
        <f t="shared" si="14"/>
        <v>0.85799938791204766</v>
      </c>
      <c r="AQ81" s="193">
        <f t="shared" si="15"/>
        <v>2301.085</v>
      </c>
      <c r="AR81" s="194">
        <f t="shared" si="16"/>
        <v>-2260.085</v>
      </c>
      <c r="AS81" s="118"/>
      <c r="AT81" s="119"/>
      <c r="AU81" s="119"/>
      <c r="AV81" s="120"/>
      <c r="AW81" s="195"/>
      <c r="AX81" s="112">
        <v>38229800</v>
      </c>
      <c r="AY81" s="162">
        <v>32801145</v>
      </c>
      <c r="AZ81" s="162">
        <v>5428655</v>
      </c>
      <c r="BA81" s="162">
        <v>841055</v>
      </c>
      <c r="BB81" s="196">
        <f t="shared" si="21"/>
        <v>0.85799938791204766</v>
      </c>
    </row>
    <row r="82" spans="1:54" s="121" customFormat="1" ht="16.5" customHeight="1">
      <c r="A82" s="104" t="s">
        <v>2143</v>
      </c>
      <c r="B82" s="105" t="s">
        <v>574</v>
      </c>
      <c r="C82" s="106" t="s">
        <v>563</v>
      </c>
      <c r="D82" s="106" t="s">
        <v>2415</v>
      </c>
      <c r="E82" s="71" t="s">
        <v>564</v>
      </c>
      <c r="F82" s="71" t="s">
        <v>78</v>
      </c>
      <c r="G82" s="109" t="s">
        <v>180</v>
      </c>
      <c r="H82" s="110">
        <v>0</v>
      </c>
      <c r="I82" s="112">
        <v>0</v>
      </c>
      <c r="J82" s="112">
        <v>33</v>
      </c>
      <c r="K82" s="113">
        <f t="shared" si="12"/>
        <v>33</v>
      </c>
      <c r="L82" s="110">
        <v>279.25299999999999</v>
      </c>
      <c r="M82" s="111">
        <v>116.663</v>
      </c>
      <c r="N82" s="115">
        <v>0</v>
      </c>
      <c r="O82" s="111">
        <v>76.724999999999994</v>
      </c>
      <c r="P82" s="142">
        <v>5.0099999999999999E-2</v>
      </c>
      <c r="Q82" s="111">
        <v>8428</v>
      </c>
      <c r="R82" s="112"/>
      <c r="S82" s="112"/>
      <c r="T82" s="111">
        <f t="shared" si="13"/>
        <v>422</v>
      </c>
      <c r="U82" s="115">
        <v>0</v>
      </c>
      <c r="V82" s="144">
        <v>21.988</v>
      </c>
      <c r="W82" s="111">
        <v>100</v>
      </c>
      <c r="X82" s="113">
        <f t="shared" si="17"/>
        <v>1016.6289999999999</v>
      </c>
      <c r="Y82" s="110">
        <v>0</v>
      </c>
      <c r="Z82" s="111">
        <v>0</v>
      </c>
      <c r="AA82" s="116">
        <v>5.5</v>
      </c>
      <c r="AB82" s="111">
        <v>100.22199999999999</v>
      </c>
      <c r="AC82" s="113">
        <f t="shared" si="18"/>
        <v>105.72199999999999</v>
      </c>
      <c r="AD82" s="110">
        <v>0</v>
      </c>
      <c r="AE82" s="111">
        <v>0</v>
      </c>
      <c r="AF82" s="112">
        <v>0</v>
      </c>
      <c r="AG82" s="117">
        <v>0</v>
      </c>
      <c r="AH82" s="111">
        <v>55.2</v>
      </c>
      <c r="AI82" s="112">
        <v>0</v>
      </c>
      <c r="AJ82" s="112">
        <v>37.14</v>
      </c>
      <c r="AK82" s="113">
        <f t="shared" si="19"/>
        <v>92.34</v>
      </c>
      <c r="AL82" s="143">
        <f t="shared" si="20"/>
        <v>50335.995999999999</v>
      </c>
      <c r="AM82" s="112">
        <f t="shared" si="20"/>
        <v>36886.718000000001</v>
      </c>
      <c r="AN82" s="112">
        <f t="shared" si="20"/>
        <v>13449.278</v>
      </c>
      <c r="AO82" s="112">
        <f t="shared" si="20"/>
        <v>1110.261</v>
      </c>
      <c r="AP82" s="192">
        <f t="shared" si="14"/>
        <v>0.73280993585584364</v>
      </c>
      <c r="AQ82" s="193">
        <f t="shared" si="15"/>
        <v>2126.89</v>
      </c>
      <c r="AR82" s="194">
        <f t="shared" si="16"/>
        <v>-2093.89</v>
      </c>
      <c r="AS82" s="118"/>
      <c r="AT82" s="119"/>
      <c r="AU82" s="119"/>
      <c r="AV82" s="120"/>
      <c r="AW82" s="195"/>
      <c r="AX82" s="112">
        <v>50335996</v>
      </c>
      <c r="AY82" s="162">
        <v>36886718</v>
      </c>
      <c r="AZ82" s="162">
        <v>13449278</v>
      </c>
      <c r="BA82" s="162">
        <v>1110261</v>
      </c>
      <c r="BB82" s="196">
        <f t="shared" si="21"/>
        <v>0.73280993585584364</v>
      </c>
    </row>
    <row r="83" spans="1:54" s="121" customFormat="1" ht="16.5" customHeight="1">
      <c r="A83" s="104" t="s">
        <v>2143</v>
      </c>
      <c r="B83" s="105" t="s">
        <v>580</v>
      </c>
      <c r="C83" s="106" t="s">
        <v>569</v>
      </c>
      <c r="D83" s="106" t="s">
        <v>2415</v>
      </c>
      <c r="E83" s="71" t="s">
        <v>570</v>
      </c>
      <c r="F83" s="71" t="s">
        <v>78</v>
      </c>
      <c r="G83" s="109" t="s">
        <v>180</v>
      </c>
      <c r="H83" s="110">
        <v>0</v>
      </c>
      <c r="I83" s="112">
        <v>0</v>
      </c>
      <c r="J83" s="112">
        <v>14</v>
      </c>
      <c r="K83" s="113">
        <f t="shared" si="12"/>
        <v>14</v>
      </c>
      <c r="L83" s="110">
        <v>238.04400000000001</v>
      </c>
      <c r="M83" s="111">
        <v>22.943000000000001</v>
      </c>
      <c r="N83" s="115">
        <v>0</v>
      </c>
      <c r="O83" s="111">
        <v>52.8</v>
      </c>
      <c r="P83" s="142">
        <v>5.0099999999999999E-2</v>
      </c>
      <c r="Q83" s="111">
        <v>8428</v>
      </c>
      <c r="R83" s="112"/>
      <c r="S83" s="112"/>
      <c r="T83" s="111">
        <f t="shared" si="13"/>
        <v>422</v>
      </c>
      <c r="U83" s="115">
        <v>0</v>
      </c>
      <c r="V83" s="144">
        <v>22.117000000000001</v>
      </c>
      <c r="W83" s="111">
        <v>100</v>
      </c>
      <c r="X83" s="113">
        <f t="shared" si="17"/>
        <v>857.904</v>
      </c>
      <c r="Y83" s="110">
        <v>0</v>
      </c>
      <c r="Z83" s="111">
        <v>0</v>
      </c>
      <c r="AA83" s="116">
        <v>9.0039999999999996</v>
      </c>
      <c r="AB83" s="111">
        <v>100.22199999999999</v>
      </c>
      <c r="AC83" s="113">
        <f t="shared" si="18"/>
        <v>109.226</v>
      </c>
      <c r="AD83" s="110">
        <v>0</v>
      </c>
      <c r="AE83" s="111">
        <v>40.372</v>
      </c>
      <c r="AF83" s="112">
        <v>0</v>
      </c>
      <c r="AG83" s="117">
        <v>168.63</v>
      </c>
      <c r="AH83" s="111">
        <v>36</v>
      </c>
      <c r="AI83" s="112">
        <v>0</v>
      </c>
      <c r="AJ83" s="112">
        <v>41.404000000000003</v>
      </c>
      <c r="AK83" s="113">
        <f t="shared" si="19"/>
        <v>286.40600000000001</v>
      </c>
      <c r="AL83" s="143">
        <f t="shared" si="20"/>
        <v>40157.5</v>
      </c>
      <c r="AM83" s="112">
        <f t="shared" si="20"/>
        <v>31974.364000000001</v>
      </c>
      <c r="AN83" s="112">
        <f t="shared" si="20"/>
        <v>8183.1360000000004</v>
      </c>
      <c r="AO83" s="112">
        <f t="shared" si="20"/>
        <v>907.05899999999997</v>
      </c>
      <c r="AP83" s="192">
        <f t="shared" si="14"/>
        <v>0.79622396812550578</v>
      </c>
      <c r="AQ83" s="193">
        <f t="shared" si="15"/>
        <v>1764.963</v>
      </c>
      <c r="AR83" s="194">
        <f t="shared" si="16"/>
        <v>-1750.963</v>
      </c>
      <c r="AS83" s="118"/>
      <c r="AT83" s="119"/>
      <c r="AU83" s="119"/>
      <c r="AV83" s="120"/>
      <c r="AW83" s="195"/>
      <c r="AX83" s="112">
        <v>40157500</v>
      </c>
      <c r="AY83" s="162">
        <v>31974364</v>
      </c>
      <c r="AZ83" s="162">
        <v>8183136</v>
      </c>
      <c r="BA83" s="162">
        <v>907059</v>
      </c>
      <c r="BB83" s="196">
        <f t="shared" si="21"/>
        <v>0.79622396812550578</v>
      </c>
    </row>
    <row r="84" spans="1:54" s="121" customFormat="1" ht="16.5" customHeight="1">
      <c r="A84" s="104" t="s">
        <v>2143</v>
      </c>
      <c r="B84" s="105" t="s">
        <v>586</v>
      </c>
      <c r="C84" s="106" t="s">
        <v>575</v>
      </c>
      <c r="D84" s="106" t="s">
        <v>2415</v>
      </c>
      <c r="E84" s="71" t="s">
        <v>119</v>
      </c>
      <c r="F84" s="71" t="s">
        <v>78</v>
      </c>
      <c r="G84" s="109" t="s">
        <v>180</v>
      </c>
      <c r="H84" s="110">
        <v>0</v>
      </c>
      <c r="I84" s="112">
        <v>0</v>
      </c>
      <c r="J84" s="112">
        <v>62</v>
      </c>
      <c r="K84" s="113">
        <f t="shared" si="12"/>
        <v>62</v>
      </c>
      <c r="L84" s="143">
        <v>398.81599999999997</v>
      </c>
      <c r="M84" s="111">
        <v>22.943000000000001</v>
      </c>
      <c r="N84" s="115">
        <v>0</v>
      </c>
      <c r="O84" s="111">
        <v>0</v>
      </c>
      <c r="P84" s="142">
        <v>5.0099999999999999E-2</v>
      </c>
      <c r="Q84" s="111">
        <v>8428</v>
      </c>
      <c r="R84" s="112"/>
      <c r="S84" s="112"/>
      <c r="T84" s="111">
        <f t="shared" si="13"/>
        <v>422</v>
      </c>
      <c r="U84" s="115">
        <v>0</v>
      </c>
      <c r="V84" s="144">
        <v>21.988</v>
      </c>
      <c r="W84" s="111">
        <v>100</v>
      </c>
      <c r="X84" s="113">
        <f t="shared" si="17"/>
        <v>965.74700000000007</v>
      </c>
      <c r="Y84" s="110">
        <v>0</v>
      </c>
      <c r="Z84" s="111">
        <v>0</v>
      </c>
      <c r="AA84" s="116">
        <v>131.50399999999999</v>
      </c>
      <c r="AB84" s="111">
        <v>100.22199999999999</v>
      </c>
      <c r="AC84" s="113">
        <f t="shared" si="18"/>
        <v>231.726</v>
      </c>
      <c r="AD84" s="110">
        <v>0</v>
      </c>
      <c r="AE84" s="111">
        <v>101.2</v>
      </c>
      <c r="AF84" s="112">
        <v>0</v>
      </c>
      <c r="AG84" s="117">
        <v>0</v>
      </c>
      <c r="AH84" s="111">
        <v>140</v>
      </c>
      <c r="AI84" s="112">
        <v>0</v>
      </c>
      <c r="AJ84" s="112">
        <v>42.545999999999999</v>
      </c>
      <c r="AK84" s="113">
        <f t="shared" si="19"/>
        <v>283.74599999999998</v>
      </c>
      <c r="AL84" s="143">
        <f t="shared" si="20"/>
        <v>60744.598938841169</v>
      </c>
      <c r="AM84" s="112">
        <f t="shared" si="20"/>
        <v>49678.142274780424</v>
      </c>
      <c r="AN84" s="112">
        <f t="shared" si="20"/>
        <v>11066.456664060739</v>
      </c>
      <c r="AO84" s="112">
        <f t="shared" si="20"/>
        <v>1455.0590126113952</v>
      </c>
      <c r="AP84" s="192">
        <f t="shared" si="14"/>
        <v>0.81781990732702559</v>
      </c>
      <c r="AQ84" s="193">
        <f t="shared" si="15"/>
        <v>2420.8060126113951</v>
      </c>
      <c r="AR84" s="194">
        <f t="shared" si="16"/>
        <v>-2358.8060126113951</v>
      </c>
      <c r="AS84" s="118"/>
      <c r="AT84" s="119"/>
      <c r="AU84" s="119"/>
      <c r="AV84" s="120"/>
      <c r="AW84" s="195" t="s">
        <v>63</v>
      </c>
      <c r="AX84" s="112">
        <v>60744598.938841172</v>
      </c>
      <c r="AY84" s="162">
        <v>49678142.274780422</v>
      </c>
      <c r="AZ84" s="162">
        <v>11066456.66406074</v>
      </c>
      <c r="BA84" s="162">
        <v>1455059.0126113952</v>
      </c>
      <c r="BB84" s="196">
        <f t="shared" si="21"/>
        <v>0.81781990732702559</v>
      </c>
    </row>
    <row r="85" spans="1:54" s="121" customFormat="1" ht="16.5" customHeight="1">
      <c r="A85" s="104" t="s">
        <v>2143</v>
      </c>
      <c r="B85" s="105" t="s">
        <v>591</v>
      </c>
      <c r="C85" s="106" t="s">
        <v>581</v>
      </c>
      <c r="D85" s="106" t="s">
        <v>2415</v>
      </c>
      <c r="E85" s="71" t="s">
        <v>582</v>
      </c>
      <c r="F85" s="71" t="s">
        <v>78</v>
      </c>
      <c r="G85" s="109" t="s">
        <v>180</v>
      </c>
      <c r="H85" s="110">
        <v>0</v>
      </c>
      <c r="I85" s="112">
        <v>0</v>
      </c>
      <c r="J85" s="112">
        <v>51</v>
      </c>
      <c r="K85" s="113">
        <f t="shared" si="12"/>
        <v>51</v>
      </c>
      <c r="L85" s="110">
        <v>286.38299999999998</v>
      </c>
      <c r="M85" s="111">
        <v>22.943000000000001</v>
      </c>
      <c r="N85" s="115">
        <v>0</v>
      </c>
      <c r="O85" s="111">
        <v>0</v>
      </c>
      <c r="P85" s="142">
        <v>5.0099999999999999E-2</v>
      </c>
      <c r="Q85" s="111">
        <v>8428</v>
      </c>
      <c r="R85" s="112"/>
      <c r="S85" s="112"/>
      <c r="T85" s="111">
        <f t="shared" si="13"/>
        <v>422</v>
      </c>
      <c r="U85" s="115">
        <v>3627.145</v>
      </c>
      <c r="V85" s="144">
        <v>26.988</v>
      </c>
      <c r="W85" s="111">
        <v>100</v>
      </c>
      <c r="X85" s="113">
        <f t="shared" si="17"/>
        <v>4485.4589999999998</v>
      </c>
      <c r="Y85" s="110">
        <v>0</v>
      </c>
      <c r="Z85" s="111">
        <v>0</v>
      </c>
      <c r="AA85" s="116">
        <v>81.001000000000005</v>
      </c>
      <c r="AB85" s="111">
        <v>100.22199999999999</v>
      </c>
      <c r="AC85" s="113">
        <f t="shared" si="18"/>
        <v>181.22300000000001</v>
      </c>
      <c r="AD85" s="110">
        <v>0</v>
      </c>
      <c r="AE85" s="111">
        <v>32.4</v>
      </c>
      <c r="AF85" s="112">
        <v>0</v>
      </c>
      <c r="AG85" s="117">
        <v>0</v>
      </c>
      <c r="AH85" s="111">
        <v>134</v>
      </c>
      <c r="AI85" s="112">
        <v>0</v>
      </c>
      <c r="AJ85" s="112">
        <v>6.4870000000000001</v>
      </c>
      <c r="AK85" s="113">
        <f t="shared" si="19"/>
        <v>172.887</v>
      </c>
      <c r="AL85" s="143">
        <f t="shared" si="20"/>
        <v>36122.945</v>
      </c>
      <c r="AM85" s="112">
        <f t="shared" si="20"/>
        <v>26451.559000000001</v>
      </c>
      <c r="AN85" s="112">
        <f t="shared" si="20"/>
        <v>9671.3860000000004</v>
      </c>
      <c r="AO85" s="112">
        <f t="shared" si="20"/>
        <v>714.90700000000004</v>
      </c>
      <c r="AP85" s="192">
        <f t="shared" si="14"/>
        <v>0.73226474198047808</v>
      </c>
      <c r="AQ85" s="193">
        <f t="shared" si="15"/>
        <v>5200.366</v>
      </c>
      <c r="AR85" s="194">
        <f t="shared" si="16"/>
        <v>-5149.366</v>
      </c>
      <c r="AS85" s="118"/>
      <c r="AT85" s="119"/>
      <c r="AU85" s="119"/>
      <c r="AV85" s="120"/>
      <c r="AW85" s="195"/>
      <c r="AX85" s="112">
        <v>36122945</v>
      </c>
      <c r="AY85" s="162">
        <v>26451559</v>
      </c>
      <c r="AZ85" s="162">
        <v>9671386</v>
      </c>
      <c r="BA85" s="162">
        <v>714907</v>
      </c>
      <c r="BB85" s="196">
        <f t="shared" si="21"/>
        <v>0.73226474198047808</v>
      </c>
    </row>
    <row r="86" spans="1:54" s="121" customFormat="1" ht="16.5" customHeight="1">
      <c r="A86" s="104" t="s">
        <v>2143</v>
      </c>
      <c r="B86" s="105" t="s">
        <v>597</v>
      </c>
      <c r="C86" s="106" t="s">
        <v>587</v>
      </c>
      <c r="D86" s="106" t="s">
        <v>2415</v>
      </c>
      <c r="E86" s="71" t="s">
        <v>588</v>
      </c>
      <c r="F86" s="71" t="s">
        <v>78</v>
      </c>
      <c r="G86" s="109" t="s">
        <v>180</v>
      </c>
      <c r="H86" s="110">
        <v>0</v>
      </c>
      <c r="I86" s="112">
        <v>0</v>
      </c>
      <c r="J86" s="112">
        <v>3</v>
      </c>
      <c r="K86" s="113">
        <f t="shared" si="12"/>
        <v>3</v>
      </c>
      <c r="L86" s="110">
        <v>118.485</v>
      </c>
      <c r="M86" s="111">
        <v>22.942</v>
      </c>
      <c r="N86" s="115">
        <v>0</v>
      </c>
      <c r="O86" s="111">
        <v>0</v>
      </c>
      <c r="P86" s="142">
        <v>5.0099999999999999E-2</v>
      </c>
      <c r="Q86" s="111">
        <v>8428</v>
      </c>
      <c r="R86" s="112"/>
      <c r="S86" s="112"/>
      <c r="T86" s="111">
        <f t="shared" si="13"/>
        <v>422</v>
      </c>
      <c r="U86" s="115">
        <v>9856</v>
      </c>
      <c r="V86" s="144">
        <v>21.986999999999998</v>
      </c>
      <c r="W86" s="111">
        <v>100</v>
      </c>
      <c r="X86" s="113">
        <f t="shared" si="17"/>
        <v>10541.413999999999</v>
      </c>
      <c r="Y86" s="110">
        <v>0</v>
      </c>
      <c r="Z86" s="111">
        <v>0</v>
      </c>
      <c r="AA86" s="116">
        <v>8.0020000000000007</v>
      </c>
      <c r="AB86" s="111">
        <v>100.22199999999999</v>
      </c>
      <c r="AC86" s="113">
        <f t="shared" si="18"/>
        <v>108.22399999999999</v>
      </c>
      <c r="AD86" s="110">
        <v>0</v>
      </c>
      <c r="AE86" s="111">
        <v>20.335000000000001</v>
      </c>
      <c r="AF86" s="112">
        <v>0</v>
      </c>
      <c r="AG86" s="117">
        <v>0</v>
      </c>
      <c r="AH86" s="111">
        <v>35</v>
      </c>
      <c r="AI86" s="112">
        <v>0</v>
      </c>
      <c r="AJ86" s="112">
        <v>39.874000000000002</v>
      </c>
      <c r="AK86" s="113">
        <f t="shared" si="19"/>
        <v>95.209000000000003</v>
      </c>
      <c r="AL86" s="143">
        <f t="shared" si="20"/>
        <v>47078.5</v>
      </c>
      <c r="AM86" s="112">
        <f t="shared" si="20"/>
        <v>29125.739000000001</v>
      </c>
      <c r="AN86" s="112">
        <f t="shared" si="20"/>
        <v>17952.760999999999</v>
      </c>
      <c r="AO86" s="112">
        <f t="shared" si="20"/>
        <v>706.86</v>
      </c>
      <c r="AP86" s="192">
        <f t="shared" si="14"/>
        <v>0.6186632751680704</v>
      </c>
      <c r="AQ86" s="193">
        <f t="shared" si="15"/>
        <v>11248.273999999999</v>
      </c>
      <c r="AR86" s="194">
        <f t="shared" si="16"/>
        <v>-11245.273999999999</v>
      </c>
      <c r="AS86" s="118"/>
      <c r="AT86" s="119"/>
      <c r="AU86" s="119"/>
      <c r="AV86" s="120"/>
      <c r="AW86" s="195"/>
      <c r="AX86" s="112">
        <v>47078500</v>
      </c>
      <c r="AY86" s="162">
        <v>29125739</v>
      </c>
      <c r="AZ86" s="162">
        <v>17952761</v>
      </c>
      <c r="BA86" s="162">
        <v>706860</v>
      </c>
      <c r="BB86" s="196">
        <f t="shared" si="21"/>
        <v>0.6186632751680704</v>
      </c>
    </row>
    <row r="87" spans="1:54" s="121" customFormat="1" ht="16.5" customHeight="1">
      <c r="A87" s="104" t="s">
        <v>2143</v>
      </c>
      <c r="B87" s="105" t="s">
        <v>600</v>
      </c>
      <c r="C87" s="106" t="s">
        <v>592</v>
      </c>
      <c r="D87" s="106" t="s">
        <v>2415</v>
      </c>
      <c r="E87" s="71" t="s">
        <v>593</v>
      </c>
      <c r="F87" s="71" t="s">
        <v>78</v>
      </c>
      <c r="G87" s="109" t="s">
        <v>180</v>
      </c>
      <c r="H87" s="110">
        <v>0</v>
      </c>
      <c r="I87" s="112">
        <v>0</v>
      </c>
      <c r="J87" s="112">
        <v>0</v>
      </c>
      <c r="K87" s="113">
        <f t="shared" si="12"/>
        <v>0</v>
      </c>
      <c r="L87" s="110">
        <v>201</v>
      </c>
      <c r="M87" s="111">
        <v>22.942</v>
      </c>
      <c r="N87" s="115">
        <v>717.42600000000004</v>
      </c>
      <c r="O87" s="111">
        <v>95.7</v>
      </c>
      <c r="P87" s="142">
        <v>5.0099999999999999E-2</v>
      </c>
      <c r="Q87" s="111">
        <v>8428</v>
      </c>
      <c r="R87" s="112"/>
      <c r="S87" s="112"/>
      <c r="T87" s="111">
        <f t="shared" si="13"/>
        <v>422</v>
      </c>
      <c r="U87" s="115">
        <v>0</v>
      </c>
      <c r="V87" s="144">
        <v>21.986999999999998</v>
      </c>
      <c r="W87" s="111">
        <v>100</v>
      </c>
      <c r="X87" s="113">
        <f t="shared" si="17"/>
        <v>1581.0550000000001</v>
      </c>
      <c r="Y87" s="110">
        <v>0</v>
      </c>
      <c r="Z87" s="111">
        <v>0</v>
      </c>
      <c r="AA87" s="116">
        <v>2E-3</v>
      </c>
      <c r="AB87" s="111">
        <v>100.22199999999999</v>
      </c>
      <c r="AC87" s="113">
        <f t="shared" si="18"/>
        <v>100.22399999999999</v>
      </c>
      <c r="AD87" s="110">
        <v>0</v>
      </c>
      <c r="AE87" s="111">
        <v>2.2000000000000002</v>
      </c>
      <c r="AF87" s="112">
        <v>0</v>
      </c>
      <c r="AG87" s="117">
        <v>0</v>
      </c>
      <c r="AH87" s="111">
        <v>65</v>
      </c>
      <c r="AI87" s="112">
        <v>0</v>
      </c>
      <c r="AJ87" s="112">
        <v>3.6760000000000002</v>
      </c>
      <c r="AK87" s="113">
        <f t="shared" si="19"/>
        <v>70.876000000000005</v>
      </c>
      <c r="AL87" s="143">
        <f t="shared" si="20"/>
        <v>49230.55</v>
      </c>
      <c r="AM87" s="112">
        <f t="shared" si="20"/>
        <v>34211.572999999997</v>
      </c>
      <c r="AN87" s="112">
        <f t="shared" si="20"/>
        <v>15018.977000000001</v>
      </c>
      <c r="AO87" s="112">
        <f t="shared" si="20"/>
        <v>949.09100000000001</v>
      </c>
      <c r="AP87" s="192">
        <f t="shared" si="14"/>
        <v>0.69492567115337933</v>
      </c>
      <c r="AQ87" s="193">
        <f t="shared" si="15"/>
        <v>2530.1460000000002</v>
      </c>
      <c r="AR87" s="194">
        <f t="shared" si="16"/>
        <v>-2530.1460000000002</v>
      </c>
      <c r="AS87" s="118"/>
      <c r="AT87" s="119"/>
      <c r="AU87" s="119"/>
      <c r="AV87" s="120"/>
      <c r="AW87" s="195"/>
      <c r="AX87" s="112">
        <v>49230550</v>
      </c>
      <c r="AY87" s="162">
        <v>34211573</v>
      </c>
      <c r="AZ87" s="162">
        <v>15018977</v>
      </c>
      <c r="BA87" s="162">
        <v>949091</v>
      </c>
      <c r="BB87" s="196">
        <f t="shared" si="21"/>
        <v>0.69492567115337933</v>
      </c>
    </row>
    <row r="88" spans="1:54" s="121" customFormat="1" ht="16.5" customHeight="1">
      <c r="A88" s="104" t="s">
        <v>2099</v>
      </c>
      <c r="B88" s="105" t="s">
        <v>605</v>
      </c>
      <c r="C88" s="106" t="s">
        <v>598</v>
      </c>
      <c r="D88" s="106" t="s">
        <v>2415</v>
      </c>
      <c r="E88" s="71" t="s">
        <v>163</v>
      </c>
      <c r="F88" s="71" t="s">
        <v>78</v>
      </c>
      <c r="G88" s="109" t="s">
        <v>156</v>
      </c>
      <c r="H88" s="110">
        <v>0</v>
      </c>
      <c r="I88" s="112">
        <v>0</v>
      </c>
      <c r="J88" s="112">
        <v>0</v>
      </c>
      <c r="K88" s="113">
        <f t="shared" si="12"/>
        <v>0</v>
      </c>
      <c r="L88" s="110">
        <v>0</v>
      </c>
      <c r="M88" s="111">
        <v>0</v>
      </c>
      <c r="N88" s="115">
        <v>0</v>
      </c>
      <c r="O88" s="111">
        <v>0</v>
      </c>
      <c r="P88" s="114"/>
      <c r="Q88" s="111">
        <v>8428</v>
      </c>
      <c r="R88" s="112"/>
      <c r="S88" s="112"/>
      <c r="T88" s="111">
        <f t="shared" si="13"/>
        <v>0</v>
      </c>
      <c r="U88" s="115">
        <v>0</v>
      </c>
      <c r="V88" s="144">
        <v>0</v>
      </c>
      <c r="W88" s="111"/>
      <c r="X88" s="113">
        <f t="shared" si="17"/>
        <v>0</v>
      </c>
      <c r="Y88" s="110">
        <v>0</v>
      </c>
      <c r="Z88" s="111">
        <v>0</v>
      </c>
      <c r="AA88" s="116">
        <v>0</v>
      </c>
      <c r="AB88" s="111">
        <v>0</v>
      </c>
      <c r="AC88" s="113">
        <f t="shared" si="18"/>
        <v>0</v>
      </c>
      <c r="AD88" s="110">
        <v>0</v>
      </c>
      <c r="AE88" s="111">
        <v>0</v>
      </c>
      <c r="AF88" s="112">
        <v>0</v>
      </c>
      <c r="AG88" s="117">
        <v>0</v>
      </c>
      <c r="AH88" s="111">
        <v>0</v>
      </c>
      <c r="AI88" s="112">
        <v>0</v>
      </c>
      <c r="AJ88" s="112">
        <v>0</v>
      </c>
      <c r="AK88" s="113">
        <f t="shared" si="19"/>
        <v>0</v>
      </c>
      <c r="AL88" s="143">
        <f t="shared" si="20"/>
        <v>0</v>
      </c>
      <c r="AM88" s="112">
        <f t="shared" si="20"/>
        <v>0</v>
      </c>
      <c r="AN88" s="112">
        <f t="shared" si="20"/>
        <v>0</v>
      </c>
      <c r="AO88" s="112">
        <f t="shared" si="20"/>
        <v>0</v>
      </c>
      <c r="AP88" s="192">
        <f t="shared" si="14"/>
        <v>0</v>
      </c>
      <c r="AQ88" s="193">
        <f t="shared" si="15"/>
        <v>0</v>
      </c>
      <c r="AR88" s="194">
        <f t="shared" si="16"/>
        <v>0</v>
      </c>
      <c r="AS88" s="118"/>
      <c r="AT88" s="119"/>
      <c r="AU88" s="119"/>
      <c r="AV88" s="120"/>
      <c r="AW88" s="195"/>
      <c r="AX88" s="112">
        <v>0</v>
      </c>
      <c r="AY88" s="162">
        <v>0</v>
      </c>
      <c r="AZ88" s="162">
        <v>0</v>
      </c>
      <c r="BA88" s="162">
        <v>0</v>
      </c>
      <c r="BB88" s="196">
        <v>0</v>
      </c>
    </row>
    <row r="89" spans="1:54" s="121" customFormat="1" ht="16.5" customHeight="1">
      <c r="A89" s="104" t="s">
        <v>2143</v>
      </c>
      <c r="B89" s="105" t="s">
        <v>611</v>
      </c>
      <c r="C89" s="106" t="s">
        <v>601</v>
      </c>
      <c r="D89" s="106" t="s">
        <v>2415</v>
      </c>
      <c r="E89" s="71" t="s">
        <v>602</v>
      </c>
      <c r="F89" s="71" t="s">
        <v>78</v>
      </c>
      <c r="G89" s="109" t="s">
        <v>180</v>
      </c>
      <c r="H89" s="110">
        <v>0</v>
      </c>
      <c r="I89" s="112">
        <v>0</v>
      </c>
      <c r="J89" s="112">
        <v>28</v>
      </c>
      <c r="K89" s="113">
        <f t="shared" si="12"/>
        <v>28</v>
      </c>
      <c r="L89" s="110">
        <v>188.072</v>
      </c>
      <c r="M89" s="111">
        <v>22.943000000000001</v>
      </c>
      <c r="N89" s="115">
        <v>0</v>
      </c>
      <c r="O89" s="111">
        <v>0</v>
      </c>
      <c r="P89" s="142">
        <v>5.0099999999999999E-2</v>
      </c>
      <c r="Q89" s="111">
        <v>8428</v>
      </c>
      <c r="R89" s="112"/>
      <c r="S89" s="112"/>
      <c r="T89" s="111">
        <f t="shared" si="13"/>
        <v>422</v>
      </c>
      <c r="U89" s="115">
        <v>0</v>
      </c>
      <c r="V89" s="144">
        <v>21.988</v>
      </c>
      <c r="W89" s="111">
        <v>100</v>
      </c>
      <c r="X89" s="113">
        <f t="shared" si="17"/>
        <v>755.00299999999993</v>
      </c>
      <c r="Y89" s="110">
        <v>0</v>
      </c>
      <c r="Z89" s="111">
        <v>0</v>
      </c>
      <c r="AA89" s="116">
        <v>52.603000000000002</v>
      </c>
      <c r="AB89" s="111">
        <v>100.22199999999999</v>
      </c>
      <c r="AC89" s="113">
        <f t="shared" si="18"/>
        <v>152.82499999999999</v>
      </c>
      <c r="AD89" s="110">
        <v>0</v>
      </c>
      <c r="AE89" s="111">
        <v>5.22</v>
      </c>
      <c r="AF89" s="112">
        <v>0</v>
      </c>
      <c r="AG89" s="117">
        <v>0</v>
      </c>
      <c r="AH89" s="111">
        <v>152</v>
      </c>
      <c r="AI89" s="112">
        <v>0</v>
      </c>
      <c r="AJ89" s="112">
        <v>6.6689999999999996</v>
      </c>
      <c r="AK89" s="113">
        <f t="shared" si="19"/>
        <v>163.88900000000001</v>
      </c>
      <c r="AL89" s="143">
        <f t="shared" si="20"/>
        <v>58534</v>
      </c>
      <c r="AM89" s="112">
        <f t="shared" si="20"/>
        <v>43014.786999999997</v>
      </c>
      <c r="AN89" s="112">
        <f t="shared" si="20"/>
        <v>15519.213</v>
      </c>
      <c r="AO89" s="112">
        <f t="shared" si="20"/>
        <v>1496.5930000000001</v>
      </c>
      <c r="AP89" s="192">
        <f t="shared" si="14"/>
        <v>0.73486840127105613</v>
      </c>
      <c r="AQ89" s="193">
        <f t="shared" si="15"/>
        <v>2251.596</v>
      </c>
      <c r="AR89" s="194">
        <f t="shared" si="16"/>
        <v>-2223.596</v>
      </c>
      <c r="AS89" s="118"/>
      <c r="AT89" s="119"/>
      <c r="AU89" s="119"/>
      <c r="AV89" s="120"/>
      <c r="AW89" s="195"/>
      <c r="AX89" s="112">
        <v>58534000</v>
      </c>
      <c r="AY89" s="162">
        <v>43014787</v>
      </c>
      <c r="AZ89" s="162">
        <v>15519213</v>
      </c>
      <c r="BA89" s="162">
        <v>1496593</v>
      </c>
      <c r="BB89" s="196">
        <f t="shared" si="21"/>
        <v>0.73486840127105613</v>
      </c>
    </row>
    <row r="90" spans="1:54" s="121" customFormat="1" ht="16.5" customHeight="1">
      <c r="A90" s="104" t="s">
        <v>2143</v>
      </c>
      <c r="B90" s="105" t="s">
        <v>618</v>
      </c>
      <c r="C90" s="106" t="s">
        <v>606</v>
      </c>
      <c r="D90" s="106" t="s">
        <v>2415</v>
      </c>
      <c r="E90" s="71" t="s">
        <v>607</v>
      </c>
      <c r="F90" s="71" t="s">
        <v>78</v>
      </c>
      <c r="G90" s="109" t="s">
        <v>180</v>
      </c>
      <c r="H90" s="110">
        <v>0</v>
      </c>
      <c r="I90" s="112">
        <v>0</v>
      </c>
      <c r="J90" s="112">
        <v>232</v>
      </c>
      <c r="K90" s="113">
        <f t="shared" si="12"/>
        <v>232</v>
      </c>
      <c r="L90" s="110">
        <v>483.98</v>
      </c>
      <c r="M90" s="111">
        <v>22.943000000000001</v>
      </c>
      <c r="N90" s="115">
        <v>0</v>
      </c>
      <c r="O90" s="111">
        <v>102.3</v>
      </c>
      <c r="P90" s="142">
        <v>5.0099999999999999E-2</v>
      </c>
      <c r="Q90" s="111">
        <v>8428</v>
      </c>
      <c r="R90" s="112"/>
      <c r="S90" s="112"/>
      <c r="T90" s="111">
        <f t="shared" si="13"/>
        <v>422</v>
      </c>
      <c r="U90" s="115">
        <v>0</v>
      </c>
      <c r="V90" s="144">
        <v>21.988</v>
      </c>
      <c r="W90" s="111">
        <v>100</v>
      </c>
      <c r="X90" s="113">
        <f t="shared" si="17"/>
        <v>1153.211</v>
      </c>
      <c r="Y90" s="110">
        <v>0</v>
      </c>
      <c r="Z90" s="111">
        <v>0</v>
      </c>
      <c r="AA90" s="116">
        <v>270.185</v>
      </c>
      <c r="AB90" s="111">
        <v>100.22199999999999</v>
      </c>
      <c r="AC90" s="113">
        <f t="shared" si="18"/>
        <v>370.40699999999998</v>
      </c>
      <c r="AD90" s="110">
        <v>0</v>
      </c>
      <c r="AE90" s="111">
        <v>192.428</v>
      </c>
      <c r="AF90" s="112">
        <v>0</v>
      </c>
      <c r="AG90" s="117">
        <v>451.55</v>
      </c>
      <c r="AH90" s="111">
        <v>36</v>
      </c>
      <c r="AI90" s="112">
        <v>0</v>
      </c>
      <c r="AJ90" s="112">
        <v>73.311000000000007</v>
      </c>
      <c r="AK90" s="113">
        <f t="shared" si="19"/>
        <v>753.2890000000001</v>
      </c>
      <c r="AL90" s="143">
        <f t="shared" si="20"/>
        <v>105886.02800000001</v>
      </c>
      <c r="AM90" s="112">
        <f t="shared" si="20"/>
        <v>88123.788</v>
      </c>
      <c r="AN90" s="112">
        <f t="shared" si="20"/>
        <v>17762.240000000002</v>
      </c>
      <c r="AO90" s="112">
        <f t="shared" si="20"/>
        <v>2562.4810000000002</v>
      </c>
      <c r="AP90" s="192">
        <f t="shared" si="14"/>
        <v>0.8322513334809386</v>
      </c>
      <c r="AQ90" s="193">
        <f t="shared" si="15"/>
        <v>3715.692</v>
      </c>
      <c r="AR90" s="194">
        <f t="shared" si="16"/>
        <v>-3483.692</v>
      </c>
      <c r="AS90" s="118"/>
      <c r="AT90" s="119"/>
      <c r="AU90" s="119"/>
      <c r="AV90" s="120"/>
      <c r="AW90" s="195"/>
      <c r="AX90" s="112">
        <v>105886028</v>
      </c>
      <c r="AY90" s="162">
        <v>88123788</v>
      </c>
      <c r="AZ90" s="162">
        <v>17762240</v>
      </c>
      <c r="BA90" s="162">
        <v>2562481</v>
      </c>
      <c r="BB90" s="196">
        <f t="shared" si="21"/>
        <v>0.8322513334809386</v>
      </c>
    </row>
    <row r="91" spans="1:54" s="121" customFormat="1" ht="16.5" customHeight="1">
      <c r="A91" s="104" t="s">
        <v>2143</v>
      </c>
      <c r="B91" s="105" t="s">
        <v>621</v>
      </c>
      <c r="C91" s="106" t="s">
        <v>612</v>
      </c>
      <c r="D91" s="106" t="s">
        <v>2415</v>
      </c>
      <c r="E91" s="71" t="s">
        <v>613</v>
      </c>
      <c r="F91" s="71" t="s">
        <v>78</v>
      </c>
      <c r="G91" s="109" t="s">
        <v>180</v>
      </c>
      <c r="H91" s="110">
        <v>0</v>
      </c>
      <c r="I91" s="112">
        <v>0</v>
      </c>
      <c r="J91" s="112">
        <v>152</v>
      </c>
      <c r="K91" s="113">
        <f t="shared" si="12"/>
        <v>152</v>
      </c>
      <c r="L91" s="110">
        <v>538.66200000000003</v>
      </c>
      <c r="M91" s="111">
        <v>22.943000000000001</v>
      </c>
      <c r="N91" s="115">
        <v>0</v>
      </c>
      <c r="O91" s="111">
        <v>113.85</v>
      </c>
      <c r="P91" s="142">
        <v>5.0099999999999999E-2</v>
      </c>
      <c r="Q91" s="111">
        <v>8428</v>
      </c>
      <c r="R91" s="112"/>
      <c r="S91" s="112"/>
      <c r="T91" s="111">
        <f t="shared" si="13"/>
        <v>422</v>
      </c>
      <c r="U91" s="115">
        <v>0</v>
      </c>
      <c r="V91" s="144">
        <v>8.1720000000000006</v>
      </c>
      <c r="W91" s="111">
        <v>100</v>
      </c>
      <c r="X91" s="113">
        <f t="shared" si="17"/>
        <v>1205.627</v>
      </c>
      <c r="Y91" s="110">
        <v>0</v>
      </c>
      <c r="Z91" s="111">
        <v>0</v>
      </c>
      <c r="AA91" s="116">
        <v>178.404</v>
      </c>
      <c r="AB91" s="111">
        <v>100.22199999999999</v>
      </c>
      <c r="AC91" s="113">
        <f t="shared" si="18"/>
        <v>278.62599999999998</v>
      </c>
      <c r="AD91" s="110">
        <v>0</v>
      </c>
      <c r="AE91" s="111">
        <v>1.8360000000000001</v>
      </c>
      <c r="AF91" s="112">
        <v>0</v>
      </c>
      <c r="AG91" s="117">
        <v>0</v>
      </c>
      <c r="AH91" s="111">
        <v>245</v>
      </c>
      <c r="AI91" s="112">
        <v>0</v>
      </c>
      <c r="AJ91" s="112">
        <v>64.155000000000001</v>
      </c>
      <c r="AK91" s="113">
        <f t="shared" si="19"/>
        <v>310.99099999999999</v>
      </c>
      <c r="AL91" s="143">
        <f t="shared" si="20"/>
        <v>96764.048999999999</v>
      </c>
      <c r="AM91" s="112">
        <f t="shared" si="20"/>
        <v>69413.782999999996</v>
      </c>
      <c r="AN91" s="112">
        <f t="shared" si="20"/>
        <v>27350.266</v>
      </c>
      <c r="AO91" s="112">
        <f t="shared" si="20"/>
        <v>2156.5149999999999</v>
      </c>
      <c r="AP91" s="192">
        <f t="shared" si="14"/>
        <v>0.71735095541526994</v>
      </c>
      <c r="AQ91" s="193">
        <f t="shared" si="15"/>
        <v>3362.1419999999998</v>
      </c>
      <c r="AR91" s="194">
        <f t="shared" si="16"/>
        <v>-3210.1419999999998</v>
      </c>
      <c r="AS91" s="118"/>
      <c r="AT91" s="119"/>
      <c r="AU91" s="119"/>
      <c r="AV91" s="120"/>
      <c r="AW91" s="195"/>
      <c r="AX91" s="112">
        <v>96764049</v>
      </c>
      <c r="AY91" s="162">
        <v>69413783</v>
      </c>
      <c r="AZ91" s="162">
        <v>27350266</v>
      </c>
      <c r="BA91" s="162">
        <v>2156515</v>
      </c>
      <c r="BB91" s="196">
        <f t="shared" si="21"/>
        <v>0.71735095541526994</v>
      </c>
    </row>
    <row r="92" spans="1:54" s="121" customFormat="1" ht="16.5" customHeight="1">
      <c r="A92" s="104" t="s">
        <v>2143</v>
      </c>
      <c r="B92" s="105" t="s">
        <v>624</v>
      </c>
      <c r="C92" s="106" t="s">
        <v>619</v>
      </c>
      <c r="D92" s="106" t="s">
        <v>2415</v>
      </c>
      <c r="E92" s="71" t="s">
        <v>620</v>
      </c>
      <c r="F92" s="71" t="s">
        <v>78</v>
      </c>
      <c r="G92" s="109" t="s">
        <v>180</v>
      </c>
      <c r="H92" s="110">
        <v>0</v>
      </c>
      <c r="I92" s="112">
        <v>0</v>
      </c>
      <c r="J92" s="112">
        <v>121</v>
      </c>
      <c r="K92" s="113">
        <f t="shared" si="12"/>
        <v>121</v>
      </c>
      <c r="L92" s="110">
        <v>482.58300000000003</v>
      </c>
      <c r="M92" s="111">
        <v>22.943000000000001</v>
      </c>
      <c r="N92" s="115">
        <v>0</v>
      </c>
      <c r="O92" s="111">
        <v>176</v>
      </c>
      <c r="P92" s="142">
        <v>5.0099999999999999E-2</v>
      </c>
      <c r="Q92" s="111">
        <v>8428</v>
      </c>
      <c r="R92" s="112"/>
      <c r="S92" s="112"/>
      <c r="T92" s="111">
        <f t="shared" si="13"/>
        <v>422</v>
      </c>
      <c r="U92" s="115">
        <v>0</v>
      </c>
      <c r="V92" s="144">
        <v>23.988</v>
      </c>
      <c r="W92" s="111">
        <v>100</v>
      </c>
      <c r="X92" s="113">
        <f t="shared" si="17"/>
        <v>1227.5140000000001</v>
      </c>
      <c r="Y92" s="110">
        <v>0</v>
      </c>
      <c r="Z92" s="111">
        <v>0</v>
      </c>
      <c r="AA92" s="116">
        <v>397.06599999999997</v>
      </c>
      <c r="AB92" s="111">
        <v>100.22199999999999</v>
      </c>
      <c r="AC92" s="113">
        <f t="shared" si="18"/>
        <v>497.28799999999995</v>
      </c>
      <c r="AD92" s="110">
        <v>0</v>
      </c>
      <c r="AE92" s="111">
        <v>118.246</v>
      </c>
      <c r="AF92" s="112">
        <v>0</v>
      </c>
      <c r="AG92" s="117">
        <v>0</v>
      </c>
      <c r="AH92" s="111">
        <v>180</v>
      </c>
      <c r="AI92" s="112">
        <v>0</v>
      </c>
      <c r="AJ92" s="112">
        <v>146.203</v>
      </c>
      <c r="AK92" s="113">
        <f t="shared" si="19"/>
        <v>444.44899999999996</v>
      </c>
      <c r="AL92" s="143">
        <f t="shared" si="20"/>
        <v>95520.823999999993</v>
      </c>
      <c r="AM92" s="112">
        <f t="shared" si="20"/>
        <v>84247.179000000004</v>
      </c>
      <c r="AN92" s="112">
        <f t="shared" si="20"/>
        <v>11273.645</v>
      </c>
      <c r="AO92" s="112">
        <f t="shared" si="20"/>
        <v>397.22800000000001</v>
      </c>
      <c r="AP92" s="192">
        <f t="shared" si="14"/>
        <v>0.88197709642873268</v>
      </c>
      <c r="AQ92" s="193">
        <f t="shared" si="15"/>
        <v>1624.7420000000002</v>
      </c>
      <c r="AR92" s="194">
        <f t="shared" si="16"/>
        <v>-1503.7420000000002</v>
      </c>
      <c r="AS92" s="118"/>
      <c r="AT92" s="119"/>
      <c r="AU92" s="119"/>
      <c r="AV92" s="120"/>
      <c r="AW92" s="195"/>
      <c r="AX92" s="112">
        <v>95520824</v>
      </c>
      <c r="AY92" s="162">
        <v>84247179</v>
      </c>
      <c r="AZ92" s="162">
        <v>11273645</v>
      </c>
      <c r="BA92" s="162">
        <v>397228</v>
      </c>
      <c r="BB92" s="196">
        <f t="shared" si="21"/>
        <v>0.88197709642873268</v>
      </c>
    </row>
    <row r="93" spans="1:54" s="121" customFormat="1" ht="16.5" customHeight="1">
      <c r="A93" s="104" t="s">
        <v>2143</v>
      </c>
      <c r="B93" s="105" t="s">
        <v>627</v>
      </c>
      <c r="C93" s="106" t="s">
        <v>622</v>
      </c>
      <c r="D93" s="106" t="s">
        <v>2415</v>
      </c>
      <c r="E93" s="71" t="s">
        <v>623</v>
      </c>
      <c r="F93" s="71" t="s">
        <v>78</v>
      </c>
      <c r="G93" s="109" t="s">
        <v>180</v>
      </c>
      <c r="H93" s="110">
        <v>0</v>
      </c>
      <c r="I93" s="112">
        <v>0</v>
      </c>
      <c r="J93" s="112">
        <v>42</v>
      </c>
      <c r="K93" s="113">
        <f t="shared" si="12"/>
        <v>42</v>
      </c>
      <c r="L93" s="110">
        <v>168.21299999999999</v>
      </c>
      <c r="M93" s="111">
        <v>22.943000000000001</v>
      </c>
      <c r="N93" s="115">
        <v>0</v>
      </c>
      <c r="O93" s="111">
        <v>105.38</v>
      </c>
      <c r="P93" s="142">
        <v>5.0099999999999999E-2</v>
      </c>
      <c r="Q93" s="111">
        <v>8428</v>
      </c>
      <c r="R93" s="112"/>
      <c r="S93" s="112"/>
      <c r="T93" s="111">
        <f t="shared" si="13"/>
        <v>422</v>
      </c>
      <c r="U93" s="115">
        <v>0</v>
      </c>
      <c r="V93" s="144">
        <v>21.988</v>
      </c>
      <c r="W93" s="111">
        <v>100</v>
      </c>
      <c r="X93" s="113">
        <f t="shared" si="17"/>
        <v>840.52400000000011</v>
      </c>
      <c r="Y93" s="110">
        <v>0</v>
      </c>
      <c r="Z93" s="111">
        <v>0</v>
      </c>
      <c r="AA93" s="116">
        <v>72.009</v>
      </c>
      <c r="AB93" s="111">
        <v>100.22199999999999</v>
      </c>
      <c r="AC93" s="113">
        <f t="shared" si="18"/>
        <v>172.23099999999999</v>
      </c>
      <c r="AD93" s="110">
        <v>0</v>
      </c>
      <c r="AE93" s="111">
        <v>57.578000000000003</v>
      </c>
      <c r="AF93" s="112">
        <v>0</v>
      </c>
      <c r="AG93" s="117">
        <v>0</v>
      </c>
      <c r="AH93" s="111">
        <v>0</v>
      </c>
      <c r="AI93" s="112">
        <v>0</v>
      </c>
      <c r="AJ93" s="112">
        <v>240.999</v>
      </c>
      <c r="AK93" s="113">
        <f t="shared" si="19"/>
        <v>298.577</v>
      </c>
      <c r="AL93" s="143">
        <f t="shared" si="20"/>
        <v>34460</v>
      </c>
      <c r="AM93" s="112">
        <f t="shared" si="20"/>
        <v>32644.548999999999</v>
      </c>
      <c r="AN93" s="112">
        <f t="shared" si="20"/>
        <v>1815.451</v>
      </c>
      <c r="AO93" s="112">
        <f t="shared" si="20"/>
        <v>388.69900000000001</v>
      </c>
      <c r="AP93" s="192">
        <f t="shared" si="14"/>
        <v>0.94731715031921071</v>
      </c>
      <c r="AQ93" s="193">
        <f t="shared" si="15"/>
        <v>1229.2230000000002</v>
      </c>
      <c r="AR93" s="194">
        <f t="shared" si="16"/>
        <v>-1187.2230000000002</v>
      </c>
      <c r="AS93" s="118"/>
      <c r="AT93" s="119"/>
      <c r="AU93" s="119"/>
      <c r="AV93" s="120"/>
      <c r="AW93" s="195"/>
      <c r="AX93" s="112">
        <v>34460000</v>
      </c>
      <c r="AY93" s="162">
        <v>32644549</v>
      </c>
      <c r="AZ93" s="162">
        <v>1815451</v>
      </c>
      <c r="BA93" s="162">
        <v>388699</v>
      </c>
      <c r="BB93" s="196">
        <f t="shared" si="21"/>
        <v>0.94731715031921071</v>
      </c>
    </row>
    <row r="94" spans="1:54" s="121" customFormat="1" ht="16.5" customHeight="1">
      <c r="A94" s="104" t="s">
        <v>2143</v>
      </c>
      <c r="B94" s="105" t="s">
        <v>634</v>
      </c>
      <c r="C94" s="106" t="s">
        <v>625</v>
      </c>
      <c r="D94" s="106" t="s">
        <v>2415</v>
      </c>
      <c r="E94" s="71" t="s">
        <v>626</v>
      </c>
      <c r="F94" s="71" t="s">
        <v>78</v>
      </c>
      <c r="G94" s="109" t="s">
        <v>180</v>
      </c>
      <c r="H94" s="110">
        <v>0</v>
      </c>
      <c r="I94" s="112">
        <v>0</v>
      </c>
      <c r="J94" s="112">
        <v>95</v>
      </c>
      <c r="K94" s="113">
        <f t="shared" si="12"/>
        <v>95</v>
      </c>
      <c r="L94" s="110">
        <v>281.96899999999999</v>
      </c>
      <c r="M94" s="111">
        <v>22.943000000000001</v>
      </c>
      <c r="N94" s="115">
        <v>0</v>
      </c>
      <c r="O94" s="111">
        <v>0</v>
      </c>
      <c r="P94" s="142">
        <v>5.0099999999999999E-2</v>
      </c>
      <c r="Q94" s="111">
        <v>8428</v>
      </c>
      <c r="R94" s="112"/>
      <c r="S94" s="112"/>
      <c r="T94" s="111">
        <f t="shared" si="13"/>
        <v>422</v>
      </c>
      <c r="U94" s="115">
        <v>0</v>
      </c>
      <c r="V94" s="144">
        <v>21.988</v>
      </c>
      <c r="W94" s="111">
        <v>100</v>
      </c>
      <c r="X94" s="113">
        <f t="shared" si="17"/>
        <v>848.90000000000009</v>
      </c>
      <c r="Y94" s="110">
        <v>0</v>
      </c>
      <c r="Z94" s="111">
        <v>0</v>
      </c>
      <c r="AA94" s="116">
        <v>87.504000000000005</v>
      </c>
      <c r="AB94" s="111">
        <v>100.22199999999999</v>
      </c>
      <c r="AC94" s="113">
        <f t="shared" si="18"/>
        <v>187.726</v>
      </c>
      <c r="AD94" s="110">
        <v>0</v>
      </c>
      <c r="AE94" s="111">
        <v>71.667000000000002</v>
      </c>
      <c r="AF94" s="112">
        <v>0</v>
      </c>
      <c r="AG94" s="117">
        <v>0</v>
      </c>
      <c r="AH94" s="111">
        <v>55</v>
      </c>
      <c r="AI94" s="112">
        <v>0</v>
      </c>
      <c r="AJ94" s="112">
        <v>93.221999999999994</v>
      </c>
      <c r="AK94" s="113">
        <f t="shared" si="19"/>
        <v>219.88900000000001</v>
      </c>
      <c r="AL94" s="143">
        <f t="shared" si="20"/>
        <v>31621.5</v>
      </c>
      <c r="AM94" s="112">
        <f t="shared" si="20"/>
        <v>26778.444</v>
      </c>
      <c r="AN94" s="112">
        <f t="shared" si="20"/>
        <v>4843.0559999999996</v>
      </c>
      <c r="AO94" s="112">
        <f t="shared" si="20"/>
        <v>731.97299999999996</v>
      </c>
      <c r="AP94" s="192">
        <f t="shared" si="14"/>
        <v>0.84684293913950948</v>
      </c>
      <c r="AQ94" s="193">
        <f t="shared" si="15"/>
        <v>1580.873</v>
      </c>
      <c r="AR94" s="194">
        <f t="shared" si="16"/>
        <v>-1485.873</v>
      </c>
      <c r="AS94" s="118"/>
      <c r="AT94" s="119"/>
      <c r="AU94" s="119"/>
      <c r="AV94" s="120"/>
      <c r="AW94" s="195"/>
      <c r="AX94" s="112">
        <v>31621500</v>
      </c>
      <c r="AY94" s="162">
        <v>26778444</v>
      </c>
      <c r="AZ94" s="162">
        <v>4843056</v>
      </c>
      <c r="BA94" s="162">
        <v>731973</v>
      </c>
      <c r="BB94" s="196">
        <f t="shared" si="21"/>
        <v>0.84684293913950948</v>
      </c>
    </row>
    <row r="95" spans="1:54" s="121" customFormat="1" ht="16.5" customHeight="1">
      <c r="A95" s="104" t="s">
        <v>2143</v>
      </c>
      <c r="B95" s="105" t="s">
        <v>639</v>
      </c>
      <c r="C95" s="106" t="s">
        <v>628</v>
      </c>
      <c r="D95" s="106" t="s">
        <v>2415</v>
      </c>
      <c r="E95" s="71" t="s">
        <v>629</v>
      </c>
      <c r="F95" s="71" t="s">
        <v>78</v>
      </c>
      <c r="G95" s="109" t="s">
        <v>180</v>
      </c>
      <c r="H95" s="110">
        <v>0</v>
      </c>
      <c r="I95" s="112">
        <v>0</v>
      </c>
      <c r="J95" s="112">
        <v>0</v>
      </c>
      <c r="K95" s="113">
        <f t="shared" si="12"/>
        <v>0</v>
      </c>
      <c r="L95" s="110">
        <v>237.46799999999999</v>
      </c>
      <c r="M95" s="111">
        <v>22.943000000000001</v>
      </c>
      <c r="N95" s="115">
        <v>0</v>
      </c>
      <c r="O95" s="111">
        <v>95.7</v>
      </c>
      <c r="P95" s="142">
        <v>5.0099999999999999E-2</v>
      </c>
      <c r="Q95" s="111">
        <v>8428</v>
      </c>
      <c r="R95" s="112"/>
      <c r="S95" s="112"/>
      <c r="T95" s="111">
        <f t="shared" si="13"/>
        <v>422</v>
      </c>
      <c r="U95" s="115">
        <v>0</v>
      </c>
      <c r="V95" s="144">
        <v>21.988</v>
      </c>
      <c r="W95" s="111">
        <v>100</v>
      </c>
      <c r="X95" s="113">
        <f t="shared" si="17"/>
        <v>900.09899999999993</v>
      </c>
      <c r="Y95" s="110">
        <v>0</v>
      </c>
      <c r="Z95" s="111">
        <v>0</v>
      </c>
      <c r="AA95" s="116">
        <v>0</v>
      </c>
      <c r="AB95" s="111">
        <v>100.22199999999999</v>
      </c>
      <c r="AC95" s="113">
        <f t="shared" si="18"/>
        <v>100.22199999999999</v>
      </c>
      <c r="AD95" s="110">
        <v>0</v>
      </c>
      <c r="AE95" s="111">
        <v>67.2</v>
      </c>
      <c r="AF95" s="112">
        <v>0</v>
      </c>
      <c r="AG95" s="117">
        <v>0</v>
      </c>
      <c r="AH95" s="111">
        <v>30</v>
      </c>
      <c r="AI95" s="112">
        <v>0</v>
      </c>
      <c r="AJ95" s="112">
        <v>3.0219999999999998</v>
      </c>
      <c r="AK95" s="113">
        <f t="shared" si="19"/>
        <v>100.22200000000001</v>
      </c>
      <c r="AL95" s="143">
        <f t="shared" si="20"/>
        <v>35807</v>
      </c>
      <c r="AM95" s="112">
        <f t="shared" si="20"/>
        <v>32617.407999999999</v>
      </c>
      <c r="AN95" s="112">
        <f t="shared" si="20"/>
        <v>3189.5920000000001</v>
      </c>
      <c r="AO95" s="112">
        <f t="shared" si="20"/>
        <v>164.24100000000001</v>
      </c>
      <c r="AP95" s="192">
        <f t="shared" si="14"/>
        <v>0.91092266875191996</v>
      </c>
      <c r="AQ95" s="193">
        <f t="shared" si="15"/>
        <v>1064.3399999999999</v>
      </c>
      <c r="AR95" s="194">
        <f t="shared" si="16"/>
        <v>-1064.3399999999999</v>
      </c>
      <c r="AS95" s="118"/>
      <c r="AT95" s="119"/>
      <c r="AU95" s="119"/>
      <c r="AV95" s="120"/>
      <c r="AW95" s="195"/>
      <c r="AX95" s="112">
        <v>35807000</v>
      </c>
      <c r="AY95" s="162">
        <v>32617408</v>
      </c>
      <c r="AZ95" s="162">
        <v>3189592</v>
      </c>
      <c r="BA95" s="162">
        <v>164241</v>
      </c>
      <c r="BB95" s="196">
        <f t="shared" si="21"/>
        <v>0.91092266875191996</v>
      </c>
    </row>
    <row r="96" spans="1:54" s="121" customFormat="1" ht="16.5" customHeight="1">
      <c r="A96" s="104" t="s">
        <v>2143</v>
      </c>
      <c r="B96" s="105" t="s">
        <v>645</v>
      </c>
      <c r="C96" s="106" t="s">
        <v>635</v>
      </c>
      <c r="D96" s="106" t="s">
        <v>2415</v>
      </c>
      <c r="E96" s="71" t="s">
        <v>636</v>
      </c>
      <c r="F96" s="71" t="s">
        <v>78</v>
      </c>
      <c r="G96" s="109" t="s">
        <v>180</v>
      </c>
      <c r="H96" s="110">
        <v>0</v>
      </c>
      <c r="I96" s="112">
        <v>0</v>
      </c>
      <c r="J96" s="112">
        <v>0</v>
      </c>
      <c r="K96" s="113">
        <f t="shared" si="12"/>
        <v>0</v>
      </c>
      <c r="L96" s="110">
        <v>672.8</v>
      </c>
      <c r="M96" s="111">
        <v>22.943000000000001</v>
      </c>
      <c r="N96" s="115">
        <v>0</v>
      </c>
      <c r="O96" s="111">
        <v>71.5</v>
      </c>
      <c r="P96" s="142">
        <v>5.0099999999999999E-2</v>
      </c>
      <c r="Q96" s="111">
        <v>8428</v>
      </c>
      <c r="R96" s="112"/>
      <c r="S96" s="112"/>
      <c r="T96" s="111">
        <f t="shared" si="13"/>
        <v>422</v>
      </c>
      <c r="U96" s="115">
        <v>0</v>
      </c>
      <c r="V96" s="144">
        <v>21.988</v>
      </c>
      <c r="W96" s="111">
        <v>100</v>
      </c>
      <c r="X96" s="113">
        <f t="shared" si="17"/>
        <v>1311.231</v>
      </c>
      <c r="Y96" s="110">
        <v>0</v>
      </c>
      <c r="Z96" s="111">
        <v>0</v>
      </c>
      <c r="AA96" s="116">
        <v>375</v>
      </c>
      <c r="AB96" s="111">
        <v>100.22199999999999</v>
      </c>
      <c r="AC96" s="113">
        <f t="shared" si="18"/>
        <v>475.22199999999998</v>
      </c>
      <c r="AD96" s="110">
        <v>0</v>
      </c>
      <c r="AE96" s="111">
        <v>0</v>
      </c>
      <c r="AF96" s="112">
        <v>0</v>
      </c>
      <c r="AG96" s="117">
        <v>0</v>
      </c>
      <c r="AH96" s="111">
        <v>380</v>
      </c>
      <c r="AI96" s="112">
        <v>0</v>
      </c>
      <c r="AJ96" s="112">
        <v>98.745999999999995</v>
      </c>
      <c r="AK96" s="113">
        <f t="shared" si="19"/>
        <v>478.74599999999998</v>
      </c>
      <c r="AL96" s="143">
        <f t="shared" si="20"/>
        <v>118378.95</v>
      </c>
      <c r="AM96" s="112">
        <f t="shared" si="20"/>
        <v>96200.854000000007</v>
      </c>
      <c r="AN96" s="112">
        <f t="shared" si="20"/>
        <v>22178.096000000001</v>
      </c>
      <c r="AO96" s="112">
        <f t="shared" si="20"/>
        <v>1546.8340000000001</v>
      </c>
      <c r="AP96" s="192">
        <f t="shared" si="14"/>
        <v>0.81265169187596276</v>
      </c>
      <c r="AQ96" s="193">
        <f t="shared" si="15"/>
        <v>2858.0650000000001</v>
      </c>
      <c r="AR96" s="194">
        <f t="shared" si="16"/>
        <v>-2858.0650000000001</v>
      </c>
      <c r="AS96" s="118"/>
      <c r="AT96" s="119"/>
      <c r="AU96" s="119"/>
      <c r="AV96" s="120"/>
      <c r="AW96" s="195"/>
      <c r="AX96" s="112">
        <v>118378950</v>
      </c>
      <c r="AY96" s="162">
        <v>96200854</v>
      </c>
      <c r="AZ96" s="162">
        <v>22178096</v>
      </c>
      <c r="BA96" s="162">
        <v>1546834</v>
      </c>
      <c r="BB96" s="196">
        <f t="shared" si="21"/>
        <v>0.81265169187596276</v>
      </c>
    </row>
    <row r="97" spans="1:54" s="121" customFormat="1" ht="16.5" customHeight="1">
      <c r="A97" s="104" t="s">
        <v>2143</v>
      </c>
      <c r="B97" s="105" t="s">
        <v>652</v>
      </c>
      <c r="C97" s="106" t="s">
        <v>640</v>
      </c>
      <c r="D97" s="106" t="s">
        <v>2415</v>
      </c>
      <c r="E97" s="71" t="s">
        <v>641</v>
      </c>
      <c r="F97" s="71" t="s">
        <v>78</v>
      </c>
      <c r="G97" s="109" t="s">
        <v>180</v>
      </c>
      <c r="H97" s="110">
        <v>0</v>
      </c>
      <c r="I97" s="112">
        <v>0</v>
      </c>
      <c r="J97" s="112">
        <v>0</v>
      </c>
      <c r="K97" s="113">
        <f t="shared" si="12"/>
        <v>0</v>
      </c>
      <c r="L97" s="110">
        <v>239.797</v>
      </c>
      <c r="M97" s="111">
        <v>22.943000000000001</v>
      </c>
      <c r="N97" s="115">
        <v>0</v>
      </c>
      <c r="O97" s="111">
        <v>0</v>
      </c>
      <c r="P97" s="142">
        <v>5.0099999999999999E-2</v>
      </c>
      <c r="Q97" s="111">
        <v>8428</v>
      </c>
      <c r="R97" s="112"/>
      <c r="S97" s="112"/>
      <c r="T97" s="111">
        <f t="shared" si="13"/>
        <v>422</v>
      </c>
      <c r="U97" s="115">
        <v>0</v>
      </c>
      <c r="V97" s="144">
        <v>21.988</v>
      </c>
      <c r="W97" s="111">
        <v>100</v>
      </c>
      <c r="X97" s="113">
        <f t="shared" si="17"/>
        <v>806.72800000000007</v>
      </c>
      <c r="Y97" s="110">
        <v>0</v>
      </c>
      <c r="Z97" s="111">
        <v>0</v>
      </c>
      <c r="AA97" s="116">
        <v>23.507999999999999</v>
      </c>
      <c r="AB97" s="111">
        <v>100.22199999999999</v>
      </c>
      <c r="AC97" s="113">
        <f t="shared" si="18"/>
        <v>123.72999999999999</v>
      </c>
      <c r="AD97" s="110">
        <v>0</v>
      </c>
      <c r="AE97" s="111">
        <v>84.581999999999994</v>
      </c>
      <c r="AF97" s="112">
        <v>0</v>
      </c>
      <c r="AG97" s="117">
        <v>0</v>
      </c>
      <c r="AH97" s="111">
        <v>30</v>
      </c>
      <c r="AI97" s="112">
        <v>0</v>
      </c>
      <c r="AJ97" s="112">
        <v>18.187999999999999</v>
      </c>
      <c r="AK97" s="113">
        <f t="shared" si="19"/>
        <v>132.76999999999998</v>
      </c>
      <c r="AL97" s="143">
        <f t="shared" si="20"/>
        <v>35518</v>
      </c>
      <c r="AM97" s="112">
        <f t="shared" si="20"/>
        <v>27537.664000000001</v>
      </c>
      <c r="AN97" s="112">
        <f t="shared" si="20"/>
        <v>7980.3360000000002</v>
      </c>
      <c r="AO97" s="112">
        <f t="shared" si="20"/>
        <v>825.56100000000004</v>
      </c>
      <c r="AP97" s="192">
        <f t="shared" si="14"/>
        <v>0.77531572723689401</v>
      </c>
      <c r="AQ97" s="193">
        <f t="shared" si="15"/>
        <v>1632.2890000000002</v>
      </c>
      <c r="AR97" s="194">
        <f t="shared" si="16"/>
        <v>-1632.2890000000002</v>
      </c>
      <c r="AS97" s="118"/>
      <c r="AT97" s="119"/>
      <c r="AU97" s="119"/>
      <c r="AV97" s="120"/>
      <c r="AW97" s="195"/>
      <c r="AX97" s="112">
        <v>35518000</v>
      </c>
      <c r="AY97" s="162">
        <v>27537664</v>
      </c>
      <c r="AZ97" s="162">
        <v>7980336</v>
      </c>
      <c r="BA97" s="162">
        <v>825561</v>
      </c>
      <c r="BB97" s="196">
        <f t="shared" si="21"/>
        <v>0.77531572723689401</v>
      </c>
    </row>
    <row r="98" spans="1:54" s="121" customFormat="1" ht="16.5" customHeight="1">
      <c r="A98" s="104" t="s">
        <v>2143</v>
      </c>
      <c r="B98" s="105" t="s">
        <v>658</v>
      </c>
      <c r="C98" s="106" t="s">
        <v>646</v>
      </c>
      <c r="D98" s="106" t="s">
        <v>2415</v>
      </c>
      <c r="E98" s="71" t="s">
        <v>647</v>
      </c>
      <c r="F98" s="71" t="s">
        <v>78</v>
      </c>
      <c r="G98" s="109" t="s">
        <v>180</v>
      </c>
      <c r="H98" s="110">
        <v>0</v>
      </c>
      <c r="I98" s="112">
        <v>0</v>
      </c>
      <c r="J98" s="112">
        <v>7</v>
      </c>
      <c r="K98" s="113">
        <f t="shared" si="12"/>
        <v>7</v>
      </c>
      <c r="L98" s="110">
        <v>483.94</v>
      </c>
      <c r="M98" s="111">
        <v>22.943000000000001</v>
      </c>
      <c r="N98" s="115">
        <v>0</v>
      </c>
      <c r="O98" s="111">
        <v>83.6</v>
      </c>
      <c r="P98" s="142">
        <v>5.0099999999999999E-2</v>
      </c>
      <c r="Q98" s="111">
        <v>8428</v>
      </c>
      <c r="R98" s="112"/>
      <c r="S98" s="112"/>
      <c r="T98" s="111">
        <f t="shared" si="13"/>
        <v>422</v>
      </c>
      <c r="U98" s="115">
        <v>0</v>
      </c>
      <c r="V98" s="144">
        <v>21.988</v>
      </c>
      <c r="W98" s="111">
        <v>100</v>
      </c>
      <c r="X98" s="113">
        <f t="shared" si="17"/>
        <v>1134.471</v>
      </c>
      <c r="Y98" s="110">
        <v>0</v>
      </c>
      <c r="Z98" s="111">
        <v>0</v>
      </c>
      <c r="AA98" s="116">
        <v>18.850000000000001</v>
      </c>
      <c r="AB98" s="111">
        <v>100.22199999999999</v>
      </c>
      <c r="AC98" s="113">
        <f t="shared" si="18"/>
        <v>119.072</v>
      </c>
      <c r="AD98" s="110">
        <v>0</v>
      </c>
      <c r="AE98" s="111">
        <v>0</v>
      </c>
      <c r="AF98" s="112">
        <v>0</v>
      </c>
      <c r="AG98" s="117">
        <v>9.6999999999999993</v>
      </c>
      <c r="AH98" s="111">
        <v>100.22199999999999</v>
      </c>
      <c r="AI98" s="112">
        <v>0</v>
      </c>
      <c r="AJ98" s="112">
        <v>11.23</v>
      </c>
      <c r="AK98" s="113">
        <f t="shared" si="19"/>
        <v>121.152</v>
      </c>
      <c r="AL98" s="143">
        <f t="shared" si="20"/>
        <v>139330.723</v>
      </c>
      <c r="AM98" s="112">
        <f t="shared" si="20"/>
        <v>89321.274000000005</v>
      </c>
      <c r="AN98" s="112">
        <f t="shared" si="20"/>
        <v>50009.449000000001</v>
      </c>
      <c r="AO98" s="112">
        <f t="shared" si="20"/>
        <v>4333.6540000000005</v>
      </c>
      <c r="AP98" s="192">
        <f t="shared" si="14"/>
        <v>0.64107378528424053</v>
      </c>
      <c r="AQ98" s="193">
        <f t="shared" si="15"/>
        <v>5468.125</v>
      </c>
      <c r="AR98" s="194">
        <f t="shared" si="16"/>
        <v>-5461.125</v>
      </c>
      <c r="AS98" s="118"/>
      <c r="AT98" s="119"/>
      <c r="AU98" s="119"/>
      <c r="AV98" s="120"/>
      <c r="AW98" s="195"/>
      <c r="AX98" s="112">
        <v>139330723</v>
      </c>
      <c r="AY98" s="162">
        <v>89321274</v>
      </c>
      <c r="AZ98" s="162">
        <v>50009449</v>
      </c>
      <c r="BA98" s="162">
        <v>4333654</v>
      </c>
      <c r="BB98" s="196">
        <f t="shared" si="21"/>
        <v>0.64107378528424053</v>
      </c>
    </row>
    <row r="99" spans="1:54" s="121" customFormat="1" ht="16.5" customHeight="1">
      <c r="A99" s="104" t="s">
        <v>2143</v>
      </c>
      <c r="B99" s="105" t="s">
        <v>666</v>
      </c>
      <c r="C99" s="106" t="s">
        <v>653</v>
      </c>
      <c r="D99" s="106" t="s">
        <v>2415</v>
      </c>
      <c r="E99" s="71" t="s">
        <v>654</v>
      </c>
      <c r="F99" s="71" t="s">
        <v>78</v>
      </c>
      <c r="G99" s="109" t="s">
        <v>180</v>
      </c>
      <c r="H99" s="110">
        <v>0</v>
      </c>
      <c r="I99" s="112">
        <v>0</v>
      </c>
      <c r="J99" s="112">
        <v>2</v>
      </c>
      <c r="K99" s="113">
        <f t="shared" si="12"/>
        <v>2</v>
      </c>
      <c r="L99" s="110">
        <v>229.589</v>
      </c>
      <c r="M99" s="111">
        <v>22.943000000000001</v>
      </c>
      <c r="N99" s="115">
        <v>0</v>
      </c>
      <c r="O99" s="111">
        <v>697.95</v>
      </c>
      <c r="P99" s="142">
        <v>5.0099999999999999E-2</v>
      </c>
      <c r="Q99" s="111">
        <v>8428</v>
      </c>
      <c r="R99" s="112"/>
      <c r="S99" s="112"/>
      <c r="T99" s="111">
        <f t="shared" si="13"/>
        <v>422</v>
      </c>
      <c r="U99" s="115">
        <v>0</v>
      </c>
      <c r="V99" s="144">
        <v>21.988</v>
      </c>
      <c r="W99" s="111">
        <v>100</v>
      </c>
      <c r="X99" s="113">
        <f t="shared" si="17"/>
        <v>1494.47</v>
      </c>
      <c r="Y99" s="110">
        <v>0</v>
      </c>
      <c r="Z99" s="111">
        <v>0</v>
      </c>
      <c r="AA99" s="116">
        <v>3.5019999999999998</v>
      </c>
      <c r="AB99" s="111">
        <v>100.22199999999999</v>
      </c>
      <c r="AC99" s="113">
        <f t="shared" si="18"/>
        <v>103.72399999999999</v>
      </c>
      <c r="AD99" s="110">
        <v>0</v>
      </c>
      <c r="AE99" s="111">
        <v>0</v>
      </c>
      <c r="AF99" s="112">
        <v>0</v>
      </c>
      <c r="AG99" s="117">
        <v>0</v>
      </c>
      <c r="AH99" s="111">
        <v>76</v>
      </c>
      <c r="AI99" s="112">
        <v>0</v>
      </c>
      <c r="AJ99" s="112">
        <v>16.315000000000001</v>
      </c>
      <c r="AK99" s="113">
        <f t="shared" si="19"/>
        <v>92.314999999999998</v>
      </c>
      <c r="AL99" s="143">
        <f t="shared" si="20"/>
        <v>74721.2</v>
      </c>
      <c r="AM99" s="112">
        <f t="shared" si="20"/>
        <v>42286.902000000002</v>
      </c>
      <c r="AN99" s="112">
        <f t="shared" si="20"/>
        <v>32434.297999999999</v>
      </c>
      <c r="AO99" s="112">
        <f t="shared" si="20"/>
        <v>1844.6780000000001</v>
      </c>
      <c r="AP99" s="192">
        <f t="shared" si="14"/>
        <v>0.56592910713425371</v>
      </c>
      <c r="AQ99" s="193">
        <f t="shared" si="15"/>
        <v>3339.1480000000001</v>
      </c>
      <c r="AR99" s="194">
        <f t="shared" si="16"/>
        <v>-3337.1480000000001</v>
      </c>
      <c r="AS99" s="118"/>
      <c r="AT99" s="119"/>
      <c r="AU99" s="119"/>
      <c r="AV99" s="120"/>
      <c r="AW99" s="195"/>
      <c r="AX99" s="112">
        <v>74721200</v>
      </c>
      <c r="AY99" s="162">
        <v>42286902</v>
      </c>
      <c r="AZ99" s="162">
        <v>32434298</v>
      </c>
      <c r="BA99" s="162">
        <v>1844678</v>
      </c>
      <c r="BB99" s="196">
        <f t="shared" si="21"/>
        <v>0.56592910713425371</v>
      </c>
    </row>
    <row r="100" spans="1:54" s="121" customFormat="1" ht="16.5" customHeight="1">
      <c r="A100" s="104" t="s">
        <v>2143</v>
      </c>
      <c r="B100" s="105" t="s">
        <v>667</v>
      </c>
      <c r="C100" s="106" t="s">
        <v>659</v>
      </c>
      <c r="D100" s="106" t="s">
        <v>2415</v>
      </c>
      <c r="E100" s="71" t="s">
        <v>660</v>
      </c>
      <c r="F100" s="71" t="s">
        <v>78</v>
      </c>
      <c r="G100" s="109" t="s">
        <v>180</v>
      </c>
      <c r="H100" s="110">
        <v>0</v>
      </c>
      <c r="I100" s="112">
        <v>0</v>
      </c>
      <c r="J100" s="112">
        <v>0</v>
      </c>
      <c r="K100" s="113">
        <f t="shared" si="12"/>
        <v>0</v>
      </c>
      <c r="L100" s="110">
        <v>589.46</v>
      </c>
      <c r="M100" s="111">
        <v>22.943000000000001</v>
      </c>
      <c r="N100" s="115">
        <v>0</v>
      </c>
      <c r="O100" s="111">
        <v>132</v>
      </c>
      <c r="P100" s="142">
        <v>5.0099999999999999E-2</v>
      </c>
      <c r="Q100" s="111">
        <v>8428</v>
      </c>
      <c r="R100" s="112"/>
      <c r="S100" s="112"/>
      <c r="T100" s="111">
        <f t="shared" si="13"/>
        <v>422</v>
      </c>
      <c r="U100" s="115">
        <v>0</v>
      </c>
      <c r="V100" s="144">
        <v>21.988</v>
      </c>
      <c r="W100" s="111">
        <v>100</v>
      </c>
      <c r="X100" s="113">
        <f t="shared" si="17"/>
        <v>1288.3910000000001</v>
      </c>
      <c r="Y100" s="110">
        <v>0</v>
      </c>
      <c r="Z100" s="111">
        <v>0</v>
      </c>
      <c r="AA100" s="116">
        <v>0</v>
      </c>
      <c r="AB100" s="111">
        <v>100.22199999999999</v>
      </c>
      <c r="AC100" s="113">
        <f t="shared" si="18"/>
        <v>100.22199999999999</v>
      </c>
      <c r="AD100" s="110">
        <v>0</v>
      </c>
      <c r="AE100" s="111">
        <v>0</v>
      </c>
      <c r="AF100" s="112">
        <v>0</v>
      </c>
      <c r="AG100" s="117">
        <v>0</v>
      </c>
      <c r="AH100" s="111">
        <v>90</v>
      </c>
      <c r="AI100" s="112">
        <v>0</v>
      </c>
      <c r="AJ100" s="112">
        <v>1.244</v>
      </c>
      <c r="AK100" s="113">
        <f t="shared" si="19"/>
        <v>91.244</v>
      </c>
      <c r="AL100" s="143">
        <f t="shared" si="20"/>
        <v>104049.75</v>
      </c>
      <c r="AM100" s="112">
        <f t="shared" si="20"/>
        <v>100839.268</v>
      </c>
      <c r="AN100" s="112">
        <f t="shared" si="20"/>
        <v>3210.482</v>
      </c>
      <c r="AO100" s="112">
        <f t="shared" si="20"/>
        <v>1089.9100000000001</v>
      </c>
      <c r="AP100" s="192">
        <f t="shared" si="14"/>
        <v>0.96914474085713809</v>
      </c>
      <c r="AQ100" s="193">
        <f t="shared" si="15"/>
        <v>2378.3010000000004</v>
      </c>
      <c r="AR100" s="194">
        <f t="shared" si="16"/>
        <v>-2378.3010000000004</v>
      </c>
      <c r="AS100" s="118"/>
      <c r="AT100" s="119"/>
      <c r="AU100" s="119"/>
      <c r="AV100" s="120"/>
      <c r="AW100" s="195"/>
      <c r="AX100" s="112">
        <v>104049750</v>
      </c>
      <c r="AY100" s="162">
        <v>100839268</v>
      </c>
      <c r="AZ100" s="162">
        <v>3210482</v>
      </c>
      <c r="BA100" s="162">
        <v>1089910</v>
      </c>
      <c r="BB100" s="196">
        <f t="shared" si="21"/>
        <v>0.96914474085713809</v>
      </c>
    </row>
    <row r="101" spans="1:54" s="121" customFormat="1" ht="16.5" customHeight="1">
      <c r="A101" s="104" t="s">
        <v>2143</v>
      </c>
      <c r="B101" s="105" t="s">
        <v>672</v>
      </c>
      <c r="C101" s="106" t="s">
        <v>668</v>
      </c>
      <c r="D101" s="106" t="s">
        <v>2415</v>
      </c>
      <c r="E101" s="71" t="s">
        <v>669</v>
      </c>
      <c r="F101" s="71" t="s">
        <v>78</v>
      </c>
      <c r="G101" s="109" t="s">
        <v>180</v>
      </c>
      <c r="H101" s="110">
        <v>0</v>
      </c>
      <c r="I101" s="112">
        <v>0</v>
      </c>
      <c r="J101" s="112">
        <v>1</v>
      </c>
      <c r="K101" s="113">
        <f t="shared" si="12"/>
        <v>1</v>
      </c>
      <c r="L101" s="110">
        <v>139.49199999999999</v>
      </c>
      <c r="M101" s="111">
        <v>22.942</v>
      </c>
      <c r="N101" s="115">
        <v>0</v>
      </c>
      <c r="O101" s="111">
        <v>26.95</v>
      </c>
      <c r="P101" s="142">
        <v>5.0099999999999999E-2</v>
      </c>
      <c r="Q101" s="111">
        <v>8428</v>
      </c>
      <c r="R101" s="112"/>
      <c r="S101" s="112"/>
      <c r="T101" s="111">
        <f t="shared" si="13"/>
        <v>422</v>
      </c>
      <c r="U101" s="115">
        <v>2732.6610000000001</v>
      </c>
      <c r="V101" s="144">
        <v>21.986999999999998</v>
      </c>
      <c r="W101" s="111">
        <v>100</v>
      </c>
      <c r="X101" s="113">
        <f t="shared" si="17"/>
        <v>3466.0320000000002</v>
      </c>
      <c r="Y101" s="110">
        <v>0</v>
      </c>
      <c r="Z101" s="111">
        <v>0</v>
      </c>
      <c r="AA101" s="116">
        <v>50.110999999999997</v>
      </c>
      <c r="AB101" s="111">
        <v>100.22199999999999</v>
      </c>
      <c r="AC101" s="113">
        <f t="shared" si="18"/>
        <v>150.333</v>
      </c>
      <c r="AD101" s="110">
        <v>0</v>
      </c>
      <c r="AE101" s="111">
        <v>0</v>
      </c>
      <c r="AF101" s="112">
        <v>0</v>
      </c>
      <c r="AG101" s="117">
        <v>0</v>
      </c>
      <c r="AH101" s="111">
        <v>72</v>
      </c>
      <c r="AI101" s="112">
        <v>0</v>
      </c>
      <c r="AJ101" s="112">
        <v>3.2949999999999999</v>
      </c>
      <c r="AK101" s="113">
        <f t="shared" si="19"/>
        <v>75.295000000000002</v>
      </c>
      <c r="AL101" s="143">
        <f t="shared" si="20"/>
        <v>34737.129999999997</v>
      </c>
      <c r="AM101" s="112">
        <f t="shared" si="20"/>
        <v>20880.018</v>
      </c>
      <c r="AN101" s="112">
        <f t="shared" si="20"/>
        <v>13857.111999999999</v>
      </c>
      <c r="AO101" s="112">
        <f t="shared" si="20"/>
        <v>704.09699999999998</v>
      </c>
      <c r="AP101" s="192">
        <f t="shared" si="14"/>
        <v>0.60108644554112556</v>
      </c>
      <c r="AQ101" s="193">
        <f t="shared" si="15"/>
        <v>4170.1289999999999</v>
      </c>
      <c r="AR101" s="194">
        <f t="shared" si="16"/>
        <v>-4169.1289999999999</v>
      </c>
      <c r="AS101" s="118"/>
      <c r="AT101" s="119"/>
      <c r="AU101" s="119"/>
      <c r="AV101" s="120"/>
      <c r="AW101" s="195"/>
      <c r="AX101" s="112">
        <v>34737130</v>
      </c>
      <c r="AY101" s="162">
        <v>20880018</v>
      </c>
      <c r="AZ101" s="162">
        <v>13857112</v>
      </c>
      <c r="BA101" s="162">
        <v>704097</v>
      </c>
      <c r="BB101" s="196">
        <f t="shared" si="21"/>
        <v>0.60108644554112556</v>
      </c>
    </row>
    <row r="102" spans="1:54" s="121" customFormat="1" ht="16.5" customHeight="1">
      <c r="A102" s="104" t="s">
        <v>2143</v>
      </c>
      <c r="B102" s="105" t="s">
        <v>676</v>
      </c>
      <c r="C102" s="106" t="s">
        <v>673</v>
      </c>
      <c r="D102" s="106" t="s">
        <v>2415</v>
      </c>
      <c r="E102" s="71" t="s">
        <v>674</v>
      </c>
      <c r="F102" s="71" t="s">
        <v>78</v>
      </c>
      <c r="G102" s="109" t="s">
        <v>180</v>
      </c>
      <c r="H102" s="110">
        <v>0</v>
      </c>
      <c r="I102" s="112">
        <v>0</v>
      </c>
      <c r="J102" s="112">
        <v>5</v>
      </c>
      <c r="K102" s="113">
        <f t="shared" si="12"/>
        <v>5</v>
      </c>
      <c r="L102" s="110">
        <v>156.27799999999999</v>
      </c>
      <c r="M102" s="111">
        <v>85.311999999999998</v>
      </c>
      <c r="N102" s="115">
        <v>0</v>
      </c>
      <c r="O102" s="111">
        <v>36.299999999999997</v>
      </c>
      <c r="P102" s="142">
        <v>5.0099999999999999E-2</v>
      </c>
      <c r="Q102" s="111">
        <v>8428</v>
      </c>
      <c r="R102" s="112"/>
      <c r="S102" s="112"/>
      <c r="T102" s="111">
        <f t="shared" si="13"/>
        <v>422</v>
      </c>
      <c r="U102" s="115">
        <v>0</v>
      </c>
      <c r="V102" s="144">
        <v>21.986999999999998</v>
      </c>
      <c r="W102" s="111">
        <v>100</v>
      </c>
      <c r="X102" s="113">
        <f t="shared" si="17"/>
        <v>821.87699999999995</v>
      </c>
      <c r="Y102" s="110">
        <v>0</v>
      </c>
      <c r="Z102" s="111">
        <v>0</v>
      </c>
      <c r="AA102" s="116">
        <v>5.5</v>
      </c>
      <c r="AB102" s="111">
        <v>100.22199999999999</v>
      </c>
      <c r="AC102" s="113">
        <f t="shared" si="18"/>
        <v>105.72199999999999</v>
      </c>
      <c r="AD102" s="110">
        <v>0</v>
      </c>
      <c r="AE102" s="111">
        <v>36</v>
      </c>
      <c r="AF102" s="112">
        <v>0</v>
      </c>
      <c r="AG102" s="117">
        <v>0</v>
      </c>
      <c r="AH102" s="111">
        <v>65</v>
      </c>
      <c r="AI102" s="112">
        <v>0</v>
      </c>
      <c r="AJ102" s="112">
        <v>5.8369999999999997</v>
      </c>
      <c r="AK102" s="113">
        <f t="shared" si="19"/>
        <v>106.837</v>
      </c>
      <c r="AL102" s="143">
        <f t="shared" si="20"/>
        <v>42077.5</v>
      </c>
      <c r="AM102" s="112">
        <f t="shared" si="20"/>
        <v>33225.029000000002</v>
      </c>
      <c r="AN102" s="112">
        <f t="shared" si="20"/>
        <v>8852.4709999999995</v>
      </c>
      <c r="AO102" s="112">
        <f t="shared" si="20"/>
        <v>756.61300000000006</v>
      </c>
      <c r="AP102" s="192">
        <f t="shared" si="14"/>
        <v>0.78961509120076045</v>
      </c>
      <c r="AQ102" s="193">
        <f t="shared" si="15"/>
        <v>1578.49</v>
      </c>
      <c r="AR102" s="194">
        <f t="shared" si="16"/>
        <v>-1573.49</v>
      </c>
      <c r="AS102" s="118"/>
      <c r="AT102" s="119"/>
      <c r="AU102" s="119"/>
      <c r="AV102" s="120"/>
      <c r="AW102" s="195"/>
      <c r="AX102" s="112">
        <v>42077500</v>
      </c>
      <c r="AY102" s="162">
        <v>33225029</v>
      </c>
      <c r="AZ102" s="162">
        <v>8852471</v>
      </c>
      <c r="BA102" s="162">
        <v>756613</v>
      </c>
      <c r="BB102" s="196">
        <f t="shared" si="21"/>
        <v>0.78961509120076045</v>
      </c>
    </row>
    <row r="103" spans="1:54" s="121" customFormat="1" ht="16.5" customHeight="1">
      <c r="A103" s="104" t="s">
        <v>2143</v>
      </c>
      <c r="B103" s="105" t="s">
        <v>111</v>
      </c>
      <c r="C103" s="106" t="s">
        <v>677</v>
      </c>
      <c r="D103" s="106" t="s">
        <v>2415</v>
      </c>
      <c r="E103" s="71" t="s">
        <v>678</v>
      </c>
      <c r="F103" s="71" t="s">
        <v>78</v>
      </c>
      <c r="G103" s="109" t="s">
        <v>180</v>
      </c>
      <c r="H103" s="110">
        <v>0</v>
      </c>
      <c r="I103" s="112">
        <v>0</v>
      </c>
      <c r="J103" s="112">
        <v>0</v>
      </c>
      <c r="K103" s="113">
        <f t="shared" si="12"/>
        <v>0</v>
      </c>
      <c r="L103" s="110">
        <v>299.37528806856102</v>
      </c>
      <c r="M103" s="111">
        <v>24.067317488137398</v>
      </c>
      <c r="N103" s="115">
        <v>0</v>
      </c>
      <c r="O103" s="111">
        <v>215.43373941386901</v>
      </c>
      <c r="P103" s="142">
        <v>5.0099999999999999E-2</v>
      </c>
      <c r="Q103" s="111">
        <v>8428</v>
      </c>
      <c r="R103" s="112"/>
      <c r="S103" s="112"/>
      <c r="T103" s="111">
        <f t="shared" si="13"/>
        <v>422</v>
      </c>
      <c r="U103" s="115">
        <v>653.47317813934592</v>
      </c>
      <c r="V103" s="144">
        <v>21.725037092132503</v>
      </c>
      <c r="W103" s="111">
        <v>100</v>
      </c>
      <c r="X103" s="113">
        <f t="shared" si="17"/>
        <v>1736.0745602020456</v>
      </c>
      <c r="Y103" s="110">
        <v>0</v>
      </c>
      <c r="Z103" s="111">
        <v>0</v>
      </c>
      <c r="AA103" s="116">
        <v>102.18077077461899</v>
      </c>
      <c r="AB103" s="111">
        <v>-44.226223180739098</v>
      </c>
      <c r="AC103" s="113">
        <f t="shared" si="18"/>
        <v>57.954547593879894</v>
      </c>
      <c r="AD103" s="110">
        <v>-17.834867284928098</v>
      </c>
      <c r="AE103" s="111">
        <v>28.5035640795037</v>
      </c>
      <c r="AF103" s="112">
        <v>0</v>
      </c>
      <c r="AG103" s="117">
        <v>26.0670454095129</v>
      </c>
      <c r="AH103" s="111">
        <v>14.824340481775801</v>
      </c>
      <c r="AI103" s="112">
        <v>-3.70504365277958</v>
      </c>
      <c r="AJ103" s="112">
        <v>40.910957077314798</v>
      </c>
      <c r="AK103" s="113">
        <f t="shared" si="19"/>
        <v>88.765996110399527</v>
      </c>
      <c r="AL103" s="143">
        <f t="shared" si="20"/>
        <v>46257.5</v>
      </c>
      <c r="AM103" s="112">
        <f t="shared" si="20"/>
        <v>31089.19</v>
      </c>
      <c r="AN103" s="112">
        <f t="shared" si="20"/>
        <v>15168.31</v>
      </c>
      <c r="AO103" s="112">
        <f t="shared" si="20"/>
        <v>1017.665</v>
      </c>
      <c r="AP103" s="192">
        <f t="shared" si="14"/>
        <v>0.67208971518132199</v>
      </c>
      <c r="AQ103" s="193">
        <f t="shared" si="15"/>
        <v>2753.7395602020456</v>
      </c>
      <c r="AR103" s="194">
        <f t="shared" si="16"/>
        <v>-2753.7395602020456</v>
      </c>
      <c r="AS103" s="118"/>
      <c r="AT103" s="119"/>
      <c r="AU103" s="119"/>
      <c r="AV103" s="120"/>
      <c r="AW103" s="195"/>
      <c r="AX103" s="112">
        <v>46257500</v>
      </c>
      <c r="AY103" s="162">
        <v>31089190</v>
      </c>
      <c r="AZ103" s="162">
        <v>15168310</v>
      </c>
      <c r="BA103" s="162">
        <v>1017665</v>
      </c>
      <c r="BB103" s="196">
        <f t="shared" si="21"/>
        <v>0.67208971518132199</v>
      </c>
    </row>
    <row r="104" spans="1:54" s="121" customFormat="1" ht="16.5" customHeight="1">
      <c r="A104" s="104" t="s">
        <v>2143</v>
      </c>
      <c r="B104" s="105" t="s">
        <v>689</v>
      </c>
      <c r="C104" s="106" t="s">
        <v>2122</v>
      </c>
      <c r="D104" s="106" t="s">
        <v>2415</v>
      </c>
      <c r="E104" s="71" t="s">
        <v>2154</v>
      </c>
      <c r="F104" s="71" t="s">
        <v>170</v>
      </c>
      <c r="G104" s="109" t="s">
        <v>683</v>
      </c>
      <c r="H104" s="110">
        <v>1076</v>
      </c>
      <c r="I104" s="111">
        <v>542</v>
      </c>
      <c r="J104" s="112">
        <v>279</v>
      </c>
      <c r="K104" s="113">
        <f t="shared" si="12"/>
        <v>1897</v>
      </c>
      <c r="L104" s="110"/>
      <c r="M104" s="111"/>
      <c r="N104" s="112"/>
      <c r="O104" s="111"/>
      <c r="P104" s="114">
        <v>4</v>
      </c>
      <c r="Q104" s="111">
        <v>8428</v>
      </c>
      <c r="R104" s="115">
        <v>13387</v>
      </c>
      <c r="S104" s="115"/>
      <c r="T104" s="111">
        <f t="shared" si="13"/>
        <v>47099</v>
      </c>
      <c r="U104" s="112">
        <v>7190</v>
      </c>
      <c r="V104" s="116"/>
      <c r="W104" s="111">
        <v>26353</v>
      </c>
      <c r="X104" s="113">
        <f t="shared" si="17"/>
        <v>80642</v>
      </c>
      <c r="Y104" s="110"/>
      <c r="Z104" s="111"/>
      <c r="AA104" s="116"/>
      <c r="AB104" s="111"/>
      <c r="AC104" s="113">
        <f t="shared" si="18"/>
        <v>0</v>
      </c>
      <c r="AD104" s="110"/>
      <c r="AE104" s="111"/>
      <c r="AF104" s="112"/>
      <c r="AG104" s="117"/>
      <c r="AH104" s="111"/>
      <c r="AI104" s="112"/>
      <c r="AJ104" s="112"/>
      <c r="AK104" s="113">
        <f t="shared" si="19"/>
        <v>0</v>
      </c>
      <c r="AL104" s="143">
        <f t="shared" si="20"/>
        <v>0</v>
      </c>
      <c r="AM104" s="112">
        <f t="shared" si="20"/>
        <v>0</v>
      </c>
      <c r="AN104" s="112">
        <f t="shared" si="20"/>
        <v>0</v>
      </c>
      <c r="AO104" s="112">
        <f t="shared" si="20"/>
        <v>0</v>
      </c>
      <c r="AP104" s="192">
        <f t="shared" si="14"/>
        <v>0</v>
      </c>
      <c r="AQ104" s="193">
        <f t="shared" si="15"/>
        <v>80642</v>
      </c>
      <c r="AR104" s="194">
        <f t="shared" si="16"/>
        <v>-78745</v>
      </c>
      <c r="AS104" s="118"/>
      <c r="AT104" s="119"/>
      <c r="AU104" s="119"/>
      <c r="AV104" s="120"/>
      <c r="AW104" s="195"/>
      <c r="AX104" s="112">
        <v>0</v>
      </c>
      <c r="AY104" s="162">
        <v>0</v>
      </c>
      <c r="AZ104" s="162">
        <v>0</v>
      </c>
      <c r="BA104" s="162">
        <v>0</v>
      </c>
      <c r="BB104" s="196">
        <v>0</v>
      </c>
    </row>
    <row r="105" spans="1:54" s="121" customFormat="1" ht="16.5" customHeight="1">
      <c r="A105" s="104" t="s">
        <v>2143</v>
      </c>
      <c r="B105" s="105" t="s">
        <v>699</v>
      </c>
      <c r="C105" s="106" t="s">
        <v>690</v>
      </c>
      <c r="D105" s="106" t="s">
        <v>2415</v>
      </c>
      <c r="E105" s="71" t="s">
        <v>691</v>
      </c>
      <c r="F105" s="71" t="s">
        <v>170</v>
      </c>
      <c r="G105" s="109" t="s">
        <v>692</v>
      </c>
      <c r="H105" s="110"/>
      <c r="I105" s="112"/>
      <c r="J105" s="112">
        <v>21</v>
      </c>
      <c r="K105" s="113">
        <f t="shared" si="12"/>
        <v>21</v>
      </c>
      <c r="L105" s="210"/>
      <c r="M105" s="115"/>
      <c r="N105" s="115"/>
      <c r="O105" s="115"/>
      <c r="P105" s="122">
        <v>0.48</v>
      </c>
      <c r="Q105" s="111">
        <v>8428</v>
      </c>
      <c r="R105" s="112"/>
      <c r="S105" s="112"/>
      <c r="T105" s="111">
        <f t="shared" si="13"/>
        <v>4045</v>
      </c>
      <c r="U105" s="112">
        <v>13364</v>
      </c>
      <c r="V105" s="144"/>
      <c r="W105" s="111">
        <v>75762</v>
      </c>
      <c r="X105" s="113">
        <f t="shared" si="17"/>
        <v>93171</v>
      </c>
      <c r="Y105" s="110">
        <v>266</v>
      </c>
      <c r="Z105" s="111">
        <v>3755</v>
      </c>
      <c r="AA105" s="116">
        <v>13028</v>
      </c>
      <c r="AB105" s="111">
        <v>75762</v>
      </c>
      <c r="AC105" s="113">
        <f t="shared" si="18"/>
        <v>92811</v>
      </c>
      <c r="AD105" s="110">
        <v>5077</v>
      </c>
      <c r="AE105" s="111">
        <v>9092</v>
      </c>
      <c r="AF105" s="112"/>
      <c r="AG105" s="117">
        <v>1100</v>
      </c>
      <c r="AH105" s="111">
        <v>44387</v>
      </c>
      <c r="AI105" s="112">
        <v>26836</v>
      </c>
      <c r="AJ105" s="112">
        <v>4075</v>
      </c>
      <c r="AK105" s="113">
        <f t="shared" si="19"/>
        <v>90567</v>
      </c>
      <c r="AL105" s="143">
        <f t="shared" si="20"/>
        <v>2515941.7801053394</v>
      </c>
      <c r="AM105" s="112">
        <f t="shared" si="20"/>
        <v>1054738.6453541014</v>
      </c>
      <c r="AN105" s="112">
        <f t="shared" si="20"/>
        <v>1461203.1347512379</v>
      </c>
      <c r="AO105" s="112">
        <f t="shared" si="20"/>
        <v>38839.919413094402</v>
      </c>
      <c r="AP105" s="192">
        <f t="shared" si="14"/>
        <v>0.4192221988975996</v>
      </c>
      <c r="AQ105" s="193">
        <f t="shared" si="15"/>
        <v>132010.91941309441</v>
      </c>
      <c r="AR105" s="194">
        <f t="shared" si="16"/>
        <v>-131989.91941309441</v>
      </c>
      <c r="AS105" s="118"/>
      <c r="AT105" s="119"/>
      <c r="AU105" s="119"/>
      <c r="AV105" s="120"/>
      <c r="AW105" s="195" t="s">
        <v>1846</v>
      </c>
      <c r="AX105" s="112">
        <v>2515941780.1053395</v>
      </c>
      <c r="AY105" s="162">
        <v>1054738645.3541014</v>
      </c>
      <c r="AZ105" s="162">
        <v>1461203134.7512379</v>
      </c>
      <c r="BA105" s="162">
        <v>38839919.413094401</v>
      </c>
      <c r="BB105" s="196">
        <f t="shared" si="21"/>
        <v>0.4192221988975996</v>
      </c>
    </row>
    <row r="106" spans="1:54" s="121" customFormat="1" ht="16.5" customHeight="1">
      <c r="A106" s="104" t="s">
        <v>2143</v>
      </c>
      <c r="B106" s="105" t="s">
        <v>705</v>
      </c>
      <c r="C106" s="106" t="s">
        <v>700</v>
      </c>
      <c r="D106" s="106" t="s">
        <v>2415</v>
      </c>
      <c r="E106" s="71" t="s">
        <v>701</v>
      </c>
      <c r="F106" s="71" t="s">
        <v>170</v>
      </c>
      <c r="G106" s="109" t="s">
        <v>692</v>
      </c>
      <c r="H106" s="110">
        <v>4835</v>
      </c>
      <c r="I106" s="112"/>
      <c r="J106" s="112">
        <v>299</v>
      </c>
      <c r="K106" s="113">
        <f t="shared" si="12"/>
        <v>5134</v>
      </c>
      <c r="L106" s="210"/>
      <c r="M106" s="115"/>
      <c r="N106" s="115"/>
      <c r="O106" s="115"/>
      <c r="P106" s="122">
        <v>0.3</v>
      </c>
      <c r="Q106" s="111">
        <v>8428</v>
      </c>
      <c r="R106" s="112"/>
      <c r="S106" s="112"/>
      <c r="T106" s="111">
        <f t="shared" si="13"/>
        <v>2528</v>
      </c>
      <c r="U106" s="112">
        <v>519</v>
      </c>
      <c r="V106" s="144"/>
      <c r="W106" s="111">
        <v>65588</v>
      </c>
      <c r="X106" s="113">
        <f t="shared" si="17"/>
        <v>68635</v>
      </c>
      <c r="Y106" s="110"/>
      <c r="Z106" s="111">
        <v>5860</v>
      </c>
      <c r="AA106" s="116">
        <v>46</v>
      </c>
      <c r="AB106" s="111">
        <v>65588</v>
      </c>
      <c r="AC106" s="113">
        <f t="shared" si="18"/>
        <v>71494</v>
      </c>
      <c r="AD106" s="110">
        <v>7582</v>
      </c>
      <c r="AE106" s="111">
        <v>14245</v>
      </c>
      <c r="AF106" s="112"/>
      <c r="AG106" s="117">
        <v>2260</v>
      </c>
      <c r="AH106" s="111">
        <v>33697</v>
      </c>
      <c r="AI106" s="112">
        <v>5399</v>
      </c>
      <c r="AJ106" s="112">
        <v>5229</v>
      </c>
      <c r="AK106" s="113">
        <f t="shared" si="19"/>
        <v>68412</v>
      </c>
      <c r="AL106" s="143">
        <f t="shared" si="20"/>
        <v>1221998.336616674</v>
      </c>
      <c r="AM106" s="112">
        <f t="shared" si="20"/>
        <v>687426.45498436724</v>
      </c>
      <c r="AN106" s="112">
        <f t="shared" si="20"/>
        <v>534571.88163230661</v>
      </c>
      <c r="AO106" s="112">
        <f t="shared" si="20"/>
        <v>17688.880239412785</v>
      </c>
      <c r="AP106" s="192">
        <f t="shared" si="14"/>
        <v>0.56254287292046012</v>
      </c>
      <c r="AQ106" s="193">
        <f t="shared" si="15"/>
        <v>86323.880239412785</v>
      </c>
      <c r="AR106" s="194">
        <f t="shared" si="16"/>
        <v>-81189.880239412785</v>
      </c>
      <c r="AS106" s="118"/>
      <c r="AT106" s="119"/>
      <c r="AU106" s="119"/>
      <c r="AV106" s="120"/>
      <c r="AW106" s="195" t="s">
        <v>1846</v>
      </c>
      <c r="AX106" s="112">
        <v>1221998336.6166739</v>
      </c>
      <c r="AY106" s="162">
        <v>687426454.98436725</v>
      </c>
      <c r="AZ106" s="162">
        <v>534571881.63230664</v>
      </c>
      <c r="BA106" s="162">
        <v>17688880.239412785</v>
      </c>
      <c r="BB106" s="196">
        <f t="shared" si="21"/>
        <v>0.56254287292046012</v>
      </c>
    </row>
    <row r="107" spans="1:54" s="121" customFormat="1" ht="16.5" customHeight="1">
      <c r="A107" s="104" t="s">
        <v>2143</v>
      </c>
      <c r="B107" s="105" t="s">
        <v>715</v>
      </c>
      <c r="C107" s="106" t="s">
        <v>706</v>
      </c>
      <c r="D107" s="106" t="s">
        <v>2415</v>
      </c>
      <c r="E107" s="71" t="s">
        <v>707</v>
      </c>
      <c r="F107" s="71" t="s">
        <v>708</v>
      </c>
      <c r="G107" s="109" t="s">
        <v>709</v>
      </c>
      <c r="H107" s="110">
        <f>14144-1574</f>
        <v>12570</v>
      </c>
      <c r="I107" s="111">
        <v>0</v>
      </c>
      <c r="J107" s="112">
        <v>0</v>
      </c>
      <c r="K107" s="113">
        <f t="shared" si="12"/>
        <v>12570</v>
      </c>
      <c r="L107" s="110">
        <v>0</v>
      </c>
      <c r="M107" s="111">
        <v>0</v>
      </c>
      <c r="N107" s="112"/>
      <c r="O107" s="111">
        <v>44</v>
      </c>
      <c r="P107" s="122">
        <v>0.5</v>
      </c>
      <c r="Q107" s="111">
        <v>8428</v>
      </c>
      <c r="R107" s="115"/>
      <c r="S107" s="115"/>
      <c r="T107" s="111">
        <f t="shared" si="13"/>
        <v>4214</v>
      </c>
      <c r="U107" s="112"/>
      <c r="V107" s="116">
        <f>(89122+112996+283512+400400)/1000</f>
        <v>886.03</v>
      </c>
      <c r="W107" s="111">
        <f>(61491000+6756000)/1000</f>
        <v>68247</v>
      </c>
      <c r="X107" s="113">
        <f t="shared" si="17"/>
        <v>73391.03</v>
      </c>
      <c r="Y107" s="110"/>
      <c r="Z107" s="111">
        <v>39</v>
      </c>
      <c r="AA107" s="116"/>
      <c r="AB107" s="111">
        <f>(61491000+6756000)/1000</f>
        <v>68247</v>
      </c>
      <c r="AC107" s="113">
        <f t="shared" si="18"/>
        <v>68286</v>
      </c>
      <c r="AD107" s="110">
        <v>8124</v>
      </c>
      <c r="AE107" s="111">
        <v>16780</v>
      </c>
      <c r="AF107" s="112">
        <v>0</v>
      </c>
      <c r="AG107" s="117">
        <v>1000</v>
      </c>
      <c r="AH107" s="111">
        <f>(37348939+4850883)/1000</f>
        <v>42199.822</v>
      </c>
      <c r="AI107" s="112">
        <v>444</v>
      </c>
      <c r="AJ107" s="112">
        <f>(17842383+1187674)/1000</f>
        <v>19030.057000000001</v>
      </c>
      <c r="AK107" s="113">
        <f t="shared" si="19"/>
        <v>87577.879000000001</v>
      </c>
      <c r="AL107" s="143">
        <f t="shared" si="20"/>
        <v>3005766.5554225948</v>
      </c>
      <c r="AM107" s="112">
        <f t="shared" si="20"/>
        <v>868448.03486719204</v>
      </c>
      <c r="AN107" s="112">
        <f t="shared" si="20"/>
        <v>2137318.5205554022</v>
      </c>
      <c r="AO107" s="112">
        <f t="shared" si="20"/>
        <v>81730.065563232507</v>
      </c>
      <c r="AP107" s="192">
        <f t="shared" si="14"/>
        <v>0.2889273065136933</v>
      </c>
      <c r="AQ107" s="193">
        <f t="shared" si="15"/>
        <v>155121.09556323249</v>
      </c>
      <c r="AR107" s="194">
        <f t="shared" si="16"/>
        <v>-142551.09556323249</v>
      </c>
      <c r="AS107" s="118"/>
      <c r="AT107" s="119"/>
      <c r="AU107" s="119"/>
      <c r="AV107" s="120"/>
      <c r="AW107" s="195"/>
      <c r="AX107" s="112">
        <v>3005766555.4225945</v>
      </c>
      <c r="AY107" s="162">
        <v>868448034.86719203</v>
      </c>
      <c r="AZ107" s="162">
        <v>2137318520.5554023</v>
      </c>
      <c r="BA107" s="162">
        <v>81730065.563232511</v>
      </c>
      <c r="BB107" s="196">
        <f t="shared" si="21"/>
        <v>0.2889273065136933</v>
      </c>
    </row>
    <row r="108" spans="1:54" s="121" customFormat="1" ht="16.5" customHeight="1">
      <c r="A108" s="104" t="s">
        <v>2143</v>
      </c>
      <c r="B108" s="105" t="s">
        <v>719</v>
      </c>
      <c r="C108" s="106" t="s">
        <v>716</v>
      </c>
      <c r="D108" s="106" t="s">
        <v>2415</v>
      </c>
      <c r="E108" s="71" t="s">
        <v>2327</v>
      </c>
      <c r="F108" s="71" t="s">
        <v>708</v>
      </c>
      <c r="G108" s="109" t="s">
        <v>709</v>
      </c>
      <c r="H108" s="110">
        <f>3043+3288</f>
        <v>6331</v>
      </c>
      <c r="I108" s="111">
        <v>25</v>
      </c>
      <c r="J108" s="112">
        <v>0</v>
      </c>
      <c r="K108" s="113">
        <f t="shared" si="12"/>
        <v>6356</v>
      </c>
      <c r="L108" s="110"/>
      <c r="M108" s="111"/>
      <c r="N108" s="112"/>
      <c r="O108" s="111"/>
      <c r="P108" s="122">
        <v>0.35</v>
      </c>
      <c r="Q108" s="111">
        <v>8428</v>
      </c>
      <c r="R108" s="115"/>
      <c r="S108" s="115"/>
      <c r="T108" s="111">
        <f t="shared" si="13"/>
        <v>2950</v>
      </c>
      <c r="U108" s="112">
        <f>91+41+68</f>
        <v>200</v>
      </c>
      <c r="V108" s="116"/>
      <c r="W108" s="111">
        <v>49043</v>
      </c>
      <c r="X108" s="113">
        <f t="shared" si="17"/>
        <v>52193</v>
      </c>
      <c r="Y108" s="110">
        <v>0</v>
      </c>
      <c r="Z108" s="111">
        <v>35</v>
      </c>
      <c r="AA108" s="116">
        <f>85+43</f>
        <v>128</v>
      </c>
      <c r="AB108" s="111">
        <v>44816</v>
      </c>
      <c r="AC108" s="113">
        <f t="shared" si="18"/>
        <v>44979</v>
      </c>
      <c r="AD108" s="110">
        <f>1254+459+342</f>
        <v>2055</v>
      </c>
      <c r="AE108" s="111">
        <f>2125+1581+395+70+1230</f>
        <v>5401</v>
      </c>
      <c r="AF108" s="112">
        <v>0</v>
      </c>
      <c r="AG108" s="117">
        <v>1602</v>
      </c>
      <c r="AH108" s="111">
        <v>24220</v>
      </c>
      <c r="AI108" s="112">
        <v>9297</v>
      </c>
      <c r="AJ108" s="112">
        <f>99+41+6+232+395+1629</f>
        <v>2402</v>
      </c>
      <c r="AK108" s="113">
        <f t="shared" si="19"/>
        <v>44977</v>
      </c>
      <c r="AL108" s="143">
        <f t="shared" si="20"/>
        <v>398506.31964086264</v>
      </c>
      <c r="AM108" s="112">
        <f t="shared" si="20"/>
        <v>137436.04146725158</v>
      </c>
      <c r="AN108" s="112">
        <f t="shared" si="20"/>
        <v>261070.27817361106</v>
      </c>
      <c r="AO108" s="112">
        <f t="shared" si="20"/>
        <v>9929.653234988562</v>
      </c>
      <c r="AP108" s="192">
        <f t="shared" si="14"/>
        <v>0.34487794720824033</v>
      </c>
      <c r="AQ108" s="193">
        <f t="shared" si="15"/>
        <v>62122.65323498856</v>
      </c>
      <c r="AR108" s="194">
        <f t="shared" si="16"/>
        <v>-55766.65323498856</v>
      </c>
      <c r="AS108" s="118"/>
      <c r="AT108" s="119"/>
      <c r="AU108" s="119"/>
      <c r="AV108" s="120"/>
      <c r="AW108" s="195"/>
      <c r="AX108" s="112">
        <v>398506319.64086264</v>
      </c>
      <c r="AY108" s="162">
        <v>137436041.46725157</v>
      </c>
      <c r="AZ108" s="162">
        <v>261070278.17361107</v>
      </c>
      <c r="BA108" s="162">
        <v>9929653.2349885628</v>
      </c>
      <c r="BB108" s="196">
        <f t="shared" si="21"/>
        <v>0.34487794720824033</v>
      </c>
    </row>
    <row r="109" spans="1:54" s="121" customFormat="1" ht="16.5" customHeight="1">
      <c r="A109" s="104" t="s">
        <v>2143</v>
      </c>
      <c r="B109" s="105" t="s">
        <v>728</v>
      </c>
      <c r="C109" s="106" t="s">
        <v>720</v>
      </c>
      <c r="D109" s="106" t="s">
        <v>2415</v>
      </c>
      <c r="E109" s="71" t="s">
        <v>1994</v>
      </c>
      <c r="F109" s="71" t="s">
        <v>708</v>
      </c>
      <c r="G109" s="109" t="s">
        <v>721</v>
      </c>
      <c r="H109" s="110">
        <v>798</v>
      </c>
      <c r="I109" s="112">
        <v>904</v>
      </c>
      <c r="J109" s="112">
        <v>328</v>
      </c>
      <c r="K109" s="113">
        <f t="shared" si="12"/>
        <v>2030</v>
      </c>
      <c r="L109" s="210">
        <v>0</v>
      </c>
      <c r="M109" s="115">
        <v>0</v>
      </c>
      <c r="N109" s="115">
        <v>0</v>
      </c>
      <c r="O109" s="111">
        <v>3564</v>
      </c>
      <c r="P109" s="145">
        <v>0.22</v>
      </c>
      <c r="Q109" s="111">
        <v>8428</v>
      </c>
      <c r="R109" s="112"/>
      <c r="S109" s="112"/>
      <c r="T109" s="111">
        <f t="shared" si="13"/>
        <v>1854</v>
      </c>
      <c r="U109" s="112">
        <v>0</v>
      </c>
      <c r="V109" s="144">
        <v>9828</v>
      </c>
      <c r="W109" s="111">
        <v>158486</v>
      </c>
      <c r="X109" s="113">
        <f t="shared" si="17"/>
        <v>173732</v>
      </c>
      <c r="Y109" s="110">
        <v>19554</v>
      </c>
      <c r="Z109" s="111">
        <v>7926</v>
      </c>
      <c r="AA109" s="116">
        <v>11143</v>
      </c>
      <c r="AB109" s="111">
        <v>158486</v>
      </c>
      <c r="AC109" s="113">
        <f t="shared" si="18"/>
        <v>197109</v>
      </c>
      <c r="AD109" s="110">
        <v>26331</v>
      </c>
      <c r="AE109" s="111">
        <v>104063</v>
      </c>
      <c r="AF109" s="112">
        <v>0</v>
      </c>
      <c r="AG109" s="117">
        <v>3003</v>
      </c>
      <c r="AH109" s="111">
        <v>43652</v>
      </c>
      <c r="AI109" s="112">
        <v>12120</v>
      </c>
      <c r="AJ109" s="112">
        <v>2534</v>
      </c>
      <c r="AK109" s="113">
        <f t="shared" si="19"/>
        <v>191703</v>
      </c>
      <c r="AL109" s="143">
        <f t="shared" si="20"/>
        <v>7770741.4560000002</v>
      </c>
      <c r="AM109" s="112">
        <f t="shared" si="20"/>
        <v>3360183.3840000001</v>
      </c>
      <c r="AN109" s="112">
        <f t="shared" si="20"/>
        <v>4410558.0719999997</v>
      </c>
      <c r="AO109" s="112">
        <f t="shared" si="20"/>
        <v>171369.38800000001</v>
      </c>
      <c r="AP109" s="192">
        <f t="shared" si="14"/>
        <v>0.43241477058865618</v>
      </c>
      <c r="AQ109" s="193">
        <f t="shared" si="15"/>
        <v>345101.38800000004</v>
      </c>
      <c r="AR109" s="194">
        <f t="shared" si="16"/>
        <v>-343071.38800000004</v>
      </c>
      <c r="AS109" s="118"/>
      <c r="AT109" s="119"/>
      <c r="AU109" s="119"/>
      <c r="AV109" s="120"/>
      <c r="AW109" s="195"/>
      <c r="AX109" s="112">
        <v>7770741456</v>
      </c>
      <c r="AY109" s="162">
        <v>3360183384</v>
      </c>
      <c r="AZ109" s="162">
        <v>4410558072</v>
      </c>
      <c r="BA109" s="162">
        <v>171369388</v>
      </c>
      <c r="BB109" s="196">
        <f t="shared" si="21"/>
        <v>0.43241477058865618</v>
      </c>
    </row>
    <row r="110" spans="1:54" s="121" customFormat="1" ht="16.5" customHeight="1">
      <c r="A110" s="104" t="s">
        <v>2143</v>
      </c>
      <c r="B110" s="105" t="s">
        <v>735</v>
      </c>
      <c r="C110" s="106" t="s">
        <v>729</v>
      </c>
      <c r="D110" s="106" t="s">
        <v>2415</v>
      </c>
      <c r="E110" s="71" t="s">
        <v>1996</v>
      </c>
      <c r="F110" s="71" t="s">
        <v>708</v>
      </c>
      <c r="G110" s="109" t="s">
        <v>721</v>
      </c>
      <c r="H110" s="110">
        <v>2102</v>
      </c>
      <c r="I110" s="112">
        <v>865</v>
      </c>
      <c r="J110" s="112">
        <v>382</v>
      </c>
      <c r="K110" s="113">
        <f t="shared" si="12"/>
        <v>3349</v>
      </c>
      <c r="L110" s="210">
        <v>0</v>
      </c>
      <c r="M110" s="115">
        <v>0</v>
      </c>
      <c r="N110" s="115">
        <v>0</v>
      </c>
      <c r="O110" s="111">
        <v>444</v>
      </c>
      <c r="P110" s="145">
        <v>0.22</v>
      </c>
      <c r="Q110" s="111">
        <v>8428</v>
      </c>
      <c r="R110" s="112"/>
      <c r="S110" s="112"/>
      <c r="T110" s="111">
        <f t="shared" si="13"/>
        <v>1854</v>
      </c>
      <c r="U110" s="112">
        <v>0</v>
      </c>
      <c r="V110" s="144">
        <v>4878</v>
      </c>
      <c r="W110" s="111">
        <v>77962</v>
      </c>
      <c r="X110" s="113">
        <f t="shared" si="17"/>
        <v>85138</v>
      </c>
      <c r="Y110" s="110">
        <v>9672</v>
      </c>
      <c r="Z110" s="111">
        <v>2886</v>
      </c>
      <c r="AA110" s="116">
        <v>7077</v>
      </c>
      <c r="AB110" s="111">
        <v>77962</v>
      </c>
      <c r="AC110" s="113">
        <f t="shared" si="18"/>
        <v>97597</v>
      </c>
      <c r="AD110" s="110">
        <v>8541</v>
      </c>
      <c r="AE110" s="111">
        <v>27053</v>
      </c>
      <c r="AF110" s="112">
        <v>0</v>
      </c>
      <c r="AG110" s="117">
        <v>2775</v>
      </c>
      <c r="AH110" s="111">
        <v>45036</v>
      </c>
      <c r="AI110" s="112">
        <v>8546</v>
      </c>
      <c r="AJ110" s="112">
        <v>1241</v>
      </c>
      <c r="AK110" s="113">
        <f t="shared" si="19"/>
        <v>93192</v>
      </c>
      <c r="AL110" s="143">
        <f t="shared" si="20"/>
        <v>2731933.5290000001</v>
      </c>
      <c r="AM110" s="112">
        <f t="shared" si="20"/>
        <v>1552704.389</v>
      </c>
      <c r="AN110" s="112">
        <f t="shared" si="20"/>
        <v>1179229.1399999999</v>
      </c>
      <c r="AO110" s="112">
        <f t="shared" si="20"/>
        <v>60006.317999999999</v>
      </c>
      <c r="AP110" s="192">
        <f t="shared" si="14"/>
        <v>0.56835364862202697</v>
      </c>
      <c r="AQ110" s="193">
        <f t="shared" si="15"/>
        <v>145144.318</v>
      </c>
      <c r="AR110" s="194">
        <f t="shared" si="16"/>
        <v>-141795.318</v>
      </c>
      <c r="AS110" s="118"/>
      <c r="AT110" s="119"/>
      <c r="AU110" s="119"/>
      <c r="AV110" s="120"/>
      <c r="AW110" s="195"/>
      <c r="AX110" s="112">
        <v>2731933529</v>
      </c>
      <c r="AY110" s="162">
        <v>1552704389</v>
      </c>
      <c r="AZ110" s="162">
        <v>1179229140</v>
      </c>
      <c r="BA110" s="162">
        <v>60006318</v>
      </c>
      <c r="BB110" s="196">
        <f t="shared" si="21"/>
        <v>0.56835364862202697</v>
      </c>
    </row>
    <row r="111" spans="1:54" s="121" customFormat="1" ht="16.5" customHeight="1">
      <c r="A111" s="104" t="s">
        <v>2143</v>
      </c>
      <c r="B111" s="105" t="s">
        <v>742</v>
      </c>
      <c r="C111" s="106" t="s">
        <v>736</v>
      </c>
      <c r="D111" s="106" t="s">
        <v>2415</v>
      </c>
      <c r="E111" s="71" t="s">
        <v>1998</v>
      </c>
      <c r="F111" s="71" t="s">
        <v>708</v>
      </c>
      <c r="G111" s="109" t="s">
        <v>721</v>
      </c>
      <c r="H111" s="110">
        <v>1568</v>
      </c>
      <c r="I111" s="112">
        <v>0</v>
      </c>
      <c r="J111" s="112">
        <v>0</v>
      </c>
      <c r="K111" s="113">
        <f t="shared" si="12"/>
        <v>1568</v>
      </c>
      <c r="L111" s="210">
        <v>0</v>
      </c>
      <c r="M111" s="115">
        <v>0</v>
      </c>
      <c r="N111" s="115">
        <v>0</v>
      </c>
      <c r="O111" s="111">
        <v>0</v>
      </c>
      <c r="P111" s="145">
        <v>0.22</v>
      </c>
      <c r="Q111" s="111">
        <v>8428</v>
      </c>
      <c r="R111" s="112"/>
      <c r="S111" s="112"/>
      <c r="T111" s="111">
        <f t="shared" si="13"/>
        <v>1854</v>
      </c>
      <c r="U111" s="112">
        <v>0</v>
      </c>
      <c r="V111" s="144">
        <v>2161</v>
      </c>
      <c r="W111" s="111">
        <v>90671</v>
      </c>
      <c r="X111" s="113">
        <f t="shared" si="17"/>
        <v>94686</v>
      </c>
      <c r="Y111" s="110">
        <v>4638</v>
      </c>
      <c r="Z111" s="111">
        <v>7024</v>
      </c>
      <c r="AA111" s="116">
        <v>11080</v>
      </c>
      <c r="AB111" s="111">
        <v>90671</v>
      </c>
      <c r="AC111" s="113">
        <f t="shared" si="18"/>
        <v>113413</v>
      </c>
      <c r="AD111" s="110">
        <v>10933</v>
      </c>
      <c r="AE111" s="111">
        <v>22235</v>
      </c>
      <c r="AF111" s="112">
        <v>0</v>
      </c>
      <c r="AG111" s="117">
        <v>2884</v>
      </c>
      <c r="AH111" s="111">
        <v>44867</v>
      </c>
      <c r="AI111" s="112">
        <v>21625</v>
      </c>
      <c r="AJ111" s="112">
        <v>6614</v>
      </c>
      <c r="AK111" s="113">
        <f t="shared" si="19"/>
        <v>109158</v>
      </c>
      <c r="AL111" s="143">
        <f t="shared" si="20"/>
        <v>1744070.8019999999</v>
      </c>
      <c r="AM111" s="112">
        <f t="shared" si="20"/>
        <v>1047049.022</v>
      </c>
      <c r="AN111" s="112">
        <f t="shared" si="20"/>
        <v>697021.78</v>
      </c>
      <c r="AO111" s="112">
        <f t="shared" si="20"/>
        <v>40260.735000000001</v>
      </c>
      <c r="AP111" s="192">
        <f t="shared" si="14"/>
        <v>0.60034777303725539</v>
      </c>
      <c r="AQ111" s="193">
        <f t="shared" si="15"/>
        <v>134946.73499999999</v>
      </c>
      <c r="AR111" s="194">
        <f t="shared" si="16"/>
        <v>-133378.73499999999</v>
      </c>
      <c r="AS111" s="118"/>
      <c r="AT111" s="119"/>
      <c r="AU111" s="119"/>
      <c r="AV111" s="120"/>
      <c r="AW111" s="195"/>
      <c r="AX111" s="112">
        <v>1744070802</v>
      </c>
      <c r="AY111" s="162">
        <v>1047049022</v>
      </c>
      <c r="AZ111" s="162">
        <v>697021780</v>
      </c>
      <c r="BA111" s="162">
        <v>40260735</v>
      </c>
      <c r="BB111" s="196">
        <f t="shared" si="21"/>
        <v>0.60034777303725539</v>
      </c>
    </row>
    <row r="112" spans="1:54" s="121" customFormat="1" ht="16.5" customHeight="1">
      <c r="A112" s="104" t="s">
        <v>2143</v>
      </c>
      <c r="B112" s="105" t="s">
        <v>1966</v>
      </c>
      <c r="C112" s="106" t="s">
        <v>743</v>
      </c>
      <c r="D112" s="106" t="s">
        <v>2415</v>
      </c>
      <c r="E112" s="71" t="s">
        <v>744</v>
      </c>
      <c r="F112" s="71" t="s">
        <v>170</v>
      </c>
      <c r="G112" s="109" t="s">
        <v>745</v>
      </c>
      <c r="H112" s="143"/>
      <c r="I112" s="111">
        <v>17</v>
      </c>
      <c r="J112" s="112">
        <v>336</v>
      </c>
      <c r="K112" s="113">
        <f t="shared" si="12"/>
        <v>353</v>
      </c>
      <c r="L112" s="110">
        <v>457</v>
      </c>
      <c r="M112" s="112">
        <v>0</v>
      </c>
      <c r="N112" s="112">
        <v>9546</v>
      </c>
      <c r="O112" s="111">
        <v>1177</v>
      </c>
      <c r="P112" s="111"/>
      <c r="Q112" s="111">
        <v>8428</v>
      </c>
      <c r="R112" s="115">
        <v>10530</v>
      </c>
      <c r="S112" s="111">
        <f>ROUND(W112*P112,0)+Q112+R112</f>
        <v>18958</v>
      </c>
      <c r="T112" s="111">
        <f t="shared" si="13"/>
        <v>29488</v>
      </c>
      <c r="U112" s="115">
        <v>0</v>
      </c>
      <c r="V112" s="116">
        <f>SUBTOTAL(9,K112,S112:S112)</f>
        <v>18958</v>
      </c>
      <c r="W112" s="114">
        <v>5</v>
      </c>
      <c r="X112" s="113">
        <f t="shared" si="17"/>
        <v>40673</v>
      </c>
      <c r="Y112" s="110"/>
      <c r="Z112" s="112"/>
      <c r="AA112" s="116">
        <v>0</v>
      </c>
      <c r="AB112" s="111"/>
      <c r="AC112" s="113">
        <f t="shared" si="18"/>
        <v>0</v>
      </c>
      <c r="AD112" s="110"/>
      <c r="AE112" s="112"/>
      <c r="AF112" s="112"/>
      <c r="AG112" s="117"/>
      <c r="AH112" s="111"/>
      <c r="AI112" s="112"/>
      <c r="AJ112" s="113">
        <f>SUBTOTAL(9,AC112:AI112)</f>
        <v>0</v>
      </c>
      <c r="AK112" s="113">
        <f t="shared" si="19"/>
        <v>0</v>
      </c>
      <c r="AL112" s="143">
        <f t="shared" si="20"/>
        <v>453531.2</v>
      </c>
      <c r="AM112" s="112">
        <f t="shared" si="20"/>
        <v>447303.511</v>
      </c>
      <c r="AN112" s="112">
        <f t="shared" si="20"/>
        <v>6227.6890000000003</v>
      </c>
      <c r="AO112" s="112">
        <f t="shared" si="20"/>
        <v>9884.4509999999991</v>
      </c>
      <c r="AP112" s="192">
        <f t="shared" si="14"/>
        <v>0.98626844415555093</v>
      </c>
      <c r="AQ112" s="193">
        <f t="shared" si="15"/>
        <v>50557.451000000001</v>
      </c>
      <c r="AR112" s="194">
        <f t="shared" si="16"/>
        <v>-50204.451000000001</v>
      </c>
      <c r="AS112" s="118"/>
      <c r="AT112" s="119"/>
      <c r="AU112" s="119"/>
      <c r="AV112" s="120"/>
      <c r="AW112" s="195"/>
      <c r="AX112" s="112">
        <v>453531200</v>
      </c>
      <c r="AY112" s="162">
        <v>447303511</v>
      </c>
      <c r="AZ112" s="162">
        <v>6227689</v>
      </c>
      <c r="BA112" s="162">
        <v>9884451</v>
      </c>
      <c r="BB112" s="196">
        <f t="shared" si="21"/>
        <v>0.98626844415555093</v>
      </c>
    </row>
    <row r="113" spans="1:54" s="121" customFormat="1" ht="16.5" customHeight="1">
      <c r="A113" s="104" t="s">
        <v>2143</v>
      </c>
      <c r="B113" s="105" t="s">
        <v>752</v>
      </c>
      <c r="C113" s="106" t="s">
        <v>749</v>
      </c>
      <c r="D113" s="106" t="s">
        <v>2415</v>
      </c>
      <c r="E113" s="71" t="s">
        <v>2369</v>
      </c>
      <c r="F113" s="71" t="s">
        <v>170</v>
      </c>
      <c r="G113" s="109" t="s">
        <v>2155</v>
      </c>
      <c r="H113" s="143"/>
      <c r="I113" s="112"/>
      <c r="J113" s="112"/>
      <c r="K113" s="113">
        <f t="shared" si="12"/>
        <v>0</v>
      </c>
      <c r="L113" s="110"/>
      <c r="M113" s="111"/>
      <c r="N113" s="115"/>
      <c r="O113" s="111"/>
      <c r="P113" s="114"/>
      <c r="Q113" s="111">
        <v>8428</v>
      </c>
      <c r="R113" s="112"/>
      <c r="S113" s="112"/>
      <c r="T113" s="111">
        <f t="shared" si="13"/>
        <v>0</v>
      </c>
      <c r="U113" s="115"/>
      <c r="V113" s="144"/>
      <c r="W113" s="112"/>
      <c r="X113" s="113">
        <f t="shared" si="17"/>
        <v>0</v>
      </c>
      <c r="Y113" s="110"/>
      <c r="Z113" s="111"/>
      <c r="AA113" s="116"/>
      <c r="AB113" s="111"/>
      <c r="AC113" s="113">
        <f t="shared" si="18"/>
        <v>0</v>
      </c>
      <c r="AD113" s="110"/>
      <c r="AE113" s="111"/>
      <c r="AF113" s="112"/>
      <c r="AG113" s="117"/>
      <c r="AH113" s="111"/>
      <c r="AI113" s="112"/>
      <c r="AJ113" s="112"/>
      <c r="AK113" s="113">
        <f t="shared" si="19"/>
        <v>0</v>
      </c>
      <c r="AL113" s="143">
        <f t="shared" si="20"/>
        <v>6462.4</v>
      </c>
      <c r="AM113" s="112">
        <f t="shared" si="20"/>
        <v>6462.3990000000003</v>
      </c>
      <c r="AN113" s="112">
        <f t="shared" si="20"/>
        <v>1E-3</v>
      </c>
      <c r="AO113" s="112">
        <f t="shared" si="20"/>
        <v>0</v>
      </c>
      <c r="AP113" s="192">
        <f t="shared" si="14"/>
        <v>0.99999984525872743</v>
      </c>
      <c r="AQ113" s="193">
        <f t="shared" si="15"/>
        <v>0</v>
      </c>
      <c r="AR113" s="194">
        <f t="shared" si="16"/>
        <v>0</v>
      </c>
      <c r="AS113" s="118"/>
      <c r="AT113" s="119"/>
      <c r="AU113" s="119"/>
      <c r="AV113" s="120"/>
      <c r="AW113" s="195"/>
      <c r="AX113" s="112">
        <v>6462400</v>
      </c>
      <c r="AY113" s="162">
        <v>6462399</v>
      </c>
      <c r="AZ113" s="162">
        <v>1</v>
      </c>
      <c r="BA113" s="162">
        <v>0</v>
      </c>
      <c r="BB113" s="196">
        <f t="shared" si="21"/>
        <v>0.99999984525872743</v>
      </c>
    </row>
    <row r="114" spans="1:54" s="121" customFormat="1" ht="16.5" customHeight="1">
      <c r="A114" s="104" t="s">
        <v>2143</v>
      </c>
      <c r="B114" s="105" t="s">
        <v>760</v>
      </c>
      <c r="C114" s="106" t="s">
        <v>2075</v>
      </c>
      <c r="D114" s="106" t="s">
        <v>2415</v>
      </c>
      <c r="E114" s="71" t="s">
        <v>2072</v>
      </c>
      <c r="F114" s="71" t="s">
        <v>2085</v>
      </c>
      <c r="G114" s="109" t="s">
        <v>2155</v>
      </c>
      <c r="H114" s="143">
        <v>0</v>
      </c>
      <c r="I114" s="112">
        <v>0</v>
      </c>
      <c r="J114" s="112">
        <v>0</v>
      </c>
      <c r="K114" s="113">
        <f t="shared" si="12"/>
        <v>0</v>
      </c>
      <c r="L114" s="110">
        <v>55</v>
      </c>
      <c r="M114" s="111">
        <v>1277</v>
      </c>
      <c r="N114" s="115">
        <v>0</v>
      </c>
      <c r="O114" s="111">
        <v>0</v>
      </c>
      <c r="P114" s="114">
        <v>4</v>
      </c>
      <c r="Q114" s="111">
        <v>8428</v>
      </c>
      <c r="R114" s="112"/>
      <c r="S114" s="112">
        <v>9345</v>
      </c>
      <c r="T114" s="111">
        <f t="shared" si="13"/>
        <v>43057</v>
      </c>
      <c r="U114" s="115">
        <v>0</v>
      </c>
      <c r="V114" s="144">
        <v>0</v>
      </c>
      <c r="W114" s="112"/>
      <c r="X114" s="113">
        <f t="shared" si="17"/>
        <v>44389</v>
      </c>
      <c r="Y114" s="110"/>
      <c r="Z114" s="111"/>
      <c r="AA114" s="116"/>
      <c r="AB114" s="111"/>
      <c r="AC114" s="113">
        <f t="shared" si="18"/>
        <v>0</v>
      </c>
      <c r="AD114" s="110"/>
      <c r="AE114" s="111"/>
      <c r="AF114" s="112"/>
      <c r="AG114" s="117"/>
      <c r="AH114" s="111"/>
      <c r="AI114" s="112"/>
      <c r="AJ114" s="112"/>
      <c r="AK114" s="113">
        <f t="shared" si="19"/>
        <v>0</v>
      </c>
      <c r="AL114" s="143">
        <f t="shared" si="20"/>
        <v>0</v>
      </c>
      <c r="AM114" s="112">
        <f t="shared" si="20"/>
        <v>0</v>
      </c>
      <c r="AN114" s="112">
        <f t="shared" si="20"/>
        <v>0</v>
      </c>
      <c r="AO114" s="112">
        <f t="shared" si="20"/>
        <v>0</v>
      </c>
      <c r="AP114" s="192">
        <f t="shared" si="14"/>
        <v>0</v>
      </c>
      <c r="AQ114" s="193">
        <f t="shared" si="15"/>
        <v>44389</v>
      </c>
      <c r="AR114" s="194">
        <f t="shared" si="16"/>
        <v>-44389</v>
      </c>
      <c r="AS114" s="118"/>
      <c r="AT114" s="119"/>
      <c r="AU114" s="119"/>
      <c r="AV114" s="120"/>
      <c r="AW114" s="195"/>
      <c r="AX114" s="112">
        <v>0</v>
      </c>
      <c r="AY114" s="162">
        <v>0</v>
      </c>
      <c r="AZ114" s="162">
        <v>0</v>
      </c>
      <c r="BA114" s="162">
        <v>0</v>
      </c>
      <c r="BB114" s="196">
        <v>0</v>
      </c>
    </row>
    <row r="115" spans="1:54" s="121" customFormat="1" ht="16.5" customHeight="1">
      <c r="A115" s="104" t="s">
        <v>2143</v>
      </c>
      <c r="B115" s="105" t="s">
        <v>768</v>
      </c>
      <c r="C115" s="106" t="s">
        <v>753</v>
      </c>
      <c r="D115" s="106" t="s">
        <v>2415</v>
      </c>
      <c r="E115" s="71" t="s">
        <v>754</v>
      </c>
      <c r="F115" s="71" t="s">
        <v>78</v>
      </c>
      <c r="G115" s="109" t="s">
        <v>755</v>
      </c>
      <c r="H115" s="110">
        <v>284</v>
      </c>
      <c r="I115" s="111">
        <v>0</v>
      </c>
      <c r="J115" s="112">
        <v>49</v>
      </c>
      <c r="K115" s="113">
        <f t="shared" si="12"/>
        <v>333</v>
      </c>
      <c r="L115" s="210">
        <v>0</v>
      </c>
      <c r="M115" s="115">
        <v>0</v>
      </c>
      <c r="N115" s="115">
        <v>0</v>
      </c>
      <c r="O115" s="115">
        <v>0</v>
      </c>
      <c r="P115" s="122">
        <v>0.45</v>
      </c>
      <c r="Q115" s="111">
        <v>8428</v>
      </c>
      <c r="R115" s="112">
        <v>0</v>
      </c>
      <c r="S115" s="112">
        <v>0</v>
      </c>
      <c r="T115" s="111">
        <f t="shared" si="13"/>
        <v>3793</v>
      </c>
      <c r="U115" s="115">
        <v>4425</v>
      </c>
      <c r="V115" s="144">
        <v>0</v>
      </c>
      <c r="W115" s="111">
        <v>108316</v>
      </c>
      <c r="X115" s="113">
        <f t="shared" si="17"/>
        <v>116534</v>
      </c>
      <c r="Y115" s="110">
        <v>20874</v>
      </c>
      <c r="Z115" s="111">
        <v>240</v>
      </c>
      <c r="AA115" s="116">
        <v>5708</v>
      </c>
      <c r="AB115" s="111">
        <v>108316</v>
      </c>
      <c r="AC115" s="113">
        <f t="shared" si="18"/>
        <v>135138</v>
      </c>
      <c r="AD115" s="110">
        <v>7651</v>
      </c>
      <c r="AE115" s="111">
        <v>13424</v>
      </c>
      <c r="AF115" s="112">
        <v>0</v>
      </c>
      <c r="AG115" s="117">
        <v>4264</v>
      </c>
      <c r="AH115" s="111">
        <v>78458</v>
      </c>
      <c r="AI115" s="112">
        <v>22556</v>
      </c>
      <c r="AJ115" s="112">
        <v>7288</v>
      </c>
      <c r="AK115" s="113">
        <f t="shared" si="19"/>
        <v>133641</v>
      </c>
      <c r="AL115" s="143">
        <f t="shared" si="20"/>
        <v>1199871.612</v>
      </c>
      <c r="AM115" s="112">
        <f t="shared" si="20"/>
        <v>620166.929</v>
      </c>
      <c r="AN115" s="112">
        <f t="shared" si="20"/>
        <v>579704.68299999996</v>
      </c>
      <c r="AO115" s="112">
        <f t="shared" si="20"/>
        <v>30758.006000000001</v>
      </c>
      <c r="AP115" s="192">
        <f t="shared" si="14"/>
        <v>0.5168610731328811</v>
      </c>
      <c r="AQ115" s="193">
        <f t="shared" si="15"/>
        <v>147292.00599999999</v>
      </c>
      <c r="AR115" s="194">
        <f t="shared" si="16"/>
        <v>-146959.00599999999</v>
      </c>
      <c r="AS115" s="118"/>
      <c r="AT115" s="119"/>
      <c r="AU115" s="119"/>
      <c r="AV115" s="120"/>
      <c r="AW115" s="195"/>
      <c r="AX115" s="112">
        <v>1199871612</v>
      </c>
      <c r="AY115" s="162">
        <v>620166929</v>
      </c>
      <c r="AZ115" s="162">
        <v>579704683</v>
      </c>
      <c r="BA115" s="162">
        <v>30758006</v>
      </c>
      <c r="BB115" s="196">
        <f t="shared" si="21"/>
        <v>0.5168610731328811</v>
      </c>
    </row>
    <row r="116" spans="1:54" s="121" customFormat="1" ht="16.5" customHeight="1">
      <c r="A116" s="104" t="s">
        <v>2143</v>
      </c>
      <c r="B116" s="105" t="s">
        <v>777</v>
      </c>
      <c r="C116" s="106" t="s">
        <v>761</v>
      </c>
      <c r="D116" s="106" t="s">
        <v>2415</v>
      </c>
      <c r="E116" s="71" t="s">
        <v>762</v>
      </c>
      <c r="F116" s="71" t="s">
        <v>78</v>
      </c>
      <c r="G116" s="109" t="s">
        <v>755</v>
      </c>
      <c r="H116" s="110">
        <v>277</v>
      </c>
      <c r="I116" s="111">
        <v>0</v>
      </c>
      <c r="J116" s="112">
        <v>39</v>
      </c>
      <c r="K116" s="113">
        <f t="shared" si="12"/>
        <v>316</v>
      </c>
      <c r="L116" s="210">
        <v>0</v>
      </c>
      <c r="M116" s="115">
        <v>0</v>
      </c>
      <c r="N116" s="115">
        <v>0</v>
      </c>
      <c r="O116" s="115">
        <v>0</v>
      </c>
      <c r="P116" s="122">
        <v>0.4</v>
      </c>
      <c r="Q116" s="111">
        <v>8428</v>
      </c>
      <c r="R116" s="112">
        <v>0</v>
      </c>
      <c r="S116" s="112">
        <v>0</v>
      </c>
      <c r="T116" s="111">
        <f t="shared" si="13"/>
        <v>3371</v>
      </c>
      <c r="U116" s="115">
        <v>0</v>
      </c>
      <c r="V116" s="144">
        <v>0</v>
      </c>
      <c r="W116" s="111">
        <v>18963</v>
      </c>
      <c r="X116" s="113">
        <f t="shared" si="17"/>
        <v>22334</v>
      </c>
      <c r="Y116" s="110">
        <v>0</v>
      </c>
      <c r="Z116" s="111">
        <v>253</v>
      </c>
      <c r="AA116" s="116">
        <v>0</v>
      </c>
      <c r="AB116" s="111">
        <v>18963</v>
      </c>
      <c r="AC116" s="113">
        <f t="shared" si="18"/>
        <v>19216</v>
      </c>
      <c r="AD116" s="110">
        <v>1291</v>
      </c>
      <c r="AE116" s="111">
        <v>482</v>
      </c>
      <c r="AF116" s="112">
        <v>0</v>
      </c>
      <c r="AG116" s="117">
        <v>400</v>
      </c>
      <c r="AH116" s="111">
        <v>11971</v>
      </c>
      <c r="AI116" s="112">
        <v>1725</v>
      </c>
      <c r="AJ116" s="112">
        <v>3299</v>
      </c>
      <c r="AK116" s="113">
        <f t="shared" si="19"/>
        <v>19168</v>
      </c>
      <c r="AL116" s="143">
        <f t="shared" si="20"/>
        <v>97860</v>
      </c>
      <c r="AM116" s="112">
        <f t="shared" si="20"/>
        <v>52844.4</v>
      </c>
      <c r="AN116" s="112">
        <f t="shared" si="20"/>
        <v>45015.6</v>
      </c>
      <c r="AO116" s="112">
        <f t="shared" si="20"/>
        <v>2642.22</v>
      </c>
      <c r="AP116" s="192">
        <f t="shared" si="14"/>
        <v>0.54</v>
      </c>
      <c r="AQ116" s="193">
        <f t="shared" si="15"/>
        <v>24976.22</v>
      </c>
      <c r="AR116" s="194">
        <f t="shared" si="16"/>
        <v>-24660.22</v>
      </c>
      <c r="AS116" s="146"/>
      <c r="AT116" s="119"/>
      <c r="AU116" s="119"/>
      <c r="AV116" s="120"/>
      <c r="AW116" s="195"/>
      <c r="AX116" s="112">
        <v>97860000</v>
      </c>
      <c r="AY116" s="162">
        <v>52844400</v>
      </c>
      <c r="AZ116" s="162">
        <v>45015600</v>
      </c>
      <c r="BA116" s="162">
        <v>2642220</v>
      </c>
      <c r="BB116" s="196">
        <f t="shared" si="21"/>
        <v>0.54</v>
      </c>
    </row>
    <row r="117" spans="1:54" s="121" customFormat="1" ht="16.5" customHeight="1">
      <c r="A117" s="104" t="s">
        <v>2143</v>
      </c>
      <c r="B117" s="105" t="s">
        <v>785</v>
      </c>
      <c r="C117" s="106" t="s">
        <v>769</v>
      </c>
      <c r="D117" s="106" t="s">
        <v>2415</v>
      </c>
      <c r="E117" s="71" t="s">
        <v>770</v>
      </c>
      <c r="F117" s="71" t="s">
        <v>2085</v>
      </c>
      <c r="G117" s="109" t="s">
        <v>2129</v>
      </c>
      <c r="H117" s="110">
        <f>(11816+4694240)/1000</f>
        <v>4706.0559999999996</v>
      </c>
      <c r="I117" s="111">
        <f>(209560+456450)/1000</f>
        <v>666.01</v>
      </c>
      <c r="J117" s="112">
        <v>0</v>
      </c>
      <c r="K117" s="113">
        <f t="shared" si="12"/>
        <v>5372.0659999999998</v>
      </c>
      <c r="L117" s="110">
        <v>4611</v>
      </c>
      <c r="M117" s="111">
        <v>6454</v>
      </c>
      <c r="N117" s="112">
        <v>0</v>
      </c>
      <c r="O117" s="111">
        <v>1517</v>
      </c>
      <c r="P117" s="114">
        <v>4</v>
      </c>
      <c r="Q117" s="111">
        <v>8428</v>
      </c>
      <c r="R117" s="115">
        <v>11606</v>
      </c>
      <c r="S117" s="115">
        <v>0</v>
      </c>
      <c r="T117" s="111">
        <f t="shared" si="13"/>
        <v>45318</v>
      </c>
      <c r="U117" s="112">
        <v>8180</v>
      </c>
      <c r="V117" s="116">
        <v>0</v>
      </c>
      <c r="W117" s="112">
        <v>0</v>
      </c>
      <c r="X117" s="113">
        <f t="shared" si="17"/>
        <v>66080</v>
      </c>
      <c r="Y117" s="110"/>
      <c r="Z117" s="111"/>
      <c r="AA117" s="116"/>
      <c r="AB117" s="111"/>
      <c r="AC117" s="113">
        <f t="shared" si="18"/>
        <v>0</v>
      </c>
      <c r="AD117" s="110"/>
      <c r="AE117" s="111"/>
      <c r="AF117" s="112"/>
      <c r="AG117" s="117"/>
      <c r="AH117" s="111"/>
      <c r="AI117" s="112"/>
      <c r="AJ117" s="112"/>
      <c r="AK117" s="113">
        <f t="shared" si="19"/>
        <v>0</v>
      </c>
      <c r="AL117" s="143">
        <f t="shared" si="20"/>
        <v>1098739.9450000001</v>
      </c>
      <c r="AM117" s="112">
        <f t="shared" si="20"/>
        <v>694671.43900000001</v>
      </c>
      <c r="AN117" s="112">
        <f t="shared" si="20"/>
        <v>404068.50599999999</v>
      </c>
      <c r="AO117" s="112">
        <f t="shared" si="20"/>
        <v>22453.548999999999</v>
      </c>
      <c r="AP117" s="192">
        <f t="shared" si="14"/>
        <v>0.63224372806433282</v>
      </c>
      <c r="AQ117" s="193">
        <f t="shared" si="15"/>
        <v>88533.548999999999</v>
      </c>
      <c r="AR117" s="194">
        <f t="shared" si="16"/>
        <v>-83161.482999999993</v>
      </c>
      <c r="AS117" s="147"/>
      <c r="AT117" s="148"/>
      <c r="AU117" s="148"/>
      <c r="AV117" s="149"/>
      <c r="AW117" s="195"/>
      <c r="AX117" s="112">
        <v>1098739945</v>
      </c>
      <c r="AY117" s="162">
        <v>694671439</v>
      </c>
      <c r="AZ117" s="162">
        <v>404068506</v>
      </c>
      <c r="BA117" s="162">
        <v>22453549</v>
      </c>
      <c r="BB117" s="196">
        <f t="shared" si="21"/>
        <v>0.63224372806433282</v>
      </c>
    </row>
    <row r="118" spans="1:54" s="121" customFormat="1" ht="16.5" customHeight="1">
      <c r="A118" s="104" t="s">
        <v>2143</v>
      </c>
      <c r="B118" s="105" t="s">
        <v>790</v>
      </c>
      <c r="C118" s="106" t="s">
        <v>778</v>
      </c>
      <c r="D118" s="106" t="s">
        <v>2415</v>
      </c>
      <c r="E118" s="71" t="s">
        <v>779</v>
      </c>
      <c r="F118" s="71" t="s">
        <v>708</v>
      </c>
      <c r="G118" s="109" t="s">
        <v>780</v>
      </c>
      <c r="H118" s="110">
        <v>233</v>
      </c>
      <c r="I118" s="111"/>
      <c r="J118" s="112">
        <v>3964</v>
      </c>
      <c r="K118" s="113">
        <f t="shared" si="12"/>
        <v>4197</v>
      </c>
      <c r="L118" s="210"/>
      <c r="M118" s="115"/>
      <c r="N118" s="112">
        <v>274</v>
      </c>
      <c r="O118" s="115"/>
      <c r="P118" s="122">
        <v>0.95</v>
      </c>
      <c r="Q118" s="111">
        <v>8428</v>
      </c>
      <c r="R118" s="112"/>
      <c r="S118" s="112"/>
      <c r="T118" s="111">
        <f t="shared" si="13"/>
        <v>8007</v>
      </c>
      <c r="U118" s="112"/>
      <c r="V118" s="144"/>
      <c r="W118" s="111">
        <v>16870</v>
      </c>
      <c r="X118" s="113">
        <f t="shared" si="17"/>
        <v>25151</v>
      </c>
      <c r="Y118" s="110"/>
      <c r="Z118" s="111"/>
      <c r="AA118" s="116"/>
      <c r="AB118" s="111">
        <v>16870</v>
      </c>
      <c r="AC118" s="113">
        <f t="shared" si="18"/>
        <v>16870</v>
      </c>
      <c r="AD118" s="110">
        <v>2085</v>
      </c>
      <c r="AE118" s="111">
        <v>1832</v>
      </c>
      <c r="AF118" s="112"/>
      <c r="AG118" s="117">
        <v>944</v>
      </c>
      <c r="AH118" s="111">
        <v>6190</v>
      </c>
      <c r="AI118" s="112">
        <v>1035</v>
      </c>
      <c r="AJ118" s="112">
        <v>50</v>
      </c>
      <c r="AK118" s="113">
        <f t="shared" si="19"/>
        <v>12136</v>
      </c>
      <c r="AL118" s="143">
        <f t="shared" si="20"/>
        <v>144289.69899999999</v>
      </c>
      <c r="AM118" s="112">
        <f t="shared" si="20"/>
        <v>84777.566999999995</v>
      </c>
      <c r="AN118" s="112">
        <f t="shared" si="20"/>
        <v>59512.131999999998</v>
      </c>
      <c r="AO118" s="112">
        <f t="shared" si="20"/>
        <v>3080.6439999999998</v>
      </c>
      <c r="AP118" s="192">
        <f t="shared" si="14"/>
        <v>0.58755106974060567</v>
      </c>
      <c r="AQ118" s="193">
        <f t="shared" si="15"/>
        <v>28231.644</v>
      </c>
      <c r="AR118" s="194">
        <f t="shared" si="16"/>
        <v>-24034.644</v>
      </c>
      <c r="AS118" s="118"/>
      <c r="AT118" s="119"/>
      <c r="AU118" s="119"/>
      <c r="AV118" s="120"/>
      <c r="AW118" s="195"/>
      <c r="AX118" s="112">
        <v>144289699</v>
      </c>
      <c r="AY118" s="162">
        <v>84777567</v>
      </c>
      <c r="AZ118" s="162">
        <v>59512132</v>
      </c>
      <c r="BA118" s="162">
        <v>3080644</v>
      </c>
      <c r="BB118" s="196">
        <f t="shared" si="21"/>
        <v>0.58755106974060567</v>
      </c>
    </row>
    <row r="119" spans="1:54" s="121" customFormat="1" ht="16.5" customHeight="1">
      <c r="A119" s="104" t="s">
        <v>2143</v>
      </c>
      <c r="B119" s="105" t="s">
        <v>1966</v>
      </c>
      <c r="C119" s="106" t="s">
        <v>786</v>
      </c>
      <c r="D119" s="106" t="s">
        <v>2415</v>
      </c>
      <c r="E119" s="71" t="s">
        <v>787</v>
      </c>
      <c r="F119" s="71" t="s">
        <v>708</v>
      </c>
      <c r="G119" s="109" t="s">
        <v>721</v>
      </c>
      <c r="H119" s="110">
        <v>0</v>
      </c>
      <c r="I119" s="111">
        <v>1</v>
      </c>
      <c r="J119" s="112">
        <v>0</v>
      </c>
      <c r="K119" s="113">
        <f t="shared" si="12"/>
        <v>1</v>
      </c>
      <c r="L119" s="210">
        <v>0</v>
      </c>
      <c r="M119" s="115">
        <v>0</v>
      </c>
      <c r="N119" s="115">
        <v>0</v>
      </c>
      <c r="O119" s="111">
        <v>0</v>
      </c>
      <c r="P119" s="145">
        <v>0.18</v>
      </c>
      <c r="Q119" s="111">
        <v>8428</v>
      </c>
      <c r="R119" s="112"/>
      <c r="S119" s="112"/>
      <c r="T119" s="111">
        <f t="shared" si="13"/>
        <v>1517</v>
      </c>
      <c r="U119" s="112">
        <v>0</v>
      </c>
      <c r="V119" s="144">
        <v>3649</v>
      </c>
      <c r="W119" s="111">
        <v>62661</v>
      </c>
      <c r="X119" s="113">
        <f t="shared" si="17"/>
        <v>67827</v>
      </c>
      <c r="Y119" s="110">
        <v>4217</v>
      </c>
      <c r="Z119" s="111">
        <v>1498</v>
      </c>
      <c r="AA119" s="116">
        <v>5277</v>
      </c>
      <c r="AB119" s="111">
        <v>62661</v>
      </c>
      <c r="AC119" s="113">
        <f t="shared" si="18"/>
        <v>73653</v>
      </c>
      <c r="AD119" s="110">
        <v>5097</v>
      </c>
      <c r="AE119" s="111">
        <v>5105</v>
      </c>
      <c r="AF119" s="112">
        <v>0</v>
      </c>
      <c r="AG119" s="117">
        <v>701</v>
      </c>
      <c r="AH119" s="111">
        <v>32935</v>
      </c>
      <c r="AI119" s="112">
        <v>13029</v>
      </c>
      <c r="AJ119" s="112">
        <v>1142</v>
      </c>
      <c r="AK119" s="113">
        <f t="shared" si="19"/>
        <v>58009</v>
      </c>
      <c r="AL119" s="143">
        <f t="shared" si="20"/>
        <v>282709.85200000001</v>
      </c>
      <c r="AM119" s="112">
        <f t="shared" si="20"/>
        <v>168453.674</v>
      </c>
      <c r="AN119" s="112">
        <f t="shared" si="20"/>
        <v>114256.178</v>
      </c>
      <c r="AO119" s="112">
        <f t="shared" si="20"/>
        <v>9739.5640000000003</v>
      </c>
      <c r="AP119" s="192">
        <f t="shared" si="14"/>
        <v>0.5958535679188145</v>
      </c>
      <c r="AQ119" s="193">
        <f t="shared" si="15"/>
        <v>77566.563999999998</v>
      </c>
      <c r="AR119" s="194">
        <f t="shared" si="16"/>
        <v>-77565.563999999998</v>
      </c>
      <c r="AS119" s="118"/>
      <c r="AT119" s="119"/>
      <c r="AU119" s="119"/>
      <c r="AV119" s="120"/>
      <c r="AW119" s="195" t="s">
        <v>1846</v>
      </c>
      <c r="AX119" s="112">
        <v>282709852</v>
      </c>
      <c r="AY119" s="162">
        <v>168453674</v>
      </c>
      <c r="AZ119" s="162">
        <v>114256178</v>
      </c>
      <c r="BA119" s="162">
        <v>9739564</v>
      </c>
      <c r="BB119" s="196">
        <f t="shared" si="21"/>
        <v>0.5958535679188145</v>
      </c>
    </row>
    <row r="120" spans="1:54" s="121" customFormat="1" ht="16.5" customHeight="1">
      <c r="A120" s="104" t="s">
        <v>2143</v>
      </c>
      <c r="B120" s="105" t="s">
        <v>1966</v>
      </c>
      <c r="C120" s="106" t="s">
        <v>791</v>
      </c>
      <c r="D120" s="106" t="s">
        <v>2415</v>
      </c>
      <c r="E120" s="71" t="s">
        <v>792</v>
      </c>
      <c r="F120" s="71" t="s">
        <v>708</v>
      </c>
      <c r="G120" s="109" t="s">
        <v>721</v>
      </c>
      <c r="H120" s="143">
        <v>0</v>
      </c>
      <c r="I120" s="112">
        <v>0</v>
      </c>
      <c r="J120" s="112">
        <v>0</v>
      </c>
      <c r="K120" s="113">
        <f t="shared" si="12"/>
        <v>0</v>
      </c>
      <c r="L120" s="210">
        <v>0</v>
      </c>
      <c r="M120" s="115">
        <v>0</v>
      </c>
      <c r="N120" s="115">
        <v>0</v>
      </c>
      <c r="O120" s="115">
        <v>0</v>
      </c>
      <c r="P120" s="145">
        <v>0.22</v>
      </c>
      <c r="Q120" s="111">
        <v>8428</v>
      </c>
      <c r="R120" s="112"/>
      <c r="S120" s="112"/>
      <c r="T120" s="111">
        <f t="shared" si="13"/>
        <v>1854</v>
      </c>
      <c r="U120" s="115">
        <v>48031</v>
      </c>
      <c r="V120" s="116">
        <v>0</v>
      </c>
      <c r="W120" s="112">
        <v>0</v>
      </c>
      <c r="X120" s="113">
        <f t="shared" si="17"/>
        <v>49885</v>
      </c>
      <c r="Y120" s="110"/>
      <c r="Z120" s="111"/>
      <c r="AA120" s="116"/>
      <c r="AB120" s="111"/>
      <c r="AC120" s="113">
        <f t="shared" si="18"/>
        <v>0</v>
      </c>
      <c r="AD120" s="110"/>
      <c r="AE120" s="111"/>
      <c r="AF120" s="112"/>
      <c r="AG120" s="117"/>
      <c r="AH120" s="111"/>
      <c r="AI120" s="112"/>
      <c r="AJ120" s="112"/>
      <c r="AK120" s="113">
        <f t="shared" si="19"/>
        <v>0</v>
      </c>
      <c r="AL120" s="143">
        <f t="shared" si="20"/>
        <v>0</v>
      </c>
      <c r="AM120" s="112">
        <f t="shared" si="20"/>
        <v>0</v>
      </c>
      <c r="AN120" s="112">
        <f t="shared" si="20"/>
        <v>0</v>
      </c>
      <c r="AO120" s="112">
        <f t="shared" si="20"/>
        <v>0</v>
      </c>
      <c r="AP120" s="192">
        <f t="shared" si="14"/>
        <v>0</v>
      </c>
      <c r="AQ120" s="193">
        <f t="shared" si="15"/>
        <v>49885</v>
      </c>
      <c r="AR120" s="194">
        <f t="shared" si="16"/>
        <v>-49885</v>
      </c>
      <c r="AS120" s="118"/>
      <c r="AT120" s="119"/>
      <c r="AU120" s="119"/>
      <c r="AV120" s="120"/>
      <c r="AW120" s="195"/>
      <c r="AX120" s="112">
        <v>0</v>
      </c>
      <c r="AY120" s="162">
        <v>0</v>
      </c>
      <c r="AZ120" s="162">
        <v>0</v>
      </c>
      <c r="BA120" s="162">
        <v>0</v>
      </c>
      <c r="BB120" s="196">
        <v>0</v>
      </c>
    </row>
    <row r="121" spans="1:54" s="121" customFormat="1" ht="16.5" customHeight="1">
      <c r="A121" s="104" t="s">
        <v>2143</v>
      </c>
      <c r="B121" s="105" t="s">
        <v>1966</v>
      </c>
      <c r="C121" s="106" t="s">
        <v>794</v>
      </c>
      <c r="D121" s="106" t="s">
        <v>2415</v>
      </c>
      <c r="E121" s="71" t="s">
        <v>788</v>
      </c>
      <c r="F121" s="71" t="s">
        <v>708</v>
      </c>
      <c r="G121" s="109" t="s">
        <v>721</v>
      </c>
      <c r="H121" s="110">
        <v>0</v>
      </c>
      <c r="I121" s="111">
        <v>0</v>
      </c>
      <c r="J121" s="112">
        <v>0</v>
      </c>
      <c r="K121" s="113">
        <f t="shared" si="12"/>
        <v>0</v>
      </c>
      <c r="L121" s="210">
        <v>0</v>
      </c>
      <c r="M121" s="115">
        <v>0</v>
      </c>
      <c r="N121" s="115">
        <v>0</v>
      </c>
      <c r="O121" s="111">
        <v>0</v>
      </c>
      <c r="P121" s="145">
        <v>0.18</v>
      </c>
      <c r="Q121" s="111">
        <v>8428</v>
      </c>
      <c r="R121" s="112"/>
      <c r="S121" s="112"/>
      <c r="T121" s="111">
        <f t="shared" si="13"/>
        <v>1517</v>
      </c>
      <c r="U121" s="115">
        <v>0</v>
      </c>
      <c r="V121" s="144">
        <v>851</v>
      </c>
      <c r="W121" s="111">
        <v>45725</v>
      </c>
      <c r="X121" s="113">
        <f t="shared" si="17"/>
        <v>48093</v>
      </c>
      <c r="Y121" s="110">
        <v>8</v>
      </c>
      <c r="Z121" s="111">
        <v>3509</v>
      </c>
      <c r="AA121" s="116">
        <v>2566</v>
      </c>
      <c r="AB121" s="111">
        <v>45725</v>
      </c>
      <c r="AC121" s="113">
        <f t="shared" si="18"/>
        <v>51808</v>
      </c>
      <c r="AD121" s="110">
        <v>2197</v>
      </c>
      <c r="AE121" s="111">
        <v>2549</v>
      </c>
      <c r="AF121" s="112">
        <v>0</v>
      </c>
      <c r="AG121" s="117">
        <v>319</v>
      </c>
      <c r="AH121" s="111">
        <v>36444</v>
      </c>
      <c r="AI121" s="112">
        <v>4379</v>
      </c>
      <c r="AJ121" s="112">
        <v>146</v>
      </c>
      <c r="AK121" s="113">
        <f t="shared" si="19"/>
        <v>46034</v>
      </c>
      <c r="AL121" s="143">
        <f t="shared" si="20"/>
        <v>861938.85499999998</v>
      </c>
      <c r="AM121" s="112">
        <f t="shared" si="20"/>
        <v>533300.29799999995</v>
      </c>
      <c r="AN121" s="112">
        <f t="shared" si="20"/>
        <v>328638.55699999997</v>
      </c>
      <c r="AO121" s="112">
        <f t="shared" si="20"/>
        <v>17238.776999999998</v>
      </c>
      <c r="AP121" s="192">
        <f t="shared" si="14"/>
        <v>0.61872172823674365</v>
      </c>
      <c r="AQ121" s="193">
        <f t="shared" si="15"/>
        <v>65331.777000000002</v>
      </c>
      <c r="AR121" s="194">
        <f t="shared" si="16"/>
        <v>-65331.777000000002</v>
      </c>
      <c r="AS121" s="118"/>
      <c r="AT121" s="119"/>
      <c r="AU121" s="119"/>
      <c r="AV121" s="120"/>
      <c r="AW121" s="195" t="s">
        <v>1846</v>
      </c>
      <c r="AX121" s="112">
        <v>861938855</v>
      </c>
      <c r="AY121" s="162">
        <v>533300298</v>
      </c>
      <c r="AZ121" s="162">
        <v>328638557</v>
      </c>
      <c r="BA121" s="162">
        <v>17238777</v>
      </c>
      <c r="BB121" s="196">
        <f t="shared" si="21"/>
        <v>0.61872172823674365</v>
      </c>
    </row>
    <row r="122" spans="1:54" s="121" customFormat="1" ht="16.5" customHeight="1">
      <c r="A122" s="104" t="s">
        <v>2143</v>
      </c>
      <c r="B122" s="105" t="s">
        <v>1966</v>
      </c>
      <c r="C122" s="106" t="s">
        <v>796</v>
      </c>
      <c r="D122" s="106" t="s">
        <v>2415</v>
      </c>
      <c r="E122" s="71" t="s">
        <v>797</v>
      </c>
      <c r="F122" s="71" t="s">
        <v>708</v>
      </c>
      <c r="G122" s="109" t="s">
        <v>721</v>
      </c>
      <c r="H122" s="110">
        <v>0</v>
      </c>
      <c r="I122" s="111">
        <v>0</v>
      </c>
      <c r="J122" s="112">
        <v>0</v>
      </c>
      <c r="K122" s="113">
        <f t="shared" si="12"/>
        <v>0</v>
      </c>
      <c r="L122" s="210">
        <v>0</v>
      </c>
      <c r="M122" s="115">
        <v>0</v>
      </c>
      <c r="N122" s="115">
        <v>0</v>
      </c>
      <c r="O122" s="111">
        <v>0</v>
      </c>
      <c r="P122" s="145">
        <v>0.18</v>
      </c>
      <c r="Q122" s="111">
        <v>8428</v>
      </c>
      <c r="R122" s="112"/>
      <c r="S122" s="112"/>
      <c r="T122" s="111">
        <f t="shared" si="13"/>
        <v>1517</v>
      </c>
      <c r="U122" s="115">
        <v>0</v>
      </c>
      <c r="V122" s="144">
        <v>0</v>
      </c>
      <c r="W122" s="111">
        <v>14641</v>
      </c>
      <c r="X122" s="113">
        <f t="shared" si="17"/>
        <v>16158</v>
      </c>
      <c r="Y122" s="110">
        <v>166</v>
      </c>
      <c r="Z122" s="111">
        <v>6</v>
      </c>
      <c r="AA122" s="116"/>
      <c r="AB122" s="111">
        <v>14641</v>
      </c>
      <c r="AC122" s="113">
        <f t="shared" si="18"/>
        <v>14813</v>
      </c>
      <c r="AD122" s="110">
        <v>1456</v>
      </c>
      <c r="AE122" s="111">
        <v>3926</v>
      </c>
      <c r="AF122" s="112">
        <v>0</v>
      </c>
      <c r="AG122" s="117">
        <v>102</v>
      </c>
      <c r="AH122" s="111">
        <v>8568</v>
      </c>
      <c r="AI122" s="112">
        <v>0</v>
      </c>
      <c r="AJ122" s="112">
        <v>128</v>
      </c>
      <c r="AK122" s="113">
        <f t="shared" si="19"/>
        <v>14180</v>
      </c>
      <c r="AL122" s="143">
        <f t="shared" si="20"/>
        <v>587769.89300000004</v>
      </c>
      <c r="AM122" s="112">
        <f t="shared" si="20"/>
        <v>121429.96799999999</v>
      </c>
      <c r="AN122" s="112">
        <f t="shared" si="20"/>
        <v>466339.92499999999</v>
      </c>
      <c r="AO122" s="112">
        <f t="shared" si="20"/>
        <v>6437.4719999999998</v>
      </c>
      <c r="AP122" s="192">
        <f t="shared" si="14"/>
        <v>0.20659439934940663</v>
      </c>
      <c r="AQ122" s="193">
        <f t="shared" si="15"/>
        <v>22595.472000000002</v>
      </c>
      <c r="AR122" s="194">
        <f t="shared" si="16"/>
        <v>-22595.472000000002</v>
      </c>
      <c r="AS122" s="118"/>
      <c r="AT122" s="119"/>
      <c r="AU122" s="119"/>
      <c r="AV122" s="120"/>
      <c r="AW122" s="195"/>
      <c r="AX122" s="112">
        <v>587769893</v>
      </c>
      <c r="AY122" s="162">
        <v>121429968</v>
      </c>
      <c r="AZ122" s="162">
        <v>466339925</v>
      </c>
      <c r="BA122" s="162">
        <v>6437472</v>
      </c>
      <c r="BB122" s="196">
        <f t="shared" si="21"/>
        <v>0.20659439934940663</v>
      </c>
    </row>
    <row r="123" spans="1:54" s="121" customFormat="1" ht="16.5" customHeight="1">
      <c r="A123" s="104" t="s">
        <v>2143</v>
      </c>
      <c r="B123" s="105" t="s">
        <v>793</v>
      </c>
      <c r="C123" s="106" t="s">
        <v>800</v>
      </c>
      <c r="D123" s="106" t="s">
        <v>2415</v>
      </c>
      <c r="E123" s="71" t="s">
        <v>801</v>
      </c>
      <c r="F123" s="71" t="s">
        <v>170</v>
      </c>
      <c r="G123" s="109" t="s">
        <v>802</v>
      </c>
      <c r="H123" s="110">
        <v>991</v>
      </c>
      <c r="I123" s="111">
        <v>4</v>
      </c>
      <c r="J123" s="112">
        <v>110</v>
      </c>
      <c r="K123" s="113">
        <f t="shared" si="12"/>
        <v>1105</v>
      </c>
      <c r="L123" s="110">
        <v>9039</v>
      </c>
      <c r="M123" s="111">
        <v>31799</v>
      </c>
      <c r="N123" s="112"/>
      <c r="O123" s="111">
        <v>4418</v>
      </c>
      <c r="P123" s="114">
        <v>11</v>
      </c>
      <c r="Q123" s="111">
        <v>8428</v>
      </c>
      <c r="R123" s="115">
        <v>43815</v>
      </c>
      <c r="S123" s="115"/>
      <c r="T123" s="111">
        <f t="shared" si="13"/>
        <v>136523</v>
      </c>
      <c r="U123" s="112">
        <v>57593</v>
      </c>
      <c r="V123" s="116">
        <v>32016</v>
      </c>
      <c r="W123" s="112"/>
      <c r="X123" s="113">
        <f t="shared" si="17"/>
        <v>271388</v>
      </c>
      <c r="Y123" s="110"/>
      <c r="Z123" s="111"/>
      <c r="AA123" s="116"/>
      <c r="AB123" s="111"/>
      <c r="AC123" s="113">
        <f t="shared" si="18"/>
        <v>0</v>
      </c>
      <c r="AD123" s="110"/>
      <c r="AE123" s="111"/>
      <c r="AF123" s="112"/>
      <c r="AG123" s="117"/>
      <c r="AH123" s="111"/>
      <c r="AI123" s="112"/>
      <c r="AJ123" s="112"/>
      <c r="AK123" s="113">
        <f t="shared" si="19"/>
        <v>0</v>
      </c>
      <c r="AL123" s="143">
        <f t="shared" si="20"/>
        <v>1937026.6</v>
      </c>
      <c r="AM123" s="112">
        <f t="shared" si="20"/>
        <v>626053.71600000001</v>
      </c>
      <c r="AN123" s="112">
        <f t="shared" si="20"/>
        <v>1310972.8840000001</v>
      </c>
      <c r="AO123" s="112">
        <f t="shared" si="20"/>
        <v>70492.244000000006</v>
      </c>
      <c r="AP123" s="192">
        <f t="shared" si="14"/>
        <v>0.32320346865654814</v>
      </c>
      <c r="AQ123" s="193">
        <f t="shared" si="15"/>
        <v>341880.24400000001</v>
      </c>
      <c r="AR123" s="194">
        <f t="shared" si="16"/>
        <v>-340775.24400000001</v>
      </c>
      <c r="AS123" s="118"/>
      <c r="AT123" s="119"/>
      <c r="AU123" s="119"/>
      <c r="AV123" s="120"/>
      <c r="AW123" s="195"/>
      <c r="AX123" s="112">
        <v>1937026600</v>
      </c>
      <c r="AY123" s="162">
        <v>626053716</v>
      </c>
      <c r="AZ123" s="162">
        <v>1310972884</v>
      </c>
      <c r="BA123" s="162">
        <v>70492244</v>
      </c>
      <c r="BB123" s="196">
        <f t="shared" si="21"/>
        <v>0.32320346865654814</v>
      </c>
    </row>
    <row r="124" spans="1:54" s="121" customFormat="1" ht="16.5" customHeight="1">
      <c r="A124" s="104" t="s">
        <v>2143</v>
      </c>
      <c r="B124" s="105" t="s">
        <v>795</v>
      </c>
      <c r="C124" s="106" t="s">
        <v>812</v>
      </c>
      <c r="D124" s="106" t="s">
        <v>2415</v>
      </c>
      <c r="E124" s="71" t="s">
        <v>813</v>
      </c>
      <c r="F124" s="71" t="s">
        <v>170</v>
      </c>
      <c r="G124" s="109" t="s">
        <v>802</v>
      </c>
      <c r="H124" s="110"/>
      <c r="I124" s="111"/>
      <c r="J124" s="112"/>
      <c r="K124" s="113">
        <f t="shared" si="12"/>
        <v>0</v>
      </c>
      <c r="L124" s="110"/>
      <c r="M124" s="111"/>
      <c r="N124" s="112"/>
      <c r="O124" s="111"/>
      <c r="P124" s="122">
        <v>0.21</v>
      </c>
      <c r="Q124" s="111">
        <v>8428</v>
      </c>
      <c r="R124" s="112"/>
      <c r="S124" s="112"/>
      <c r="T124" s="111">
        <f t="shared" si="13"/>
        <v>1770</v>
      </c>
      <c r="U124" s="112"/>
      <c r="V124" s="116"/>
      <c r="W124" s="111">
        <v>34464</v>
      </c>
      <c r="X124" s="113">
        <f t="shared" si="17"/>
        <v>36234</v>
      </c>
      <c r="Y124" s="110"/>
      <c r="Z124" s="111"/>
      <c r="AA124" s="116">
        <v>616</v>
      </c>
      <c r="AB124" s="111">
        <v>34464</v>
      </c>
      <c r="AC124" s="113">
        <f t="shared" si="18"/>
        <v>35080</v>
      </c>
      <c r="AD124" s="110"/>
      <c r="AE124" s="111"/>
      <c r="AF124" s="112"/>
      <c r="AG124" s="117">
        <v>249</v>
      </c>
      <c r="AH124" s="111">
        <v>32112</v>
      </c>
      <c r="AI124" s="112">
        <v>1445</v>
      </c>
      <c r="AJ124" s="112"/>
      <c r="AK124" s="113">
        <f t="shared" si="19"/>
        <v>33806</v>
      </c>
      <c r="AL124" s="143">
        <f t="shared" si="20"/>
        <v>351701.93860259518</v>
      </c>
      <c r="AM124" s="112">
        <f t="shared" si="20"/>
        <v>147441.26005752853</v>
      </c>
      <c r="AN124" s="112">
        <f t="shared" si="20"/>
        <v>204260.67854506662</v>
      </c>
      <c r="AO124" s="112">
        <f t="shared" si="20"/>
        <v>5429.4082083973899</v>
      </c>
      <c r="AP124" s="192">
        <f t="shared" si="14"/>
        <v>0.4192221988975996</v>
      </c>
      <c r="AQ124" s="193">
        <f t="shared" si="15"/>
        <v>41663.408208397392</v>
      </c>
      <c r="AR124" s="194">
        <f t="shared" si="16"/>
        <v>-41663.408208397392</v>
      </c>
      <c r="AS124" s="118"/>
      <c r="AT124" s="119"/>
      <c r="AU124" s="119"/>
      <c r="AV124" s="120"/>
      <c r="AW124" s="195" t="s">
        <v>1846</v>
      </c>
      <c r="AX124" s="112">
        <v>351701938.60259521</v>
      </c>
      <c r="AY124" s="162">
        <v>147441260.05752853</v>
      </c>
      <c r="AZ124" s="162">
        <v>204260678.54506662</v>
      </c>
      <c r="BA124" s="162">
        <v>5429408.2083973903</v>
      </c>
      <c r="BB124" s="196">
        <f t="shared" si="21"/>
        <v>0.4192221988975996</v>
      </c>
    </row>
    <row r="125" spans="1:54" s="121" customFormat="1" ht="16.5" customHeight="1">
      <c r="A125" s="104" t="s">
        <v>2143</v>
      </c>
      <c r="B125" s="105" t="s">
        <v>799</v>
      </c>
      <c r="C125" s="106" t="s">
        <v>818</v>
      </c>
      <c r="D125" s="106" t="s">
        <v>2415</v>
      </c>
      <c r="E125" s="71" t="s">
        <v>819</v>
      </c>
      <c r="F125" s="71" t="s">
        <v>170</v>
      </c>
      <c r="G125" s="109" t="s">
        <v>802</v>
      </c>
      <c r="H125" s="110"/>
      <c r="I125" s="111"/>
      <c r="J125" s="112"/>
      <c r="K125" s="113">
        <f t="shared" si="12"/>
        <v>0</v>
      </c>
      <c r="L125" s="110"/>
      <c r="M125" s="115"/>
      <c r="N125" s="115"/>
      <c r="O125" s="115"/>
      <c r="P125" s="122">
        <v>0.19</v>
      </c>
      <c r="Q125" s="111">
        <v>8428</v>
      </c>
      <c r="R125" s="112"/>
      <c r="S125" s="112"/>
      <c r="T125" s="111">
        <f t="shared" si="13"/>
        <v>1601</v>
      </c>
      <c r="U125" s="115"/>
      <c r="V125" s="116"/>
      <c r="W125" s="111">
        <v>28163</v>
      </c>
      <c r="X125" s="113">
        <f t="shared" si="17"/>
        <v>29764</v>
      </c>
      <c r="Y125" s="110"/>
      <c r="Z125" s="111"/>
      <c r="AA125" s="116">
        <v>5</v>
      </c>
      <c r="AB125" s="111">
        <v>28163</v>
      </c>
      <c r="AC125" s="113">
        <f t="shared" si="18"/>
        <v>28168</v>
      </c>
      <c r="AD125" s="110"/>
      <c r="AE125" s="111"/>
      <c r="AF125" s="112"/>
      <c r="AG125" s="117">
        <v>83</v>
      </c>
      <c r="AH125" s="111">
        <v>26349</v>
      </c>
      <c r="AI125" s="112">
        <v>1533</v>
      </c>
      <c r="AJ125" s="112"/>
      <c r="AK125" s="113">
        <f t="shared" si="19"/>
        <v>27965</v>
      </c>
      <c r="AL125" s="143">
        <f t="shared" si="20"/>
        <v>252574.19883883296</v>
      </c>
      <c r="AM125" s="112">
        <f t="shared" si="20"/>
        <v>142083.81544038063</v>
      </c>
      <c r="AN125" s="112">
        <f t="shared" si="20"/>
        <v>110490.38339845232</v>
      </c>
      <c r="AO125" s="112">
        <f t="shared" si="20"/>
        <v>3656.1054307124055</v>
      </c>
      <c r="AP125" s="192">
        <f t="shared" si="14"/>
        <v>0.56254287292046012</v>
      </c>
      <c r="AQ125" s="193">
        <f t="shared" si="15"/>
        <v>33420.105430712407</v>
      </c>
      <c r="AR125" s="194">
        <f t="shared" si="16"/>
        <v>-33420.105430712407</v>
      </c>
      <c r="AS125" s="118"/>
      <c r="AT125" s="119"/>
      <c r="AU125" s="119"/>
      <c r="AV125" s="120"/>
      <c r="AW125" s="195" t="s">
        <v>1846</v>
      </c>
      <c r="AX125" s="112">
        <v>252574198.83883297</v>
      </c>
      <c r="AY125" s="162">
        <v>142083815.44038063</v>
      </c>
      <c r="AZ125" s="162">
        <v>110490383.39845233</v>
      </c>
      <c r="BA125" s="162">
        <v>3656105.4307124056</v>
      </c>
      <c r="BB125" s="196">
        <f t="shared" si="21"/>
        <v>0.56254287292046012</v>
      </c>
    </row>
    <row r="126" spans="1:54" s="121" customFormat="1" ht="16.5" customHeight="1">
      <c r="A126" s="104" t="s">
        <v>2143</v>
      </c>
      <c r="B126" s="105" t="s">
        <v>811</v>
      </c>
      <c r="C126" s="106" t="s">
        <v>822</v>
      </c>
      <c r="D126" s="106" t="s">
        <v>2415</v>
      </c>
      <c r="E126" s="71" t="s">
        <v>823</v>
      </c>
      <c r="F126" s="71" t="s">
        <v>170</v>
      </c>
      <c r="G126" s="109" t="s">
        <v>802</v>
      </c>
      <c r="H126" s="110"/>
      <c r="I126" s="111"/>
      <c r="J126" s="112"/>
      <c r="K126" s="113">
        <f t="shared" si="12"/>
        <v>0</v>
      </c>
      <c r="L126" s="110"/>
      <c r="M126" s="111"/>
      <c r="N126" s="112">
        <v>3513</v>
      </c>
      <c r="O126" s="111"/>
      <c r="P126" s="114"/>
      <c r="Q126" s="111">
        <v>8428</v>
      </c>
      <c r="R126" s="115">
        <v>7303</v>
      </c>
      <c r="S126" s="115"/>
      <c r="T126" s="111">
        <f t="shared" si="13"/>
        <v>7303</v>
      </c>
      <c r="U126" s="112"/>
      <c r="V126" s="116"/>
      <c r="W126" s="112"/>
      <c r="X126" s="113">
        <f t="shared" si="17"/>
        <v>10816</v>
      </c>
      <c r="Y126" s="110"/>
      <c r="Z126" s="111"/>
      <c r="AA126" s="116"/>
      <c r="AB126" s="111"/>
      <c r="AC126" s="113">
        <f t="shared" si="18"/>
        <v>0</v>
      </c>
      <c r="AD126" s="110"/>
      <c r="AE126" s="111"/>
      <c r="AF126" s="112"/>
      <c r="AG126" s="117"/>
      <c r="AH126" s="111"/>
      <c r="AI126" s="112"/>
      <c r="AJ126" s="112"/>
      <c r="AK126" s="113">
        <f t="shared" si="19"/>
        <v>0</v>
      </c>
      <c r="AL126" s="143">
        <f t="shared" si="20"/>
        <v>18354</v>
      </c>
      <c r="AM126" s="112">
        <f t="shared" si="20"/>
        <v>3670.8</v>
      </c>
      <c r="AN126" s="112">
        <f t="shared" si="20"/>
        <v>14683.2</v>
      </c>
      <c r="AO126" s="112">
        <f t="shared" si="20"/>
        <v>367.08</v>
      </c>
      <c r="AP126" s="192">
        <f t="shared" si="14"/>
        <v>0.2</v>
      </c>
      <c r="AQ126" s="193">
        <f t="shared" si="15"/>
        <v>11183.08</v>
      </c>
      <c r="AR126" s="194">
        <f t="shared" si="16"/>
        <v>-11183.08</v>
      </c>
      <c r="AS126" s="118"/>
      <c r="AT126" s="119"/>
      <c r="AU126" s="119"/>
      <c r="AV126" s="120"/>
      <c r="AW126" s="195"/>
      <c r="AX126" s="112">
        <v>18354000</v>
      </c>
      <c r="AY126" s="162">
        <v>3670800</v>
      </c>
      <c r="AZ126" s="162">
        <v>14683200</v>
      </c>
      <c r="BA126" s="162">
        <v>367080</v>
      </c>
      <c r="BB126" s="196">
        <f t="shared" si="21"/>
        <v>0.2</v>
      </c>
    </row>
    <row r="127" spans="1:54" s="121" customFormat="1" ht="16.5" customHeight="1">
      <c r="A127" s="104" t="s">
        <v>2143</v>
      </c>
      <c r="B127" s="105" t="s">
        <v>817</v>
      </c>
      <c r="C127" s="106" t="s">
        <v>830</v>
      </c>
      <c r="D127" s="106" t="s">
        <v>2415</v>
      </c>
      <c r="E127" s="71" t="s">
        <v>831</v>
      </c>
      <c r="F127" s="71" t="s">
        <v>170</v>
      </c>
      <c r="G127" s="109" t="s">
        <v>802</v>
      </c>
      <c r="H127" s="110"/>
      <c r="I127" s="111"/>
      <c r="J127" s="112"/>
      <c r="K127" s="113">
        <f t="shared" si="12"/>
        <v>0</v>
      </c>
      <c r="L127" s="110"/>
      <c r="M127" s="111"/>
      <c r="N127" s="112"/>
      <c r="O127" s="111"/>
      <c r="P127" s="122">
        <v>0.4</v>
      </c>
      <c r="Q127" s="111">
        <v>8428</v>
      </c>
      <c r="R127" s="112"/>
      <c r="S127" s="112"/>
      <c r="T127" s="111">
        <f t="shared" si="13"/>
        <v>3371</v>
      </c>
      <c r="U127" s="112"/>
      <c r="V127" s="116"/>
      <c r="W127" s="111">
        <v>9831</v>
      </c>
      <c r="X127" s="113">
        <f t="shared" si="17"/>
        <v>13202</v>
      </c>
      <c r="Y127" s="110"/>
      <c r="Z127" s="111"/>
      <c r="AA127" s="116"/>
      <c r="AB127" s="111">
        <v>9831</v>
      </c>
      <c r="AC127" s="113">
        <f t="shared" si="18"/>
        <v>9831</v>
      </c>
      <c r="AD127" s="110">
        <v>205</v>
      </c>
      <c r="AE127" s="111"/>
      <c r="AF127" s="112"/>
      <c r="AG127" s="117"/>
      <c r="AH127" s="111">
        <v>8465</v>
      </c>
      <c r="AI127" s="112">
        <v>251</v>
      </c>
      <c r="AJ127" s="112"/>
      <c r="AK127" s="113">
        <f t="shared" si="19"/>
        <v>8921</v>
      </c>
      <c r="AL127" s="143">
        <f t="shared" si="20"/>
        <v>29833.422066264204</v>
      </c>
      <c r="AM127" s="112">
        <f t="shared" si="20"/>
        <v>5642.7907384608079</v>
      </c>
      <c r="AN127" s="112">
        <f t="shared" si="20"/>
        <v>24190.631327803399</v>
      </c>
      <c r="AO127" s="112">
        <f t="shared" si="20"/>
        <v>1128.5581476921616</v>
      </c>
      <c r="AP127" s="192">
        <f t="shared" si="14"/>
        <v>0.18914326106899101</v>
      </c>
      <c r="AQ127" s="193">
        <f t="shared" si="15"/>
        <v>14330.558147692162</v>
      </c>
      <c r="AR127" s="194">
        <f t="shared" si="16"/>
        <v>-14330.558147692162</v>
      </c>
      <c r="AS127" s="118"/>
      <c r="AT127" s="119"/>
      <c r="AU127" s="119"/>
      <c r="AV127" s="120"/>
      <c r="AW127" s="195" t="s">
        <v>1846</v>
      </c>
      <c r="AX127" s="112">
        <v>29833422.066264205</v>
      </c>
      <c r="AY127" s="162">
        <v>5642790.7384608081</v>
      </c>
      <c r="AZ127" s="162">
        <v>24190631.327803399</v>
      </c>
      <c r="BA127" s="162">
        <v>1128558.1476921616</v>
      </c>
      <c r="BB127" s="196">
        <f t="shared" si="21"/>
        <v>0.18914326106899101</v>
      </c>
    </row>
    <row r="128" spans="1:54" s="121" customFormat="1" ht="16.5" customHeight="1">
      <c r="A128" s="104" t="s">
        <v>2143</v>
      </c>
      <c r="B128" s="105" t="s">
        <v>821</v>
      </c>
      <c r="C128" s="106" t="s">
        <v>834</v>
      </c>
      <c r="D128" s="106" t="s">
        <v>2415</v>
      </c>
      <c r="E128" s="71" t="s">
        <v>835</v>
      </c>
      <c r="F128" s="71" t="s">
        <v>170</v>
      </c>
      <c r="G128" s="109" t="s">
        <v>2187</v>
      </c>
      <c r="H128" s="110">
        <v>470</v>
      </c>
      <c r="I128" s="111"/>
      <c r="J128" s="112">
        <v>115</v>
      </c>
      <c r="K128" s="113">
        <f t="shared" si="12"/>
        <v>585</v>
      </c>
      <c r="L128" s="110">
        <v>11112</v>
      </c>
      <c r="M128" s="111">
        <v>4010</v>
      </c>
      <c r="N128" s="112"/>
      <c r="O128" s="111">
        <v>3902</v>
      </c>
      <c r="P128" s="114">
        <v>1</v>
      </c>
      <c r="Q128" s="111">
        <v>8428</v>
      </c>
      <c r="R128" s="115">
        <v>13836</v>
      </c>
      <c r="S128" s="115">
        <v>0</v>
      </c>
      <c r="T128" s="111">
        <f t="shared" si="13"/>
        <v>22264</v>
      </c>
      <c r="U128" s="112">
        <v>17419</v>
      </c>
      <c r="V128" s="116">
        <v>3</v>
      </c>
      <c r="W128" s="111"/>
      <c r="X128" s="113">
        <f t="shared" si="17"/>
        <v>58710</v>
      </c>
      <c r="Y128" s="110"/>
      <c r="Z128" s="111"/>
      <c r="AA128" s="116"/>
      <c r="AB128" s="111"/>
      <c r="AC128" s="113">
        <f t="shared" si="18"/>
        <v>0</v>
      </c>
      <c r="AD128" s="110"/>
      <c r="AE128" s="111"/>
      <c r="AF128" s="112"/>
      <c r="AG128" s="117"/>
      <c r="AH128" s="111"/>
      <c r="AI128" s="112"/>
      <c r="AJ128" s="112"/>
      <c r="AK128" s="113">
        <f t="shared" si="19"/>
        <v>0</v>
      </c>
      <c r="AL128" s="143">
        <f t="shared" si="20"/>
        <v>2215360.4500000002</v>
      </c>
      <c r="AM128" s="112">
        <f t="shared" si="20"/>
        <v>1623460.7239999999</v>
      </c>
      <c r="AN128" s="112">
        <f t="shared" si="20"/>
        <v>591899.72600000002</v>
      </c>
      <c r="AO128" s="112">
        <f t="shared" si="20"/>
        <v>59858.392</v>
      </c>
      <c r="AP128" s="192">
        <f t="shared" si="14"/>
        <v>0.73282012595286694</v>
      </c>
      <c r="AQ128" s="193">
        <f t="shared" si="15"/>
        <v>118568.39199999999</v>
      </c>
      <c r="AR128" s="194">
        <f t="shared" si="16"/>
        <v>-117983.39199999999</v>
      </c>
      <c r="AS128" s="118"/>
      <c r="AT128" s="119"/>
      <c r="AU128" s="119"/>
      <c r="AV128" s="120"/>
      <c r="AW128" s="195"/>
      <c r="AX128" s="112">
        <v>2215360450</v>
      </c>
      <c r="AY128" s="162">
        <v>1623460724</v>
      </c>
      <c r="AZ128" s="162">
        <v>591899726</v>
      </c>
      <c r="BA128" s="162">
        <v>59858392</v>
      </c>
      <c r="BB128" s="196">
        <f t="shared" si="21"/>
        <v>0.73282012595286694</v>
      </c>
    </row>
    <row r="129" spans="1:54" s="121" customFormat="1" ht="16.5" customHeight="1">
      <c r="A129" s="104" t="s">
        <v>2143</v>
      </c>
      <c r="B129" s="105" t="s">
        <v>829</v>
      </c>
      <c r="C129" s="106" t="s">
        <v>850</v>
      </c>
      <c r="D129" s="106" t="s">
        <v>2415</v>
      </c>
      <c r="E129" s="71" t="s">
        <v>851</v>
      </c>
      <c r="F129" s="71" t="s">
        <v>170</v>
      </c>
      <c r="G129" s="109" t="s">
        <v>2187</v>
      </c>
      <c r="H129" s="110">
        <v>335</v>
      </c>
      <c r="I129" s="111"/>
      <c r="J129" s="112">
        <v>5</v>
      </c>
      <c r="K129" s="113">
        <f t="shared" si="12"/>
        <v>340</v>
      </c>
      <c r="L129" s="110">
        <v>7185</v>
      </c>
      <c r="M129" s="111">
        <v>4064</v>
      </c>
      <c r="N129" s="112"/>
      <c r="O129" s="111">
        <v>1933</v>
      </c>
      <c r="P129" s="114">
        <v>1</v>
      </c>
      <c r="Q129" s="111">
        <v>8428</v>
      </c>
      <c r="R129" s="115">
        <v>10344</v>
      </c>
      <c r="S129" s="115">
        <v>0</v>
      </c>
      <c r="T129" s="111">
        <f t="shared" si="13"/>
        <v>18772</v>
      </c>
      <c r="U129" s="112">
        <v>14738</v>
      </c>
      <c r="V129" s="116">
        <v>79</v>
      </c>
      <c r="W129" s="111"/>
      <c r="X129" s="113">
        <f t="shared" si="17"/>
        <v>46771</v>
      </c>
      <c r="Y129" s="110"/>
      <c r="Z129" s="111"/>
      <c r="AA129" s="116"/>
      <c r="AB129" s="111"/>
      <c r="AC129" s="113">
        <f t="shared" si="18"/>
        <v>0</v>
      </c>
      <c r="AD129" s="110"/>
      <c r="AE129" s="111"/>
      <c r="AF129" s="112"/>
      <c r="AG129" s="117"/>
      <c r="AH129" s="111"/>
      <c r="AI129" s="112"/>
      <c r="AJ129" s="112"/>
      <c r="AK129" s="113">
        <f t="shared" si="19"/>
        <v>0</v>
      </c>
      <c r="AL129" s="143">
        <f t="shared" si="20"/>
        <v>2620164.2650000001</v>
      </c>
      <c r="AM129" s="112">
        <f t="shared" si="20"/>
        <v>1637705.9680000001</v>
      </c>
      <c r="AN129" s="112">
        <f t="shared" si="20"/>
        <v>982458.29700000002</v>
      </c>
      <c r="AO129" s="112">
        <f t="shared" si="20"/>
        <v>54036.97</v>
      </c>
      <c r="AP129" s="192">
        <f t="shared" si="14"/>
        <v>0.62503942591553507</v>
      </c>
      <c r="AQ129" s="193">
        <f t="shared" si="15"/>
        <v>100807.97</v>
      </c>
      <c r="AR129" s="194">
        <f t="shared" si="16"/>
        <v>-100467.97</v>
      </c>
      <c r="AS129" s="118"/>
      <c r="AT129" s="119"/>
      <c r="AU129" s="119"/>
      <c r="AV129" s="120"/>
      <c r="AW129" s="195"/>
      <c r="AX129" s="112">
        <v>2620164265</v>
      </c>
      <c r="AY129" s="162">
        <v>1637705968</v>
      </c>
      <c r="AZ129" s="162">
        <v>982458297</v>
      </c>
      <c r="BA129" s="162">
        <v>54036970</v>
      </c>
      <c r="BB129" s="196">
        <f t="shared" si="21"/>
        <v>0.62503942591553507</v>
      </c>
    </row>
    <row r="130" spans="1:54" s="121" customFormat="1" ht="16.5" customHeight="1">
      <c r="A130" s="104" t="s">
        <v>2143</v>
      </c>
      <c r="B130" s="105" t="s">
        <v>833</v>
      </c>
      <c r="C130" s="106" t="s">
        <v>856</v>
      </c>
      <c r="D130" s="106" t="s">
        <v>2415</v>
      </c>
      <c r="E130" s="71" t="s">
        <v>857</v>
      </c>
      <c r="F130" s="71" t="s">
        <v>170</v>
      </c>
      <c r="G130" s="109" t="s">
        <v>2187</v>
      </c>
      <c r="H130" s="110">
        <v>463</v>
      </c>
      <c r="I130" s="111"/>
      <c r="J130" s="112">
        <v>76</v>
      </c>
      <c r="K130" s="113">
        <f t="shared" si="12"/>
        <v>539</v>
      </c>
      <c r="L130" s="110">
        <v>6996</v>
      </c>
      <c r="M130" s="111">
        <v>4024</v>
      </c>
      <c r="N130" s="112"/>
      <c r="O130" s="111">
        <v>1439</v>
      </c>
      <c r="P130" s="114">
        <v>1</v>
      </c>
      <c r="Q130" s="111">
        <v>8428</v>
      </c>
      <c r="R130" s="115">
        <v>10619</v>
      </c>
      <c r="S130" s="115">
        <v>0</v>
      </c>
      <c r="T130" s="111">
        <f t="shared" si="13"/>
        <v>19047</v>
      </c>
      <c r="U130" s="112">
        <v>16530</v>
      </c>
      <c r="V130" s="116">
        <v>78</v>
      </c>
      <c r="W130" s="111"/>
      <c r="X130" s="113">
        <f t="shared" si="17"/>
        <v>48114</v>
      </c>
      <c r="Y130" s="110"/>
      <c r="Z130" s="111"/>
      <c r="AA130" s="116"/>
      <c r="AB130" s="111"/>
      <c r="AC130" s="113">
        <f t="shared" si="18"/>
        <v>0</v>
      </c>
      <c r="AD130" s="110"/>
      <c r="AE130" s="111"/>
      <c r="AF130" s="112"/>
      <c r="AG130" s="117"/>
      <c r="AH130" s="111"/>
      <c r="AI130" s="112"/>
      <c r="AJ130" s="112"/>
      <c r="AK130" s="113">
        <f t="shared" si="19"/>
        <v>0</v>
      </c>
      <c r="AL130" s="143">
        <f t="shared" si="20"/>
        <v>2964247.5090000001</v>
      </c>
      <c r="AM130" s="112">
        <f t="shared" si="20"/>
        <v>1707903.9469999999</v>
      </c>
      <c r="AN130" s="112">
        <f t="shared" si="20"/>
        <v>1256343.5619999999</v>
      </c>
      <c r="AO130" s="112">
        <f t="shared" si="20"/>
        <v>48779.26</v>
      </c>
      <c r="AP130" s="192">
        <f t="shared" si="14"/>
        <v>0.57616779361861314</v>
      </c>
      <c r="AQ130" s="193">
        <f t="shared" si="15"/>
        <v>96893.260000000009</v>
      </c>
      <c r="AR130" s="194">
        <f t="shared" si="16"/>
        <v>-96354.260000000009</v>
      </c>
      <c r="AS130" s="118"/>
      <c r="AT130" s="119"/>
      <c r="AU130" s="119"/>
      <c r="AV130" s="120"/>
      <c r="AW130" s="195"/>
      <c r="AX130" s="112">
        <v>2964247509</v>
      </c>
      <c r="AY130" s="162">
        <v>1707903947</v>
      </c>
      <c r="AZ130" s="162">
        <v>1256343562</v>
      </c>
      <c r="BA130" s="162">
        <v>48779260</v>
      </c>
      <c r="BB130" s="196">
        <f t="shared" si="21"/>
        <v>0.57616779361861314</v>
      </c>
    </row>
    <row r="131" spans="1:54" s="121" customFormat="1" ht="16.5" customHeight="1">
      <c r="A131" s="104" t="s">
        <v>2143</v>
      </c>
      <c r="B131" s="105" t="s">
        <v>849</v>
      </c>
      <c r="C131" s="106" t="s">
        <v>864</v>
      </c>
      <c r="D131" s="106" t="s">
        <v>2415</v>
      </c>
      <c r="E131" s="71" t="s">
        <v>865</v>
      </c>
      <c r="F131" s="71" t="s">
        <v>170</v>
      </c>
      <c r="G131" s="109" t="s">
        <v>2187</v>
      </c>
      <c r="H131" s="110">
        <v>79</v>
      </c>
      <c r="I131" s="111"/>
      <c r="J131" s="112">
        <v>44</v>
      </c>
      <c r="K131" s="113">
        <f t="shared" si="12"/>
        <v>123</v>
      </c>
      <c r="L131" s="110">
        <v>12441</v>
      </c>
      <c r="M131" s="111">
        <v>3582</v>
      </c>
      <c r="N131" s="112"/>
      <c r="O131" s="111">
        <v>2012</v>
      </c>
      <c r="P131" s="114">
        <v>1</v>
      </c>
      <c r="Q131" s="111">
        <v>8428</v>
      </c>
      <c r="R131" s="115">
        <v>7249</v>
      </c>
      <c r="S131" s="115">
        <v>0</v>
      </c>
      <c r="T131" s="111">
        <f t="shared" si="13"/>
        <v>15677</v>
      </c>
      <c r="U131" s="112">
        <v>11211</v>
      </c>
      <c r="V131" s="116">
        <v>75</v>
      </c>
      <c r="W131" s="111"/>
      <c r="X131" s="113">
        <f t="shared" si="17"/>
        <v>44998</v>
      </c>
      <c r="Y131" s="110"/>
      <c r="Z131" s="111"/>
      <c r="AA131" s="116"/>
      <c r="AB131" s="111"/>
      <c r="AC131" s="113">
        <f t="shared" si="18"/>
        <v>0</v>
      </c>
      <c r="AD131" s="110"/>
      <c r="AE131" s="111"/>
      <c r="AF131" s="112"/>
      <c r="AG131" s="117"/>
      <c r="AH131" s="111"/>
      <c r="AI131" s="112"/>
      <c r="AJ131" s="112"/>
      <c r="AK131" s="113">
        <f t="shared" si="19"/>
        <v>0</v>
      </c>
      <c r="AL131" s="143">
        <f t="shared" si="20"/>
        <v>1900691.798</v>
      </c>
      <c r="AM131" s="112">
        <f t="shared" si="20"/>
        <v>1247027.297</v>
      </c>
      <c r="AN131" s="112">
        <f t="shared" si="20"/>
        <v>653664.50100000005</v>
      </c>
      <c r="AO131" s="112">
        <f t="shared" si="20"/>
        <v>47208.743999999999</v>
      </c>
      <c r="AP131" s="192">
        <f t="shared" si="14"/>
        <v>0.6560912707216302</v>
      </c>
      <c r="AQ131" s="193">
        <f t="shared" si="15"/>
        <v>92206.744000000006</v>
      </c>
      <c r="AR131" s="194">
        <f t="shared" si="16"/>
        <v>-92083.744000000006</v>
      </c>
      <c r="AS131" s="118"/>
      <c r="AT131" s="119"/>
      <c r="AU131" s="119"/>
      <c r="AV131" s="120"/>
      <c r="AW131" s="195"/>
      <c r="AX131" s="112">
        <v>1900691798</v>
      </c>
      <c r="AY131" s="162">
        <v>1247027297</v>
      </c>
      <c r="AZ131" s="162">
        <v>653664501</v>
      </c>
      <c r="BA131" s="162">
        <v>47208744</v>
      </c>
      <c r="BB131" s="196">
        <f t="shared" si="21"/>
        <v>0.6560912707216302</v>
      </c>
    </row>
    <row r="132" spans="1:54" s="121" customFormat="1" ht="16.5" customHeight="1">
      <c r="A132" s="104" t="s">
        <v>2143</v>
      </c>
      <c r="B132" s="105" t="s">
        <v>855</v>
      </c>
      <c r="C132" s="106" t="s">
        <v>870</v>
      </c>
      <c r="D132" s="106" t="s">
        <v>2415</v>
      </c>
      <c r="E132" s="71" t="s">
        <v>871</v>
      </c>
      <c r="F132" s="71" t="s">
        <v>170</v>
      </c>
      <c r="G132" s="109" t="s">
        <v>2187</v>
      </c>
      <c r="H132" s="110">
        <v>311</v>
      </c>
      <c r="I132" s="111"/>
      <c r="J132" s="112">
        <v>48</v>
      </c>
      <c r="K132" s="113">
        <f t="shared" ref="K132:K195" si="22">SUBTOTAL(9,H132:J132)</f>
        <v>359</v>
      </c>
      <c r="L132" s="110">
        <v>8629</v>
      </c>
      <c r="M132" s="111">
        <v>3548</v>
      </c>
      <c r="N132" s="112"/>
      <c r="O132" s="111">
        <v>4834</v>
      </c>
      <c r="P132" s="114">
        <v>1</v>
      </c>
      <c r="Q132" s="111">
        <v>8428</v>
      </c>
      <c r="R132" s="115">
        <v>12012</v>
      </c>
      <c r="S132" s="115">
        <v>0</v>
      </c>
      <c r="T132" s="111">
        <f t="shared" ref="T132:T195" si="23">ROUND(P132*Q132,0)+R132+S132</f>
        <v>20440</v>
      </c>
      <c r="U132" s="112">
        <v>14276</v>
      </c>
      <c r="V132" s="116">
        <v>5</v>
      </c>
      <c r="W132" s="111"/>
      <c r="X132" s="113">
        <f t="shared" si="17"/>
        <v>51732</v>
      </c>
      <c r="Y132" s="110"/>
      <c r="Z132" s="111"/>
      <c r="AA132" s="116"/>
      <c r="AB132" s="111"/>
      <c r="AC132" s="113">
        <f t="shared" si="18"/>
        <v>0</v>
      </c>
      <c r="AD132" s="110"/>
      <c r="AE132" s="111"/>
      <c r="AF132" s="112"/>
      <c r="AG132" s="117"/>
      <c r="AH132" s="111"/>
      <c r="AI132" s="112"/>
      <c r="AJ132" s="112"/>
      <c r="AK132" s="113">
        <f t="shared" si="19"/>
        <v>0</v>
      </c>
      <c r="AL132" s="143">
        <f t="shared" si="20"/>
        <v>2213029.6749999998</v>
      </c>
      <c r="AM132" s="112">
        <f t="shared" si="20"/>
        <v>1323884.02</v>
      </c>
      <c r="AN132" s="112">
        <f t="shared" si="20"/>
        <v>889145.65500000003</v>
      </c>
      <c r="AO132" s="112">
        <f t="shared" ref="AO132:AO195" si="24">BA132/1000</f>
        <v>37250.033000000003</v>
      </c>
      <c r="AP132" s="192">
        <f t="shared" ref="AP132:AP195" si="25">BB132</f>
        <v>0.59822244362810006</v>
      </c>
      <c r="AQ132" s="193">
        <f t="shared" ref="AQ132:AQ195" si="26">X132+AO132</f>
        <v>88982.032999999996</v>
      </c>
      <c r="AR132" s="194">
        <f t="shared" ref="AR132:AR195" si="27">K132-AQ132</f>
        <v>-88623.032999999996</v>
      </c>
      <c r="AS132" s="118"/>
      <c r="AT132" s="119"/>
      <c r="AU132" s="119"/>
      <c r="AV132" s="120"/>
      <c r="AW132" s="195"/>
      <c r="AX132" s="112">
        <v>2213029675</v>
      </c>
      <c r="AY132" s="162">
        <v>1323884020</v>
      </c>
      <c r="AZ132" s="162">
        <v>889145655</v>
      </c>
      <c r="BA132" s="162">
        <v>37250033</v>
      </c>
      <c r="BB132" s="196">
        <f t="shared" si="21"/>
        <v>0.59822244362810006</v>
      </c>
    </row>
    <row r="133" spans="1:54" s="121" customFormat="1" ht="16.5" customHeight="1">
      <c r="A133" s="104" t="s">
        <v>2143</v>
      </c>
      <c r="B133" s="105" t="s">
        <v>863</v>
      </c>
      <c r="C133" s="106" t="s">
        <v>877</v>
      </c>
      <c r="D133" s="106" t="s">
        <v>2415</v>
      </c>
      <c r="E133" s="71" t="s">
        <v>878</v>
      </c>
      <c r="F133" s="71" t="s">
        <v>170</v>
      </c>
      <c r="G133" s="109" t="s">
        <v>2187</v>
      </c>
      <c r="H133" s="110">
        <v>279</v>
      </c>
      <c r="I133" s="111"/>
      <c r="J133" s="112">
        <v>66</v>
      </c>
      <c r="K133" s="113">
        <f t="shared" si="22"/>
        <v>345</v>
      </c>
      <c r="L133" s="110">
        <v>10350</v>
      </c>
      <c r="M133" s="111">
        <v>3362</v>
      </c>
      <c r="N133" s="112"/>
      <c r="O133" s="111">
        <v>1550</v>
      </c>
      <c r="P133" s="114">
        <v>0</v>
      </c>
      <c r="Q133" s="111">
        <v>8428</v>
      </c>
      <c r="R133" s="115">
        <v>11635</v>
      </c>
      <c r="S133" s="115">
        <v>0</v>
      </c>
      <c r="T133" s="111">
        <f t="shared" si="23"/>
        <v>11635</v>
      </c>
      <c r="U133" s="112">
        <v>13971</v>
      </c>
      <c r="V133" s="116">
        <v>6</v>
      </c>
      <c r="W133" s="111"/>
      <c r="X133" s="113">
        <f t="shared" ref="X133:X196" si="28">SUBTOTAL(9,L133:O133,T133:W133)</f>
        <v>40874</v>
      </c>
      <c r="Y133" s="110"/>
      <c r="Z133" s="111"/>
      <c r="AA133" s="116"/>
      <c r="AB133" s="111"/>
      <c r="AC133" s="113">
        <f t="shared" ref="AC133:AC196" si="29">SUBTOTAL(9,Y133:AB133)</f>
        <v>0</v>
      </c>
      <c r="AD133" s="110"/>
      <c r="AE133" s="111"/>
      <c r="AF133" s="112"/>
      <c r="AG133" s="117"/>
      <c r="AH133" s="111"/>
      <c r="AI133" s="112"/>
      <c r="AJ133" s="112"/>
      <c r="AK133" s="113">
        <f t="shared" ref="AK133:AK196" si="30">SUBTOTAL(9,AD133:AJ133)</f>
        <v>0</v>
      </c>
      <c r="AL133" s="143">
        <f t="shared" ref="AL133:AO196" si="31">AX133/1000</f>
        <v>2807551.5320000001</v>
      </c>
      <c r="AM133" s="112">
        <f t="shared" si="31"/>
        <v>1646631.93</v>
      </c>
      <c r="AN133" s="112">
        <f t="shared" si="31"/>
        <v>1160919.602</v>
      </c>
      <c r="AO133" s="112">
        <f t="shared" si="24"/>
        <v>48545.256000000001</v>
      </c>
      <c r="AP133" s="192">
        <f t="shared" si="25"/>
        <v>0.586501053046388</v>
      </c>
      <c r="AQ133" s="193">
        <f t="shared" si="26"/>
        <v>89419.255999999994</v>
      </c>
      <c r="AR133" s="194">
        <f t="shared" si="27"/>
        <v>-89074.255999999994</v>
      </c>
      <c r="AS133" s="118"/>
      <c r="AT133" s="119"/>
      <c r="AU133" s="119"/>
      <c r="AV133" s="120"/>
      <c r="AW133" s="195"/>
      <c r="AX133" s="112">
        <v>2807551532</v>
      </c>
      <c r="AY133" s="162">
        <v>1646631930</v>
      </c>
      <c r="AZ133" s="162">
        <v>1160919602</v>
      </c>
      <c r="BA133" s="162">
        <v>48545256</v>
      </c>
      <c r="BB133" s="196">
        <f t="shared" ref="BB133:BB186" si="32">AY133/AX133</f>
        <v>0.586501053046388</v>
      </c>
    </row>
    <row r="134" spans="1:54" s="121" customFormat="1" ht="16.5" customHeight="1">
      <c r="A134" s="104" t="s">
        <v>2143</v>
      </c>
      <c r="B134" s="105" t="s">
        <v>869</v>
      </c>
      <c r="C134" s="106" t="s">
        <v>883</v>
      </c>
      <c r="D134" s="106" t="s">
        <v>2415</v>
      </c>
      <c r="E134" s="71" t="s">
        <v>884</v>
      </c>
      <c r="F134" s="71" t="s">
        <v>170</v>
      </c>
      <c r="G134" s="109" t="s">
        <v>2187</v>
      </c>
      <c r="H134" s="110">
        <v>259</v>
      </c>
      <c r="I134" s="111"/>
      <c r="J134" s="112">
        <v>27</v>
      </c>
      <c r="K134" s="113">
        <f t="shared" si="22"/>
        <v>286</v>
      </c>
      <c r="L134" s="110">
        <v>10151</v>
      </c>
      <c r="M134" s="111">
        <v>3426</v>
      </c>
      <c r="N134" s="112"/>
      <c r="O134" s="111">
        <v>3828</v>
      </c>
      <c r="P134" s="114">
        <v>1</v>
      </c>
      <c r="Q134" s="111">
        <v>8428</v>
      </c>
      <c r="R134" s="115">
        <v>10169</v>
      </c>
      <c r="S134" s="115">
        <v>0</v>
      </c>
      <c r="T134" s="111">
        <f t="shared" si="23"/>
        <v>18597</v>
      </c>
      <c r="U134" s="112">
        <v>14352</v>
      </c>
      <c r="V134" s="116">
        <v>66</v>
      </c>
      <c r="W134" s="111"/>
      <c r="X134" s="113">
        <f t="shared" si="28"/>
        <v>50420</v>
      </c>
      <c r="Y134" s="110"/>
      <c r="Z134" s="111"/>
      <c r="AA134" s="116"/>
      <c r="AB134" s="111"/>
      <c r="AC134" s="113">
        <f t="shared" si="29"/>
        <v>0</v>
      </c>
      <c r="AD134" s="110"/>
      <c r="AE134" s="111"/>
      <c r="AF134" s="112"/>
      <c r="AG134" s="117"/>
      <c r="AH134" s="111"/>
      <c r="AI134" s="112"/>
      <c r="AJ134" s="112"/>
      <c r="AK134" s="113">
        <f t="shared" si="30"/>
        <v>0</v>
      </c>
      <c r="AL134" s="143">
        <f t="shared" si="31"/>
        <v>1709049.139</v>
      </c>
      <c r="AM134" s="112">
        <f t="shared" si="31"/>
        <v>1209984.2390000001</v>
      </c>
      <c r="AN134" s="112">
        <f t="shared" si="31"/>
        <v>499064.9</v>
      </c>
      <c r="AO134" s="112">
        <f t="shared" si="24"/>
        <v>27400.198</v>
      </c>
      <c r="AP134" s="192">
        <f t="shared" si="25"/>
        <v>0.70798680470240127</v>
      </c>
      <c r="AQ134" s="193">
        <f t="shared" si="26"/>
        <v>77820.198000000004</v>
      </c>
      <c r="AR134" s="194">
        <f t="shared" si="27"/>
        <v>-77534.198000000004</v>
      </c>
      <c r="AS134" s="118"/>
      <c r="AT134" s="119"/>
      <c r="AU134" s="119"/>
      <c r="AV134" s="120"/>
      <c r="AW134" s="195"/>
      <c r="AX134" s="112">
        <v>1709049139</v>
      </c>
      <c r="AY134" s="162">
        <v>1209984239</v>
      </c>
      <c r="AZ134" s="162">
        <v>499064900</v>
      </c>
      <c r="BA134" s="162">
        <v>27400198</v>
      </c>
      <c r="BB134" s="196">
        <f t="shared" si="32"/>
        <v>0.70798680470240127</v>
      </c>
    </row>
    <row r="135" spans="1:54" s="121" customFormat="1" ht="16.5" customHeight="1">
      <c r="A135" s="104" t="s">
        <v>2143</v>
      </c>
      <c r="B135" s="105" t="s">
        <v>876</v>
      </c>
      <c r="C135" s="106" t="s">
        <v>889</v>
      </c>
      <c r="D135" s="106" t="s">
        <v>2415</v>
      </c>
      <c r="E135" s="71" t="s">
        <v>890</v>
      </c>
      <c r="F135" s="71" t="s">
        <v>170</v>
      </c>
      <c r="G135" s="109" t="s">
        <v>2187</v>
      </c>
      <c r="H135" s="110">
        <v>339</v>
      </c>
      <c r="I135" s="111"/>
      <c r="J135" s="112">
        <v>49</v>
      </c>
      <c r="K135" s="113">
        <f t="shared" si="22"/>
        <v>388</v>
      </c>
      <c r="L135" s="110">
        <v>6586</v>
      </c>
      <c r="M135" s="111">
        <v>4621</v>
      </c>
      <c r="N135" s="112"/>
      <c r="O135" s="111">
        <v>1482</v>
      </c>
      <c r="P135" s="114">
        <v>1</v>
      </c>
      <c r="Q135" s="111">
        <v>8428</v>
      </c>
      <c r="R135" s="115">
        <v>7150</v>
      </c>
      <c r="S135" s="115">
        <v>0</v>
      </c>
      <c r="T135" s="111">
        <f t="shared" si="23"/>
        <v>15578</v>
      </c>
      <c r="U135" s="112">
        <v>14977</v>
      </c>
      <c r="V135" s="116">
        <v>59</v>
      </c>
      <c r="W135" s="111"/>
      <c r="X135" s="113">
        <f t="shared" si="28"/>
        <v>43303</v>
      </c>
      <c r="Y135" s="110"/>
      <c r="Z135" s="111"/>
      <c r="AA135" s="116"/>
      <c r="AB135" s="111"/>
      <c r="AC135" s="113">
        <f t="shared" si="29"/>
        <v>0</v>
      </c>
      <c r="AD135" s="110"/>
      <c r="AE135" s="111"/>
      <c r="AF135" s="112"/>
      <c r="AG135" s="117"/>
      <c r="AH135" s="111"/>
      <c r="AI135" s="112"/>
      <c r="AJ135" s="112"/>
      <c r="AK135" s="113">
        <f t="shared" si="30"/>
        <v>0</v>
      </c>
      <c r="AL135" s="143">
        <f t="shared" si="31"/>
        <v>2230917.3539999998</v>
      </c>
      <c r="AM135" s="112">
        <f t="shared" si="31"/>
        <v>1362774.473</v>
      </c>
      <c r="AN135" s="112">
        <f t="shared" si="31"/>
        <v>868142.88100000005</v>
      </c>
      <c r="AO135" s="112">
        <f t="shared" si="24"/>
        <v>46407.822999999997</v>
      </c>
      <c r="AP135" s="192">
        <f t="shared" si="25"/>
        <v>0.61085834065370759</v>
      </c>
      <c r="AQ135" s="193">
        <f t="shared" si="26"/>
        <v>89710.823000000004</v>
      </c>
      <c r="AR135" s="194">
        <f t="shared" si="27"/>
        <v>-89322.823000000004</v>
      </c>
      <c r="AS135" s="118"/>
      <c r="AT135" s="119"/>
      <c r="AU135" s="119"/>
      <c r="AV135" s="120"/>
      <c r="AW135" s="195"/>
      <c r="AX135" s="112">
        <v>2230917354</v>
      </c>
      <c r="AY135" s="162">
        <v>1362774473</v>
      </c>
      <c r="AZ135" s="162">
        <v>868142881</v>
      </c>
      <c r="BA135" s="162">
        <v>46407823</v>
      </c>
      <c r="BB135" s="196">
        <f t="shared" si="32"/>
        <v>0.61085834065370759</v>
      </c>
    </row>
    <row r="136" spans="1:54" s="121" customFormat="1" ht="16.5" customHeight="1">
      <c r="A136" s="104" t="s">
        <v>2143</v>
      </c>
      <c r="B136" s="105" t="s">
        <v>882</v>
      </c>
      <c r="C136" s="106" t="s">
        <v>896</v>
      </c>
      <c r="D136" s="106" t="s">
        <v>2415</v>
      </c>
      <c r="E136" s="71" t="s">
        <v>897</v>
      </c>
      <c r="F136" s="71" t="s">
        <v>170</v>
      </c>
      <c r="G136" s="109" t="s">
        <v>2187</v>
      </c>
      <c r="H136" s="110">
        <v>234</v>
      </c>
      <c r="I136" s="111"/>
      <c r="J136" s="112">
        <v>53</v>
      </c>
      <c r="K136" s="113">
        <f t="shared" si="22"/>
        <v>287</v>
      </c>
      <c r="L136" s="110">
        <v>8957</v>
      </c>
      <c r="M136" s="111">
        <v>3235</v>
      </c>
      <c r="N136" s="112"/>
      <c r="O136" s="111">
        <v>4053</v>
      </c>
      <c r="P136" s="114">
        <v>0</v>
      </c>
      <c r="Q136" s="111">
        <v>8428</v>
      </c>
      <c r="R136" s="115">
        <v>10270</v>
      </c>
      <c r="S136" s="115">
        <v>0</v>
      </c>
      <c r="T136" s="111">
        <f t="shared" si="23"/>
        <v>10270</v>
      </c>
      <c r="U136" s="112">
        <v>13129</v>
      </c>
      <c r="V136" s="116">
        <v>29</v>
      </c>
      <c r="W136" s="111"/>
      <c r="X136" s="113">
        <f t="shared" si="28"/>
        <v>39673</v>
      </c>
      <c r="Y136" s="110"/>
      <c r="Z136" s="111"/>
      <c r="AA136" s="116"/>
      <c r="AB136" s="111"/>
      <c r="AC136" s="113">
        <f t="shared" si="29"/>
        <v>0</v>
      </c>
      <c r="AD136" s="110"/>
      <c r="AE136" s="111"/>
      <c r="AF136" s="112"/>
      <c r="AG136" s="117"/>
      <c r="AH136" s="111"/>
      <c r="AI136" s="112"/>
      <c r="AJ136" s="112"/>
      <c r="AK136" s="113">
        <f t="shared" si="30"/>
        <v>0</v>
      </c>
      <c r="AL136" s="143">
        <f t="shared" si="31"/>
        <v>2136028.591</v>
      </c>
      <c r="AM136" s="112">
        <f t="shared" si="31"/>
        <v>1458863.9750000001</v>
      </c>
      <c r="AN136" s="112">
        <f t="shared" si="31"/>
        <v>677164.61600000004</v>
      </c>
      <c r="AO136" s="112">
        <f t="shared" si="24"/>
        <v>29634.231</v>
      </c>
      <c r="AP136" s="192">
        <f t="shared" si="25"/>
        <v>0.68297961045409994</v>
      </c>
      <c r="AQ136" s="193">
        <f t="shared" si="26"/>
        <v>69307.231</v>
      </c>
      <c r="AR136" s="194">
        <f t="shared" si="27"/>
        <v>-69020.231</v>
      </c>
      <c r="AS136" s="118"/>
      <c r="AT136" s="119"/>
      <c r="AU136" s="119"/>
      <c r="AV136" s="120"/>
      <c r="AW136" s="195"/>
      <c r="AX136" s="112">
        <v>2136028591</v>
      </c>
      <c r="AY136" s="162">
        <v>1458863975</v>
      </c>
      <c r="AZ136" s="162">
        <v>677164616</v>
      </c>
      <c r="BA136" s="162">
        <v>29634231</v>
      </c>
      <c r="BB136" s="196">
        <f t="shared" si="32"/>
        <v>0.68297961045409994</v>
      </c>
    </row>
    <row r="137" spans="1:54" s="121" customFormat="1" ht="16.5" customHeight="1">
      <c r="A137" s="104" t="s">
        <v>2143</v>
      </c>
      <c r="B137" s="105" t="s">
        <v>888</v>
      </c>
      <c r="C137" s="106" t="s">
        <v>901</v>
      </c>
      <c r="D137" s="106" t="s">
        <v>2415</v>
      </c>
      <c r="E137" s="71" t="s">
        <v>902</v>
      </c>
      <c r="F137" s="71" t="s">
        <v>170</v>
      </c>
      <c r="G137" s="109" t="s">
        <v>2187</v>
      </c>
      <c r="H137" s="110">
        <v>322</v>
      </c>
      <c r="I137" s="111"/>
      <c r="J137" s="112">
        <v>8</v>
      </c>
      <c r="K137" s="113">
        <f t="shared" si="22"/>
        <v>330</v>
      </c>
      <c r="L137" s="110">
        <v>6168</v>
      </c>
      <c r="M137" s="111">
        <v>3863</v>
      </c>
      <c r="N137" s="112"/>
      <c r="O137" s="111">
        <v>2480</v>
      </c>
      <c r="P137" s="114">
        <v>1</v>
      </c>
      <c r="Q137" s="111">
        <v>8428</v>
      </c>
      <c r="R137" s="115">
        <v>8839</v>
      </c>
      <c r="S137" s="115">
        <v>0</v>
      </c>
      <c r="T137" s="111">
        <f t="shared" si="23"/>
        <v>17267</v>
      </c>
      <c r="U137" s="112">
        <v>14298</v>
      </c>
      <c r="V137" s="116">
        <v>31</v>
      </c>
      <c r="W137" s="111"/>
      <c r="X137" s="113">
        <f t="shared" si="28"/>
        <v>44107</v>
      </c>
      <c r="Y137" s="110"/>
      <c r="Z137" s="111"/>
      <c r="AA137" s="116"/>
      <c r="AB137" s="111"/>
      <c r="AC137" s="113">
        <f t="shared" si="29"/>
        <v>0</v>
      </c>
      <c r="AD137" s="110"/>
      <c r="AE137" s="111"/>
      <c r="AF137" s="112"/>
      <c r="AG137" s="117"/>
      <c r="AH137" s="111"/>
      <c r="AI137" s="112"/>
      <c r="AJ137" s="112"/>
      <c r="AK137" s="113">
        <f t="shared" si="30"/>
        <v>0</v>
      </c>
      <c r="AL137" s="143">
        <f t="shared" si="31"/>
        <v>2162381.5159999998</v>
      </c>
      <c r="AM137" s="112">
        <f t="shared" si="31"/>
        <v>1044902.4</v>
      </c>
      <c r="AN137" s="112">
        <f t="shared" si="31"/>
        <v>1117479.1159999999</v>
      </c>
      <c r="AO137" s="112">
        <f t="shared" si="24"/>
        <v>44594.536</v>
      </c>
      <c r="AP137" s="192">
        <f t="shared" si="25"/>
        <v>0.48321833694401595</v>
      </c>
      <c r="AQ137" s="193">
        <f t="shared" si="26"/>
        <v>88701.535999999993</v>
      </c>
      <c r="AR137" s="194">
        <f t="shared" si="27"/>
        <v>-88371.535999999993</v>
      </c>
      <c r="AS137" s="118"/>
      <c r="AT137" s="119"/>
      <c r="AU137" s="119"/>
      <c r="AV137" s="120"/>
      <c r="AW137" s="195"/>
      <c r="AX137" s="112">
        <v>2162381516</v>
      </c>
      <c r="AY137" s="162">
        <v>1044902400</v>
      </c>
      <c r="AZ137" s="162">
        <v>1117479116</v>
      </c>
      <c r="BA137" s="162">
        <v>44594536</v>
      </c>
      <c r="BB137" s="196">
        <f t="shared" si="32"/>
        <v>0.48321833694401595</v>
      </c>
    </row>
    <row r="138" spans="1:54" s="121" customFormat="1" ht="16.5" customHeight="1">
      <c r="A138" s="104" t="s">
        <v>2143</v>
      </c>
      <c r="B138" s="105" t="s">
        <v>895</v>
      </c>
      <c r="C138" s="106" t="s">
        <v>906</v>
      </c>
      <c r="D138" s="106" t="s">
        <v>2415</v>
      </c>
      <c r="E138" s="71" t="s">
        <v>907</v>
      </c>
      <c r="F138" s="71" t="s">
        <v>170</v>
      </c>
      <c r="G138" s="109" t="s">
        <v>2187</v>
      </c>
      <c r="H138" s="110">
        <v>119</v>
      </c>
      <c r="I138" s="111"/>
      <c r="J138" s="112">
        <v>23</v>
      </c>
      <c r="K138" s="113">
        <f t="shared" si="22"/>
        <v>142</v>
      </c>
      <c r="L138" s="110">
        <v>8028</v>
      </c>
      <c r="M138" s="111">
        <v>3223</v>
      </c>
      <c r="N138" s="112"/>
      <c r="O138" s="111">
        <v>9082</v>
      </c>
      <c r="P138" s="114">
        <v>0</v>
      </c>
      <c r="Q138" s="111">
        <v>8428</v>
      </c>
      <c r="R138" s="115">
        <v>9510</v>
      </c>
      <c r="S138" s="115">
        <v>0</v>
      </c>
      <c r="T138" s="111">
        <f t="shared" si="23"/>
        <v>9510</v>
      </c>
      <c r="U138" s="112">
        <v>12014</v>
      </c>
      <c r="V138" s="116">
        <v>78</v>
      </c>
      <c r="W138" s="111"/>
      <c r="X138" s="113">
        <f t="shared" si="28"/>
        <v>41935</v>
      </c>
      <c r="Y138" s="110"/>
      <c r="Z138" s="111"/>
      <c r="AA138" s="116"/>
      <c r="AB138" s="111"/>
      <c r="AC138" s="113">
        <f t="shared" si="29"/>
        <v>0</v>
      </c>
      <c r="AD138" s="110"/>
      <c r="AE138" s="111"/>
      <c r="AF138" s="112"/>
      <c r="AG138" s="117"/>
      <c r="AH138" s="111"/>
      <c r="AI138" s="112"/>
      <c r="AJ138" s="112"/>
      <c r="AK138" s="113">
        <f t="shared" si="30"/>
        <v>0</v>
      </c>
      <c r="AL138" s="143">
        <f t="shared" si="31"/>
        <v>1765005.959</v>
      </c>
      <c r="AM138" s="112">
        <f t="shared" si="31"/>
        <v>1228499.4779999999</v>
      </c>
      <c r="AN138" s="112">
        <f t="shared" si="31"/>
        <v>536506.48100000003</v>
      </c>
      <c r="AO138" s="112">
        <f t="shared" si="24"/>
        <v>20876.5</v>
      </c>
      <c r="AP138" s="192">
        <f t="shared" si="25"/>
        <v>0.69603134863976968</v>
      </c>
      <c r="AQ138" s="193">
        <f t="shared" si="26"/>
        <v>62811.5</v>
      </c>
      <c r="AR138" s="194">
        <f t="shared" si="27"/>
        <v>-62669.5</v>
      </c>
      <c r="AS138" s="118"/>
      <c r="AT138" s="119"/>
      <c r="AU138" s="119"/>
      <c r="AV138" s="120"/>
      <c r="AW138" s="195"/>
      <c r="AX138" s="112">
        <v>1765005959</v>
      </c>
      <c r="AY138" s="162">
        <v>1228499478</v>
      </c>
      <c r="AZ138" s="162">
        <v>536506481</v>
      </c>
      <c r="BA138" s="162">
        <v>20876500</v>
      </c>
      <c r="BB138" s="196">
        <f t="shared" si="32"/>
        <v>0.69603134863976968</v>
      </c>
    </row>
    <row r="139" spans="1:54" s="121" customFormat="1" ht="16.5" customHeight="1">
      <c r="A139" s="104" t="s">
        <v>2143</v>
      </c>
      <c r="B139" s="105" t="s">
        <v>900</v>
      </c>
      <c r="C139" s="106" t="s">
        <v>911</v>
      </c>
      <c r="D139" s="106" t="s">
        <v>2415</v>
      </c>
      <c r="E139" s="71" t="s">
        <v>912</v>
      </c>
      <c r="F139" s="71" t="s">
        <v>170</v>
      </c>
      <c r="G139" s="109" t="s">
        <v>2187</v>
      </c>
      <c r="H139" s="110">
        <v>231</v>
      </c>
      <c r="I139" s="111"/>
      <c r="J139" s="112">
        <v>76</v>
      </c>
      <c r="K139" s="113">
        <f t="shared" si="22"/>
        <v>307</v>
      </c>
      <c r="L139" s="110">
        <v>9103</v>
      </c>
      <c r="M139" s="111">
        <v>3675</v>
      </c>
      <c r="N139" s="112"/>
      <c r="O139" s="111">
        <v>2637</v>
      </c>
      <c r="P139" s="114">
        <v>1</v>
      </c>
      <c r="Q139" s="111">
        <v>8428</v>
      </c>
      <c r="R139" s="115">
        <v>11410</v>
      </c>
      <c r="S139" s="115">
        <v>0</v>
      </c>
      <c r="T139" s="111">
        <f t="shared" si="23"/>
        <v>19838</v>
      </c>
      <c r="U139" s="112">
        <v>13369</v>
      </c>
      <c r="V139" s="116">
        <v>19</v>
      </c>
      <c r="W139" s="111"/>
      <c r="X139" s="113">
        <f t="shared" si="28"/>
        <v>48641</v>
      </c>
      <c r="Y139" s="110"/>
      <c r="Z139" s="111"/>
      <c r="AA139" s="116"/>
      <c r="AB139" s="111"/>
      <c r="AC139" s="113">
        <f t="shared" si="29"/>
        <v>0</v>
      </c>
      <c r="AD139" s="110"/>
      <c r="AE139" s="111"/>
      <c r="AF139" s="112"/>
      <c r="AG139" s="117"/>
      <c r="AH139" s="111"/>
      <c r="AI139" s="112"/>
      <c r="AJ139" s="112"/>
      <c r="AK139" s="113">
        <f t="shared" si="30"/>
        <v>0</v>
      </c>
      <c r="AL139" s="143">
        <f t="shared" si="31"/>
        <v>1965606.4750000001</v>
      </c>
      <c r="AM139" s="112">
        <f t="shared" si="31"/>
        <v>1248652.03</v>
      </c>
      <c r="AN139" s="112">
        <f t="shared" si="31"/>
        <v>716954.44499999995</v>
      </c>
      <c r="AO139" s="112">
        <f t="shared" si="24"/>
        <v>32642.359</v>
      </c>
      <c r="AP139" s="192">
        <f t="shared" si="25"/>
        <v>0.63525026289913911</v>
      </c>
      <c r="AQ139" s="193">
        <f t="shared" si="26"/>
        <v>81283.358999999997</v>
      </c>
      <c r="AR139" s="194">
        <f t="shared" si="27"/>
        <v>-80976.358999999997</v>
      </c>
      <c r="AS139" s="118"/>
      <c r="AT139" s="119"/>
      <c r="AU139" s="119"/>
      <c r="AV139" s="120"/>
      <c r="AW139" s="195"/>
      <c r="AX139" s="112">
        <v>1965606475</v>
      </c>
      <c r="AY139" s="162">
        <v>1248652030</v>
      </c>
      <c r="AZ139" s="162">
        <v>716954445</v>
      </c>
      <c r="BA139" s="162">
        <v>32642359</v>
      </c>
      <c r="BB139" s="196">
        <f t="shared" si="32"/>
        <v>0.63525026289913911</v>
      </c>
    </row>
    <row r="140" spans="1:54" s="121" customFormat="1" ht="16.5" customHeight="1">
      <c r="A140" s="104" t="s">
        <v>2143</v>
      </c>
      <c r="B140" s="105" t="s">
        <v>905</v>
      </c>
      <c r="C140" s="106" t="s">
        <v>916</v>
      </c>
      <c r="D140" s="106" t="s">
        <v>2415</v>
      </c>
      <c r="E140" s="71" t="s">
        <v>917</v>
      </c>
      <c r="F140" s="71" t="s">
        <v>170</v>
      </c>
      <c r="G140" s="109" t="s">
        <v>2187</v>
      </c>
      <c r="H140" s="110">
        <v>161</v>
      </c>
      <c r="I140" s="111"/>
      <c r="J140" s="112">
        <v>108</v>
      </c>
      <c r="K140" s="113">
        <f t="shared" si="22"/>
        <v>269</v>
      </c>
      <c r="L140" s="110">
        <v>10553</v>
      </c>
      <c r="M140" s="111">
        <v>3534</v>
      </c>
      <c r="N140" s="112"/>
      <c r="O140" s="111">
        <v>3742</v>
      </c>
      <c r="P140" s="114">
        <v>1</v>
      </c>
      <c r="Q140" s="111">
        <v>8428</v>
      </c>
      <c r="R140" s="115">
        <v>6778</v>
      </c>
      <c r="S140" s="115">
        <v>0</v>
      </c>
      <c r="T140" s="111">
        <f t="shared" si="23"/>
        <v>15206</v>
      </c>
      <c r="U140" s="112">
        <v>12433</v>
      </c>
      <c r="V140" s="116">
        <v>79</v>
      </c>
      <c r="W140" s="111"/>
      <c r="X140" s="113">
        <f t="shared" si="28"/>
        <v>45547</v>
      </c>
      <c r="Y140" s="110"/>
      <c r="Z140" s="111"/>
      <c r="AA140" s="116"/>
      <c r="AB140" s="111"/>
      <c r="AC140" s="113">
        <f t="shared" si="29"/>
        <v>0</v>
      </c>
      <c r="AD140" s="110"/>
      <c r="AE140" s="111"/>
      <c r="AF140" s="112"/>
      <c r="AG140" s="117"/>
      <c r="AH140" s="111"/>
      <c r="AI140" s="112"/>
      <c r="AJ140" s="112"/>
      <c r="AK140" s="113">
        <f t="shared" si="30"/>
        <v>0</v>
      </c>
      <c r="AL140" s="143">
        <f t="shared" si="31"/>
        <v>2134814.466</v>
      </c>
      <c r="AM140" s="112">
        <f t="shared" si="31"/>
        <v>1457070.4310000001</v>
      </c>
      <c r="AN140" s="112">
        <f t="shared" si="31"/>
        <v>677744.03500000003</v>
      </c>
      <c r="AO140" s="112">
        <f t="shared" si="24"/>
        <v>36669</v>
      </c>
      <c r="AP140" s="192">
        <f t="shared" si="25"/>
        <v>0.68252789842206363</v>
      </c>
      <c r="AQ140" s="193">
        <f t="shared" si="26"/>
        <v>82216</v>
      </c>
      <c r="AR140" s="194">
        <f t="shared" si="27"/>
        <v>-81947</v>
      </c>
      <c r="AS140" s="118"/>
      <c r="AT140" s="119"/>
      <c r="AU140" s="119"/>
      <c r="AV140" s="120"/>
      <c r="AW140" s="195"/>
      <c r="AX140" s="112">
        <v>2134814466</v>
      </c>
      <c r="AY140" s="162">
        <v>1457070431</v>
      </c>
      <c r="AZ140" s="162">
        <v>677744035</v>
      </c>
      <c r="BA140" s="162">
        <v>36669000</v>
      </c>
      <c r="BB140" s="196">
        <f t="shared" si="32"/>
        <v>0.68252789842206363</v>
      </c>
    </row>
    <row r="141" spans="1:54" s="121" customFormat="1" ht="16.5" customHeight="1">
      <c r="A141" s="104" t="s">
        <v>2143</v>
      </c>
      <c r="B141" s="105" t="s">
        <v>910</v>
      </c>
      <c r="C141" s="106" t="s">
        <v>921</v>
      </c>
      <c r="D141" s="106" t="s">
        <v>2415</v>
      </c>
      <c r="E141" s="71" t="s">
        <v>922</v>
      </c>
      <c r="F141" s="71" t="s">
        <v>170</v>
      </c>
      <c r="G141" s="109" t="s">
        <v>2187</v>
      </c>
      <c r="H141" s="110">
        <v>154</v>
      </c>
      <c r="I141" s="111"/>
      <c r="J141" s="112">
        <v>27</v>
      </c>
      <c r="K141" s="113">
        <f t="shared" si="22"/>
        <v>181</v>
      </c>
      <c r="L141" s="110">
        <v>6831</v>
      </c>
      <c r="M141" s="111">
        <v>3891</v>
      </c>
      <c r="N141" s="112"/>
      <c r="O141" s="111">
        <v>2884</v>
      </c>
      <c r="P141" s="114">
        <v>1</v>
      </c>
      <c r="Q141" s="111">
        <v>8428</v>
      </c>
      <c r="R141" s="115">
        <v>9403</v>
      </c>
      <c r="S141" s="115">
        <v>0</v>
      </c>
      <c r="T141" s="111">
        <f t="shared" si="23"/>
        <v>17831</v>
      </c>
      <c r="U141" s="112">
        <v>12118</v>
      </c>
      <c r="V141" s="116">
        <v>54</v>
      </c>
      <c r="W141" s="111"/>
      <c r="X141" s="113">
        <f t="shared" si="28"/>
        <v>43609</v>
      </c>
      <c r="Y141" s="110"/>
      <c r="Z141" s="111"/>
      <c r="AA141" s="116"/>
      <c r="AB141" s="111"/>
      <c r="AC141" s="113">
        <f t="shared" si="29"/>
        <v>0</v>
      </c>
      <c r="AD141" s="110"/>
      <c r="AE141" s="111"/>
      <c r="AF141" s="112"/>
      <c r="AG141" s="117"/>
      <c r="AH141" s="111"/>
      <c r="AI141" s="112"/>
      <c r="AJ141" s="112"/>
      <c r="AK141" s="113">
        <f t="shared" si="30"/>
        <v>0</v>
      </c>
      <c r="AL141" s="143">
        <f t="shared" si="31"/>
        <v>1458445.922</v>
      </c>
      <c r="AM141" s="112">
        <f t="shared" si="31"/>
        <v>1170737.5819999999</v>
      </c>
      <c r="AN141" s="112">
        <f t="shared" si="31"/>
        <v>287708.34000000003</v>
      </c>
      <c r="AO141" s="112">
        <f t="shared" si="24"/>
        <v>31901.423999999999</v>
      </c>
      <c r="AP141" s="192">
        <f t="shared" si="25"/>
        <v>0.80272951114604307</v>
      </c>
      <c r="AQ141" s="193">
        <f t="shared" si="26"/>
        <v>75510.423999999999</v>
      </c>
      <c r="AR141" s="194">
        <f t="shared" si="27"/>
        <v>-75329.423999999999</v>
      </c>
      <c r="AS141" s="118"/>
      <c r="AT141" s="119"/>
      <c r="AU141" s="119"/>
      <c r="AV141" s="120"/>
      <c r="AW141" s="195"/>
      <c r="AX141" s="112">
        <v>1458445922</v>
      </c>
      <c r="AY141" s="162">
        <v>1170737582</v>
      </c>
      <c r="AZ141" s="162">
        <v>287708340</v>
      </c>
      <c r="BA141" s="162">
        <v>31901424</v>
      </c>
      <c r="BB141" s="196">
        <f t="shared" si="32"/>
        <v>0.80272951114604307</v>
      </c>
    </row>
    <row r="142" spans="1:54" s="121" customFormat="1" ht="16.5" customHeight="1">
      <c r="A142" s="104" t="s">
        <v>2143</v>
      </c>
      <c r="B142" s="105" t="s">
        <v>915</v>
      </c>
      <c r="C142" s="106" t="s">
        <v>926</v>
      </c>
      <c r="D142" s="106" t="s">
        <v>2415</v>
      </c>
      <c r="E142" s="71" t="s">
        <v>927</v>
      </c>
      <c r="F142" s="71" t="s">
        <v>170</v>
      </c>
      <c r="G142" s="109" t="s">
        <v>2187</v>
      </c>
      <c r="H142" s="110">
        <v>231</v>
      </c>
      <c r="I142" s="111"/>
      <c r="J142" s="112">
        <v>38</v>
      </c>
      <c r="K142" s="113">
        <f t="shared" si="22"/>
        <v>269</v>
      </c>
      <c r="L142" s="110">
        <v>8780</v>
      </c>
      <c r="M142" s="111">
        <v>4300</v>
      </c>
      <c r="N142" s="112"/>
      <c r="O142" s="111">
        <v>5584</v>
      </c>
      <c r="P142" s="114">
        <v>0</v>
      </c>
      <c r="Q142" s="111">
        <v>8428</v>
      </c>
      <c r="R142" s="115">
        <v>10516</v>
      </c>
      <c r="S142" s="115">
        <v>0</v>
      </c>
      <c r="T142" s="111">
        <f t="shared" si="23"/>
        <v>10516</v>
      </c>
      <c r="U142" s="112">
        <v>13177</v>
      </c>
      <c r="V142" s="116">
        <v>72</v>
      </c>
      <c r="W142" s="111"/>
      <c r="X142" s="113">
        <f t="shared" si="28"/>
        <v>42429</v>
      </c>
      <c r="Y142" s="110"/>
      <c r="Z142" s="111"/>
      <c r="AA142" s="116"/>
      <c r="AB142" s="111"/>
      <c r="AC142" s="113">
        <f t="shared" si="29"/>
        <v>0</v>
      </c>
      <c r="AD142" s="110"/>
      <c r="AE142" s="111"/>
      <c r="AF142" s="112"/>
      <c r="AG142" s="117"/>
      <c r="AH142" s="111"/>
      <c r="AI142" s="112"/>
      <c r="AJ142" s="112"/>
      <c r="AK142" s="113">
        <f t="shared" si="30"/>
        <v>0</v>
      </c>
      <c r="AL142" s="143">
        <f t="shared" si="31"/>
        <v>1946986.4779999999</v>
      </c>
      <c r="AM142" s="112">
        <f t="shared" si="31"/>
        <v>1434913.03</v>
      </c>
      <c r="AN142" s="112">
        <f t="shared" si="31"/>
        <v>512073.44799999997</v>
      </c>
      <c r="AO142" s="112">
        <f t="shared" si="24"/>
        <v>42136.54</v>
      </c>
      <c r="AP142" s="192">
        <f t="shared" si="25"/>
        <v>0.73699177997064647</v>
      </c>
      <c r="AQ142" s="193">
        <f t="shared" si="26"/>
        <v>84565.540000000008</v>
      </c>
      <c r="AR142" s="194">
        <f t="shared" si="27"/>
        <v>-84296.540000000008</v>
      </c>
      <c r="AS142" s="118"/>
      <c r="AT142" s="119"/>
      <c r="AU142" s="119"/>
      <c r="AV142" s="120"/>
      <c r="AW142" s="195"/>
      <c r="AX142" s="112">
        <v>1946986478</v>
      </c>
      <c r="AY142" s="162">
        <v>1434913030</v>
      </c>
      <c r="AZ142" s="162">
        <v>512073448</v>
      </c>
      <c r="BA142" s="162">
        <v>42136540</v>
      </c>
      <c r="BB142" s="196">
        <f t="shared" si="32"/>
        <v>0.73699177997064647</v>
      </c>
    </row>
    <row r="143" spans="1:54" s="121" customFormat="1" ht="16.5" customHeight="1">
      <c r="A143" s="104" t="s">
        <v>2143</v>
      </c>
      <c r="B143" s="105" t="s">
        <v>920</v>
      </c>
      <c r="C143" s="106" t="s">
        <v>931</v>
      </c>
      <c r="D143" s="106" t="s">
        <v>2415</v>
      </c>
      <c r="E143" s="71" t="s">
        <v>932</v>
      </c>
      <c r="F143" s="71" t="s">
        <v>170</v>
      </c>
      <c r="G143" s="109" t="s">
        <v>2187</v>
      </c>
      <c r="H143" s="110">
        <v>261</v>
      </c>
      <c r="I143" s="111"/>
      <c r="J143" s="112">
        <v>34</v>
      </c>
      <c r="K143" s="113">
        <f t="shared" si="22"/>
        <v>295</v>
      </c>
      <c r="L143" s="110">
        <v>10661</v>
      </c>
      <c r="M143" s="111">
        <v>3691</v>
      </c>
      <c r="N143" s="112"/>
      <c r="O143" s="111">
        <v>4917</v>
      </c>
      <c r="P143" s="114">
        <v>1</v>
      </c>
      <c r="Q143" s="111">
        <v>8428</v>
      </c>
      <c r="R143" s="115">
        <v>9185</v>
      </c>
      <c r="S143" s="115">
        <v>0</v>
      </c>
      <c r="T143" s="111">
        <f t="shared" si="23"/>
        <v>17613</v>
      </c>
      <c r="U143" s="112">
        <v>13867</v>
      </c>
      <c r="V143" s="116">
        <v>79</v>
      </c>
      <c r="W143" s="111"/>
      <c r="X143" s="113">
        <f t="shared" si="28"/>
        <v>50828</v>
      </c>
      <c r="Y143" s="110"/>
      <c r="Z143" s="111"/>
      <c r="AA143" s="116"/>
      <c r="AB143" s="111"/>
      <c r="AC143" s="113">
        <f t="shared" si="29"/>
        <v>0</v>
      </c>
      <c r="AD143" s="211"/>
      <c r="AE143" s="111"/>
      <c r="AF143" s="112"/>
      <c r="AG143" s="111"/>
      <c r="AH143" s="111"/>
      <c r="AI143" s="112"/>
      <c r="AJ143" s="112"/>
      <c r="AK143" s="113">
        <f t="shared" si="30"/>
        <v>0</v>
      </c>
      <c r="AL143" s="143">
        <f t="shared" si="31"/>
        <v>1667513.629</v>
      </c>
      <c r="AM143" s="112">
        <f t="shared" si="31"/>
        <v>1203027.827</v>
      </c>
      <c r="AN143" s="112">
        <f t="shared" si="31"/>
        <v>464485.80200000003</v>
      </c>
      <c r="AO143" s="112">
        <f t="shared" si="24"/>
        <v>36646.173999999999</v>
      </c>
      <c r="AP143" s="192">
        <f t="shared" si="25"/>
        <v>0.72145007157839547</v>
      </c>
      <c r="AQ143" s="193">
        <f t="shared" si="26"/>
        <v>87474.173999999999</v>
      </c>
      <c r="AR143" s="194">
        <f t="shared" si="27"/>
        <v>-87179.173999999999</v>
      </c>
      <c r="AS143" s="118"/>
      <c r="AT143" s="119"/>
      <c r="AU143" s="119"/>
      <c r="AV143" s="120"/>
      <c r="AW143" s="195"/>
      <c r="AX143" s="112">
        <v>1667513629</v>
      </c>
      <c r="AY143" s="162">
        <v>1203027827</v>
      </c>
      <c r="AZ143" s="162">
        <v>464485802</v>
      </c>
      <c r="BA143" s="162">
        <v>36646174</v>
      </c>
      <c r="BB143" s="196">
        <f t="shared" si="32"/>
        <v>0.72145007157839547</v>
      </c>
    </row>
    <row r="144" spans="1:54" s="121" customFormat="1" ht="16.5" customHeight="1">
      <c r="A144" s="104" t="s">
        <v>2143</v>
      </c>
      <c r="B144" s="105" t="s">
        <v>925</v>
      </c>
      <c r="C144" s="106" t="s">
        <v>936</v>
      </c>
      <c r="D144" s="106" t="s">
        <v>2415</v>
      </c>
      <c r="E144" s="71" t="s">
        <v>937</v>
      </c>
      <c r="F144" s="71" t="s">
        <v>170</v>
      </c>
      <c r="G144" s="109" t="s">
        <v>2187</v>
      </c>
      <c r="H144" s="110">
        <v>235</v>
      </c>
      <c r="I144" s="111"/>
      <c r="J144" s="112">
        <v>41</v>
      </c>
      <c r="K144" s="113">
        <f t="shared" si="22"/>
        <v>276</v>
      </c>
      <c r="L144" s="110">
        <v>9995</v>
      </c>
      <c r="M144" s="111">
        <v>3656</v>
      </c>
      <c r="N144" s="112"/>
      <c r="O144" s="111">
        <v>2097</v>
      </c>
      <c r="P144" s="114">
        <v>0</v>
      </c>
      <c r="Q144" s="111">
        <v>8428</v>
      </c>
      <c r="R144" s="115">
        <v>9293</v>
      </c>
      <c r="S144" s="115">
        <v>0</v>
      </c>
      <c r="T144" s="111">
        <f t="shared" si="23"/>
        <v>9293</v>
      </c>
      <c r="U144" s="112">
        <v>13421</v>
      </c>
      <c r="V144" s="116">
        <v>79</v>
      </c>
      <c r="W144" s="111"/>
      <c r="X144" s="113">
        <f t="shared" si="28"/>
        <v>38541</v>
      </c>
      <c r="Y144" s="110"/>
      <c r="Z144" s="111"/>
      <c r="AA144" s="116"/>
      <c r="AB144" s="111"/>
      <c r="AC144" s="113">
        <f t="shared" si="29"/>
        <v>0</v>
      </c>
      <c r="AD144" s="211"/>
      <c r="AE144" s="111"/>
      <c r="AF144" s="112"/>
      <c r="AG144" s="111"/>
      <c r="AH144" s="111"/>
      <c r="AI144" s="112"/>
      <c r="AJ144" s="112"/>
      <c r="AK144" s="113">
        <f t="shared" si="30"/>
        <v>0</v>
      </c>
      <c r="AL144" s="143">
        <f t="shared" si="31"/>
        <v>1586542.014</v>
      </c>
      <c r="AM144" s="112">
        <f t="shared" si="31"/>
        <v>1092504.575</v>
      </c>
      <c r="AN144" s="112">
        <f t="shared" si="31"/>
        <v>494037.43900000001</v>
      </c>
      <c r="AO144" s="112">
        <f t="shared" si="24"/>
        <v>35410.773000000001</v>
      </c>
      <c r="AP144" s="192">
        <f t="shared" si="25"/>
        <v>0.68860740236280937</v>
      </c>
      <c r="AQ144" s="193">
        <f t="shared" si="26"/>
        <v>73951.773000000001</v>
      </c>
      <c r="AR144" s="194">
        <f t="shared" si="27"/>
        <v>-73675.773000000001</v>
      </c>
      <c r="AS144" s="118"/>
      <c r="AT144" s="119"/>
      <c r="AU144" s="119"/>
      <c r="AV144" s="120"/>
      <c r="AW144" s="195"/>
      <c r="AX144" s="112">
        <v>1586542014</v>
      </c>
      <c r="AY144" s="162">
        <v>1092504575</v>
      </c>
      <c r="AZ144" s="162">
        <v>494037439</v>
      </c>
      <c r="BA144" s="162">
        <v>35410773</v>
      </c>
      <c r="BB144" s="196">
        <f t="shared" si="32"/>
        <v>0.68860740236280937</v>
      </c>
    </row>
    <row r="145" spans="1:54" s="121" customFormat="1" ht="16.5" customHeight="1">
      <c r="A145" s="104" t="s">
        <v>2143</v>
      </c>
      <c r="B145" s="105" t="s">
        <v>930</v>
      </c>
      <c r="C145" s="106" t="s">
        <v>941</v>
      </c>
      <c r="D145" s="106" t="s">
        <v>2415</v>
      </c>
      <c r="E145" s="71" t="s">
        <v>942</v>
      </c>
      <c r="F145" s="71" t="s">
        <v>2085</v>
      </c>
      <c r="G145" s="109" t="s">
        <v>2130</v>
      </c>
      <c r="H145" s="110">
        <f>2030*3+4</f>
        <v>6094</v>
      </c>
      <c r="I145" s="112">
        <v>0</v>
      </c>
      <c r="J145" s="112">
        <v>0</v>
      </c>
      <c r="K145" s="113">
        <f t="shared" si="22"/>
        <v>6094</v>
      </c>
      <c r="L145" s="110">
        <v>201</v>
      </c>
      <c r="M145" s="111">
        <v>26</v>
      </c>
      <c r="N145" s="115">
        <v>0</v>
      </c>
      <c r="O145" s="111">
        <v>0</v>
      </c>
      <c r="P145" s="114">
        <v>0</v>
      </c>
      <c r="Q145" s="111">
        <v>8428</v>
      </c>
      <c r="R145" s="111">
        <v>0</v>
      </c>
      <c r="S145" s="111">
        <f>1077*12+69</f>
        <v>12993</v>
      </c>
      <c r="T145" s="111">
        <f t="shared" si="23"/>
        <v>12993</v>
      </c>
      <c r="U145" s="112">
        <f>1856*3+17</f>
        <v>5585</v>
      </c>
      <c r="V145" s="144">
        <v>0</v>
      </c>
      <c r="W145" s="112"/>
      <c r="X145" s="113">
        <f t="shared" si="28"/>
        <v>18805</v>
      </c>
      <c r="Y145" s="211">
        <v>0</v>
      </c>
      <c r="Z145" s="111">
        <v>0</v>
      </c>
      <c r="AA145" s="212">
        <v>0</v>
      </c>
      <c r="AB145" s="111">
        <v>0</v>
      </c>
      <c r="AC145" s="113">
        <f t="shared" si="29"/>
        <v>0</v>
      </c>
      <c r="AD145" s="211">
        <v>0</v>
      </c>
      <c r="AE145" s="111">
        <v>0</v>
      </c>
      <c r="AF145" s="111">
        <v>0</v>
      </c>
      <c r="AG145" s="111">
        <v>0</v>
      </c>
      <c r="AH145" s="111">
        <v>0</v>
      </c>
      <c r="AI145" s="111">
        <v>0</v>
      </c>
      <c r="AJ145" s="111">
        <v>0</v>
      </c>
      <c r="AK145" s="113">
        <f t="shared" si="30"/>
        <v>0</v>
      </c>
      <c r="AL145" s="143">
        <f t="shared" si="31"/>
        <v>0</v>
      </c>
      <c r="AM145" s="112">
        <f t="shared" si="31"/>
        <v>0</v>
      </c>
      <c r="AN145" s="112">
        <f t="shared" si="31"/>
        <v>0</v>
      </c>
      <c r="AO145" s="112">
        <f t="shared" si="24"/>
        <v>0</v>
      </c>
      <c r="AP145" s="192">
        <f t="shared" si="25"/>
        <v>0</v>
      </c>
      <c r="AQ145" s="193">
        <f t="shared" si="26"/>
        <v>18805</v>
      </c>
      <c r="AR145" s="194">
        <f t="shared" si="27"/>
        <v>-12711</v>
      </c>
      <c r="AS145" s="118"/>
      <c r="AT145" s="119"/>
      <c r="AU145" s="119"/>
      <c r="AV145" s="120"/>
      <c r="AW145" s="195"/>
      <c r="AX145" s="112">
        <v>0</v>
      </c>
      <c r="AY145" s="162">
        <v>0</v>
      </c>
      <c r="AZ145" s="162">
        <v>0</v>
      </c>
      <c r="BA145" s="162">
        <v>0</v>
      </c>
      <c r="BB145" s="196">
        <v>0</v>
      </c>
    </row>
    <row r="146" spans="1:54" s="121" customFormat="1" ht="16.5" customHeight="1">
      <c r="A146" s="104" t="s">
        <v>2143</v>
      </c>
      <c r="B146" s="105" t="s">
        <v>935</v>
      </c>
      <c r="C146" s="106" t="s">
        <v>949</v>
      </c>
      <c r="D146" s="106" t="s">
        <v>2415</v>
      </c>
      <c r="E146" s="71" t="s">
        <v>950</v>
      </c>
      <c r="F146" s="71" t="s">
        <v>2085</v>
      </c>
      <c r="G146" s="109" t="s">
        <v>2130</v>
      </c>
      <c r="H146" s="110">
        <f>2030*3</f>
        <v>6090</v>
      </c>
      <c r="I146" s="112">
        <v>0</v>
      </c>
      <c r="J146" s="112">
        <v>0</v>
      </c>
      <c r="K146" s="113">
        <f t="shared" si="22"/>
        <v>6090</v>
      </c>
      <c r="L146" s="110">
        <f>929+11</f>
        <v>940</v>
      </c>
      <c r="M146" s="115">
        <v>33</v>
      </c>
      <c r="N146" s="115">
        <v>0</v>
      </c>
      <c r="O146" s="111">
        <v>642</v>
      </c>
      <c r="P146" s="114">
        <v>0</v>
      </c>
      <c r="Q146" s="111">
        <v>8428</v>
      </c>
      <c r="R146" s="111">
        <v>0</v>
      </c>
      <c r="S146" s="111">
        <f>1077*7</f>
        <v>7539</v>
      </c>
      <c r="T146" s="111">
        <f t="shared" si="23"/>
        <v>7539</v>
      </c>
      <c r="U146" s="112">
        <f>1856*3</f>
        <v>5568</v>
      </c>
      <c r="V146" s="144">
        <v>0</v>
      </c>
      <c r="W146" s="112"/>
      <c r="X146" s="113">
        <f t="shared" si="28"/>
        <v>14722</v>
      </c>
      <c r="Y146" s="211">
        <v>0</v>
      </c>
      <c r="Z146" s="111">
        <v>0</v>
      </c>
      <c r="AA146" s="212">
        <v>0</v>
      </c>
      <c r="AB146" s="111">
        <v>0</v>
      </c>
      <c r="AC146" s="113">
        <f t="shared" si="29"/>
        <v>0</v>
      </c>
      <c r="AD146" s="211">
        <v>0</v>
      </c>
      <c r="AE146" s="111">
        <v>0</v>
      </c>
      <c r="AF146" s="111">
        <v>0</v>
      </c>
      <c r="AG146" s="111">
        <v>0</v>
      </c>
      <c r="AH146" s="111">
        <v>0</v>
      </c>
      <c r="AI146" s="111">
        <v>0</v>
      </c>
      <c r="AJ146" s="111">
        <v>0</v>
      </c>
      <c r="AK146" s="113">
        <f t="shared" si="30"/>
        <v>0</v>
      </c>
      <c r="AL146" s="143">
        <f t="shared" si="31"/>
        <v>0</v>
      </c>
      <c r="AM146" s="112">
        <f t="shared" si="31"/>
        <v>0</v>
      </c>
      <c r="AN146" s="112">
        <f t="shared" si="31"/>
        <v>0</v>
      </c>
      <c r="AO146" s="112">
        <f t="shared" si="24"/>
        <v>0</v>
      </c>
      <c r="AP146" s="192">
        <f t="shared" si="25"/>
        <v>0</v>
      </c>
      <c r="AQ146" s="193">
        <f t="shared" si="26"/>
        <v>14722</v>
      </c>
      <c r="AR146" s="194">
        <f t="shared" si="27"/>
        <v>-8632</v>
      </c>
      <c r="AS146" s="118"/>
      <c r="AT146" s="119"/>
      <c r="AU146" s="119"/>
      <c r="AV146" s="120"/>
      <c r="AW146" s="195"/>
      <c r="AX146" s="112">
        <v>0</v>
      </c>
      <c r="AY146" s="162">
        <v>0</v>
      </c>
      <c r="AZ146" s="162">
        <v>0</v>
      </c>
      <c r="BA146" s="162">
        <v>0</v>
      </c>
      <c r="BB146" s="196">
        <v>0</v>
      </c>
    </row>
    <row r="147" spans="1:54" s="121" customFormat="1" ht="16.5" customHeight="1">
      <c r="A147" s="104" t="s">
        <v>2143</v>
      </c>
      <c r="B147" s="105" t="s">
        <v>940</v>
      </c>
      <c r="C147" s="106" t="s">
        <v>952</v>
      </c>
      <c r="D147" s="106" t="s">
        <v>2415</v>
      </c>
      <c r="E147" s="71" t="s">
        <v>862</v>
      </c>
      <c r="F147" s="71" t="s">
        <v>2085</v>
      </c>
      <c r="G147" s="109" t="s">
        <v>2130</v>
      </c>
      <c r="H147" s="110">
        <f>2030*4</f>
        <v>8120</v>
      </c>
      <c r="I147" s="112">
        <v>0</v>
      </c>
      <c r="J147" s="112">
        <v>0</v>
      </c>
      <c r="K147" s="113">
        <f t="shared" si="22"/>
        <v>8120</v>
      </c>
      <c r="L147" s="110">
        <v>201</v>
      </c>
      <c r="M147" s="115">
        <v>0</v>
      </c>
      <c r="N147" s="115">
        <v>0</v>
      </c>
      <c r="O147" s="111">
        <v>0</v>
      </c>
      <c r="P147" s="114">
        <v>0</v>
      </c>
      <c r="Q147" s="111">
        <v>8428</v>
      </c>
      <c r="R147" s="111">
        <v>0</v>
      </c>
      <c r="S147" s="111">
        <f>1077*9</f>
        <v>9693</v>
      </c>
      <c r="T147" s="111">
        <f t="shared" si="23"/>
        <v>9693</v>
      </c>
      <c r="U147" s="112">
        <f>1856*4</f>
        <v>7424</v>
      </c>
      <c r="V147" s="144">
        <v>0</v>
      </c>
      <c r="W147" s="112"/>
      <c r="X147" s="113">
        <f t="shared" si="28"/>
        <v>17318</v>
      </c>
      <c r="Y147" s="211">
        <v>0</v>
      </c>
      <c r="Z147" s="111">
        <v>0</v>
      </c>
      <c r="AA147" s="212">
        <v>0</v>
      </c>
      <c r="AB147" s="111">
        <v>0</v>
      </c>
      <c r="AC147" s="113">
        <f t="shared" si="29"/>
        <v>0</v>
      </c>
      <c r="AD147" s="211">
        <v>0</v>
      </c>
      <c r="AE147" s="111">
        <v>0</v>
      </c>
      <c r="AF147" s="111">
        <v>0</v>
      </c>
      <c r="AG147" s="111">
        <v>0</v>
      </c>
      <c r="AH147" s="111">
        <v>0</v>
      </c>
      <c r="AI147" s="111">
        <v>0</v>
      </c>
      <c r="AJ147" s="111">
        <v>0</v>
      </c>
      <c r="AK147" s="113">
        <f t="shared" si="30"/>
        <v>0</v>
      </c>
      <c r="AL147" s="143">
        <f t="shared" si="31"/>
        <v>0</v>
      </c>
      <c r="AM147" s="112">
        <f t="shared" si="31"/>
        <v>0</v>
      </c>
      <c r="AN147" s="112">
        <f t="shared" si="31"/>
        <v>0</v>
      </c>
      <c r="AO147" s="112">
        <f t="shared" si="24"/>
        <v>0</v>
      </c>
      <c r="AP147" s="192">
        <f t="shared" si="25"/>
        <v>0</v>
      </c>
      <c r="AQ147" s="193">
        <f t="shared" si="26"/>
        <v>17318</v>
      </c>
      <c r="AR147" s="194">
        <f t="shared" si="27"/>
        <v>-9198</v>
      </c>
      <c r="AS147" s="118"/>
      <c r="AT147" s="119"/>
      <c r="AU147" s="119"/>
      <c r="AV147" s="120"/>
      <c r="AW147" s="195"/>
      <c r="AX147" s="112">
        <v>0</v>
      </c>
      <c r="AY147" s="162">
        <v>0</v>
      </c>
      <c r="AZ147" s="162">
        <v>0</v>
      </c>
      <c r="BA147" s="162">
        <v>0</v>
      </c>
      <c r="BB147" s="196">
        <v>0</v>
      </c>
    </row>
    <row r="148" spans="1:54" s="121" customFormat="1" ht="16.5" customHeight="1">
      <c r="A148" s="104" t="s">
        <v>2143</v>
      </c>
      <c r="B148" s="105" t="s">
        <v>948</v>
      </c>
      <c r="C148" s="106" t="s">
        <v>954</v>
      </c>
      <c r="D148" s="106" t="s">
        <v>2415</v>
      </c>
      <c r="E148" s="71" t="s">
        <v>868</v>
      </c>
      <c r="F148" s="71" t="s">
        <v>2085</v>
      </c>
      <c r="G148" s="109" t="s">
        <v>2130</v>
      </c>
      <c r="H148" s="110">
        <f>2030*2</f>
        <v>4060</v>
      </c>
      <c r="I148" s="112">
        <v>0</v>
      </c>
      <c r="J148" s="112">
        <v>0</v>
      </c>
      <c r="K148" s="113">
        <f t="shared" si="22"/>
        <v>4060</v>
      </c>
      <c r="L148" s="110">
        <v>201</v>
      </c>
      <c r="M148" s="115">
        <v>0</v>
      </c>
      <c r="N148" s="115">
        <v>0</v>
      </c>
      <c r="O148" s="111">
        <v>0</v>
      </c>
      <c r="P148" s="114">
        <v>0</v>
      </c>
      <c r="Q148" s="111">
        <v>8428</v>
      </c>
      <c r="R148" s="111">
        <v>0</v>
      </c>
      <c r="S148" s="111">
        <f>1077*3</f>
        <v>3231</v>
      </c>
      <c r="T148" s="111">
        <f t="shared" si="23"/>
        <v>3231</v>
      </c>
      <c r="U148" s="112">
        <f>1856*2</f>
        <v>3712</v>
      </c>
      <c r="V148" s="144">
        <v>0</v>
      </c>
      <c r="W148" s="112"/>
      <c r="X148" s="113">
        <f t="shared" si="28"/>
        <v>7144</v>
      </c>
      <c r="Y148" s="211">
        <v>0</v>
      </c>
      <c r="Z148" s="111">
        <v>0</v>
      </c>
      <c r="AA148" s="212">
        <v>0</v>
      </c>
      <c r="AB148" s="111">
        <v>0</v>
      </c>
      <c r="AC148" s="113">
        <f t="shared" si="29"/>
        <v>0</v>
      </c>
      <c r="AD148" s="211">
        <v>0</v>
      </c>
      <c r="AE148" s="111">
        <v>0</v>
      </c>
      <c r="AF148" s="111">
        <v>0</v>
      </c>
      <c r="AG148" s="111">
        <v>0</v>
      </c>
      <c r="AH148" s="111">
        <v>0</v>
      </c>
      <c r="AI148" s="111">
        <v>0</v>
      </c>
      <c r="AJ148" s="111">
        <v>0</v>
      </c>
      <c r="AK148" s="113">
        <f t="shared" si="30"/>
        <v>0</v>
      </c>
      <c r="AL148" s="143">
        <f t="shared" si="31"/>
        <v>0</v>
      </c>
      <c r="AM148" s="112">
        <f t="shared" si="31"/>
        <v>0</v>
      </c>
      <c r="AN148" s="112">
        <f t="shared" si="31"/>
        <v>0</v>
      </c>
      <c r="AO148" s="112">
        <f t="shared" si="24"/>
        <v>0</v>
      </c>
      <c r="AP148" s="192">
        <f t="shared" si="25"/>
        <v>0</v>
      </c>
      <c r="AQ148" s="193">
        <f t="shared" si="26"/>
        <v>7144</v>
      </c>
      <c r="AR148" s="194">
        <f t="shared" si="27"/>
        <v>-3084</v>
      </c>
      <c r="AS148" s="118"/>
      <c r="AT148" s="119"/>
      <c r="AU148" s="119"/>
      <c r="AV148" s="120"/>
      <c r="AW148" s="195"/>
      <c r="AX148" s="112">
        <v>0</v>
      </c>
      <c r="AY148" s="162">
        <v>0</v>
      </c>
      <c r="AZ148" s="162">
        <v>0</v>
      </c>
      <c r="BA148" s="162">
        <v>0</v>
      </c>
      <c r="BB148" s="196">
        <v>0</v>
      </c>
    </row>
    <row r="149" spans="1:54" s="121" customFormat="1" ht="16.5" customHeight="1">
      <c r="A149" s="104" t="s">
        <v>2143</v>
      </c>
      <c r="B149" s="105" t="s">
        <v>951</v>
      </c>
      <c r="C149" s="106" t="s">
        <v>956</v>
      </c>
      <c r="D149" s="106" t="s">
        <v>2415</v>
      </c>
      <c r="E149" s="71" t="s">
        <v>875</v>
      </c>
      <c r="F149" s="71" t="s">
        <v>2085</v>
      </c>
      <c r="G149" s="109" t="s">
        <v>2130</v>
      </c>
      <c r="H149" s="110">
        <f>2030*2</f>
        <v>4060</v>
      </c>
      <c r="I149" s="112">
        <v>0</v>
      </c>
      <c r="J149" s="112">
        <v>0</v>
      </c>
      <c r="K149" s="113">
        <f t="shared" si="22"/>
        <v>4060</v>
      </c>
      <c r="L149" s="110">
        <v>201</v>
      </c>
      <c r="M149" s="115">
        <v>0</v>
      </c>
      <c r="N149" s="115">
        <v>0</v>
      </c>
      <c r="O149" s="111">
        <v>858</v>
      </c>
      <c r="P149" s="114">
        <v>0</v>
      </c>
      <c r="Q149" s="111">
        <v>8428</v>
      </c>
      <c r="R149" s="111">
        <v>0</v>
      </c>
      <c r="S149" s="111">
        <f>1077*7</f>
        <v>7539</v>
      </c>
      <c r="T149" s="111">
        <f t="shared" si="23"/>
        <v>7539</v>
      </c>
      <c r="U149" s="112">
        <f>1856*2</f>
        <v>3712</v>
      </c>
      <c r="V149" s="144">
        <v>0</v>
      </c>
      <c r="W149" s="112"/>
      <c r="X149" s="113">
        <f t="shared" si="28"/>
        <v>12310</v>
      </c>
      <c r="Y149" s="211">
        <v>0</v>
      </c>
      <c r="Z149" s="111">
        <v>0</v>
      </c>
      <c r="AA149" s="212">
        <v>0</v>
      </c>
      <c r="AB149" s="111">
        <v>0</v>
      </c>
      <c r="AC149" s="113">
        <f t="shared" si="29"/>
        <v>0</v>
      </c>
      <c r="AD149" s="211">
        <v>0</v>
      </c>
      <c r="AE149" s="111">
        <v>0</v>
      </c>
      <c r="AF149" s="111">
        <v>0</v>
      </c>
      <c r="AG149" s="111">
        <v>0</v>
      </c>
      <c r="AH149" s="111">
        <v>0</v>
      </c>
      <c r="AI149" s="111">
        <v>0</v>
      </c>
      <c r="AJ149" s="111">
        <v>0</v>
      </c>
      <c r="AK149" s="113">
        <f t="shared" si="30"/>
        <v>0</v>
      </c>
      <c r="AL149" s="143">
        <f t="shared" si="31"/>
        <v>32529</v>
      </c>
      <c r="AM149" s="112">
        <f t="shared" si="31"/>
        <v>14772.65</v>
      </c>
      <c r="AN149" s="112">
        <f t="shared" si="31"/>
        <v>17756.349999999999</v>
      </c>
      <c r="AO149" s="112">
        <f t="shared" si="24"/>
        <v>1477.2650000000001</v>
      </c>
      <c r="AP149" s="192">
        <f t="shared" si="25"/>
        <v>0.45413784622951825</v>
      </c>
      <c r="AQ149" s="193">
        <f t="shared" si="26"/>
        <v>13787.264999999999</v>
      </c>
      <c r="AR149" s="194">
        <f t="shared" si="27"/>
        <v>-9727.2649999999994</v>
      </c>
      <c r="AS149" s="118"/>
      <c r="AT149" s="119"/>
      <c r="AU149" s="119"/>
      <c r="AV149" s="120"/>
      <c r="AW149" s="195"/>
      <c r="AX149" s="112">
        <v>32529000</v>
      </c>
      <c r="AY149" s="162">
        <v>14772650</v>
      </c>
      <c r="AZ149" s="162">
        <v>17756350</v>
      </c>
      <c r="BA149" s="162">
        <v>1477265</v>
      </c>
      <c r="BB149" s="196">
        <f t="shared" si="32"/>
        <v>0.45413784622951825</v>
      </c>
    </row>
    <row r="150" spans="1:54" s="121" customFormat="1" ht="16.5" customHeight="1">
      <c r="A150" s="104" t="s">
        <v>2143</v>
      </c>
      <c r="B150" s="105" t="s">
        <v>953</v>
      </c>
      <c r="C150" s="106" t="s">
        <v>958</v>
      </c>
      <c r="D150" s="106" t="s">
        <v>2415</v>
      </c>
      <c r="E150" s="71" t="s">
        <v>881</v>
      </c>
      <c r="F150" s="71" t="s">
        <v>2085</v>
      </c>
      <c r="G150" s="109" t="s">
        <v>2130</v>
      </c>
      <c r="H150" s="110">
        <f>2030*2</f>
        <v>4060</v>
      </c>
      <c r="I150" s="112">
        <v>0</v>
      </c>
      <c r="J150" s="112">
        <v>0</v>
      </c>
      <c r="K150" s="113">
        <f t="shared" si="22"/>
        <v>4060</v>
      </c>
      <c r="L150" s="110">
        <v>201</v>
      </c>
      <c r="M150" s="115">
        <v>0</v>
      </c>
      <c r="N150" s="115">
        <v>0</v>
      </c>
      <c r="O150" s="111">
        <v>0</v>
      </c>
      <c r="P150" s="114">
        <v>0</v>
      </c>
      <c r="Q150" s="111">
        <v>8428</v>
      </c>
      <c r="R150" s="111">
        <v>0</v>
      </c>
      <c r="S150" s="111">
        <f>1077*8</f>
        <v>8616</v>
      </c>
      <c r="T150" s="111">
        <f t="shared" si="23"/>
        <v>8616</v>
      </c>
      <c r="U150" s="112">
        <f>1856*2</f>
        <v>3712</v>
      </c>
      <c r="V150" s="144">
        <v>0</v>
      </c>
      <c r="W150" s="112"/>
      <c r="X150" s="113">
        <f t="shared" si="28"/>
        <v>12529</v>
      </c>
      <c r="Y150" s="211">
        <v>0</v>
      </c>
      <c r="Z150" s="111">
        <v>0</v>
      </c>
      <c r="AA150" s="212">
        <v>0</v>
      </c>
      <c r="AB150" s="111">
        <v>0</v>
      </c>
      <c r="AC150" s="113">
        <f t="shared" si="29"/>
        <v>0</v>
      </c>
      <c r="AD150" s="211">
        <v>0</v>
      </c>
      <c r="AE150" s="111">
        <v>0</v>
      </c>
      <c r="AF150" s="111">
        <v>0</v>
      </c>
      <c r="AG150" s="111">
        <v>0</v>
      </c>
      <c r="AH150" s="111">
        <v>0</v>
      </c>
      <c r="AI150" s="111">
        <v>0</v>
      </c>
      <c r="AJ150" s="111">
        <v>0</v>
      </c>
      <c r="AK150" s="113">
        <f t="shared" si="30"/>
        <v>0</v>
      </c>
      <c r="AL150" s="143">
        <f t="shared" si="31"/>
        <v>0</v>
      </c>
      <c r="AM150" s="112">
        <f t="shared" si="31"/>
        <v>0</v>
      </c>
      <c r="AN150" s="112">
        <f t="shared" si="31"/>
        <v>0</v>
      </c>
      <c r="AO150" s="112">
        <f t="shared" si="24"/>
        <v>0</v>
      </c>
      <c r="AP150" s="192">
        <f t="shared" si="25"/>
        <v>0</v>
      </c>
      <c r="AQ150" s="193">
        <f t="shared" si="26"/>
        <v>12529</v>
      </c>
      <c r="AR150" s="194">
        <f t="shared" si="27"/>
        <v>-8469</v>
      </c>
      <c r="AS150" s="118"/>
      <c r="AT150" s="119"/>
      <c r="AU150" s="119"/>
      <c r="AV150" s="120"/>
      <c r="AW150" s="195"/>
      <c r="AX150" s="112">
        <v>0</v>
      </c>
      <c r="AY150" s="162">
        <v>0</v>
      </c>
      <c r="AZ150" s="162">
        <v>0</v>
      </c>
      <c r="BA150" s="162">
        <v>0</v>
      </c>
      <c r="BB150" s="196">
        <v>0</v>
      </c>
    </row>
    <row r="151" spans="1:54" s="121" customFormat="1" ht="16.5" customHeight="1">
      <c r="A151" s="104" t="s">
        <v>2143</v>
      </c>
      <c r="B151" s="105" t="s">
        <v>955</v>
      </c>
      <c r="C151" s="106" t="s">
        <v>960</v>
      </c>
      <c r="D151" s="106" t="s">
        <v>2415</v>
      </c>
      <c r="E151" s="71" t="s">
        <v>887</v>
      </c>
      <c r="F151" s="71" t="s">
        <v>2085</v>
      </c>
      <c r="G151" s="109" t="s">
        <v>2130</v>
      </c>
      <c r="H151" s="110">
        <f>2030*2</f>
        <v>4060</v>
      </c>
      <c r="I151" s="112">
        <v>0</v>
      </c>
      <c r="J151" s="112">
        <v>0</v>
      </c>
      <c r="K151" s="113">
        <f t="shared" si="22"/>
        <v>4060</v>
      </c>
      <c r="L151" s="110">
        <v>201</v>
      </c>
      <c r="M151" s="115">
        <v>0</v>
      </c>
      <c r="N151" s="115">
        <v>0</v>
      </c>
      <c r="O151" s="111">
        <v>0</v>
      </c>
      <c r="P151" s="114">
        <v>0</v>
      </c>
      <c r="Q151" s="111">
        <v>8428</v>
      </c>
      <c r="R151" s="111">
        <v>0</v>
      </c>
      <c r="S151" s="111">
        <f>1077*7</f>
        <v>7539</v>
      </c>
      <c r="T151" s="111">
        <f t="shared" si="23"/>
        <v>7539</v>
      </c>
      <c r="U151" s="112">
        <f>1856*2</f>
        <v>3712</v>
      </c>
      <c r="V151" s="144">
        <v>0</v>
      </c>
      <c r="W151" s="112"/>
      <c r="X151" s="113">
        <f t="shared" si="28"/>
        <v>11452</v>
      </c>
      <c r="Y151" s="211">
        <v>0</v>
      </c>
      <c r="Z151" s="111">
        <v>0</v>
      </c>
      <c r="AA151" s="212">
        <v>0</v>
      </c>
      <c r="AB151" s="111">
        <v>0</v>
      </c>
      <c r="AC151" s="113">
        <f t="shared" si="29"/>
        <v>0</v>
      </c>
      <c r="AD151" s="211">
        <v>0</v>
      </c>
      <c r="AE151" s="111">
        <v>0</v>
      </c>
      <c r="AF151" s="111">
        <v>0</v>
      </c>
      <c r="AG151" s="111">
        <v>0</v>
      </c>
      <c r="AH151" s="111">
        <v>0</v>
      </c>
      <c r="AI151" s="111">
        <v>0</v>
      </c>
      <c r="AJ151" s="111">
        <v>0</v>
      </c>
      <c r="AK151" s="113">
        <f t="shared" si="30"/>
        <v>0</v>
      </c>
      <c r="AL151" s="143">
        <f t="shared" si="31"/>
        <v>0</v>
      </c>
      <c r="AM151" s="112">
        <f t="shared" si="31"/>
        <v>0</v>
      </c>
      <c r="AN151" s="112">
        <f t="shared" si="31"/>
        <v>0</v>
      </c>
      <c r="AO151" s="112">
        <f t="shared" si="24"/>
        <v>0</v>
      </c>
      <c r="AP151" s="192">
        <f t="shared" si="25"/>
        <v>0</v>
      </c>
      <c r="AQ151" s="193">
        <f t="shared" si="26"/>
        <v>11452</v>
      </c>
      <c r="AR151" s="194">
        <f t="shared" si="27"/>
        <v>-7392</v>
      </c>
      <c r="AS151" s="118"/>
      <c r="AT151" s="119"/>
      <c r="AU151" s="119"/>
      <c r="AV151" s="120"/>
      <c r="AW151" s="195"/>
      <c r="AX151" s="112">
        <v>0</v>
      </c>
      <c r="AY151" s="162">
        <v>0</v>
      </c>
      <c r="AZ151" s="162">
        <v>0</v>
      </c>
      <c r="BA151" s="162">
        <v>0</v>
      </c>
      <c r="BB151" s="196">
        <v>0</v>
      </c>
    </row>
    <row r="152" spans="1:54" s="121" customFormat="1" ht="16.5" customHeight="1">
      <c r="A152" s="104" t="s">
        <v>2143</v>
      </c>
      <c r="B152" s="105" t="s">
        <v>957</v>
      </c>
      <c r="C152" s="106" t="s">
        <v>962</v>
      </c>
      <c r="D152" s="106" t="s">
        <v>2415</v>
      </c>
      <c r="E152" s="71" t="s">
        <v>894</v>
      </c>
      <c r="F152" s="71" t="s">
        <v>2085</v>
      </c>
      <c r="G152" s="109" t="s">
        <v>2130</v>
      </c>
      <c r="H152" s="110">
        <f>2030*3</f>
        <v>6090</v>
      </c>
      <c r="I152" s="112">
        <v>0</v>
      </c>
      <c r="J152" s="112">
        <v>0</v>
      </c>
      <c r="K152" s="113">
        <f t="shared" si="22"/>
        <v>6090</v>
      </c>
      <c r="L152" s="110">
        <v>201</v>
      </c>
      <c r="M152" s="111">
        <v>17</v>
      </c>
      <c r="N152" s="115">
        <v>0</v>
      </c>
      <c r="O152" s="111">
        <v>0</v>
      </c>
      <c r="P152" s="114">
        <v>0</v>
      </c>
      <c r="Q152" s="111">
        <v>8428</v>
      </c>
      <c r="R152" s="111">
        <v>0</v>
      </c>
      <c r="S152" s="111">
        <f>1077*8</f>
        <v>8616</v>
      </c>
      <c r="T152" s="111">
        <f t="shared" si="23"/>
        <v>8616</v>
      </c>
      <c r="U152" s="112">
        <f>1856*3</f>
        <v>5568</v>
      </c>
      <c r="V152" s="144">
        <v>0</v>
      </c>
      <c r="W152" s="112"/>
      <c r="X152" s="113">
        <f t="shared" si="28"/>
        <v>14402</v>
      </c>
      <c r="Y152" s="211">
        <v>0</v>
      </c>
      <c r="Z152" s="111">
        <v>0</v>
      </c>
      <c r="AA152" s="212">
        <v>0</v>
      </c>
      <c r="AB152" s="111">
        <v>0</v>
      </c>
      <c r="AC152" s="113">
        <f t="shared" si="29"/>
        <v>0</v>
      </c>
      <c r="AD152" s="211">
        <v>0</v>
      </c>
      <c r="AE152" s="111">
        <v>0</v>
      </c>
      <c r="AF152" s="111">
        <v>0</v>
      </c>
      <c r="AG152" s="111">
        <v>0</v>
      </c>
      <c r="AH152" s="111">
        <v>0</v>
      </c>
      <c r="AI152" s="111">
        <v>0</v>
      </c>
      <c r="AJ152" s="111">
        <v>0</v>
      </c>
      <c r="AK152" s="113">
        <f t="shared" si="30"/>
        <v>0</v>
      </c>
      <c r="AL152" s="143">
        <f t="shared" si="31"/>
        <v>2075437.148</v>
      </c>
      <c r="AM152" s="112">
        <f t="shared" si="31"/>
        <v>1418047.3030000001</v>
      </c>
      <c r="AN152" s="112">
        <f t="shared" si="31"/>
        <v>657389.84499999997</v>
      </c>
      <c r="AO152" s="112">
        <f t="shared" si="24"/>
        <v>37224.250999999997</v>
      </c>
      <c r="AP152" s="192">
        <f t="shared" si="25"/>
        <v>0.68325234727850215</v>
      </c>
      <c r="AQ152" s="193">
        <f t="shared" si="26"/>
        <v>51626.250999999997</v>
      </c>
      <c r="AR152" s="194">
        <f t="shared" si="27"/>
        <v>-45536.250999999997</v>
      </c>
      <c r="AS152" s="118"/>
      <c r="AT152" s="119"/>
      <c r="AU152" s="119"/>
      <c r="AV152" s="120"/>
      <c r="AW152" s="195"/>
      <c r="AX152" s="112">
        <v>2075437148</v>
      </c>
      <c r="AY152" s="162">
        <v>1418047303</v>
      </c>
      <c r="AZ152" s="162">
        <v>657389845</v>
      </c>
      <c r="BA152" s="162">
        <v>37224251</v>
      </c>
      <c r="BB152" s="196">
        <f t="shared" si="32"/>
        <v>0.68325234727850215</v>
      </c>
    </row>
    <row r="153" spans="1:54" s="121" customFormat="1" ht="16.5" customHeight="1">
      <c r="A153" s="104" t="s">
        <v>2143</v>
      </c>
      <c r="B153" s="105" t="s">
        <v>959</v>
      </c>
      <c r="C153" s="106" t="s">
        <v>964</v>
      </c>
      <c r="D153" s="106" t="s">
        <v>2415</v>
      </c>
      <c r="E153" s="71" t="s">
        <v>899</v>
      </c>
      <c r="F153" s="71" t="s">
        <v>2085</v>
      </c>
      <c r="G153" s="109" t="s">
        <v>2130</v>
      </c>
      <c r="H153" s="110">
        <f>2030*2</f>
        <v>4060</v>
      </c>
      <c r="I153" s="112">
        <v>0</v>
      </c>
      <c r="J153" s="112">
        <v>0</v>
      </c>
      <c r="K153" s="113">
        <f t="shared" si="22"/>
        <v>4060</v>
      </c>
      <c r="L153" s="110">
        <v>201</v>
      </c>
      <c r="M153" s="111">
        <v>22</v>
      </c>
      <c r="N153" s="115">
        <v>0</v>
      </c>
      <c r="O153" s="111">
        <v>0</v>
      </c>
      <c r="P153" s="114">
        <v>0</v>
      </c>
      <c r="Q153" s="111">
        <v>8428</v>
      </c>
      <c r="R153" s="111">
        <v>0</v>
      </c>
      <c r="S153" s="111">
        <f>1077*4</f>
        <v>4308</v>
      </c>
      <c r="T153" s="111">
        <f t="shared" si="23"/>
        <v>4308</v>
      </c>
      <c r="U153" s="112">
        <f>1856*2</f>
        <v>3712</v>
      </c>
      <c r="V153" s="144">
        <v>0</v>
      </c>
      <c r="W153" s="112"/>
      <c r="X153" s="113">
        <f t="shared" si="28"/>
        <v>8243</v>
      </c>
      <c r="Y153" s="211">
        <v>0</v>
      </c>
      <c r="Z153" s="111">
        <v>0</v>
      </c>
      <c r="AA153" s="212">
        <v>0</v>
      </c>
      <c r="AB153" s="111">
        <v>0</v>
      </c>
      <c r="AC153" s="113">
        <f t="shared" si="29"/>
        <v>0</v>
      </c>
      <c r="AD153" s="211">
        <v>0</v>
      </c>
      <c r="AE153" s="111">
        <v>0</v>
      </c>
      <c r="AF153" s="111">
        <v>0</v>
      </c>
      <c r="AG153" s="111">
        <v>0</v>
      </c>
      <c r="AH153" s="111">
        <v>0</v>
      </c>
      <c r="AI153" s="111">
        <v>0</v>
      </c>
      <c r="AJ153" s="111">
        <v>0</v>
      </c>
      <c r="AK153" s="113">
        <f t="shared" si="30"/>
        <v>0</v>
      </c>
      <c r="AL153" s="143">
        <f t="shared" si="31"/>
        <v>2173393.8739999998</v>
      </c>
      <c r="AM153" s="112">
        <f t="shared" si="31"/>
        <v>1393193.3060000001</v>
      </c>
      <c r="AN153" s="112">
        <f t="shared" si="31"/>
        <v>780200.56799999997</v>
      </c>
      <c r="AO153" s="112">
        <f t="shared" si="24"/>
        <v>39627.481</v>
      </c>
      <c r="AP153" s="192">
        <f t="shared" si="25"/>
        <v>0.64102200832834411</v>
      </c>
      <c r="AQ153" s="193">
        <f t="shared" si="26"/>
        <v>47870.481</v>
      </c>
      <c r="AR153" s="194">
        <f t="shared" si="27"/>
        <v>-43810.481</v>
      </c>
      <c r="AS153" s="118"/>
      <c r="AT153" s="119"/>
      <c r="AU153" s="119"/>
      <c r="AV153" s="120"/>
      <c r="AW153" s="195"/>
      <c r="AX153" s="112">
        <v>2173393874</v>
      </c>
      <c r="AY153" s="162">
        <v>1393193306</v>
      </c>
      <c r="AZ153" s="162">
        <v>780200568</v>
      </c>
      <c r="BA153" s="162">
        <v>39627481</v>
      </c>
      <c r="BB153" s="196">
        <f t="shared" si="32"/>
        <v>0.64102200832834411</v>
      </c>
    </row>
    <row r="154" spans="1:54" s="121" customFormat="1" ht="16.5" customHeight="1">
      <c r="A154" s="104" t="s">
        <v>2143</v>
      </c>
      <c r="B154" s="105" t="s">
        <v>961</v>
      </c>
      <c r="C154" s="106" t="s">
        <v>967</v>
      </c>
      <c r="D154" s="106" t="s">
        <v>2415</v>
      </c>
      <c r="E154" s="71" t="s">
        <v>904</v>
      </c>
      <c r="F154" s="71" t="s">
        <v>2085</v>
      </c>
      <c r="G154" s="109" t="s">
        <v>2130</v>
      </c>
      <c r="H154" s="110">
        <f>2030*3</f>
        <v>6090</v>
      </c>
      <c r="I154" s="112">
        <v>0</v>
      </c>
      <c r="J154" s="112">
        <v>0</v>
      </c>
      <c r="K154" s="113">
        <f t="shared" si="22"/>
        <v>6090</v>
      </c>
      <c r="L154" s="110">
        <v>201</v>
      </c>
      <c r="M154" s="115">
        <v>0</v>
      </c>
      <c r="N154" s="115">
        <v>0</v>
      </c>
      <c r="O154" s="111">
        <v>388</v>
      </c>
      <c r="P154" s="114">
        <v>0</v>
      </c>
      <c r="Q154" s="111">
        <v>8428</v>
      </c>
      <c r="R154" s="111">
        <v>0</v>
      </c>
      <c r="S154" s="111">
        <f>1077*9</f>
        <v>9693</v>
      </c>
      <c r="T154" s="111">
        <f t="shared" si="23"/>
        <v>9693</v>
      </c>
      <c r="U154" s="112">
        <f>1856*3</f>
        <v>5568</v>
      </c>
      <c r="V154" s="144">
        <v>0</v>
      </c>
      <c r="W154" s="112"/>
      <c r="X154" s="113">
        <f t="shared" si="28"/>
        <v>15850</v>
      </c>
      <c r="Y154" s="211">
        <v>0</v>
      </c>
      <c r="Z154" s="111">
        <v>0</v>
      </c>
      <c r="AA154" s="212">
        <v>0</v>
      </c>
      <c r="AB154" s="111">
        <v>0</v>
      </c>
      <c r="AC154" s="113">
        <f t="shared" si="29"/>
        <v>0</v>
      </c>
      <c r="AD154" s="211">
        <v>0</v>
      </c>
      <c r="AE154" s="111">
        <v>0</v>
      </c>
      <c r="AF154" s="111">
        <v>0</v>
      </c>
      <c r="AG154" s="111">
        <v>0</v>
      </c>
      <c r="AH154" s="111">
        <v>0</v>
      </c>
      <c r="AI154" s="111">
        <v>0</v>
      </c>
      <c r="AJ154" s="111">
        <v>0</v>
      </c>
      <c r="AK154" s="113">
        <f t="shared" si="30"/>
        <v>0</v>
      </c>
      <c r="AL154" s="143">
        <f t="shared" si="31"/>
        <v>2867649.3569999998</v>
      </c>
      <c r="AM154" s="112">
        <f t="shared" si="31"/>
        <v>1744416.2439999999</v>
      </c>
      <c r="AN154" s="112">
        <f t="shared" si="31"/>
        <v>1123233.1129999999</v>
      </c>
      <c r="AO154" s="112">
        <f t="shared" si="24"/>
        <v>37806.671000000002</v>
      </c>
      <c r="AP154" s="192">
        <f t="shared" si="25"/>
        <v>0.60830876680994439</v>
      </c>
      <c r="AQ154" s="193">
        <f t="shared" si="26"/>
        <v>53656.671000000002</v>
      </c>
      <c r="AR154" s="194">
        <f t="shared" si="27"/>
        <v>-47566.671000000002</v>
      </c>
      <c r="AS154" s="118"/>
      <c r="AT154" s="119"/>
      <c r="AU154" s="119"/>
      <c r="AV154" s="120"/>
      <c r="AW154" s="195"/>
      <c r="AX154" s="112">
        <v>2867649357</v>
      </c>
      <c r="AY154" s="162">
        <v>1744416244</v>
      </c>
      <c r="AZ154" s="162">
        <v>1123233113</v>
      </c>
      <c r="BA154" s="162">
        <v>37806671</v>
      </c>
      <c r="BB154" s="196">
        <f t="shared" si="32"/>
        <v>0.60830876680994439</v>
      </c>
    </row>
    <row r="155" spans="1:54" s="121" customFormat="1" ht="16.5" customHeight="1">
      <c r="A155" s="104" t="s">
        <v>2143</v>
      </c>
      <c r="B155" s="105" t="s">
        <v>963</v>
      </c>
      <c r="C155" s="106" t="s">
        <v>969</v>
      </c>
      <c r="D155" s="106" t="s">
        <v>2415</v>
      </c>
      <c r="E155" s="71" t="s">
        <v>909</v>
      </c>
      <c r="F155" s="71" t="s">
        <v>2085</v>
      </c>
      <c r="G155" s="109" t="s">
        <v>2130</v>
      </c>
      <c r="H155" s="110">
        <f>2030*1</f>
        <v>2030</v>
      </c>
      <c r="I155" s="112">
        <v>0</v>
      </c>
      <c r="J155" s="112">
        <v>0</v>
      </c>
      <c r="K155" s="113">
        <f t="shared" si="22"/>
        <v>2030</v>
      </c>
      <c r="L155" s="110">
        <v>201</v>
      </c>
      <c r="M155" s="115">
        <v>0</v>
      </c>
      <c r="N155" s="115">
        <v>0</v>
      </c>
      <c r="O155" s="111">
        <v>0</v>
      </c>
      <c r="P155" s="114">
        <v>0</v>
      </c>
      <c r="Q155" s="111">
        <v>8428</v>
      </c>
      <c r="R155" s="111">
        <v>0</v>
      </c>
      <c r="S155" s="111">
        <f>1077*3</f>
        <v>3231</v>
      </c>
      <c r="T155" s="111">
        <f t="shared" si="23"/>
        <v>3231</v>
      </c>
      <c r="U155" s="112">
        <f>1856*1</f>
        <v>1856</v>
      </c>
      <c r="V155" s="144">
        <v>0</v>
      </c>
      <c r="W155" s="112"/>
      <c r="X155" s="113">
        <f t="shared" si="28"/>
        <v>5288</v>
      </c>
      <c r="Y155" s="211">
        <v>0</v>
      </c>
      <c r="Z155" s="111">
        <v>0</v>
      </c>
      <c r="AA155" s="212">
        <v>0</v>
      </c>
      <c r="AB155" s="111">
        <v>0</v>
      </c>
      <c r="AC155" s="113">
        <f t="shared" si="29"/>
        <v>0</v>
      </c>
      <c r="AD155" s="211">
        <v>0</v>
      </c>
      <c r="AE155" s="111">
        <v>0</v>
      </c>
      <c r="AF155" s="111">
        <v>0</v>
      </c>
      <c r="AG155" s="111">
        <v>0</v>
      </c>
      <c r="AH155" s="111">
        <v>0</v>
      </c>
      <c r="AI155" s="111">
        <v>0</v>
      </c>
      <c r="AJ155" s="111">
        <v>0</v>
      </c>
      <c r="AK155" s="113">
        <f t="shared" si="30"/>
        <v>0</v>
      </c>
      <c r="AL155" s="143">
        <f t="shared" si="31"/>
        <v>1928434.9069999999</v>
      </c>
      <c r="AM155" s="112">
        <f t="shared" si="31"/>
        <v>1533334.6710000001</v>
      </c>
      <c r="AN155" s="112">
        <f t="shared" si="31"/>
        <v>395100.23599999998</v>
      </c>
      <c r="AO155" s="112">
        <f t="shared" si="24"/>
        <v>37337.983999999997</v>
      </c>
      <c r="AP155" s="192">
        <f t="shared" si="25"/>
        <v>0.79511870762874548</v>
      </c>
      <c r="AQ155" s="193">
        <f t="shared" si="26"/>
        <v>42625.983999999997</v>
      </c>
      <c r="AR155" s="194">
        <f t="shared" si="27"/>
        <v>-40595.983999999997</v>
      </c>
      <c r="AS155" s="118"/>
      <c r="AT155" s="119"/>
      <c r="AU155" s="119"/>
      <c r="AV155" s="120"/>
      <c r="AW155" s="195"/>
      <c r="AX155" s="112">
        <v>1928434907</v>
      </c>
      <c r="AY155" s="162">
        <v>1533334671</v>
      </c>
      <c r="AZ155" s="162">
        <v>395100236</v>
      </c>
      <c r="BA155" s="162">
        <v>37337984</v>
      </c>
      <c r="BB155" s="196">
        <f t="shared" si="32"/>
        <v>0.79511870762874548</v>
      </c>
    </row>
    <row r="156" spans="1:54" s="121" customFormat="1" ht="16.5" customHeight="1">
      <c r="A156" s="104" t="s">
        <v>2143</v>
      </c>
      <c r="B156" s="105" t="s">
        <v>966</v>
      </c>
      <c r="C156" s="106" t="s">
        <v>972</v>
      </c>
      <c r="D156" s="106" t="s">
        <v>2415</v>
      </c>
      <c r="E156" s="71" t="s">
        <v>914</v>
      </c>
      <c r="F156" s="71" t="s">
        <v>2085</v>
      </c>
      <c r="G156" s="109" t="s">
        <v>2130</v>
      </c>
      <c r="H156" s="110">
        <f>2030*2</f>
        <v>4060</v>
      </c>
      <c r="I156" s="112">
        <v>0</v>
      </c>
      <c r="J156" s="112">
        <v>0</v>
      </c>
      <c r="K156" s="113">
        <f t="shared" si="22"/>
        <v>4060</v>
      </c>
      <c r="L156" s="110">
        <v>201</v>
      </c>
      <c r="M156" s="115">
        <v>0</v>
      </c>
      <c r="N156" s="115">
        <v>0</v>
      </c>
      <c r="O156" s="111">
        <v>388</v>
      </c>
      <c r="P156" s="114">
        <v>0</v>
      </c>
      <c r="Q156" s="111">
        <v>8428</v>
      </c>
      <c r="R156" s="111">
        <v>0</v>
      </c>
      <c r="S156" s="111">
        <f>1077*5</f>
        <v>5385</v>
      </c>
      <c r="T156" s="111">
        <f t="shared" si="23"/>
        <v>5385</v>
      </c>
      <c r="U156" s="112">
        <f>1856*2</f>
        <v>3712</v>
      </c>
      <c r="V156" s="144">
        <v>0</v>
      </c>
      <c r="W156" s="112"/>
      <c r="X156" s="113">
        <f t="shared" si="28"/>
        <v>9686</v>
      </c>
      <c r="Y156" s="211">
        <v>0</v>
      </c>
      <c r="Z156" s="111">
        <v>0</v>
      </c>
      <c r="AA156" s="212">
        <v>0</v>
      </c>
      <c r="AB156" s="111">
        <v>0</v>
      </c>
      <c r="AC156" s="113">
        <f t="shared" si="29"/>
        <v>0</v>
      </c>
      <c r="AD156" s="211">
        <v>0</v>
      </c>
      <c r="AE156" s="111">
        <v>0</v>
      </c>
      <c r="AF156" s="111">
        <v>0</v>
      </c>
      <c r="AG156" s="111">
        <v>0</v>
      </c>
      <c r="AH156" s="111">
        <v>0</v>
      </c>
      <c r="AI156" s="111">
        <v>0</v>
      </c>
      <c r="AJ156" s="111">
        <v>0</v>
      </c>
      <c r="AK156" s="113">
        <f t="shared" si="30"/>
        <v>0</v>
      </c>
      <c r="AL156" s="143">
        <f t="shared" si="31"/>
        <v>2513313.7319999998</v>
      </c>
      <c r="AM156" s="112">
        <f t="shared" si="31"/>
        <v>1785508.7250000001</v>
      </c>
      <c r="AN156" s="112">
        <f t="shared" si="31"/>
        <v>727805.00699999998</v>
      </c>
      <c r="AO156" s="112">
        <f t="shared" si="24"/>
        <v>37782.152999999998</v>
      </c>
      <c r="AP156" s="192">
        <f t="shared" si="25"/>
        <v>0.71042015259239433</v>
      </c>
      <c r="AQ156" s="193">
        <f t="shared" si="26"/>
        <v>47468.152999999998</v>
      </c>
      <c r="AR156" s="194">
        <f t="shared" si="27"/>
        <v>-43408.152999999998</v>
      </c>
      <c r="AS156" s="118"/>
      <c r="AT156" s="119"/>
      <c r="AU156" s="119"/>
      <c r="AV156" s="120"/>
      <c r="AW156" s="195"/>
      <c r="AX156" s="112">
        <v>2513313732</v>
      </c>
      <c r="AY156" s="162">
        <v>1785508725</v>
      </c>
      <c r="AZ156" s="162">
        <v>727805007</v>
      </c>
      <c r="BA156" s="162">
        <v>37782153</v>
      </c>
      <c r="BB156" s="196">
        <f t="shared" si="32"/>
        <v>0.71042015259239433</v>
      </c>
    </row>
    <row r="157" spans="1:54" s="121" customFormat="1" ht="16.5" customHeight="1">
      <c r="A157" s="104" t="s">
        <v>2143</v>
      </c>
      <c r="B157" s="105" t="s">
        <v>325</v>
      </c>
      <c r="C157" s="106" t="s">
        <v>975</v>
      </c>
      <c r="D157" s="106" t="s">
        <v>2415</v>
      </c>
      <c r="E157" s="71" t="s">
        <v>919</v>
      </c>
      <c r="F157" s="71" t="s">
        <v>2085</v>
      </c>
      <c r="G157" s="109" t="s">
        <v>2130</v>
      </c>
      <c r="H157" s="110">
        <f>2030*2</f>
        <v>4060</v>
      </c>
      <c r="I157" s="112">
        <v>0</v>
      </c>
      <c r="J157" s="112">
        <v>0</v>
      </c>
      <c r="K157" s="113">
        <f t="shared" si="22"/>
        <v>4060</v>
      </c>
      <c r="L157" s="110">
        <v>201</v>
      </c>
      <c r="M157" s="115">
        <v>0</v>
      </c>
      <c r="N157" s="115">
        <v>0</v>
      </c>
      <c r="O157" s="111">
        <v>0</v>
      </c>
      <c r="P157" s="114">
        <v>0</v>
      </c>
      <c r="Q157" s="111">
        <v>8428</v>
      </c>
      <c r="R157" s="111">
        <v>0</v>
      </c>
      <c r="S157" s="111">
        <f>1077*4</f>
        <v>4308</v>
      </c>
      <c r="T157" s="111">
        <f t="shared" si="23"/>
        <v>4308</v>
      </c>
      <c r="U157" s="112">
        <f>1856*2</f>
        <v>3712</v>
      </c>
      <c r="V157" s="144">
        <v>0</v>
      </c>
      <c r="W157" s="112"/>
      <c r="X157" s="113">
        <f t="shared" si="28"/>
        <v>8221</v>
      </c>
      <c r="Y157" s="211">
        <v>0</v>
      </c>
      <c r="Z157" s="111">
        <v>0</v>
      </c>
      <c r="AA157" s="212">
        <v>0</v>
      </c>
      <c r="AB157" s="111">
        <v>0</v>
      </c>
      <c r="AC157" s="113">
        <f t="shared" si="29"/>
        <v>0</v>
      </c>
      <c r="AD157" s="211">
        <v>0</v>
      </c>
      <c r="AE157" s="111">
        <v>0</v>
      </c>
      <c r="AF157" s="111">
        <v>0</v>
      </c>
      <c r="AG157" s="111">
        <v>0</v>
      </c>
      <c r="AH157" s="111">
        <v>0</v>
      </c>
      <c r="AI157" s="111">
        <v>0</v>
      </c>
      <c r="AJ157" s="111">
        <v>0</v>
      </c>
      <c r="AK157" s="113">
        <f t="shared" si="30"/>
        <v>0</v>
      </c>
      <c r="AL157" s="143">
        <f t="shared" si="31"/>
        <v>2283937.1830000002</v>
      </c>
      <c r="AM157" s="112">
        <f t="shared" si="31"/>
        <v>1727264.0049999999</v>
      </c>
      <c r="AN157" s="112">
        <f t="shared" si="31"/>
        <v>556673.17799999996</v>
      </c>
      <c r="AO157" s="112">
        <f t="shared" si="24"/>
        <v>46684.764999999999</v>
      </c>
      <c r="AP157" s="192">
        <f t="shared" si="25"/>
        <v>0.75626598570946779</v>
      </c>
      <c r="AQ157" s="193">
        <f t="shared" si="26"/>
        <v>54905.764999999999</v>
      </c>
      <c r="AR157" s="194">
        <f t="shared" si="27"/>
        <v>-50845.764999999999</v>
      </c>
      <c r="AS157" s="118"/>
      <c r="AT157" s="119"/>
      <c r="AU157" s="119"/>
      <c r="AV157" s="120"/>
      <c r="AW157" s="195"/>
      <c r="AX157" s="112">
        <v>2283937183</v>
      </c>
      <c r="AY157" s="162">
        <v>1727264005</v>
      </c>
      <c r="AZ157" s="162">
        <v>556673178</v>
      </c>
      <c r="BA157" s="162">
        <v>46684765</v>
      </c>
      <c r="BB157" s="196">
        <f t="shared" si="32"/>
        <v>0.75626598570946779</v>
      </c>
    </row>
    <row r="158" spans="1:54" s="121" customFormat="1" ht="16.5" customHeight="1">
      <c r="A158" s="104" t="s">
        <v>2143</v>
      </c>
      <c r="B158" s="105" t="s">
        <v>971</v>
      </c>
      <c r="C158" s="106" t="s">
        <v>978</v>
      </c>
      <c r="D158" s="106" t="s">
        <v>2415</v>
      </c>
      <c r="E158" s="71" t="s">
        <v>924</v>
      </c>
      <c r="F158" s="71" t="s">
        <v>2085</v>
      </c>
      <c r="G158" s="109" t="s">
        <v>2130</v>
      </c>
      <c r="H158" s="110">
        <f>2030*1</f>
        <v>2030</v>
      </c>
      <c r="I158" s="112">
        <v>0</v>
      </c>
      <c r="J158" s="112">
        <v>0</v>
      </c>
      <c r="K158" s="113">
        <f t="shared" si="22"/>
        <v>2030</v>
      </c>
      <c r="L158" s="110">
        <v>201</v>
      </c>
      <c r="M158" s="115">
        <v>0</v>
      </c>
      <c r="N158" s="115">
        <v>0</v>
      </c>
      <c r="O158" s="111">
        <v>0</v>
      </c>
      <c r="P158" s="114">
        <v>0</v>
      </c>
      <c r="Q158" s="111">
        <v>8428</v>
      </c>
      <c r="R158" s="111">
        <v>0</v>
      </c>
      <c r="S158" s="111">
        <f>1077*2</f>
        <v>2154</v>
      </c>
      <c r="T158" s="111">
        <f t="shared" si="23"/>
        <v>2154</v>
      </c>
      <c r="U158" s="112">
        <f>1856*1</f>
        <v>1856</v>
      </c>
      <c r="V158" s="144">
        <v>0</v>
      </c>
      <c r="W158" s="112"/>
      <c r="X158" s="113">
        <f t="shared" si="28"/>
        <v>4211</v>
      </c>
      <c r="Y158" s="211">
        <v>0</v>
      </c>
      <c r="Z158" s="111">
        <v>0</v>
      </c>
      <c r="AA158" s="212">
        <v>0</v>
      </c>
      <c r="AB158" s="111">
        <v>0</v>
      </c>
      <c r="AC158" s="113">
        <f t="shared" si="29"/>
        <v>0</v>
      </c>
      <c r="AD158" s="211">
        <v>0</v>
      </c>
      <c r="AE158" s="111">
        <v>0</v>
      </c>
      <c r="AF158" s="111">
        <v>0</v>
      </c>
      <c r="AG158" s="111">
        <v>0</v>
      </c>
      <c r="AH158" s="111">
        <v>0</v>
      </c>
      <c r="AI158" s="111">
        <v>0</v>
      </c>
      <c r="AJ158" s="111">
        <v>0</v>
      </c>
      <c r="AK158" s="113">
        <f t="shared" si="30"/>
        <v>0</v>
      </c>
      <c r="AL158" s="143">
        <f t="shared" si="31"/>
        <v>2162300.3450000002</v>
      </c>
      <c r="AM158" s="112">
        <f t="shared" si="31"/>
        <v>1308752.953</v>
      </c>
      <c r="AN158" s="112">
        <f t="shared" si="31"/>
        <v>853547.39199999999</v>
      </c>
      <c r="AO158" s="112">
        <f t="shared" si="24"/>
        <v>51892.14</v>
      </c>
      <c r="AP158" s="192">
        <f t="shared" si="25"/>
        <v>0.60525955888889249</v>
      </c>
      <c r="AQ158" s="193">
        <f t="shared" si="26"/>
        <v>56103.14</v>
      </c>
      <c r="AR158" s="194">
        <f t="shared" si="27"/>
        <v>-54073.14</v>
      </c>
      <c r="AS158" s="118"/>
      <c r="AT158" s="119"/>
      <c r="AU158" s="119"/>
      <c r="AV158" s="120"/>
      <c r="AW158" s="195"/>
      <c r="AX158" s="112">
        <v>2162300345</v>
      </c>
      <c r="AY158" s="162">
        <v>1308752953</v>
      </c>
      <c r="AZ158" s="162">
        <v>853547392</v>
      </c>
      <c r="BA158" s="162">
        <v>51892140</v>
      </c>
      <c r="BB158" s="196">
        <f t="shared" si="32"/>
        <v>0.60525955888889249</v>
      </c>
    </row>
    <row r="159" spans="1:54" s="121" customFormat="1" ht="16.5" customHeight="1">
      <c r="A159" s="104" t="s">
        <v>2143</v>
      </c>
      <c r="B159" s="105" t="s">
        <v>974</v>
      </c>
      <c r="C159" s="106" t="s">
        <v>981</v>
      </c>
      <c r="D159" s="106" t="s">
        <v>2415</v>
      </c>
      <c r="E159" s="71" t="s">
        <v>929</v>
      </c>
      <c r="F159" s="71" t="s">
        <v>2085</v>
      </c>
      <c r="G159" s="109" t="s">
        <v>2130</v>
      </c>
      <c r="H159" s="110">
        <f>2030*2</f>
        <v>4060</v>
      </c>
      <c r="I159" s="112">
        <v>0</v>
      </c>
      <c r="J159" s="112">
        <v>0</v>
      </c>
      <c r="K159" s="113">
        <f t="shared" si="22"/>
        <v>4060</v>
      </c>
      <c r="L159" s="110">
        <v>201</v>
      </c>
      <c r="M159" s="111">
        <v>22</v>
      </c>
      <c r="N159" s="115">
        <v>0</v>
      </c>
      <c r="O159" s="111">
        <v>0</v>
      </c>
      <c r="P159" s="114">
        <v>0</v>
      </c>
      <c r="Q159" s="111">
        <v>8428</v>
      </c>
      <c r="R159" s="111">
        <v>0</v>
      </c>
      <c r="S159" s="111">
        <f>1077*5</f>
        <v>5385</v>
      </c>
      <c r="T159" s="111">
        <f t="shared" si="23"/>
        <v>5385</v>
      </c>
      <c r="U159" s="112">
        <f>1856*2</f>
        <v>3712</v>
      </c>
      <c r="V159" s="144">
        <v>0</v>
      </c>
      <c r="W159" s="112"/>
      <c r="X159" s="113">
        <f t="shared" si="28"/>
        <v>9320</v>
      </c>
      <c r="Y159" s="211">
        <v>0</v>
      </c>
      <c r="Z159" s="111">
        <v>0</v>
      </c>
      <c r="AA159" s="212">
        <v>0</v>
      </c>
      <c r="AB159" s="111">
        <v>0</v>
      </c>
      <c r="AC159" s="113">
        <f t="shared" si="29"/>
        <v>0</v>
      </c>
      <c r="AD159" s="211">
        <v>0</v>
      </c>
      <c r="AE159" s="111">
        <v>0</v>
      </c>
      <c r="AF159" s="111">
        <v>0</v>
      </c>
      <c r="AG159" s="111">
        <v>0</v>
      </c>
      <c r="AH159" s="111">
        <v>0</v>
      </c>
      <c r="AI159" s="111">
        <v>0</v>
      </c>
      <c r="AJ159" s="111">
        <v>0</v>
      </c>
      <c r="AK159" s="113">
        <f t="shared" si="30"/>
        <v>0</v>
      </c>
      <c r="AL159" s="143">
        <f t="shared" si="31"/>
        <v>2413263.5819999999</v>
      </c>
      <c r="AM159" s="112">
        <f t="shared" si="31"/>
        <v>1209186.0959999999</v>
      </c>
      <c r="AN159" s="112">
        <f t="shared" si="31"/>
        <v>1204077.486</v>
      </c>
      <c r="AO159" s="112">
        <f t="shared" si="24"/>
        <v>76474.986999999994</v>
      </c>
      <c r="AP159" s="192">
        <f t="shared" si="25"/>
        <v>0.5010584442657039</v>
      </c>
      <c r="AQ159" s="193">
        <f t="shared" si="26"/>
        <v>85794.986999999994</v>
      </c>
      <c r="AR159" s="194">
        <f t="shared" si="27"/>
        <v>-81734.986999999994</v>
      </c>
      <c r="AS159" s="118"/>
      <c r="AT159" s="119"/>
      <c r="AU159" s="119"/>
      <c r="AV159" s="120"/>
      <c r="AW159" s="195"/>
      <c r="AX159" s="112">
        <v>2413263582</v>
      </c>
      <c r="AY159" s="162">
        <v>1209186096</v>
      </c>
      <c r="AZ159" s="162">
        <v>1204077486</v>
      </c>
      <c r="BA159" s="162">
        <v>76474987</v>
      </c>
      <c r="BB159" s="196">
        <f t="shared" si="32"/>
        <v>0.5010584442657039</v>
      </c>
    </row>
    <row r="160" spans="1:54" s="121" customFormat="1" ht="16.5" customHeight="1">
      <c r="A160" s="104" t="s">
        <v>2143</v>
      </c>
      <c r="B160" s="105" t="s">
        <v>977</v>
      </c>
      <c r="C160" s="106" t="s">
        <v>983</v>
      </c>
      <c r="D160" s="106" t="s">
        <v>2415</v>
      </c>
      <c r="E160" s="71" t="s">
        <v>934</v>
      </c>
      <c r="F160" s="71" t="s">
        <v>2085</v>
      </c>
      <c r="G160" s="109" t="s">
        <v>2130</v>
      </c>
      <c r="H160" s="110">
        <f>2030*2</f>
        <v>4060</v>
      </c>
      <c r="I160" s="112">
        <v>0</v>
      </c>
      <c r="J160" s="112">
        <v>0</v>
      </c>
      <c r="K160" s="113">
        <f t="shared" si="22"/>
        <v>4060</v>
      </c>
      <c r="L160" s="110">
        <v>201</v>
      </c>
      <c r="M160" s="115">
        <v>0</v>
      </c>
      <c r="N160" s="115">
        <v>0</v>
      </c>
      <c r="O160" s="111">
        <v>0</v>
      </c>
      <c r="P160" s="114">
        <v>0</v>
      </c>
      <c r="Q160" s="111">
        <v>8428</v>
      </c>
      <c r="R160" s="111">
        <v>0</v>
      </c>
      <c r="S160" s="111">
        <f>1077*6</f>
        <v>6462</v>
      </c>
      <c r="T160" s="111">
        <f t="shared" si="23"/>
        <v>6462</v>
      </c>
      <c r="U160" s="112">
        <f>1856*2</f>
        <v>3712</v>
      </c>
      <c r="V160" s="144">
        <v>0</v>
      </c>
      <c r="W160" s="112"/>
      <c r="X160" s="113">
        <f t="shared" si="28"/>
        <v>10375</v>
      </c>
      <c r="Y160" s="211">
        <v>0</v>
      </c>
      <c r="Z160" s="111">
        <v>0</v>
      </c>
      <c r="AA160" s="212">
        <v>0</v>
      </c>
      <c r="AB160" s="111">
        <v>0</v>
      </c>
      <c r="AC160" s="113">
        <f t="shared" si="29"/>
        <v>0</v>
      </c>
      <c r="AD160" s="211">
        <v>0</v>
      </c>
      <c r="AE160" s="111">
        <v>0</v>
      </c>
      <c r="AF160" s="111">
        <v>0</v>
      </c>
      <c r="AG160" s="111">
        <v>0</v>
      </c>
      <c r="AH160" s="111">
        <v>0</v>
      </c>
      <c r="AI160" s="111">
        <v>0</v>
      </c>
      <c r="AJ160" s="111">
        <v>0</v>
      </c>
      <c r="AK160" s="113">
        <f t="shared" si="30"/>
        <v>0</v>
      </c>
      <c r="AL160" s="143">
        <f t="shared" si="31"/>
        <v>2987327.0490000001</v>
      </c>
      <c r="AM160" s="112">
        <f t="shared" si="31"/>
        <v>2001050.243</v>
      </c>
      <c r="AN160" s="112">
        <f t="shared" si="31"/>
        <v>986276.80599999998</v>
      </c>
      <c r="AO160" s="112">
        <f t="shared" si="24"/>
        <v>47530.608999999997</v>
      </c>
      <c r="AP160" s="192">
        <f t="shared" si="25"/>
        <v>0.66984639116425049</v>
      </c>
      <c r="AQ160" s="193">
        <f t="shared" si="26"/>
        <v>57905.608999999997</v>
      </c>
      <c r="AR160" s="194">
        <f t="shared" si="27"/>
        <v>-53845.608999999997</v>
      </c>
      <c r="AS160" s="118"/>
      <c r="AT160" s="119"/>
      <c r="AU160" s="119"/>
      <c r="AV160" s="120"/>
      <c r="AW160" s="195"/>
      <c r="AX160" s="112">
        <v>2987327049</v>
      </c>
      <c r="AY160" s="162">
        <v>2001050243</v>
      </c>
      <c r="AZ160" s="162">
        <v>986276806</v>
      </c>
      <c r="BA160" s="162">
        <v>47530609</v>
      </c>
      <c r="BB160" s="196">
        <f t="shared" si="32"/>
        <v>0.66984639116425049</v>
      </c>
    </row>
    <row r="161" spans="1:54" s="121" customFormat="1" ht="16.5" customHeight="1">
      <c r="A161" s="104" t="s">
        <v>2143</v>
      </c>
      <c r="B161" s="105" t="s">
        <v>980</v>
      </c>
      <c r="C161" s="106" t="s">
        <v>986</v>
      </c>
      <c r="D161" s="106" t="s">
        <v>2415</v>
      </c>
      <c r="E161" s="71" t="s">
        <v>939</v>
      </c>
      <c r="F161" s="71" t="s">
        <v>2085</v>
      </c>
      <c r="G161" s="109" t="s">
        <v>2130</v>
      </c>
      <c r="H161" s="110">
        <f>2030*2</f>
        <v>4060</v>
      </c>
      <c r="I161" s="112">
        <v>0</v>
      </c>
      <c r="J161" s="112">
        <v>0</v>
      </c>
      <c r="K161" s="113">
        <f t="shared" si="22"/>
        <v>4060</v>
      </c>
      <c r="L161" s="110">
        <v>201</v>
      </c>
      <c r="M161" s="115">
        <v>0</v>
      </c>
      <c r="N161" s="115">
        <v>0</v>
      </c>
      <c r="O161" s="111">
        <v>0</v>
      </c>
      <c r="P161" s="114">
        <v>0</v>
      </c>
      <c r="Q161" s="111">
        <v>8428</v>
      </c>
      <c r="R161" s="111">
        <v>0</v>
      </c>
      <c r="S161" s="111">
        <f>1077*6</f>
        <v>6462</v>
      </c>
      <c r="T161" s="111">
        <f t="shared" si="23"/>
        <v>6462</v>
      </c>
      <c r="U161" s="112">
        <f>1856*2</f>
        <v>3712</v>
      </c>
      <c r="V161" s="144">
        <v>0</v>
      </c>
      <c r="W161" s="112"/>
      <c r="X161" s="113">
        <f t="shared" si="28"/>
        <v>10375</v>
      </c>
      <c r="Y161" s="211">
        <v>0</v>
      </c>
      <c r="Z161" s="111">
        <v>0</v>
      </c>
      <c r="AA161" s="212">
        <v>0</v>
      </c>
      <c r="AB161" s="111">
        <v>0</v>
      </c>
      <c r="AC161" s="113">
        <f t="shared" si="29"/>
        <v>0</v>
      </c>
      <c r="AD161" s="211">
        <v>0</v>
      </c>
      <c r="AE161" s="111">
        <v>0</v>
      </c>
      <c r="AF161" s="111">
        <v>0</v>
      </c>
      <c r="AG161" s="111">
        <v>0</v>
      </c>
      <c r="AH161" s="111">
        <v>0</v>
      </c>
      <c r="AI161" s="111">
        <v>0</v>
      </c>
      <c r="AJ161" s="111">
        <v>0</v>
      </c>
      <c r="AK161" s="113">
        <f t="shared" si="30"/>
        <v>0</v>
      </c>
      <c r="AL161" s="143">
        <f t="shared" si="31"/>
        <v>1025088.834</v>
      </c>
      <c r="AM161" s="112">
        <f t="shared" si="31"/>
        <v>676876.18200000003</v>
      </c>
      <c r="AN161" s="112">
        <f t="shared" si="31"/>
        <v>348212.652</v>
      </c>
      <c r="AO161" s="112">
        <f t="shared" si="24"/>
        <v>26792.416000000001</v>
      </c>
      <c r="AP161" s="192">
        <f t="shared" si="25"/>
        <v>0.66030977955223735</v>
      </c>
      <c r="AQ161" s="193">
        <f t="shared" si="26"/>
        <v>37167.415999999997</v>
      </c>
      <c r="AR161" s="194">
        <f t="shared" si="27"/>
        <v>-33107.415999999997</v>
      </c>
      <c r="AS161" s="118"/>
      <c r="AT161" s="119"/>
      <c r="AU161" s="119"/>
      <c r="AV161" s="120"/>
      <c r="AW161" s="195"/>
      <c r="AX161" s="112">
        <v>1025088834</v>
      </c>
      <c r="AY161" s="162">
        <v>676876182</v>
      </c>
      <c r="AZ161" s="162">
        <v>348212652</v>
      </c>
      <c r="BA161" s="162">
        <v>26792416</v>
      </c>
      <c r="BB161" s="196">
        <f t="shared" si="32"/>
        <v>0.66030977955223735</v>
      </c>
    </row>
    <row r="162" spans="1:54" s="121" customFormat="1" ht="16.5" customHeight="1">
      <c r="A162" s="104" t="s">
        <v>2143</v>
      </c>
      <c r="B162" s="105" t="s">
        <v>982</v>
      </c>
      <c r="C162" s="106" t="s">
        <v>989</v>
      </c>
      <c r="D162" s="106" t="s">
        <v>2415</v>
      </c>
      <c r="E162" s="71" t="s">
        <v>990</v>
      </c>
      <c r="F162" s="71" t="s">
        <v>170</v>
      </c>
      <c r="G162" s="109" t="s">
        <v>2187</v>
      </c>
      <c r="H162" s="110">
        <v>277</v>
      </c>
      <c r="I162" s="111"/>
      <c r="J162" s="112">
        <v>57</v>
      </c>
      <c r="K162" s="113">
        <f t="shared" si="22"/>
        <v>334</v>
      </c>
      <c r="L162" s="110">
        <v>11145</v>
      </c>
      <c r="M162" s="111">
        <v>3486</v>
      </c>
      <c r="N162" s="112"/>
      <c r="O162" s="111">
        <v>1053</v>
      </c>
      <c r="P162" s="114">
        <v>1</v>
      </c>
      <c r="Q162" s="111">
        <v>8428</v>
      </c>
      <c r="R162" s="115">
        <v>9403</v>
      </c>
      <c r="S162" s="115">
        <v>0</v>
      </c>
      <c r="T162" s="111">
        <f t="shared" si="23"/>
        <v>17831</v>
      </c>
      <c r="U162" s="112">
        <v>18883</v>
      </c>
      <c r="V162" s="116">
        <v>71</v>
      </c>
      <c r="W162" s="111"/>
      <c r="X162" s="113">
        <f t="shared" si="28"/>
        <v>52469</v>
      </c>
      <c r="Y162" s="110"/>
      <c r="Z162" s="111"/>
      <c r="AA162" s="116"/>
      <c r="AB162" s="111"/>
      <c r="AC162" s="113">
        <f t="shared" si="29"/>
        <v>0</v>
      </c>
      <c r="AD162" s="110"/>
      <c r="AE162" s="111"/>
      <c r="AF162" s="112"/>
      <c r="AG162" s="117"/>
      <c r="AH162" s="111"/>
      <c r="AI162" s="112"/>
      <c r="AJ162" s="112"/>
      <c r="AK162" s="113">
        <f t="shared" si="30"/>
        <v>0</v>
      </c>
      <c r="AL162" s="143">
        <f t="shared" si="31"/>
        <v>89281.5</v>
      </c>
      <c r="AM162" s="112">
        <f t="shared" si="31"/>
        <v>27062.36</v>
      </c>
      <c r="AN162" s="112">
        <f t="shared" si="31"/>
        <v>62219.14</v>
      </c>
      <c r="AO162" s="112">
        <f t="shared" si="24"/>
        <v>3382.7950000000001</v>
      </c>
      <c r="AP162" s="192">
        <f t="shared" si="25"/>
        <v>0.3031127389212771</v>
      </c>
      <c r="AQ162" s="193">
        <f t="shared" si="26"/>
        <v>55851.794999999998</v>
      </c>
      <c r="AR162" s="194">
        <f t="shared" si="27"/>
        <v>-55517.794999999998</v>
      </c>
      <c r="AS162" s="118"/>
      <c r="AT162" s="119"/>
      <c r="AU162" s="119"/>
      <c r="AV162" s="120"/>
      <c r="AW162" s="195"/>
      <c r="AX162" s="112">
        <v>89281500</v>
      </c>
      <c r="AY162" s="162">
        <v>27062360</v>
      </c>
      <c r="AZ162" s="162">
        <v>62219140</v>
      </c>
      <c r="BA162" s="162">
        <v>3382795</v>
      </c>
      <c r="BB162" s="196">
        <f t="shared" si="32"/>
        <v>0.3031127389212771</v>
      </c>
    </row>
    <row r="163" spans="1:54" s="121" customFormat="1" ht="16.5" customHeight="1">
      <c r="A163" s="104" t="s">
        <v>2143</v>
      </c>
      <c r="B163" s="105" t="s">
        <v>985</v>
      </c>
      <c r="C163" s="106" t="s">
        <v>998</v>
      </c>
      <c r="D163" s="106" t="s">
        <v>2415</v>
      </c>
      <c r="E163" s="71" t="s">
        <v>999</v>
      </c>
      <c r="F163" s="71" t="s">
        <v>170</v>
      </c>
      <c r="G163" s="109" t="s">
        <v>2187</v>
      </c>
      <c r="H163" s="110">
        <v>212</v>
      </c>
      <c r="I163" s="111"/>
      <c r="J163" s="112">
        <v>35</v>
      </c>
      <c r="K163" s="113">
        <f t="shared" si="22"/>
        <v>247</v>
      </c>
      <c r="L163" s="110">
        <v>5793</v>
      </c>
      <c r="M163" s="111">
        <v>3205</v>
      </c>
      <c r="N163" s="112"/>
      <c r="O163" s="111">
        <v>1070</v>
      </c>
      <c r="P163" s="114">
        <v>1</v>
      </c>
      <c r="Q163" s="111">
        <v>8428</v>
      </c>
      <c r="R163" s="115">
        <v>4480</v>
      </c>
      <c r="S163" s="115">
        <v>0</v>
      </c>
      <c r="T163" s="111">
        <f t="shared" si="23"/>
        <v>12908</v>
      </c>
      <c r="U163" s="112">
        <v>15775</v>
      </c>
      <c r="V163" s="116">
        <v>73</v>
      </c>
      <c r="W163" s="111"/>
      <c r="X163" s="113">
        <f t="shared" si="28"/>
        <v>38824</v>
      </c>
      <c r="Y163" s="110"/>
      <c r="Z163" s="111"/>
      <c r="AA163" s="116"/>
      <c r="AB163" s="111"/>
      <c r="AC163" s="113">
        <f t="shared" si="29"/>
        <v>0</v>
      </c>
      <c r="AD163" s="110"/>
      <c r="AE163" s="111"/>
      <c r="AF163" s="112"/>
      <c r="AG163" s="117"/>
      <c r="AH163" s="111"/>
      <c r="AI163" s="112"/>
      <c r="AJ163" s="112"/>
      <c r="AK163" s="113">
        <f t="shared" si="30"/>
        <v>0</v>
      </c>
      <c r="AL163" s="143">
        <f t="shared" si="31"/>
        <v>35371.555999999997</v>
      </c>
      <c r="AM163" s="112">
        <f t="shared" si="31"/>
        <v>0</v>
      </c>
      <c r="AN163" s="112">
        <f t="shared" si="31"/>
        <v>35371.555999999997</v>
      </c>
      <c r="AO163" s="112">
        <f t="shared" si="24"/>
        <v>0</v>
      </c>
      <c r="AP163" s="192">
        <f t="shared" si="25"/>
        <v>0</v>
      </c>
      <c r="AQ163" s="193">
        <f t="shared" si="26"/>
        <v>38824</v>
      </c>
      <c r="AR163" s="194">
        <f t="shared" si="27"/>
        <v>-38577</v>
      </c>
      <c r="AS163" s="118"/>
      <c r="AT163" s="119"/>
      <c r="AU163" s="119"/>
      <c r="AV163" s="120"/>
      <c r="AW163" s="195"/>
      <c r="AX163" s="112">
        <v>35371556</v>
      </c>
      <c r="AY163" s="162">
        <v>0</v>
      </c>
      <c r="AZ163" s="162">
        <v>35371556</v>
      </c>
      <c r="BA163" s="162">
        <v>0</v>
      </c>
      <c r="BB163" s="196">
        <f t="shared" si="32"/>
        <v>0</v>
      </c>
    </row>
    <row r="164" spans="1:54" s="121" customFormat="1" ht="16.5" customHeight="1">
      <c r="A164" s="104" t="s">
        <v>2143</v>
      </c>
      <c r="B164" s="105" t="s">
        <v>988</v>
      </c>
      <c r="C164" s="106" t="s">
        <v>1003</v>
      </c>
      <c r="D164" s="106" t="s">
        <v>2415</v>
      </c>
      <c r="E164" s="71" t="s">
        <v>1004</v>
      </c>
      <c r="F164" s="71" t="s">
        <v>170</v>
      </c>
      <c r="G164" s="109" t="s">
        <v>2187</v>
      </c>
      <c r="H164" s="110">
        <v>277</v>
      </c>
      <c r="I164" s="111"/>
      <c r="J164" s="112">
        <v>40</v>
      </c>
      <c r="K164" s="113">
        <f t="shared" si="22"/>
        <v>317</v>
      </c>
      <c r="L164" s="110">
        <v>8865</v>
      </c>
      <c r="M164" s="111">
        <v>4137</v>
      </c>
      <c r="N164" s="112"/>
      <c r="O164" s="111">
        <v>4015</v>
      </c>
      <c r="P164" s="114">
        <v>1</v>
      </c>
      <c r="Q164" s="111">
        <v>8428</v>
      </c>
      <c r="R164" s="115">
        <v>6673</v>
      </c>
      <c r="S164" s="115">
        <v>0</v>
      </c>
      <c r="T164" s="111">
        <f t="shared" si="23"/>
        <v>15101</v>
      </c>
      <c r="U164" s="112">
        <v>18637</v>
      </c>
      <c r="V164" s="116">
        <v>67</v>
      </c>
      <c r="W164" s="111"/>
      <c r="X164" s="113">
        <f t="shared" si="28"/>
        <v>50822</v>
      </c>
      <c r="Y164" s="110"/>
      <c r="Z164" s="111"/>
      <c r="AA164" s="116"/>
      <c r="AB164" s="111"/>
      <c r="AC164" s="113">
        <f t="shared" si="29"/>
        <v>0</v>
      </c>
      <c r="AD164" s="110"/>
      <c r="AE164" s="111"/>
      <c r="AF164" s="112"/>
      <c r="AG164" s="117"/>
      <c r="AH164" s="111"/>
      <c r="AI164" s="112"/>
      <c r="AJ164" s="112"/>
      <c r="AK164" s="113">
        <f t="shared" si="30"/>
        <v>0</v>
      </c>
      <c r="AL164" s="143">
        <f t="shared" si="31"/>
        <v>9180</v>
      </c>
      <c r="AM164" s="112">
        <f t="shared" si="31"/>
        <v>9179.9989999999998</v>
      </c>
      <c r="AN164" s="112">
        <f t="shared" si="31"/>
        <v>1E-3</v>
      </c>
      <c r="AO164" s="112">
        <f t="shared" si="24"/>
        <v>0</v>
      </c>
      <c r="AP164" s="192">
        <f t="shared" si="25"/>
        <v>0.99999989106753817</v>
      </c>
      <c r="AQ164" s="193">
        <f t="shared" si="26"/>
        <v>50822</v>
      </c>
      <c r="AR164" s="194">
        <f t="shared" si="27"/>
        <v>-50505</v>
      </c>
      <c r="AS164" s="118"/>
      <c r="AT164" s="119"/>
      <c r="AU164" s="119"/>
      <c r="AV164" s="120"/>
      <c r="AW164" s="195"/>
      <c r="AX164" s="112">
        <v>9180000</v>
      </c>
      <c r="AY164" s="162">
        <v>9179999</v>
      </c>
      <c r="AZ164" s="162">
        <v>1</v>
      </c>
      <c r="BA164" s="162">
        <v>0</v>
      </c>
      <c r="BB164" s="196">
        <f t="shared" si="32"/>
        <v>0.99999989106753817</v>
      </c>
    </row>
    <row r="165" spans="1:54" s="121" customFormat="1" ht="16.5" customHeight="1">
      <c r="A165" s="104" t="s">
        <v>2143</v>
      </c>
      <c r="B165" s="105" t="s">
        <v>997</v>
      </c>
      <c r="C165" s="106" t="s">
        <v>1008</v>
      </c>
      <c r="D165" s="106" t="s">
        <v>2415</v>
      </c>
      <c r="E165" s="71" t="s">
        <v>1009</v>
      </c>
      <c r="F165" s="71" t="s">
        <v>170</v>
      </c>
      <c r="G165" s="109" t="s">
        <v>2187</v>
      </c>
      <c r="H165" s="110">
        <v>288</v>
      </c>
      <c r="I165" s="111"/>
      <c r="J165" s="112">
        <v>73</v>
      </c>
      <c r="K165" s="113">
        <f t="shared" si="22"/>
        <v>361</v>
      </c>
      <c r="L165" s="110">
        <v>10273</v>
      </c>
      <c r="M165" s="111">
        <v>4698</v>
      </c>
      <c r="N165" s="112"/>
      <c r="O165" s="111">
        <v>10330</v>
      </c>
      <c r="P165" s="114">
        <v>0</v>
      </c>
      <c r="Q165" s="111">
        <v>8428</v>
      </c>
      <c r="R165" s="115">
        <v>7078</v>
      </c>
      <c r="S165" s="115">
        <v>0</v>
      </c>
      <c r="T165" s="111">
        <f t="shared" si="23"/>
        <v>7078</v>
      </c>
      <c r="U165" s="112">
        <v>18814</v>
      </c>
      <c r="V165" s="116">
        <v>74</v>
      </c>
      <c r="W165" s="111"/>
      <c r="X165" s="113">
        <f t="shared" si="28"/>
        <v>51267</v>
      </c>
      <c r="Y165" s="110"/>
      <c r="Z165" s="111"/>
      <c r="AA165" s="116"/>
      <c r="AB165" s="111"/>
      <c r="AC165" s="113">
        <f t="shared" si="29"/>
        <v>0</v>
      </c>
      <c r="AD165" s="110"/>
      <c r="AE165" s="111"/>
      <c r="AF165" s="112"/>
      <c r="AG165" s="117"/>
      <c r="AH165" s="111"/>
      <c r="AI165" s="112"/>
      <c r="AJ165" s="112"/>
      <c r="AK165" s="113">
        <f t="shared" si="30"/>
        <v>0</v>
      </c>
      <c r="AL165" s="143">
        <f t="shared" si="31"/>
        <v>0</v>
      </c>
      <c r="AM165" s="112">
        <f t="shared" si="31"/>
        <v>0</v>
      </c>
      <c r="AN165" s="112">
        <f t="shared" si="31"/>
        <v>0</v>
      </c>
      <c r="AO165" s="112">
        <f t="shared" si="24"/>
        <v>0</v>
      </c>
      <c r="AP165" s="192">
        <f t="shared" si="25"/>
        <v>0</v>
      </c>
      <c r="AQ165" s="193">
        <f t="shared" si="26"/>
        <v>51267</v>
      </c>
      <c r="AR165" s="194">
        <f t="shared" si="27"/>
        <v>-50906</v>
      </c>
      <c r="AS165" s="118"/>
      <c r="AT165" s="119"/>
      <c r="AU165" s="119"/>
      <c r="AV165" s="120"/>
      <c r="AW165" s="195"/>
      <c r="AX165" s="112">
        <v>0</v>
      </c>
      <c r="AY165" s="162">
        <v>0</v>
      </c>
      <c r="AZ165" s="162">
        <v>0</v>
      </c>
      <c r="BA165" s="162">
        <v>0</v>
      </c>
      <c r="BB165" s="196">
        <v>0</v>
      </c>
    </row>
    <row r="166" spans="1:54" s="121" customFormat="1" ht="16.5" customHeight="1">
      <c r="A166" s="104" t="s">
        <v>2143</v>
      </c>
      <c r="B166" s="105" t="s">
        <v>1002</v>
      </c>
      <c r="C166" s="106" t="s">
        <v>1013</v>
      </c>
      <c r="D166" s="106" t="s">
        <v>2415</v>
      </c>
      <c r="E166" s="71" t="s">
        <v>1014</v>
      </c>
      <c r="F166" s="71" t="s">
        <v>170</v>
      </c>
      <c r="G166" s="109" t="s">
        <v>2187</v>
      </c>
      <c r="H166" s="110">
        <v>317</v>
      </c>
      <c r="I166" s="111"/>
      <c r="J166" s="112">
        <v>46</v>
      </c>
      <c r="K166" s="113">
        <f t="shared" si="22"/>
        <v>363</v>
      </c>
      <c r="L166" s="110">
        <v>13688</v>
      </c>
      <c r="M166" s="111">
        <v>4317</v>
      </c>
      <c r="N166" s="112"/>
      <c r="O166" s="111">
        <v>2738</v>
      </c>
      <c r="P166" s="114">
        <v>1</v>
      </c>
      <c r="Q166" s="111">
        <v>8428</v>
      </c>
      <c r="R166" s="115">
        <v>8540</v>
      </c>
      <c r="S166" s="115">
        <v>0</v>
      </c>
      <c r="T166" s="111">
        <f t="shared" si="23"/>
        <v>16968</v>
      </c>
      <c r="U166" s="112">
        <v>20370</v>
      </c>
      <c r="V166" s="116">
        <v>64</v>
      </c>
      <c r="W166" s="111"/>
      <c r="X166" s="113">
        <f t="shared" si="28"/>
        <v>58145</v>
      </c>
      <c r="Y166" s="110"/>
      <c r="Z166" s="111"/>
      <c r="AA166" s="116"/>
      <c r="AB166" s="111"/>
      <c r="AC166" s="113">
        <f t="shared" si="29"/>
        <v>0</v>
      </c>
      <c r="AD166" s="110"/>
      <c r="AE166" s="111"/>
      <c r="AF166" s="112"/>
      <c r="AG166" s="117"/>
      <c r="AH166" s="111"/>
      <c r="AI166" s="112"/>
      <c r="AJ166" s="112"/>
      <c r="AK166" s="113">
        <f t="shared" si="30"/>
        <v>0</v>
      </c>
      <c r="AL166" s="143">
        <f t="shared" si="31"/>
        <v>0</v>
      </c>
      <c r="AM166" s="112">
        <f t="shared" si="31"/>
        <v>0</v>
      </c>
      <c r="AN166" s="112">
        <f t="shared" si="31"/>
        <v>0</v>
      </c>
      <c r="AO166" s="112">
        <f t="shared" si="24"/>
        <v>0</v>
      </c>
      <c r="AP166" s="192">
        <f t="shared" si="25"/>
        <v>0</v>
      </c>
      <c r="AQ166" s="193">
        <f t="shared" si="26"/>
        <v>58145</v>
      </c>
      <c r="AR166" s="194">
        <f t="shared" si="27"/>
        <v>-57782</v>
      </c>
      <c r="AS166" s="118"/>
      <c r="AT166" s="119"/>
      <c r="AU166" s="119"/>
      <c r="AV166" s="120"/>
      <c r="AW166" s="195"/>
      <c r="AX166" s="112">
        <v>0</v>
      </c>
      <c r="AY166" s="162">
        <v>0</v>
      </c>
      <c r="AZ166" s="162">
        <v>0</v>
      </c>
      <c r="BA166" s="162">
        <v>0</v>
      </c>
      <c r="BB166" s="196">
        <v>0</v>
      </c>
    </row>
    <row r="167" spans="1:54" s="121" customFormat="1" ht="16.5" customHeight="1">
      <c r="A167" s="104" t="s">
        <v>2143</v>
      </c>
      <c r="B167" s="105" t="s">
        <v>1007</v>
      </c>
      <c r="C167" s="106" t="s">
        <v>1017</v>
      </c>
      <c r="D167" s="106" t="s">
        <v>2415</v>
      </c>
      <c r="E167" s="71" t="s">
        <v>1018</v>
      </c>
      <c r="F167" s="71" t="s">
        <v>170</v>
      </c>
      <c r="G167" s="109" t="s">
        <v>2187</v>
      </c>
      <c r="H167" s="110">
        <v>221</v>
      </c>
      <c r="I167" s="111"/>
      <c r="J167" s="112">
        <v>71</v>
      </c>
      <c r="K167" s="113">
        <f t="shared" si="22"/>
        <v>292</v>
      </c>
      <c r="L167" s="110">
        <v>10067</v>
      </c>
      <c r="M167" s="111">
        <v>4345</v>
      </c>
      <c r="N167" s="112">
        <v>6284</v>
      </c>
      <c r="O167" s="111">
        <v>3971</v>
      </c>
      <c r="P167" s="114">
        <v>1</v>
      </c>
      <c r="Q167" s="111">
        <v>8428</v>
      </c>
      <c r="R167" s="115">
        <v>9058</v>
      </c>
      <c r="S167" s="115">
        <v>0</v>
      </c>
      <c r="T167" s="111">
        <f t="shared" si="23"/>
        <v>17486</v>
      </c>
      <c r="U167" s="112">
        <v>17749</v>
      </c>
      <c r="V167" s="116">
        <v>86</v>
      </c>
      <c r="W167" s="111"/>
      <c r="X167" s="113">
        <f t="shared" si="28"/>
        <v>59988</v>
      </c>
      <c r="Y167" s="110"/>
      <c r="Z167" s="111"/>
      <c r="AA167" s="116"/>
      <c r="AB167" s="111"/>
      <c r="AC167" s="113">
        <f t="shared" si="29"/>
        <v>0</v>
      </c>
      <c r="AD167" s="110"/>
      <c r="AE167" s="111"/>
      <c r="AF167" s="112"/>
      <c r="AG167" s="117"/>
      <c r="AH167" s="111"/>
      <c r="AI167" s="112"/>
      <c r="AJ167" s="112"/>
      <c r="AK167" s="113">
        <f t="shared" si="30"/>
        <v>0</v>
      </c>
      <c r="AL167" s="143">
        <f t="shared" si="31"/>
        <v>0</v>
      </c>
      <c r="AM167" s="112">
        <f t="shared" si="31"/>
        <v>0</v>
      </c>
      <c r="AN167" s="112">
        <f t="shared" si="31"/>
        <v>0</v>
      </c>
      <c r="AO167" s="112">
        <f t="shared" si="24"/>
        <v>0</v>
      </c>
      <c r="AP167" s="192">
        <f t="shared" si="25"/>
        <v>0</v>
      </c>
      <c r="AQ167" s="193">
        <f t="shared" si="26"/>
        <v>59988</v>
      </c>
      <c r="AR167" s="194">
        <f t="shared" si="27"/>
        <v>-59696</v>
      </c>
      <c r="AS167" s="118"/>
      <c r="AT167" s="119"/>
      <c r="AU167" s="119"/>
      <c r="AV167" s="120"/>
      <c r="AW167" s="195"/>
      <c r="AX167" s="112">
        <v>0</v>
      </c>
      <c r="AY167" s="162">
        <v>0</v>
      </c>
      <c r="AZ167" s="162">
        <v>0</v>
      </c>
      <c r="BA167" s="162">
        <v>0</v>
      </c>
      <c r="BB167" s="196">
        <v>0</v>
      </c>
    </row>
    <row r="168" spans="1:54" s="121" customFormat="1" ht="16.5" customHeight="1">
      <c r="A168" s="104" t="s">
        <v>2143</v>
      </c>
      <c r="B168" s="105" t="s">
        <v>1012</v>
      </c>
      <c r="C168" s="106" t="s">
        <v>1022</v>
      </c>
      <c r="D168" s="106" t="s">
        <v>2415</v>
      </c>
      <c r="E168" s="71" t="s">
        <v>1023</v>
      </c>
      <c r="F168" s="71" t="s">
        <v>170</v>
      </c>
      <c r="G168" s="109" t="s">
        <v>2187</v>
      </c>
      <c r="H168" s="110">
        <v>221</v>
      </c>
      <c r="I168" s="111"/>
      <c r="J168" s="112">
        <v>16</v>
      </c>
      <c r="K168" s="113">
        <f t="shared" si="22"/>
        <v>237</v>
      </c>
      <c r="L168" s="110">
        <v>9907</v>
      </c>
      <c r="M168" s="111">
        <v>3733</v>
      </c>
      <c r="N168" s="112"/>
      <c r="O168" s="111">
        <v>2938</v>
      </c>
      <c r="P168" s="114">
        <v>1</v>
      </c>
      <c r="Q168" s="111">
        <v>8428</v>
      </c>
      <c r="R168" s="115">
        <v>8397</v>
      </c>
      <c r="S168" s="115">
        <v>0</v>
      </c>
      <c r="T168" s="111">
        <f t="shared" si="23"/>
        <v>16825</v>
      </c>
      <c r="U168" s="112">
        <v>16630</v>
      </c>
      <c r="V168" s="116">
        <v>62</v>
      </c>
      <c r="W168" s="111"/>
      <c r="X168" s="113">
        <f t="shared" si="28"/>
        <v>50095</v>
      </c>
      <c r="Y168" s="110"/>
      <c r="Z168" s="111"/>
      <c r="AA168" s="116"/>
      <c r="AB168" s="111"/>
      <c r="AC168" s="113">
        <f t="shared" si="29"/>
        <v>0</v>
      </c>
      <c r="AD168" s="110"/>
      <c r="AE168" s="111"/>
      <c r="AF168" s="112"/>
      <c r="AG168" s="117"/>
      <c r="AH168" s="111"/>
      <c r="AI168" s="112"/>
      <c r="AJ168" s="112"/>
      <c r="AK168" s="113">
        <f t="shared" si="30"/>
        <v>0</v>
      </c>
      <c r="AL168" s="143">
        <f t="shared" si="31"/>
        <v>0</v>
      </c>
      <c r="AM168" s="112">
        <f t="shared" si="31"/>
        <v>0</v>
      </c>
      <c r="AN168" s="112">
        <f t="shared" si="31"/>
        <v>0</v>
      </c>
      <c r="AO168" s="112">
        <f t="shared" si="24"/>
        <v>0</v>
      </c>
      <c r="AP168" s="192">
        <f t="shared" si="25"/>
        <v>0</v>
      </c>
      <c r="AQ168" s="193">
        <f t="shared" si="26"/>
        <v>50095</v>
      </c>
      <c r="AR168" s="194">
        <f t="shared" si="27"/>
        <v>-49858</v>
      </c>
      <c r="AS168" s="118"/>
      <c r="AT168" s="119"/>
      <c r="AU168" s="119"/>
      <c r="AV168" s="120"/>
      <c r="AW168" s="195"/>
      <c r="AX168" s="112">
        <v>0</v>
      </c>
      <c r="AY168" s="162">
        <v>0</v>
      </c>
      <c r="AZ168" s="162">
        <v>0</v>
      </c>
      <c r="BA168" s="162">
        <v>0</v>
      </c>
      <c r="BB168" s="196">
        <v>0</v>
      </c>
    </row>
    <row r="169" spans="1:54" s="121" customFormat="1" ht="16.5" customHeight="1">
      <c r="A169" s="104" t="s">
        <v>2143</v>
      </c>
      <c r="B169" s="105" t="s">
        <v>1016</v>
      </c>
      <c r="C169" s="106" t="s">
        <v>1026</v>
      </c>
      <c r="D169" s="106" t="s">
        <v>2415</v>
      </c>
      <c r="E169" s="71" t="s">
        <v>1027</v>
      </c>
      <c r="F169" s="71" t="s">
        <v>170</v>
      </c>
      <c r="G169" s="109" t="s">
        <v>2187</v>
      </c>
      <c r="H169" s="110">
        <v>149</v>
      </c>
      <c r="I169" s="111"/>
      <c r="J169" s="112">
        <v>10</v>
      </c>
      <c r="K169" s="113">
        <f t="shared" si="22"/>
        <v>159</v>
      </c>
      <c r="L169" s="110">
        <v>5791</v>
      </c>
      <c r="M169" s="111">
        <v>2929</v>
      </c>
      <c r="N169" s="112"/>
      <c r="O169" s="111">
        <v>3356</v>
      </c>
      <c r="P169" s="114">
        <v>1</v>
      </c>
      <c r="Q169" s="111">
        <v>8428</v>
      </c>
      <c r="R169" s="115">
        <v>2992</v>
      </c>
      <c r="S169" s="115">
        <v>0</v>
      </c>
      <c r="T169" s="111">
        <f t="shared" si="23"/>
        <v>11420</v>
      </c>
      <c r="U169" s="112">
        <v>14222</v>
      </c>
      <c r="V169" s="116">
        <v>73</v>
      </c>
      <c r="W169" s="111"/>
      <c r="X169" s="113">
        <f t="shared" si="28"/>
        <v>37791</v>
      </c>
      <c r="Y169" s="110"/>
      <c r="Z169" s="111"/>
      <c r="AA169" s="116"/>
      <c r="AB169" s="111"/>
      <c r="AC169" s="113">
        <f t="shared" si="29"/>
        <v>0</v>
      </c>
      <c r="AD169" s="110"/>
      <c r="AE169" s="111"/>
      <c r="AF169" s="112"/>
      <c r="AG169" s="117"/>
      <c r="AH169" s="111"/>
      <c r="AI169" s="112"/>
      <c r="AJ169" s="112"/>
      <c r="AK169" s="113">
        <f t="shared" si="30"/>
        <v>0</v>
      </c>
      <c r="AL169" s="143">
        <f t="shared" si="31"/>
        <v>21835.02</v>
      </c>
      <c r="AM169" s="112">
        <f t="shared" si="31"/>
        <v>11158.24</v>
      </c>
      <c r="AN169" s="112">
        <f t="shared" si="31"/>
        <v>10676.78</v>
      </c>
      <c r="AO169" s="112">
        <f t="shared" si="24"/>
        <v>815.36199999999997</v>
      </c>
      <c r="AP169" s="192">
        <f t="shared" si="25"/>
        <v>0.51102494982830338</v>
      </c>
      <c r="AQ169" s="193">
        <f t="shared" si="26"/>
        <v>38606.362000000001</v>
      </c>
      <c r="AR169" s="194">
        <f t="shared" si="27"/>
        <v>-38447.362000000001</v>
      </c>
      <c r="AS169" s="118"/>
      <c r="AT169" s="119"/>
      <c r="AU169" s="119"/>
      <c r="AV169" s="120"/>
      <c r="AW169" s="195"/>
      <c r="AX169" s="112">
        <v>21835020</v>
      </c>
      <c r="AY169" s="162">
        <v>11158240</v>
      </c>
      <c r="AZ169" s="162">
        <v>10676780</v>
      </c>
      <c r="BA169" s="162">
        <v>815362</v>
      </c>
      <c r="BB169" s="196">
        <f t="shared" si="32"/>
        <v>0.51102494982830338</v>
      </c>
    </row>
    <row r="170" spans="1:54" s="121" customFormat="1" ht="16.5" customHeight="1">
      <c r="A170" s="104" t="s">
        <v>2143</v>
      </c>
      <c r="B170" s="105" t="s">
        <v>1021</v>
      </c>
      <c r="C170" s="106" t="s">
        <v>1030</v>
      </c>
      <c r="D170" s="106" t="s">
        <v>2415</v>
      </c>
      <c r="E170" s="71" t="s">
        <v>1031</v>
      </c>
      <c r="F170" s="71" t="s">
        <v>170</v>
      </c>
      <c r="G170" s="109" t="s">
        <v>2187</v>
      </c>
      <c r="H170" s="110">
        <v>98515</v>
      </c>
      <c r="I170" s="111"/>
      <c r="J170" s="112">
        <v>253</v>
      </c>
      <c r="K170" s="113">
        <f t="shared" si="22"/>
        <v>98768</v>
      </c>
      <c r="L170" s="110">
        <v>12649</v>
      </c>
      <c r="M170" s="111">
        <v>1133</v>
      </c>
      <c r="N170" s="112"/>
      <c r="O170" s="111">
        <v>429</v>
      </c>
      <c r="P170" s="114">
        <v>64</v>
      </c>
      <c r="Q170" s="111">
        <v>8428</v>
      </c>
      <c r="R170" s="115">
        <v>108760</v>
      </c>
      <c r="S170" s="115">
        <v>0</v>
      </c>
      <c r="T170" s="111">
        <f t="shared" si="23"/>
        <v>648152</v>
      </c>
      <c r="U170" s="112">
        <v>45513</v>
      </c>
      <c r="V170" s="116">
        <v>0</v>
      </c>
      <c r="W170" s="111"/>
      <c r="X170" s="113">
        <f t="shared" si="28"/>
        <v>707876</v>
      </c>
      <c r="Y170" s="110"/>
      <c r="Z170" s="111"/>
      <c r="AA170" s="116"/>
      <c r="AB170" s="111"/>
      <c r="AC170" s="113">
        <f t="shared" si="29"/>
        <v>0</v>
      </c>
      <c r="AD170" s="110"/>
      <c r="AE170" s="111"/>
      <c r="AF170" s="112"/>
      <c r="AG170" s="117"/>
      <c r="AH170" s="111"/>
      <c r="AI170" s="112"/>
      <c r="AJ170" s="112"/>
      <c r="AK170" s="113">
        <f t="shared" si="30"/>
        <v>0</v>
      </c>
      <c r="AL170" s="143">
        <f t="shared" si="31"/>
        <v>31920</v>
      </c>
      <c r="AM170" s="112">
        <f t="shared" si="31"/>
        <v>13342.56</v>
      </c>
      <c r="AN170" s="112">
        <f t="shared" si="31"/>
        <v>18577.439999999999</v>
      </c>
      <c r="AO170" s="112">
        <f t="shared" si="24"/>
        <v>1212.96</v>
      </c>
      <c r="AP170" s="192">
        <f t="shared" si="25"/>
        <v>0.41799999999999998</v>
      </c>
      <c r="AQ170" s="193">
        <f t="shared" si="26"/>
        <v>709088.96</v>
      </c>
      <c r="AR170" s="194">
        <f t="shared" si="27"/>
        <v>-610320.96</v>
      </c>
      <c r="AS170" s="118"/>
      <c r="AT170" s="119"/>
      <c r="AU170" s="119"/>
      <c r="AV170" s="120"/>
      <c r="AW170" s="195"/>
      <c r="AX170" s="112">
        <v>31920000</v>
      </c>
      <c r="AY170" s="162">
        <v>13342560</v>
      </c>
      <c r="AZ170" s="162">
        <v>18577440</v>
      </c>
      <c r="BA170" s="162">
        <v>1212960</v>
      </c>
      <c r="BB170" s="196">
        <f t="shared" si="32"/>
        <v>0.41799999999999998</v>
      </c>
    </row>
    <row r="171" spans="1:54" s="121" customFormat="1" ht="16.5" customHeight="1">
      <c r="A171" s="104" t="s">
        <v>2143</v>
      </c>
      <c r="B171" s="105" t="s">
        <v>1025</v>
      </c>
      <c r="C171" s="106" t="s">
        <v>1038</v>
      </c>
      <c r="D171" s="106" t="s">
        <v>2415</v>
      </c>
      <c r="E171" s="71" t="s">
        <v>1039</v>
      </c>
      <c r="F171" s="71" t="s">
        <v>170</v>
      </c>
      <c r="G171" s="109" t="s">
        <v>2187</v>
      </c>
      <c r="H171" s="110">
        <v>16</v>
      </c>
      <c r="I171" s="111"/>
      <c r="J171" s="112"/>
      <c r="K171" s="113">
        <f t="shared" si="22"/>
        <v>16</v>
      </c>
      <c r="L171" s="110">
        <v>4674</v>
      </c>
      <c r="M171" s="111">
        <v>10558</v>
      </c>
      <c r="N171" s="112"/>
      <c r="O171" s="111">
        <v>2095</v>
      </c>
      <c r="P171" s="114">
        <v>0</v>
      </c>
      <c r="Q171" s="111">
        <v>8428</v>
      </c>
      <c r="R171" s="115">
        <v>37104</v>
      </c>
      <c r="S171" s="115">
        <v>0</v>
      </c>
      <c r="T171" s="111">
        <f t="shared" si="23"/>
        <v>37104</v>
      </c>
      <c r="U171" s="112">
        <v>27777</v>
      </c>
      <c r="V171" s="116">
        <v>18</v>
      </c>
      <c r="W171" s="111"/>
      <c r="X171" s="113">
        <f t="shared" si="28"/>
        <v>82226</v>
      </c>
      <c r="Y171" s="110"/>
      <c r="Z171" s="111"/>
      <c r="AA171" s="116"/>
      <c r="AB171" s="111"/>
      <c r="AC171" s="113">
        <f t="shared" si="29"/>
        <v>0</v>
      </c>
      <c r="AD171" s="110"/>
      <c r="AE171" s="111"/>
      <c r="AF171" s="112"/>
      <c r="AG171" s="117"/>
      <c r="AH171" s="111"/>
      <c r="AI171" s="112"/>
      <c r="AJ171" s="112"/>
      <c r="AK171" s="113">
        <f t="shared" si="30"/>
        <v>0</v>
      </c>
      <c r="AL171" s="143">
        <f t="shared" si="31"/>
        <v>22912.998</v>
      </c>
      <c r="AM171" s="112">
        <f t="shared" si="31"/>
        <v>10792.638000000001</v>
      </c>
      <c r="AN171" s="112">
        <f t="shared" si="31"/>
        <v>12120.36</v>
      </c>
      <c r="AO171" s="112">
        <f t="shared" si="24"/>
        <v>907.75599999999997</v>
      </c>
      <c r="AP171" s="192">
        <f t="shared" si="25"/>
        <v>0.47102688177252056</v>
      </c>
      <c r="AQ171" s="193">
        <f t="shared" si="26"/>
        <v>83133.755999999994</v>
      </c>
      <c r="AR171" s="194">
        <f t="shared" si="27"/>
        <v>-83117.755999999994</v>
      </c>
      <c r="AS171" s="118"/>
      <c r="AT171" s="119"/>
      <c r="AU171" s="119"/>
      <c r="AV171" s="120"/>
      <c r="AW171" s="195"/>
      <c r="AX171" s="112">
        <v>22912998</v>
      </c>
      <c r="AY171" s="162">
        <v>10792638</v>
      </c>
      <c r="AZ171" s="162">
        <v>12120360</v>
      </c>
      <c r="BA171" s="162">
        <v>907756</v>
      </c>
      <c r="BB171" s="196">
        <f t="shared" si="32"/>
        <v>0.47102688177252056</v>
      </c>
    </row>
    <row r="172" spans="1:54" s="121" customFormat="1" ht="16.5" customHeight="1">
      <c r="A172" s="104" t="s">
        <v>2143</v>
      </c>
      <c r="B172" s="105" t="s">
        <v>1029</v>
      </c>
      <c r="C172" s="106" t="s">
        <v>2076</v>
      </c>
      <c r="D172" s="106" t="s">
        <v>2415</v>
      </c>
      <c r="E172" s="71" t="s">
        <v>1045</v>
      </c>
      <c r="F172" s="71" t="s">
        <v>170</v>
      </c>
      <c r="G172" s="109" t="s">
        <v>1046</v>
      </c>
      <c r="H172" s="110"/>
      <c r="I172" s="111">
        <v>220</v>
      </c>
      <c r="J172" s="112"/>
      <c r="K172" s="113">
        <f t="shared" si="22"/>
        <v>220</v>
      </c>
      <c r="L172" s="110">
        <v>28491</v>
      </c>
      <c r="M172" s="111">
        <v>3129</v>
      </c>
      <c r="N172" s="112"/>
      <c r="O172" s="111">
        <v>7562</v>
      </c>
      <c r="P172" s="114">
        <v>9</v>
      </c>
      <c r="Q172" s="111">
        <v>8428</v>
      </c>
      <c r="R172" s="115">
        <v>58839</v>
      </c>
      <c r="S172" s="115">
        <v>42997</v>
      </c>
      <c r="T172" s="111">
        <f t="shared" si="23"/>
        <v>177688</v>
      </c>
      <c r="U172" s="112">
        <v>591556</v>
      </c>
      <c r="V172" s="116">
        <v>12522</v>
      </c>
      <c r="W172" s="111"/>
      <c r="X172" s="113">
        <f t="shared" si="28"/>
        <v>820948</v>
      </c>
      <c r="Y172" s="110"/>
      <c r="Z172" s="111"/>
      <c r="AA172" s="116"/>
      <c r="AB172" s="111"/>
      <c r="AC172" s="113">
        <f t="shared" si="29"/>
        <v>0</v>
      </c>
      <c r="AD172" s="110"/>
      <c r="AE172" s="111"/>
      <c r="AF172" s="112"/>
      <c r="AG172" s="117"/>
      <c r="AH172" s="111"/>
      <c r="AI172" s="112"/>
      <c r="AJ172" s="112"/>
      <c r="AK172" s="113">
        <f t="shared" si="30"/>
        <v>0</v>
      </c>
      <c r="AL172" s="143">
        <f t="shared" si="31"/>
        <v>1720118.7</v>
      </c>
      <c r="AM172" s="112">
        <f t="shared" si="31"/>
        <v>1193453.8430000001</v>
      </c>
      <c r="AN172" s="112">
        <f t="shared" si="31"/>
        <v>526664.85699999996</v>
      </c>
      <c r="AO172" s="112">
        <f t="shared" si="24"/>
        <v>49641.535000000003</v>
      </c>
      <c r="AP172" s="192">
        <f t="shared" si="25"/>
        <v>0.69382063168082531</v>
      </c>
      <c r="AQ172" s="193">
        <f t="shared" si="26"/>
        <v>870589.53500000003</v>
      </c>
      <c r="AR172" s="194">
        <f t="shared" si="27"/>
        <v>-870369.53500000003</v>
      </c>
      <c r="AS172" s="118"/>
      <c r="AT172" s="119"/>
      <c r="AU172" s="119"/>
      <c r="AV172" s="120"/>
      <c r="AW172" s="195"/>
      <c r="AX172" s="112">
        <v>1720118700</v>
      </c>
      <c r="AY172" s="162">
        <v>1193453843</v>
      </c>
      <c r="AZ172" s="162">
        <v>526664857</v>
      </c>
      <c r="BA172" s="162">
        <v>49641535</v>
      </c>
      <c r="BB172" s="196">
        <f t="shared" si="32"/>
        <v>0.69382063168082531</v>
      </c>
    </row>
    <row r="173" spans="1:54" s="121" customFormat="1" ht="16.5" customHeight="1">
      <c r="A173" s="104" t="s">
        <v>2143</v>
      </c>
      <c r="B173" s="105" t="s">
        <v>1037</v>
      </c>
      <c r="C173" s="106" t="s">
        <v>2138</v>
      </c>
      <c r="D173" s="106" t="s">
        <v>2415</v>
      </c>
      <c r="E173" s="71" t="s">
        <v>2133</v>
      </c>
      <c r="F173" s="71" t="s">
        <v>2085</v>
      </c>
      <c r="G173" s="109" t="s">
        <v>1046</v>
      </c>
      <c r="H173" s="110"/>
      <c r="I173" s="111">
        <v>161</v>
      </c>
      <c r="J173" s="112"/>
      <c r="K173" s="113">
        <f t="shared" si="22"/>
        <v>161</v>
      </c>
      <c r="L173" s="110">
        <v>19765</v>
      </c>
      <c r="M173" s="111">
        <v>15018</v>
      </c>
      <c r="N173" s="112"/>
      <c r="O173" s="111">
        <v>2222</v>
      </c>
      <c r="P173" s="114">
        <v>2</v>
      </c>
      <c r="Q173" s="111">
        <v>8428</v>
      </c>
      <c r="R173" s="115">
        <v>2112</v>
      </c>
      <c r="S173" s="115"/>
      <c r="T173" s="111">
        <f t="shared" si="23"/>
        <v>18968</v>
      </c>
      <c r="U173" s="112">
        <v>386377</v>
      </c>
      <c r="V173" s="116">
        <v>80</v>
      </c>
      <c r="W173" s="111"/>
      <c r="X173" s="113">
        <f t="shared" si="28"/>
        <v>442430</v>
      </c>
      <c r="Y173" s="110"/>
      <c r="Z173" s="111"/>
      <c r="AA173" s="116"/>
      <c r="AB173" s="111"/>
      <c r="AC173" s="113">
        <f t="shared" si="29"/>
        <v>0</v>
      </c>
      <c r="AD173" s="110"/>
      <c r="AE173" s="111"/>
      <c r="AF173" s="112"/>
      <c r="AG173" s="117"/>
      <c r="AH173" s="111"/>
      <c r="AI173" s="112"/>
      <c r="AJ173" s="112"/>
      <c r="AK173" s="113">
        <f t="shared" si="30"/>
        <v>0</v>
      </c>
      <c r="AL173" s="143">
        <f t="shared" si="31"/>
        <v>1826821.0870000001</v>
      </c>
      <c r="AM173" s="112">
        <f t="shared" si="31"/>
        <v>285464.51</v>
      </c>
      <c r="AN173" s="112">
        <f t="shared" si="31"/>
        <v>1541356.577</v>
      </c>
      <c r="AO173" s="112">
        <f t="shared" si="24"/>
        <v>94823.922999999995</v>
      </c>
      <c r="AP173" s="192">
        <f t="shared" si="25"/>
        <v>0.15626298165234612</v>
      </c>
      <c r="AQ173" s="193">
        <f t="shared" si="26"/>
        <v>537253.92299999995</v>
      </c>
      <c r="AR173" s="194">
        <f t="shared" si="27"/>
        <v>-537092.92299999995</v>
      </c>
      <c r="AS173" s="118"/>
      <c r="AT173" s="119"/>
      <c r="AU173" s="119"/>
      <c r="AV173" s="120"/>
      <c r="AW173" s="195"/>
      <c r="AX173" s="112">
        <v>1826821087</v>
      </c>
      <c r="AY173" s="162">
        <v>285464510</v>
      </c>
      <c r="AZ173" s="162">
        <v>1541356577</v>
      </c>
      <c r="BA173" s="162">
        <v>94823923</v>
      </c>
      <c r="BB173" s="196">
        <f t="shared" si="32"/>
        <v>0.15626298165234612</v>
      </c>
    </row>
    <row r="174" spans="1:54" s="121" customFormat="1" ht="16.5" customHeight="1">
      <c r="A174" s="104" t="s">
        <v>2143</v>
      </c>
      <c r="B174" s="105" t="s">
        <v>1043</v>
      </c>
      <c r="C174" s="106" t="s">
        <v>1055</v>
      </c>
      <c r="D174" s="106" t="s">
        <v>2415</v>
      </c>
      <c r="E174" s="71" t="s">
        <v>1056</v>
      </c>
      <c r="F174" s="71" t="s">
        <v>2085</v>
      </c>
      <c r="G174" s="213" t="s">
        <v>2188</v>
      </c>
      <c r="H174" s="110">
        <v>28112</v>
      </c>
      <c r="I174" s="111">
        <v>108</v>
      </c>
      <c r="J174" s="112">
        <v>5150</v>
      </c>
      <c r="K174" s="113">
        <f t="shared" si="22"/>
        <v>33370</v>
      </c>
      <c r="L174" s="110">
        <v>5554</v>
      </c>
      <c r="M174" s="111">
        <v>1143</v>
      </c>
      <c r="N174" s="112"/>
      <c r="O174" s="111">
        <v>1067</v>
      </c>
      <c r="P174" s="114">
        <v>24</v>
      </c>
      <c r="Q174" s="111">
        <v>8428</v>
      </c>
      <c r="R174" s="115">
        <v>4283</v>
      </c>
      <c r="S174" s="115">
        <v>61538</v>
      </c>
      <c r="T174" s="111">
        <f t="shared" si="23"/>
        <v>268093</v>
      </c>
      <c r="U174" s="112">
        <v>17869</v>
      </c>
      <c r="V174" s="144"/>
      <c r="W174" s="111"/>
      <c r="X174" s="113">
        <f t="shared" si="28"/>
        <v>293726</v>
      </c>
      <c r="Y174" s="110"/>
      <c r="Z174" s="111"/>
      <c r="AA174" s="116"/>
      <c r="AB174" s="111"/>
      <c r="AC174" s="113">
        <f t="shared" si="29"/>
        <v>0</v>
      </c>
      <c r="AD174" s="110"/>
      <c r="AE174" s="111"/>
      <c r="AF174" s="112"/>
      <c r="AG174" s="117"/>
      <c r="AH174" s="111"/>
      <c r="AI174" s="112"/>
      <c r="AJ174" s="112"/>
      <c r="AK174" s="113">
        <f t="shared" si="30"/>
        <v>0</v>
      </c>
      <c r="AL174" s="143">
        <f t="shared" si="31"/>
        <v>168615.45</v>
      </c>
      <c r="AM174" s="112">
        <f t="shared" si="31"/>
        <v>165337.55900000001</v>
      </c>
      <c r="AN174" s="112">
        <f t="shared" si="31"/>
        <v>3277.8910000000001</v>
      </c>
      <c r="AO174" s="112">
        <f t="shared" si="24"/>
        <v>76.23</v>
      </c>
      <c r="AP174" s="192">
        <f t="shared" si="25"/>
        <v>0.9805599605492854</v>
      </c>
      <c r="AQ174" s="193">
        <f t="shared" si="26"/>
        <v>293802.23</v>
      </c>
      <c r="AR174" s="194">
        <f t="shared" si="27"/>
        <v>-260432.22999999998</v>
      </c>
      <c r="AS174" s="118"/>
      <c r="AT174" s="119"/>
      <c r="AU174" s="119"/>
      <c r="AV174" s="120"/>
      <c r="AW174" s="195"/>
      <c r="AX174" s="112">
        <v>168615450</v>
      </c>
      <c r="AY174" s="162">
        <v>165337559</v>
      </c>
      <c r="AZ174" s="162">
        <v>3277891</v>
      </c>
      <c r="BA174" s="162">
        <v>76230</v>
      </c>
      <c r="BB174" s="196">
        <f t="shared" si="32"/>
        <v>0.9805599605492854</v>
      </c>
    </row>
    <row r="175" spans="1:54" s="121" customFormat="1" ht="16.5" customHeight="1">
      <c r="A175" s="104" t="s">
        <v>2143</v>
      </c>
      <c r="B175" s="105" t="s">
        <v>1966</v>
      </c>
      <c r="C175" s="106" t="s">
        <v>1068</v>
      </c>
      <c r="D175" s="106" t="s">
        <v>2415</v>
      </c>
      <c r="E175" s="71" t="s">
        <v>1069</v>
      </c>
      <c r="F175" s="71" t="s">
        <v>2085</v>
      </c>
      <c r="G175" s="213" t="s">
        <v>2188</v>
      </c>
      <c r="H175" s="110">
        <v>17606</v>
      </c>
      <c r="I175" s="111">
        <v>108</v>
      </c>
      <c r="J175" s="112">
        <v>3234</v>
      </c>
      <c r="K175" s="113">
        <f t="shared" si="22"/>
        <v>20948</v>
      </c>
      <c r="L175" s="110">
        <v>3216</v>
      </c>
      <c r="M175" s="111">
        <v>1127</v>
      </c>
      <c r="N175" s="112"/>
      <c r="O175" s="111">
        <v>1166</v>
      </c>
      <c r="P175" s="114">
        <v>17</v>
      </c>
      <c r="Q175" s="111">
        <v>8428</v>
      </c>
      <c r="R175" s="115">
        <v>5383</v>
      </c>
      <c r="S175" s="115">
        <v>46044</v>
      </c>
      <c r="T175" s="111">
        <f t="shared" si="23"/>
        <v>194703</v>
      </c>
      <c r="U175" s="112">
        <v>14538</v>
      </c>
      <c r="V175" s="144"/>
      <c r="W175" s="111"/>
      <c r="X175" s="113">
        <f t="shared" si="28"/>
        <v>214750</v>
      </c>
      <c r="Y175" s="110"/>
      <c r="Z175" s="111"/>
      <c r="AA175" s="116"/>
      <c r="AB175" s="111"/>
      <c r="AC175" s="113">
        <f t="shared" si="29"/>
        <v>0</v>
      </c>
      <c r="AD175" s="110"/>
      <c r="AE175" s="111"/>
      <c r="AF175" s="112"/>
      <c r="AG175" s="117"/>
      <c r="AH175" s="111"/>
      <c r="AI175" s="112"/>
      <c r="AJ175" s="112"/>
      <c r="AK175" s="113">
        <f t="shared" si="30"/>
        <v>0</v>
      </c>
      <c r="AL175" s="143">
        <f t="shared" si="31"/>
        <v>179099.4</v>
      </c>
      <c r="AM175" s="112">
        <f t="shared" si="31"/>
        <v>126190.35</v>
      </c>
      <c r="AN175" s="112">
        <f t="shared" si="31"/>
        <v>52909.05</v>
      </c>
      <c r="AO175" s="112">
        <f t="shared" si="24"/>
        <v>3940.1860000000001</v>
      </c>
      <c r="AP175" s="192">
        <f t="shared" si="25"/>
        <v>0.70458276242131468</v>
      </c>
      <c r="AQ175" s="193">
        <f t="shared" si="26"/>
        <v>218690.18599999999</v>
      </c>
      <c r="AR175" s="194">
        <f t="shared" si="27"/>
        <v>-197742.18599999999</v>
      </c>
      <c r="AS175" s="118"/>
      <c r="AT175" s="119"/>
      <c r="AU175" s="119"/>
      <c r="AV175" s="120"/>
      <c r="AW175" s="195"/>
      <c r="AX175" s="112">
        <v>179099400</v>
      </c>
      <c r="AY175" s="162">
        <v>126190350</v>
      </c>
      <c r="AZ175" s="162">
        <v>52909050</v>
      </c>
      <c r="BA175" s="162">
        <v>3940186</v>
      </c>
      <c r="BB175" s="196">
        <f t="shared" si="32"/>
        <v>0.70458276242131468</v>
      </c>
    </row>
    <row r="176" spans="1:54" s="121" customFormat="1" ht="16.5" customHeight="1">
      <c r="A176" s="104" t="s">
        <v>2143</v>
      </c>
      <c r="B176" s="105" t="s">
        <v>1054</v>
      </c>
      <c r="C176" s="106" t="s">
        <v>1071</v>
      </c>
      <c r="D176" s="106" t="s">
        <v>2415</v>
      </c>
      <c r="E176" s="71" t="s">
        <v>1072</v>
      </c>
      <c r="F176" s="71" t="s">
        <v>2085</v>
      </c>
      <c r="G176" s="213" t="s">
        <v>2188</v>
      </c>
      <c r="H176" s="110">
        <v>15445</v>
      </c>
      <c r="I176" s="111">
        <v>55</v>
      </c>
      <c r="J176" s="112">
        <v>7330</v>
      </c>
      <c r="K176" s="113">
        <f t="shared" si="22"/>
        <v>22830</v>
      </c>
      <c r="L176" s="110">
        <v>4385</v>
      </c>
      <c r="M176" s="111">
        <v>2366</v>
      </c>
      <c r="N176" s="112"/>
      <c r="O176" s="111">
        <v>172</v>
      </c>
      <c r="P176" s="114">
        <v>17</v>
      </c>
      <c r="Q176" s="111">
        <v>8428</v>
      </c>
      <c r="R176" s="115">
        <v>9301</v>
      </c>
      <c r="S176" s="115">
        <v>49568</v>
      </c>
      <c r="T176" s="111">
        <f t="shared" si="23"/>
        <v>202145</v>
      </c>
      <c r="U176" s="112">
        <v>19128</v>
      </c>
      <c r="V176" s="144"/>
      <c r="W176" s="111"/>
      <c r="X176" s="113">
        <f t="shared" si="28"/>
        <v>228196</v>
      </c>
      <c r="Y176" s="110"/>
      <c r="Z176" s="111"/>
      <c r="AA176" s="116"/>
      <c r="AB176" s="111"/>
      <c r="AC176" s="113">
        <f t="shared" si="29"/>
        <v>0</v>
      </c>
      <c r="AD176" s="110"/>
      <c r="AE176" s="111"/>
      <c r="AF176" s="112"/>
      <c r="AG176" s="117"/>
      <c r="AH176" s="111"/>
      <c r="AI176" s="112"/>
      <c r="AJ176" s="112"/>
      <c r="AK176" s="113">
        <f t="shared" si="30"/>
        <v>0</v>
      </c>
      <c r="AL176" s="143">
        <f t="shared" si="31"/>
        <v>443194.5</v>
      </c>
      <c r="AM176" s="112">
        <f t="shared" si="31"/>
        <v>122258.46400000001</v>
      </c>
      <c r="AN176" s="112">
        <f t="shared" si="31"/>
        <v>320936.03600000002</v>
      </c>
      <c r="AO176" s="112">
        <f t="shared" si="24"/>
        <v>15282.308000000001</v>
      </c>
      <c r="AP176" s="192">
        <f t="shared" si="25"/>
        <v>0.27585735833815628</v>
      </c>
      <c r="AQ176" s="193">
        <f t="shared" si="26"/>
        <v>243478.30799999999</v>
      </c>
      <c r="AR176" s="194">
        <f t="shared" si="27"/>
        <v>-220648.30799999999</v>
      </c>
      <c r="AS176" s="118"/>
      <c r="AT176" s="119"/>
      <c r="AU176" s="119"/>
      <c r="AV176" s="120"/>
      <c r="AW176" s="195"/>
      <c r="AX176" s="112">
        <v>443194500</v>
      </c>
      <c r="AY176" s="162">
        <v>122258464</v>
      </c>
      <c r="AZ176" s="162">
        <v>320936036</v>
      </c>
      <c r="BA176" s="162">
        <v>15282308</v>
      </c>
      <c r="BB176" s="196">
        <f t="shared" si="32"/>
        <v>0.27585735833815628</v>
      </c>
    </row>
    <row r="177" spans="1:54" s="121" customFormat="1" ht="16.5" customHeight="1">
      <c r="A177" s="104" t="s">
        <v>2143</v>
      </c>
      <c r="B177" s="105" t="s">
        <v>1067</v>
      </c>
      <c r="C177" s="106" t="s">
        <v>1077</v>
      </c>
      <c r="D177" s="106" t="s">
        <v>2415</v>
      </c>
      <c r="E177" s="71" t="s">
        <v>1078</v>
      </c>
      <c r="F177" s="71" t="s">
        <v>2085</v>
      </c>
      <c r="G177" s="213" t="s">
        <v>2188</v>
      </c>
      <c r="H177" s="110">
        <v>21895</v>
      </c>
      <c r="I177" s="111">
        <v>108</v>
      </c>
      <c r="J177" s="112">
        <v>6943</v>
      </c>
      <c r="K177" s="113">
        <f t="shared" si="22"/>
        <v>28946</v>
      </c>
      <c r="L177" s="110">
        <v>4281</v>
      </c>
      <c r="M177" s="111">
        <v>1396</v>
      </c>
      <c r="N177" s="112"/>
      <c r="O177" s="111">
        <v>928</v>
      </c>
      <c r="P177" s="114">
        <v>22</v>
      </c>
      <c r="Q177" s="111">
        <v>8428</v>
      </c>
      <c r="R177" s="115">
        <v>2805</v>
      </c>
      <c r="S177" s="115">
        <v>61471</v>
      </c>
      <c r="T177" s="111">
        <f t="shared" si="23"/>
        <v>249692</v>
      </c>
      <c r="U177" s="112">
        <v>21531</v>
      </c>
      <c r="V177" s="144"/>
      <c r="W177" s="111"/>
      <c r="X177" s="113">
        <f t="shared" si="28"/>
        <v>277828</v>
      </c>
      <c r="Y177" s="110"/>
      <c r="Z177" s="111"/>
      <c r="AA177" s="116"/>
      <c r="AB177" s="111"/>
      <c r="AC177" s="113">
        <f t="shared" si="29"/>
        <v>0</v>
      </c>
      <c r="AD177" s="110"/>
      <c r="AE177" s="111"/>
      <c r="AF177" s="112"/>
      <c r="AG177" s="117"/>
      <c r="AH177" s="111"/>
      <c r="AI177" s="112"/>
      <c r="AJ177" s="112"/>
      <c r="AK177" s="113">
        <f t="shared" si="30"/>
        <v>0</v>
      </c>
      <c r="AL177" s="143">
        <f t="shared" si="31"/>
        <v>150148.84599999999</v>
      </c>
      <c r="AM177" s="112">
        <f t="shared" si="31"/>
        <v>111871.416</v>
      </c>
      <c r="AN177" s="112">
        <f t="shared" si="31"/>
        <v>38277.43</v>
      </c>
      <c r="AO177" s="112">
        <f t="shared" si="24"/>
        <v>1406.018</v>
      </c>
      <c r="AP177" s="192">
        <f t="shared" si="25"/>
        <v>0.74507010197068047</v>
      </c>
      <c r="AQ177" s="193">
        <f t="shared" si="26"/>
        <v>279234.01799999998</v>
      </c>
      <c r="AR177" s="194">
        <f t="shared" si="27"/>
        <v>-250288.01799999998</v>
      </c>
      <c r="AS177" s="118"/>
      <c r="AT177" s="119"/>
      <c r="AU177" s="119"/>
      <c r="AV177" s="120"/>
      <c r="AW177" s="195"/>
      <c r="AX177" s="112">
        <v>150148846</v>
      </c>
      <c r="AY177" s="162">
        <v>111871416</v>
      </c>
      <c r="AZ177" s="162">
        <v>38277430</v>
      </c>
      <c r="BA177" s="162">
        <v>1406018</v>
      </c>
      <c r="BB177" s="196">
        <f t="shared" si="32"/>
        <v>0.74507010197068047</v>
      </c>
    </row>
    <row r="178" spans="1:54" s="121" customFormat="1" ht="16.5" customHeight="1">
      <c r="A178" s="104" t="s">
        <v>2143</v>
      </c>
      <c r="B178" s="105" t="s">
        <v>181</v>
      </c>
      <c r="C178" s="106" t="s">
        <v>1083</v>
      </c>
      <c r="D178" s="106" t="s">
        <v>2415</v>
      </c>
      <c r="E178" s="71" t="s">
        <v>1084</v>
      </c>
      <c r="F178" s="71" t="s">
        <v>2085</v>
      </c>
      <c r="G178" s="213" t="s">
        <v>2188</v>
      </c>
      <c r="H178" s="110">
        <v>15243</v>
      </c>
      <c r="I178" s="111">
        <v>108</v>
      </c>
      <c r="J178" s="112">
        <v>2688</v>
      </c>
      <c r="K178" s="113">
        <f t="shared" si="22"/>
        <v>18039</v>
      </c>
      <c r="L178" s="110">
        <v>2741</v>
      </c>
      <c r="M178" s="111">
        <v>1124</v>
      </c>
      <c r="N178" s="112"/>
      <c r="O178" s="111">
        <v>187</v>
      </c>
      <c r="P178" s="114">
        <v>14</v>
      </c>
      <c r="Q178" s="111">
        <v>8428</v>
      </c>
      <c r="R178" s="115">
        <v>5949</v>
      </c>
      <c r="S178" s="115">
        <v>56245</v>
      </c>
      <c r="T178" s="111">
        <f t="shared" si="23"/>
        <v>180186</v>
      </c>
      <c r="U178" s="112">
        <v>12251</v>
      </c>
      <c r="V178" s="144"/>
      <c r="W178" s="111"/>
      <c r="X178" s="113">
        <f t="shared" si="28"/>
        <v>196489</v>
      </c>
      <c r="Y178" s="110"/>
      <c r="Z178" s="111"/>
      <c r="AA178" s="116"/>
      <c r="AB178" s="111"/>
      <c r="AC178" s="113">
        <f t="shared" si="29"/>
        <v>0</v>
      </c>
      <c r="AD178" s="110"/>
      <c r="AE178" s="111"/>
      <c r="AF178" s="112"/>
      <c r="AG178" s="117"/>
      <c r="AH178" s="111"/>
      <c r="AI178" s="112"/>
      <c r="AJ178" s="112"/>
      <c r="AK178" s="113">
        <f t="shared" si="30"/>
        <v>0</v>
      </c>
      <c r="AL178" s="143">
        <f t="shared" si="31"/>
        <v>168189.9</v>
      </c>
      <c r="AM178" s="112">
        <f t="shared" si="31"/>
        <v>163449.86300000001</v>
      </c>
      <c r="AN178" s="112">
        <f t="shared" si="31"/>
        <v>4740.0370000000003</v>
      </c>
      <c r="AO178" s="112">
        <f t="shared" si="24"/>
        <v>2164.5770000000002</v>
      </c>
      <c r="AP178" s="192">
        <f t="shared" si="25"/>
        <v>0.97181735050677831</v>
      </c>
      <c r="AQ178" s="193">
        <f t="shared" si="26"/>
        <v>198653.57699999999</v>
      </c>
      <c r="AR178" s="194">
        <f t="shared" si="27"/>
        <v>-180614.57699999999</v>
      </c>
      <c r="AS178" s="118"/>
      <c r="AT178" s="119"/>
      <c r="AU178" s="119"/>
      <c r="AV178" s="120"/>
      <c r="AW178" s="195"/>
      <c r="AX178" s="112">
        <v>168189900</v>
      </c>
      <c r="AY178" s="162">
        <v>163449863</v>
      </c>
      <c r="AZ178" s="162">
        <v>4740037</v>
      </c>
      <c r="BA178" s="162">
        <v>2164577</v>
      </c>
      <c r="BB178" s="196">
        <f t="shared" si="32"/>
        <v>0.97181735050677831</v>
      </c>
    </row>
    <row r="179" spans="1:54" s="121" customFormat="1" ht="16.5" customHeight="1">
      <c r="A179" s="104" t="s">
        <v>2143</v>
      </c>
      <c r="B179" s="105" t="s">
        <v>1076</v>
      </c>
      <c r="C179" s="106" t="s">
        <v>1088</v>
      </c>
      <c r="D179" s="106" t="s">
        <v>2415</v>
      </c>
      <c r="E179" s="71" t="s">
        <v>1089</v>
      </c>
      <c r="F179" s="71" t="s">
        <v>2085</v>
      </c>
      <c r="G179" s="213" t="s">
        <v>2188</v>
      </c>
      <c r="H179" s="110">
        <v>17408</v>
      </c>
      <c r="I179" s="111">
        <v>108</v>
      </c>
      <c r="J179" s="112">
        <v>5880</v>
      </c>
      <c r="K179" s="113">
        <f t="shared" si="22"/>
        <v>23396</v>
      </c>
      <c r="L179" s="110">
        <v>3439</v>
      </c>
      <c r="M179" s="111">
        <v>1767</v>
      </c>
      <c r="N179" s="112"/>
      <c r="O179" s="111">
        <v>1204</v>
      </c>
      <c r="P179" s="114">
        <v>15</v>
      </c>
      <c r="Q179" s="111">
        <v>8428</v>
      </c>
      <c r="R179" s="115">
        <v>7335</v>
      </c>
      <c r="S179" s="115">
        <v>51210</v>
      </c>
      <c r="T179" s="111">
        <f t="shared" si="23"/>
        <v>184965</v>
      </c>
      <c r="U179" s="112">
        <v>16848</v>
      </c>
      <c r="V179" s="144"/>
      <c r="W179" s="111"/>
      <c r="X179" s="113">
        <f t="shared" si="28"/>
        <v>208223</v>
      </c>
      <c r="Y179" s="110"/>
      <c r="Z179" s="111"/>
      <c r="AA179" s="116"/>
      <c r="AB179" s="111"/>
      <c r="AC179" s="113">
        <f t="shared" si="29"/>
        <v>0</v>
      </c>
      <c r="AD179" s="110"/>
      <c r="AE179" s="111"/>
      <c r="AF179" s="112"/>
      <c r="AG179" s="117"/>
      <c r="AH179" s="111"/>
      <c r="AI179" s="112"/>
      <c r="AJ179" s="112"/>
      <c r="AK179" s="113">
        <f t="shared" si="30"/>
        <v>0</v>
      </c>
      <c r="AL179" s="143">
        <f t="shared" si="31"/>
        <v>374673.6</v>
      </c>
      <c r="AM179" s="112">
        <f t="shared" si="31"/>
        <v>68768.044999999998</v>
      </c>
      <c r="AN179" s="112">
        <f t="shared" si="31"/>
        <v>305905.55499999999</v>
      </c>
      <c r="AO179" s="112">
        <f t="shared" si="24"/>
        <v>13753.609</v>
      </c>
      <c r="AP179" s="192">
        <f t="shared" si="25"/>
        <v>0.18354120760042875</v>
      </c>
      <c r="AQ179" s="193">
        <f t="shared" si="26"/>
        <v>221976.609</v>
      </c>
      <c r="AR179" s="194">
        <f t="shared" si="27"/>
        <v>-198580.609</v>
      </c>
      <c r="AS179" s="118"/>
      <c r="AT179" s="119"/>
      <c r="AU179" s="119"/>
      <c r="AV179" s="120"/>
      <c r="AW179" s="195"/>
      <c r="AX179" s="112">
        <v>374673600</v>
      </c>
      <c r="AY179" s="162">
        <v>68768045</v>
      </c>
      <c r="AZ179" s="162">
        <v>305905555</v>
      </c>
      <c r="BA179" s="162">
        <v>13753609</v>
      </c>
      <c r="BB179" s="196">
        <f t="shared" si="32"/>
        <v>0.18354120760042875</v>
      </c>
    </row>
    <row r="180" spans="1:54" s="121" customFormat="1" ht="16.5" customHeight="1">
      <c r="A180" s="104" t="s">
        <v>2143</v>
      </c>
      <c r="B180" s="105" t="s">
        <v>2546</v>
      </c>
      <c r="C180" s="106" t="s">
        <v>1092</v>
      </c>
      <c r="D180" s="106" t="s">
        <v>2415</v>
      </c>
      <c r="E180" s="71" t="s">
        <v>1093</v>
      </c>
      <c r="F180" s="71" t="s">
        <v>170</v>
      </c>
      <c r="G180" s="150" t="s">
        <v>2188</v>
      </c>
      <c r="H180" s="110">
        <f>450+12</f>
        <v>462</v>
      </c>
      <c r="I180" s="111"/>
      <c r="J180" s="112"/>
      <c r="K180" s="113">
        <f t="shared" si="22"/>
        <v>462</v>
      </c>
      <c r="L180" s="110">
        <v>1004</v>
      </c>
      <c r="M180" s="111">
        <v>722</v>
      </c>
      <c r="N180" s="112"/>
      <c r="O180" s="111">
        <v>568</v>
      </c>
      <c r="P180" s="151">
        <v>8</v>
      </c>
      <c r="Q180" s="111">
        <v>8428</v>
      </c>
      <c r="R180" s="115">
        <v>17145</v>
      </c>
      <c r="S180" s="115"/>
      <c r="T180" s="111">
        <f t="shared" si="23"/>
        <v>84569</v>
      </c>
      <c r="U180" s="112">
        <f>378+1144+143</f>
        <v>1665</v>
      </c>
      <c r="V180" s="116">
        <v>17</v>
      </c>
      <c r="W180" s="111"/>
      <c r="X180" s="113">
        <f t="shared" si="28"/>
        <v>88545</v>
      </c>
      <c r="Y180" s="110"/>
      <c r="Z180" s="111"/>
      <c r="AA180" s="116"/>
      <c r="AB180" s="111"/>
      <c r="AC180" s="113">
        <f t="shared" si="29"/>
        <v>0</v>
      </c>
      <c r="AD180" s="110"/>
      <c r="AE180" s="111"/>
      <c r="AF180" s="112"/>
      <c r="AG180" s="117"/>
      <c r="AH180" s="111"/>
      <c r="AI180" s="112"/>
      <c r="AJ180" s="112"/>
      <c r="AK180" s="113">
        <f t="shared" si="30"/>
        <v>0</v>
      </c>
      <c r="AL180" s="143">
        <f t="shared" si="31"/>
        <v>289785.02100000001</v>
      </c>
      <c r="AM180" s="112">
        <f t="shared" si="31"/>
        <v>165053.81400000001</v>
      </c>
      <c r="AN180" s="112">
        <f t="shared" si="31"/>
        <v>124731.20699999999</v>
      </c>
      <c r="AO180" s="112">
        <f t="shared" si="24"/>
        <v>2426.7750000000001</v>
      </c>
      <c r="AP180" s="192">
        <f t="shared" si="25"/>
        <v>0.56957331138244027</v>
      </c>
      <c r="AQ180" s="193">
        <f t="shared" si="26"/>
        <v>90971.774999999994</v>
      </c>
      <c r="AR180" s="194">
        <f t="shared" si="27"/>
        <v>-90509.774999999994</v>
      </c>
      <c r="AS180" s="118"/>
      <c r="AT180" s="119"/>
      <c r="AU180" s="119"/>
      <c r="AV180" s="120"/>
      <c r="AW180" s="195"/>
      <c r="AX180" s="112">
        <v>289785021</v>
      </c>
      <c r="AY180" s="162">
        <v>165053814</v>
      </c>
      <c r="AZ180" s="162">
        <v>124731207</v>
      </c>
      <c r="BA180" s="162">
        <v>2426775</v>
      </c>
      <c r="BB180" s="196">
        <f t="shared" si="32"/>
        <v>0.56957331138244027</v>
      </c>
    </row>
    <row r="181" spans="1:54" s="121" customFormat="1" ht="16.5" customHeight="1">
      <c r="A181" s="104" t="s">
        <v>2143</v>
      </c>
      <c r="B181" s="105" t="s">
        <v>1081</v>
      </c>
      <c r="C181" s="106" t="s">
        <v>1104</v>
      </c>
      <c r="D181" s="106" t="s">
        <v>2415</v>
      </c>
      <c r="E181" s="71" t="s">
        <v>1105</v>
      </c>
      <c r="F181" s="71" t="s">
        <v>170</v>
      </c>
      <c r="G181" s="150" t="s">
        <v>2188</v>
      </c>
      <c r="H181" s="110">
        <f>167+13</f>
        <v>180</v>
      </c>
      <c r="I181" s="111"/>
      <c r="J181" s="112"/>
      <c r="K181" s="113">
        <f t="shared" si="22"/>
        <v>180</v>
      </c>
      <c r="L181" s="110">
        <v>783</v>
      </c>
      <c r="M181" s="111">
        <v>515</v>
      </c>
      <c r="N181" s="112"/>
      <c r="O181" s="111">
        <v>520</v>
      </c>
      <c r="P181" s="151">
        <v>6</v>
      </c>
      <c r="Q181" s="111">
        <v>8428</v>
      </c>
      <c r="R181" s="115">
        <v>18350</v>
      </c>
      <c r="S181" s="115"/>
      <c r="T181" s="111">
        <f t="shared" si="23"/>
        <v>68918</v>
      </c>
      <c r="U181" s="112">
        <f>378+1562+143</f>
        <v>2083</v>
      </c>
      <c r="V181" s="116">
        <v>17</v>
      </c>
      <c r="W181" s="111"/>
      <c r="X181" s="113">
        <f t="shared" si="28"/>
        <v>72836</v>
      </c>
      <c r="Y181" s="110"/>
      <c r="Z181" s="111"/>
      <c r="AA181" s="116"/>
      <c r="AB181" s="111"/>
      <c r="AC181" s="113">
        <f t="shared" si="29"/>
        <v>0</v>
      </c>
      <c r="AD181" s="110"/>
      <c r="AE181" s="111"/>
      <c r="AF181" s="112"/>
      <c r="AG181" s="117"/>
      <c r="AH181" s="111"/>
      <c r="AI181" s="112"/>
      <c r="AJ181" s="112"/>
      <c r="AK181" s="113">
        <f t="shared" si="30"/>
        <v>0</v>
      </c>
      <c r="AL181" s="143">
        <f t="shared" si="31"/>
        <v>150144.649</v>
      </c>
      <c r="AM181" s="112">
        <f t="shared" si="31"/>
        <v>126327.39</v>
      </c>
      <c r="AN181" s="112">
        <f t="shared" si="31"/>
        <v>23817.258999999998</v>
      </c>
      <c r="AO181" s="112">
        <f t="shared" si="24"/>
        <v>1911.4159999999999</v>
      </c>
      <c r="AP181" s="192">
        <f t="shared" si="25"/>
        <v>0.84137124327354484</v>
      </c>
      <c r="AQ181" s="193">
        <f t="shared" si="26"/>
        <v>74747.415999999997</v>
      </c>
      <c r="AR181" s="194">
        <f t="shared" si="27"/>
        <v>-74567.415999999997</v>
      </c>
      <c r="AS181" s="118"/>
      <c r="AT181" s="119"/>
      <c r="AU181" s="119"/>
      <c r="AV181" s="120"/>
      <c r="AW181" s="195"/>
      <c r="AX181" s="112">
        <v>150144649</v>
      </c>
      <c r="AY181" s="162">
        <v>126327390</v>
      </c>
      <c r="AZ181" s="162">
        <v>23817259</v>
      </c>
      <c r="BA181" s="162">
        <v>1911416</v>
      </c>
      <c r="BB181" s="196">
        <f t="shared" si="32"/>
        <v>0.84137124327354484</v>
      </c>
    </row>
    <row r="182" spans="1:54" s="121" customFormat="1" ht="16.5" customHeight="1">
      <c r="A182" s="104" t="s">
        <v>2143</v>
      </c>
      <c r="B182" s="105" t="s">
        <v>1082</v>
      </c>
      <c r="C182" s="106" t="s">
        <v>1108</v>
      </c>
      <c r="D182" s="106" t="s">
        <v>2415</v>
      </c>
      <c r="E182" s="71" t="s">
        <v>1109</v>
      </c>
      <c r="F182" s="71" t="s">
        <v>170</v>
      </c>
      <c r="G182" s="150" t="s">
        <v>2188</v>
      </c>
      <c r="H182" s="110">
        <f>263+5</f>
        <v>268</v>
      </c>
      <c r="I182" s="111"/>
      <c r="J182" s="112"/>
      <c r="K182" s="113">
        <f t="shared" si="22"/>
        <v>268</v>
      </c>
      <c r="L182" s="110">
        <v>821</v>
      </c>
      <c r="M182" s="111">
        <v>527</v>
      </c>
      <c r="N182" s="112"/>
      <c r="O182" s="111">
        <v>855</v>
      </c>
      <c r="P182" s="151">
        <v>3</v>
      </c>
      <c r="Q182" s="111">
        <v>8428</v>
      </c>
      <c r="R182" s="115">
        <v>13249</v>
      </c>
      <c r="S182" s="115"/>
      <c r="T182" s="111">
        <f t="shared" si="23"/>
        <v>38533</v>
      </c>
      <c r="U182" s="112">
        <f>378+980+143</f>
        <v>1501</v>
      </c>
      <c r="V182" s="116">
        <v>17</v>
      </c>
      <c r="W182" s="111"/>
      <c r="X182" s="113">
        <f t="shared" si="28"/>
        <v>42254</v>
      </c>
      <c r="Y182" s="110"/>
      <c r="Z182" s="111"/>
      <c r="AA182" s="116"/>
      <c r="AB182" s="111"/>
      <c r="AC182" s="113">
        <f t="shared" si="29"/>
        <v>0</v>
      </c>
      <c r="AD182" s="110"/>
      <c r="AE182" s="111"/>
      <c r="AF182" s="112"/>
      <c r="AG182" s="117"/>
      <c r="AH182" s="111"/>
      <c r="AI182" s="112"/>
      <c r="AJ182" s="112"/>
      <c r="AK182" s="113">
        <f t="shared" si="30"/>
        <v>0</v>
      </c>
      <c r="AL182" s="143">
        <f t="shared" si="31"/>
        <v>102380.125</v>
      </c>
      <c r="AM182" s="112">
        <f t="shared" si="31"/>
        <v>89219.915999999997</v>
      </c>
      <c r="AN182" s="112">
        <f t="shared" si="31"/>
        <v>13160.209000000001</v>
      </c>
      <c r="AO182" s="112">
        <f t="shared" si="24"/>
        <v>859.42399999999998</v>
      </c>
      <c r="AP182" s="192">
        <f t="shared" si="25"/>
        <v>0.87145738491723856</v>
      </c>
      <c r="AQ182" s="193">
        <f t="shared" si="26"/>
        <v>43113.423999999999</v>
      </c>
      <c r="AR182" s="194">
        <f t="shared" si="27"/>
        <v>-42845.423999999999</v>
      </c>
      <c r="AS182" s="118"/>
      <c r="AT182" s="119"/>
      <c r="AU182" s="119"/>
      <c r="AV182" s="120"/>
      <c r="AW182" s="195"/>
      <c r="AX182" s="112">
        <v>102380125</v>
      </c>
      <c r="AY182" s="162">
        <v>89219916</v>
      </c>
      <c r="AZ182" s="162">
        <v>13160209</v>
      </c>
      <c r="BA182" s="162">
        <v>859424</v>
      </c>
      <c r="BB182" s="196">
        <f t="shared" si="32"/>
        <v>0.87145738491723856</v>
      </c>
    </row>
    <row r="183" spans="1:54" s="121" customFormat="1" ht="16.5" customHeight="1">
      <c r="A183" s="104" t="s">
        <v>2143</v>
      </c>
      <c r="B183" s="105" t="s">
        <v>1966</v>
      </c>
      <c r="C183" s="106" t="s">
        <v>1113</v>
      </c>
      <c r="D183" s="106" t="s">
        <v>2415</v>
      </c>
      <c r="E183" s="71" t="s">
        <v>1114</v>
      </c>
      <c r="F183" s="71" t="s">
        <v>170</v>
      </c>
      <c r="G183" s="150" t="s">
        <v>2188</v>
      </c>
      <c r="H183" s="110">
        <f>94+8</f>
        <v>102</v>
      </c>
      <c r="I183" s="111"/>
      <c r="J183" s="112"/>
      <c r="K183" s="113">
        <f t="shared" si="22"/>
        <v>102</v>
      </c>
      <c r="L183" s="110">
        <v>1278</v>
      </c>
      <c r="M183" s="111">
        <v>559</v>
      </c>
      <c r="N183" s="112"/>
      <c r="O183" s="111">
        <v>757</v>
      </c>
      <c r="P183" s="151">
        <v>4</v>
      </c>
      <c r="Q183" s="111">
        <v>8428</v>
      </c>
      <c r="R183" s="115">
        <v>11194</v>
      </c>
      <c r="S183" s="115"/>
      <c r="T183" s="111">
        <f t="shared" si="23"/>
        <v>44906</v>
      </c>
      <c r="U183" s="112">
        <f>378+1156+143</f>
        <v>1677</v>
      </c>
      <c r="V183" s="116">
        <v>17</v>
      </c>
      <c r="W183" s="111"/>
      <c r="X183" s="113">
        <f t="shared" si="28"/>
        <v>49194</v>
      </c>
      <c r="Y183" s="110"/>
      <c r="Z183" s="111"/>
      <c r="AA183" s="116"/>
      <c r="AB183" s="111"/>
      <c r="AC183" s="113">
        <f t="shared" si="29"/>
        <v>0</v>
      </c>
      <c r="AD183" s="110"/>
      <c r="AE183" s="111"/>
      <c r="AF183" s="112"/>
      <c r="AG183" s="117"/>
      <c r="AH183" s="111"/>
      <c r="AI183" s="112"/>
      <c r="AJ183" s="112"/>
      <c r="AK183" s="113">
        <f t="shared" si="30"/>
        <v>0</v>
      </c>
      <c r="AL183" s="143">
        <f t="shared" si="31"/>
        <v>128270.39999999999</v>
      </c>
      <c r="AM183" s="112">
        <f t="shared" si="31"/>
        <v>123537.79700000001</v>
      </c>
      <c r="AN183" s="112">
        <f t="shared" si="31"/>
        <v>4732.6030000000001</v>
      </c>
      <c r="AO183" s="112">
        <f t="shared" si="24"/>
        <v>129.822</v>
      </c>
      <c r="AP183" s="192">
        <f t="shared" si="25"/>
        <v>0.9631044808467113</v>
      </c>
      <c r="AQ183" s="193">
        <f t="shared" si="26"/>
        <v>49323.822</v>
      </c>
      <c r="AR183" s="194">
        <f t="shared" si="27"/>
        <v>-49221.822</v>
      </c>
      <c r="AS183" s="118"/>
      <c r="AT183" s="119"/>
      <c r="AU183" s="119"/>
      <c r="AV183" s="120"/>
      <c r="AW183" s="195"/>
      <c r="AX183" s="112">
        <v>128270400</v>
      </c>
      <c r="AY183" s="162">
        <v>123537797</v>
      </c>
      <c r="AZ183" s="162">
        <v>4732603</v>
      </c>
      <c r="BA183" s="162">
        <v>129822</v>
      </c>
      <c r="BB183" s="196">
        <f t="shared" si="32"/>
        <v>0.9631044808467113</v>
      </c>
    </row>
    <row r="184" spans="1:54" s="121" customFormat="1" ht="16.5" customHeight="1">
      <c r="A184" s="104" t="s">
        <v>2143</v>
      </c>
      <c r="B184" s="105" t="s">
        <v>1966</v>
      </c>
      <c r="C184" s="106" t="s">
        <v>1117</v>
      </c>
      <c r="D184" s="106" t="s">
        <v>2415</v>
      </c>
      <c r="E184" s="71" t="s">
        <v>1118</v>
      </c>
      <c r="F184" s="71" t="s">
        <v>170</v>
      </c>
      <c r="G184" s="150" t="s">
        <v>2188</v>
      </c>
      <c r="H184" s="110">
        <f>47+10</f>
        <v>57</v>
      </c>
      <c r="I184" s="111"/>
      <c r="J184" s="112"/>
      <c r="K184" s="113">
        <f t="shared" si="22"/>
        <v>57</v>
      </c>
      <c r="L184" s="110">
        <v>1649</v>
      </c>
      <c r="M184" s="111">
        <v>775</v>
      </c>
      <c r="N184" s="112"/>
      <c r="O184" s="111">
        <v>1030</v>
      </c>
      <c r="P184" s="151">
        <v>6</v>
      </c>
      <c r="Q184" s="111">
        <v>8428</v>
      </c>
      <c r="R184" s="115">
        <v>10757</v>
      </c>
      <c r="S184" s="115"/>
      <c r="T184" s="111">
        <f t="shared" si="23"/>
        <v>61325</v>
      </c>
      <c r="U184" s="112">
        <f>378+1331+143</f>
        <v>1852</v>
      </c>
      <c r="V184" s="116">
        <v>17</v>
      </c>
      <c r="W184" s="111"/>
      <c r="X184" s="113">
        <f t="shared" si="28"/>
        <v>66648</v>
      </c>
      <c r="Y184" s="110"/>
      <c r="Z184" s="111"/>
      <c r="AA184" s="116"/>
      <c r="AB184" s="111"/>
      <c r="AC184" s="113">
        <f t="shared" si="29"/>
        <v>0</v>
      </c>
      <c r="AD184" s="110"/>
      <c r="AE184" s="111"/>
      <c r="AF184" s="112"/>
      <c r="AG184" s="117"/>
      <c r="AH184" s="111"/>
      <c r="AI184" s="112"/>
      <c r="AJ184" s="112"/>
      <c r="AK184" s="113">
        <f t="shared" si="30"/>
        <v>0</v>
      </c>
      <c r="AL184" s="143">
        <f t="shared" si="31"/>
        <v>167451.95000000001</v>
      </c>
      <c r="AM184" s="112">
        <f t="shared" si="31"/>
        <v>154749.897</v>
      </c>
      <c r="AN184" s="112">
        <f t="shared" si="31"/>
        <v>12702.053</v>
      </c>
      <c r="AO184" s="112">
        <f t="shared" si="24"/>
        <v>1883.806</v>
      </c>
      <c r="AP184" s="192">
        <f t="shared" si="25"/>
        <v>0.92414508759079839</v>
      </c>
      <c r="AQ184" s="193">
        <f t="shared" si="26"/>
        <v>68531.805999999997</v>
      </c>
      <c r="AR184" s="194">
        <f t="shared" si="27"/>
        <v>-68474.805999999997</v>
      </c>
      <c r="AS184" s="118"/>
      <c r="AT184" s="119"/>
      <c r="AU184" s="119"/>
      <c r="AV184" s="120"/>
      <c r="AW184" s="195"/>
      <c r="AX184" s="112">
        <v>167451950</v>
      </c>
      <c r="AY184" s="162">
        <v>154749897</v>
      </c>
      <c r="AZ184" s="162">
        <v>12702053</v>
      </c>
      <c r="BA184" s="162">
        <v>1883806</v>
      </c>
      <c r="BB184" s="196">
        <f t="shared" si="32"/>
        <v>0.92414508759079839</v>
      </c>
    </row>
    <row r="185" spans="1:54" s="121" customFormat="1" ht="16.5" customHeight="1">
      <c r="A185" s="104" t="s">
        <v>2143</v>
      </c>
      <c r="B185" s="105" t="s">
        <v>1087</v>
      </c>
      <c r="C185" s="106" t="s">
        <v>1121</v>
      </c>
      <c r="D185" s="106" t="s">
        <v>2415</v>
      </c>
      <c r="E185" s="71" t="s">
        <v>1122</v>
      </c>
      <c r="F185" s="71" t="s">
        <v>170</v>
      </c>
      <c r="G185" s="150" t="s">
        <v>2188</v>
      </c>
      <c r="H185" s="110">
        <f>281+15</f>
        <v>296</v>
      </c>
      <c r="I185" s="111">
        <v>150</v>
      </c>
      <c r="J185" s="112"/>
      <c r="K185" s="113">
        <f t="shared" si="22"/>
        <v>446</v>
      </c>
      <c r="L185" s="110">
        <v>1102</v>
      </c>
      <c r="M185" s="111">
        <v>525</v>
      </c>
      <c r="N185" s="112"/>
      <c r="O185" s="111">
        <v>335</v>
      </c>
      <c r="P185" s="151">
        <v>8</v>
      </c>
      <c r="Q185" s="111">
        <v>8428</v>
      </c>
      <c r="R185" s="115">
        <v>10221</v>
      </c>
      <c r="S185" s="115"/>
      <c r="T185" s="111">
        <f t="shared" si="23"/>
        <v>77645</v>
      </c>
      <c r="U185" s="112">
        <f>378+1477+143</f>
        <v>1998</v>
      </c>
      <c r="V185" s="116">
        <v>17</v>
      </c>
      <c r="W185" s="111"/>
      <c r="X185" s="113">
        <f t="shared" si="28"/>
        <v>81622</v>
      </c>
      <c r="Y185" s="110"/>
      <c r="Z185" s="111"/>
      <c r="AA185" s="116"/>
      <c r="AB185" s="111"/>
      <c r="AC185" s="113">
        <f t="shared" si="29"/>
        <v>0</v>
      </c>
      <c r="AD185" s="110"/>
      <c r="AE185" s="111"/>
      <c r="AF185" s="112"/>
      <c r="AG185" s="117"/>
      <c r="AH185" s="111"/>
      <c r="AI185" s="112"/>
      <c r="AJ185" s="112"/>
      <c r="AK185" s="113">
        <f t="shared" si="30"/>
        <v>0</v>
      </c>
      <c r="AL185" s="143">
        <f t="shared" si="31"/>
        <v>189117.709</v>
      </c>
      <c r="AM185" s="112">
        <f t="shared" si="31"/>
        <v>140918.61499999999</v>
      </c>
      <c r="AN185" s="112">
        <f t="shared" si="31"/>
        <v>48199.093999999997</v>
      </c>
      <c r="AO185" s="112">
        <f t="shared" si="24"/>
        <v>5160.1790000000001</v>
      </c>
      <c r="AP185" s="192">
        <f t="shared" si="25"/>
        <v>0.74513706698932147</v>
      </c>
      <c r="AQ185" s="193">
        <f t="shared" si="26"/>
        <v>86782.179000000004</v>
      </c>
      <c r="AR185" s="194">
        <f t="shared" si="27"/>
        <v>-86336.179000000004</v>
      </c>
      <c r="AS185" s="118"/>
      <c r="AT185" s="119"/>
      <c r="AU185" s="119"/>
      <c r="AV185" s="120"/>
      <c r="AW185" s="195"/>
      <c r="AX185" s="112">
        <v>189117709</v>
      </c>
      <c r="AY185" s="162">
        <v>140918615</v>
      </c>
      <c r="AZ185" s="162">
        <v>48199094</v>
      </c>
      <c r="BA185" s="162">
        <v>5160179</v>
      </c>
      <c r="BB185" s="196">
        <f t="shared" si="32"/>
        <v>0.74513706698932147</v>
      </c>
    </row>
    <row r="186" spans="1:54" s="121" customFormat="1" ht="16.5" customHeight="1">
      <c r="A186" s="104" t="s">
        <v>2143</v>
      </c>
      <c r="B186" s="105" t="s">
        <v>1091</v>
      </c>
      <c r="C186" s="106" t="s">
        <v>1125</v>
      </c>
      <c r="D186" s="106" t="s">
        <v>2415</v>
      </c>
      <c r="E186" s="71" t="s">
        <v>1126</v>
      </c>
      <c r="F186" s="71" t="s">
        <v>170</v>
      </c>
      <c r="G186" s="150" t="s">
        <v>2188</v>
      </c>
      <c r="H186" s="110">
        <f>138+12</f>
        <v>150</v>
      </c>
      <c r="I186" s="111"/>
      <c r="J186" s="112"/>
      <c r="K186" s="113">
        <f t="shared" si="22"/>
        <v>150</v>
      </c>
      <c r="L186" s="110">
        <v>1244</v>
      </c>
      <c r="M186" s="111">
        <v>853</v>
      </c>
      <c r="N186" s="112"/>
      <c r="O186" s="111">
        <v>1414</v>
      </c>
      <c r="P186" s="151">
        <v>4</v>
      </c>
      <c r="Q186" s="111">
        <v>8428</v>
      </c>
      <c r="R186" s="115">
        <v>8970</v>
      </c>
      <c r="S186" s="115"/>
      <c r="T186" s="111">
        <f t="shared" si="23"/>
        <v>42682</v>
      </c>
      <c r="U186" s="112">
        <f>378+1118+143</f>
        <v>1639</v>
      </c>
      <c r="V186" s="116">
        <v>17</v>
      </c>
      <c r="W186" s="111"/>
      <c r="X186" s="113">
        <f t="shared" si="28"/>
        <v>47849</v>
      </c>
      <c r="Y186" s="110"/>
      <c r="Z186" s="111"/>
      <c r="AA186" s="116"/>
      <c r="AB186" s="111"/>
      <c r="AC186" s="113">
        <f t="shared" si="29"/>
        <v>0</v>
      </c>
      <c r="AD186" s="110"/>
      <c r="AE186" s="111"/>
      <c r="AF186" s="112"/>
      <c r="AG186" s="117"/>
      <c r="AH186" s="111"/>
      <c r="AI186" s="112"/>
      <c r="AJ186" s="112"/>
      <c r="AK186" s="113">
        <f t="shared" si="30"/>
        <v>0</v>
      </c>
      <c r="AL186" s="143">
        <f t="shared" si="31"/>
        <v>155127.92000000001</v>
      </c>
      <c r="AM186" s="112">
        <f t="shared" si="31"/>
        <v>122857.45</v>
      </c>
      <c r="AN186" s="112">
        <f t="shared" si="31"/>
        <v>32270.47</v>
      </c>
      <c r="AO186" s="112">
        <f t="shared" si="24"/>
        <v>3287.65</v>
      </c>
      <c r="AP186" s="192">
        <f t="shared" si="25"/>
        <v>0.79197510029142404</v>
      </c>
      <c r="AQ186" s="193">
        <f t="shared" si="26"/>
        <v>51136.65</v>
      </c>
      <c r="AR186" s="194">
        <f t="shared" si="27"/>
        <v>-50986.65</v>
      </c>
      <c r="AS186" s="118"/>
      <c r="AT186" s="119"/>
      <c r="AU186" s="119"/>
      <c r="AV186" s="120"/>
      <c r="AW186" s="195"/>
      <c r="AX186" s="112">
        <v>155127920</v>
      </c>
      <c r="AY186" s="162">
        <v>122857450</v>
      </c>
      <c r="AZ186" s="162">
        <v>32270470</v>
      </c>
      <c r="BA186" s="162">
        <v>3287650</v>
      </c>
      <c r="BB186" s="196">
        <f t="shared" si="32"/>
        <v>0.79197510029142404</v>
      </c>
    </row>
    <row r="187" spans="1:54" s="121" customFormat="1" ht="16.5" customHeight="1">
      <c r="A187" s="104" t="s">
        <v>2143</v>
      </c>
      <c r="B187" s="105" t="s">
        <v>1100</v>
      </c>
      <c r="C187" s="106" t="s">
        <v>1129</v>
      </c>
      <c r="D187" s="106" t="s">
        <v>2415</v>
      </c>
      <c r="E187" s="71" t="s">
        <v>1130</v>
      </c>
      <c r="F187" s="71" t="s">
        <v>170</v>
      </c>
      <c r="G187" s="150" t="s">
        <v>2188</v>
      </c>
      <c r="H187" s="110">
        <f>112+14</f>
        <v>126</v>
      </c>
      <c r="I187" s="111"/>
      <c r="J187" s="112">
        <v>31</v>
      </c>
      <c r="K187" s="113">
        <f t="shared" si="22"/>
        <v>157</v>
      </c>
      <c r="L187" s="110">
        <v>1168</v>
      </c>
      <c r="M187" s="111">
        <v>374</v>
      </c>
      <c r="N187" s="112"/>
      <c r="O187" s="111">
        <v>1497</v>
      </c>
      <c r="P187" s="151">
        <v>5</v>
      </c>
      <c r="Q187" s="111">
        <v>8428</v>
      </c>
      <c r="R187" s="115">
        <v>13351</v>
      </c>
      <c r="S187" s="115"/>
      <c r="T187" s="111">
        <f t="shared" si="23"/>
        <v>55491</v>
      </c>
      <c r="U187" s="112">
        <f>378+1199+143</f>
        <v>1720</v>
      </c>
      <c r="V187" s="116">
        <v>17</v>
      </c>
      <c r="W187" s="111"/>
      <c r="X187" s="113">
        <f t="shared" si="28"/>
        <v>60267</v>
      </c>
      <c r="Y187" s="110"/>
      <c r="Z187" s="111"/>
      <c r="AA187" s="116"/>
      <c r="AB187" s="111"/>
      <c r="AC187" s="113">
        <f t="shared" si="29"/>
        <v>0</v>
      </c>
      <c r="AD187" s="110"/>
      <c r="AE187" s="111"/>
      <c r="AF187" s="112"/>
      <c r="AG187" s="117"/>
      <c r="AH187" s="111"/>
      <c r="AI187" s="112"/>
      <c r="AJ187" s="112"/>
      <c r="AK187" s="113">
        <f t="shared" si="30"/>
        <v>0</v>
      </c>
      <c r="AL187" s="143">
        <f t="shared" si="31"/>
        <v>101856.414</v>
      </c>
      <c r="AM187" s="112">
        <f t="shared" si="31"/>
        <v>74210.83</v>
      </c>
      <c r="AN187" s="112">
        <f t="shared" si="31"/>
        <v>27645.583999999999</v>
      </c>
      <c r="AO187" s="112">
        <f t="shared" si="24"/>
        <v>1878.2329999999999</v>
      </c>
      <c r="AP187" s="192">
        <f t="shared" si="25"/>
        <v>0.7285827871379803</v>
      </c>
      <c r="AQ187" s="193">
        <f t="shared" si="26"/>
        <v>62145.233</v>
      </c>
      <c r="AR187" s="194">
        <f t="shared" si="27"/>
        <v>-61988.233</v>
      </c>
      <c r="AS187" s="118"/>
      <c r="AT187" s="119"/>
      <c r="AU187" s="119"/>
      <c r="AV187" s="120"/>
      <c r="AW187" s="195"/>
      <c r="AX187" s="112">
        <v>101856414</v>
      </c>
      <c r="AY187" s="162">
        <v>74210830</v>
      </c>
      <c r="AZ187" s="162">
        <v>27645584</v>
      </c>
      <c r="BA187" s="162">
        <v>1878233</v>
      </c>
      <c r="BB187" s="196">
        <f>AY187/AX187</f>
        <v>0.7285827871379803</v>
      </c>
    </row>
    <row r="188" spans="1:54" s="121" customFormat="1" ht="16.5" customHeight="1">
      <c r="A188" s="104" t="s">
        <v>2143</v>
      </c>
      <c r="B188" s="105" t="s">
        <v>1101</v>
      </c>
      <c r="C188" s="152" t="s">
        <v>2094</v>
      </c>
      <c r="D188" s="106" t="s">
        <v>2415</v>
      </c>
      <c r="E188" s="153" t="s">
        <v>2140</v>
      </c>
      <c r="F188" s="71" t="s">
        <v>170</v>
      </c>
      <c r="G188" s="150" t="s">
        <v>2188</v>
      </c>
      <c r="H188" s="110">
        <v>26933</v>
      </c>
      <c r="I188" s="111">
        <v>55</v>
      </c>
      <c r="J188" s="112">
        <v>7657</v>
      </c>
      <c r="K188" s="113">
        <f t="shared" si="22"/>
        <v>34645</v>
      </c>
      <c r="L188" s="110">
        <v>6229</v>
      </c>
      <c r="M188" s="111">
        <f>538+1406</f>
        <v>1944</v>
      </c>
      <c r="N188" s="112"/>
      <c r="O188" s="111">
        <v>128</v>
      </c>
      <c r="P188" s="114">
        <v>22</v>
      </c>
      <c r="Q188" s="111">
        <v>8428</v>
      </c>
      <c r="R188" s="115">
        <v>5803</v>
      </c>
      <c r="S188" s="115">
        <v>43099</v>
      </c>
      <c r="T188" s="111">
        <f t="shared" si="23"/>
        <v>234318</v>
      </c>
      <c r="U188" s="112">
        <f>18246+5875</f>
        <v>24121</v>
      </c>
      <c r="V188" s="116"/>
      <c r="W188" s="111"/>
      <c r="X188" s="113">
        <f t="shared" si="28"/>
        <v>266740</v>
      </c>
      <c r="Y188" s="110"/>
      <c r="Z188" s="111"/>
      <c r="AA188" s="116"/>
      <c r="AB188" s="111"/>
      <c r="AC188" s="113">
        <f t="shared" si="29"/>
        <v>0</v>
      </c>
      <c r="AD188" s="110"/>
      <c r="AE188" s="111"/>
      <c r="AF188" s="112"/>
      <c r="AG188" s="117"/>
      <c r="AH188" s="111"/>
      <c r="AI188" s="112"/>
      <c r="AJ188" s="112"/>
      <c r="AK188" s="113">
        <f t="shared" si="30"/>
        <v>0</v>
      </c>
      <c r="AL188" s="143">
        <f t="shared" si="31"/>
        <v>1151273.7009999999</v>
      </c>
      <c r="AM188" s="112">
        <f t="shared" si="31"/>
        <v>38994.531999999999</v>
      </c>
      <c r="AN188" s="112">
        <f t="shared" si="31"/>
        <v>1112279.169</v>
      </c>
      <c r="AO188" s="112">
        <f t="shared" si="24"/>
        <v>38994.531999999999</v>
      </c>
      <c r="AP188" s="192">
        <f t="shared" si="25"/>
        <v>3.3870774574394628E-2</v>
      </c>
      <c r="AQ188" s="193">
        <f t="shared" si="26"/>
        <v>305734.53200000001</v>
      </c>
      <c r="AR188" s="194">
        <f t="shared" si="27"/>
        <v>-271089.53200000001</v>
      </c>
      <c r="AS188" s="118"/>
      <c r="AT188" s="119"/>
      <c r="AU188" s="119"/>
      <c r="AV188" s="120"/>
      <c r="AW188" s="195"/>
      <c r="AX188" s="112">
        <v>1151273701</v>
      </c>
      <c r="AY188" s="162">
        <v>38994532</v>
      </c>
      <c r="AZ188" s="162">
        <v>1112279169</v>
      </c>
      <c r="BA188" s="162">
        <v>38994532</v>
      </c>
      <c r="BB188" s="196">
        <f>AY188/AX188</f>
        <v>3.3870774574394628E-2</v>
      </c>
    </row>
    <row r="189" spans="1:54" s="121" customFormat="1" ht="16.5" customHeight="1">
      <c r="A189" s="104" t="s">
        <v>2143</v>
      </c>
      <c r="B189" s="105" t="s">
        <v>1102</v>
      </c>
      <c r="C189" s="152" t="s">
        <v>2095</v>
      </c>
      <c r="D189" s="106" t="s">
        <v>2415</v>
      </c>
      <c r="E189" s="153" t="s">
        <v>2139</v>
      </c>
      <c r="F189" s="71" t="s">
        <v>170</v>
      </c>
      <c r="G189" s="150" t="s">
        <v>2188</v>
      </c>
      <c r="H189" s="110">
        <v>7857</v>
      </c>
      <c r="I189" s="111">
        <v>55</v>
      </c>
      <c r="J189" s="112">
        <v>6543</v>
      </c>
      <c r="K189" s="113">
        <f t="shared" si="22"/>
        <v>14455</v>
      </c>
      <c r="L189" s="110">
        <v>6637</v>
      </c>
      <c r="M189" s="111">
        <f>538+1257</f>
        <v>1795</v>
      </c>
      <c r="N189" s="112">
        <v>864</v>
      </c>
      <c r="O189" s="111">
        <v>339</v>
      </c>
      <c r="P189" s="114">
        <v>15</v>
      </c>
      <c r="Q189" s="111">
        <v>8428</v>
      </c>
      <c r="R189" s="115">
        <v>14358</v>
      </c>
      <c r="S189" s="115">
        <v>33039</v>
      </c>
      <c r="T189" s="111">
        <f t="shared" si="23"/>
        <v>173817</v>
      </c>
      <c r="U189" s="112">
        <f>14396+2155</f>
        <v>16551</v>
      </c>
      <c r="V189" s="116">
        <v>21</v>
      </c>
      <c r="W189" s="111"/>
      <c r="X189" s="113">
        <f t="shared" si="28"/>
        <v>200024</v>
      </c>
      <c r="Y189" s="110"/>
      <c r="Z189" s="111"/>
      <c r="AA189" s="116"/>
      <c r="AB189" s="111"/>
      <c r="AC189" s="113">
        <f t="shared" si="29"/>
        <v>0</v>
      </c>
      <c r="AD189" s="110"/>
      <c r="AE189" s="111"/>
      <c r="AF189" s="112"/>
      <c r="AG189" s="117"/>
      <c r="AH189" s="111"/>
      <c r="AI189" s="112"/>
      <c r="AJ189" s="112"/>
      <c r="AK189" s="113">
        <f t="shared" si="30"/>
        <v>0</v>
      </c>
      <c r="AL189" s="143">
        <f t="shared" si="31"/>
        <v>908998.39500000002</v>
      </c>
      <c r="AM189" s="112">
        <f t="shared" si="31"/>
        <v>63563.692000000003</v>
      </c>
      <c r="AN189" s="112">
        <f t="shared" si="31"/>
        <v>845434.70299999998</v>
      </c>
      <c r="AO189" s="112">
        <f t="shared" si="24"/>
        <v>63563.692000000003</v>
      </c>
      <c r="AP189" s="192">
        <f t="shared" si="25"/>
        <v>6.9927177374169078E-2</v>
      </c>
      <c r="AQ189" s="193">
        <f t="shared" si="26"/>
        <v>263587.69199999998</v>
      </c>
      <c r="AR189" s="194">
        <f t="shared" si="27"/>
        <v>-249132.69199999998</v>
      </c>
      <c r="AS189" s="118"/>
      <c r="AT189" s="119"/>
      <c r="AU189" s="119"/>
      <c r="AV189" s="120"/>
      <c r="AW189" s="195"/>
      <c r="AX189" s="112">
        <v>908998395</v>
      </c>
      <c r="AY189" s="162">
        <v>63563692</v>
      </c>
      <c r="AZ189" s="162">
        <v>845434703</v>
      </c>
      <c r="BA189" s="162">
        <v>63563692</v>
      </c>
      <c r="BB189" s="196">
        <f t="shared" ref="BB189:BB223" si="33">AY189/AX189</f>
        <v>6.9927177374169078E-2</v>
      </c>
    </row>
    <row r="190" spans="1:54" s="121" customFormat="1" ht="16.5" customHeight="1">
      <c r="A190" s="104" t="s">
        <v>2143</v>
      </c>
      <c r="B190" s="105" t="s">
        <v>126</v>
      </c>
      <c r="C190" s="152" t="s">
        <v>2096</v>
      </c>
      <c r="D190" s="106" t="s">
        <v>2415</v>
      </c>
      <c r="E190" s="153" t="s">
        <v>2427</v>
      </c>
      <c r="F190" s="71" t="s">
        <v>170</v>
      </c>
      <c r="G190" s="150" t="s">
        <v>2188</v>
      </c>
      <c r="H190" s="110">
        <v>20274</v>
      </c>
      <c r="I190" s="111">
        <v>108</v>
      </c>
      <c r="J190" s="112">
        <v>5431</v>
      </c>
      <c r="K190" s="113">
        <f t="shared" si="22"/>
        <v>25813</v>
      </c>
      <c r="L190" s="110">
        <v>3755</v>
      </c>
      <c r="M190" s="111">
        <f>392+795</f>
        <v>1187</v>
      </c>
      <c r="N190" s="112">
        <v>8165</v>
      </c>
      <c r="O190" s="111"/>
      <c r="P190" s="114">
        <v>12</v>
      </c>
      <c r="Q190" s="111">
        <v>8428</v>
      </c>
      <c r="R190" s="115">
        <v>2874</v>
      </c>
      <c r="S190" s="115">
        <v>48422</v>
      </c>
      <c r="T190" s="111">
        <f t="shared" si="23"/>
        <v>152432</v>
      </c>
      <c r="U190" s="112">
        <f>12977+1341</f>
        <v>14318</v>
      </c>
      <c r="V190" s="116"/>
      <c r="W190" s="111"/>
      <c r="X190" s="113">
        <f t="shared" si="28"/>
        <v>179857</v>
      </c>
      <c r="Y190" s="110"/>
      <c r="Z190" s="111"/>
      <c r="AA190" s="116"/>
      <c r="AB190" s="111"/>
      <c r="AC190" s="113">
        <f t="shared" si="29"/>
        <v>0</v>
      </c>
      <c r="AD190" s="110"/>
      <c r="AE190" s="111"/>
      <c r="AF190" s="112"/>
      <c r="AG190" s="117"/>
      <c r="AH190" s="111"/>
      <c r="AI190" s="112"/>
      <c r="AJ190" s="112"/>
      <c r="AK190" s="113">
        <f t="shared" si="30"/>
        <v>0</v>
      </c>
      <c r="AL190" s="143">
        <f t="shared" si="31"/>
        <v>431049.81300000002</v>
      </c>
      <c r="AM190" s="112">
        <f t="shared" si="31"/>
        <v>15703.965</v>
      </c>
      <c r="AN190" s="112">
        <f t="shared" si="31"/>
        <v>415345.848</v>
      </c>
      <c r="AO190" s="112">
        <f t="shared" si="24"/>
        <v>15703.965</v>
      </c>
      <c r="AP190" s="192">
        <f t="shared" si="25"/>
        <v>3.6431903057106765E-2</v>
      </c>
      <c r="AQ190" s="193">
        <f t="shared" si="26"/>
        <v>195560.965</v>
      </c>
      <c r="AR190" s="194">
        <f t="shared" si="27"/>
        <v>-169747.965</v>
      </c>
      <c r="AS190" s="118"/>
      <c r="AT190" s="119"/>
      <c r="AU190" s="119"/>
      <c r="AV190" s="120"/>
      <c r="AW190" s="195"/>
      <c r="AX190" s="112">
        <v>431049813</v>
      </c>
      <c r="AY190" s="162">
        <v>15703965</v>
      </c>
      <c r="AZ190" s="162">
        <v>415345848</v>
      </c>
      <c r="BA190" s="162">
        <v>15703965</v>
      </c>
      <c r="BB190" s="196">
        <f t="shared" si="33"/>
        <v>3.6431903057106765E-2</v>
      </c>
    </row>
    <row r="191" spans="1:54" s="121" customFormat="1" ht="16.5" customHeight="1">
      <c r="A191" s="104" t="s">
        <v>2143</v>
      </c>
      <c r="B191" s="105" t="s">
        <v>1103</v>
      </c>
      <c r="C191" s="106" t="s">
        <v>1133</v>
      </c>
      <c r="D191" s="106" t="s">
        <v>2415</v>
      </c>
      <c r="E191" s="71" t="s">
        <v>1134</v>
      </c>
      <c r="F191" s="71" t="s">
        <v>139</v>
      </c>
      <c r="G191" s="109" t="s">
        <v>1135</v>
      </c>
      <c r="H191" s="110">
        <v>0</v>
      </c>
      <c r="I191" s="112">
        <v>0</v>
      </c>
      <c r="J191" s="112">
        <v>0</v>
      </c>
      <c r="K191" s="113">
        <f t="shared" si="22"/>
        <v>0</v>
      </c>
      <c r="L191" s="210">
        <v>0</v>
      </c>
      <c r="M191" s="115">
        <v>0</v>
      </c>
      <c r="N191" s="115">
        <v>0</v>
      </c>
      <c r="O191" s="115">
        <v>0</v>
      </c>
      <c r="P191" s="122">
        <v>0.15</v>
      </c>
      <c r="Q191" s="111">
        <v>8428</v>
      </c>
      <c r="R191" s="112">
        <v>0</v>
      </c>
      <c r="S191" s="112">
        <v>0</v>
      </c>
      <c r="T191" s="111">
        <f t="shared" si="23"/>
        <v>1264</v>
      </c>
      <c r="U191" s="115">
        <v>0</v>
      </c>
      <c r="V191" s="144">
        <v>0</v>
      </c>
      <c r="W191" s="111">
        <v>24414</v>
      </c>
      <c r="X191" s="113">
        <f t="shared" si="28"/>
        <v>25678</v>
      </c>
      <c r="Y191" s="110">
        <v>0</v>
      </c>
      <c r="Z191" s="111">
        <v>0</v>
      </c>
      <c r="AA191" s="116">
        <v>0</v>
      </c>
      <c r="AB191" s="111">
        <v>24414</v>
      </c>
      <c r="AC191" s="113">
        <f t="shared" si="29"/>
        <v>24414</v>
      </c>
      <c r="AD191" s="110">
        <v>4719</v>
      </c>
      <c r="AE191" s="111">
        <v>8733</v>
      </c>
      <c r="AF191" s="112">
        <v>0</v>
      </c>
      <c r="AG191" s="117">
        <v>295</v>
      </c>
      <c r="AH191" s="111">
        <v>7859</v>
      </c>
      <c r="AI191" s="112">
        <v>1742</v>
      </c>
      <c r="AJ191" s="112">
        <v>113</v>
      </c>
      <c r="AK191" s="113">
        <f t="shared" si="30"/>
        <v>23461</v>
      </c>
      <c r="AL191" s="143">
        <f t="shared" si="31"/>
        <v>570874.5</v>
      </c>
      <c r="AM191" s="112">
        <f t="shared" si="31"/>
        <v>216932.31</v>
      </c>
      <c r="AN191" s="112">
        <f t="shared" si="31"/>
        <v>353942.19</v>
      </c>
      <c r="AO191" s="112">
        <f t="shared" si="24"/>
        <v>11417.49</v>
      </c>
      <c r="AP191" s="192">
        <f t="shared" si="25"/>
        <v>0.38</v>
      </c>
      <c r="AQ191" s="193">
        <f t="shared" si="26"/>
        <v>37095.49</v>
      </c>
      <c r="AR191" s="194">
        <f t="shared" si="27"/>
        <v>-37095.49</v>
      </c>
      <c r="AS191" s="118"/>
      <c r="AT191" s="119"/>
      <c r="AU191" s="119"/>
      <c r="AV191" s="120"/>
      <c r="AW191" s="195"/>
      <c r="AX191" s="112">
        <v>570874500</v>
      </c>
      <c r="AY191" s="162">
        <v>216932310</v>
      </c>
      <c r="AZ191" s="162">
        <v>353942190</v>
      </c>
      <c r="BA191" s="162">
        <v>11417490</v>
      </c>
      <c r="BB191" s="196">
        <f t="shared" si="33"/>
        <v>0.38</v>
      </c>
    </row>
    <row r="192" spans="1:54" s="121" customFormat="1" ht="16.5" customHeight="1">
      <c r="A192" s="104" t="s">
        <v>2143</v>
      </c>
      <c r="B192" s="105" t="s">
        <v>80</v>
      </c>
      <c r="C192" s="106" t="s">
        <v>1146</v>
      </c>
      <c r="D192" s="106" t="s">
        <v>2415</v>
      </c>
      <c r="E192" s="71" t="s">
        <v>1147</v>
      </c>
      <c r="F192" s="71" t="s">
        <v>139</v>
      </c>
      <c r="G192" s="109" t="s">
        <v>1135</v>
      </c>
      <c r="H192" s="110">
        <v>0</v>
      </c>
      <c r="I192" s="112">
        <v>0</v>
      </c>
      <c r="J192" s="112">
        <v>0</v>
      </c>
      <c r="K192" s="113">
        <f t="shared" si="22"/>
        <v>0</v>
      </c>
      <c r="L192" s="210">
        <v>0</v>
      </c>
      <c r="M192" s="115">
        <v>0</v>
      </c>
      <c r="N192" s="115">
        <v>0</v>
      </c>
      <c r="O192" s="115">
        <v>0</v>
      </c>
      <c r="P192" s="122">
        <v>0.28000000000000003</v>
      </c>
      <c r="Q192" s="111">
        <v>8428</v>
      </c>
      <c r="R192" s="112">
        <v>0</v>
      </c>
      <c r="S192" s="112">
        <v>0</v>
      </c>
      <c r="T192" s="111">
        <f t="shared" si="23"/>
        <v>2360</v>
      </c>
      <c r="U192" s="115">
        <v>0</v>
      </c>
      <c r="V192" s="144">
        <v>0</v>
      </c>
      <c r="W192" s="111">
        <v>55736</v>
      </c>
      <c r="X192" s="113">
        <f t="shared" si="28"/>
        <v>58096</v>
      </c>
      <c r="Y192" s="110">
        <v>83</v>
      </c>
      <c r="Z192" s="111">
        <v>1480</v>
      </c>
      <c r="AA192" s="116">
        <v>153</v>
      </c>
      <c r="AB192" s="111">
        <v>55736</v>
      </c>
      <c r="AC192" s="113">
        <f t="shared" si="29"/>
        <v>57452</v>
      </c>
      <c r="AD192" s="110">
        <v>6634</v>
      </c>
      <c r="AE192" s="111">
        <v>16774</v>
      </c>
      <c r="AF192" s="112">
        <v>0</v>
      </c>
      <c r="AG192" s="117">
        <v>1804</v>
      </c>
      <c r="AH192" s="111">
        <v>18132</v>
      </c>
      <c r="AI192" s="112">
        <v>2645</v>
      </c>
      <c r="AJ192" s="112">
        <v>5202</v>
      </c>
      <c r="AK192" s="113">
        <f t="shared" si="30"/>
        <v>51191</v>
      </c>
      <c r="AL192" s="143">
        <f t="shared" si="31"/>
        <v>983773.69</v>
      </c>
      <c r="AM192" s="112">
        <f t="shared" si="31"/>
        <v>596081.04700000002</v>
      </c>
      <c r="AN192" s="112">
        <f t="shared" si="31"/>
        <v>387692.64299999998</v>
      </c>
      <c r="AO192" s="112">
        <f t="shared" si="24"/>
        <v>21969.3</v>
      </c>
      <c r="AP192" s="192">
        <f t="shared" si="25"/>
        <v>0.60591277552868894</v>
      </c>
      <c r="AQ192" s="193">
        <f t="shared" si="26"/>
        <v>80065.3</v>
      </c>
      <c r="AR192" s="194">
        <f t="shared" si="27"/>
        <v>-80065.3</v>
      </c>
      <c r="AS192" s="118"/>
      <c r="AT192" s="119"/>
      <c r="AU192" s="119"/>
      <c r="AV192" s="120"/>
      <c r="AW192" s="195"/>
      <c r="AX192" s="112">
        <v>983773690</v>
      </c>
      <c r="AY192" s="162">
        <v>596081047</v>
      </c>
      <c r="AZ192" s="162">
        <v>387692643</v>
      </c>
      <c r="BA192" s="162">
        <v>21969300</v>
      </c>
      <c r="BB192" s="196">
        <f t="shared" si="33"/>
        <v>0.60591277552868894</v>
      </c>
    </row>
    <row r="193" spans="1:54" s="121" customFormat="1" ht="16.5" customHeight="1">
      <c r="A193" s="104" t="s">
        <v>2143</v>
      </c>
      <c r="B193" s="105" t="s">
        <v>1107</v>
      </c>
      <c r="C193" s="106" t="s">
        <v>1156</v>
      </c>
      <c r="D193" s="106" t="s">
        <v>2415</v>
      </c>
      <c r="E193" s="71" t="s">
        <v>1157</v>
      </c>
      <c r="F193" s="71" t="s">
        <v>139</v>
      </c>
      <c r="G193" s="109" t="s">
        <v>1135</v>
      </c>
      <c r="H193" s="110">
        <v>0</v>
      </c>
      <c r="I193" s="111">
        <v>0</v>
      </c>
      <c r="J193" s="112">
        <v>0</v>
      </c>
      <c r="K193" s="113">
        <f t="shared" si="22"/>
        <v>0</v>
      </c>
      <c r="L193" s="210">
        <v>0</v>
      </c>
      <c r="M193" s="115">
        <v>0</v>
      </c>
      <c r="N193" s="115">
        <v>0</v>
      </c>
      <c r="O193" s="115">
        <v>476</v>
      </c>
      <c r="P193" s="122">
        <v>0.2</v>
      </c>
      <c r="Q193" s="111">
        <v>8428</v>
      </c>
      <c r="R193" s="112">
        <v>0</v>
      </c>
      <c r="S193" s="112">
        <v>0</v>
      </c>
      <c r="T193" s="111">
        <f t="shared" si="23"/>
        <v>1686</v>
      </c>
      <c r="U193" s="115">
        <v>998</v>
      </c>
      <c r="V193" s="144">
        <v>0</v>
      </c>
      <c r="W193" s="111">
        <v>31535</v>
      </c>
      <c r="X193" s="113">
        <f t="shared" si="28"/>
        <v>34695</v>
      </c>
      <c r="Y193" s="110">
        <v>10</v>
      </c>
      <c r="Z193" s="111">
        <v>2657</v>
      </c>
      <c r="AA193" s="116">
        <v>65</v>
      </c>
      <c r="AB193" s="111">
        <v>31535</v>
      </c>
      <c r="AC193" s="113">
        <f t="shared" si="29"/>
        <v>34267</v>
      </c>
      <c r="AD193" s="110">
        <v>5077</v>
      </c>
      <c r="AE193" s="111">
        <v>2129</v>
      </c>
      <c r="AF193" s="112">
        <v>0</v>
      </c>
      <c r="AG193" s="117">
        <v>484</v>
      </c>
      <c r="AH193" s="111">
        <v>19534</v>
      </c>
      <c r="AI193" s="112">
        <v>5521</v>
      </c>
      <c r="AJ193" s="112">
        <v>1520</v>
      </c>
      <c r="AK193" s="113">
        <f t="shared" si="30"/>
        <v>34265</v>
      </c>
      <c r="AL193" s="143">
        <f t="shared" si="31"/>
        <v>349755</v>
      </c>
      <c r="AM193" s="112">
        <f t="shared" si="31"/>
        <v>153892.20000000001</v>
      </c>
      <c r="AN193" s="112">
        <f t="shared" si="31"/>
        <v>195862.8</v>
      </c>
      <c r="AO193" s="112">
        <f t="shared" si="24"/>
        <v>6995.1</v>
      </c>
      <c r="AP193" s="192">
        <f t="shared" si="25"/>
        <v>0.44</v>
      </c>
      <c r="AQ193" s="193">
        <f t="shared" si="26"/>
        <v>41690.1</v>
      </c>
      <c r="AR193" s="194">
        <f t="shared" si="27"/>
        <v>-41690.1</v>
      </c>
      <c r="AS193" s="118"/>
      <c r="AT193" s="119"/>
      <c r="AU193" s="119"/>
      <c r="AV193" s="120"/>
      <c r="AW193" s="195"/>
      <c r="AX193" s="112">
        <v>349755000</v>
      </c>
      <c r="AY193" s="162">
        <v>153892200</v>
      </c>
      <c r="AZ193" s="162">
        <v>195862800</v>
      </c>
      <c r="BA193" s="162">
        <v>6995100</v>
      </c>
      <c r="BB193" s="196">
        <f t="shared" si="33"/>
        <v>0.44</v>
      </c>
    </row>
    <row r="194" spans="1:54" s="121" customFormat="1" ht="16.5" customHeight="1">
      <c r="A194" s="104" t="s">
        <v>2143</v>
      </c>
      <c r="B194" s="105" t="s">
        <v>1111</v>
      </c>
      <c r="C194" s="106" t="s">
        <v>1165</v>
      </c>
      <c r="D194" s="106" t="s">
        <v>2415</v>
      </c>
      <c r="E194" s="71" t="s">
        <v>1166</v>
      </c>
      <c r="F194" s="71" t="s">
        <v>139</v>
      </c>
      <c r="G194" s="109" t="s">
        <v>1135</v>
      </c>
      <c r="H194" s="110">
        <v>0</v>
      </c>
      <c r="I194" s="112">
        <v>0</v>
      </c>
      <c r="J194" s="112">
        <v>0</v>
      </c>
      <c r="K194" s="113">
        <f t="shared" si="22"/>
        <v>0</v>
      </c>
      <c r="L194" s="210">
        <v>0</v>
      </c>
      <c r="M194" s="115">
        <v>0</v>
      </c>
      <c r="N194" s="115">
        <v>0</v>
      </c>
      <c r="O194" s="111">
        <v>0</v>
      </c>
      <c r="P194" s="122">
        <v>0.04</v>
      </c>
      <c r="Q194" s="111">
        <v>8428</v>
      </c>
      <c r="R194" s="112">
        <v>0</v>
      </c>
      <c r="S194" s="112">
        <v>0</v>
      </c>
      <c r="T194" s="111">
        <f t="shared" si="23"/>
        <v>337</v>
      </c>
      <c r="U194" s="115">
        <v>0</v>
      </c>
      <c r="V194" s="144">
        <v>0</v>
      </c>
      <c r="W194" s="111">
        <v>101</v>
      </c>
      <c r="X194" s="113">
        <f t="shared" si="28"/>
        <v>438</v>
      </c>
      <c r="Y194" s="110">
        <v>0</v>
      </c>
      <c r="Z194" s="111">
        <v>0</v>
      </c>
      <c r="AA194" s="116">
        <v>0</v>
      </c>
      <c r="AB194" s="111">
        <v>101</v>
      </c>
      <c r="AC194" s="113">
        <f t="shared" si="29"/>
        <v>101</v>
      </c>
      <c r="AD194" s="110">
        <v>0</v>
      </c>
      <c r="AE194" s="111">
        <v>0</v>
      </c>
      <c r="AF194" s="112">
        <v>0</v>
      </c>
      <c r="AG194" s="117">
        <v>0</v>
      </c>
      <c r="AH194" s="111">
        <v>0</v>
      </c>
      <c r="AI194" s="112">
        <v>101</v>
      </c>
      <c r="AJ194" s="112">
        <v>0</v>
      </c>
      <c r="AK194" s="113">
        <f t="shared" si="30"/>
        <v>101</v>
      </c>
      <c r="AL194" s="143">
        <f t="shared" si="31"/>
        <v>68490.75</v>
      </c>
      <c r="AM194" s="112">
        <f t="shared" si="31"/>
        <v>53422.785000000003</v>
      </c>
      <c r="AN194" s="112">
        <f t="shared" si="31"/>
        <v>15067.965</v>
      </c>
      <c r="AO194" s="112">
        <f t="shared" si="24"/>
        <v>1369.8150000000001</v>
      </c>
      <c r="AP194" s="192">
        <f t="shared" si="25"/>
        <v>0.78</v>
      </c>
      <c r="AQ194" s="193">
        <f t="shared" si="26"/>
        <v>1807.8150000000001</v>
      </c>
      <c r="AR194" s="194">
        <f t="shared" si="27"/>
        <v>-1807.8150000000001</v>
      </c>
      <c r="AS194" s="118"/>
      <c r="AT194" s="119"/>
      <c r="AU194" s="119"/>
      <c r="AV194" s="120"/>
      <c r="AW194" s="195"/>
      <c r="AX194" s="112">
        <v>68490750</v>
      </c>
      <c r="AY194" s="162">
        <v>53422785</v>
      </c>
      <c r="AZ194" s="162">
        <v>15067965</v>
      </c>
      <c r="BA194" s="162">
        <v>1369815</v>
      </c>
      <c r="BB194" s="196">
        <f t="shared" si="33"/>
        <v>0.78</v>
      </c>
    </row>
    <row r="195" spans="1:54" s="121" customFormat="1" ht="16.5" customHeight="1">
      <c r="A195" s="104" t="s">
        <v>2143</v>
      </c>
      <c r="B195" s="105" t="s">
        <v>1112</v>
      </c>
      <c r="C195" s="106" t="s">
        <v>1171</v>
      </c>
      <c r="D195" s="106" t="s">
        <v>2415</v>
      </c>
      <c r="E195" s="71" t="s">
        <v>1172</v>
      </c>
      <c r="F195" s="71" t="s">
        <v>78</v>
      </c>
      <c r="G195" s="109" t="s">
        <v>156</v>
      </c>
      <c r="H195" s="110">
        <v>6471</v>
      </c>
      <c r="I195" s="112">
        <v>0</v>
      </c>
      <c r="J195" s="112">
        <v>0</v>
      </c>
      <c r="K195" s="113">
        <f t="shared" si="22"/>
        <v>6471</v>
      </c>
      <c r="L195" s="110">
        <v>5972</v>
      </c>
      <c r="M195" s="111">
        <v>3323</v>
      </c>
      <c r="N195" s="115">
        <v>0</v>
      </c>
      <c r="O195" s="111">
        <v>2157</v>
      </c>
      <c r="P195" s="114">
        <v>0.62</v>
      </c>
      <c r="Q195" s="111">
        <v>8428</v>
      </c>
      <c r="R195" s="112">
        <v>2242</v>
      </c>
      <c r="S195" s="115"/>
      <c r="T195" s="111">
        <f t="shared" si="23"/>
        <v>7467</v>
      </c>
      <c r="U195" s="112">
        <v>420</v>
      </c>
      <c r="V195" s="144"/>
      <c r="W195" s="112"/>
      <c r="X195" s="113">
        <f t="shared" si="28"/>
        <v>19339</v>
      </c>
      <c r="Y195" s="110"/>
      <c r="Z195" s="111"/>
      <c r="AA195" s="116"/>
      <c r="AB195" s="111"/>
      <c r="AC195" s="113">
        <f t="shared" si="29"/>
        <v>0</v>
      </c>
      <c r="AD195" s="110"/>
      <c r="AE195" s="111"/>
      <c r="AF195" s="112"/>
      <c r="AG195" s="117"/>
      <c r="AH195" s="111"/>
      <c r="AI195" s="112"/>
      <c r="AJ195" s="112"/>
      <c r="AK195" s="113">
        <f t="shared" si="30"/>
        <v>0</v>
      </c>
      <c r="AL195" s="143">
        <f t="shared" si="31"/>
        <v>486488.45400000003</v>
      </c>
      <c r="AM195" s="112">
        <f t="shared" si="31"/>
        <v>263367.10399999999</v>
      </c>
      <c r="AN195" s="112">
        <f t="shared" si="31"/>
        <v>223121.35</v>
      </c>
      <c r="AO195" s="112">
        <f t="shared" si="24"/>
        <v>11884.42</v>
      </c>
      <c r="AP195" s="192">
        <f t="shared" si="25"/>
        <v>0.54136352432323087</v>
      </c>
      <c r="AQ195" s="193">
        <f t="shared" si="26"/>
        <v>31223.42</v>
      </c>
      <c r="AR195" s="194">
        <f t="shared" si="27"/>
        <v>-24752.42</v>
      </c>
      <c r="AS195" s="118"/>
      <c r="AT195" s="119"/>
      <c r="AU195" s="119"/>
      <c r="AV195" s="120"/>
      <c r="AW195" s="195"/>
      <c r="AX195" s="112">
        <v>486488454</v>
      </c>
      <c r="AY195" s="162">
        <v>263367104</v>
      </c>
      <c r="AZ195" s="162">
        <v>223121350</v>
      </c>
      <c r="BA195" s="162">
        <v>11884420</v>
      </c>
      <c r="BB195" s="196">
        <f t="shared" si="33"/>
        <v>0.54136352432323087</v>
      </c>
    </row>
    <row r="196" spans="1:54" s="121" customFormat="1" ht="16.5" customHeight="1">
      <c r="A196" s="104" t="s">
        <v>2143</v>
      </c>
      <c r="B196" s="105" t="s">
        <v>1116</v>
      </c>
      <c r="C196" s="106" t="s">
        <v>1178</v>
      </c>
      <c r="D196" s="106" t="s">
        <v>2415</v>
      </c>
      <c r="E196" s="71" t="s">
        <v>1179</v>
      </c>
      <c r="F196" s="71" t="s">
        <v>139</v>
      </c>
      <c r="G196" s="109" t="s">
        <v>1180</v>
      </c>
      <c r="H196" s="110">
        <v>217</v>
      </c>
      <c r="I196" s="112">
        <v>529</v>
      </c>
      <c r="J196" s="112">
        <v>0</v>
      </c>
      <c r="K196" s="113">
        <f t="shared" ref="K196:K256" si="34">SUBTOTAL(9,H196:J196)</f>
        <v>746</v>
      </c>
      <c r="L196" s="210">
        <v>0</v>
      </c>
      <c r="M196" s="115">
        <v>0</v>
      </c>
      <c r="N196" s="115">
        <v>0</v>
      </c>
      <c r="O196" s="115">
        <v>1663</v>
      </c>
      <c r="P196" s="114">
        <v>0.3</v>
      </c>
      <c r="Q196" s="111">
        <v>8428</v>
      </c>
      <c r="R196" s="112">
        <v>0</v>
      </c>
      <c r="S196" s="112">
        <v>0</v>
      </c>
      <c r="T196" s="111">
        <f t="shared" ref="T196:T256" si="35">ROUND(P196*Q196,0)+R196+S196</f>
        <v>2528</v>
      </c>
      <c r="U196" s="115">
        <v>744</v>
      </c>
      <c r="V196" s="144">
        <v>0</v>
      </c>
      <c r="W196" s="111">
        <v>61903</v>
      </c>
      <c r="X196" s="113">
        <f t="shared" si="28"/>
        <v>66838</v>
      </c>
      <c r="Y196" s="110">
        <v>531</v>
      </c>
      <c r="Z196" s="111">
        <v>67</v>
      </c>
      <c r="AA196" s="116">
        <v>0</v>
      </c>
      <c r="AB196" s="111">
        <v>61903</v>
      </c>
      <c r="AC196" s="113">
        <f t="shared" si="29"/>
        <v>62501</v>
      </c>
      <c r="AD196" s="110">
        <v>6490</v>
      </c>
      <c r="AE196" s="111">
        <v>14377</v>
      </c>
      <c r="AF196" s="112">
        <v>1180</v>
      </c>
      <c r="AG196" s="117">
        <v>575</v>
      </c>
      <c r="AH196" s="111">
        <v>30862</v>
      </c>
      <c r="AI196" s="112">
        <v>5602</v>
      </c>
      <c r="AJ196" s="112">
        <v>1471</v>
      </c>
      <c r="AK196" s="113">
        <f t="shared" si="30"/>
        <v>60557</v>
      </c>
      <c r="AL196" s="143">
        <f t="shared" si="31"/>
        <v>1275094.2819999999</v>
      </c>
      <c r="AM196" s="112">
        <f t="shared" si="31"/>
        <v>633629.99</v>
      </c>
      <c r="AN196" s="112">
        <f t="shared" si="31"/>
        <v>641464.29200000002</v>
      </c>
      <c r="AO196" s="112">
        <f t="shared" si="31"/>
        <v>28494.401000000002</v>
      </c>
      <c r="AP196" s="192">
        <f t="shared" ref="AP196:AP256" si="36">BB196</f>
        <v>0.49692795187360111</v>
      </c>
      <c r="AQ196" s="193">
        <f t="shared" ref="AQ196:AQ256" si="37">X196+AO196</f>
        <v>95332.400999999998</v>
      </c>
      <c r="AR196" s="194">
        <f t="shared" ref="AR196:AR256" si="38">K196-AQ196</f>
        <v>-94586.400999999998</v>
      </c>
      <c r="AS196" s="118"/>
      <c r="AT196" s="119"/>
      <c r="AU196" s="119"/>
      <c r="AV196" s="120"/>
      <c r="AW196" s="195"/>
      <c r="AX196" s="112">
        <v>1275094282</v>
      </c>
      <c r="AY196" s="162">
        <v>633629990</v>
      </c>
      <c r="AZ196" s="162">
        <v>641464292</v>
      </c>
      <c r="BA196" s="162">
        <v>28494401</v>
      </c>
      <c r="BB196" s="196">
        <f t="shared" si="33"/>
        <v>0.49692795187360111</v>
      </c>
    </row>
    <row r="197" spans="1:54" s="121" customFormat="1" ht="16.5" customHeight="1">
      <c r="A197" s="104" t="s">
        <v>2143</v>
      </c>
      <c r="B197" s="105" t="s">
        <v>1119</v>
      </c>
      <c r="C197" s="106" t="s">
        <v>1190</v>
      </c>
      <c r="D197" s="106" t="s">
        <v>2415</v>
      </c>
      <c r="E197" s="71" t="s">
        <v>1191</v>
      </c>
      <c r="F197" s="71" t="s">
        <v>139</v>
      </c>
      <c r="G197" s="109" t="s">
        <v>1180</v>
      </c>
      <c r="H197" s="110">
        <v>0</v>
      </c>
      <c r="I197" s="111">
        <v>87310</v>
      </c>
      <c r="J197" s="112"/>
      <c r="K197" s="113">
        <f t="shared" si="34"/>
        <v>87310</v>
      </c>
      <c r="L197" s="210">
        <v>0</v>
      </c>
      <c r="M197" s="115">
        <v>0</v>
      </c>
      <c r="N197" s="115">
        <v>0</v>
      </c>
      <c r="O197" s="111">
        <v>0</v>
      </c>
      <c r="P197" s="114">
        <v>0.2</v>
      </c>
      <c r="Q197" s="111">
        <v>8428</v>
      </c>
      <c r="R197" s="112">
        <v>0</v>
      </c>
      <c r="S197" s="112">
        <v>0</v>
      </c>
      <c r="T197" s="111">
        <f t="shared" si="35"/>
        <v>1686</v>
      </c>
      <c r="U197" s="112">
        <v>10898</v>
      </c>
      <c r="V197" s="144">
        <v>0</v>
      </c>
      <c r="W197" s="111">
        <v>159204</v>
      </c>
      <c r="X197" s="113">
        <f t="shared" ref="X197:X256" si="39">SUBTOTAL(9,L197:O197,T197:W197)</f>
        <v>171788</v>
      </c>
      <c r="Y197" s="110">
        <v>5051</v>
      </c>
      <c r="Z197" s="111">
        <v>0</v>
      </c>
      <c r="AA197" s="116">
        <v>7</v>
      </c>
      <c r="AB197" s="111">
        <v>159204</v>
      </c>
      <c r="AC197" s="113">
        <f t="shared" ref="AC197:AC256" si="40">SUBTOTAL(9,Y197:AB197)</f>
        <v>164262</v>
      </c>
      <c r="AD197" s="110">
        <v>3681</v>
      </c>
      <c r="AE197" s="111">
        <v>11569</v>
      </c>
      <c r="AF197" s="112">
        <v>0</v>
      </c>
      <c r="AG197" s="117">
        <v>545</v>
      </c>
      <c r="AH197" s="111">
        <v>135786</v>
      </c>
      <c r="AI197" s="112">
        <v>8814</v>
      </c>
      <c r="AJ197" s="112">
        <v>1814</v>
      </c>
      <c r="AK197" s="113">
        <f t="shared" ref="AK197:AK256" si="41">SUBTOTAL(9,AD197:AJ197)</f>
        <v>162209</v>
      </c>
      <c r="AL197" s="143">
        <f t="shared" ref="AL197:AO256" si="42">AX197/1000</f>
        <v>411880.5</v>
      </c>
      <c r="AM197" s="112">
        <f t="shared" si="42"/>
        <v>175656.36</v>
      </c>
      <c r="AN197" s="112">
        <f t="shared" si="42"/>
        <v>236224.14</v>
      </c>
      <c r="AO197" s="112">
        <f t="shared" si="42"/>
        <v>8237.61</v>
      </c>
      <c r="AP197" s="192">
        <f t="shared" si="36"/>
        <v>0.4264740865372359</v>
      </c>
      <c r="AQ197" s="193">
        <f t="shared" si="37"/>
        <v>180025.61</v>
      </c>
      <c r="AR197" s="194">
        <f t="shared" si="38"/>
        <v>-92715.609999999986</v>
      </c>
      <c r="AS197" s="118"/>
      <c r="AT197" s="119"/>
      <c r="AU197" s="119"/>
      <c r="AV197" s="120"/>
      <c r="AW197" s="195"/>
      <c r="AX197" s="112">
        <v>411880500</v>
      </c>
      <c r="AY197" s="162">
        <v>175656360</v>
      </c>
      <c r="AZ197" s="162">
        <v>236224140</v>
      </c>
      <c r="BA197" s="162">
        <v>8237610</v>
      </c>
      <c r="BB197" s="196">
        <f t="shared" si="33"/>
        <v>0.4264740865372359</v>
      </c>
    </row>
    <row r="198" spans="1:54" s="121" customFormat="1" ht="16.5" customHeight="1">
      <c r="A198" s="104" t="s">
        <v>2143</v>
      </c>
      <c r="B198" s="105" t="s">
        <v>1120</v>
      </c>
      <c r="C198" s="106" t="s">
        <v>1199</v>
      </c>
      <c r="D198" s="106" t="s">
        <v>2415</v>
      </c>
      <c r="E198" s="71" t="s">
        <v>1200</v>
      </c>
      <c r="F198" s="71" t="s">
        <v>170</v>
      </c>
      <c r="G198" s="109" t="s">
        <v>2132</v>
      </c>
      <c r="H198" s="110">
        <v>132097</v>
      </c>
      <c r="I198" s="111">
        <v>22</v>
      </c>
      <c r="J198" s="112">
        <v>1228</v>
      </c>
      <c r="K198" s="113">
        <f t="shared" si="34"/>
        <v>133347</v>
      </c>
      <c r="L198" s="110">
        <v>3642</v>
      </c>
      <c r="M198" s="111">
        <v>8196</v>
      </c>
      <c r="N198" s="112">
        <v>0</v>
      </c>
      <c r="O198" s="111">
        <v>0</v>
      </c>
      <c r="P198" s="114">
        <v>26</v>
      </c>
      <c r="Q198" s="111">
        <v>8428</v>
      </c>
      <c r="R198" s="115">
        <v>124437</v>
      </c>
      <c r="S198" s="115">
        <v>0</v>
      </c>
      <c r="T198" s="111">
        <f t="shared" si="35"/>
        <v>343565</v>
      </c>
      <c r="U198" s="112">
        <v>33557</v>
      </c>
      <c r="V198" s="116">
        <v>0</v>
      </c>
      <c r="W198" s="111"/>
      <c r="X198" s="113">
        <f t="shared" si="39"/>
        <v>388960</v>
      </c>
      <c r="Y198" s="110"/>
      <c r="Z198" s="111"/>
      <c r="AA198" s="116"/>
      <c r="AB198" s="111"/>
      <c r="AC198" s="113">
        <f t="shared" si="40"/>
        <v>0</v>
      </c>
      <c r="AD198" s="110"/>
      <c r="AE198" s="111"/>
      <c r="AF198" s="112"/>
      <c r="AG198" s="117"/>
      <c r="AH198" s="111"/>
      <c r="AI198" s="112"/>
      <c r="AJ198" s="112"/>
      <c r="AK198" s="113">
        <f t="shared" si="41"/>
        <v>0</v>
      </c>
      <c r="AL198" s="143">
        <f t="shared" si="42"/>
        <v>1002394.056</v>
      </c>
      <c r="AM198" s="112">
        <f t="shared" si="42"/>
        <v>191236.24400000001</v>
      </c>
      <c r="AN198" s="112">
        <f t="shared" si="42"/>
        <v>811157.81200000003</v>
      </c>
      <c r="AO198" s="112">
        <f t="shared" si="42"/>
        <v>35249.169000000002</v>
      </c>
      <c r="AP198" s="192">
        <f t="shared" si="36"/>
        <v>0.19077950717616785</v>
      </c>
      <c r="AQ198" s="193">
        <f t="shared" si="37"/>
        <v>424209.16899999999</v>
      </c>
      <c r="AR198" s="194">
        <f t="shared" si="38"/>
        <v>-290862.16899999999</v>
      </c>
      <c r="AS198" s="118"/>
      <c r="AT198" s="119"/>
      <c r="AU198" s="119"/>
      <c r="AV198" s="120"/>
      <c r="AW198" s="195"/>
      <c r="AX198" s="112">
        <v>1002394056</v>
      </c>
      <c r="AY198" s="162">
        <v>191236244</v>
      </c>
      <c r="AZ198" s="162">
        <v>811157812</v>
      </c>
      <c r="BA198" s="162">
        <v>35249169</v>
      </c>
      <c r="BB198" s="196">
        <f t="shared" si="33"/>
        <v>0.19077950717616785</v>
      </c>
    </row>
    <row r="199" spans="1:54" s="121" customFormat="1" ht="16.5" customHeight="1">
      <c r="A199" s="104" t="s">
        <v>2143</v>
      </c>
      <c r="B199" s="105" t="s">
        <v>1124</v>
      </c>
      <c r="C199" s="106" t="s">
        <v>1205</v>
      </c>
      <c r="D199" s="106" t="s">
        <v>2415</v>
      </c>
      <c r="E199" s="71" t="s">
        <v>1206</v>
      </c>
      <c r="F199" s="71" t="s">
        <v>708</v>
      </c>
      <c r="G199" s="109" t="s">
        <v>1207</v>
      </c>
      <c r="H199" s="110">
        <v>44524.808378150323</v>
      </c>
      <c r="I199" s="111"/>
      <c r="J199" s="112"/>
      <c r="K199" s="113">
        <f t="shared" si="34"/>
        <v>44524.808378150323</v>
      </c>
      <c r="L199" s="110">
        <v>26</v>
      </c>
      <c r="M199" s="111"/>
      <c r="N199" s="112"/>
      <c r="O199" s="111">
        <v>9312</v>
      </c>
      <c r="P199" s="154">
        <v>0.45317919075144508</v>
      </c>
      <c r="Q199" s="111">
        <v>8428</v>
      </c>
      <c r="R199" s="112">
        <v>0</v>
      </c>
      <c r="S199" s="112">
        <v>273.39653179190748</v>
      </c>
      <c r="T199" s="111">
        <f t="shared" si="35"/>
        <v>4092.3965317919074</v>
      </c>
      <c r="U199" s="112">
        <v>251.25549132947975</v>
      </c>
      <c r="V199" s="116"/>
      <c r="W199" s="111">
        <v>9760.6466753585391</v>
      </c>
      <c r="X199" s="113">
        <f t="shared" si="39"/>
        <v>23442.298698479924</v>
      </c>
      <c r="Y199" s="110"/>
      <c r="Z199" s="111"/>
      <c r="AA199" s="116"/>
      <c r="AB199" s="111">
        <v>9265.3663366336641</v>
      </c>
      <c r="AC199" s="113">
        <f t="shared" si="40"/>
        <v>9265.3663366336641</v>
      </c>
      <c r="AD199" s="110">
        <v>15.697522816166883</v>
      </c>
      <c r="AE199" s="111">
        <v>1457.1681877444589</v>
      </c>
      <c r="AF199" s="112">
        <v>139.89048239895698</v>
      </c>
      <c r="AG199" s="117">
        <v>4726.5606258148628</v>
      </c>
      <c r="AH199" s="111">
        <v>2599.4367666232069</v>
      </c>
      <c r="AI199" s="112">
        <v>516.55801825293349</v>
      </c>
      <c r="AJ199" s="112">
        <v>251.96349413298563</v>
      </c>
      <c r="AK199" s="113">
        <f t="shared" si="41"/>
        <v>9707.2750977835713</v>
      </c>
      <c r="AL199" s="143">
        <f t="shared" si="42"/>
        <v>987403.65599999996</v>
      </c>
      <c r="AM199" s="112">
        <f t="shared" si="42"/>
        <v>176245.845</v>
      </c>
      <c r="AN199" s="112">
        <f t="shared" si="42"/>
        <v>811157.81099999999</v>
      </c>
      <c r="AO199" s="112">
        <f t="shared" si="42"/>
        <v>35249.169000000002</v>
      </c>
      <c r="AP199" s="192">
        <f t="shared" si="36"/>
        <v>0.17849421959199227</v>
      </c>
      <c r="AQ199" s="193">
        <f t="shared" si="37"/>
        <v>58691.46769847993</v>
      </c>
      <c r="AR199" s="194">
        <f t="shared" si="38"/>
        <v>-14166.659320329607</v>
      </c>
      <c r="AS199" s="118"/>
      <c r="AT199" s="119"/>
      <c r="AU199" s="119"/>
      <c r="AV199" s="120"/>
      <c r="AW199" s="195"/>
      <c r="AX199" s="112">
        <v>987403656</v>
      </c>
      <c r="AY199" s="162">
        <v>176245845</v>
      </c>
      <c r="AZ199" s="162">
        <v>811157811</v>
      </c>
      <c r="BA199" s="162">
        <v>35249169</v>
      </c>
      <c r="BB199" s="196">
        <f t="shared" si="33"/>
        <v>0.17849421959199227</v>
      </c>
    </row>
    <row r="200" spans="1:54" s="121" customFormat="1" ht="16.5" customHeight="1">
      <c r="A200" s="104" t="s">
        <v>2143</v>
      </c>
      <c r="B200" s="105" t="s">
        <v>1128</v>
      </c>
      <c r="C200" s="106" t="s">
        <v>1217</v>
      </c>
      <c r="D200" s="106" t="s">
        <v>2415</v>
      </c>
      <c r="E200" s="71" t="s">
        <v>1218</v>
      </c>
      <c r="F200" s="71" t="s">
        <v>708</v>
      </c>
      <c r="G200" s="109" t="s">
        <v>1207</v>
      </c>
      <c r="H200" s="110">
        <v>14847.401474290238</v>
      </c>
      <c r="I200" s="111"/>
      <c r="J200" s="112"/>
      <c r="K200" s="113">
        <f t="shared" si="34"/>
        <v>14847.401474290238</v>
      </c>
      <c r="L200" s="110">
        <v>0</v>
      </c>
      <c r="M200" s="111"/>
      <c r="N200" s="112"/>
      <c r="O200" s="111">
        <v>851</v>
      </c>
      <c r="P200" s="154">
        <v>0.15780346820809249</v>
      </c>
      <c r="Q200" s="111">
        <v>8428</v>
      </c>
      <c r="R200" s="112">
        <v>0</v>
      </c>
      <c r="S200" s="112">
        <v>95.200578034682081</v>
      </c>
      <c r="T200" s="111">
        <f t="shared" si="35"/>
        <v>1425.2005780346822</v>
      </c>
      <c r="U200" s="112">
        <v>87.490751445086701</v>
      </c>
      <c r="V200" s="116"/>
      <c r="W200" s="111">
        <v>3398.7966101694919</v>
      </c>
      <c r="X200" s="113">
        <f t="shared" si="39"/>
        <v>5762.4879396492606</v>
      </c>
      <c r="Y200" s="110"/>
      <c r="Z200" s="111"/>
      <c r="AA200" s="116"/>
      <c r="AB200" s="111">
        <v>3226.3329207920792</v>
      </c>
      <c r="AC200" s="113">
        <f t="shared" si="40"/>
        <v>3226.3329207920792</v>
      </c>
      <c r="AD200" s="110">
        <v>5.4661016949152543</v>
      </c>
      <c r="AE200" s="111">
        <v>507.40677966101697</v>
      </c>
      <c r="AF200" s="112">
        <v>48.711864406779661</v>
      </c>
      <c r="AG200" s="117">
        <v>1645.85593220339</v>
      </c>
      <c r="AH200" s="111">
        <v>905.16101694915255</v>
      </c>
      <c r="AI200" s="112">
        <v>179.87288135593221</v>
      </c>
      <c r="AJ200" s="112">
        <v>87.737288135593232</v>
      </c>
      <c r="AK200" s="113">
        <f t="shared" si="41"/>
        <v>3380.21186440678</v>
      </c>
      <c r="AL200" s="143">
        <f t="shared" si="42"/>
        <v>1937809.5</v>
      </c>
      <c r="AM200" s="112">
        <f t="shared" si="42"/>
        <v>971018.36399999994</v>
      </c>
      <c r="AN200" s="112">
        <f t="shared" si="42"/>
        <v>966791.13600000006</v>
      </c>
      <c r="AO200" s="112">
        <f t="shared" si="42"/>
        <v>42631.807000000001</v>
      </c>
      <c r="AP200" s="192">
        <f t="shared" si="36"/>
        <v>0.50109072331413385</v>
      </c>
      <c r="AQ200" s="193">
        <f t="shared" si="37"/>
        <v>48394.294939649262</v>
      </c>
      <c r="AR200" s="194">
        <f t="shared" si="38"/>
        <v>-33546.893465359026</v>
      </c>
      <c r="AS200" s="118"/>
      <c r="AT200" s="119"/>
      <c r="AU200" s="119"/>
      <c r="AV200" s="120"/>
      <c r="AW200" s="195"/>
      <c r="AX200" s="112">
        <v>1937809500</v>
      </c>
      <c r="AY200" s="162">
        <v>971018364</v>
      </c>
      <c r="AZ200" s="162">
        <v>966791136</v>
      </c>
      <c r="BA200" s="162">
        <v>42631807</v>
      </c>
      <c r="BB200" s="196">
        <f t="shared" si="33"/>
        <v>0.50109072331413385</v>
      </c>
    </row>
    <row r="201" spans="1:54" s="121" customFormat="1" ht="16.5" customHeight="1">
      <c r="A201" s="104" t="s">
        <v>2143</v>
      </c>
      <c r="B201" s="105" t="s">
        <v>1132</v>
      </c>
      <c r="C201" s="106" t="s">
        <v>1222</v>
      </c>
      <c r="D201" s="106" t="s">
        <v>2415</v>
      </c>
      <c r="E201" s="71" t="s">
        <v>1223</v>
      </c>
      <c r="F201" s="71" t="s">
        <v>708</v>
      </c>
      <c r="G201" s="109" t="s">
        <v>1207</v>
      </c>
      <c r="H201" s="110">
        <v>41362.850776496489</v>
      </c>
      <c r="I201" s="111"/>
      <c r="J201" s="112"/>
      <c r="K201" s="113">
        <f t="shared" si="34"/>
        <v>41362.850776496489</v>
      </c>
      <c r="L201" s="110">
        <v>201</v>
      </c>
      <c r="M201" s="111"/>
      <c r="N201" s="112"/>
      <c r="O201" s="111">
        <v>10604</v>
      </c>
      <c r="P201" s="154">
        <v>0.4289017341040462</v>
      </c>
      <c r="Q201" s="111">
        <v>8428</v>
      </c>
      <c r="R201" s="112">
        <v>0</v>
      </c>
      <c r="S201" s="112">
        <v>258.750289017341</v>
      </c>
      <c r="T201" s="111">
        <f t="shared" si="35"/>
        <v>3873.7502890173409</v>
      </c>
      <c r="U201" s="112">
        <v>237.79537572254335</v>
      </c>
      <c r="V201" s="116"/>
      <c r="W201" s="111">
        <v>9237.7548891786173</v>
      </c>
      <c r="X201" s="113">
        <f t="shared" si="39"/>
        <v>24154.300553918503</v>
      </c>
      <c r="Y201" s="110"/>
      <c r="Z201" s="111"/>
      <c r="AA201" s="116"/>
      <c r="AB201" s="111">
        <v>8769.0074257425749</v>
      </c>
      <c r="AC201" s="113">
        <f t="shared" si="40"/>
        <v>8769.0074257425749</v>
      </c>
      <c r="AD201" s="110">
        <v>14.856584093872229</v>
      </c>
      <c r="AE201" s="111">
        <v>1379.1056062581486</v>
      </c>
      <c r="AF201" s="112">
        <v>132.39634941329857</v>
      </c>
      <c r="AG201" s="117">
        <v>4473.352020860495</v>
      </c>
      <c r="AH201" s="111">
        <v>2460.1812255541067</v>
      </c>
      <c r="AI201" s="112">
        <v>488.88526727509776</v>
      </c>
      <c r="AJ201" s="112">
        <v>238.46544980443284</v>
      </c>
      <c r="AK201" s="113">
        <f t="shared" si="41"/>
        <v>9187.2425032594529</v>
      </c>
      <c r="AL201" s="143">
        <f t="shared" si="42"/>
        <v>618571.4</v>
      </c>
      <c r="AM201" s="112">
        <f t="shared" si="42"/>
        <v>298645.84600000002</v>
      </c>
      <c r="AN201" s="112">
        <f t="shared" si="42"/>
        <v>319925.554</v>
      </c>
      <c r="AO201" s="112">
        <f t="shared" si="42"/>
        <v>13608.57</v>
      </c>
      <c r="AP201" s="192">
        <f t="shared" si="36"/>
        <v>0.48279931144569566</v>
      </c>
      <c r="AQ201" s="193">
        <f t="shared" si="37"/>
        <v>37762.870553918503</v>
      </c>
      <c r="AR201" s="194">
        <f t="shared" si="38"/>
        <v>3599.9802225779858</v>
      </c>
      <c r="AS201" s="118"/>
      <c r="AT201" s="119"/>
      <c r="AU201" s="119"/>
      <c r="AV201" s="120"/>
      <c r="AW201" s="195"/>
      <c r="AX201" s="112">
        <v>618571400</v>
      </c>
      <c r="AY201" s="162">
        <v>298645846</v>
      </c>
      <c r="AZ201" s="162">
        <v>319925554</v>
      </c>
      <c r="BA201" s="162">
        <v>13608570</v>
      </c>
      <c r="BB201" s="196">
        <f t="shared" si="33"/>
        <v>0.48279931144569566</v>
      </c>
    </row>
    <row r="202" spans="1:54" s="121" customFormat="1" ht="16.5" customHeight="1">
      <c r="A202" s="104" t="s">
        <v>2143</v>
      </c>
      <c r="B202" s="105" t="s">
        <v>1145</v>
      </c>
      <c r="C202" s="106" t="s">
        <v>1226</v>
      </c>
      <c r="D202" s="106" t="s">
        <v>2415</v>
      </c>
      <c r="E202" s="71" t="s">
        <v>1227</v>
      </c>
      <c r="F202" s="71" t="s">
        <v>708</v>
      </c>
      <c r="G202" s="109" t="s">
        <v>1207</v>
      </c>
      <c r="H202" s="110">
        <v>7121.7141325624216</v>
      </c>
      <c r="I202" s="111"/>
      <c r="J202" s="112"/>
      <c r="K202" s="113">
        <f t="shared" si="34"/>
        <v>7121.7141325624216</v>
      </c>
      <c r="L202" s="110">
        <v>12</v>
      </c>
      <c r="M202" s="111"/>
      <c r="N202" s="112"/>
      <c r="O202" s="111">
        <v>282</v>
      </c>
      <c r="P202" s="154">
        <v>0.11734104046242774</v>
      </c>
      <c r="Q202" s="111">
        <v>8428</v>
      </c>
      <c r="R202" s="112">
        <v>0</v>
      </c>
      <c r="S202" s="112">
        <v>70.79017341040462</v>
      </c>
      <c r="T202" s="111">
        <f t="shared" si="35"/>
        <v>1059.7901734104046</v>
      </c>
      <c r="U202" s="112">
        <v>65.057225433526</v>
      </c>
      <c r="V202" s="116"/>
      <c r="W202" s="111">
        <v>2527.3102998696222</v>
      </c>
      <c r="X202" s="113">
        <f t="shared" si="39"/>
        <v>3946.1576987135527</v>
      </c>
      <c r="Y202" s="110"/>
      <c r="Z202" s="111"/>
      <c r="AA202" s="116"/>
      <c r="AB202" s="111">
        <v>2399.0680693069303</v>
      </c>
      <c r="AC202" s="113">
        <f t="shared" si="40"/>
        <v>2399.0680693069303</v>
      </c>
      <c r="AD202" s="110">
        <v>4.0645371577574974</v>
      </c>
      <c r="AE202" s="111">
        <v>377.30247718383316</v>
      </c>
      <c r="AF202" s="112">
        <v>36.221642764015648</v>
      </c>
      <c r="AG202" s="117">
        <v>1223.8415906127771</v>
      </c>
      <c r="AH202" s="111">
        <v>673.06844850065193</v>
      </c>
      <c r="AI202" s="112">
        <v>133.751629726206</v>
      </c>
      <c r="AJ202" s="112">
        <v>65.240547588005214</v>
      </c>
      <c r="AK202" s="113">
        <f t="shared" si="41"/>
        <v>2513.490873533246</v>
      </c>
      <c r="AL202" s="143">
        <f t="shared" si="42"/>
        <v>1477623.04</v>
      </c>
      <c r="AM202" s="112">
        <f t="shared" si="42"/>
        <v>1246538.047</v>
      </c>
      <c r="AN202" s="112">
        <f t="shared" si="42"/>
        <v>231084.99299999999</v>
      </c>
      <c r="AO202" s="112">
        <f t="shared" si="42"/>
        <v>18137.338</v>
      </c>
      <c r="AP202" s="192">
        <f t="shared" si="36"/>
        <v>0.8436103209381467</v>
      </c>
      <c r="AQ202" s="193">
        <f t="shared" si="37"/>
        <v>22083.495698713552</v>
      </c>
      <c r="AR202" s="194">
        <f t="shared" si="38"/>
        <v>-14961.78156615113</v>
      </c>
      <c r="AS202" s="118"/>
      <c r="AT202" s="119"/>
      <c r="AU202" s="119"/>
      <c r="AV202" s="120"/>
      <c r="AW202" s="195"/>
      <c r="AX202" s="112">
        <v>1477623040</v>
      </c>
      <c r="AY202" s="162">
        <v>1246538047</v>
      </c>
      <c r="AZ202" s="162">
        <v>231084993</v>
      </c>
      <c r="BA202" s="162">
        <v>18137338</v>
      </c>
      <c r="BB202" s="196">
        <f t="shared" si="33"/>
        <v>0.8436103209381467</v>
      </c>
    </row>
    <row r="203" spans="1:54" s="121" customFormat="1" ht="16.5" customHeight="1">
      <c r="A203" s="104" t="s">
        <v>2143</v>
      </c>
      <c r="B203" s="105" t="s">
        <v>1155</v>
      </c>
      <c r="C203" s="106" t="s">
        <v>1229</v>
      </c>
      <c r="D203" s="106" t="s">
        <v>2415</v>
      </c>
      <c r="E203" s="71" t="s">
        <v>1230</v>
      </c>
      <c r="F203" s="71" t="s">
        <v>708</v>
      </c>
      <c r="G203" s="109" t="s">
        <v>1207</v>
      </c>
      <c r="H203" s="110">
        <v>3544.8904132687685</v>
      </c>
      <c r="I203" s="111"/>
      <c r="J203" s="112"/>
      <c r="K203" s="113">
        <f t="shared" si="34"/>
        <v>3544.8904132687685</v>
      </c>
      <c r="L203" s="110">
        <v>9</v>
      </c>
      <c r="M203" s="111"/>
      <c r="N203" s="112"/>
      <c r="O203" s="111">
        <v>348</v>
      </c>
      <c r="P203" s="154">
        <v>7.6878612716763009E-2</v>
      </c>
      <c r="Q203" s="111">
        <v>8428</v>
      </c>
      <c r="R203" s="112">
        <v>0</v>
      </c>
      <c r="S203" s="112">
        <v>46.379768786127165</v>
      </c>
      <c r="T203" s="111">
        <f t="shared" si="35"/>
        <v>694.37976878612722</v>
      </c>
      <c r="U203" s="112">
        <v>42.62369942196532</v>
      </c>
      <c r="V203" s="116"/>
      <c r="W203" s="111">
        <v>1655.8239895697523</v>
      </c>
      <c r="X203" s="113">
        <f t="shared" si="39"/>
        <v>2749.8274577778448</v>
      </c>
      <c r="Y203" s="110"/>
      <c r="Z203" s="111"/>
      <c r="AA203" s="116"/>
      <c r="AB203" s="111">
        <v>1571.8032178217823</v>
      </c>
      <c r="AC203" s="113">
        <f t="shared" si="40"/>
        <v>1571.8032178217823</v>
      </c>
      <c r="AD203" s="110">
        <v>2.662972620599739</v>
      </c>
      <c r="AE203" s="111">
        <v>247.19817470664927</v>
      </c>
      <c r="AF203" s="112">
        <v>23.731421121251628</v>
      </c>
      <c r="AG203" s="117">
        <v>801.82724902216421</v>
      </c>
      <c r="AH203" s="111">
        <v>440.97588005215124</v>
      </c>
      <c r="AI203" s="112">
        <v>87.630378096479788</v>
      </c>
      <c r="AJ203" s="112">
        <v>42.743807040417209</v>
      </c>
      <c r="AK203" s="113">
        <f t="shared" si="41"/>
        <v>1646.7698826597129</v>
      </c>
      <c r="AL203" s="143">
        <f t="shared" si="42"/>
        <v>429539.52799999999</v>
      </c>
      <c r="AM203" s="112">
        <f t="shared" si="42"/>
        <v>403704.05200000003</v>
      </c>
      <c r="AN203" s="112">
        <f t="shared" si="42"/>
        <v>25835.475999999999</v>
      </c>
      <c r="AO203" s="112">
        <f t="shared" si="42"/>
        <v>760.17899999999997</v>
      </c>
      <c r="AP203" s="192">
        <f t="shared" si="36"/>
        <v>0.93985308844498239</v>
      </c>
      <c r="AQ203" s="193">
        <f t="shared" si="37"/>
        <v>3510.0064577778448</v>
      </c>
      <c r="AR203" s="194">
        <f t="shared" si="38"/>
        <v>34.883955490923654</v>
      </c>
      <c r="AS203" s="118"/>
      <c r="AT203" s="119"/>
      <c r="AU203" s="119"/>
      <c r="AV203" s="120"/>
      <c r="AW203" s="195"/>
      <c r="AX203" s="112">
        <v>429539528</v>
      </c>
      <c r="AY203" s="162">
        <v>403704052</v>
      </c>
      <c r="AZ203" s="162">
        <v>25835476</v>
      </c>
      <c r="BA203" s="162">
        <v>760179</v>
      </c>
      <c r="BB203" s="196">
        <f t="shared" si="33"/>
        <v>0.93985308844498239</v>
      </c>
    </row>
    <row r="204" spans="1:54" s="121" customFormat="1" ht="16.5" customHeight="1">
      <c r="A204" s="104" t="s">
        <v>2143</v>
      </c>
      <c r="B204" s="105" t="s">
        <v>1164</v>
      </c>
      <c r="C204" s="106" t="s">
        <v>1232</v>
      </c>
      <c r="D204" s="106" t="s">
        <v>2415</v>
      </c>
      <c r="E204" s="71" t="s">
        <v>1233</v>
      </c>
      <c r="F204" s="71" t="s">
        <v>708</v>
      </c>
      <c r="G204" s="109" t="s">
        <v>1207</v>
      </c>
      <c r="H204" s="110">
        <v>7418.1155782004171</v>
      </c>
      <c r="I204" s="111"/>
      <c r="J204" s="112"/>
      <c r="K204" s="113">
        <f t="shared" si="34"/>
        <v>7418.1155782004171</v>
      </c>
      <c r="L204" s="110">
        <v>37</v>
      </c>
      <c r="M204" s="111"/>
      <c r="N204" s="112"/>
      <c r="O204" s="111">
        <v>976</v>
      </c>
      <c r="P204" s="154">
        <v>0.21040462427745665</v>
      </c>
      <c r="Q204" s="111">
        <v>8428</v>
      </c>
      <c r="R204" s="112">
        <v>0</v>
      </c>
      <c r="S204" s="112">
        <v>126.93410404624277</v>
      </c>
      <c r="T204" s="111">
        <f t="shared" si="35"/>
        <v>1899.9341040462427</v>
      </c>
      <c r="U204" s="112">
        <v>116.6543352601156</v>
      </c>
      <c r="V204" s="116"/>
      <c r="W204" s="111">
        <v>4531.7288135593217</v>
      </c>
      <c r="X204" s="113">
        <f t="shared" si="39"/>
        <v>7561.3172528656796</v>
      </c>
      <c r="Y204" s="110"/>
      <c r="Z204" s="111"/>
      <c r="AA204" s="116"/>
      <c r="AB204" s="111">
        <v>4301.7772277227723</v>
      </c>
      <c r="AC204" s="113">
        <f t="shared" si="40"/>
        <v>4301.7772277227723</v>
      </c>
      <c r="AD204" s="110">
        <v>7.2881355932203391</v>
      </c>
      <c r="AE204" s="111">
        <v>676.54237288135596</v>
      </c>
      <c r="AF204" s="112">
        <v>64.949152542372886</v>
      </c>
      <c r="AG204" s="117">
        <v>2194.4745762711864</v>
      </c>
      <c r="AH204" s="111">
        <v>1206.8813559322034</v>
      </c>
      <c r="AI204" s="112">
        <v>239.83050847457628</v>
      </c>
      <c r="AJ204" s="112">
        <v>116.98305084745763</v>
      </c>
      <c r="AK204" s="113">
        <f t="shared" si="41"/>
        <v>4506.9491525423728</v>
      </c>
      <c r="AL204" s="143">
        <f t="shared" si="42"/>
        <v>267523.40000000002</v>
      </c>
      <c r="AM204" s="112">
        <f t="shared" si="42"/>
        <v>245896.27600000001</v>
      </c>
      <c r="AN204" s="112">
        <f t="shared" si="42"/>
        <v>21627.124</v>
      </c>
      <c r="AO204" s="112">
        <f t="shared" si="42"/>
        <v>557.97699999999998</v>
      </c>
      <c r="AP204" s="192">
        <f t="shared" si="36"/>
        <v>0.91915801010304143</v>
      </c>
      <c r="AQ204" s="193">
        <f t="shared" si="37"/>
        <v>8119.2942528656795</v>
      </c>
      <c r="AR204" s="194">
        <f t="shared" si="38"/>
        <v>-701.17867466526241</v>
      </c>
      <c r="AS204" s="118"/>
      <c r="AT204" s="119"/>
      <c r="AU204" s="119"/>
      <c r="AV204" s="120"/>
      <c r="AW204" s="195"/>
      <c r="AX204" s="112">
        <v>267523400</v>
      </c>
      <c r="AY204" s="162">
        <v>245896276</v>
      </c>
      <c r="AZ204" s="162">
        <v>21627124</v>
      </c>
      <c r="BA204" s="162">
        <v>557977</v>
      </c>
      <c r="BB204" s="196">
        <f t="shared" si="33"/>
        <v>0.91915801010304143</v>
      </c>
    </row>
    <row r="205" spans="1:54" s="121" customFormat="1" ht="16.5" customHeight="1">
      <c r="A205" s="104" t="s">
        <v>2143</v>
      </c>
      <c r="B205" s="105" t="s">
        <v>1170</v>
      </c>
      <c r="C205" s="106" t="s">
        <v>1236</v>
      </c>
      <c r="D205" s="106" t="s">
        <v>2415</v>
      </c>
      <c r="E205" s="71" t="s">
        <v>1237</v>
      </c>
      <c r="F205" s="71" t="s">
        <v>708</v>
      </c>
      <c r="G205" s="109" t="s">
        <v>1207</v>
      </c>
      <c r="H205" s="110">
        <v>38043.617143869313</v>
      </c>
      <c r="I205" s="111"/>
      <c r="J205" s="112"/>
      <c r="K205" s="113">
        <f t="shared" si="34"/>
        <v>38043.617143869313</v>
      </c>
      <c r="L205" s="110">
        <v>175</v>
      </c>
      <c r="M205" s="111"/>
      <c r="N205" s="112"/>
      <c r="O205" s="111">
        <v>1466</v>
      </c>
      <c r="P205" s="154">
        <v>0.86589595375722539</v>
      </c>
      <c r="Q205" s="111">
        <v>8428</v>
      </c>
      <c r="R205" s="112">
        <v>0</v>
      </c>
      <c r="S205" s="112">
        <v>522.38265895953759</v>
      </c>
      <c r="T205" s="111">
        <f t="shared" si="35"/>
        <v>7820.3826589595374</v>
      </c>
      <c r="U205" s="112">
        <v>480.07745664739883</v>
      </c>
      <c r="V205" s="116"/>
      <c r="W205" s="111">
        <v>18649.80704041721</v>
      </c>
      <c r="X205" s="113">
        <f t="shared" si="39"/>
        <v>28591.267156024147</v>
      </c>
      <c r="Y205" s="110"/>
      <c r="Z205" s="111"/>
      <c r="AA205" s="116"/>
      <c r="AB205" s="111">
        <v>17703.467821782178</v>
      </c>
      <c r="AC205" s="113">
        <f t="shared" si="40"/>
        <v>17703.467821782178</v>
      </c>
      <c r="AD205" s="110">
        <v>29.993481095176008</v>
      </c>
      <c r="AE205" s="111">
        <v>2784.232073011734</v>
      </c>
      <c r="AF205" s="112">
        <v>267.29074315514993</v>
      </c>
      <c r="AG205" s="117">
        <v>9031.1069100391123</v>
      </c>
      <c r="AH205" s="111">
        <v>4966.7809647979138</v>
      </c>
      <c r="AI205" s="112">
        <v>986.99478487614078</v>
      </c>
      <c r="AJ205" s="112">
        <v>481.43024771838327</v>
      </c>
      <c r="AK205" s="113">
        <f t="shared" si="41"/>
        <v>18547.829204693611</v>
      </c>
      <c r="AL205" s="143">
        <f t="shared" si="42"/>
        <v>504845.81900000002</v>
      </c>
      <c r="AM205" s="112">
        <f t="shared" si="42"/>
        <v>480036.32299999997</v>
      </c>
      <c r="AN205" s="112">
        <f t="shared" si="42"/>
        <v>24809.495999999999</v>
      </c>
      <c r="AO205" s="112">
        <f t="shared" si="42"/>
        <v>1158.7059999999999</v>
      </c>
      <c r="AP205" s="192">
        <f t="shared" si="36"/>
        <v>0.95085728143863268</v>
      </c>
      <c r="AQ205" s="193">
        <f t="shared" si="37"/>
        <v>29749.973156024145</v>
      </c>
      <c r="AR205" s="194">
        <f t="shared" si="38"/>
        <v>8293.6439878451674</v>
      </c>
      <c r="AS205" s="118"/>
      <c r="AT205" s="119"/>
      <c r="AU205" s="119"/>
      <c r="AV205" s="120"/>
      <c r="AW205" s="195"/>
      <c r="AX205" s="112">
        <v>504845819</v>
      </c>
      <c r="AY205" s="162">
        <v>480036323</v>
      </c>
      <c r="AZ205" s="162">
        <v>24809496</v>
      </c>
      <c r="BA205" s="162">
        <v>1158706</v>
      </c>
      <c r="BB205" s="196">
        <f t="shared" si="33"/>
        <v>0.95085728143863268</v>
      </c>
    </row>
    <row r="206" spans="1:54" s="121" customFormat="1" ht="16.5" customHeight="1">
      <c r="A206" s="104" t="s">
        <v>2143</v>
      </c>
      <c r="B206" s="105" t="s">
        <v>1177</v>
      </c>
      <c r="C206" s="106" t="s">
        <v>1239</v>
      </c>
      <c r="D206" s="106" t="s">
        <v>2415</v>
      </c>
      <c r="E206" s="71" t="s">
        <v>1240</v>
      </c>
      <c r="F206" s="71" t="s">
        <v>708</v>
      </c>
      <c r="G206" s="109" t="s">
        <v>1207</v>
      </c>
      <c r="H206" s="110">
        <v>14650.857047082518</v>
      </c>
      <c r="I206" s="111"/>
      <c r="J206" s="112"/>
      <c r="K206" s="113">
        <f t="shared" si="34"/>
        <v>14650.857047082518</v>
      </c>
      <c r="L206" s="110">
        <v>11</v>
      </c>
      <c r="M206" s="111"/>
      <c r="N206" s="112"/>
      <c r="O206" s="111">
        <v>2585</v>
      </c>
      <c r="P206" s="154">
        <v>0.45317919075144508</v>
      </c>
      <c r="Q206" s="111">
        <v>8428</v>
      </c>
      <c r="R206" s="112">
        <v>0</v>
      </c>
      <c r="S206" s="112">
        <v>273.39653179190748</v>
      </c>
      <c r="T206" s="111">
        <f t="shared" si="35"/>
        <v>4092.3965317919074</v>
      </c>
      <c r="U206" s="112">
        <v>251.25549132947975</v>
      </c>
      <c r="V206" s="116"/>
      <c r="W206" s="111">
        <v>9760.6466753585391</v>
      </c>
      <c r="X206" s="113">
        <f t="shared" si="39"/>
        <v>16700.298698479928</v>
      </c>
      <c r="Y206" s="110"/>
      <c r="Z206" s="111"/>
      <c r="AA206" s="116"/>
      <c r="AB206" s="111">
        <v>9265.3663366336641</v>
      </c>
      <c r="AC206" s="113">
        <f t="shared" si="40"/>
        <v>9265.3663366336641</v>
      </c>
      <c r="AD206" s="110">
        <v>15.697522816166883</v>
      </c>
      <c r="AE206" s="111">
        <v>1457.1681877444589</v>
      </c>
      <c r="AF206" s="112">
        <v>139.89048239895698</v>
      </c>
      <c r="AG206" s="117">
        <v>4726.5606258148628</v>
      </c>
      <c r="AH206" s="111">
        <v>2599.4367666232069</v>
      </c>
      <c r="AI206" s="112">
        <v>516.55801825293349</v>
      </c>
      <c r="AJ206" s="112">
        <v>251.96349413298563</v>
      </c>
      <c r="AK206" s="113">
        <f t="shared" si="41"/>
        <v>9707.2750977835713</v>
      </c>
      <c r="AL206" s="143">
        <f t="shared" si="42"/>
        <v>2089611.5719999999</v>
      </c>
      <c r="AM206" s="112">
        <f t="shared" si="42"/>
        <v>1977178.433</v>
      </c>
      <c r="AN206" s="112">
        <f t="shared" si="42"/>
        <v>112433.139</v>
      </c>
      <c r="AO206" s="112">
        <f t="shared" si="42"/>
        <v>4897.1840000000002</v>
      </c>
      <c r="AP206" s="192">
        <f t="shared" si="36"/>
        <v>0.94619423987378259</v>
      </c>
      <c r="AQ206" s="193">
        <f t="shared" si="37"/>
        <v>21597.482698479929</v>
      </c>
      <c r="AR206" s="194">
        <f t="shared" si="38"/>
        <v>-6946.6256513974113</v>
      </c>
      <c r="AS206" s="118"/>
      <c r="AT206" s="119"/>
      <c r="AU206" s="119"/>
      <c r="AV206" s="120"/>
      <c r="AW206" s="195"/>
      <c r="AX206" s="112">
        <v>2089611572</v>
      </c>
      <c r="AY206" s="162">
        <v>1977178433</v>
      </c>
      <c r="AZ206" s="162">
        <v>112433139</v>
      </c>
      <c r="BA206" s="162">
        <v>4897184</v>
      </c>
      <c r="BB206" s="196">
        <f t="shared" si="33"/>
        <v>0.94619423987378259</v>
      </c>
    </row>
    <row r="207" spans="1:54" s="121" customFormat="1" ht="16.5" customHeight="1">
      <c r="A207" s="104" t="s">
        <v>2143</v>
      </c>
      <c r="B207" s="105" t="s">
        <v>1189</v>
      </c>
      <c r="C207" s="106" t="s">
        <v>1242</v>
      </c>
      <c r="D207" s="106" t="s">
        <v>2415</v>
      </c>
      <c r="E207" s="71" t="s">
        <v>1243</v>
      </c>
      <c r="F207" s="71" t="s">
        <v>708</v>
      </c>
      <c r="G207" s="109" t="s">
        <v>1207</v>
      </c>
      <c r="H207" s="110">
        <v>2867.3689682463032</v>
      </c>
      <c r="I207" s="111"/>
      <c r="J207" s="112"/>
      <c r="K207" s="113">
        <f t="shared" si="34"/>
        <v>2867.3689682463032</v>
      </c>
      <c r="L207" s="110">
        <v>28</v>
      </c>
      <c r="M207" s="111"/>
      <c r="N207" s="112"/>
      <c r="O207" s="111">
        <v>0</v>
      </c>
      <c r="P207" s="154">
        <v>6.8786127167630065E-2</v>
      </c>
      <c r="Q207" s="111">
        <v>8428</v>
      </c>
      <c r="R207" s="112">
        <v>0</v>
      </c>
      <c r="S207" s="112">
        <v>41.497687861271679</v>
      </c>
      <c r="T207" s="111">
        <f t="shared" si="35"/>
        <v>621.49768786127163</v>
      </c>
      <c r="U207" s="112">
        <v>38.136994219653182</v>
      </c>
      <c r="V207" s="116"/>
      <c r="W207" s="111">
        <v>1481.5267275097785</v>
      </c>
      <c r="X207" s="113">
        <f t="shared" si="39"/>
        <v>2169.1614095907034</v>
      </c>
      <c r="Y207" s="110"/>
      <c r="Z207" s="111"/>
      <c r="AA207" s="116"/>
      <c r="AB207" s="111">
        <v>1406.3502475247526</v>
      </c>
      <c r="AC207" s="113">
        <f t="shared" si="40"/>
        <v>1406.3502475247526</v>
      </c>
      <c r="AD207" s="110">
        <v>2.3826597131681879</v>
      </c>
      <c r="AE207" s="111">
        <v>221.17731421121252</v>
      </c>
      <c r="AF207" s="112">
        <v>21.233376792698827</v>
      </c>
      <c r="AG207" s="117">
        <v>717.42438070404182</v>
      </c>
      <c r="AH207" s="111">
        <v>394.55736636245115</v>
      </c>
      <c r="AI207" s="112">
        <v>78.406127770534553</v>
      </c>
      <c r="AJ207" s="112">
        <v>38.244458930899611</v>
      </c>
      <c r="AK207" s="113">
        <f t="shared" si="41"/>
        <v>1473.4256844850067</v>
      </c>
      <c r="AL207" s="143">
        <f t="shared" si="42"/>
        <v>1414823.07</v>
      </c>
      <c r="AM207" s="112">
        <f t="shared" si="42"/>
        <v>1195114.0630000001</v>
      </c>
      <c r="AN207" s="112">
        <f t="shared" si="42"/>
        <v>219709.00700000001</v>
      </c>
      <c r="AO207" s="112">
        <f t="shared" si="42"/>
        <v>11502.201999999999</v>
      </c>
      <c r="AP207" s="192">
        <f t="shared" si="36"/>
        <v>0.84470919957503943</v>
      </c>
      <c r="AQ207" s="193">
        <f t="shared" si="37"/>
        <v>13671.363409590704</v>
      </c>
      <c r="AR207" s="194">
        <f t="shared" si="38"/>
        <v>-10803.994441344401</v>
      </c>
      <c r="AS207" s="118"/>
      <c r="AT207" s="119"/>
      <c r="AU207" s="119"/>
      <c r="AV207" s="120"/>
      <c r="AW207" s="195"/>
      <c r="AX207" s="112">
        <v>1414823070</v>
      </c>
      <c r="AY207" s="162">
        <v>1195114063</v>
      </c>
      <c r="AZ207" s="162">
        <v>219709007</v>
      </c>
      <c r="BA207" s="162">
        <v>11502202</v>
      </c>
      <c r="BB207" s="196">
        <f t="shared" si="33"/>
        <v>0.84470919957503943</v>
      </c>
    </row>
    <row r="208" spans="1:54" s="121" customFormat="1" ht="16.5" customHeight="1">
      <c r="A208" s="104" t="s">
        <v>2143</v>
      </c>
      <c r="B208" s="105" t="s">
        <v>1195</v>
      </c>
      <c r="C208" s="106" t="s">
        <v>1246</v>
      </c>
      <c r="D208" s="106" t="s">
        <v>2415</v>
      </c>
      <c r="E208" s="71" t="s">
        <v>1247</v>
      </c>
      <c r="F208" s="71" t="s">
        <v>708</v>
      </c>
      <c r="G208" s="109" t="s">
        <v>1207</v>
      </c>
      <c r="H208" s="110">
        <v>21146.67347377451</v>
      </c>
      <c r="I208" s="111"/>
      <c r="J208" s="112"/>
      <c r="K208" s="113">
        <f t="shared" si="34"/>
        <v>21146.67347377451</v>
      </c>
      <c r="L208" s="110">
        <v>90</v>
      </c>
      <c r="M208" s="111"/>
      <c r="N208" s="112"/>
      <c r="O208" s="111">
        <v>671</v>
      </c>
      <c r="P208" s="154">
        <v>0.46531791907514447</v>
      </c>
      <c r="Q208" s="111">
        <v>8428</v>
      </c>
      <c r="R208" s="112">
        <v>0</v>
      </c>
      <c r="S208" s="112">
        <v>280.71965317919074</v>
      </c>
      <c r="T208" s="111">
        <f t="shared" si="35"/>
        <v>4202.7196531791906</v>
      </c>
      <c r="U208" s="112">
        <v>257.98554913294794</v>
      </c>
      <c r="V208" s="116"/>
      <c r="W208" s="111">
        <v>10022.092568448501</v>
      </c>
      <c r="X208" s="113">
        <f t="shared" si="39"/>
        <v>15243.797770760641</v>
      </c>
      <c r="Y208" s="110"/>
      <c r="Z208" s="111"/>
      <c r="AA208" s="116"/>
      <c r="AB208" s="111">
        <v>9513.5457920792069</v>
      </c>
      <c r="AC208" s="113">
        <f t="shared" si="40"/>
        <v>9513.5457920792069</v>
      </c>
      <c r="AD208" s="110">
        <v>16.117992177314214</v>
      </c>
      <c r="AE208" s="111">
        <v>1496.1994784876142</v>
      </c>
      <c r="AF208" s="112">
        <v>143.6375488917862</v>
      </c>
      <c r="AG208" s="117">
        <v>4853.1649282920471</v>
      </c>
      <c r="AH208" s="111">
        <v>2669.0645371577575</v>
      </c>
      <c r="AI208" s="112">
        <v>530.39439374185145</v>
      </c>
      <c r="AJ208" s="112">
        <v>258.71251629726208</v>
      </c>
      <c r="AK208" s="113">
        <f t="shared" si="41"/>
        <v>9967.2913950456332</v>
      </c>
      <c r="AL208" s="143">
        <f t="shared" si="42"/>
        <v>158568.95000000001</v>
      </c>
      <c r="AM208" s="112">
        <f t="shared" si="42"/>
        <v>148935.32199999999</v>
      </c>
      <c r="AN208" s="112">
        <f t="shared" si="42"/>
        <v>9633.6280000000006</v>
      </c>
      <c r="AO208" s="112">
        <f t="shared" si="42"/>
        <v>264.26400000000001</v>
      </c>
      <c r="AP208" s="192">
        <f t="shared" si="36"/>
        <v>0.9392464413745566</v>
      </c>
      <c r="AQ208" s="193">
        <f t="shared" si="37"/>
        <v>15508.06177076064</v>
      </c>
      <c r="AR208" s="194">
        <f t="shared" si="38"/>
        <v>5638.6117030138703</v>
      </c>
      <c r="AS208" s="118"/>
      <c r="AT208" s="119"/>
      <c r="AU208" s="119"/>
      <c r="AV208" s="120"/>
      <c r="AW208" s="195"/>
      <c r="AX208" s="112">
        <v>158568950</v>
      </c>
      <c r="AY208" s="162">
        <v>148935322</v>
      </c>
      <c r="AZ208" s="162">
        <v>9633628</v>
      </c>
      <c r="BA208" s="162">
        <v>264264</v>
      </c>
      <c r="BB208" s="196">
        <f t="shared" si="33"/>
        <v>0.9392464413745566</v>
      </c>
    </row>
    <row r="209" spans="1:54" s="121" customFormat="1" ht="16.5" customHeight="1">
      <c r="A209" s="104" t="s">
        <v>2143</v>
      </c>
      <c r="B209" s="105" t="s">
        <v>72</v>
      </c>
      <c r="C209" s="106" t="s">
        <v>1250</v>
      </c>
      <c r="D209" s="106" t="s">
        <v>2415</v>
      </c>
      <c r="E209" s="71" t="s">
        <v>1251</v>
      </c>
      <c r="F209" s="71" t="s">
        <v>708</v>
      </c>
      <c r="G209" s="109" t="s">
        <v>1207</v>
      </c>
      <c r="H209" s="110">
        <v>2341.7260156948432</v>
      </c>
      <c r="I209" s="111"/>
      <c r="J209" s="112"/>
      <c r="K209" s="113">
        <f t="shared" si="34"/>
        <v>2341.7260156948432</v>
      </c>
      <c r="L209" s="110">
        <v>0</v>
      </c>
      <c r="M209" s="111"/>
      <c r="N209" s="112"/>
      <c r="O209" s="111">
        <v>307</v>
      </c>
      <c r="P209" s="154">
        <v>7.6878612716763009E-2</v>
      </c>
      <c r="Q209" s="111">
        <v>8428</v>
      </c>
      <c r="R209" s="112">
        <v>0</v>
      </c>
      <c r="S209" s="112">
        <v>46.379768786127165</v>
      </c>
      <c r="T209" s="111">
        <f t="shared" si="35"/>
        <v>694.37976878612722</v>
      </c>
      <c r="U209" s="112">
        <v>42.62369942196532</v>
      </c>
      <c r="V209" s="116"/>
      <c r="W209" s="111">
        <v>1655.8239895697523</v>
      </c>
      <c r="X209" s="113">
        <f t="shared" si="39"/>
        <v>2699.8274577778448</v>
      </c>
      <c r="Y209" s="110"/>
      <c r="Z209" s="111"/>
      <c r="AA209" s="116"/>
      <c r="AB209" s="111">
        <v>1571.8032178217823</v>
      </c>
      <c r="AC209" s="113">
        <f t="shared" si="40"/>
        <v>1571.8032178217823</v>
      </c>
      <c r="AD209" s="110">
        <v>2.662972620599739</v>
      </c>
      <c r="AE209" s="111">
        <v>247.19817470664927</v>
      </c>
      <c r="AF209" s="112">
        <v>23.731421121251628</v>
      </c>
      <c r="AG209" s="117">
        <v>801.82724902216421</v>
      </c>
      <c r="AH209" s="111">
        <v>440.97588005215124</v>
      </c>
      <c r="AI209" s="112">
        <v>87.630378096479788</v>
      </c>
      <c r="AJ209" s="112">
        <v>42.743807040417209</v>
      </c>
      <c r="AK209" s="113">
        <f t="shared" si="41"/>
        <v>1646.7698826597129</v>
      </c>
      <c r="AL209" s="143">
        <f t="shared" si="42"/>
        <v>1048265.87</v>
      </c>
      <c r="AM209" s="112">
        <f t="shared" si="42"/>
        <v>962758.73699999996</v>
      </c>
      <c r="AN209" s="112">
        <f t="shared" si="42"/>
        <v>85507.133000000002</v>
      </c>
      <c r="AO209" s="112">
        <f t="shared" si="42"/>
        <v>2996.1219999999998</v>
      </c>
      <c r="AP209" s="192">
        <f t="shared" si="36"/>
        <v>0.91842991797491225</v>
      </c>
      <c r="AQ209" s="193">
        <f t="shared" si="37"/>
        <v>5695.9494577778441</v>
      </c>
      <c r="AR209" s="194">
        <f t="shared" si="38"/>
        <v>-3354.2234420830009</v>
      </c>
      <c r="AS209" s="118"/>
      <c r="AT209" s="119"/>
      <c r="AU209" s="119"/>
      <c r="AV209" s="120"/>
      <c r="AW209" s="195"/>
      <c r="AX209" s="112">
        <v>1048265870</v>
      </c>
      <c r="AY209" s="162">
        <v>962758737</v>
      </c>
      <c r="AZ209" s="162">
        <v>85507133</v>
      </c>
      <c r="BA209" s="162">
        <v>2996122</v>
      </c>
      <c r="BB209" s="196">
        <f t="shared" si="33"/>
        <v>0.91842991797491225</v>
      </c>
    </row>
    <row r="210" spans="1:54" s="121" customFormat="1" ht="16.5" customHeight="1">
      <c r="A210" s="104" t="s">
        <v>2143</v>
      </c>
      <c r="B210" s="105" t="s">
        <v>1197</v>
      </c>
      <c r="C210" s="106" t="s">
        <v>1255</v>
      </c>
      <c r="D210" s="106" t="s">
        <v>2415</v>
      </c>
      <c r="E210" s="71" t="s">
        <v>1256</v>
      </c>
      <c r="F210" s="71" t="s">
        <v>708</v>
      </c>
      <c r="G210" s="109" t="s">
        <v>1207</v>
      </c>
      <c r="H210" s="110">
        <v>2026.6780632056755</v>
      </c>
      <c r="I210" s="111"/>
      <c r="J210" s="112"/>
      <c r="K210" s="113">
        <f t="shared" si="34"/>
        <v>2026.6780632056755</v>
      </c>
      <c r="L210" s="110">
        <f>45</f>
        <v>45</v>
      </c>
      <c r="M210" s="111"/>
      <c r="N210" s="112"/>
      <c r="O210" s="111">
        <v>627</v>
      </c>
      <c r="P210" s="154">
        <v>6.0693641618497107E-2</v>
      </c>
      <c r="Q210" s="111">
        <v>8428</v>
      </c>
      <c r="R210" s="112">
        <v>0</v>
      </c>
      <c r="S210" s="112">
        <v>36.615606936416178</v>
      </c>
      <c r="T210" s="111">
        <f t="shared" si="35"/>
        <v>548.61560693641616</v>
      </c>
      <c r="U210" s="112">
        <v>33.650289017341038</v>
      </c>
      <c r="V210" s="116"/>
      <c r="W210" s="111">
        <v>1307.2294654498046</v>
      </c>
      <c r="X210" s="113">
        <f t="shared" si="39"/>
        <v>2561.4953614035617</v>
      </c>
      <c r="Y210" s="110"/>
      <c r="Z210" s="111"/>
      <c r="AA210" s="116"/>
      <c r="AB210" s="111">
        <v>1240.8972772277227</v>
      </c>
      <c r="AC210" s="113">
        <f t="shared" si="40"/>
        <v>1240.8972772277227</v>
      </c>
      <c r="AD210" s="110">
        <v>2.1023468057366363</v>
      </c>
      <c r="AE210" s="111">
        <v>195.15645371577577</v>
      </c>
      <c r="AF210" s="112">
        <v>18.735332464146023</v>
      </c>
      <c r="AG210" s="117">
        <v>633.02151238591921</v>
      </c>
      <c r="AH210" s="111">
        <v>348.138852672751</v>
      </c>
      <c r="AI210" s="112">
        <v>69.181877444589318</v>
      </c>
      <c r="AJ210" s="112">
        <v>33.745110821382006</v>
      </c>
      <c r="AK210" s="113">
        <f t="shared" si="41"/>
        <v>1300.0814863103001</v>
      </c>
      <c r="AL210" s="143">
        <f t="shared" si="42"/>
        <v>228231</v>
      </c>
      <c r="AM210" s="112">
        <f t="shared" si="42"/>
        <v>219074.78899999999</v>
      </c>
      <c r="AN210" s="112">
        <f t="shared" si="42"/>
        <v>9156.2109999999993</v>
      </c>
      <c r="AO210" s="112">
        <f t="shared" si="42"/>
        <v>318.77999999999997</v>
      </c>
      <c r="AP210" s="192">
        <f t="shared" si="36"/>
        <v>0.95988182586940429</v>
      </c>
      <c r="AQ210" s="193">
        <f t="shared" si="37"/>
        <v>2880.2753614035619</v>
      </c>
      <c r="AR210" s="194">
        <f t="shared" si="38"/>
        <v>-853.5972981978864</v>
      </c>
      <c r="AS210" s="118"/>
      <c r="AT210" s="119"/>
      <c r="AU210" s="119"/>
      <c r="AV210" s="120"/>
      <c r="AW210" s="195"/>
      <c r="AX210" s="112">
        <v>228231000</v>
      </c>
      <c r="AY210" s="162">
        <v>219074789</v>
      </c>
      <c r="AZ210" s="162">
        <v>9156211</v>
      </c>
      <c r="BA210" s="162">
        <v>318780</v>
      </c>
      <c r="BB210" s="196">
        <f t="shared" si="33"/>
        <v>0.95988182586940429</v>
      </c>
    </row>
    <row r="211" spans="1:54" s="121" customFormat="1" ht="16.5" customHeight="1">
      <c r="A211" s="104" t="s">
        <v>2143</v>
      </c>
      <c r="B211" s="105" t="s">
        <v>1198</v>
      </c>
      <c r="C211" s="106" t="s">
        <v>1259</v>
      </c>
      <c r="D211" s="106" t="s">
        <v>2415</v>
      </c>
      <c r="E211" s="71" t="s">
        <v>1260</v>
      </c>
      <c r="F211" s="71" t="s">
        <v>708</v>
      </c>
      <c r="G211" s="109" t="s">
        <v>1207</v>
      </c>
      <c r="H211" s="110">
        <v>5021.3211733792205</v>
      </c>
      <c r="I211" s="111"/>
      <c r="J211" s="112"/>
      <c r="K211" s="113">
        <f t="shared" si="34"/>
        <v>5021.3211733792205</v>
      </c>
      <c r="L211" s="110">
        <v>22</v>
      </c>
      <c r="M211" s="111"/>
      <c r="N211" s="112"/>
      <c r="O211" s="111">
        <v>0</v>
      </c>
      <c r="P211" s="154">
        <v>0.10115606936416185</v>
      </c>
      <c r="Q211" s="111">
        <v>8428</v>
      </c>
      <c r="R211" s="112">
        <v>0</v>
      </c>
      <c r="S211" s="112">
        <v>61.02601156069364</v>
      </c>
      <c r="T211" s="111">
        <f t="shared" si="35"/>
        <v>914.02601156069363</v>
      </c>
      <c r="U211" s="112">
        <v>56.083815028901732</v>
      </c>
      <c r="V211" s="116"/>
      <c r="W211" s="111">
        <v>2178.7157757496743</v>
      </c>
      <c r="X211" s="113">
        <f t="shared" si="39"/>
        <v>3170.8256023392696</v>
      </c>
      <c r="Y211" s="110"/>
      <c r="Z211" s="111"/>
      <c r="AA211" s="116"/>
      <c r="AB211" s="111">
        <v>2068.1621287128714</v>
      </c>
      <c r="AC211" s="113">
        <f t="shared" si="40"/>
        <v>2068.1621287128714</v>
      </c>
      <c r="AD211" s="110">
        <v>3.5039113428943938</v>
      </c>
      <c r="AE211" s="111">
        <v>325.2607561929596</v>
      </c>
      <c r="AF211" s="112">
        <v>31.225554106910039</v>
      </c>
      <c r="AG211" s="117">
        <v>1055.0358539765321</v>
      </c>
      <c r="AH211" s="111">
        <v>580.23142112125163</v>
      </c>
      <c r="AI211" s="112">
        <v>115.30312907431552</v>
      </c>
      <c r="AJ211" s="112">
        <v>56.241851368970018</v>
      </c>
      <c r="AK211" s="113">
        <f t="shared" si="41"/>
        <v>2166.8024771838332</v>
      </c>
      <c r="AL211" s="143">
        <f t="shared" si="42"/>
        <v>86600.55</v>
      </c>
      <c r="AM211" s="112">
        <f t="shared" si="42"/>
        <v>80560.629000000001</v>
      </c>
      <c r="AN211" s="112">
        <f t="shared" si="42"/>
        <v>6039.9210000000003</v>
      </c>
      <c r="AO211" s="112">
        <f t="shared" si="42"/>
        <v>206.745</v>
      </c>
      <c r="AP211" s="192">
        <f t="shared" si="36"/>
        <v>0.93025539676133695</v>
      </c>
      <c r="AQ211" s="193">
        <f t="shared" si="37"/>
        <v>3377.5706023392695</v>
      </c>
      <c r="AR211" s="194">
        <f t="shared" si="38"/>
        <v>1643.750571039951</v>
      </c>
      <c r="AS211" s="118"/>
      <c r="AT211" s="119"/>
      <c r="AU211" s="119"/>
      <c r="AV211" s="120"/>
      <c r="AW211" s="195"/>
      <c r="AX211" s="112">
        <v>86600550</v>
      </c>
      <c r="AY211" s="162">
        <v>80560629</v>
      </c>
      <c r="AZ211" s="162">
        <v>6039921</v>
      </c>
      <c r="BA211" s="162">
        <v>206745</v>
      </c>
      <c r="BB211" s="196">
        <f t="shared" si="33"/>
        <v>0.93025539676133695</v>
      </c>
    </row>
    <row r="212" spans="1:54" s="121" customFormat="1" ht="16.5" customHeight="1">
      <c r="A212" s="104" t="s">
        <v>2143</v>
      </c>
      <c r="B212" s="105" t="s">
        <v>1204</v>
      </c>
      <c r="C212" s="106" t="s">
        <v>1264</v>
      </c>
      <c r="D212" s="106" t="s">
        <v>2415</v>
      </c>
      <c r="E212" s="71" t="s">
        <v>1265</v>
      </c>
      <c r="F212" s="71" t="s">
        <v>708</v>
      </c>
      <c r="G212" s="109" t="s">
        <v>1207</v>
      </c>
      <c r="H212" s="110">
        <v>28728.765228772474</v>
      </c>
      <c r="I212" s="111"/>
      <c r="J212" s="112"/>
      <c r="K212" s="113">
        <f t="shared" si="34"/>
        <v>28728.765228772474</v>
      </c>
      <c r="L212" s="110">
        <f>106</f>
        <v>106</v>
      </c>
      <c r="M212" s="111"/>
      <c r="N212" s="112"/>
      <c r="O212" s="111">
        <v>979</v>
      </c>
      <c r="P212" s="154">
        <v>0.29942196531791909</v>
      </c>
      <c r="Q212" s="111">
        <v>8428</v>
      </c>
      <c r="R212" s="112">
        <v>0</v>
      </c>
      <c r="S212" s="112">
        <v>180.63699421965319</v>
      </c>
      <c r="T212" s="111">
        <f t="shared" si="35"/>
        <v>2704.6369942196534</v>
      </c>
      <c r="U212" s="112">
        <v>166.00809248554913</v>
      </c>
      <c r="V212" s="116"/>
      <c r="W212" s="111">
        <v>6448.9986962190351</v>
      </c>
      <c r="X212" s="113">
        <f t="shared" si="39"/>
        <v>10404.643782924239</v>
      </c>
      <c r="Y212" s="110"/>
      <c r="Z212" s="111"/>
      <c r="AA212" s="116"/>
      <c r="AB212" s="111">
        <v>6121.7599009900987</v>
      </c>
      <c r="AC212" s="113">
        <f t="shared" si="40"/>
        <v>6121.7599009900987</v>
      </c>
      <c r="AD212" s="110">
        <v>10.371577574967406</v>
      </c>
      <c r="AE212" s="111">
        <v>962.77183833116032</v>
      </c>
      <c r="AF212" s="112">
        <v>92.42764015645372</v>
      </c>
      <c r="AG212" s="117">
        <v>3122.9061277705346</v>
      </c>
      <c r="AH212" s="111">
        <v>1717.4850065189048</v>
      </c>
      <c r="AI212" s="112">
        <v>341.29726205997395</v>
      </c>
      <c r="AJ212" s="112">
        <v>166.47588005215124</v>
      </c>
      <c r="AK212" s="113">
        <f t="shared" si="41"/>
        <v>6413.7353324641463</v>
      </c>
      <c r="AL212" s="143">
        <f t="shared" si="42"/>
        <v>259260.22</v>
      </c>
      <c r="AM212" s="112">
        <f t="shared" si="42"/>
        <v>230537.633</v>
      </c>
      <c r="AN212" s="112">
        <f t="shared" si="42"/>
        <v>28722.587</v>
      </c>
      <c r="AO212" s="112">
        <f t="shared" si="42"/>
        <v>3111.163</v>
      </c>
      <c r="AP212" s="192">
        <f t="shared" si="36"/>
        <v>0.88921328925818233</v>
      </c>
      <c r="AQ212" s="193">
        <f t="shared" si="37"/>
        <v>13515.806782924239</v>
      </c>
      <c r="AR212" s="194">
        <f t="shared" si="38"/>
        <v>15212.958445848235</v>
      </c>
      <c r="AS212" s="118"/>
      <c r="AT212" s="119"/>
      <c r="AU212" s="119"/>
      <c r="AV212" s="120"/>
      <c r="AW212" s="195"/>
      <c r="AX212" s="112">
        <v>259260220</v>
      </c>
      <c r="AY212" s="162">
        <v>230537633</v>
      </c>
      <c r="AZ212" s="162">
        <v>28722587</v>
      </c>
      <c r="BA212" s="162">
        <v>3111163</v>
      </c>
      <c r="BB212" s="196">
        <f t="shared" si="33"/>
        <v>0.88921328925818233</v>
      </c>
    </row>
    <row r="213" spans="1:54" s="121" customFormat="1" ht="16.5" customHeight="1">
      <c r="A213" s="104" t="s">
        <v>2143</v>
      </c>
      <c r="B213" s="105" t="s">
        <v>1216</v>
      </c>
      <c r="C213" s="106" t="s">
        <v>1268</v>
      </c>
      <c r="D213" s="106" t="s">
        <v>2415</v>
      </c>
      <c r="E213" s="71" t="s">
        <v>1269</v>
      </c>
      <c r="F213" s="71" t="s">
        <v>708</v>
      </c>
      <c r="G213" s="109" t="s">
        <v>1207</v>
      </c>
      <c r="H213" s="110">
        <v>24528.477245857979</v>
      </c>
      <c r="I213" s="111"/>
      <c r="J213" s="112"/>
      <c r="K213" s="113">
        <f t="shared" si="34"/>
        <v>24528.477245857979</v>
      </c>
      <c r="L213" s="214">
        <v>118</v>
      </c>
      <c r="M213" s="111"/>
      <c r="N213" s="112"/>
      <c r="O213" s="111">
        <v>991</v>
      </c>
      <c r="P213" s="154">
        <v>0.32774566473988437</v>
      </c>
      <c r="Q213" s="111">
        <v>8428</v>
      </c>
      <c r="R213" s="112">
        <v>0</v>
      </c>
      <c r="S213" s="112">
        <v>197.7242774566474</v>
      </c>
      <c r="T213" s="111">
        <f t="shared" si="35"/>
        <v>2959.7242774566475</v>
      </c>
      <c r="U213" s="112">
        <v>181.71156069364162</v>
      </c>
      <c r="V213" s="116"/>
      <c r="W213" s="111">
        <v>7059.0391134289439</v>
      </c>
      <c r="X213" s="113">
        <f t="shared" si="39"/>
        <v>11309.474951579232</v>
      </c>
      <c r="Y213" s="110"/>
      <c r="Z213" s="111"/>
      <c r="AA213" s="116"/>
      <c r="AB213" s="111">
        <v>6700.845297029703</v>
      </c>
      <c r="AC213" s="113">
        <f t="shared" si="40"/>
        <v>6700.845297029703</v>
      </c>
      <c r="AD213" s="110">
        <v>11.352672750977836</v>
      </c>
      <c r="AE213" s="111">
        <v>1053.8448500651891</v>
      </c>
      <c r="AF213" s="112">
        <v>101.17079530638853</v>
      </c>
      <c r="AG213" s="117">
        <v>3418.3161668839634</v>
      </c>
      <c r="AH213" s="111">
        <v>1879.9498044328552</v>
      </c>
      <c r="AI213" s="112">
        <v>373.58213820078225</v>
      </c>
      <c r="AJ213" s="112">
        <v>182.22359843546283</v>
      </c>
      <c r="AK213" s="113">
        <f t="shared" si="41"/>
        <v>7020.4400260756202</v>
      </c>
      <c r="AL213" s="143">
        <f t="shared" si="42"/>
        <v>641224.35</v>
      </c>
      <c r="AM213" s="112">
        <f t="shared" si="42"/>
        <v>594200.72199999995</v>
      </c>
      <c r="AN213" s="112">
        <f t="shared" si="42"/>
        <v>47023.627999999997</v>
      </c>
      <c r="AO213" s="112">
        <f t="shared" si="42"/>
        <v>3355.3560000000002</v>
      </c>
      <c r="AP213" s="192">
        <f t="shared" si="36"/>
        <v>0.92666587287273172</v>
      </c>
      <c r="AQ213" s="193">
        <f t="shared" si="37"/>
        <v>14664.830951579232</v>
      </c>
      <c r="AR213" s="194">
        <f t="shared" si="38"/>
        <v>9863.6462942787475</v>
      </c>
      <c r="AS213" s="118"/>
      <c r="AT213" s="119"/>
      <c r="AU213" s="119"/>
      <c r="AV213" s="120"/>
      <c r="AW213" s="195"/>
      <c r="AX213" s="112">
        <v>641224350</v>
      </c>
      <c r="AY213" s="162">
        <v>594200722</v>
      </c>
      <c r="AZ213" s="162">
        <v>47023628</v>
      </c>
      <c r="BA213" s="162">
        <v>3355356</v>
      </c>
      <c r="BB213" s="196">
        <f t="shared" si="33"/>
        <v>0.92666587287273172</v>
      </c>
    </row>
    <row r="214" spans="1:54" s="121" customFormat="1" ht="16.5" customHeight="1">
      <c r="A214" s="104" t="s">
        <v>2143</v>
      </c>
      <c r="B214" s="105" t="s">
        <v>1221</v>
      </c>
      <c r="C214" s="106" t="s">
        <v>1271</v>
      </c>
      <c r="D214" s="106" t="s">
        <v>2415</v>
      </c>
      <c r="E214" s="71" t="s">
        <v>1272</v>
      </c>
      <c r="F214" s="71" t="s">
        <v>708</v>
      </c>
      <c r="G214" s="109" t="s">
        <v>1207</v>
      </c>
      <c r="H214" s="110">
        <v>5432.1659765788627</v>
      </c>
      <c r="I214" s="111"/>
      <c r="J214" s="112"/>
      <c r="K214" s="113">
        <f t="shared" si="34"/>
        <v>5432.1659765788627</v>
      </c>
      <c r="L214" s="110">
        <v>36</v>
      </c>
      <c r="M214" s="111"/>
      <c r="N214" s="112"/>
      <c r="O214" s="111">
        <v>1265</v>
      </c>
      <c r="P214" s="154">
        <v>7.6878612716763009E-2</v>
      </c>
      <c r="Q214" s="111">
        <v>8428</v>
      </c>
      <c r="R214" s="112">
        <v>0</v>
      </c>
      <c r="S214" s="112">
        <v>46.379768786127165</v>
      </c>
      <c r="T214" s="111">
        <f t="shared" si="35"/>
        <v>694.37976878612722</v>
      </c>
      <c r="U214" s="112">
        <v>42.62369942196532</v>
      </c>
      <c r="V214" s="116"/>
      <c r="W214" s="111">
        <v>1655.8239895697523</v>
      </c>
      <c r="X214" s="113">
        <f t="shared" si="39"/>
        <v>3693.8274577778448</v>
      </c>
      <c r="Y214" s="110"/>
      <c r="Z214" s="111"/>
      <c r="AA214" s="116"/>
      <c r="AB214" s="111">
        <v>1571.8032178217823</v>
      </c>
      <c r="AC214" s="113">
        <f t="shared" si="40"/>
        <v>1571.8032178217823</v>
      </c>
      <c r="AD214" s="110">
        <v>2.662972620599739</v>
      </c>
      <c r="AE214" s="111">
        <v>247.19817470664927</v>
      </c>
      <c r="AF214" s="112">
        <v>23.731421121251628</v>
      </c>
      <c r="AG214" s="117">
        <v>801.82724902216421</v>
      </c>
      <c r="AH214" s="111">
        <v>440.97588005215124</v>
      </c>
      <c r="AI214" s="112">
        <v>87.630378096479788</v>
      </c>
      <c r="AJ214" s="112">
        <v>42.743807040417209</v>
      </c>
      <c r="AK214" s="113">
        <f t="shared" si="41"/>
        <v>1646.7698826597129</v>
      </c>
      <c r="AL214" s="143">
        <f t="shared" si="42"/>
        <v>755720.01699999999</v>
      </c>
      <c r="AM214" s="112">
        <f t="shared" si="42"/>
        <v>570833.56700000004</v>
      </c>
      <c r="AN214" s="112">
        <f t="shared" si="42"/>
        <v>184886.45</v>
      </c>
      <c r="AO214" s="112">
        <f t="shared" si="42"/>
        <v>12833.868</v>
      </c>
      <c r="AP214" s="192">
        <f t="shared" si="36"/>
        <v>0.75535059831556639</v>
      </c>
      <c r="AQ214" s="193">
        <f t="shared" si="37"/>
        <v>16527.695457777845</v>
      </c>
      <c r="AR214" s="194">
        <f t="shared" si="38"/>
        <v>-11095.529481198982</v>
      </c>
      <c r="AS214" s="118"/>
      <c r="AT214" s="119"/>
      <c r="AU214" s="119"/>
      <c r="AV214" s="120"/>
      <c r="AW214" s="195"/>
      <c r="AX214" s="112">
        <v>755720017</v>
      </c>
      <c r="AY214" s="162">
        <v>570833567</v>
      </c>
      <c r="AZ214" s="162">
        <v>184886450</v>
      </c>
      <c r="BA214" s="162">
        <v>12833868</v>
      </c>
      <c r="BB214" s="196">
        <f t="shared" si="33"/>
        <v>0.75535059831556639</v>
      </c>
    </row>
    <row r="215" spans="1:54" s="121" customFormat="1" ht="16.5" customHeight="1">
      <c r="A215" s="104" t="s">
        <v>2143</v>
      </c>
      <c r="B215" s="105" t="s">
        <v>1225</v>
      </c>
      <c r="C215" s="106" t="s">
        <v>1275</v>
      </c>
      <c r="D215" s="106" t="s">
        <v>2415</v>
      </c>
      <c r="E215" s="71" t="s">
        <v>1276</v>
      </c>
      <c r="F215" s="71" t="s">
        <v>708</v>
      </c>
      <c r="G215" s="109" t="s">
        <v>1207</v>
      </c>
      <c r="H215" s="110">
        <v>6802.8002787515297</v>
      </c>
      <c r="I215" s="111"/>
      <c r="J215" s="112"/>
      <c r="K215" s="113">
        <f t="shared" si="34"/>
        <v>6802.8002787515297</v>
      </c>
      <c r="L215" s="110">
        <v>0</v>
      </c>
      <c r="M215" s="111"/>
      <c r="N215" s="112"/>
      <c r="O215" s="111">
        <v>1039</v>
      </c>
      <c r="P215" s="154">
        <v>7.6878612716763009E-2</v>
      </c>
      <c r="Q215" s="111">
        <v>8428</v>
      </c>
      <c r="R215" s="112">
        <v>0</v>
      </c>
      <c r="S215" s="112">
        <v>46.379768786127165</v>
      </c>
      <c r="T215" s="111">
        <f t="shared" si="35"/>
        <v>694.37976878612722</v>
      </c>
      <c r="U215" s="112">
        <v>42.62369942196532</v>
      </c>
      <c r="V215" s="116"/>
      <c r="W215" s="111">
        <v>1655.8239895697523</v>
      </c>
      <c r="X215" s="113">
        <f t="shared" si="39"/>
        <v>3431.8274577778448</v>
      </c>
      <c r="Y215" s="110"/>
      <c r="Z215" s="111"/>
      <c r="AA215" s="116"/>
      <c r="AB215" s="111">
        <v>1571.8032178217823</v>
      </c>
      <c r="AC215" s="113">
        <f t="shared" si="40"/>
        <v>1571.8032178217823</v>
      </c>
      <c r="AD215" s="110">
        <v>2.662972620599739</v>
      </c>
      <c r="AE215" s="111">
        <v>247.19817470664927</v>
      </c>
      <c r="AF215" s="112">
        <v>23.731421121251628</v>
      </c>
      <c r="AG215" s="117">
        <v>801.82724902216421</v>
      </c>
      <c r="AH215" s="111">
        <v>440.97588005215124</v>
      </c>
      <c r="AI215" s="112">
        <v>87.630378096479788</v>
      </c>
      <c r="AJ215" s="112">
        <v>42.743807040417209</v>
      </c>
      <c r="AK215" s="113">
        <f t="shared" si="41"/>
        <v>1646.7698826597129</v>
      </c>
      <c r="AL215" s="143">
        <f t="shared" si="42"/>
        <v>244196.30900000001</v>
      </c>
      <c r="AM215" s="112">
        <f t="shared" si="42"/>
        <v>219040.43299999999</v>
      </c>
      <c r="AN215" s="112">
        <f t="shared" si="42"/>
        <v>25155.876</v>
      </c>
      <c r="AO215" s="112">
        <f t="shared" si="42"/>
        <v>5244.4889999999996</v>
      </c>
      <c r="AP215" s="192">
        <f t="shared" si="36"/>
        <v>0.89698502773029221</v>
      </c>
      <c r="AQ215" s="193">
        <f t="shared" si="37"/>
        <v>8676.3164577778443</v>
      </c>
      <c r="AR215" s="194">
        <f t="shared" si="38"/>
        <v>-1873.5161790263146</v>
      </c>
      <c r="AS215" s="118"/>
      <c r="AT215" s="119"/>
      <c r="AU215" s="119"/>
      <c r="AV215" s="120"/>
      <c r="AW215" s="195"/>
      <c r="AX215" s="112">
        <v>244196309</v>
      </c>
      <c r="AY215" s="162">
        <v>219040433</v>
      </c>
      <c r="AZ215" s="162">
        <v>25155876</v>
      </c>
      <c r="BA215" s="162">
        <v>5244489</v>
      </c>
      <c r="BB215" s="196">
        <f t="shared" si="33"/>
        <v>0.89698502773029221</v>
      </c>
    </row>
    <row r="216" spans="1:54" s="121" customFormat="1" ht="16.5" customHeight="1">
      <c r="A216" s="104" t="s">
        <v>2143</v>
      </c>
      <c r="B216" s="105" t="s">
        <v>1228</v>
      </c>
      <c r="C216" s="106" t="s">
        <v>1279</v>
      </c>
      <c r="D216" s="106" t="s">
        <v>2415</v>
      </c>
      <c r="E216" s="71" t="s">
        <v>1280</v>
      </c>
      <c r="F216" s="71" t="s">
        <v>708</v>
      </c>
      <c r="G216" s="109" t="s">
        <v>1207</v>
      </c>
      <c r="H216" s="110">
        <v>6749.7103395213771</v>
      </c>
      <c r="I216" s="111"/>
      <c r="J216" s="112"/>
      <c r="K216" s="113">
        <f t="shared" si="34"/>
        <v>6749.7103395213771</v>
      </c>
      <c r="L216" s="110">
        <v>0</v>
      </c>
      <c r="M216" s="111"/>
      <c r="N216" s="112"/>
      <c r="O216" s="111">
        <v>1287</v>
      </c>
      <c r="P216" s="154">
        <v>9.3063583815028911E-2</v>
      </c>
      <c r="Q216" s="111">
        <v>8428</v>
      </c>
      <c r="R216" s="112">
        <v>0</v>
      </c>
      <c r="S216" s="112">
        <v>56.143930635838153</v>
      </c>
      <c r="T216" s="111">
        <f t="shared" si="35"/>
        <v>840.14393063583816</v>
      </c>
      <c r="U216" s="112">
        <v>51.597109826589595</v>
      </c>
      <c r="V216" s="116"/>
      <c r="W216" s="111">
        <v>2004.4185136897001</v>
      </c>
      <c r="X216" s="113">
        <f t="shared" si="39"/>
        <v>4183.1595541521274</v>
      </c>
      <c r="Y216" s="110"/>
      <c r="Z216" s="111"/>
      <c r="AA216" s="116"/>
      <c r="AB216" s="111">
        <v>1902.7091584158416</v>
      </c>
      <c r="AC216" s="113">
        <f t="shared" si="40"/>
        <v>1902.7091584158416</v>
      </c>
      <c r="AD216" s="110">
        <v>3.2235984354628422</v>
      </c>
      <c r="AE216" s="111">
        <v>299.2398956975228</v>
      </c>
      <c r="AF216" s="112">
        <v>28.727509778357238</v>
      </c>
      <c r="AG216" s="117">
        <v>970.63298565840944</v>
      </c>
      <c r="AH216" s="111">
        <v>533.81290743155148</v>
      </c>
      <c r="AI216" s="112">
        <v>106.07887874837027</v>
      </c>
      <c r="AJ216" s="112">
        <v>51.742503259452413</v>
      </c>
      <c r="AK216" s="113">
        <f t="shared" si="41"/>
        <v>1993.4582790091263</v>
      </c>
      <c r="AL216" s="143">
        <f t="shared" si="42"/>
        <v>240302.024</v>
      </c>
      <c r="AM216" s="112">
        <f t="shared" si="42"/>
        <v>176666.36499999999</v>
      </c>
      <c r="AN216" s="112">
        <f t="shared" si="42"/>
        <v>63635.659</v>
      </c>
      <c r="AO216" s="112">
        <f t="shared" si="42"/>
        <v>5307.4979999999996</v>
      </c>
      <c r="AP216" s="192">
        <f t="shared" si="36"/>
        <v>0.7351846732676709</v>
      </c>
      <c r="AQ216" s="193">
        <f t="shared" si="37"/>
        <v>9490.657554152127</v>
      </c>
      <c r="AR216" s="194">
        <f t="shared" si="38"/>
        <v>-2740.9472146307498</v>
      </c>
      <c r="AS216" s="118"/>
      <c r="AT216" s="119"/>
      <c r="AU216" s="119"/>
      <c r="AV216" s="120"/>
      <c r="AW216" s="195"/>
      <c r="AX216" s="112">
        <v>240302024</v>
      </c>
      <c r="AY216" s="162">
        <v>176666365</v>
      </c>
      <c r="AZ216" s="162">
        <v>63635659</v>
      </c>
      <c r="BA216" s="162">
        <v>5307498</v>
      </c>
      <c r="BB216" s="196">
        <f t="shared" si="33"/>
        <v>0.7351846732676709</v>
      </c>
    </row>
    <row r="217" spans="1:54" s="121" customFormat="1" ht="16.5" customHeight="1">
      <c r="A217" s="104" t="s">
        <v>2143</v>
      </c>
      <c r="B217" s="105" t="s">
        <v>1231</v>
      </c>
      <c r="C217" s="106" t="s">
        <v>1283</v>
      </c>
      <c r="D217" s="106" t="s">
        <v>2415</v>
      </c>
      <c r="E217" s="71" t="s">
        <v>1284</v>
      </c>
      <c r="F217" s="71" t="s">
        <v>708</v>
      </c>
      <c r="G217" s="109" t="s">
        <v>1207</v>
      </c>
      <c r="H217" s="110">
        <v>17764.855387324867</v>
      </c>
      <c r="I217" s="111"/>
      <c r="J217" s="112"/>
      <c r="K217" s="113">
        <f t="shared" si="34"/>
        <v>17764.855387324867</v>
      </c>
      <c r="L217" s="110">
        <v>23</v>
      </c>
      <c r="M217" s="111"/>
      <c r="N217" s="112"/>
      <c r="O217" s="111">
        <v>1214</v>
      </c>
      <c r="P217" s="154">
        <v>0.19826589595375721</v>
      </c>
      <c r="Q217" s="111">
        <v>8428</v>
      </c>
      <c r="R217" s="112">
        <v>0</v>
      </c>
      <c r="S217" s="112">
        <v>119.61098265895954</v>
      </c>
      <c r="T217" s="111">
        <f t="shared" si="35"/>
        <v>1790.6109826589595</v>
      </c>
      <c r="U217" s="112">
        <v>109.9242774566474</v>
      </c>
      <c r="V217" s="116"/>
      <c r="W217" s="111">
        <v>4270.2829204693617</v>
      </c>
      <c r="X217" s="113">
        <f t="shared" si="39"/>
        <v>7407.818180584969</v>
      </c>
      <c r="Y217" s="110"/>
      <c r="Z217" s="111"/>
      <c r="AA217" s="116"/>
      <c r="AB217" s="111">
        <v>4053.5977722772277</v>
      </c>
      <c r="AC217" s="113">
        <f t="shared" si="40"/>
        <v>4053.5977722772277</v>
      </c>
      <c r="AD217" s="110">
        <v>6.8676662320730122</v>
      </c>
      <c r="AE217" s="111">
        <v>637.51108213820078</v>
      </c>
      <c r="AF217" s="112">
        <v>61.202086049543681</v>
      </c>
      <c r="AG217" s="117">
        <v>2067.8702737940025</v>
      </c>
      <c r="AH217" s="111">
        <v>1137.2535853976533</v>
      </c>
      <c r="AI217" s="112">
        <v>225.99413298565841</v>
      </c>
      <c r="AJ217" s="112">
        <v>110.23402868318124</v>
      </c>
      <c r="AK217" s="113">
        <f t="shared" si="41"/>
        <v>4246.9328552803136</v>
      </c>
      <c r="AL217" s="143">
        <f t="shared" si="42"/>
        <v>343118.1</v>
      </c>
      <c r="AM217" s="112">
        <f t="shared" si="42"/>
        <v>221904.57</v>
      </c>
      <c r="AN217" s="112">
        <f t="shared" si="42"/>
        <v>121213.53</v>
      </c>
      <c r="AO217" s="112">
        <f t="shared" si="42"/>
        <v>7548.598</v>
      </c>
      <c r="AP217" s="192">
        <f t="shared" si="36"/>
        <v>0.64672942056976879</v>
      </c>
      <c r="AQ217" s="193">
        <f t="shared" si="37"/>
        <v>14956.416180584969</v>
      </c>
      <c r="AR217" s="194">
        <f t="shared" si="38"/>
        <v>2808.4392067398985</v>
      </c>
      <c r="AS217" s="118"/>
      <c r="AT217" s="119"/>
      <c r="AU217" s="119"/>
      <c r="AV217" s="120"/>
      <c r="AW217" s="195"/>
      <c r="AX217" s="112">
        <v>343118100</v>
      </c>
      <c r="AY217" s="162">
        <v>221904570</v>
      </c>
      <c r="AZ217" s="162">
        <v>121213530</v>
      </c>
      <c r="BA217" s="162">
        <v>7548598</v>
      </c>
      <c r="BB217" s="196">
        <f t="shared" si="33"/>
        <v>0.64672942056976879</v>
      </c>
    </row>
    <row r="218" spans="1:54" s="121" customFormat="1" ht="16.5" customHeight="1">
      <c r="A218" s="104" t="s">
        <v>2143</v>
      </c>
      <c r="B218" s="105" t="s">
        <v>1235</v>
      </c>
      <c r="C218" s="106" t="s">
        <v>1287</v>
      </c>
      <c r="D218" s="106" t="s">
        <v>2415</v>
      </c>
      <c r="E218" s="71" t="s">
        <v>1288</v>
      </c>
      <c r="F218" s="71" t="s">
        <v>708</v>
      </c>
      <c r="G218" s="109" t="s">
        <v>1207</v>
      </c>
      <c r="H218" s="110">
        <v>45585.662414585873</v>
      </c>
      <c r="I218" s="111"/>
      <c r="J218" s="112"/>
      <c r="K218" s="113">
        <f t="shared" si="34"/>
        <v>45585.662414585873</v>
      </c>
      <c r="L218" s="110">
        <v>8</v>
      </c>
      <c r="M218" s="111"/>
      <c r="N218" s="112"/>
      <c r="O218" s="111">
        <v>13199</v>
      </c>
      <c r="P218" s="154">
        <v>0.47341040462427741</v>
      </c>
      <c r="Q218" s="111">
        <v>8428</v>
      </c>
      <c r="R218" s="112">
        <v>0</v>
      </c>
      <c r="S218" s="112">
        <v>285.60173410404622</v>
      </c>
      <c r="T218" s="111">
        <f t="shared" si="35"/>
        <v>4275.601734104046</v>
      </c>
      <c r="U218" s="112">
        <v>262.47225433526012</v>
      </c>
      <c r="V218" s="116"/>
      <c r="W218" s="111">
        <v>10196.389830508475</v>
      </c>
      <c r="X218" s="113">
        <f t="shared" si="39"/>
        <v>27941.463818947785</v>
      </c>
      <c r="Y218" s="110"/>
      <c r="Z218" s="111"/>
      <c r="AA218" s="116"/>
      <c r="AB218" s="111">
        <v>9678.9987623762372</v>
      </c>
      <c r="AC218" s="113">
        <f t="shared" si="40"/>
        <v>9678.9987623762372</v>
      </c>
      <c r="AD218" s="110">
        <v>16.398305084745765</v>
      </c>
      <c r="AE218" s="111">
        <v>1522.2203389830509</v>
      </c>
      <c r="AF218" s="112">
        <v>146.13559322033899</v>
      </c>
      <c r="AG218" s="117">
        <v>4937.5677966101703</v>
      </c>
      <c r="AH218" s="111">
        <v>2715.4830508474579</v>
      </c>
      <c r="AI218" s="112">
        <v>539.61864406779659</v>
      </c>
      <c r="AJ218" s="112">
        <v>263.21186440677968</v>
      </c>
      <c r="AK218" s="113">
        <f t="shared" si="41"/>
        <v>10140.635593220339</v>
      </c>
      <c r="AL218" s="143">
        <f t="shared" si="42"/>
        <v>1067585.27</v>
      </c>
      <c r="AM218" s="112">
        <f t="shared" si="42"/>
        <v>567814.14300000004</v>
      </c>
      <c r="AN218" s="112">
        <f t="shared" si="42"/>
        <v>499771.12699999998</v>
      </c>
      <c r="AO218" s="112">
        <f t="shared" si="42"/>
        <v>23486.875</v>
      </c>
      <c r="AP218" s="192">
        <f t="shared" si="36"/>
        <v>0.5318677195686673</v>
      </c>
      <c r="AQ218" s="193">
        <f t="shared" si="37"/>
        <v>51428.338818947785</v>
      </c>
      <c r="AR218" s="194">
        <f t="shared" si="38"/>
        <v>-5842.6764043619114</v>
      </c>
      <c r="AS218" s="118"/>
      <c r="AT218" s="119"/>
      <c r="AU218" s="119"/>
      <c r="AV218" s="120"/>
      <c r="AW218" s="195"/>
      <c r="AX218" s="112">
        <v>1067585270</v>
      </c>
      <c r="AY218" s="162">
        <v>567814143</v>
      </c>
      <c r="AZ218" s="162">
        <v>499771127</v>
      </c>
      <c r="BA218" s="162">
        <v>23486875</v>
      </c>
      <c r="BB218" s="196">
        <f t="shared" si="33"/>
        <v>0.5318677195686673</v>
      </c>
    </row>
    <row r="219" spans="1:54" s="121" customFormat="1" ht="16.5" customHeight="1">
      <c r="A219" s="104" t="s">
        <v>2143</v>
      </c>
      <c r="B219" s="105" t="s">
        <v>148</v>
      </c>
      <c r="C219" s="106" t="s">
        <v>1291</v>
      </c>
      <c r="D219" s="106" t="s">
        <v>2415</v>
      </c>
      <c r="E219" s="71" t="s">
        <v>1292</v>
      </c>
      <c r="F219" s="71" t="s">
        <v>708</v>
      </c>
      <c r="G219" s="109" t="s">
        <v>1207</v>
      </c>
      <c r="H219" s="110">
        <v>23342.377617672995</v>
      </c>
      <c r="I219" s="111"/>
      <c r="J219" s="112"/>
      <c r="K219" s="113">
        <f t="shared" si="34"/>
        <v>23342.377617672995</v>
      </c>
      <c r="L219" s="110">
        <v>1</v>
      </c>
      <c r="M219" s="111"/>
      <c r="N219" s="112"/>
      <c r="O219" s="111">
        <v>5459</v>
      </c>
      <c r="P219" s="154">
        <v>0.23872832369942193</v>
      </c>
      <c r="Q219" s="111">
        <v>8428</v>
      </c>
      <c r="R219" s="112">
        <v>0</v>
      </c>
      <c r="S219" s="112">
        <v>144.02138728323698</v>
      </c>
      <c r="T219" s="111">
        <f t="shared" si="35"/>
        <v>2156.0213872832369</v>
      </c>
      <c r="U219" s="112">
        <v>132.35780346820809</v>
      </c>
      <c r="V219" s="116"/>
      <c r="W219" s="111">
        <v>5141.7692307692314</v>
      </c>
      <c r="X219" s="113">
        <f t="shared" si="39"/>
        <v>12890.148421520676</v>
      </c>
      <c r="Y219" s="110"/>
      <c r="Z219" s="111"/>
      <c r="AA219" s="116"/>
      <c r="AB219" s="111">
        <v>4880.8626237623757</v>
      </c>
      <c r="AC219" s="113">
        <f t="shared" si="40"/>
        <v>4880.8626237623757</v>
      </c>
      <c r="AD219" s="110">
        <v>8.2692307692307701</v>
      </c>
      <c r="AE219" s="111">
        <v>767.61538461538464</v>
      </c>
      <c r="AF219" s="112">
        <v>73.692307692307693</v>
      </c>
      <c r="AG219" s="117">
        <v>2489.8846153846157</v>
      </c>
      <c r="AH219" s="111">
        <v>1369.3461538461538</v>
      </c>
      <c r="AI219" s="112">
        <v>272.11538461538464</v>
      </c>
      <c r="AJ219" s="112">
        <v>132.73076923076923</v>
      </c>
      <c r="AK219" s="113">
        <f t="shared" si="41"/>
        <v>5113.6538461538476</v>
      </c>
      <c r="AL219" s="143">
        <f t="shared" si="42"/>
        <v>2173352.2990000001</v>
      </c>
      <c r="AM219" s="112">
        <f t="shared" si="42"/>
        <v>1061268.6510000001</v>
      </c>
      <c r="AN219" s="112">
        <f t="shared" si="42"/>
        <v>1112083.648</v>
      </c>
      <c r="AO219" s="112">
        <f t="shared" si="42"/>
        <v>47961.04</v>
      </c>
      <c r="AP219" s="192">
        <f t="shared" si="36"/>
        <v>0.48830953522275683</v>
      </c>
      <c r="AQ219" s="193">
        <f t="shared" si="37"/>
        <v>60851.188421520681</v>
      </c>
      <c r="AR219" s="194">
        <f t="shared" si="38"/>
        <v>-37508.810803847686</v>
      </c>
      <c r="AS219" s="118"/>
      <c r="AT219" s="119"/>
      <c r="AU219" s="119"/>
      <c r="AV219" s="120"/>
      <c r="AW219" s="195"/>
      <c r="AX219" s="112">
        <v>2173352299</v>
      </c>
      <c r="AY219" s="162">
        <v>1061268651</v>
      </c>
      <c r="AZ219" s="162">
        <v>1112083648</v>
      </c>
      <c r="BA219" s="162">
        <v>47961040</v>
      </c>
      <c r="BB219" s="196">
        <f t="shared" si="33"/>
        <v>0.48830953522275683</v>
      </c>
    </row>
    <row r="220" spans="1:54" s="121" customFormat="1" ht="16.5" customHeight="1">
      <c r="A220" s="104" t="s">
        <v>2143</v>
      </c>
      <c r="B220" s="105" t="s">
        <v>1241</v>
      </c>
      <c r="C220" s="106" t="s">
        <v>1295</v>
      </c>
      <c r="D220" s="106" t="s">
        <v>2415</v>
      </c>
      <c r="E220" s="71" t="s">
        <v>1296</v>
      </c>
      <c r="F220" s="71" t="s">
        <v>708</v>
      </c>
      <c r="G220" s="109" t="s">
        <v>1207</v>
      </c>
      <c r="H220" s="110">
        <v>18735.827473644018</v>
      </c>
      <c r="I220" s="111"/>
      <c r="J220" s="112"/>
      <c r="K220" s="113">
        <f t="shared" si="34"/>
        <v>18735.827473644018</v>
      </c>
      <c r="L220" s="110">
        <v>1</v>
      </c>
      <c r="M220" s="111"/>
      <c r="N220" s="112"/>
      <c r="O220" s="111">
        <v>3820</v>
      </c>
      <c r="P220" s="154">
        <v>0.18612716763005782</v>
      </c>
      <c r="Q220" s="111">
        <v>8428</v>
      </c>
      <c r="R220" s="112">
        <v>0</v>
      </c>
      <c r="S220" s="112">
        <v>112.28786127167631</v>
      </c>
      <c r="T220" s="111">
        <f t="shared" si="35"/>
        <v>1681.2878612716763</v>
      </c>
      <c r="U220" s="112">
        <v>103.19421965317919</v>
      </c>
      <c r="V220" s="116"/>
      <c r="W220" s="111">
        <v>4008.8370273794003</v>
      </c>
      <c r="X220" s="113">
        <f t="shared" si="39"/>
        <v>9614.3191083042548</v>
      </c>
      <c r="Y220" s="110"/>
      <c r="Z220" s="111"/>
      <c r="AA220" s="116"/>
      <c r="AB220" s="111">
        <v>3805.4183168316831</v>
      </c>
      <c r="AC220" s="113">
        <f t="shared" si="40"/>
        <v>3805.4183168316831</v>
      </c>
      <c r="AD220" s="110">
        <v>6.4471968709256844</v>
      </c>
      <c r="AE220" s="111">
        <v>598.47979139504559</v>
      </c>
      <c r="AF220" s="112">
        <v>57.455019556714475</v>
      </c>
      <c r="AG220" s="117">
        <v>1941.2659713168189</v>
      </c>
      <c r="AH220" s="111">
        <v>1067.625814863103</v>
      </c>
      <c r="AI220" s="112">
        <v>212.15775749674054</v>
      </c>
      <c r="AJ220" s="112">
        <v>103.48500651890483</v>
      </c>
      <c r="AK220" s="113">
        <f t="shared" si="41"/>
        <v>3986.9165580182525</v>
      </c>
      <c r="AL220" s="143">
        <f t="shared" si="42"/>
        <v>1217507.662</v>
      </c>
      <c r="AM220" s="112">
        <f t="shared" si="42"/>
        <v>509052.63900000002</v>
      </c>
      <c r="AN220" s="112">
        <f t="shared" si="42"/>
        <v>708455.02300000004</v>
      </c>
      <c r="AO220" s="112">
        <f t="shared" si="42"/>
        <v>24302.796999999999</v>
      </c>
      <c r="AP220" s="192">
        <f t="shared" si="36"/>
        <v>0.41811041925089748</v>
      </c>
      <c r="AQ220" s="193">
        <f t="shared" si="37"/>
        <v>33917.116108304253</v>
      </c>
      <c r="AR220" s="194">
        <f t="shared" si="38"/>
        <v>-15181.288634660235</v>
      </c>
      <c r="AS220" s="118"/>
      <c r="AT220" s="119"/>
      <c r="AU220" s="119"/>
      <c r="AV220" s="120"/>
      <c r="AW220" s="195"/>
      <c r="AX220" s="112">
        <v>1217507662</v>
      </c>
      <c r="AY220" s="162">
        <v>509052639</v>
      </c>
      <c r="AZ220" s="162">
        <v>708455023</v>
      </c>
      <c r="BA220" s="162">
        <v>24302797</v>
      </c>
      <c r="BB220" s="196">
        <f t="shared" si="33"/>
        <v>0.41811041925089748</v>
      </c>
    </row>
    <row r="221" spans="1:54" s="121" customFormat="1" ht="16.5" customHeight="1">
      <c r="A221" s="104" t="s">
        <v>2143</v>
      </c>
      <c r="B221" s="105" t="s">
        <v>1245</v>
      </c>
      <c r="C221" s="106" t="s">
        <v>1299</v>
      </c>
      <c r="D221" s="106" t="s">
        <v>2415</v>
      </c>
      <c r="E221" s="71" t="s">
        <v>1300</v>
      </c>
      <c r="F221" s="71" t="s">
        <v>708</v>
      </c>
      <c r="G221" s="109" t="s">
        <v>1207</v>
      </c>
      <c r="H221" s="110">
        <v>12725.054367214929</v>
      </c>
      <c r="I221" s="111"/>
      <c r="J221" s="112"/>
      <c r="K221" s="113">
        <f t="shared" si="34"/>
        <v>12725.054367214929</v>
      </c>
      <c r="L221" s="110">
        <v>0</v>
      </c>
      <c r="M221" s="111"/>
      <c r="N221" s="112"/>
      <c r="O221" s="111">
        <v>463</v>
      </c>
      <c r="P221" s="154">
        <v>0.12947976878612719</v>
      </c>
      <c r="Q221" s="111">
        <v>8428</v>
      </c>
      <c r="R221" s="112">
        <v>0</v>
      </c>
      <c r="S221" s="112">
        <v>78.113294797687871</v>
      </c>
      <c r="T221" s="111">
        <f t="shared" si="35"/>
        <v>1169.1132947976878</v>
      </c>
      <c r="U221" s="112">
        <v>71.787283236994227</v>
      </c>
      <c r="V221" s="116"/>
      <c r="W221" s="111">
        <v>2788.7561929595827</v>
      </c>
      <c r="X221" s="113">
        <f t="shared" si="39"/>
        <v>4492.6567709942647</v>
      </c>
      <c r="Y221" s="110"/>
      <c r="Z221" s="111"/>
      <c r="AA221" s="116"/>
      <c r="AB221" s="111">
        <v>2647.2475247524753</v>
      </c>
      <c r="AC221" s="113">
        <f t="shared" si="40"/>
        <v>2647.2475247524753</v>
      </c>
      <c r="AD221" s="110">
        <v>4.4850065189048243</v>
      </c>
      <c r="AE221" s="111">
        <v>416.33376792698823</v>
      </c>
      <c r="AF221" s="112">
        <v>39.968709256844846</v>
      </c>
      <c r="AG221" s="117">
        <v>1350.4458930899609</v>
      </c>
      <c r="AH221" s="111">
        <v>742.69621903520203</v>
      </c>
      <c r="AI221" s="112">
        <v>147.58800521512384</v>
      </c>
      <c r="AJ221" s="112">
        <v>71.989569752281611</v>
      </c>
      <c r="AK221" s="113">
        <f t="shared" si="41"/>
        <v>2773.5071707953061</v>
      </c>
      <c r="AL221" s="143">
        <f t="shared" si="42"/>
        <v>816840.94</v>
      </c>
      <c r="AM221" s="112">
        <f t="shared" si="42"/>
        <v>359347.92800000001</v>
      </c>
      <c r="AN221" s="112">
        <f t="shared" si="42"/>
        <v>457493.01199999999</v>
      </c>
      <c r="AO221" s="112">
        <f t="shared" si="42"/>
        <v>17986.741999999998</v>
      </c>
      <c r="AP221" s="192">
        <f t="shared" si="36"/>
        <v>0.43992399303590246</v>
      </c>
      <c r="AQ221" s="193">
        <f t="shared" si="37"/>
        <v>22479.398770994263</v>
      </c>
      <c r="AR221" s="194">
        <f t="shared" si="38"/>
        <v>-9754.3444037793342</v>
      </c>
      <c r="AS221" s="118"/>
      <c r="AT221" s="119"/>
      <c r="AU221" s="119"/>
      <c r="AV221" s="120"/>
      <c r="AW221" s="195"/>
      <c r="AX221" s="112">
        <v>816840940</v>
      </c>
      <c r="AY221" s="162">
        <v>359347928</v>
      </c>
      <c r="AZ221" s="162">
        <v>457493012</v>
      </c>
      <c r="BA221" s="162">
        <v>17986742</v>
      </c>
      <c r="BB221" s="196">
        <f t="shared" si="33"/>
        <v>0.43992399303590246</v>
      </c>
    </row>
    <row r="222" spans="1:54" s="121" customFormat="1" ht="16.5" customHeight="1">
      <c r="A222" s="104" t="s">
        <v>2143</v>
      </c>
      <c r="B222" s="105" t="s">
        <v>1249</v>
      </c>
      <c r="C222" s="106" t="s">
        <v>1304</v>
      </c>
      <c r="D222" s="106" t="s">
        <v>2415</v>
      </c>
      <c r="E222" s="71" t="s">
        <v>1305</v>
      </c>
      <c r="F222" s="71" t="s">
        <v>708</v>
      </c>
      <c r="G222" s="109" t="s">
        <v>1207</v>
      </c>
      <c r="H222" s="110">
        <v>33049.953370847834</v>
      </c>
      <c r="I222" s="111"/>
      <c r="J222" s="112"/>
      <c r="K222" s="113">
        <f t="shared" si="34"/>
        <v>33049.953370847834</v>
      </c>
      <c r="L222" s="110">
        <v>29</v>
      </c>
      <c r="M222" s="111"/>
      <c r="N222" s="112"/>
      <c r="O222" s="111">
        <v>0</v>
      </c>
      <c r="P222" s="154">
        <v>0.36820809248554914</v>
      </c>
      <c r="Q222" s="111">
        <v>8428</v>
      </c>
      <c r="R222" s="112">
        <v>0</v>
      </c>
      <c r="S222" s="112">
        <v>222.13468208092488</v>
      </c>
      <c r="T222" s="111">
        <f t="shared" si="35"/>
        <v>3325.1346820809249</v>
      </c>
      <c r="U222" s="112">
        <v>204.14508670520232</v>
      </c>
      <c r="V222" s="116"/>
      <c r="W222" s="111">
        <v>7930.5254237288136</v>
      </c>
      <c r="X222" s="113">
        <f t="shared" si="39"/>
        <v>11488.805192514941</v>
      </c>
      <c r="Y222" s="110"/>
      <c r="Z222" s="111"/>
      <c r="AA222" s="116"/>
      <c r="AB222" s="111">
        <v>7528.110148514852</v>
      </c>
      <c r="AC222" s="113">
        <f t="shared" si="40"/>
        <v>7528.110148514852</v>
      </c>
      <c r="AD222" s="110">
        <v>12.754237288135593</v>
      </c>
      <c r="AE222" s="111">
        <v>1183.949152542373</v>
      </c>
      <c r="AF222" s="112">
        <v>113.66101694915254</v>
      </c>
      <c r="AG222" s="117">
        <v>3840.3305084745762</v>
      </c>
      <c r="AH222" s="111">
        <v>2112.0423728813562</v>
      </c>
      <c r="AI222" s="112">
        <v>419.70338983050851</v>
      </c>
      <c r="AJ222" s="112">
        <v>204.72033898305085</v>
      </c>
      <c r="AK222" s="113">
        <f t="shared" si="41"/>
        <v>7887.1610169491532</v>
      </c>
      <c r="AL222" s="143">
        <f t="shared" si="42"/>
        <v>523972</v>
      </c>
      <c r="AM222" s="112">
        <f t="shared" si="42"/>
        <v>209431.51199999999</v>
      </c>
      <c r="AN222" s="112">
        <f t="shared" si="42"/>
        <v>314540.48800000001</v>
      </c>
      <c r="AO222" s="112">
        <f t="shared" si="42"/>
        <v>11635.084000000001</v>
      </c>
      <c r="AP222" s="192">
        <f t="shared" si="36"/>
        <v>0.39969981602070337</v>
      </c>
      <c r="AQ222" s="193">
        <f t="shared" si="37"/>
        <v>23123.889192514944</v>
      </c>
      <c r="AR222" s="194">
        <f t="shared" si="38"/>
        <v>9926.0641783328902</v>
      </c>
      <c r="AS222" s="118"/>
      <c r="AT222" s="119"/>
      <c r="AU222" s="119"/>
      <c r="AV222" s="120"/>
      <c r="AW222" s="195"/>
      <c r="AX222" s="112">
        <v>523972000</v>
      </c>
      <c r="AY222" s="162">
        <v>209431512</v>
      </c>
      <c r="AZ222" s="162">
        <v>314540488</v>
      </c>
      <c r="BA222" s="162">
        <v>11635084</v>
      </c>
      <c r="BB222" s="196">
        <f t="shared" si="33"/>
        <v>0.39969981602070337</v>
      </c>
    </row>
    <row r="223" spans="1:54" s="121" customFormat="1" ht="16.5" customHeight="1">
      <c r="A223" s="104" t="s">
        <v>2143</v>
      </c>
      <c r="B223" s="105" t="s">
        <v>1252</v>
      </c>
      <c r="C223" s="106" t="s">
        <v>1308</v>
      </c>
      <c r="D223" s="106" t="s">
        <v>2415</v>
      </c>
      <c r="E223" s="71" t="s">
        <v>1309</v>
      </c>
      <c r="F223" s="71" t="s">
        <v>708</v>
      </c>
      <c r="G223" s="109" t="s">
        <v>1207</v>
      </c>
      <c r="H223" s="110">
        <v>26513.944248848526</v>
      </c>
      <c r="I223" s="111"/>
      <c r="J223" s="112"/>
      <c r="K223" s="113">
        <f t="shared" si="34"/>
        <v>26513.944248848526</v>
      </c>
      <c r="L223" s="110">
        <v>0</v>
      </c>
      <c r="M223" s="111"/>
      <c r="N223" s="112"/>
      <c r="O223" s="111">
        <v>0</v>
      </c>
      <c r="P223" s="154">
        <v>0.20231213872832371</v>
      </c>
      <c r="Q223" s="111">
        <v>8428</v>
      </c>
      <c r="R223" s="112">
        <v>0</v>
      </c>
      <c r="S223" s="112">
        <v>122.05202312138728</v>
      </c>
      <c r="T223" s="111">
        <f t="shared" si="35"/>
        <v>1827.0520231213873</v>
      </c>
      <c r="U223" s="112">
        <v>112.16763005780346</v>
      </c>
      <c r="V223" s="116"/>
      <c r="W223" s="111">
        <v>4357.4315514993486</v>
      </c>
      <c r="X223" s="113">
        <f t="shared" si="39"/>
        <v>6296.6512046785392</v>
      </c>
      <c r="Y223" s="110"/>
      <c r="Z223" s="111"/>
      <c r="AA223" s="116"/>
      <c r="AB223" s="111">
        <v>4136.3242574257429</v>
      </c>
      <c r="AC223" s="113">
        <f t="shared" si="40"/>
        <v>4136.3242574257429</v>
      </c>
      <c r="AD223" s="110">
        <v>7.0078226857887875</v>
      </c>
      <c r="AE223" s="111">
        <v>650.52151238591921</v>
      </c>
      <c r="AF223" s="112">
        <v>62.451108213820078</v>
      </c>
      <c r="AG223" s="117">
        <v>2110.0717079530641</v>
      </c>
      <c r="AH223" s="111">
        <v>1160.4628422425033</v>
      </c>
      <c r="AI223" s="112">
        <v>230.60625814863104</v>
      </c>
      <c r="AJ223" s="112">
        <v>112.48370273794004</v>
      </c>
      <c r="AK223" s="113">
        <f t="shared" si="41"/>
        <v>4333.6049543676663</v>
      </c>
      <c r="AL223" s="143">
        <f t="shared" si="42"/>
        <v>1273503</v>
      </c>
      <c r="AM223" s="112">
        <f t="shared" si="42"/>
        <v>380856.35700000002</v>
      </c>
      <c r="AN223" s="112">
        <f t="shared" si="42"/>
        <v>892646.64300000004</v>
      </c>
      <c r="AO223" s="112">
        <f t="shared" si="42"/>
        <v>28107.362000000001</v>
      </c>
      <c r="AP223" s="192">
        <f t="shared" si="36"/>
        <v>0.29906200220965323</v>
      </c>
      <c r="AQ223" s="193">
        <f t="shared" si="37"/>
        <v>34404.013204678544</v>
      </c>
      <c r="AR223" s="194">
        <f t="shared" si="38"/>
        <v>-7890.0689558300182</v>
      </c>
      <c r="AS223" s="118"/>
      <c r="AT223" s="119"/>
      <c r="AU223" s="119"/>
      <c r="AV223" s="120"/>
      <c r="AW223" s="195"/>
      <c r="AX223" s="112">
        <v>1273503000</v>
      </c>
      <c r="AY223" s="162">
        <v>380856357</v>
      </c>
      <c r="AZ223" s="162">
        <v>892646643</v>
      </c>
      <c r="BA223" s="162">
        <v>28107362</v>
      </c>
      <c r="BB223" s="196">
        <f t="shared" si="33"/>
        <v>0.29906200220965323</v>
      </c>
    </row>
    <row r="224" spans="1:54" s="121" customFormat="1" ht="16.5" customHeight="1">
      <c r="A224" s="104" t="s">
        <v>2143</v>
      </c>
      <c r="B224" s="105" t="s">
        <v>1253</v>
      </c>
      <c r="C224" s="106" t="s">
        <v>1312</v>
      </c>
      <c r="D224" s="106" t="s">
        <v>2415</v>
      </c>
      <c r="E224" s="71" t="s">
        <v>1313</v>
      </c>
      <c r="F224" s="71" t="s">
        <v>78</v>
      </c>
      <c r="G224" s="109" t="s">
        <v>304</v>
      </c>
      <c r="H224" s="143"/>
      <c r="I224" s="112"/>
      <c r="J224" s="112"/>
      <c r="K224" s="113">
        <f t="shared" si="34"/>
        <v>0</v>
      </c>
      <c r="L224" s="110">
        <v>1140</v>
      </c>
      <c r="M224" s="111">
        <v>25</v>
      </c>
      <c r="N224" s="112">
        <v>0</v>
      </c>
      <c r="O224" s="111">
        <v>1893</v>
      </c>
      <c r="P224" s="114"/>
      <c r="Q224" s="111">
        <v>8428</v>
      </c>
      <c r="R224" s="112"/>
      <c r="S224" s="112"/>
      <c r="T224" s="111">
        <f t="shared" si="35"/>
        <v>0</v>
      </c>
      <c r="U224" s="112">
        <v>53</v>
      </c>
      <c r="V224" s="116">
        <v>0</v>
      </c>
      <c r="W224" s="112"/>
      <c r="X224" s="113">
        <f t="shared" si="39"/>
        <v>3111</v>
      </c>
      <c r="Y224" s="110"/>
      <c r="Z224" s="111"/>
      <c r="AA224" s="116"/>
      <c r="AB224" s="111"/>
      <c r="AC224" s="113">
        <f t="shared" si="40"/>
        <v>0</v>
      </c>
      <c r="AD224" s="110"/>
      <c r="AE224" s="111"/>
      <c r="AF224" s="112"/>
      <c r="AG224" s="117"/>
      <c r="AH224" s="111"/>
      <c r="AI224" s="112"/>
      <c r="AJ224" s="112"/>
      <c r="AK224" s="113">
        <f t="shared" si="41"/>
        <v>0</v>
      </c>
      <c r="AL224" s="143">
        <f t="shared" si="42"/>
        <v>636969.01899999997</v>
      </c>
      <c r="AM224" s="112">
        <f t="shared" si="42"/>
        <v>547968.84400000004</v>
      </c>
      <c r="AN224" s="112">
        <f t="shared" si="42"/>
        <v>89000.175000000003</v>
      </c>
      <c r="AO224" s="112">
        <f t="shared" si="42"/>
        <v>7424.96</v>
      </c>
      <c r="AP224" s="192">
        <f t="shared" si="36"/>
        <v>0.86027550423139187</v>
      </c>
      <c r="AQ224" s="193">
        <f t="shared" si="37"/>
        <v>10535.96</v>
      </c>
      <c r="AR224" s="194">
        <f t="shared" si="38"/>
        <v>-10535.96</v>
      </c>
      <c r="AS224" s="118"/>
      <c r="AT224" s="119"/>
      <c r="AU224" s="119"/>
      <c r="AV224" s="120"/>
      <c r="AW224" s="195"/>
      <c r="AX224" s="112">
        <v>636969019</v>
      </c>
      <c r="AY224" s="162">
        <v>547968844</v>
      </c>
      <c r="AZ224" s="162">
        <v>89000175</v>
      </c>
      <c r="BA224" s="162">
        <v>7424960</v>
      </c>
      <c r="BB224" s="196">
        <f>AY224/AX224</f>
        <v>0.86027550423139187</v>
      </c>
    </row>
    <row r="225" spans="1:54" s="121" customFormat="1" ht="16.5" customHeight="1">
      <c r="A225" s="104" t="s">
        <v>2143</v>
      </c>
      <c r="B225" s="105" t="s">
        <v>1254</v>
      </c>
      <c r="C225" s="106" t="s">
        <v>1320</v>
      </c>
      <c r="D225" s="106" t="s">
        <v>2415</v>
      </c>
      <c r="E225" s="71" t="s">
        <v>1321</v>
      </c>
      <c r="F225" s="71" t="s">
        <v>78</v>
      </c>
      <c r="G225" s="109" t="s">
        <v>304</v>
      </c>
      <c r="H225" s="143"/>
      <c r="I225" s="112"/>
      <c r="J225" s="112"/>
      <c r="K225" s="113">
        <f t="shared" si="34"/>
        <v>0</v>
      </c>
      <c r="L225" s="110">
        <v>11</v>
      </c>
      <c r="M225" s="111">
        <v>1609</v>
      </c>
      <c r="N225" s="112">
        <v>0</v>
      </c>
      <c r="O225" s="111">
        <v>565</v>
      </c>
      <c r="P225" s="114"/>
      <c r="Q225" s="111">
        <v>8428</v>
      </c>
      <c r="R225" s="112"/>
      <c r="S225" s="112"/>
      <c r="T225" s="111">
        <f t="shared" si="35"/>
        <v>0</v>
      </c>
      <c r="U225" s="112">
        <v>74</v>
      </c>
      <c r="V225" s="116">
        <v>0</v>
      </c>
      <c r="W225" s="112"/>
      <c r="X225" s="113">
        <f t="shared" si="39"/>
        <v>2259</v>
      </c>
      <c r="Y225" s="110"/>
      <c r="Z225" s="111"/>
      <c r="AA225" s="116"/>
      <c r="AB225" s="111"/>
      <c r="AC225" s="113">
        <f t="shared" si="40"/>
        <v>0</v>
      </c>
      <c r="AD225" s="110"/>
      <c r="AE225" s="111"/>
      <c r="AF225" s="112"/>
      <c r="AG225" s="117"/>
      <c r="AH225" s="111"/>
      <c r="AI225" s="112"/>
      <c r="AJ225" s="112"/>
      <c r="AK225" s="113">
        <f t="shared" si="41"/>
        <v>0</v>
      </c>
      <c r="AL225" s="143">
        <f t="shared" si="42"/>
        <v>195278.74600000001</v>
      </c>
      <c r="AM225" s="112">
        <f t="shared" si="42"/>
        <v>143703.073</v>
      </c>
      <c r="AN225" s="112">
        <f t="shared" si="42"/>
        <v>51575.673000000003</v>
      </c>
      <c r="AO225" s="112">
        <f t="shared" si="42"/>
        <v>6365.8419999999996</v>
      </c>
      <c r="AP225" s="192">
        <f t="shared" si="36"/>
        <v>0.73588691008902729</v>
      </c>
      <c r="AQ225" s="193">
        <f t="shared" si="37"/>
        <v>8624.8420000000006</v>
      </c>
      <c r="AR225" s="194">
        <f t="shared" si="38"/>
        <v>-8624.8420000000006</v>
      </c>
      <c r="AS225" s="118"/>
      <c r="AT225" s="119"/>
      <c r="AU225" s="119"/>
      <c r="AV225" s="120"/>
      <c r="AW225" s="195"/>
      <c r="AX225" s="112">
        <v>195278746</v>
      </c>
      <c r="AY225" s="162">
        <v>143703073</v>
      </c>
      <c r="AZ225" s="162">
        <v>51575673</v>
      </c>
      <c r="BA225" s="162">
        <v>6365842</v>
      </c>
      <c r="BB225" s="196">
        <f t="shared" ref="BB225:BB230" si="43">AY225/AX225</f>
        <v>0.73588691008902729</v>
      </c>
    </row>
    <row r="226" spans="1:54" s="121" customFormat="1" ht="16.5" customHeight="1">
      <c r="A226" s="104" t="s">
        <v>2143</v>
      </c>
      <c r="B226" s="105" t="s">
        <v>1258</v>
      </c>
      <c r="C226" s="106" t="s">
        <v>1328</v>
      </c>
      <c r="D226" s="106" t="s">
        <v>2415</v>
      </c>
      <c r="E226" s="71" t="s">
        <v>1329</v>
      </c>
      <c r="F226" s="71" t="s">
        <v>78</v>
      </c>
      <c r="G226" s="109" t="s">
        <v>304</v>
      </c>
      <c r="H226" s="143">
        <v>4665</v>
      </c>
      <c r="I226" s="112"/>
      <c r="J226" s="112"/>
      <c r="K226" s="113">
        <f t="shared" si="34"/>
        <v>4665</v>
      </c>
      <c r="L226" s="110">
        <v>566</v>
      </c>
      <c r="M226" s="111">
        <v>107</v>
      </c>
      <c r="N226" s="112">
        <v>0</v>
      </c>
      <c r="O226" s="111">
        <v>280</v>
      </c>
      <c r="P226" s="114"/>
      <c r="Q226" s="111">
        <v>8428</v>
      </c>
      <c r="R226" s="112"/>
      <c r="S226" s="112"/>
      <c r="T226" s="111">
        <f t="shared" si="35"/>
        <v>0</v>
      </c>
      <c r="U226" s="112">
        <v>32</v>
      </c>
      <c r="V226" s="116">
        <v>0</v>
      </c>
      <c r="W226" s="112"/>
      <c r="X226" s="113">
        <f t="shared" si="39"/>
        <v>985</v>
      </c>
      <c r="Y226" s="110"/>
      <c r="Z226" s="111"/>
      <c r="AA226" s="116"/>
      <c r="AB226" s="111"/>
      <c r="AC226" s="113">
        <f t="shared" si="40"/>
        <v>0</v>
      </c>
      <c r="AD226" s="110"/>
      <c r="AE226" s="111"/>
      <c r="AF226" s="112"/>
      <c r="AG226" s="117"/>
      <c r="AH226" s="111"/>
      <c r="AI226" s="112"/>
      <c r="AJ226" s="112"/>
      <c r="AK226" s="113">
        <f t="shared" si="41"/>
        <v>0</v>
      </c>
      <c r="AL226" s="143">
        <f t="shared" si="42"/>
        <v>884502</v>
      </c>
      <c r="AM226" s="112">
        <f t="shared" si="42"/>
        <v>517485.86599999998</v>
      </c>
      <c r="AN226" s="112">
        <f t="shared" si="42"/>
        <v>367016.13400000002</v>
      </c>
      <c r="AO226" s="112">
        <f t="shared" si="42"/>
        <v>17816.754000000001</v>
      </c>
      <c r="AP226" s="192">
        <f t="shared" si="36"/>
        <v>0.58505901173767838</v>
      </c>
      <c r="AQ226" s="193">
        <f t="shared" si="37"/>
        <v>18801.754000000001</v>
      </c>
      <c r="AR226" s="194">
        <f t="shared" si="38"/>
        <v>-14136.754000000001</v>
      </c>
      <c r="AS226" s="118"/>
      <c r="AT226" s="119"/>
      <c r="AU226" s="119"/>
      <c r="AV226" s="120"/>
      <c r="AW226" s="195"/>
      <c r="AX226" s="112">
        <v>884502000</v>
      </c>
      <c r="AY226" s="162">
        <v>517485866</v>
      </c>
      <c r="AZ226" s="162">
        <v>367016134</v>
      </c>
      <c r="BA226" s="162">
        <v>17816754</v>
      </c>
      <c r="BB226" s="196">
        <f t="shared" si="43"/>
        <v>0.58505901173767838</v>
      </c>
    </row>
    <row r="227" spans="1:54" s="121" customFormat="1" ht="16.5" customHeight="1">
      <c r="A227" s="104" t="s">
        <v>2143</v>
      </c>
      <c r="B227" s="105" t="s">
        <v>1263</v>
      </c>
      <c r="C227" s="106" t="s">
        <v>1336</v>
      </c>
      <c r="D227" s="106" t="s">
        <v>2415</v>
      </c>
      <c r="E227" s="71" t="s">
        <v>1337</v>
      </c>
      <c r="F227" s="71" t="s">
        <v>78</v>
      </c>
      <c r="G227" s="109" t="s">
        <v>304</v>
      </c>
      <c r="H227" s="143"/>
      <c r="I227" s="112"/>
      <c r="J227" s="112"/>
      <c r="K227" s="113">
        <f t="shared" si="34"/>
        <v>0</v>
      </c>
      <c r="L227" s="110">
        <v>0</v>
      </c>
      <c r="M227" s="111">
        <v>25</v>
      </c>
      <c r="N227" s="112">
        <v>0</v>
      </c>
      <c r="O227" s="111">
        <v>145</v>
      </c>
      <c r="P227" s="114"/>
      <c r="Q227" s="111">
        <v>8428</v>
      </c>
      <c r="R227" s="112"/>
      <c r="S227" s="112"/>
      <c r="T227" s="111">
        <f t="shared" si="35"/>
        <v>0</v>
      </c>
      <c r="U227" s="112">
        <v>0</v>
      </c>
      <c r="V227" s="116">
        <v>0</v>
      </c>
      <c r="W227" s="112"/>
      <c r="X227" s="113">
        <f t="shared" si="39"/>
        <v>170</v>
      </c>
      <c r="Y227" s="110"/>
      <c r="Z227" s="111"/>
      <c r="AA227" s="116"/>
      <c r="AB227" s="111"/>
      <c r="AC227" s="113">
        <f t="shared" si="40"/>
        <v>0</v>
      </c>
      <c r="AD227" s="110"/>
      <c r="AE227" s="111"/>
      <c r="AF227" s="112"/>
      <c r="AG227" s="117"/>
      <c r="AH227" s="111"/>
      <c r="AI227" s="112"/>
      <c r="AJ227" s="112"/>
      <c r="AK227" s="113">
        <f t="shared" si="41"/>
        <v>0</v>
      </c>
      <c r="AL227" s="143">
        <f t="shared" si="42"/>
        <v>69720</v>
      </c>
      <c r="AM227" s="112">
        <f t="shared" si="42"/>
        <v>30676.799999999999</v>
      </c>
      <c r="AN227" s="112">
        <f t="shared" si="42"/>
        <v>39043.199999999997</v>
      </c>
      <c r="AO227" s="112">
        <f t="shared" si="42"/>
        <v>1394.4</v>
      </c>
      <c r="AP227" s="192">
        <f t="shared" si="36"/>
        <v>0.44</v>
      </c>
      <c r="AQ227" s="193">
        <f t="shared" si="37"/>
        <v>1564.4</v>
      </c>
      <c r="AR227" s="194">
        <f t="shared" si="38"/>
        <v>-1564.4</v>
      </c>
      <c r="AS227" s="118"/>
      <c r="AT227" s="119"/>
      <c r="AU227" s="119"/>
      <c r="AV227" s="120"/>
      <c r="AW227" s="195"/>
      <c r="AX227" s="112">
        <v>69720000</v>
      </c>
      <c r="AY227" s="162">
        <v>30676800</v>
      </c>
      <c r="AZ227" s="162">
        <v>39043200</v>
      </c>
      <c r="BA227" s="162">
        <v>1394400</v>
      </c>
      <c r="BB227" s="196">
        <f t="shared" si="43"/>
        <v>0.44</v>
      </c>
    </row>
    <row r="228" spans="1:54" s="121" customFormat="1" ht="16.5" customHeight="1">
      <c r="A228" s="104" t="s">
        <v>2143</v>
      </c>
      <c r="B228" s="105" t="s">
        <v>1267</v>
      </c>
      <c r="C228" s="106" t="s">
        <v>1342</v>
      </c>
      <c r="D228" s="106" t="s">
        <v>2415</v>
      </c>
      <c r="E228" s="71" t="s">
        <v>1343</v>
      </c>
      <c r="F228" s="71" t="s">
        <v>78</v>
      </c>
      <c r="G228" s="109" t="s">
        <v>304</v>
      </c>
      <c r="H228" s="110">
        <v>706</v>
      </c>
      <c r="I228" s="112"/>
      <c r="J228" s="112"/>
      <c r="K228" s="113">
        <f t="shared" si="34"/>
        <v>706</v>
      </c>
      <c r="L228" s="110">
        <v>13</v>
      </c>
      <c r="M228" s="111">
        <v>0</v>
      </c>
      <c r="N228" s="112">
        <v>0</v>
      </c>
      <c r="O228" s="111">
        <v>59</v>
      </c>
      <c r="P228" s="114">
        <v>0.6</v>
      </c>
      <c r="Q228" s="111">
        <v>8428</v>
      </c>
      <c r="R228" s="112"/>
      <c r="S228" s="112"/>
      <c r="T228" s="111">
        <f t="shared" si="35"/>
        <v>5057</v>
      </c>
      <c r="U228" s="112">
        <v>0</v>
      </c>
      <c r="V228" s="116">
        <v>0</v>
      </c>
      <c r="W228" s="112"/>
      <c r="X228" s="113">
        <f t="shared" si="39"/>
        <v>5129</v>
      </c>
      <c r="Y228" s="110"/>
      <c r="Z228" s="111"/>
      <c r="AA228" s="116"/>
      <c r="AB228" s="111"/>
      <c r="AC228" s="113">
        <f t="shared" si="40"/>
        <v>0</v>
      </c>
      <c r="AD228" s="110">
        <v>0</v>
      </c>
      <c r="AE228" s="111">
        <v>22833</v>
      </c>
      <c r="AF228" s="112">
        <v>0</v>
      </c>
      <c r="AG228" s="117">
        <v>777</v>
      </c>
      <c r="AH228" s="111">
        <v>17945</v>
      </c>
      <c r="AI228" s="112">
        <v>1155</v>
      </c>
      <c r="AJ228" s="112"/>
      <c r="AK228" s="113">
        <f t="shared" si="41"/>
        <v>42710</v>
      </c>
      <c r="AL228" s="143">
        <f t="shared" si="42"/>
        <v>97737.3</v>
      </c>
      <c r="AM228" s="112">
        <f t="shared" si="42"/>
        <v>61453.775999999998</v>
      </c>
      <c r="AN228" s="112">
        <f t="shared" si="42"/>
        <v>36283.523999999998</v>
      </c>
      <c r="AO228" s="112">
        <f t="shared" si="42"/>
        <v>2573.63</v>
      </c>
      <c r="AP228" s="192">
        <f t="shared" si="36"/>
        <v>0.6287648216187679</v>
      </c>
      <c r="AQ228" s="193">
        <f t="shared" si="37"/>
        <v>7702.63</v>
      </c>
      <c r="AR228" s="194">
        <f t="shared" si="38"/>
        <v>-6996.63</v>
      </c>
      <c r="AS228" s="118"/>
      <c r="AT228" s="119"/>
      <c r="AU228" s="119"/>
      <c r="AV228" s="120"/>
      <c r="AW228" s="195"/>
      <c r="AX228" s="112">
        <v>97737300</v>
      </c>
      <c r="AY228" s="162">
        <v>61453776</v>
      </c>
      <c r="AZ228" s="162">
        <v>36283524</v>
      </c>
      <c r="BA228" s="162">
        <v>2573630</v>
      </c>
      <c r="BB228" s="196">
        <f t="shared" si="43"/>
        <v>0.6287648216187679</v>
      </c>
    </row>
    <row r="229" spans="1:54" s="121" customFormat="1" ht="16.5" customHeight="1">
      <c r="A229" s="104" t="s">
        <v>2143</v>
      </c>
      <c r="B229" s="105" t="s">
        <v>157</v>
      </c>
      <c r="C229" s="106" t="s">
        <v>1348</v>
      </c>
      <c r="D229" s="106" t="s">
        <v>2415</v>
      </c>
      <c r="E229" s="71" t="s">
        <v>1349</v>
      </c>
      <c r="F229" s="71" t="s">
        <v>78</v>
      </c>
      <c r="G229" s="109" t="s">
        <v>304</v>
      </c>
      <c r="H229" s="143"/>
      <c r="I229" s="112"/>
      <c r="J229" s="112"/>
      <c r="K229" s="113">
        <f t="shared" si="34"/>
        <v>0</v>
      </c>
      <c r="L229" s="110">
        <v>432</v>
      </c>
      <c r="M229" s="111">
        <v>194</v>
      </c>
      <c r="N229" s="112">
        <v>0</v>
      </c>
      <c r="O229" s="111">
        <v>173</v>
      </c>
      <c r="P229" s="114"/>
      <c r="Q229" s="111">
        <v>8428</v>
      </c>
      <c r="R229" s="112"/>
      <c r="S229" s="112"/>
      <c r="T229" s="111">
        <f t="shared" si="35"/>
        <v>0</v>
      </c>
      <c r="U229" s="112">
        <v>60</v>
      </c>
      <c r="V229" s="116">
        <v>0</v>
      </c>
      <c r="W229" s="112"/>
      <c r="X229" s="113">
        <f t="shared" si="39"/>
        <v>859</v>
      </c>
      <c r="Y229" s="110"/>
      <c r="Z229" s="111"/>
      <c r="AA229" s="116"/>
      <c r="AB229" s="111"/>
      <c r="AC229" s="113">
        <f t="shared" si="40"/>
        <v>0</v>
      </c>
      <c r="AD229" s="110"/>
      <c r="AE229" s="111"/>
      <c r="AF229" s="112"/>
      <c r="AG229" s="117"/>
      <c r="AH229" s="111"/>
      <c r="AI229" s="112"/>
      <c r="AJ229" s="112"/>
      <c r="AK229" s="113">
        <f t="shared" si="41"/>
        <v>0</v>
      </c>
      <c r="AL229" s="143">
        <f t="shared" si="42"/>
        <v>462652.864</v>
      </c>
      <c r="AM229" s="112">
        <f t="shared" si="42"/>
        <v>136289.73800000001</v>
      </c>
      <c r="AN229" s="112">
        <f t="shared" si="42"/>
        <v>326363.12599999999</v>
      </c>
      <c r="AO229" s="112">
        <f t="shared" si="42"/>
        <v>10101.902</v>
      </c>
      <c r="AP229" s="192">
        <f t="shared" si="36"/>
        <v>0.29458314992728546</v>
      </c>
      <c r="AQ229" s="193">
        <f t="shared" si="37"/>
        <v>10960.902</v>
      </c>
      <c r="AR229" s="194">
        <f t="shared" si="38"/>
        <v>-10960.902</v>
      </c>
      <c r="AS229" s="118"/>
      <c r="AT229" s="119"/>
      <c r="AU229" s="119"/>
      <c r="AV229" s="120"/>
      <c r="AW229" s="195"/>
      <c r="AX229" s="112">
        <v>462652864</v>
      </c>
      <c r="AY229" s="162">
        <v>136289738</v>
      </c>
      <c r="AZ229" s="162">
        <v>326363126</v>
      </c>
      <c r="BA229" s="162">
        <v>10101902</v>
      </c>
      <c r="BB229" s="196">
        <f t="shared" si="43"/>
        <v>0.29458314992728546</v>
      </c>
    </row>
    <row r="230" spans="1:54" s="121" customFormat="1" ht="16.5" customHeight="1">
      <c r="A230" s="104" t="s">
        <v>2143</v>
      </c>
      <c r="B230" s="105" t="s">
        <v>1274</v>
      </c>
      <c r="C230" s="106" t="s">
        <v>1357</v>
      </c>
      <c r="D230" s="106" t="s">
        <v>2415</v>
      </c>
      <c r="E230" s="71" t="s">
        <v>1358</v>
      </c>
      <c r="F230" s="71" t="s">
        <v>78</v>
      </c>
      <c r="G230" s="109" t="s">
        <v>304</v>
      </c>
      <c r="H230" s="143"/>
      <c r="I230" s="112"/>
      <c r="J230" s="112"/>
      <c r="K230" s="113">
        <f t="shared" si="34"/>
        <v>0</v>
      </c>
      <c r="L230" s="110">
        <v>78</v>
      </c>
      <c r="M230" s="111">
        <v>25</v>
      </c>
      <c r="N230" s="112">
        <v>0</v>
      </c>
      <c r="O230" s="111">
        <v>37</v>
      </c>
      <c r="P230" s="114"/>
      <c r="Q230" s="111">
        <v>8428</v>
      </c>
      <c r="R230" s="112"/>
      <c r="S230" s="112"/>
      <c r="T230" s="111">
        <f t="shared" si="35"/>
        <v>0</v>
      </c>
      <c r="U230" s="112">
        <v>0</v>
      </c>
      <c r="V230" s="116">
        <v>0</v>
      </c>
      <c r="W230" s="112"/>
      <c r="X230" s="113">
        <f t="shared" si="39"/>
        <v>140</v>
      </c>
      <c r="Y230" s="110"/>
      <c r="Z230" s="111"/>
      <c r="AA230" s="116"/>
      <c r="AB230" s="111"/>
      <c r="AC230" s="113">
        <f t="shared" si="40"/>
        <v>0</v>
      </c>
      <c r="AD230" s="110"/>
      <c r="AE230" s="111"/>
      <c r="AF230" s="112"/>
      <c r="AG230" s="117"/>
      <c r="AH230" s="111"/>
      <c r="AI230" s="112"/>
      <c r="AJ230" s="112"/>
      <c r="AK230" s="113">
        <f t="shared" si="41"/>
        <v>0</v>
      </c>
      <c r="AL230" s="143">
        <f t="shared" si="42"/>
        <v>73845.010999999999</v>
      </c>
      <c r="AM230" s="112">
        <f t="shared" si="42"/>
        <v>34482.735000000001</v>
      </c>
      <c r="AN230" s="112">
        <f t="shared" si="42"/>
        <v>39362.275999999998</v>
      </c>
      <c r="AO230" s="112">
        <f t="shared" si="42"/>
        <v>2035.2149999999999</v>
      </c>
      <c r="AP230" s="192">
        <f t="shared" si="36"/>
        <v>0.46696092983180676</v>
      </c>
      <c r="AQ230" s="193">
        <f t="shared" si="37"/>
        <v>2175.2150000000001</v>
      </c>
      <c r="AR230" s="194">
        <f t="shared" si="38"/>
        <v>-2175.2150000000001</v>
      </c>
      <c r="AS230" s="118"/>
      <c r="AT230" s="119"/>
      <c r="AU230" s="119"/>
      <c r="AV230" s="120"/>
      <c r="AW230" s="195"/>
      <c r="AX230" s="112">
        <v>73845011</v>
      </c>
      <c r="AY230" s="162">
        <v>34482735</v>
      </c>
      <c r="AZ230" s="162">
        <v>39362276</v>
      </c>
      <c r="BA230" s="162">
        <v>2035215</v>
      </c>
      <c r="BB230" s="65">
        <f t="shared" si="43"/>
        <v>0.46696092983180676</v>
      </c>
    </row>
    <row r="231" spans="1:54" s="121" customFormat="1" ht="16.5" customHeight="1">
      <c r="A231" s="104" t="s">
        <v>2143</v>
      </c>
      <c r="B231" s="105" t="s">
        <v>1278</v>
      </c>
      <c r="C231" s="106" t="s">
        <v>1361</v>
      </c>
      <c r="D231" s="106" t="s">
        <v>2415</v>
      </c>
      <c r="E231" s="71" t="s">
        <v>1362</v>
      </c>
      <c r="F231" s="71" t="s">
        <v>1363</v>
      </c>
      <c r="G231" s="109" t="s">
        <v>1364</v>
      </c>
      <c r="H231" s="143">
        <v>0</v>
      </c>
      <c r="I231" s="112">
        <v>0</v>
      </c>
      <c r="J231" s="112">
        <v>0</v>
      </c>
      <c r="K231" s="113">
        <f t="shared" si="34"/>
        <v>0</v>
      </c>
      <c r="L231" s="110">
        <v>149</v>
      </c>
      <c r="M231" s="111">
        <v>4473</v>
      </c>
      <c r="N231" s="115">
        <v>0</v>
      </c>
      <c r="O231" s="111">
        <v>0</v>
      </c>
      <c r="P231" s="114">
        <v>0.1</v>
      </c>
      <c r="Q231" s="111">
        <v>8428</v>
      </c>
      <c r="R231" s="112">
        <v>0</v>
      </c>
      <c r="S231" s="112">
        <v>0</v>
      </c>
      <c r="T231" s="111">
        <f t="shared" si="35"/>
        <v>843</v>
      </c>
      <c r="U231" s="115">
        <v>0</v>
      </c>
      <c r="V231" s="116">
        <v>90</v>
      </c>
      <c r="W231" s="112">
        <v>0</v>
      </c>
      <c r="X231" s="113">
        <f t="shared" si="39"/>
        <v>5555</v>
      </c>
      <c r="Y231" s="110">
        <v>0</v>
      </c>
      <c r="Z231" s="111">
        <v>0</v>
      </c>
      <c r="AA231" s="116">
        <v>0</v>
      </c>
      <c r="AB231" s="111">
        <v>0</v>
      </c>
      <c r="AC231" s="113">
        <f t="shared" si="40"/>
        <v>0</v>
      </c>
      <c r="AD231" s="110">
        <v>0</v>
      </c>
      <c r="AE231" s="111">
        <v>0</v>
      </c>
      <c r="AF231" s="112">
        <v>0</v>
      </c>
      <c r="AG231" s="117">
        <v>0</v>
      </c>
      <c r="AH231" s="111">
        <v>0</v>
      </c>
      <c r="AI231" s="112">
        <v>0</v>
      </c>
      <c r="AJ231" s="112">
        <v>0</v>
      </c>
      <c r="AK231" s="113">
        <f t="shared" si="41"/>
        <v>0</v>
      </c>
      <c r="AL231" s="143">
        <f t="shared" si="42"/>
        <v>0</v>
      </c>
      <c r="AM231" s="112">
        <f t="shared" si="42"/>
        <v>0</v>
      </c>
      <c r="AN231" s="112">
        <f t="shared" si="42"/>
        <v>0</v>
      </c>
      <c r="AO231" s="112">
        <f t="shared" si="42"/>
        <v>0</v>
      </c>
      <c r="AP231" s="192">
        <f t="shared" si="36"/>
        <v>0</v>
      </c>
      <c r="AQ231" s="193">
        <f t="shared" si="37"/>
        <v>5555</v>
      </c>
      <c r="AR231" s="194">
        <f t="shared" si="38"/>
        <v>-5555</v>
      </c>
      <c r="AS231" s="118"/>
      <c r="AT231" s="119" t="s">
        <v>1851</v>
      </c>
      <c r="AU231" s="119"/>
      <c r="AV231" s="120"/>
      <c r="AW231" s="195"/>
      <c r="AX231" s="112">
        <v>0</v>
      </c>
      <c r="AY231" s="162">
        <v>0</v>
      </c>
      <c r="AZ231" s="162">
        <v>0</v>
      </c>
      <c r="BA231" s="162">
        <v>0</v>
      </c>
      <c r="BB231" s="196">
        <v>0</v>
      </c>
    </row>
    <row r="232" spans="1:54" s="121" customFormat="1" ht="16.5" customHeight="1">
      <c r="A232" s="104" t="s">
        <v>2143</v>
      </c>
      <c r="B232" s="105" t="s">
        <v>1966</v>
      </c>
      <c r="C232" s="106" t="s">
        <v>1369</v>
      </c>
      <c r="D232" s="106" t="s">
        <v>2415</v>
      </c>
      <c r="E232" s="71" t="s">
        <v>1370</v>
      </c>
      <c r="F232" s="71" t="s">
        <v>139</v>
      </c>
      <c r="G232" s="109" t="s">
        <v>1135</v>
      </c>
      <c r="H232" s="110">
        <v>0</v>
      </c>
      <c r="I232" s="111">
        <v>0</v>
      </c>
      <c r="J232" s="112">
        <v>0</v>
      </c>
      <c r="K232" s="113">
        <f t="shared" si="34"/>
        <v>0</v>
      </c>
      <c r="L232" s="110">
        <v>49</v>
      </c>
      <c r="M232" s="115">
        <v>13</v>
      </c>
      <c r="N232" s="115">
        <v>0</v>
      </c>
      <c r="O232" s="111">
        <v>0</v>
      </c>
      <c r="P232" s="114">
        <v>0</v>
      </c>
      <c r="Q232" s="111">
        <v>8428</v>
      </c>
      <c r="R232" s="112">
        <v>0</v>
      </c>
      <c r="S232" s="112">
        <v>0</v>
      </c>
      <c r="T232" s="111">
        <f t="shared" si="35"/>
        <v>0</v>
      </c>
      <c r="U232" s="112">
        <v>8</v>
      </c>
      <c r="V232" s="144">
        <v>0</v>
      </c>
      <c r="W232" s="111">
        <v>0</v>
      </c>
      <c r="X232" s="113">
        <f t="shared" si="39"/>
        <v>70</v>
      </c>
      <c r="Y232" s="110">
        <v>0</v>
      </c>
      <c r="Z232" s="111">
        <v>0</v>
      </c>
      <c r="AA232" s="116">
        <v>0</v>
      </c>
      <c r="AB232" s="111">
        <v>0</v>
      </c>
      <c r="AC232" s="113">
        <f t="shared" si="40"/>
        <v>0</v>
      </c>
      <c r="AD232" s="110">
        <v>0</v>
      </c>
      <c r="AE232" s="111">
        <v>0</v>
      </c>
      <c r="AF232" s="112">
        <v>0</v>
      </c>
      <c r="AG232" s="117">
        <v>0</v>
      </c>
      <c r="AH232" s="111">
        <v>0</v>
      </c>
      <c r="AI232" s="112">
        <v>0</v>
      </c>
      <c r="AJ232" s="112">
        <v>0</v>
      </c>
      <c r="AK232" s="113">
        <f t="shared" si="41"/>
        <v>0</v>
      </c>
      <c r="AL232" s="143">
        <f t="shared" si="42"/>
        <v>24413.200000000001</v>
      </c>
      <c r="AM232" s="112">
        <f t="shared" si="42"/>
        <v>24413.197</v>
      </c>
      <c r="AN232" s="112">
        <f t="shared" si="42"/>
        <v>3.0000000000000001E-3</v>
      </c>
      <c r="AO232" s="112">
        <f t="shared" si="42"/>
        <v>0</v>
      </c>
      <c r="AP232" s="192">
        <f t="shared" si="36"/>
        <v>0.99999987711565874</v>
      </c>
      <c r="AQ232" s="193">
        <f t="shared" si="37"/>
        <v>70</v>
      </c>
      <c r="AR232" s="194">
        <f t="shared" si="38"/>
        <v>-70</v>
      </c>
      <c r="AS232" s="118"/>
      <c r="AT232" s="119"/>
      <c r="AU232" s="119"/>
      <c r="AV232" s="120"/>
      <c r="AW232" s="195"/>
      <c r="AX232" s="112">
        <v>24413200</v>
      </c>
      <c r="AY232" s="162">
        <v>24413197</v>
      </c>
      <c r="AZ232" s="162">
        <v>3</v>
      </c>
      <c r="BA232" s="162">
        <v>0</v>
      </c>
      <c r="BB232" s="196">
        <f t="shared" ref="BB232:BB256" si="44">AY232/AX232</f>
        <v>0.99999987711565874</v>
      </c>
    </row>
    <row r="233" spans="1:54" s="121" customFormat="1" ht="16.5" customHeight="1">
      <c r="A233" s="104" t="s">
        <v>2143</v>
      </c>
      <c r="B233" s="105" t="s">
        <v>1282</v>
      </c>
      <c r="C233" s="106" t="s">
        <v>1371</v>
      </c>
      <c r="D233" s="106" t="s">
        <v>2415</v>
      </c>
      <c r="E233" s="71" t="s">
        <v>1372</v>
      </c>
      <c r="F233" s="71" t="s">
        <v>170</v>
      </c>
      <c r="G233" s="109" t="s">
        <v>1373</v>
      </c>
      <c r="H233" s="110">
        <v>908</v>
      </c>
      <c r="I233" s="111">
        <v>0</v>
      </c>
      <c r="J233" s="112">
        <v>2971</v>
      </c>
      <c r="K233" s="113">
        <f t="shared" si="34"/>
        <v>3879</v>
      </c>
      <c r="L233" s="143">
        <v>0</v>
      </c>
      <c r="M233" s="112">
        <v>0</v>
      </c>
      <c r="N233" s="112">
        <v>0</v>
      </c>
      <c r="O233" s="112">
        <v>3112</v>
      </c>
      <c r="P233" s="114"/>
      <c r="Q233" s="111">
        <v>8428</v>
      </c>
      <c r="R233" s="112"/>
      <c r="S233" s="112"/>
      <c r="T233" s="111">
        <f t="shared" si="35"/>
        <v>0</v>
      </c>
      <c r="U233" s="112">
        <v>25980</v>
      </c>
      <c r="V233" s="116">
        <v>45</v>
      </c>
      <c r="W233" s="111">
        <v>0</v>
      </c>
      <c r="X233" s="113">
        <f t="shared" si="39"/>
        <v>29137</v>
      </c>
      <c r="Y233" s="110">
        <v>89351</v>
      </c>
      <c r="Z233" s="111">
        <v>92923</v>
      </c>
      <c r="AA233" s="116">
        <v>33527</v>
      </c>
      <c r="AB233" s="111">
        <v>0</v>
      </c>
      <c r="AC233" s="113">
        <f t="shared" si="40"/>
        <v>215801</v>
      </c>
      <c r="AD233" s="110">
        <v>22487</v>
      </c>
      <c r="AE233" s="111">
        <v>32707</v>
      </c>
      <c r="AF233" s="112">
        <v>0</v>
      </c>
      <c r="AG233" s="117">
        <v>6274</v>
      </c>
      <c r="AH233" s="111">
        <v>113223</v>
      </c>
      <c r="AI233" s="112">
        <v>21941</v>
      </c>
      <c r="AJ233" s="112">
        <v>18276</v>
      </c>
      <c r="AK233" s="113">
        <f t="shared" si="41"/>
        <v>214908</v>
      </c>
      <c r="AL233" s="143">
        <f t="shared" si="42"/>
        <v>1039799.642</v>
      </c>
      <c r="AM233" s="112">
        <f t="shared" si="42"/>
        <v>131394.79699999999</v>
      </c>
      <c r="AN233" s="112">
        <f t="shared" si="42"/>
        <v>908404.84499999997</v>
      </c>
      <c r="AO233" s="112">
        <f t="shared" si="42"/>
        <v>36663.410000000003</v>
      </c>
      <c r="AP233" s="192">
        <f t="shared" si="36"/>
        <v>0.12636549551726042</v>
      </c>
      <c r="AQ233" s="193">
        <f t="shared" si="37"/>
        <v>65800.41</v>
      </c>
      <c r="AR233" s="194">
        <f t="shared" si="38"/>
        <v>-61921.41</v>
      </c>
      <c r="AS233" s="118"/>
      <c r="AT233" s="119"/>
      <c r="AU233" s="119"/>
      <c r="AV233" s="120"/>
      <c r="AW233" s="195"/>
      <c r="AX233" s="112">
        <v>1039799642</v>
      </c>
      <c r="AY233" s="162">
        <v>131394797</v>
      </c>
      <c r="AZ233" s="162">
        <v>908404845</v>
      </c>
      <c r="BA233" s="162">
        <v>36663410</v>
      </c>
      <c r="BB233" s="196">
        <f t="shared" si="44"/>
        <v>0.12636549551726042</v>
      </c>
    </row>
    <row r="234" spans="1:54" s="121" customFormat="1" ht="16.5" customHeight="1">
      <c r="A234" s="104" t="s">
        <v>2143</v>
      </c>
      <c r="B234" s="105" t="s">
        <v>1286</v>
      </c>
      <c r="C234" s="106" t="s">
        <v>1382</v>
      </c>
      <c r="D234" s="106" t="s">
        <v>2415</v>
      </c>
      <c r="E234" s="71" t="s">
        <v>2060</v>
      </c>
      <c r="F234" s="71" t="s">
        <v>170</v>
      </c>
      <c r="G234" s="109" t="s">
        <v>1373</v>
      </c>
      <c r="H234" s="110">
        <v>100</v>
      </c>
      <c r="I234" s="111">
        <v>0</v>
      </c>
      <c r="J234" s="112">
        <v>12</v>
      </c>
      <c r="K234" s="113">
        <f t="shared" si="34"/>
        <v>112</v>
      </c>
      <c r="L234" s="143">
        <v>0</v>
      </c>
      <c r="M234" s="112">
        <v>0</v>
      </c>
      <c r="N234" s="112">
        <v>0</v>
      </c>
      <c r="O234" s="112">
        <v>206</v>
      </c>
      <c r="P234" s="114"/>
      <c r="Q234" s="111">
        <v>8428</v>
      </c>
      <c r="R234" s="112"/>
      <c r="S234" s="112"/>
      <c r="T234" s="111">
        <f t="shared" si="35"/>
        <v>0</v>
      </c>
      <c r="U234" s="112">
        <v>5281</v>
      </c>
      <c r="V234" s="116">
        <v>0</v>
      </c>
      <c r="W234" s="111">
        <v>42000</v>
      </c>
      <c r="X234" s="113">
        <f t="shared" si="39"/>
        <v>47487</v>
      </c>
      <c r="Y234" s="110">
        <v>14139</v>
      </c>
      <c r="Z234" s="111">
        <v>9315</v>
      </c>
      <c r="AA234" s="116">
        <v>6194</v>
      </c>
      <c r="AB234" s="111">
        <v>42000</v>
      </c>
      <c r="AC234" s="113">
        <f t="shared" si="40"/>
        <v>71648</v>
      </c>
      <c r="AD234" s="110">
        <v>5399</v>
      </c>
      <c r="AE234" s="111">
        <v>10680</v>
      </c>
      <c r="AF234" s="112">
        <v>0</v>
      </c>
      <c r="AG234" s="117">
        <v>7000</v>
      </c>
      <c r="AH234" s="111">
        <v>21441</v>
      </c>
      <c r="AI234" s="112">
        <v>28417</v>
      </c>
      <c r="AJ234" s="112">
        <v>0</v>
      </c>
      <c r="AK234" s="113">
        <f t="shared" si="41"/>
        <v>72937</v>
      </c>
      <c r="AL234" s="143">
        <f t="shared" si="42"/>
        <v>469324.11099999998</v>
      </c>
      <c r="AM234" s="112">
        <f t="shared" si="42"/>
        <v>355676.54100000003</v>
      </c>
      <c r="AN234" s="112">
        <f t="shared" si="42"/>
        <v>113647.57</v>
      </c>
      <c r="AO234" s="112">
        <f t="shared" si="42"/>
        <v>11508.960999999999</v>
      </c>
      <c r="AP234" s="192">
        <f t="shared" si="36"/>
        <v>0.75784843067651386</v>
      </c>
      <c r="AQ234" s="193">
        <f t="shared" si="37"/>
        <v>58995.960999999996</v>
      </c>
      <c r="AR234" s="194">
        <f t="shared" si="38"/>
        <v>-58883.960999999996</v>
      </c>
      <c r="AS234" s="118"/>
      <c r="AT234" s="119"/>
      <c r="AU234" s="119"/>
      <c r="AV234" s="120"/>
      <c r="AW234" s="195"/>
      <c r="AX234" s="112">
        <v>469324111</v>
      </c>
      <c r="AY234" s="162">
        <v>355676541</v>
      </c>
      <c r="AZ234" s="162">
        <v>113647570</v>
      </c>
      <c r="BA234" s="162">
        <v>11508961</v>
      </c>
      <c r="BB234" s="196">
        <f t="shared" si="44"/>
        <v>0.75784843067651386</v>
      </c>
    </row>
    <row r="235" spans="1:54" s="121" customFormat="1" ht="16.5" customHeight="1">
      <c r="A235" s="104" t="s">
        <v>2143</v>
      </c>
      <c r="B235" s="105" t="s">
        <v>1290</v>
      </c>
      <c r="C235" s="106" t="s">
        <v>1390</v>
      </c>
      <c r="D235" s="106" t="s">
        <v>2415</v>
      </c>
      <c r="E235" s="71" t="s">
        <v>1391</v>
      </c>
      <c r="F235" s="71" t="s">
        <v>170</v>
      </c>
      <c r="G235" s="109" t="s">
        <v>1373</v>
      </c>
      <c r="H235" s="110">
        <v>0</v>
      </c>
      <c r="I235" s="111">
        <v>0</v>
      </c>
      <c r="J235" s="112">
        <v>0</v>
      </c>
      <c r="K235" s="113">
        <f t="shared" si="34"/>
        <v>0</v>
      </c>
      <c r="L235" s="143">
        <v>0</v>
      </c>
      <c r="M235" s="112">
        <v>0</v>
      </c>
      <c r="N235" s="112">
        <v>0</v>
      </c>
      <c r="O235" s="112">
        <v>0</v>
      </c>
      <c r="P235" s="114"/>
      <c r="Q235" s="111">
        <v>8428</v>
      </c>
      <c r="R235" s="112"/>
      <c r="S235" s="112"/>
      <c r="T235" s="111">
        <f t="shared" si="35"/>
        <v>0</v>
      </c>
      <c r="U235" s="112">
        <v>785</v>
      </c>
      <c r="V235" s="116">
        <v>0</v>
      </c>
      <c r="W235" s="111">
        <v>3400</v>
      </c>
      <c r="X235" s="113">
        <f t="shared" si="39"/>
        <v>4185</v>
      </c>
      <c r="Y235" s="110">
        <v>5239</v>
      </c>
      <c r="Z235" s="111">
        <v>829</v>
      </c>
      <c r="AA235" s="116">
        <v>785</v>
      </c>
      <c r="AB235" s="111">
        <v>3400</v>
      </c>
      <c r="AC235" s="113">
        <f t="shared" si="40"/>
        <v>10253</v>
      </c>
      <c r="AD235" s="110">
        <v>265</v>
      </c>
      <c r="AE235" s="111">
        <v>0</v>
      </c>
      <c r="AF235" s="112">
        <v>0</v>
      </c>
      <c r="AG235" s="117">
        <v>1006</v>
      </c>
      <c r="AH235" s="111">
        <v>7109</v>
      </c>
      <c r="AI235" s="112">
        <v>2231</v>
      </c>
      <c r="AJ235" s="112">
        <v>0</v>
      </c>
      <c r="AK235" s="113">
        <f t="shared" si="41"/>
        <v>10611</v>
      </c>
      <c r="AL235" s="143">
        <f t="shared" si="42"/>
        <v>2776.5</v>
      </c>
      <c r="AM235" s="112">
        <f t="shared" si="42"/>
        <v>2776.4969999999998</v>
      </c>
      <c r="AN235" s="112">
        <f t="shared" si="42"/>
        <v>3.0000000000000001E-3</v>
      </c>
      <c r="AO235" s="112">
        <f t="shared" si="42"/>
        <v>0</v>
      </c>
      <c r="AP235" s="192">
        <f t="shared" si="36"/>
        <v>0.99999891950297137</v>
      </c>
      <c r="AQ235" s="193">
        <f t="shared" si="37"/>
        <v>4185</v>
      </c>
      <c r="AR235" s="194">
        <f t="shared" si="38"/>
        <v>-4185</v>
      </c>
      <c r="AS235" s="118"/>
      <c r="AT235" s="119"/>
      <c r="AU235" s="119"/>
      <c r="AV235" s="120"/>
      <c r="AW235" s="195"/>
      <c r="AX235" s="112">
        <v>2776500</v>
      </c>
      <c r="AY235" s="162">
        <v>2776497</v>
      </c>
      <c r="AZ235" s="162">
        <v>3</v>
      </c>
      <c r="BA235" s="162">
        <v>0</v>
      </c>
      <c r="BB235" s="196">
        <f t="shared" si="44"/>
        <v>0.99999891950297137</v>
      </c>
    </row>
    <row r="236" spans="1:54" s="121" customFormat="1" ht="16.5" customHeight="1">
      <c r="A236" s="104" t="s">
        <v>2143</v>
      </c>
      <c r="B236" s="105" t="s">
        <v>1294</v>
      </c>
      <c r="C236" s="106" t="s">
        <v>1395</v>
      </c>
      <c r="D236" s="106" t="s">
        <v>2415</v>
      </c>
      <c r="E236" s="71" t="s">
        <v>1396</v>
      </c>
      <c r="F236" s="71" t="s">
        <v>170</v>
      </c>
      <c r="G236" s="109" t="s">
        <v>1373</v>
      </c>
      <c r="H236" s="110">
        <v>2881</v>
      </c>
      <c r="I236" s="111">
        <v>0</v>
      </c>
      <c r="J236" s="112">
        <v>3</v>
      </c>
      <c r="K236" s="113">
        <f t="shared" si="34"/>
        <v>2884</v>
      </c>
      <c r="L236" s="143">
        <v>0</v>
      </c>
      <c r="M236" s="112">
        <v>62</v>
      </c>
      <c r="N236" s="112">
        <v>0</v>
      </c>
      <c r="O236" s="112">
        <v>550</v>
      </c>
      <c r="P236" s="114"/>
      <c r="Q236" s="111">
        <v>8428</v>
      </c>
      <c r="R236" s="112"/>
      <c r="S236" s="112"/>
      <c r="T236" s="111">
        <f t="shared" si="35"/>
        <v>0</v>
      </c>
      <c r="U236" s="112">
        <v>0</v>
      </c>
      <c r="V236" s="116">
        <v>0</v>
      </c>
      <c r="W236" s="111">
        <v>13908</v>
      </c>
      <c r="X236" s="113">
        <f t="shared" si="39"/>
        <v>14520</v>
      </c>
      <c r="Y236" s="110">
        <v>0</v>
      </c>
      <c r="Z236" s="111">
        <v>0</v>
      </c>
      <c r="AA236" s="116">
        <v>628</v>
      </c>
      <c r="AB236" s="111">
        <v>13908</v>
      </c>
      <c r="AC236" s="113">
        <f t="shared" si="40"/>
        <v>14536</v>
      </c>
      <c r="AD236" s="110">
        <v>673</v>
      </c>
      <c r="AE236" s="111">
        <v>6122</v>
      </c>
      <c r="AF236" s="112">
        <v>0</v>
      </c>
      <c r="AG236" s="117">
        <v>742</v>
      </c>
      <c r="AH236" s="111">
        <v>4037</v>
      </c>
      <c r="AI236" s="112">
        <v>305</v>
      </c>
      <c r="AJ236" s="112">
        <v>1147</v>
      </c>
      <c r="AK236" s="113">
        <f t="shared" si="41"/>
        <v>13026</v>
      </c>
      <c r="AL236" s="143">
        <f t="shared" si="42"/>
        <v>559213.06000000006</v>
      </c>
      <c r="AM236" s="112">
        <f t="shared" si="42"/>
        <v>410936.76899999997</v>
      </c>
      <c r="AN236" s="112">
        <f t="shared" si="42"/>
        <v>148276.291</v>
      </c>
      <c r="AO236" s="112">
        <f t="shared" si="42"/>
        <v>189.32499999999999</v>
      </c>
      <c r="AP236" s="192">
        <f t="shared" si="36"/>
        <v>0.73484830450848193</v>
      </c>
      <c r="AQ236" s="193">
        <f t="shared" si="37"/>
        <v>14709.325000000001</v>
      </c>
      <c r="AR236" s="194">
        <f t="shared" si="38"/>
        <v>-11825.325000000001</v>
      </c>
      <c r="AS236" s="118"/>
      <c r="AT236" s="119"/>
      <c r="AU236" s="119"/>
      <c r="AV236" s="120"/>
      <c r="AW236" s="195"/>
      <c r="AX236" s="112">
        <v>559213060</v>
      </c>
      <c r="AY236" s="162">
        <v>410936769</v>
      </c>
      <c r="AZ236" s="162">
        <v>148276291</v>
      </c>
      <c r="BA236" s="162">
        <v>189325</v>
      </c>
      <c r="BB236" s="196">
        <f t="shared" si="44"/>
        <v>0.73484830450848193</v>
      </c>
    </row>
    <row r="237" spans="1:54" s="121" customFormat="1" ht="16.5" customHeight="1">
      <c r="A237" s="104" t="s">
        <v>2143</v>
      </c>
      <c r="B237" s="105" t="s">
        <v>1298</v>
      </c>
      <c r="C237" s="106" t="s">
        <v>1402</v>
      </c>
      <c r="D237" s="106" t="s">
        <v>2415</v>
      </c>
      <c r="E237" s="71" t="s">
        <v>1403</v>
      </c>
      <c r="F237" s="71" t="s">
        <v>1404</v>
      </c>
      <c r="G237" s="109" t="s">
        <v>1405</v>
      </c>
      <c r="H237" s="110">
        <v>23165.275000000001</v>
      </c>
      <c r="I237" s="111">
        <v>21282</v>
      </c>
      <c r="J237" s="112">
        <v>19.859000000000002</v>
      </c>
      <c r="K237" s="113">
        <f t="shared" si="34"/>
        <v>44467.133999999998</v>
      </c>
      <c r="L237" s="110">
        <v>1295.471</v>
      </c>
      <c r="M237" s="111">
        <v>631.95000000000005</v>
      </c>
      <c r="N237" s="112"/>
      <c r="O237" s="111">
        <v>92.4</v>
      </c>
      <c r="P237" s="122">
        <v>0.26753251681177143</v>
      </c>
      <c r="Q237" s="111">
        <v>8428</v>
      </c>
      <c r="R237" s="112"/>
      <c r="S237" s="112"/>
      <c r="T237" s="111">
        <f t="shared" si="35"/>
        <v>2255</v>
      </c>
      <c r="U237" s="112">
        <v>5786.0709999999999</v>
      </c>
      <c r="V237" s="116"/>
      <c r="W237" s="111"/>
      <c r="X237" s="113">
        <f t="shared" si="39"/>
        <v>10060.892</v>
      </c>
      <c r="Y237" s="110">
        <v>23798.087500474314</v>
      </c>
      <c r="Z237" s="111">
        <v>0</v>
      </c>
      <c r="AA237" s="116">
        <v>0</v>
      </c>
      <c r="AB237" s="111">
        <v>0</v>
      </c>
      <c r="AC237" s="113">
        <f t="shared" si="40"/>
        <v>23798.087500474314</v>
      </c>
      <c r="AD237" s="110">
        <v>1314.1197225794212</v>
      </c>
      <c r="AE237" s="111">
        <v>1545.2678171047917</v>
      </c>
      <c r="AF237" s="112"/>
      <c r="AG237" s="117">
        <v>121</v>
      </c>
      <c r="AH237" s="111">
        <v>7578.2307692307695</v>
      </c>
      <c r="AI237" s="112">
        <v>688.89623079031139</v>
      </c>
      <c r="AJ237" s="112">
        <v>730.63130341294777</v>
      </c>
      <c r="AK237" s="113">
        <f t="shared" si="41"/>
        <v>11978.14584311824</v>
      </c>
      <c r="AL237" s="143">
        <f t="shared" si="42"/>
        <v>27819.288</v>
      </c>
      <c r="AM237" s="112">
        <f t="shared" si="42"/>
        <v>25738.592000000001</v>
      </c>
      <c r="AN237" s="112">
        <f t="shared" si="42"/>
        <v>2080.6959999999999</v>
      </c>
      <c r="AO237" s="112">
        <f t="shared" si="42"/>
        <v>952.44500000000005</v>
      </c>
      <c r="AP237" s="192">
        <f t="shared" si="36"/>
        <v>0.92520671269516319</v>
      </c>
      <c r="AQ237" s="193">
        <f t="shared" si="37"/>
        <v>11013.337</v>
      </c>
      <c r="AR237" s="194">
        <f t="shared" si="38"/>
        <v>33453.796999999999</v>
      </c>
      <c r="AS237" s="118"/>
      <c r="AT237" s="119"/>
      <c r="AU237" s="119"/>
      <c r="AV237" s="120"/>
      <c r="AW237" s="195"/>
      <c r="AX237" s="112">
        <v>27819288</v>
      </c>
      <c r="AY237" s="162">
        <v>25738592</v>
      </c>
      <c r="AZ237" s="162">
        <v>2080696</v>
      </c>
      <c r="BA237" s="162">
        <v>952445</v>
      </c>
      <c r="BB237" s="196">
        <f t="shared" si="44"/>
        <v>0.92520671269516319</v>
      </c>
    </row>
    <row r="238" spans="1:54" s="121" customFormat="1" ht="16.5" customHeight="1">
      <c r="A238" s="104" t="s">
        <v>2143</v>
      </c>
      <c r="B238" s="105" t="s">
        <v>1303</v>
      </c>
      <c r="C238" s="106" t="s">
        <v>1414</v>
      </c>
      <c r="D238" s="106" t="s">
        <v>2415</v>
      </c>
      <c r="E238" s="71" t="s">
        <v>1415</v>
      </c>
      <c r="F238" s="71" t="s">
        <v>1404</v>
      </c>
      <c r="G238" s="109" t="s">
        <v>1405</v>
      </c>
      <c r="H238" s="110">
        <v>10135.248</v>
      </c>
      <c r="I238" s="111">
        <v>3470</v>
      </c>
      <c r="J238" s="112"/>
      <c r="K238" s="113">
        <f t="shared" si="34"/>
        <v>13605.248</v>
      </c>
      <c r="L238" s="110">
        <v>1209.67</v>
      </c>
      <c r="M238" s="111">
        <v>149.875</v>
      </c>
      <c r="N238" s="112"/>
      <c r="O238" s="111"/>
      <c r="P238" s="122">
        <v>0.16047852941796487</v>
      </c>
      <c r="Q238" s="111">
        <v>8428</v>
      </c>
      <c r="R238" s="112"/>
      <c r="S238" s="112"/>
      <c r="T238" s="111">
        <f t="shared" si="35"/>
        <v>1353</v>
      </c>
      <c r="U238" s="112">
        <v>7796.8670000000002</v>
      </c>
      <c r="V238" s="116"/>
      <c r="W238" s="111"/>
      <c r="X238" s="113">
        <f t="shared" si="39"/>
        <v>10509.412</v>
      </c>
      <c r="Y238" s="110">
        <v>14275.207105845646</v>
      </c>
      <c r="Z238" s="111">
        <v>0</v>
      </c>
      <c r="AA238" s="116">
        <v>0</v>
      </c>
      <c r="AB238" s="111">
        <v>0</v>
      </c>
      <c r="AC238" s="113">
        <f t="shared" si="40"/>
        <v>14275.207105845646</v>
      </c>
      <c r="AD238" s="110">
        <v>788.27053650104347</v>
      </c>
      <c r="AE238" s="111">
        <v>926.92398591816504</v>
      </c>
      <c r="AF238" s="112"/>
      <c r="AG238" s="117">
        <v>0</v>
      </c>
      <c r="AH238" s="111">
        <v>7578.2307692307695</v>
      </c>
      <c r="AI238" s="112">
        <v>413.23221325125951</v>
      </c>
      <c r="AJ238" s="112">
        <v>438.26686384046207</v>
      </c>
      <c r="AK238" s="113">
        <f t="shared" si="41"/>
        <v>10144.9243687417</v>
      </c>
      <c r="AL238" s="143">
        <f t="shared" si="42"/>
        <v>547584</v>
      </c>
      <c r="AM238" s="112">
        <f t="shared" si="42"/>
        <v>547583.99899999995</v>
      </c>
      <c r="AN238" s="112">
        <f t="shared" si="42"/>
        <v>1E-3</v>
      </c>
      <c r="AO238" s="112">
        <f t="shared" si="42"/>
        <v>0</v>
      </c>
      <c r="AP238" s="192">
        <f t="shared" si="36"/>
        <v>0.99999999817379615</v>
      </c>
      <c r="AQ238" s="193">
        <f t="shared" si="37"/>
        <v>10509.412</v>
      </c>
      <c r="AR238" s="194">
        <f t="shared" si="38"/>
        <v>3095.8359999999993</v>
      </c>
      <c r="AS238" s="118"/>
      <c r="AT238" s="119"/>
      <c r="AU238" s="119"/>
      <c r="AV238" s="120"/>
      <c r="AW238" s="195"/>
      <c r="AX238" s="112">
        <v>547584000</v>
      </c>
      <c r="AY238" s="162">
        <v>547583999</v>
      </c>
      <c r="AZ238" s="162">
        <v>1</v>
      </c>
      <c r="BA238" s="162">
        <v>0</v>
      </c>
      <c r="BB238" s="196">
        <f t="shared" si="44"/>
        <v>0.99999999817379615</v>
      </c>
    </row>
    <row r="239" spans="1:54" s="121" customFormat="1" ht="16.5" customHeight="1">
      <c r="A239" s="104" t="s">
        <v>2143</v>
      </c>
      <c r="B239" s="105" t="s">
        <v>2548</v>
      </c>
      <c r="C239" s="106" t="s">
        <v>1417</v>
      </c>
      <c r="D239" s="106" t="s">
        <v>2415</v>
      </c>
      <c r="E239" s="71" t="s">
        <v>1418</v>
      </c>
      <c r="F239" s="71" t="s">
        <v>1404</v>
      </c>
      <c r="G239" s="109" t="s">
        <v>1405</v>
      </c>
      <c r="H239" s="110">
        <v>25148.148000000001</v>
      </c>
      <c r="I239" s="111">
        <v>19275</v>
      </c>
      <c r="J239" s="112">
        <v>35.231000000000002</v>
      </c>
      <c r="K239" s="113">
        <f t="shared" si="34"/>
        <v>44458.379000000001</v>
      </c>
      <c r="L239" s="110">
        <v>2626.576</v>
      </c>
      <c r="M239" s="111">
        <v>1358.0160000000001</v>
      </c>
      <c r="N239" s="112"/>
      <c r="O239" s="111"/>
      <c r="P239" s="122">
        <v>0.57198895377026371</v>
      </c>
      <c r="Q239" s="111">
        <v>8428</v>
      </c>
      <c r="R239" s="112"/>
      <c r="S239" s="112"/>
      <c r="T239" s="111">
        <f t="shared" si="35"/>
        <v>4821</v>
      </c>
      <c r="U239" s="112">
        <v>33122.942000000003</v>
      </c>
      <c r="V239" s="116"/>
      <c r="W239" s="111"/>
      <c r="X239" s="113">
        <f t="shared" si="39"/>
        <v>41928.534</v>
      </c>
      <c r="Y239" s="110">
        <v>50880.705393680037</v>
      </c>
      <c r="Z239" s="111">
        <v>0</v>
      </c>
      <c r="AA239" s="116">
        <v>0</v>
      </c>
      <c r="AB239" s="111">
        <v>0</v>
      </c>
      <c r="AC239" s="113">
        <f t="shared" si="40"/>
        <v>50880.705393680037</v>
      </c>
      <c r="AD239" s="110">
        <v>2809.6097409195354</v>
      </c>
      <c r="AE239" s="111">
        <v>3303.8081969770433</v>
      </c>
      <c r="AF239" s="112"/>
      <c r="AG239" s="117">
        <v>649</v>
      </c>
      <c r="AH239" s="111">
        <v>17682.538461538461</v>
      </c>
      <c r="AI239" s="112">
        <v>1472.8715559584291</v>
      </c>
      <c r="AJ239" s="112">
        <v>1562.1018327465902</v>
      </c>
      <c r="AK239" s="113">
        <f t="shared" si="41"/>
        <v>27479.92978814006</v>
      </c>
      <c r="AL239" s="143">
        <f t="shared" si="42"/>
        <v>5302161.7479999997</v>
      </c>
      <c r="AM239" s="112">
        <f t="shared" si="42"/>
        <v>3409878.8220000002</v>
      </c>
      <c r="AN239" s="112">
        <f t="shared" si="42"/>
        <v>1892282.926</v>
      </c>
      <c r="AO239" s="112">
        <f t="shared" si="42"/>
        <v>143628.99100000001</v>
      </c>
      <c r="AP239" s="192">
        <f t="shared" si="36"/>
        <v>0.6431110524469047</v>
      </c>
      <c r="AQ239" s="193">
        <f t="shared" si="37"/>
        <v>185557.52500000002</v>
      </c>
      <c r="AR239" s="194">
        <f t="shared" si="38"/>
        <v>-141099.14600000001</v>
      </c>
      <c r="AS239" s="118"/>
      <c r="AT239" s="119"/>
      <c r="AU239" s="119"/>
      <c r="AV239" s="120"/>
      <c r="AW239" s="195"/>
      <c r="AX239" s="112">
        <v>5302161748</v>
      </c>
      <c r="AY239" s="162">
        <v>3409878822</v>
      </c>
      <c r="AZ239" s="162">
        <v>1892282926</v>
      </c>
      <c r="BA239" s="162">
        <v>143628991</v>
      </c>
      <c r="BB239" s="196">
        <f t="shared" si="44"/>
        <v>0.6431110524469047</v>
      </c>
    </row>
    <row r="240" spans="1:54" s="121" customFormat="1" ht="16.5" customHeight="1">
      <c r="A240" s="104" t="s">
        <v>2143</v>
      </c>
      <c r="B240" s="105" t="s">
        <v>1307</v>
      </c>
      <c r="C240" s="106" t="s">
        <v>1420</v>
      </c>
      <c r="D240" s="106" t="s">
        <v>2415</v>
      </c>
      <c r="E240" s="71" t="s">
        <v>1421</v>
      </c>
      <c r="F240" s="71" t="s">
        <v>1404</v>
      </c>
      <c r="G240" s="109" t="s">
        <v>1405</v>
      </c>
      <c r="H240" s="110">
        <v>12133.84</v>
      </c>
      <c r="I240" s="111"/>
      <c r="J240" s="112">
        <v>47.345999999999997</v>
      </c>
      <c r="K240" s="113">
        <f t="shared" si="34"/>
        <v>12181.186</v>
      </c>
      <c r="L240" s="110"/>
      <c r="M240" s="111"/>
      <c r="N240" s="112"/>
      <c r="O240" s="111"/>
      <c r="P240" s="122">
        <v>5.468650272055936E-2</v>
      </c>
      <c r="Q240" s="111">
        <v>8428</v>
      </c>
      <c r="R240" s="112"/>
      <c r="S240" s="112"/>
      <c r="T240" s="111">
        <f t="shared" si="35"/>
        <v>461</v>
      </c>
      <c r="U240" s="112">
        <v>6.42</v>
      </c>
      <c r="V240" s="116"/>
      <c r="W240" s="111">
        <v>6918.8225079213826</v>
      </c>
      <c r="X240" s="113">
        <f t="shared" si="39"/>
        <v>7386.2425079213826</v>
      </c>
      <c r="Y240" s="110">
        <v>0</v>
      </c>
      <c r="Z240" s="111">
        <v>0</v>
      </c>
      <c r="AA240" s="116">
        <v>0</v>
      </c>
      <c r="AB240" s="111">
        <v>6918.7996079483692</v>
      </c>
      <c r="AC240" s="113">
        <f t="shared" si="40"/>
        <v>6918.7996079483692</v>
      </c>
      <c r="AD240" s="110">
        <v>424.02547046953714</v>
      </c>
      <c r="AE240" s="111">
        <v>903.6944574572434</v>
      </c>
      <c r="AF240" s="112"/>
      <c r="AG240" s="117">
        <v>132</v>
      </c>
      <c r="AH240" s="111">
        <v>11315.179640718559</v>
      </c>
      <c r="AI240" s="112">
        <v>614.47121619388508</v>
      </c>
      <c r="AJ240" s="112">
        <v>9.3650635908957902</v>
      </c>
      <c r="AK240" s="113">
        <f t="shared" si="41"/>
        <v>13398.735848430122</v>
      </c>
      <c r="AL240" s="143">
        <f t="shared" si="42"/>
        <v>151879.796</v>
      </c>
      <c r="AM240" s="112">
        <f t="shared" si="42"/>
        <v>75456.914999999994</v>
      </c>
      <c r="AN240" s="112">
        <f t="shared" si="42"/>
        <v>76422.880999999994</v>
      </c>
      <c r="AO240" s="112">
        <f t="shared" si="42"/>
        <v>5105.5190000000002</v>
      </c>
      <c r="AP240" s="192">
        <f t="shared" si="36"/>
        <v>0.49681996544161805</v>
      </c>
      <c r="AQ240" s="193">
        <f t="shared" si="37"/>
        <v>12491.761507921383</v>
      </c>
      <c r="AR240" s="194">
        <f t="shared" si="38"/>
        <v>-310.57550792138318</v>
      </c>
      <c r="AS240" s="118"/>
      <c r="AT240" s="119"/>
      <c r="AU240" s="119"/>
      <c r="AV240" s="120"/>
      <c r="AW240" s="195"/>
      <c r="AX240" s="112">
        <v>151879796</v>
      </c>
      <c r="AY240" s="162">
        <v>75456915</v>
      </c>
      <c r="AZ240" s="162">
        <v>76422881</v>
      </c>
      <c r="BA240" s="162">
        <v>5105519</v>
      </c>
      <c r="BB240" s="196">
        <f t="shared" si="44"/>
        <v>0.49681996544161805</v>
      </c>
    </row>
    <row r="241" spans="1:54" s="121" customFormat="1" ht="16.5" customHeight="1">
      <c r="A241" s="104" t="s">
        <v>2143</v>
      </c>
      <c r="B241" s="105" t="s">
        <v>1311</v>
      </c>
      <c r="C241" s="106" t="s">
        <v>1427</v>
      </c>
      <c r="D241" s="106" t="s">
        <v>2415</v>
      </c>
      <c r="E241" s="71" t="s">
        <v>1428</v>
      </c>
      <c r="F241" s="71" t="s">
        <v>1404</v>
      </c>
      <c r="G241" s="109" t="s">
        <v>1405</v>
      </c>
      <c r="H241" s="110">
        <v>13385.16</v>
      </c>
      <c r="I241" s="111"/>
      <c r="J241" s="112">
        <v>31.893000000000001</v>
      </c>
      <c r="K241" s="113">
        <f t="shared" si="34"/>
        <v>13417.053</v>
      </c>
      <c r="L241" s="110"/>
      <c r="M241" s="111"/>
      <c r="N241" s="112"/>
      <c r="O241" s="111"/>
      <c r="P241" s="122">
        <v>6.9193322690632442E-2</v>
      </c>
      <c r="Q241" s="111">
        <v>8428</v>
      </c>
      <c r="R241" s="112"/>
      <c r="S241" s="112"/>
      <c r="T241" s="111">
        <f t="shared" si="35"/>
        <v>583</v>
      </c>
      <c r="U241" s="112">
        <v>6.42</v>
      </c>
      <c r="V241" s="116"/>
      <c r="W241" s="111">
        <v>8754.1951782159667</v>
      </c>
      <c r="X241" s="113">
        <f t="shared" si="39"/>
        <v>9343.6151782159668</v>
      </c>
      <c r="Y241" s="110">
        <v>0</v>
      </c>
      <c r="Z241" s="111">
        <v>0</v>
      </c>
      <c r="AA241" s="116">
        <v>0</v>
      </c>
      <c r="AB241" s="111">
        <v>8754.1662035120899</v>
      </c>
      <c r="AC241" s="113">
        <f t="shared" si="40"/>
        <v>8754.1662035120899</v>
      </c>
      <c r="AD241" s="110">
        <v>536.50772581249134</v>
      </c>
      <c r="AE241" s="111">
        <v>1143.419657462701</v>
      </c>
      <c r="AF241" s="112"/>
      <c r="AG241" s="117">
        <v>80</v>
      </c>
      <c r="AH241" s="111">
        <v>11315.179640718559</v>
      </c>
      <c r="AI241" s="112">
        <v>777.47347208261874</v>
      </c>
      <c r="AJ241" s="112">
        <v>11.849356510770805</v>
      </c>
      <c r="AK241" s="113">
        <f t="shared" si="41"/>
        <v>13864.42985258714</v>
      </c>
      <c r="AL241" s="143">
        <f t="shared" si="42"/>
        <v>101090.982</v>
      </c>
      <c r="AM241" s="112">
        <f t="shared" si="42"/>
        <v>63580.012999999999</v>
      </c>
      <c r="AN241" s="112">
        <f t="shared" si="42"/>
        <v>37510.968999999997</v>
      </c>
      <c r="AO241" s="112">
        <f t="shared" si="42"/>
        <v>3334.6930000000002</v>
      </c>
      <c r="AP241" s="192">
        <f t="shared" si="36"/>
        <v>0.62893852391304306</v>
      </c>
      <c r="AQ241" s="193">
        <f t="shared" si="37"/>
        <v>12678.308178215968</v>
      </c>
      <c r="AR241" s="194">
        <f t="shared" si="38"/>
        <v>738.74482178403196</v>
      </c>
      <c r="AS241" s="118"/>
      <c r="AT241" s="119"/>
      <c r="AU241" s="119"/>
      <c r="AV241" s="120"/>
      <c r="AW241" s="195"/>
      <c r="AX241" s="112">
        <v>101090982</v>
      </c>
      <c r="AY241" s="162">
        <v>63580013</v>
      </c>
      <c r="AZ241" s="162">
        <v>37510969</v>
      </c>
      <c r="BA241" s="162">
        <v>3334693</v>
      </c>
      <c r="BB241" s="196">
        <f t="shared" si="44"/>
        <v>0.62893852391304306</v>
      </c>
    </row>
    <row r="242" spans="1:54" s="121" customFormat="1" ht="16.5" customHeight="1">
      <c r="A242" s="104" t="s">
        <v>2143</v>
      </c>
      <c r="B242" s="105" t="s">
        <v>1319</v>
      </c>
      <c r="C242" s="106" t="s">
        <v>1430</v>
      </c>
      <c r="D242" s="106" t="s">
        <v>2415</v>
      </c>
      <c r="E242" s="71" t="s">
        <v>1431</v>
      </c>
      <c r="F242" s="71" t="s">
        <v>1404</v>
      </c>
      <c r="G242" s="109" t="s">
        <v>1405</v>
      </c>
      <c r="H242" s="110">
        <v>7765.84</v>
      </c>
      <c r="I242" s="111"/>
      <c r="J242" s="112"/>
      <c r="K242" s="113">
        <f t="shared" si="34"/>
        <v>7765.84</v>
      </c>
      <c r="L242" s="110">
        <v>495</v>
      </c>
      <c r="M242" s="111"/>
      <c r="N242" s="112"/>
      <c r="O242" s="111"/>
      <c r="P242" s="122">
        <v>7.7728101733304827E-2</v>
      </c>
      <c r="Q242" s="111">
        <v>8428</v>
      </c>
      <c r="R242" s="112"/>
      <c r="S242" s="112"/>
      <c r="T242" s="111">
        <f t="shared" si="35"/>
        <v>655</v>
      </c>
      <c r="U242" s="112">
        <v>6.42</v>
      </c>
      <c r="V242" s="116"/>
      <c r="W242" s="111">
        <v>9833.9976596859942</v>
      </c>
      <c r="X242" s="113">
        <f t="shared" si="39"/>
        <v>10990.417659685994</v>
      </c>
      <c r="Y242" s="110">
        <v>0</v>
      </c>
      <c r="Z242" s="111">
        <v>0</v>
      </c>
      <c r="AA242" s="116">
        <v>0</v>
      </c>
      <c r="AB242" s="111">
        <v>9833.9651110433933</v>
      </c>
      <c r="AC242" s="113">
        <f t="shared" si="40"/>
        <v>9833.9651110433933</v>
      </c>
      <c r="AD242" s="110">
        <v>602.68426881461221</v>
      </c>
      <c r="AE242" s="111">
        <v>1284.4568811428621</v>
      </c>
      <c r="AF242" s="112"/>
      <c r="AG242" s="117">
        <v>12</v>
      </c>
      <c r="AH242" s="111">
        <v>5262.8742514970054</v>
      </c>
      <c r="AI242" s="112">
        <v>873.37238310084626</v>
      </c>
      <c r="AJ242" s="112">
        <v>13.31093742182845</v>
      </c>
      <c r="AK242" s="113">
        <f t="shared" si="41"/>
        <v>8048.6987219771545</v>
      </c>
      <c r="AL242" s="143">
        <f t="shared" si="42"/>
        <v>413567.25300000003</v>
      </c>
      <c r="AM242" s="112">
        <f t="shared" si="42"/>
        <v>314789.54399999999</v>
      </c>
      <c r="AN242" s="112">
        <f t="shared" si="42"/>
        <v>98777.709000000003</v>
      </c>
      <c r="AO242" s="112">
        <f t="shared" si="42"/>
        <v>9258.5159999999996</v>
      </c>
      <c r="AP242" s="192">
        <f t="shared" si="36"/>
        <v>0.76115684140010964</v>
      </c>
      <c r="AQ242" s="193">
        <f t="shared" si="37"/>
        <v>20248.933659685994</v>
      </c>
      <c r="AR242" s="194">
        <f t="shared" si="38"/>
        <v>-12483.093659685994</v>
      </c>
      <c r="AS242" s="118"/>
      <c r="AT242" s="119"/>
      <c r="AU242" s="119"/>
      <c r="AV242" s="120"/>
      <c r="AW242" s="195"/>
      <c r="AX242" s="112">
        <v>413567253</v>
      </c>
      <c r="AY242" s="162">
        <v>314789544</v>
      </c>
      <c r="AZ242" s="162">
        <v>98777709</v>
      </c>
      <c r="BA242" s="162">
        <v>9258516</v>
      </c>
      <c r="BB242" s="196">
        <f t="shared" si="44"/>
        <v>0.76115684140010964</v>
      </c>
    </row>
    <row r="243" spans="1:54" s="121" customFormat="1" ht="16.5" customHeight="1">
      <c r="A243" s="104" t="s">
        <v>2143</v>
      </c>
      <c r="B243" s="105" t="s">
        <v>1327</v>
      </c>
      <c r="C243" s="106" t="s">
        <v>1433</v>
      </c>
      <c r="D243" s="106" t="s">
        <v>2415</v>
      </c>
      <c r="E243" s="71" t="s">
        <v>2006</v>
      </c>
      <c r="F243" s="71" t="s">
        <v>1404</v>
      </c>
      <c r="G243" s="109" t="s">
        <v>1405</v>
      </c>
      <c r="H243" s="110">
        <v>38594.769999999997</v>
      </c>
      <c r="I243" s="111"/>
      <c r="J243" s="112"/>
      <c r="K243" s="113">
        <f t="shared" si="34"/>
        <v>38594.769999999997</v>
      </c>
      <c r="L243" s="110"/>
      <c r="M243" s="111"/>
      <c r="N243" s="112"/>
      <c r="O243" s="111"/>
      <c r="P243" s="122">
        <v>0.17901871872190564</v>
      </c>
      <c r="Q243" s="111">
        <v>8428</v>
      </c>
      <c r="R243" s="112"/>
      <c r="S243" s="112"/>
      <c r="T243" s="111">
        <f t="shared" si="35"/>
        <v>1509</v>
      </c>
      <c r="U243" s="112">
        <v>6.42</v>
      </c>
      <c r="V243" s="116"/>
      <c r="W243" s="111">
        <v>22649.075709987159</v>
      </c>
      <c r="X243" s="113">
        <f t="shared" si="39"/>
        <v>24164.495709987161</v>
      </c>
      <c r="Y243" s="110">
        <v>0</v>
      </c>
      <c r="Z243" s="111">
        <v>0</v>
      </c>
      <c r="AA243" s="116">
        <v>0</v>
      </c>
      <c r="AB243" s="111">
        <v>22649.000745898695</v>
      </c>
      <c r="AC243" s="113">
        <f t="shared" si="40"/>
        <v>22649.000745898695</v>
      </c>
      <c r="AD243" s="110">
        <v>1388.0663902899757</v>
      </c>
      <c r="AE243" s="111">
        <v>2958.2843268794904</v>
      </c>
      <c r="AF243" s="112"/>
      <c r="AG243" s="117">
        <v>80</v>
      </c>
      <c r="AH243" s="111">
        <v>20393.637724550896</v>
      </c>
      <c r="AI243" s="112">
        <v>2011.4990782390121</v>
      </c>
      <c r="AJ243" s="112">
        <v>30.656955581126336</v>
      </c>
      <c r="AK243" s="113">
        <f t="shared" si="41"/>
        <v>26862.144475540499</v>
      </c>
      <c r="AL243" s="143">
        <f t="shared" si="42"/>
        <v>24119.687000000002</v>
      </c>
      <c r="AM243" s="112">
        <f t="shared" si="42"/>
        <v>19060.437999999998</v>
      </c>
      <c r="AN243" s="112">
        <f t="shared" si="42"/>
        <v>5059.2489999999998</v>
      </c>
      <c r="AO243" s="112">
        <f t="shared" si="42"/>
        <v>26.867999999999999</v>
      </c>
      <c r="AP243" s="192">
        <f t="shared" si="36"/>
        <v>0.79024400275177697</v>
      </c>
      <c r="AQ243" s="193">
        <f t="shared" si="37"/>
        <v>24191.363709987159</v>
      </c>
      <c r="AR243" s="194">
        <f t="shared" si="38"/>
        <v>14403.406290012837</v>
      </c>
      <c r="AS243" s="118"/>
      <c r="AT243" s="119"/>
      <c r="AU243" s="119"/>
      <c r="AV243" s="120"/>
      <c r="AW243" s="195"/>
      <c r="AX243" s="112">
        <v>24119687</v>
      </c>
      <c r="AY243" s="162">
        <v>19060438</v>
      </c>
      <c r="AZ243" s="162">
        <v>5059249</v>
      </c>
      <c r="BA243" s="162">
        <v>26868</v>
      </c>
      <c r="BB243" s="196">
        <f t="shared" si="44"/>
        <v>0.79024400275177697</v>
      </c>
    </row>
    <row r="244" spans="1:54" s="121" customFormat="1" ht="16.5" customHeight="1">
      <c r="A244" s="104" t="s">
        <v>2143</v>
      </c>
      <c r="B244" s="105" t="s">
        <v>1335</v>
      </c>
      <c r="C244" s="106" t="s">
        <v>1435</v>
      </c>
      <c r="D244" s="106" t="s">
        <v>2415</v>
      </c>
      <c r="E244" s="71" t="s">
        <v>2009</v>
      </c>
      <c r="F244" s="71" t="s">
        <v>1404</v>
      </c>
      <c r="G244" s="109" t="s">
        <v>1405</v>
      </c>
      <c r="H244" s="110">
        <v>6550.2</v>
      </c>
      <c r="I244" s="111"/>
      <c r="J244" s="112"/>
      <c r="K244" s="113">
        <f t="shared" si="34"/>
        <v>6550.2</v>
      </c>
      <c r="L244" s="110">
        <v>294.8</v>
      </c>
      <c r="M244" s="111"/>
      <c r="N244" s="112"/>
      <c r="O244" s="111"/>
      <c r="P244" s="122">
        <v>2.1291465978984458E-2</v>
      </c>
      <c r="Q244" s="111">
        <v>8428</v>
      </c>
      <c r="R244" s="112"/>
      <c r="S244" s="112"/>
      <c r="T244" s="111">
        <f t="shared" si="35"/>
        <v>179</v>
      </c>
      <c r="U244" s="112">
        <v>103.236</v>
      </c>
      <c r="V244" s="116"/>
      <c r="W244" s="111">
        <v>2693.7519627975444</v>
      </c>
      <c r="X244" s="113">
        <f t="shared" si="39"/>
        <v>3270.7879627975444</v>
      </c>
      <c r="Y244" s="110">
        <v>0</v>
      </c>
      <c r="Z244" s="111">
        <v>0</v>
      </c>
      <c r="AA244" s="116">
        <v>0</v>
      </c>
      <c r="AB244" s="111">
        <v>2693.743046996166</v>
      </c>
      <c r="AC244" s="113">
        <f t="shared" si="40"/>
        <v>2693.743046996166</v>
      </c>
      <c r="AD244" s="110">
        <v>165.08870433455073</v>
      </c>
      <c r="AE244" s="111">
        <v>351.84147530271815</v>
      </c>
      <c r="AF244" s="112"/>
      <c r="AG244" s="117">
        <v>99</v>
      </c>
      <c r="AH244" s="111">
        <v>1973.577844311377</v>
      </c>
      <c r="AI244" s="112">
        <v>239.23623460636409</v>
      </c>
      <c r="AJ244" s="112">
        <v>3.6461635489010882</v>
      </c>
      <c r="AK244" s="113">
        <f t="shared" si="41"/>
        <v>2832.3904221039115</v>
      </c>
      <c r="AL244" s="143">
        <f t="shared" si="42"/>
        <v>0</v>
      </c>
      <c r="AM244" s="112">
        <f t="shared" si="42"/>
        <v>0</v>
      </c>
      <c r="AN244" s="112">
        <f t="shared" si="42"/>
        <v>0</v>
      </c>
      <c r="AO244" s="112">
        <f t="shared" si="42"/>
        <v>0</v>
      </c>
      <c r="AP244" s="192">
        <f t="shared" si="36"/>
        <v>0</v>
      </c>
      <c r="AQ244" s="193">
        <f t="shared" si="37"/>
        <v>3270.7879627975444</v>
      </c>
      <c r="AR244" s="194">
        <f t="shared" si="38"/>
        <v>3279.4120372024554</v>
      </c>
      <c r="AS244" s="155"/>
      <c r="AT244" s="119"/>
      <c r="AU244" s="119"/>
      <c r="AV244" s="120"/>
      <c r="AW244" s="195"/>
      <c r="AX244" s="112">
        <v>0</v>
      </c>
      <c r="AY244" s="162">
        <v>0</v>
      </c>
      <c r="AZ244" s="162">
        <v>0</v>
      </c>
      <c r="BA244" s="162">
        <v>0</v>
      </c>
      <c r="BB244" s="196">
        <v>0</v>
      </c>
    </row>
    <row r="245" spans="1:54" s="121" customFormat="1" ht="16.5" customHeight="1">
      <c r="A245" s="104" t="s">
        <v>2143</v>
      </c>
      <c r="B245" s="105" t="s">
        <v>1341</v>
      </c>
      <c r="C245" s="106" t="s">
        <v>1437</v>
      </c>
      <c r="D245" s="106" t="s">
        <v>2415</v>
      </c>
      <c r="E245" s="71" t="s">
        <v>1438</v>
      </c>
      <c r="F245" s="71" t="s">
        <v>1404</v>
      </c>
      <c r="G245" s="109" t="s">
        <v>1405</v>
      </c>
      <c r="H245" s="110">
        <v>15569.97</v>
      </c>
      <c r="I245" s="111"/>
      <c r="J245" s="112"/>
      <c r="K245" s="113">
        <f t="shared" si="34"/>
        <v>15569.97</v>
      </c>
      <c r="L245" s="110"/>
      <c r="M245" s="111"/>
      <c r="N245" s="112"/>
      <c r="O245" s="111"/>
      <c r="P245" s="122">
        <v>7.9036153345855939E-2</v>
      </c>
      <c r="Q245" s="111">
        <v>8428</v>
      </c>
      <c r="R245" s="112"/>
      <c r="S245" s="112"/>
      <c r="T245" s="111">
        <f t="shared" si="35"/>
        <v>666</v>
      </c>
      <c r="U245" s="112">
        <v>6.42</v>
      </c>
      <c r="V245" s="116"/>
      <c r="W245" s="111">
        <v>9999.4896273235427</v>
      </c>
      <c r="X245" s="113">
        <f t="shared" si="39"/>
        <v>10671.909627323543</v>
      </c>
      <c r="Y245" s="110">
        <v>0</v>
      </c>
      <c r="Z245" s="111">
        <v>0</v>
      </c>
      <c r="AA245" s="116">
        <v>0</v>
      </c>
      <c r="AB245" s="111">
        <v>9999.456530934327</v>
      </c>
      <c r="AC245" s="113">
        <f t="shared" si="40"/>
        <v>9999.456530934327</v>
      </c>
      <c r="AD245" s="110">
        <v>612.82657400543042</v>
      </c>
      <c r="AE245" s="111">
        <v>1306.0724340402692</v>
      </c>
      <c r="AF245" s="112"/>
      <c r="AG245" s="117">
        <v>80</v>
      </c>
      <c r="AH245" s="111">
        <v>11183.607784431135</v>
      </c>
      <c r="AI245" s="112">
        <v>888.06997803237368</v>
      </c>
      <c r="AJ245" s="112">
        <v>13.534941260477828</v>
      </c>
      <c r="AK245" s="113">
        <f t="shared" si="41"/>
        <v>14084.111711769685</v>
      </c>
      <c r="AL245" s="143">
        <f t="shared" si="42"/>
        <v>50966.737000000001</v>
      </c>
      <c r="AM245" s="112">
        <f t="shared" si="42"/>
        <v>43604.584000000003</v>
      </c>
      <c r="AN245" s="112">
        <f t="shared" si="42"/>
        <v>7362.1530000000002</v>
      </c>
      <c r="AO245" s="112">
        <f t="shared" si="42"/>
        <v>495.529</v>
      </c>
      <c r="AP245" s="192">
        <f t="shared" si="36"/>
        <v>0.855549846167315</v>
      </c>
      <c r="AQ245" s="193">
        <f t="shared" si="37"/>
        <v>11167.438627323543</v>
      </c>
      <c r="AR245" s="194">
        <f t="shared" si="38"/>
        <v>4402.5313726764562</v>
      </c>
      <c r="AS245" s="118"/>
      <c r="AT245" s="119"/>
      <c r="AU245" s="119"/>
      <c r="AV245" s="120"/>
      <c r="AW245" s="195"/>
      <c r="AX245" s="112">
        <v>50966737</v>
      </c>
      <c r="AY245" s="162">
        <v>43604584</v>
      </c>
      <c r="AZ245" s="162">
        <v>7362153</v>
      </c>
      <c r="BA245" s="162">
        <v>495529</v>
      </c>
      <c r="BB245" s="196">
        <f t="shared" si="44"/>
        <v>0.855549846167315</v>
      </c>
    </row>
    <row r="246" spans="1:54" s="121" customFormat="1" ht="16.5" customHeight="1">
      <c r="A246" s="104" t="s">
        <v>2143</v>
      </c>
      <c r="B246" s="105" t="s">
        <v>1347</v>
      </c>
      <c r="C246" s="106" t="s">
        <v>1441</v>
      </c>
      <c r="D246" s="106" t="s">
        <v>2415</v>
      </c>
      <c r="E246" s="71" t="s">
        <v>2012</v>
      </c>
      <c r="F246" s="71" t="s">
        <v>1404</v>
      </c>
      <c r="G246" s="109" t="s">
        <v>1405</v>
      </c>
      <c r="H246" s="110">
        <v>9005.57</v>
      </c>
      <c r="I246" s="111"/>
      <c r="J246" s="112"/>
      <c r="K246" s="113">
        <f t="shared" si="34"/>
        <v>9005.57</v>
      </c>
      <c r="L246" s="110"/>
      <c r="M246" s="111"/>
      <c r="N246" s="112"/>
      <c r="O246" s="111"/>
      <c r="P246" s="122">
        <v>8.3631617008309483E-2</v>
      </c>
      <c r="Q246" s="111">
        <v>8428</v>
      </c>
      <c r="R246" s="112"/>
      <c r="S246" s="112"/>
      <c r="T246" s="111">
        <f t="shared" si="35"/>
        <v>705</v>
      </c>
      <c r="U246" s="112">
        <v>6.42</v>
      </c>
      <c r="V246" s="116"/>
      <c r="W246" s="111">
        <v>10580.898125588417</v>
      </c>
      <c r="X246" s="113">
        <f t="shared" si="39"/>
        <v>11292.318125588417</v>
      </c>
      <c r="Y246" s="110">
        <v>0</v>
      </c>
      <c r="Z246" s="111">
        <v>0</v>
      </c>
      <c r="AA246" s="116">
        <v>0</v>
      </c>
      <c r="AB246" s="111">
        <v>10580.863104848795</v>
      </c>
      <c r="AC246" s="113">
        <f t="shared" si="40"/>
        <v>10580.863104848795</v>
      </c>
      <c r="AD246" s="110">
        <v>648.45865037817964</v>
      </c>
      <c r="AE246" s="111">
        <v>1382.012471062314</v>
      </c>
      <c r="AF246" s="112"/>
      <c r="AG246" s="117">
        <v>0</v>
      </c>
      <c r="AH246" s="111">
        <v>5262.8742514970054</v>
      </c>
      <c r="AI246" s="112">
        <v>939.70575660961742</v>
      </c>
      <c r="AJ246" s="112">
        <v>14.321914412672998</v>
      </c>
      <c r="AK246" s="113">
        <f t="shared" si="41"/>
        <v>8247.3730439597894</v>
      </c>
      <c r="AL246" s="143">
        <f t="shared" si="42"/>
        <v>13209.68</v>
      </c>
      <c r="AM246" s="112">
        <f t="shared" si="42"/>
        <v>13002.084999999999</v>
      </c>
      <c r="AN246" s="112">
        <f t="shared" si="42"/>
        <v>207.595</v>
      </c>
      <c r="AO246" s="112">
        <f t="shared" si="42"/>
        <v>17.481999999999999</v>
      </c>
      <c r="AP246" s="192">
        <f t="shared" si="36"/>
        <v>0.98428463066478522</v>
      </c>
      <c r="AQ246" s="193">
        <f t="shared" si="37"/>
        <v>11309.800125588417</v>
      </c>
      <c r="AR246" s="194">
        <f t="shared" si="38"/>
        <v>-2304.2301255884176</v>
      </c>
      <c r="AS246" s="118"/>
      <c r="AT246" s="119"/>
      <c r="AU246" s="119"/>
      <c r="AV246" s="120"/>
      <c r="AW246" s="195"/>
      <c r="AX246" s="112">
        <v>13209680</v>
      </c>
      <c r="AY246" s="162">
        <v>13002085</v>
      </c>
      <c r="AZ246" s="162">
        <v>207595</v>
      </c>
      <c r="BA246" s="162">
        <v>17482</v>
      </c>
      <c r="BB246" s="196">
        <f t="shared" si="44"/>
        <v>0.98428463066478522</v>
      </c>
    </row>
    <row r="247" spans="1:54" s="121" customFormat="1" ht="16.5" customHeight="1">
      <c r="A247" s="104" t="s">
        <v>2143</v>
      </c>
      <c r="B247" s="105" t="s">
        <v>1356</v>
      </c>
      <c r="C247" s="106" t="s">
        <v>1443</v>
      </c>
      <c r="D247" s="106" t="s">
        <v>2415</v>
      </c>
      <c r="E247" s="71" t="s">
        <v>2015</v>
      </c>
      <c r="F247" s="71" t="s">
        <v>1404</v>
      </c>
      <c r="G247" s="109" t="s">
        <v>1405</v>
      </c>
      <c r="H247" s="110">
        <v>8721.14</v>
      </c>
      <c r="I247" s="111"/>
      <c r="J247" s="112"/>
      <c r="K247" s="113">
        <f t="shared" si="34"/>
        <v>8721.14</v>
      </c>
      <c r="L247" s="110"/>
      <c r="M247" s="111"/>
      <c r="N247" s="112"/>
      <c r="O247" s="111"/>
      <c r="P247" s="122">
        <v>4.5764220209912866E-2</v>
      </c>
      <c r="Q247" s="111">
        <v>8428</v>
      </c>
      <c r="R247" s="112"/>
      <c r="S247" s="112"/>
      <c r="T247" s="111">
        <f t="shared" si="35"/>
        <v>386</v>
      </c>
      <c r="U247" s="112">
        <v>103.236</v>
      </c>
      <c r="V247" s="116"/>
      <c r="W247" s="111">
        <v>5789.9938941748633</v>
      </c>
      <c r="X247" s="113">
        <f t="shared" si="39"/>
        <v>6279.2298941748631</v>
      </c>
      <c r="Y247" s="110">
        <v>0</v>
      </c>
      <c r="Z247" s="111">
        <v>0</v>
      </c>
      <c r="AA247" s="116">
        <v>0</v>
      </c>
      <c r="AB247" s="111">
        <v>5789.9747304076509</v>
      </c>
      <c r="AC247" s="113">
        <f t="shared" si="40"/>
        <v>5789.9747304076509</v>
      </c>
      <c r="AD247" s="110">
        <v>354.84432245261189</v>
      </c>
      <c r="AE247" s="111">
        <v>756.25373896881013</v>
      </c>
      <c r="AF247" s="112"/>
      <c r="AG247" s="117">
        <v>14</v>
      </c>
      <c r="AH247" s="111">
        <v>657.85928143712567</v>
      </c>
      <c r="AI247" s="112">
        <v>514.21821933363344</v>
      </c>
      <c r="AJ247" s="112">
        <v>7.8371227109475781</v>
      </c>
      <c r="AK247" s="113">
        <f t="shared" si="41"/>
        <v>2305.0126849031285</v>
      </c>
      <c r="AL247" s="143">
        <f t="shared" si="42"/>
        <v>46423.915000000001</v>
      </c>
      <c r="AM247" s="112">
        <f t="shared" si="42"/>
        <v>31499.999</v>
      </c>
      <c r="AN247" s="112">
        <f t="shared" si="42"/>
        <v>14923.915999999999</v>
      </c>
      <c r="AO247" s="112">
        <f t="shared" si="42"/>
        <v>0</v>
      </c>
      <c r="AP247" s="192">
        <f t="shared" si="36"/>
        <v>0.6785295682193111</v>
      </c>
      <c r="AQ247" s="193">
        <f t="shared" si="37"/>
        <v>6279.2298941748631</v>
      </c>
      <c r="AR247" s="194">
        <f t="shared" si="38"/>
        <v>2441.9101058251363</v>
      </c>
      <c r="AS247" s="118"/>
      <c r="AT247" s="119"/>
      <c r="AU247" s="119"/>
      <c r="AV247" s="120"/>
      <c r="AW247" s="195"/>
      <c r="AX247" s="112">
        <v>46423915</v>
      </c>
      <c r="AY247" s="162">
        <v>31499999</v>
      </c>
      <c r="AZ247" s="162">
        <v>14923916</v>
      </c>
      <c r="BA247" s="162">
        <v>0</v>
      </c>
      <c r="BB247" s="196">
        <f t="shared" si="44"/>
        <v>0.6785295682193111</v>
      </c>
    </row>
    <row r="248" spans="1:54" s="121" customFormat="1" ht="16.5" customHeight="1">
      <c r="A248" s="104" t="s">
        <v>2143</v>
      </c>
      <c r="B248" s="105" t="s">
        <v>1360</v>
      </c>
      <c r="C248" s="106" t="s">
        <v>1446</v>
      </c>
      <c r="D248" s="106" t="s">
        <v>2415</v>
      </c>
      <c r="E248" s="71" t="s">
        <v>1447</v>
      </c>
      <c r="F248" s="71" t="s">
        <v>1404</v>
      </c>
      <c r="G248" s="109" t="s">
        <v>1405</v>
      </c>
      <c r="H248" s="110">
        <v>27607.56</v>
      </c>
      <c r="I248" s="111"/>
      <c r="J248" s="112">
        <v>188.76</v>
      </c>
      <c r="K248" s="113">
        <f t="shared" si="34"/>
        <v>27796.32</v>
      </c>
      <c r="L248" s="110">
        <v>489</v>
      </c>
      <c r="M248" s="111"/>
      <c r="N248" s="112"/>
      <c r="O248" s="111"/>
      <c r="P248" s="122">
        <v>0.18338859351098458</v>
      </c>
      <c r="Q248" s="111">
        <v>8428</v>
      </c>
      <c r="R248" s="112"/>
      <c r="S248" s="112"/>
      <c r="T248" s="111">
        <f t="shared" si="35"/>
        <v>1546</v>
      </c>
      <c r="U248" s="112">
        <v>265.54599999999999</v>
      </c>
      <c r="V248" s="116"/>
      <c r="W248" s="111">
        <v>23201.94317349952</v>
      </c>
      <c r="X248" s="113">
        <f t="shared" si="39"/>
        <v>25502.489173499518</v>
      </c>
      <c r="Y248" s="110">
        <v>0</v>
      </c>
      <c r="Z248" s="111">
        <v>0</v>
      </c>
      <c r="AA248" s="116">
        <v>0</v>
      </c>
      <c r="AB248" s="111">
        <v>23201.866379525989</v>
      </c>
      <c r="AC248" s="113">
        <f t="shared" si="40"/>
        <v>23201.866379525989</v>
      </c>
      <c r="AD248" s="110">
        <v>1421.9493069357966</v>
      </c>
      <c r="AE248" s="111">
        <v>3030.4965077690199</v>
      </c>
      <c r="AF248" s="112"/>
      <c r="AG248" s="117">
        <v>764</v>
      </c>
      <c r="AH248" s="111">
        <v>11315.179640718559</v>
      </c>
      <c r="AI248" s="112">
        <v>2060.6000838378004</v>
      </c>
      <c r="AJ248" s="112">
        <v>31.405296638756106</v>
      </c>
      <c r="AK248" s="113">
        <f t="shared" si="41"/>
        <v>18623.630835899934</v>
      </c>
      <c r="AL248" s="143">
        <f t="shared" si="42"/>
        <v>1059328.8770000001</v>
      </c>
      <c r="AM248" s="112">
        <f t="shared" si="42"/>
        <v>564520.83600000001</v>
      </c>
      <c r="AN248" s="112">
        <f t="shared" si="42"/>
        <v>494808.04100000003</v>
      </c>
      <c r="AO248" s="112">
        <f t="shared" si="42"/>
        <v>30130.512999999999</v>
      </c>
      <c r="AP248" s="192">
        <f t="shared" si="36"/>
        <v>0.53290422668238091</v>
      </c>
      <c r="AQ248" s="193">
        <f t="shared" si="37"/>
        <v>55633.002173499517</v>
      </c>
      <c r="AR248" s="194">
        <f t="shared" si="38"/>
        <v>-27836.682173499517</v>
      </c>
      <c r="AS248" s="118"/>
      <c r="AT248" s="119"/>
      <c r="AU248" s="119"/>
      <c r="AV248" s="120"/>
      <c r="AW248" s="195"/>
      <c r="AX248" s="112">
        <v>1059328877</v>
      </c>
      <c r="AY248" s="162">
        <v>564520836</v>
      </c>
      <c r="AZ248" s="162">
        <v>494808041</v>
      </c>
      <c r="BA248" s="162">
        <v>30130513</v>
      </c>
      <c r="BB248" s="196">
        <f t="shared" si="44"/>
        <v>0.53290422668238091</v>
      </c>
    </row>
    <row r="249" spans="1:54" s="121" customFormat="1" ht="16.5" customHeight="1">
      <c r="A249" s="104" t="s">
        <v>2143</v>
      </c>
      <c r="B249" s="105" t="s">
        <v>1368</v>
      </c>
      <c r="C249" s="106" t="s">
        <v>1450</v>
      </c>
      <c r="D249" s="106" t="s">
        <v>2415</v>
      </c>
      <c r="E249" s="71" t="s">
        <v>2071</v>
      </c>
      <c r="F249" s="71" t="s">
        <v>1404</v>
      </c>
      <c r="G249" s="109" t="s">
        <v>1405</v>
      </c>
      <c r="H249" s="110"/>
      <c r="I249" s="111"/>
      <c r="J249" s="112"/>
      <c r="K249" s="113">
        <f t="shared" si="34"/>
        <v>0</v>
      </c>
      <c r="L249" s="110">
        <v>16.626000000000001</v>
      </c>
      <c r="M249" s="111"/>
      <c r="N249" s="112"/>
      <c r="O249" s="111"/>
      <c r="P249" s="114"/>
      <c r="Q249" s="111">
        <v>8428</v>
      </c>
      <c r="R249" s="112"/>
      <c r="S249" s="112"/>
      <c r="T249" s="111">
        <f t="shared" si="35"/>
        <v>0</v>
      </c>
      <c r="U249" s="112"/>
      <c r="V249" s="116"/>
      <c r="W249" s="111">
        <v>0</v>
      </c>
      <c r="X249" s="113">
        <f t="shared" si="39"/>
        <v>16.626000000000001</v>
      </c>
      <c r="Y249" s="110">
        <v>0</v>
      </c>
      <c r="Z249" s="111">
        <v>0</v>
      </c>
      <c r="AA249" s="116">
        <v>0</v>
      </c>
      <c r="AB249" s="111">
        <v>0</v>
      </c>
      <c r="AC249" s="113">
        <f t="shared" si="40"/>
        <v>0</v>
      </c>
      <c r="AD249" s="110">
        <v>0</v>
      </c>
      <c r="AE249" s="111">
        <v>0</v>
      </c>
      <c r="AF249" s="112"/>
      <c r="AG249" s="117">
        <v>0</v>
      </c>
      <c r="AH249" s="111">
        <v>0</v>
      </c>
      <c r="AI249" s="112">
        <v>0</v>
      </c>
      <c r="AJ249" s="112">
        <v>0</v>
      </c>
      <c r="AK249" s="113">
        <f t="shared" si="41"/>
        <v>0</v>
      </c>
      <c r="AL249" s="143">
        <f t="shared" si="42"/>
        <v>0</v>
      </c>
      <c r="AM249" s="112">
        <f t="shared" si="42"/>
        <v>0</v>
      </c>
      <c r="AN249" s="112">
        <f t="shared" si="42"/>
        <v>0</v>
      </c>
      <c r="AO249" s="112">
        <f t="shared" si="42"/>
        <v>0</v>
      </c>
      <c r="AP249" s="192">
        <f t="shared" si="36"/>
        <v>0</v>
      </c>
      <c r="AQ249" s="193">
        <f t="shared" si="37"/>
        <v>16.626000000000001</v>
      </c>
      <c r="AR249" s="194">
        <f t="shared" si="38"/>
        <v>-16.626000000000001</v>
      </c>
      <c r="AS249" s="118"/>
      <c r="AT249" s="119"/>
      <c r="AU249" s="119"/>
      <c r="AV249" s="120"/>
      <c r="AW249" s="195"/>
      <c r="AX249" s="112">
        <v>0</v>
      </c>
      <c r="AY249" s="162">
        <v>0</v>
      </c>
      <c r="AZ249" s="162">
        <v>0</v>
      </c>
      <c r="BA249" s="162">
        <v>0</v>
      </c>
      <c r="BB249" s="196">
        <v>0</v>
      </c>
    </row>
    <row r="250" spans="1:54" s="121" customFormat="1" ht="16.5" customHeight="1">
      <c r="A250" s="104" t="s">
        <v>2143</v>
      </c>
      <c r="B250" s="105" t="s">
        <v>305</v>
      </c>
      <c r="C250" s="106" t="s">
        <v>1454</v>
      </c>
      <c r="D250" s="106" t="s">
        <v>2415</v>
      </c>
      <c r="E250" s="71" t="s">
        <v>1455</v>
      </c>
      <c r="F250" s="71" t="s">
        <v>1404</v>
      </c>
      <c r="G250" s="109" t="s">
        <v>1405</v>
      </c>
      <c r="H250" s="110"/>
      <c r="I250" s="111"/>
      <c r="J250" s="112"/>
      <c r="K250" s="113">
        <f t="shared" si="34"/>
        <v>0</v>
      </c>
      <c r="L250" s="110"/>
      <c r="M250" s="111"/>
      <c r="N250" s="112"/>
      <c r="O250" s="111"/>
      <c r="P250" s="114"/>
      <c r="Q250" s="111">
        <v>8428</v>
      </c>
      <c r="R250" s="112">
        <v>3979</v>
      </c>
      <c r="S250" s="112"/>
      <c r="T250" s="111">
        <f t="shared" si="35"/>
        <v>3979</v>
      </c>
      <c r="U250" s="112"/>
      <c r="V250" s="116"/>
      <c r="W250" s="111"/>
      <c r="X250" s="113">
        <f t="shared" si="39"/>
        <v>3979</v>
      </c>
      <c r="Y250" s="110"/>
      <c r="Z250" s="111"/>
      <c r="AA250" s="116"/>
      <c r="AB250" s="111"/>
      <c r="AC250" s="113">
        <f t="shared" si="40"/>
        <v>0</v>
      </c>
      <c r="AD250" s="110"/>
      <c r="AE250" s="111"/>
      <c r="AF250" s="112"/>
      <c r="AG250" s="117"/>
      <c r="AH250" s="111"/>
      <c r="AI250" s="112"/>
      <c r="AJ250" s="112"/>
      <c r="AK250" s="113">
        <f t="shared" si="41"/>
        <v>0</v>
      </c>
      <c r="AL250" s="143">
        <f t="shared" si="42"/>
        <v>1866</v>
      </c>
      <c r="AM250" s="112">
        <f t="shared" si="42"/>
        <v>1072.788</v>
      </c>
      <c r="AN250" s="112">
        <f t="shared" si="42"/>
        <v>793.21199999999999</v>
      </c>
      <c r="AO250" s="112">
        <f t="shared" si="42"/>
        <v>74.171999999999997</v>
      </c>
      <c r="AP250" s="192">
        <f t="shared" si="36"/>
        <v>0.57491318327974272</v>
      </c>
      <c r="AQ250" s="193">
        <f t="shared" si="37"/>
        <v>4053.172</v>
      </c>
      <c r="AR250" s="194">
        <f t="shared" si="38"/>
        <v>-4053.172</v>
      </c>
      <c r="AS250" s="118"/>
      <c r="AT250" s="119"/>
      <c r="AU250" s="119"/>
      <c r="AV250" s="120"/>
      <c r="AW250" s="195"/>
      <c r="AX250" s="112">
        <v>1866000</v>
      </c>
      <c r="AY250" s="162">
        <v>1072788</v>
      </c>
      <c r="AZ250" s="162">
        <v>793212</v>
      </c>
      <c r="BA250" s="162">
        <v>74172</v>
      </c>
      <c r="BB250" s="196">
        <f t="shared" si="44"/>
        <v>0.57491318327974272</v>
      </c>
    </row>
    <row r="251" spans="1:54" s="121" customFormat="1" ht="16.5" customHeight="1">
      <c r="A251" s="104" t="s">
        <v>2143</v>
      </c>
      <c r="B251" s="105" t="s">
        <v>1381</v>
      </c>
      <c r="C251" s="152" t="s">
        <v>2101</v>
      </c>
      <c r="D251" s="215" t="s">
        <v>2415</v>
      </c>
      <c r="E251" s="157" t="s">
        <v>2102</v>
      </c>
      <c r="F251" s="71" t="s">
        <v>1404</v>
      </c>
      <c r="G251" s="109" t="s">
        <v>1405</v>
      </c>
      <c r="H251" s="110">
        <v>3908.31</v>
      </c>
      <c r="I251" s="111"/>
      <c r="J251" s="112"/>
      <c r="K251" s="113">
        <f t="shared" si="34"/>
        <v>3908.31</v>
      </c>
      <c r="L251" s="110"/>
      <c r="M251" s="111"/>
      <c r="N251" s="112"/>
      <c r="O251" s="111"/>
      <c r="P251" s="114">
        <v>6.261304079550398E-3</v>
      </c>
      <c r="Q251" s="111">
        <v>8428</v>
      </c>
      <c r="R251" s="112"/>
      <c r="S251" s="112"/>
      <c r="T251" s="111">
        <f t="shared" si="35"/>
        <v>53</v>
      </c>
      <c r="U251" s="112">
        <v>103.636</v>
      </c>
      <c r="V251" s="116"/>
      <c r="W251" s="111">
        <v>792.1671608056007</v>
      </c>
      <c r="X251" s="113">
        <f t="shared" si="39"/>
        <v>948.80316080560067</v>
      </c>
      <c r="Y251" s="110">
        <v>0</v>
      </c>
      <c r="Z251" s="111">
        <v>0</v>
      </c>
      <c r="AA251" s="116">
        <v>0</v>
      </c>
      <c r="AB251" s="111">
        <v>792.16453888451747</v>
      </c>
      <c r="AC251" s="113">
        <f t="shared" si="40"/>
        <v>792.16453888451747</v>
      </c>
      <c r="AD251" s="110">
        <v>48.548586506813898</v>
      </c>
      <c r="AE251" s="111">
        <v>103.46804991457032</v>
      </c>
      <c r="AF251" s="112"/>
      <c r="AG251" s="117">
        <v>53</v>
      </c>
      <c r="AH251" s="111">
        <v>9210.029940119759</v>
      </c>
      <c r="AI251" s="112">
        <v>70.353577963848153</v>
      </c>
      <c r="AJ251" s="112">
        <v>1.0722483236230056</v>
      </c>
      <c r="AK251" s="113">
        <f t="shared" si="41"/>
        <v>9486.4724028286128</v>
      </c>
      <c r="AL251" s="143">
        <f t="shared" si="42"/>
        <v>19684.387999999999</v>
      </c>
      <c r="AM251" s="112">
        <f t="shared" si="42"/>
        <v>2480.232</v>
      </c>
      <c r="AN251" s="112">
        <f t="shared" si="42"/>
        <v>17204.155999999999</v>
      </c>
      <c r="AO251" s="112">
        <f t="shared" si="42"/>
        <v>2480.232</v>
      </c>
      <c r="AP251" s="192">
        <f t="shared" si="36"/>
        <v>0.12599995488810725</v>
      </c>
      <c r="AQ251" s="193">
        <f t="shared" si="37"/>
        <v>3429.0351608056008</v>
      </c>
      <c r="AR251" s="194">
        <f t="shared" si="38"/>
        <v>479.27483919439919</v>
      </c>
      <c r="AS251" s="118"/>
      <c r="AT251" s="119"/>
      <c r="AU251" s="119"/>
      <c r="AV251" s="120"/>
      <c r="AW251" s="195"/>
      <c r="AX251" s="112">
        <v>19684388</v>
      </c>
      <c r="AY251" s="162">
        <v>2480232</v>
      </c>
      <c r="AZ251" s="162">
        <v>17204156</v>
      </c>
      <c r="BA251" s="162">
        <v>2480232</v>
      </c>
      <c r="BB251" s="196">
        <f t="shared" si="44"/>
        <v>0.12599995488810725</v>
      </c>
    </row>
    <row r="252" spans="1:54" s="121" customFormat="1" ht="16.5" customHeight="1">
      <c r="A252" s="104" t="s">
        <v>2143</v>
      </c>
      <c r="B252" s="105" t="s">
        <v>1389</v>
      </c>
      <c r="C252" s="106" t="s">
        <v>1460</v>
      </c>
      <c r="D252" s="106" t="s">
        <v>2415</v>
      </c>
      <c r="E252" s="71" t="s">
        <v>1461</v>
      </c>
      <c r="F252" s="71" t="s">
        <v>78</v>
      </c>
      <c r="G252" s="158" t="s">
        <v>2328</v>
      </c>
      <c r="H252" s="110">
        <v>42566</v>
      </c>
      <c r="I252" s="111">
        <v>3047</v>
      </c>
      <c r="J252" s="112">
        <v>0</v>
      </c>
      <c r="K252" s="113">
        <f t="shared" si="34"/>
        <v>45613</v>
      </c>
      <c r="L252" s="110">
        <v>5165</v>
      </c>
      <c r="M252" s="111">
        <v>33643</v>
      </c>
      <c r="N252" s="115"/>
      <c r="O252" s="111">
        <v>4036</v>
      </c>
      <c r="P252" s="114">
        <v>35</v>
      </c>
      <c r="Q252" s="111">
        <v>8428</v>
      </c>
      <c r="R252" s="115"/>
      <c r="S252" s="115">
        <v>9989</v>
      </c>
      <c r="T252" s="111">
        <f t="shared" si="35"/>
        <v>304969</v>
      </c>
      <c r="U252" s="112">
        <v>1259961</v>
      </c>
      <c r="V252" s="116">
        <v>3328</v>
      </c>
      <c r="W252" s="112"/>
      <c r="X252" s="113">
        <f t="shared" si="39"/>
        <v>1611102</v>
      </c>
      <c r="Y252" s="110"/>
      <c r="Z252" s="111"/>
      <c r="AA252" s="116"/>
      <c r="AB252" s="111"/>
      <c r="AC252" s="113">
        <f t="shared" si="40"/>
        <v>0</v>
      </c>
      <c r="AD252" s="110"/>
      <c r="AE252" s="111"/>
      <c r="AF252" s="112"/>
      <c r="AG252" s="117"/>
      <c r="AH252" s="111"/>
      <c r="AI252" s="112"/>
      <c r="AJ252" s="112"/>
      <c r="AK252" s="113">
        <f t="shared" si="41"/>
        <v>0</v>
      </c>
      <c r="AL252" s="143">
        <f t="shared" si="42"/>
        <v>857726.33200000005</v>
      </c>
      <c r="AM252" s="112">
        <f t="shared" si="42"/>
        <v>665358.495</v>
      </c>
      <c r="AN252" s="112">
        <f t="shared" si="42"/>
        <v>192367.837</v>
      </c>
      <c r="AO252" s="112">
        <f t="shared" si="42"/>
        <v>20354.306</v>
      </c>
      <c r="AP252" s="192">
        <f t="shared" si="36"/>
        <v>0.77572352646391651</v>
      </c>
      <c r="AQ252" s="193">
        <f t="shared" si="37"/>
        <v>1631456.3060000001</v>
      </c>
      <c r="AR252" s="194">
        <f t="shared" si="38"/>
        <v>-1585843.3060000001</v>
      </c>
      <c r="AS252" s="118"/>
      <c r="AT252" s="119"/>
      <c r="AU252" s="119"/>
      <c r="AV252" s="120"/>
      <c r="AW252" s="195"/>
      <c r="AX252" s="112">
        <v>857726332</v>
      </c>
      <c r="AY252" s="162">
        <v>665358495</v>
      </c>
      <c r="AZ252" s="162">
        <v>192367837</v>
      </c>
      <c r="BA252" s="162">
        <v>20354306</v>
      </c>
      <c r="BB252" s="196">
        <f t="shared" si="44"/>
        <v>0.77572352646391651</v>
      </c>
    </row>
    <row r="253" spans="1:54" s="121" customFormat="1" ht="16.5" customHeight="1">
      <c r="A253" s="104" t="s">
        <v>2143</v>
      </c>
      <c r="B253" s="105" t="s">
        <v>1394</v>
      </c>
      <c r="C253" s="106" t="s">
        <v>1468</v>
      </c>
      <c r="D253" s="106" t="s">
        <v>2415</v>
      </c>
      <c r="E253" s="71" t="s">
        <v>1469</v>
      </c>
      <c r="F253" s="71" t="s">
        <v>78</v>
      </c>
      <c r="G253" s="109" t="s">
        <v>1470</v>
      </c>
      <c r="H253" s="110">
        <v>23805</v>
      </c>
      <c r="I253" s="112">
        <v>0</v>
      </c>
      <c r="J253" s="112">
        <v>0</v>
      </c>
      <c r="K253" s="113">
        <f t="shared" si="34"/>
        <v>23805</v>
      </c>
      <c r="L253" s="210">
        <v>0</v>
      </c>
      <c r="M253" s="115">
        <v>0</v>
      </c>
      <c r="N253" s="115">
        <v>0</v>
      </c>
      <c r="O253" s="115">
        <v>1561</v>
      </c>
      <c r="P253" s="122">
        <v>1</v>
      </c>
      <c r="Q253" s="111">
        <v>8428</v>
      </c>
      <c r="R253" s="115">
        <v>0</v>
      </c>
      <c r="S253" s="115">
        <v>0</v>
      </c>
      <c r="T253" s="111">
        <f t="shared" si="35"/>
        <v>8428</v>
      </c>
      <c r="U253" s="115">
        <v>0</v>
      </c>
      <c r="V253" s="144">
        <v>0</v>
      </c>
      <c r="W253" s="111">
        <v>46756</v>
      </c>
      <c r="X253" s="113">
        <f t="shared" si="39"/>
        <v>56745</v>
      </c>
      <c r="Y253" s="110">
        <v>0</v>
      </c>
      <c r="Z253" s="111">
        <v>0</v>
      </c>
      <c r="AA253" s="116">
        <v>0</v>
      </c>
      <c r="AB253" s="111">
        <v>46756</v>
      </c>
      <c r="AC253" s="113">
        <f t="shared" si="40"/>
        <v>46756</v>
      </c>
      <c r="AD253" s="110">
        <v>11009</v>
      </c>
      <c r="AE253" s="111">
        <v>5710</v>
      </c>
      <c r="AF253" s="112">
        <v>0</v>
      </c>
      <c r="AG253" s="117">
        <v>396</v>
      </c>
      <c r="AH253" s="111">
        <v>25300</v>
      </c>
      <c r="AI253" s="112">
        <v>823</v>
      </c>
      <c r="AJ253" s="112">
        <v>1707</v>
      </c>
      <c r="AK253" s="113">
        <f t="shared" si="41"/>
        <v>44945</v>
      </c>
      <c r="AL253" s="143">
        <f t="shared" si="42"/>
        <v>790599.54599999997</v>
      </c>
      <c r="AM253" s="112">
        <f t="shared" si="42"/>
        <v>456886.73100000003</v>
      </c>
      <c r="AN253" s="112">
        <f t="shared" si="42"/>
        <v>333712.815</v>
      </c>
      <c r="AO253" s="112">
        <f t="shared" si="42"/>
        <v>16364.295</v>
      </c>
      <c r="AP253" s="192">
        <f t="shared" si="36"/>
        <v>0.57789905561114496</v>
      </c>
      <c r="AQ253" s="193">
        <f t="shared" si="37"/>
        <v>73109.294999999998</v>
      </c>
      <c r="AR253" s="194">
        <f t="shared" si="38"/>
        <v>-49304.294999999998</v>
      </c>
      <c r="AS253" s="118"/>
      <c r="AT253" s="119"/>
      <c r="AU253" s="119"/>
      <c r="AV253" s="120"/>
      <c r="AW253" s="195"/>
      <c r="AX253" s="112">
        <v>790599546</v>
      </c>
      <c r="AY253" s="162">
        <v>456886731</v>
      </c>
      <c r="AZ253" s="162">
        <v>333712815</v>
      </c>
      <c r="BA253" s="162">
        <v>16364295</v>
      </c>
      <c r="BB253" s="196">
        <f t="shared" si="44"/>
        <v>0.57789905561114496</v>
      </c>
    </row>
    <row r="254" spans="1:54" s="121" customFormat="1" ht="16.5" customHeight="1">
      <c r="A254" s="104" t="s">
        <v>2143</v>
      </c>
      <c r="B254" s="105" t="s">
        <v>1399</v>
      </c>
      <c r="C254" s="106" t="s">
        <v>1475</v>
      </c>
      <c r="D254" s="106" t="s">
        <v>2415</v>
      </c>
      <c r="E254" s="71" t="s">
        <v>1880</v>
      </c>
      <c r="F254" s="71" t="s">
        <v>708</v>
      </c>
      <c r="G254" s="109" t="s">
        <v>1476</v>
      </c>
      <c r="H254" s="110">
        <v>0</v>
      </c>
      <c r="I254" s="112">
        <v>0</v>
      </c>
      <c r="J254" s="112">
        <v>4020</v>
      </c>
      <c r="K254" s="113">
        <f t="shared" si="34"/>
        <v>4020</v>
      </c>
      <c r="L254" s="110">
        <v>0</v>
      </c>
      <c r="M254" s="111">
        <v>0</v>
      </c>
      <c r="N254" s="115">
        <v>0</v>
      </c>
      <c r="O254" s="111">
        <v>0</v>
      </c>
      <c r="P254" s="122">
        <v>0.45</v>
      </c>
      <c r="Q254" s="111">
        <v>8428</v>
      </c>
      <c r="R254" s="115">
        <v>0</v>
      </c>
      <c r="S254" s="115">
        <v>0</v>
      </c>
      <c r="T254" s="111">
        <f t="shared" si="35"/>
        <v>3793</v>
      </c>
      <c r="U254" s="112">
        <v>0</v>
      </c>
      <c r="V254" s="116">
        <v>0</v>
      </c>
      <c r="W254" s="112">
        <v>0</v>
      </c>
      <c r="X254" s="113">
        <f t="shared" si="39"/>
        <v>3793</v>
      </c>
      <c r="Y254" s="110">
        <v>42290</v>
      </c>
      <c r="Z254" s="111">
        <v>0</v>
      </c>
      <c r="AA254" s="116">
        <v>0</v>
      </c>
      <c r="AB254" s="111">
        <v>0</v>
      </c>
      <c r="AC254" s="113">
        <f t="shared" si="40"/>
        <v>42290</v>
      </c>
      <c r="AD254" s="110">
        <v>3125</v>
      </c>
      <c r="AE254" s="111">
        <v>15229</v>
      </c>
      <c r="AF254" s="112">
        <v>0</v>
      </c>
      <c r="AG254" s="117">
        <v>2980</v>
      </c>
      <c r="AH254" s="111">
        <v>5317</v>
      </c>
      <c r="AI254" s="112">
        <v>2021</v>
      </c>
      <c r="AJ254" s="112">
        <v>6468</v>
      </c>
      <c r="AK254" s="113">
        <f t="shared" si="41"/>
        <v>35140</v>
      </c>
      <c r="AL254" s="143">
        <f t="shared" si="42"/>
        <v>991695.31099999999</v>
      </c>
      <c r="AM254" s="112">
        <f t="shared" si="42"/>
        <v>687657.04200000002</v>
      </c>
      <c r="AN254" s="112">
        <f t="shared" si="42"/>
        <v>304038.26899999997</v>
      </c>
      <c r="AO254" s="112">
        <f t="shared" si="42"/>
        <v>26786.465</v>
      </c>
      <c r="AP254" s="192">
        <f t="shared" si="36"/>
        <v>0.69341564326505123</v>
      </c>
      <c r="AQ254" s="193">
        <f t="shared" si="37"/>
        <v>30579.465</v>
      </c>
      <c r="AR254" s="194">
        <f t="shared" si="38"/>
        <v>-26559.465</v>
      </c>
      <c r="AS254" s="118" t="s">
        <v>2223</v>
      </c>
      <c r="AT254" s="119"/>
      <c r="AU254" s="119"/>
      <c r="AV254" s="120"/>
      <c r="AW254" s="195"/>
      <c r="AX254" s="112">
        <v>991695311</v>
      </c>
      <c r="AY254" s="162">
        <v>687657042</v>
      </c>
      <c r="AZ254" s="162">
        <v>304038269</v>
      </c>
      <c r="BA254" s="162">
        <v>26786465</v>
      </c>
      <c r="BB254" s="196">
        <f t="shared" si="44"/>
        <v>0.69341564326505123</v>
      </c>
    </row>
    <row r="255" spans="1:54" s="121" customFormat="1" ht="16.5" customHeight="1">
      <c r="A255" s="104" t="s">
        <v>2143</v>
      </c>
      <c r="B255" s="105" t="s">
        <v>756</v>
      </c>
      <c r="C255" s="106" t="s">
        <v>1480</v>
      </c>
      <c r="D255" s="106" t="s">
        <v>2415</v>
      </c>
      <c r="E255" s="71" t="s">
        <v>1481</v>
      </c>
      <c r="F255" s="71" t="s">
        <v>708</v>
      </c>
      <c r="G255" s="109" t="s">
        <v>780</v>
      </c>
      <c r="H255" s="143"/>
      <c r="I255" s="112"/>
      <c r="J255" s="112"/>
      <c r="K255" s="113">
        <f t="shared" si="34"/>
        <v>0</v>
      </c>
      <c r="L255" s="110">
        <v>8</v>
      </c>
      <c r="M255" s="115"/>
      <c r="N255" s="115"/>
      <c r="O255" s="115"/>
      <c r="P255" s="114"/>
      <c r="Q255" s="111">
        <v>8428</v>
      </c>
      <c r="R255" s="115"/>
      <c r="S255" s="115"/>
      <c r="T255" s="111">
        <f t="shared" si="35"/>
        <v>0</v>
      </c>
      <c r="U255" s="115"/>
      <c r="V255" s="116"/>
      <c r="W255" s="112"/>
      <c r="X255" s="113">
        <f t="shared" si="39"/>
        <v>8</v>
      </c>
      <c r="Y255" s="110"/>
      <c r="Z255" s="111"/>
      <c r="AA255" s="116"/>
      <c r="AB255" s="111"/>
      <c r="AC255" s="113">
        <f t="shared" si="40"/>
        <v>0</v>
      </c>
      <c r="AD255" s="110"/>
      <c r="AE255" s="111"/>
      <c r="AF255" s="112"/>
      <c r="AG255" s="117"/>
      <c r="AH255" s="111"/>
      <c r="AI255" s="112"/>
      <c r="AJ255" s="112"/>
      <c r="AK255" s="113">
        <f t="shared" si="41"/>
        <v>0</v>
      </c>
      <c r="AL255" s="143">
        <f t="shared" si="42"/>
        <v>9176.4809999999998</v>
      </c>
      <c r="AM255" s="112">
        <f t="shared" si="42"/>
        <v>6785.2070000000003</v>
      </c>
      <c r="AN255" s="112">
        <f t="shared" si="42"/>
        <v>2391.2739999999999</v>
      </c>
      <c r="AO255" s="112">
        <f t="shared" si="42"/>
        <v>385.411</v>
      </c>
      <c r="AP255" s="192">
        <f t="shared" si="36"/>
        <v>0.73941274438425797</v>
      </c>
      <c r="AQ255" s="193">
        <f t="shared" si="37"/>
        <v>393.411</v>
      </c>
      <c r="AR255" s="194">
        <f t="shared" si="38"/>
        <v>-393.411</v>
      </c>
      <c r="AS255" s="118"/>
      <c r="AT255" s="119"/>
      <c r="AU255" s="119"/>
      <c r="AV255" s="120"/>
      <c r="AW255" s="195"/>
      <c r="AX255" s="112">
        <v>9176481</v>
      </c>
      <c r="AY255" s="162">
        <v>6785207</v>
      </c>
      <c r="AZ255" s="162">
        <v>2391274</v>
      </c>
      <c r="BA255" s="162">
        <v>385411</v>
      </c>
      <c r="BB255" s="196">
        <f t="shared" si="44"/>
        <v>0.73941274438425797</v>
      </c>
    </row>
    <row r="256" spans="1:54" s="121" customFormat="1" ht="16.5" customHeight="1">
      <c r="A256" s="104" t="s">
        <v>2143</v>
      </c>
      <c r="B256" s="105" t="s">
        <v>1413</v>
      </c>
      <c r="C256" s="106" t="s">
        <v>1483</v>
      </c>
      <c r="D256" s="106" t="s">
        <v>2415</v>
      </c>
      <c r="E256" s="71" t="s">
        <v>1484</v>
      </c>
      <c r="F256" s="71" t="s">
        <v>139</v>
      </c>
      <c r="G256" s="158" t="s">
        <v>2568</v>
      </c>
      <c r="H256" s="110"/>
      <c r="I256" s="111"/>
      <c r="J256" s="112">
        <v>230747</v>
      </c>
      <c r="K256" s="113">
        <f t="shared" si="34"/>
        <v>230747</v>
      </c>
      <c r="L256" s="110"/>
      <c r="M256" s="111"/>
      <c r="N256" s="112"/>
      <c r="O256" s="111"/>
      <c r="P256" s="159">
        <v>0.5</v>
      </c>
      <c r="Q256" s="111">
        <v>8428</v>
      </c>
      <c r="R256" s="115"/>
      <c r="S256" s="115"/>
      <c r="T256" s="111">
        <f t="shared" si="35"/>
        <v>4214</v>
      </c>
      <c r="U256" s="112"/>
      <c r="V256" s="116">
        <v>162721</v>
      </c>
      <c r="W256" s="111">
        <v>123326</v>
      </c>
      <c r="X256" s="113">
        <f t="shared" si="39"/>
        <v>290261</v>
      </c>
      <c r="Y256" s="110"/>
      <c r="Z256" s="111">
        <v>86792</v>
      </c>
      <c r="AA256" s="116">
        <v>176413</v>
      </c>
      <c r="AB256" s="111">
        <v>123326</v>
      </c>
      <c r="AC256" s="113">
        <f t="shared" si="40"/>
        <v>386531</v>
      </c>
      <c r="AD256" s="110"/>
      <c r="AE256" s="111"/>
      <c r="AF256" s="112"/>
      <c r="AG256" s="117"/>
      <c r="AH256" s="111">
        <v>293100</v>
      </c>
      <c r="AI256" s="112"/>
      <c r="AJ256" s="112">
        <v>93431</v>
      </c>
      <c r="AK256" s="113">
        <f t="shared" si="41"/>
        <v>386531</v>
      </c>
      <c r="AL256" s="143">
        <f t="shared" si="42"/>
        <v>314010.13400000002</v>
      </c>
      <c r="AM256" s="112">
        <f t="shared" si="42"/>
        <v>74840.433999999994</v>
      </c>
      <c r="AN256" s="112">
        <f t="shared" si="42"/>
        <v>239169.7</v>
      </c>
      <c r="AO256" s="112">
        <f t="shared" si="42"/>
        <v>7070.4179999999997</v>
      </c>
      <c r="AP256" s="192">
        <f t="shared" si="36"/>
        <v>0.23833763912855119</v>
      </c>
      <c r="AQ256" s="193">
        <f t="shared" si="37"/>
        <v>297331.41800000001</v>
      </c>
      <c r="AR256" s="194">
        <f t="shared" si="38"/>
        <v>-66584.418000000005</v>
      </c>
      <c r="AS256" s="118"/>
      <c r="AT256" s="119"/>
      <c r="AU256" s="119"/>
      <c r="AV256" s="120"/>
      <c r="AW256" s="195"/>
      <c r="AX256" s="112">
        <v>314010134</v>
      </c>
      <c r="AY256" s="162">
        <v>74840434</v>
      </c>
      <c r="AZ256" s="162">
        <v>239169700</v>
      </c>
      <c r="BA256" s="162">
        <v>7070418</v>
      </c>
      <c r="BB256" s="196">
        <f t="shared" si="44"/>
        <v>0.23833763912855119</v>
      </c>
    </row>
    <row r="257" spans="1:54" s="121" customFormat="1" ht="16.5" customHeight="1">
      <c r="A257" s="104" t="s">
        <v>2143</v>
      </c>
      <c r="B257" s="105" t="s">
        <v>1416</v>
      </c>
      <c r="C257" s="106" t="s">
        <v>1492</v>
      </c>
      <c r="D257" s="106" t="s">
        <v>2415</v>
      </c>
      <c r="E257" s="71" t="s">
        <v>1493</v>
      </c>
      <c r="F257" s="71" t="s">
        <v>1493</v>
      </c>
      <c r="G257" s="109" t="s">
        <v>1493</v>
      </c>
      <c r="H257" s="110"/>
      <c r="I257" s="111"/>
      <c r="J257" s="112"/>
      <c r="K257" s="113"/>
      <c r="L257" s="110"/>
      <c r="M257" s="111"/>
      <c r="N257" s="112"/>
      <c r="O257" s="111"/>
      <c r="P257" s="114"/>
      <c r="Q257" s="111"/>
      <c r="R257" s="115"/>
      <c r="S257" s="115"/>
      <c r="T257" s="111"/>
      <c r="U257" s="112"/>
      <c r="V257" s="116"/>
      <c r="W257" s="111"/>
      <c r="X257" s="113"/>
      <c r="Y257" s="110"/>
      <c r="Z257" s="111"/>
      <c r="AA257" s="116"/>
      <c r="AB257" s="111"/>
      <c r="AC257" s="113"/>
      <c r="AD257" s="110"/>
      <c r="AE257" s="111"/>
      <c r="AF257" s="112"/>
      <c r="AG257" s="117"/>
      <c r="AH257" s="111"/>
      <c r="AI257" s="112"/>
      <c r="AJ257" s="112"/>
      <c r="AK257" s="113"/>
      <c r="AL257" s="143"/>
      <c r="AM257" s="162"/>
      <c r="AN257" s="162"/>
      <c r="AO257" s="162" t="s">
        <v>1929</v>
      </c>
      <c r="AP257" s="162"/>
      <c r="AQ257" s="162"/>
      <c r="AR257" s="216"/>
      <c r="AS257" s="118"/>
      <c r="AT257" s="119"/>
      <c r="AU257" s="119"/>
      <c r="AV257" s="120"/>
      <c r="AW257" s="195"/>
      <c r="AX257" s="112"/>
      <c r="AY257" s="162"/>
      <c r="AZ257" s="162"/>
      <c r="BA257" s="162"/>
      <c r="BB257" s="216"/>
    </row>
    <row r="258" spans="1:54" s="121" customFormat="1" ht="16.5" customHeight="1">
      <c r="A258" s="104" t="s">
        <v>2143</v>
      </c>
      <c r="B258" s="105" t="s">
        <v>1419</v>
      </c>
      <c r="C258" s="106" t="s">
        <v>1501</v>
      </c>
      <c r="D258" s="106" t="s">
        <v>2415</v>
      </c>
      <c r="E258" s="71" t="s">
        <v>1502</v>
      </c>
      <c r="F258" s="71" t="s">
        <v>1502</v>
      </c>
      <c r="G258" s="109" t="s">
        <v>1503</v>
      </c>
      <c r="H258" s="110"/>
      <c r="I258" s="111"/>
      <c r="J258" s="112"/>
      <c r="K258" s="113"/>
      <c r="L258" s="110"/>
      <c r="M258" s="111"/>
      <c r="N258" s="112"/>
      <c r="O258" s="111"/>
      <c r="P258" s="114"/>
      <c r="Q258" s="111"/>
      <c r="R258" s="115"/>
      <c r="S258" s="115"/>
      <c r="T258" s="111"/>
      <c r="U258" s="112"/>
      <c r="V258" s="116"/>
      <c r="W258" s="111"/>
      <c r="X258" s="113"/>
      <c r="Y258" s="110"/>
      <c r="Z258" s="111"/>
      <c r="AA258" s="116"/>
      <c r="AB258" s="111"/>
      <c r="AC258" s="113"/>
      <c r="AD258" s="110"/>
      <c r="AE258" s="111"/>
      <c r="AF258" s="112"/>
      <c r="AG258" s="117"/>
      <c r="AH258" s="111"/>
      <c r="AI258" s="112"/>
      <c r="AJ258" s="112"/>
      <c r="AK258" s="113"/>
      <c r="AL258" s="143"/>
      <c r="AM258" s="162"/>
      <c r="AN258" s="162"/>
      <c r="AO258" s="162" t="s">
        <v>1929</v>
      </c>
      <c r="AP258" s="162"/>
      <c r="AQ258" s="162"/>
      <c r="AR258" s="216"/>
      <c r="AS258" s="118"/>
      <c r="AT258" s="119"/>
      <c r="AU258" s="119"/>
      <c r="AV258" s="120"/>
      <c r="AW258" s="195"/>
      <c r="AX258" s="112"/>
      <c r="AY258" s="162"/>
      <c r="AZ258" s="162"/>
      <c r="BA258" s="162"/>
      <c r="BB258" s="216"/>
    </row>
    <row r="259" spans="1:54" s="121" customFormat="1" ht="16.5" customHeight="1">
      <c r="A259" s="104" t="s">
        <v>2143</v>
      </c>
      <c r="B259" s="105" t="s">
        <v>1426</v>
      </c>
      <c r="C259" s="106" t="s">
        <v>1506</v>
      </c>
      <c r="D259" s="106" t="s">
        <v>2415</v>
      </c>
      <c r="E259" s="71" t="s">
        <v>1507</v>
      </c>
      <c r="F259" s="71" t="s">
        <v>1502</v>
      </c>
      <c r="G259" s="109" t="s">
        <v>1508</v>
      </c>
      <c r="H259" s="110"/>
      <c r="I259" s="111"/>
      <c r="J259" s="112"/>
      <c r="K259" s="113"/>
      <c r="L259" s="110"/>
      <c r="M259" s="111"/>
      <c r="N259" s="112"/>
      <c r="O259" s="111"/>
      <c r="P259" s="114"/>
      <c r="Q259" s="111"/>
      <c r="R259" s="115"/>
      <c r="S259" s="115"/>
      <c r="T259" s="111"/>
      <c r="U259" s="112"/>
      <c r="V259" s="116"/>
      <c r="W259" s="111"/>
      <c r="X259" s="113"/>
      <c r="Y259" s="110"/>
      <c r="Z259" s="111"/>
      <c r="AA259" s="116"/>
      <c r="AB259" s="111"/>
      <c r="AC259" s="113"/>
      <c r="AD259" s="110"/>
      <c r="AE259" s="111"/>
      <c r="AF259" s="112"/>
      <c r="AG259" s="117"/>
      <c r="AH259" s="111"/>
      <c r="AI259" s="112"/>
      <c r="AJ259" s="112"/>
      <c r="AK259" s="113"/>
      <c r="AL259" s="143"/>
      <c r="AM259" s="162"/>
      <c r="AN259" s="162"/>
      <c r="AO259" s="162" t="s">
        <v>1929</v>
      </c>
      <c r="AP259" s="162"/>
      <c r="AQ259" s="162"/>
      <c r="AR259" s="216"/>
      <c r="AS259" s="118"/>
      <c r="AT259" s="119"/>
      <c r="AU259" s="119"/>
      <c r="AV259" s="120"/>
      <c r="AW259" s="195"/>
      <c r="AX259" s="112"/>
      <c r="AY259" s="162"/>
      <c r="AZ259" s="162"/>
      <c r="BA259" s="162"/>
      <c r="BB259" s="216"/>
    </row>
    <row r="260" spans="1:54" s="121" customFormat="1" ht="16.5" customHeight="1">
      <c r="A260" s="104" t="s">
        <v>2143</v>
      </c>
      <c r="B260" s="105" t="s">
        <v>1429</v>
      </c>
      <c r="C260" s="106" t="s">
        <v>1945</v>
      </c>
      <c r="D260" s="106" t="s">
        <v>2415</v>
      </c>
      <c r="E260" s="71" t="s">
        <v>1511</v>
      </c>
      <c r="F260" s="71" t="s">
        <v>1502</v>
      </c>
      <c r="G260" s="109" t="s">
        <v>1508</v>
      </c>
      <c r="H260" s="110"/>
      <c r="I260" s="111"/>
      <c r="J260" s="112"/>
      <c r="K260" s="113"/>
      <c r="L260" s="110"/>
      <c r="M260" s="111"/>
      <c r="N260" s="112"/>
      <c r="O260" s="111"/>
      <c r="P260" s="114"/>
      <c r="Q260" s="111"/>
      <c r="R260" s="115"/>
      <c r="S260" s="115"/>
      <c r="T260" s="111"/>
      <c r="U260" s="112"/>
      <c r="V260" s="116"/>
      <c r="W260" s="111"/>
      <c r="X260" s="113"/>
      <c r="Y260" s="110"/>
      <c r="Z260" s="111"/>
      <c r="AA260" s="116"/>
      <c r="AB260" s="111"/>
      <c r="AC260" s="113"/>
      <c r="AD260" s="110"/>
      <c r="AE260" s="111"/>
      <c r="AF260" s="112"/>
      <c r="AG260" s="117"/>
      <c r="AH260" s="111"/>
      <c r="AI260" s="112"/>
      <c r="AJ260" s="112"/>
      <c r="AK260" s="113"/>
      <c r="AL260" s="143"/>
      <c r="AM260" s="162"/>
      <c r="AN260" s="162"/>
      <c r="AO260" s="162" t="s">
        <v>1929</v>
      </c>
      <c r="AP260" s="162"/>
      <c r="AQ260" s="162"/>
      <c r="AR260" s="216"/>
      <c r="AS260" s="118"/>
      <c r="AT260" s="119"/>
      <c r="AU260" s="119"/>
      <c r="AV260" s="120"/>
      <c r="AW260" s="195"/>
      <c r="AX260" s="112"/>
      <c r="AY260" s="162"/>
      <c r="AZ260" s="162"/>
      <c r="BA260" s="162"/>
      <c r="BB260" s="216"/>
    </row>
    <row r="261" spans="1:54" s="121" customFormat="1" ht="16.5" customHeight="1">
      <c r="A261" s="104" t="s">
        <v>2143</v>
      </c>
      <c r="B261" s="105" t="s">
        <v>1432</v>
      </c>
      <c r="C261" s="106" t="s">
        <v>1946</v>
      </c>
      <c r="D261" s="106" t="s">
        <v>2415</v>
      </c>
      <c r="E261" s="71" t="s">
        <v>1514</v>
      </c>
      <c r="F261" s="71" t="s">
        <v>1502</v>
      </c>
      <c r="G261" s="109" t="s">
        <v>1508</v>
      </c>
      <c r="H261" s="110"/>
      <c r="I261" s="111"/>
      <c r="J261" s="112"/>
      <c r="K261" s="113"/>
      <c r="L261" s="110"/>
      <c r="M261" s="111"/>
      <c r="N261" s="112"/>
      <c r="O261" s="111"/>
      <c r="P261" s="114"/>
      <c r="Q261" s="111"/>
      <c r="R261" s="115"/>
      <c r="S261" s="115"/>
      <c r="T261" s="111"/>
      <c r="U261" s="112"/>
      <c r="V261" s="116"/>
      <c r="W261" s="111"/>
      <c r="X261" s="113"/>
      <c r="Y261" s="110"/>
      <c r="Z261" s="111"/>
      <c r="AA261" s="116"/>
      <c r="AB261" s="111"/>
      <c r="AC261" s="113"/>
      <c r="AD261" s="110"/>
      <c r="AE261" s="111"/>
      <c r="AF261" s="112"/>
      <c r="AG261" s="117"/>
      <c r="AH261" s="111"/>
      <c r="AI261" s="112"/>
      <c r="AJ261" s="112"/>
      <c r="AK261" s="113"/>
      <c r="AL261" s="143"/>
      <c r="AM261" s="162"/>
      <c r="AN261" s="162"/>
      <c r="AO261" s="162" t="s">
        <v>1929</v>
      </c>
      <c r="AP261" s="162"/>
      <c r="AQ261" s="162"/>
      <c r="AR261" s="216"/>
      <c r="AS261" s="118"/>
      <c r="AT261" s="119"/>
      <c r="AU261" s="119"/>
      <c r="AV261" s="120"/>
      <c r="AW261" s="195"/>
      <c r="AX261" s="112"/>
      <c r="AY261" s="162"/>
      <c r="AZ261" s="162"/>
      <c r="BA261" s="162"/>
      <c r="BB261" s="216"/>
    </row>
    <row r="262" spans="1:54" s="121" customFormat="1" ht="16.5" customHeight="1">
      <c r="A262" s="104" t="s">
        <v>2143</v>
      </c>
      <c r="B262" s="105" t="s">
        <v>1434</v>
      </c>
      <c r="C262" s="106" t="s">
        <v>1947</v>
      </c>
      <c r="D262" s="106" t="s">
        <v>2415</v>
      </c>
      <c r="E262" s="71" t="s">
        <v>1911</v>
      </c>
      <c r="F262" s="71" t="s">
        <v>1502</v>
      </c>
      <c r="G262" s="109" t="s">
        <v>1508</v>
      </c>
      <c r="H262" s="110"/>
      <c r="I262" s="111"/>
      <c r="J262" s="112"/>
      <c r="K262" s="113"/>
      <c r="L262" s="110"/>
      <c r="M262" s="111"/>
      <c r="N262" s="112"/>
      <c r="O262" s="111"/>
      <c r="P262" s="114"/>
      <c r="Q262" s="111"/>
      <c r="R262" s="115"/>
      <c r="S262" s="115"/>
      <c r="T262" s="111"/>
      <c r="U262" s="112"/>
      <c r="V262" s="116"/>
      <c r="W262" s="111"/>
      <c r="X262" s="113"/>
      <c r="Y262" s="110"/>
      <c r="Z262" s="111"/>
      <c r="AA262" s="116"/>
      <c r="AB262" s="111"/>
      <c r="AC262" s="113"/>
      <c r="AD262" s="110"/>
      <c r="AE262" s="111"/>
      <c r="AF262" s="112"/>
      <c r="AG262" s="117"/>
      <c r="AH262" s="111"/>
      <c r="AI262" s="112"/>
      <c r="AJ262" s="112"/>
      <c r="AK262" s="113"/>
      <c r="AL262" s="143"/>
      <c r="AM262" s="162"/>
      <c r="AN262" s="162"/>
      <c r="AO262" s="162" t="s">
        <v>1929</v>
      </c>
      <c r="AP262" s="162"/>
      <c r="AQ262" s="162"/>
      <c r="AR262" s="216"/>
      <c r="AS262" s="118"/>
      <c r="AT262" s="119"/>
      <c r="AU262" s="119"/>
      <c r="AV262" s="120"/>
      <c r="AW262" s="195"/>
      <c r="AX262" s="112"/>
      <c r="AY262" s="162"/>
      <c r="AZ262" s="162"/>
      <c r="BA262" s="162"/>
      <c r="BB262" s="216"/>
    </row>
    <row r="263" spans="1:54" s="121" customFormat="1" ht="16.5" customHeight="1">
      <c r="A263" s="104" t="s">
        <v>2143</v>
      </c>
      <c r="B263" s="105" t="s">
        <v>1436</v>
      </c>
      <c r="C263" s="106" t="s">
        <v>1516</v>
      </c>
      <c r="D263" s="106" t="s">
        <v>2415</v>
      </c>
      <c r="E263" s="71" t="s">
        <v>1517</v>
      </c>
      <c r="F263" s="71" t="s">
        <v>1502</v>
      </c>
      <c r="G263" s="109" t="s">
        <v>1518</v>
      </c>
      <c r="H263" s="110"/>
      <c r="I263" s="111"/>
      <c r="J263" s="112"/>
      <c r="K263" s="113"/>
      <c r="L263" s="110"/>
      <c r="M263" s="111"/>
      <c r="N263" s="112"/>
      <c r="O263" s="111"/>
      <c r="P263" s="114"/>
      <c r="Q263" s="111"/>
      <c r="R263" s="115"/>
      <c r="S263" s="115"/>
      <c r="T263" s="111"/>
      <c r="U263" s="112"/>
      <c r="V263" s="116"/>
      <c r="W263" s="111"/>
      <c r="X263" s="113"/>
      <c r="Y263" s="110"/>
      <c r="Z263" s="111"/>
      <c r="AA263" s="116"/>
      <c r="AB263" s="111"/>
      <c r="AC263" s="113"/>
      <c r="AD263" s="110"/>
      <c r="AE263" s="111"/>
      <c r="AF263" s="112"/>
      <c r="AG263" s="117"/>
      <c r="AH263" s="111"/>
      <c r="AI263" s="112"/>
      <c r="AJ263" s="112"/>
      <c r="AK263" s="113"/>
      <c r="AL263" s="143"/>
      <c r="AM263" s="162"/>
      <c r="AN263" s="162"/>
      <c r="AO263" s="162" t="s">
        <v>1929</v>
      </c>
      <c r="AP263" s="162"/>
      <c r="AQ263" s="162"/>
      <c r="AR263" s="216"/>
      <c r="AS263" s="118"/>
      <c r="AT263" s="119"/>
      <c r="AU263" s="119"/>
      <c r="AV263" s="120"/>
      <c r="AW263" s="195"/>
      <c r="AX263" s="112"/>
      <c r="AY263" s="162"/>
      <c r="AZ263" s="162"/>
      <c r="BA263" s="162"/>
      <c r="BB263" s="216"/>
    </row>
    <row r="264" spans="1:54" s="121" customFormat="1" ht="16.5" customHeight="1">
      <c r="A264" s="104" t="s">
        <v>2143</v>
      </c>
      <c r="B264" s="105" t="s">
        <v>1440</v>
      </c>
      <c r="C264" s="106" t="s">
        <v>1523</v>
      </c>
      <c r="D264" s="106" t="s">
        <v>2415</v>
      </c>
      <c r="E264" s="71" t="s">
        <v>1524</v>
      </c>
      <c r="F264" s="71" t="s">
        <v>1502</v>
      </c>
      <c r="G264" s="109" t="s">
        <v>1518</v>
      </c>
      <c r="H264" s="110"/>
      <c r="I264" s="111"/>
      <c r="J264" s="112"/>
      <c r="K264" s="113"/>
      <c r="L264" s="110"/>
      <c r="M264" s="111"/>
      <c r="N264" s="112"/>
      <c r="O264" s="111"/>
      <c r="P264" s="114"/>
      <c r="Q264" s="111"/>
      <c r="R264" s="115"/>
      <c r="S264" s="115"/>
      <c r="T264" s="111"/>
      <c r="U264" s="112"/>
      <c r="V264" s="116"/>
      <c r="W264" s="111"/>
      <c r="X264" s="113"/>
      <c r="Y264" s="110"/>
      <c r="Z264" s="111"/>
      <c r="AA264" s="116"/>
      <c r="AB264" s="111"/>
      <c r="AC264" s="113"/>
      <c r="AD264" s="110"/>
      <c r="AE264" s="111"/>
      <c r="AF264" s="112"/>
      <c r="AG264" s="117"/>
      <c r="AH264" s="111"/>
      <c r="AI264" s="112"/>
      <c r="AJ264" s="112"/>
      <c r="AK264" s="113"/>
      <c r="AL264" s="143"/>
      <c r="AM264" s="162"/>
      <c r="AN264" s="162"/>
      <c r="AO264" s="162" t="s">
        <v>1929</v>
      </c>
      <c r="AP264" s="162"/>
      <c r="AQ264" s="162"/>
      <c r="AR264" s="216"/>
      <c r="AS264" s="118"/>
      <c r="AT264" s="119"/>
      <c r="AU264" s="119"/>
      <c r="AV264" s="120"/>
      <c r="AW264" s="195"/>
      <c r="AX264" s="112"/>
      <c r="AY264" s="162"/>
      <c r="AZ264" s="162"/>
      <c r="BA264" s="162"/>
      <c r="BB264" s="216"/>
    </row>
    <row r="265" spans="1:54" s="121" customFormat="1" ht="16.5" customHeight="1">
      <c r="A265" s="104" t="s">
        <v>2143</v>
      </c>
      <c r="B265" s="105" t="s">
        <v>1442</v>
      </c>
      <c r="C265" s="106" t="s">
        <v>1526</v>
      </c>
      <c r="D265" s="106" t="s">
        <v>2415</v>
      </c>
      <c r="E265" s="71" t="s">
        <v>1527</v>
      </c>
      <c r="F265" s="71" t="s">
        <v>1502</v>
      </c>
      <c r="G265" s="109" t="s">
        <v>1518</v>
      </c>
      <c r="H265" s="110"/>
      <c r="I265" s="111"/>
      <c r="J265" s="112"/>
      <c r="K265" s="113"/>
      <c r="L265" s="110"/>
      <c r="M265" s="111"/>
      <c r="N265" s="112"/>
      <c r="O265" s="111"/>
      <c r="P265" s="114"/>
      <c r="Q265" s="111"/>
      <c r="R265" s="115"/>
      <c r="S265" s="115"/>
      <c r="T265" s="111"/>
      <c r="U265" s="112"/>
      <c r="V265" s="116"/>
      <c r="W265" s="111"/>
      <c r="X265" s="113"/>
      <c r="Y265" s="110"/>
      <c r="Z265" s="111"/>
      <c r="AA265" s="116"/>
      <c r="AB265" s="111"/>
      <c r="AC265" s="113"/>
      <c r="AD265" s="110"/>
      <c r="AE265" s="111"/>
      <c r="AF265" s="112"/>
      <c r="AG265" s="117"/>
      <c r="AH265" s="111"/>
      <c r="AI265" s="112"/>
      <c r="AJ265" s="112"/>
      <c r="AK265" s="113"/>
      <c r="AL265" s="143"/>
      <c r="AM265" s="162"/>
      <c r="AN265" s="162"/>
      <c r="AO265" s="162" t="s">
        <v>1929</v>
      </c>
      <c r="AP265" s="162"/>
      <c r="AQ265" s="162"/>
      <c r="AR265" s="216"/>
      <c r="AS265" s="118"/>
      <c r="AT265" s="119"/>
      <c r="AU265" s="119"/>
      <c r="AV265" s="120"/>
      <c r="AW265" s="195"/>
      <c r="AX265" s="112"/>
      <c r="AY265" s="162"/>
      <c r="AZ265" s="162"/>
      <c r="BA265" s="162"/>
      <c r="BB265" s="216"/>
    </row>
    <row r="266" spans="1:54" s="163" customFormat="1" ht="16.5" customHeight="1">
      <c r="A266" s="104" t="s">
        <v>2143</v>
      </c>
      <c r="B266" s="105" t="s">
        <v>1445</v>
      </c>
      <c r="C266" s="107" t="s">
        <v>1529</v>
      </c>
      <c r="D266" s="106" t="s">
        <v>2415</v>
      </c>
      <c r="E266" s="131" t="s">
        <v>1530</v>
      </c>
      <c r="F266" s="131" t="s">
        <v>1502</v>
      </c>
      <c r="G266" s="160" t="s">
        <v>1518</v>
      </c>
      <c r="H266" s="110"/>
      <c r="I266" s="111"/>
      <c r="J266" s="112"/>
      <c r="K266" s="113"/>
      <c r="L266" s="110"/>
      <c r="M266" s="111"/>
      <c r="N266" s="112"/>
      <c r="O266" s="111"/>
      <c r="P266" s="114"/>
      <c r="Q266" s="111"/>
      <c r="R266" s="115"/>
      <c r="S266" s="115"/>
      <c r="T266" s="111"/>
      <c r="U266" s="112"/>
      <c r="V266" s="116"/>
      <c r="W266" s="111"/>
      <c r="X266" s="113"/>
      <c r="Y266" s="110"/>
      <c r="Z266" s="111"/>
      <c r="AA266" s="116"/>
      <c r="AB266" s="111"/>
      <c r="AC266" s="113"/>
      <c r="AD266" s="110"/>
      <c r="AE266" s="111"/>
      <c r="AF266" s="112"/>
      <c r="AG266" s="117"/>
      <c r="AH266" s="111"/>
      <c r="AI266" s="112"/>
      <c r="AJ266" s="112"/>
      <c r="AK266" s="113"/>
      <c r="AL266" s="143"/>
      <c r="AM266" s="162"/>
      <c r="AN266" s="162"/>
      <c r="AO266" s="162" t="s">
        <v>1929</v>
      </c>
      <c r="AP266" s="162"/>
      <c r="AQ266" s="162"/>
      <c r="AR266" s="216"/>
      <c r="AS266" s="118"/>
      <c r="AT266" s="119"/>
      <c r="AU266" s="119"/>
      <c r="AV266" s="120"/>
      <c r="AW266" s="195"/>
      <c r="AX266" s="112"/>
      <c r="AY266" s="162"/>
      <c r="AZ266" s="162"/>
      <c r="BA266" s="162"/>
      <c r="BB266" s="216"/>
    </row>
    <row r="267" spans="1:54" s="163" customFormat="1" ht="16.5" customHeight="1">
      <c r="A267" s="104" t="s">
        <v>2143</v>
      </c>
      <c r="B267" s="105" t="s">
        <v>1449</v>
      </c>
      <c r="C267" s="106" t="s">
        <v>1532</v>
      </c>
      <c r="D267" s="106" t="s">
        <v>2415</v>
      </c>
      <c r="E267" s="71" t="s">
        <v>1533</v>
      </c>
      <c r="F267" s="71" t="s">
        <v>1502</v>
      </c>
      <c r="G267" s="164" t="s">
        <v>1518</v>
      </c>
      <c r="H267" s="110"/>
      <c r="I267" s="111"/>
      <c r="J267" s="112"/>
      <c r="K267" s="113"/>
      <c r="L267" s="110"/>
      <c r="M267" s="111"/>
      <c r="N267" s="112"/>
      <c r="O267" s="111"/>
      <c r="P267" s="114"/>
      <c r="Q267" s="111"/>
      <c r="R267" s="115"/>
      <c r="S267" s="115"/>
      <c r="T267" s="111"/>
      <c r="U267" s="112"/>
      <c r="V267" s="116"/>
      <c r="W267" s="111"/>
      <c r="X267" s="113"/>
      <c r="Y267" s="110"/>
      <c r="Z267" s="111"/>
      <c r="AA267" s="116"/>
      <c r="AB267" s="111"/>
      <c r="AC267" s="113"/>
      <c r="AD267" s="110"/>
      <c r="AE267" s="111"/>
      <c r="AF267" s="112"/>
      <c r="AG267" s="117"/>
      <c r="AH267" s="111"/>
      <c r="AI267" s="112"/>
      <c r="AJ267" s="112"/>
      <c r="AK267" s="113"/>
      <c r="AL267" s="143"/>
      <c r="AM267" s="162"/>
      <c r="AN267" s="162"/>
      <c r="AO267" s="162" t="s">
        <v>1929</v>
      </c>
      <c r="AP267" s="162"/>
      <c r="AQ267" s="162"/>
      <c r="AR267" s="216"/>
      <c r="AS267" s="118"/>
      <c r="AT267" s="119"/>
      <c r="AU267" s="119"/>
      <c r="AV267" s="120"/>
      <c r="AW267" s="195"/>
      <c r="AX267" s="112"/>
      <c r="AY267" s="162"/>
      <c r="AZ267" s="162"/>
      <c r="BA267" s="162"/>
      <c r="BB267" s="216"/>
    </row>
    <row r="268" spans="1:54" s="163" customFormat="1" ht="16.5" customHeight="1">
      <c r="A268" s="104" t="s">
        <v>2143</v>
      </c>
      <c r="B268" s="105" t="s">
        <v>1453</v>
      </c>
      <c r="C268" s="106" t="s">
        <v>1535</v>
      </c>
      <c r="D268" s="106" t="s">
        <v>2415</v>
      </c>
      <c r="E268" s="71" t="s">
        <v>1536</v>
      </c>
      <c r="F268" s="71" t="s">
        <v>1502</v>
      </c>
      <c r="G268" s="164" t="s">
        <v>1518</v>
      </c>
      <c r="H268" s="110"/>
      <c r="I268" s="111"/>
      <c r="J268" s="112"/>
      <c r="K268" s="113"/>
      <c r="L268" s="110"/>
      <c r="M268" s="111"/>
      <c r="N268" s="112"/>
      <c r="O268" s="111"/>
      <c r="P268" s="114"/>
      <c r="Q268" s="111"/>
      <c r="R268" s="115"/>
      <c r="S268" s="115"/>
      <c r="T268" s="111"/>
      <c r="U268" s="112"/>
      <c r="V268" s="116"/>
      <c r="W268" s="111"/>
      <c r="X268" s="113"/>
      <c r="Y268" s="110"/>
      <c r="Z268" s="111"/>
      <c r="AA268" s="116"/>
      <c r="AB268" s="111"/>
      <c r="AC268" s="113"/>
      <c r="AD268" s="110"/>
      <c r="AE268" s="111"/>
      <c r="AF268" s="112"/>
      <c r="AG268" s="117"/>
      <c r="AH268" s="111"/>
      <c r="AI268" s="112"/>
      <c r="AJ268" s="112"/>
      <c r="AK268" s="113"/>
      <c r="AL268" s="143"/>
      <c r="AM268" s="162"/>
      <c r="AN268" s="162"/>
      <c r="AO268" s="162" t="s">
        <v>1929</v>
      </c>
      <c r="AP268" s="162"/>
      <c r="AQ268" s="162"/>
      <c r="AR268" s="216"/>
      <c r="AS268" s="118"/>
      <c r="AT268" s="119"/>
      <c r="AU268" s="119"/>
      <c r="AV268" s="120"/>
      <c r="AW268" s="195"/>
      <c r="AX268" s="112"/>
      <c r="AY268" s="162"/>
      <c r="AZ268" s="162"/>
      <c r="BA268" s="162"/>
      <c r="BB268" s="216"/>
    </row>
    <row r="269" spans="1:54" s="163" customFormat="1" ht="16.5" customHeight="1">
      <c r="A269" s="104" t="s">
        <v>2143</v>
      </c>
      <c r="B269" s="105" t="s">
        <v>1459</v>
      </c>
      <c r="C269" s="106" t="s">
        <v>1538</v>
      </c>
      <c r="D269" s="106" t="s">
        <v>2415</v>
      </c>
      <c r="E269" s="71" t="s">
        <v>1539</v>
      </c>
      <c r="F269" s="71" t="s">
        <v>1502</v>
      </c>
      <c r="G269" s="164" t="s">
        <v>1518</v>
      </c>
      <c r="H269" s="110"/>
      <c r="I269" s="111"/>
      <c r="J269" s="112"/>
      <c r="K269" s="113"/>
      <c r="L269" s="110"/>
      <c r="M269" s="111"/>
      <c r="N269" s="112"/>
      <c r="O269" s="111"/>
      <c r="P269" s="114"/>
      <c r="Q269" s="111"/>
      <c r="R269" s="115"/>
      <c r="S269" s="115"/>
      <c r="T269" s="111"/>
      <c r="U269" s="112"/>
      <c r="V269" s="116"/>
      <c r="W269" s="111"/>
      <c r="X269" s="113"/>
      <c r="Y269" s="110"/>
      <c r="Z269" s="111"/>
      <c r="AA269" s="116"/>
      <c r="AB269" s="111"/>
      <c r="AC269" s="113"/>
      <c r="AD269" s="110"/>
      <c r="AE269" s="111"/>
      <c r="AF269" s="112"/>
      <c r="AG269" s="117"/>
      <c r="AH269" s="111"/>
      <c r="AI269" s="112"/>
      <c r="AJ269" s="112"/>
      <c r="AK269" s="113"/>
      <c r="AL269" s="143"/>
      <c r="AM269" s="162"/>
      <c r="AN269" s="162"/>
      <c r="AO269" s="162" t="s">
        <v>1929</v>
      </c>
      <c r="AP269" s="162"/>
      <c r="AQ269" s="162"/>
      <c r="AR269" s="216"/>
      <c r="AS269" s="118"/>
      <c r="AT269" s="119"/>
      <c r="AU269" s="119"/>
      <c r="AV269" s="120"/>
      <c r="AW269" s="195"/>
      <c r="AX269" s="112"/>
      <c r="AY269" s="162"/>
      <c r="AZ269" s="162"/>
      <c r="BA269" s="162"/>
      <c r="BB269" s="216"/>
    </row>
    <row r="270" spans="1:54" s="163" customFormat="1" ht="16.5" customHeight="1">
      <c r="A270" s="165" t="s">
        <v>2143</v>
      </c>
      <c r="B270" s="166" t="s">
        <v>1467</v>
      </c>
      <c r="C270" s="167" t="s">
        <v>1541</v>
      </c>
      <c r="D270" s="167" t="s">
        <v>2415</v>
      </c>
      <c r="E270" s="168" t="s">
        <v>1542</v>
      </c>
      <c r="F270" s="168" t="s">
        <v>1542</v>
      </c>
      <c r="G270" s="169" t="s">
        <v>1542</v>
      </c>
      <c r="H270" s="170"/>
      <c r="I270" s="171"/>
      <c r="J270" s="172"/>
      <c r="K270" s="173"/>
      <c r="L270" s="170"/>
      <c r="M270" s="171"/>
      <c r="N270" s="172"/>
      <c r="O270" s="171"/>
      <c r="P270" s="174"/>
      <c r="Q270" s="171"/>
      <c r="R270" s="175"/>
      <c r="S270" s="175"/>
      <c r="T270" s="171"/>
      <c r="U270" s="172"/>
      <c r="V270" s="176"/>
      <c r="W270" s="171"/>
      <c r="X270" s="173"/>
      <c r="Y270" s="170"/>
      <c r="Z270" s="171"/>
      <c r="AA270" s="176"/>
      <c r="AB270" s="171"/>
      <c r="AC270" s="173"/>
      <c r="AD270" s="170"/>
      <c r="AE270" s="171"/>
      <c r="AF270" s="172"/>
      <c r="AG270" s="177"/>
      <c r="AH270" s="171"/>
      <c r="AI270" s="172"/>
      <c r="AJ270" s="172"/>
      <c r="AK270" s="173"/>
      <c r="AL270" s="217"/>
      <c r="AM270" s="179"/>
      <c r="AN270" s="179"/>
      <c r="AO270" s="179" t="s">
        <v>1929</v>
      </c>
      <c r="AP270" s="179"/>
      <c r="AQ270" s="179"/>
      <c r="AR270" s="218"/>
      <c r="AS270" s="219"/>
      <c r="AT270" s="220"/>
      <c r="AU270" s="220"/>
      <c r="AV270" s="221"/>
      <c r="AW270" s="222"/>
      <c r="AX270" s="172"/>
      <c r="AY270" s="179"/>
      <c r="AZ270" s="179"/>
      <c r="BA270" s="179"/>
      <c r="BB270" s="218"/>
    </row>
    <row r="271" spans="1:54" s="163" customFormat="1" ht="16.5" customHeight="1">
      <c r="A271" s="223"/>
      <c r="B271" s="181"/>
      <c r="C271" s="182"/>
      <c r="D271" s="182"/>
      <c r="E271" s="183"/>
      <c r="F271" s="183"/>
      <c r="G271" s="183"/>
      <c r="H271" s="184"/>
      <c r="I271" s="184"/>
      <c r="J271" s="184"/>
      <c r="K271" s="184"/>
      <c r="L271" s="184"/>
      <c r="M271" s="184"/>
      <c r="N271" s="184"/>
      <c r="O271" s="184"/>
      <c r="Q271" s="184"/>
      <c r="R271" s="185"/>
      <c r="S271" s="185"/>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6"/>
      <c r="AT271" s="187"/>
      <c r="AU271" s="187"/>
      <c r="AV271" s="187"/>
      <c r="AW271" s="224"/>
      <c r="AX271" s="184"/>
      <c r="AY271" s="184"/>
      <c r="AZ271" s="184"/>
      <c r="BA271" s="184"/>
      <c r="BB271" s="184"/>
    </row>
    <row r="272" spans="1:54" s="163" customFormat="1" ht="16.5" customHeight="1">
      <c r="A272" s="180"/>
      <c r="B272" s="181"/>
      <c r="C272" s="182"/>
      <c r="D272" s="182"/>
      <c r="E272" s="183"/>
      <c r="F272" s="183"/>
      <c r="G272" s="183"/>
      <c r="H272" s="184"/>
      <c r="I272" s="184"/>
      <c r="J272" s="184"/>
      <c r="K272" s="184"/>
      <c r="L272" s="184"/>
      <c r="M272" s="184"/>
      <c r="N272" s="184"/>
      <c r="O272" s="184"/>
      <c r="Q272" s="184"/>
      <c r="R272" s="185"/>
      <c r="S272" s="185"/>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6"/>
      <c r="AT272" s="187"/>
      <c r="AU272" s="187"/>
      <c r="AV272" s="187"/>
      <c r="AW272" s="224"/>
      <c r="AX272" s="184"/>
      <c r="AY272" s="184"/>
      <c r="AZ272" s="184"/>
      <c r="BA272" s="184"/>
      <c r="BB272" s="184"/>
    </row>
    <row r="273" spans="1:54" s="163" customFormat="1" ht="16.5" customHeight="1">
      <c r="A273" s="180"/>
      <c r="B273" s="181"/>
      <c r="C273" s="182"/>
      <c r="D273" s="182"/>
      <c r="E273" s="183"/>
      <c r="F273" s="183"/>
      <c r="G273" s="183"/>
      <c r="H273" s="184"/>
      <c r="I273" s="184"/>
      <c r="J273" s="184"/>
      <c r="K273" s="184"/>
      <c r="L273" s="184"/>
      <c r="M273" s="184"/>
      <c r="N273" s="184"/>
      <c r="O273" s="184"/>
      <c r="Q273" s="184"/>
      <c r="R273" s="185"/>
      <c r="S273" s="185"/>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6"/>
      <c r="AT273" s="187"/>
      <c r="AU273" s="187"/>
      <c r="AV273" s="187"/>
      <c r="AW273" s="224"/>
      <c r="AX273" s="184"/>
      <c r="AY273" s="184"/>
      <c r="AZ273" s="184"/>
      <c r="BA273" s="184"/>
      <c r="BB273" s="184"/>
    </row>
    <row r="274" spans="1:54" s="163" customFormat="1" ht="16.5" customHeight="1">
      <c r="A274" s="180"/>
      <c r="B274" s="181"/>
      <c r="C274" s="182"/>
      <c r="D274" s="182"/>
      <c r="E274" s="183"/>
      <c r="F274" s="183"/>
      <c r="G274" s="183"/>
      <c r="H274" s="184"/>
      <c r="I274" s="184"/>
      <c r="J274" s="184"/>
      <c r="K274" s="184"/>
      <c r="L274" s="184"/>
      <c r="M274" s="184"/>
      <c r="N274" s="184"/>
      <c r="O274" s="184"/>
      <c r="Q274" s="184"/>
      <c r="R274" s="185"/>
      <c r="S274" s="185"/>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6"/>
      <c r="AT274" s="187"/>
      <c r="AU274" s="187"/>
      <c r="AV274" s="187"/>
      <c r="AW274" s="224"/>
      <c r="AX274" s="184"/>
      <c r="AY274" s="184"/>
      <c r="AZ274" s="184"/>
      <c r="BA274" s="184"/>
      <c r="BB274" s="184"/>
    </row>
    <row r="275" spans="1:54" s="163" customFormat="1" ht="16.5" customHeight="1">
      <c r="A275" s="180"/>
      <c r="B275" s="181"/>
      <c r="C275" s="182"/>
      <c r="D275" s="182"/>
      <c r="E275" s="183"/>
      <c r="F275" s="183"/>
      <c r="G275" s="183"/>
      <c r="H275" s="184"/>
      <c r="I275" s="184"/>
      <c r="J275" s="184"/>
      <c r="K275" s="184"/>
      <c r="L275" s="184"/>
      <c r="M275" s="184"/>
      <c r="N275" s="184"/>
      <c r="O275" s="184"/>
      <c r="Q275" s="184"/>
      <c r="R275" s="185"/>
      <c r="S275" s="185"/>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6"/>
      <c r="AT275" s="187"/>
      <c r="AU275" s="187"/>
      <c r="AV275" s="187"/>
      <c r="AW275" s="224"/>
      <c r="AX275" s="184"/>
      <c r="AY275" s="184"/>
      <c r="AZ275" s="184"/>
      <c r="BA275" s="184"/>
      <c r="BB275" s="184"/>
    </row>
    <row r="276" spans="1:54" s="163" customFormat="1" ht="16.5" customHeight="1">
      <c r="A276" s="180"/>
      <c r="B276" s="181"/>
      <c r="C276" s="182"/>
      <c r="D276" s="182"/>
      <c r="E276" s="183"/>
      <c r="F276" s="183"/>
      <c r="G276" s="183"/>
      <c r="H276" s="184"/>
      <c r="I276" s="184"/>
      <c r="J276" s="184"/>
      <c r="K276" s="184"/>
      <c r="L276" s="184"/>
      <c r="M276" s="184"/>
      <c r="N276" s="184"/>
      <c r="O276" s="184"/>
      <c r="Q276" s="184"/>
      <c r="R276" s="185"/>
      <c r="S276" s="185"/>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6"/>
      <c r="AT276" s="187"/>
      <c r="AU276" s="187"/>
      <c r="AV276" s="187"/>
      <c r="AW276" s="224"/>
      <c r="AX276" s="184"/>
      <c r="AY276" s="184"/>
      <c r="AZ276" s="184"/>
      <c r="BA276" s="184"/>
      <c r="BB276" s="184"/>
    </row>
    <row r="277" spans="1:54" s="163" customFormat="1" ht="16.5" customHeight="1">
      <c r="A277" s="180"/>
      <c r="B277" s="181"/>
      <c r="C277" s="182"/>
      <c r="D277" s="182"/>
      <c r="E277" s="183"/>
      <c r="F277" s="183"/>
      <c r="G277" s="183"/>
      <c r="H277" s="184"/>
      <c r="I277" s="184"/>
      <c r="J277" s="184"/>
      <c r="K277" s="184"/>
      <c r="L277" s="184"/>
      <c r="M277" s="184"/>
      <c r="N277" s="184"/>
      <c r="O277" s="184"/>
      <c r="Q277" s="184"/>
      <c r="R277" s="185"/>
      <c r="S277" s="185"/>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6"/>
      <c r="AT277" s="187"/>
      <c r="AU277" s="187"/>
      <c r="AV277" s="187"/>
      <c r="AW277" s="224"/>
      <c r="AX277" s="184"/>
      <c r="AY277" s="184"/>
      <c r="AZ277" s="184"/>
      <c r="BA277" s="184"/>
      <c r="BB277" s="184"/>
    </row>
    <row r="278" spans="1:54" s="163" customFormat="1" ht="16.5" customHeight="1">
      <c r="A278" s="180"/>
      <c r="B278" s="181"/>
      <c r="C278" s="182"/>
      <c r="D278" s="182"/>
      <c r="E278" s="183"/>
      <c r="F278" s="183"/>
      <c r="G278" s="183"/>
      <c r="H278" s="184"/>
      <c r="I278" s="184"/>
      <c r="J278" s="184"/>
      <c r="K278" s="184"/>
      <c r="L278" s="184"/>
      <c r="M278" s="184"/>
      <c r="N278" s="184"/>
      <c r="O278" s="184"/>
      <c r="Q278" s="184"/>
      <c r="R278" s="185"/>
      <c r="S278" s="185"/>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6"/>
      <c r="AT278" s="187"/>
      <c r="AU278" s="187"/>
      <c r="AV278" s="187"/>
      <c r="AW278" s="224"/>
      <c r="AX278" s="184"/>
      <c r="AY278" s="184"/>
      <c r="AZ278" s="184"/>
      <c r="BA278" s="184"/>
      <c r="BB278" s="184"/>
    </row>
    <row r="279" spans="1:54" s="163" customFormat="1" ht="16.5" customHeight="1">
      <c r="A279" s="180"/>
      <c r="B279" s="181"/>
      <c r="C279" s="182"/>
      <c r="D279" s="182"/>
      <c r="E279" s="183"/>
      <c r="F279" s="183"/>
      <c r="G279" s="183"/>
      <c r="H279" s="184"/>
      <c r="I279" s="184"/>
      <c r="J279" s="184"/>
      <c r="K279" s="184"/>
      <c r="L279" s="184"/>
      <c r="M279" s="184"/>
      <c r="N279" s="184"/>
      <c r="O279" s="184"/>
      <c r="Q279" s="184"/>
      <c r="R279" s="185"/>
      <c r="S279" s="185"/>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6"/>
      <c r="AT279" s="187"/>
      <c r="AU279" s="187"/>
      <c r="AV279" s="187"/>
      <c r="AW279" s="224"/>
      <c r="AX279" s="184"/>
      <c r="AY279" s="184"/>
      <c r="AZ279" s="184"/>
      <c r="BA279" s="184"/>
      <c r="BB279" s="184"/>
    </row>
    <row r="280" spans="1:54" s="163" customFormat="1" ht="16.5" customHeight="1">
      <c r="A280" s="180"/>
      <c r="B280" s="181"/>
      <c r="C280" s="182"/>
      <c r="D280" s="182"/>
      <c r="E280" s="183"/>
      <c r="F280" s="183"/>
      <c r="G280" s="183"/>
      <c r="H280" s="184"/>
      <c r="I280" s="184"/>
      <c r="J280" s="184"/>
      <c r="K280" s="184"/>
      <c r="L280" s="184"/>
      <c r="M280" s="184"/>
      <c r="N280" s="184"/>
      <c r="O280" s="184"/>
      <c r="Q280" s="184"/>
      <c r="R280" s="185"/>
      <c r="S280" s="185"/>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6"/>
      <c r="AT280" s="187"/>
      <c r="AU280" s="187"/>
      <c r="AV280" s="187"/>
      <c r="AW280" s="224"/>
      <c r="AX280" s="184"/>
      <c r="AY280" s="184"/>
      <c r="AZ280" s="184"/>
      <c r="BA280" s="184"/>
      <c r="BB280" s="184"/>
    </row>
    <row r="281" spans="1:54" s="163" customFormat="1" ht="16.5" customHeight="1">
      <c r="A281" s="180"/>
      <c r="B281" s="181"/>
      <c r="C281" s="182"/>
      <c r="D281" s="182"/>
      <c r="E281" s="183"/>
      <c r="F281" s="183"/>
      <c r="G281" s="183"/>
      <c r="H281" s="184"/>
      <c r="I281" s="184"/>
      <c r="J281" s="184"/>
      <c r="K281" s="184"/>
      <c r="L281" s="184"/>
      <c r="M281" s="184"/>
      <c r="N281" s="184"/>
      <c r="O281" s="184"/>
      <c r="Q281" s="184"/>
      <c r="R281" s="185"/>
      <c r="S281" s="185"/>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6"/>
      <c r="AT281" s="187"/>
      <c r="AU281" s="187"/>
      <c r="AV281" s="187"/>
      <c r="AW281" s="224"/>
      <c r="AX281" s="184"/>
      <c r="AY281" s="184"/>
      <c r="AZ281" s="184"/>
      <c r="BA281" s="184"/>
      <c r="BB281" s="184"/>
    </row>
    <row r="282" spans="1:54" s="163" customFormat="1" ht="16.5" customHeight="1">
      <c r="A282" s="180"/>
      <c r="B282" s="181"/>
      <c r="C282" s="182"/>
      <c r="D282" s="182"/>
      <c r="E282" s="183"/>
      <c r="F282" s="183"/>
      <c r="G282" s="183"/>
      <c r="H282" s="184"/>
      <c r="I282" s="184"/>
      <c r="J282" s="184"/>
      <c r="K282" s="184"/>
      <c r="L282" s="184"/>
      <c r="M282" s="184"/>
      <c r="N282" s="184"/>
      <c r="O282" s="184"/>
      <c r="Q282" s="184"/>
      <c r="R282" s="185"/>
      <c r="S282" s="185"/>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6"/>
      <c r="AT282" s="187"/>
      <c r="AU282" s="187"/>
      <c r="AV282" s="187"/>
      <c r="AW282" s="224"/>
      <c r="AX282" s="184"/>
      <c r="AY282" s="184"/>
      <c r="AZ282" s="184"/>
      <c r="BA282" s="184"/>
      <c r="BB282" s="184"/>
    </row>
    <row r="283" spans="1:54" s="163" customFormat="1" ht="16.5" customHeight="1">
      <c r="A283" s="180"/>
      <c r="B283" s="181"/>
      <c r="C283" s="182"/>
      <c r="D283" s="182"/>
      <c r="E283" s="183"/>
      <c r="F283" s="183"/>
      <c r="G283" s="183"/>
      <c r="H283" s="184"/>
      <c r="I283" s="184"/>
      <c r="J283" s="184"/>
      <c r="K283" s="184"/>
      <c r="L283" s="184"/>
      <c r="M283" s="184"/>
      <c r="N283" s="184"/>
      <c r="O283" s="184"/>
      <c r="Q283" s="184"/>
      <c r="R283" s="185"/>
      <c r="S283" s="185"/>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6"/>
      <c r="AT283" s="187"/>
      <c r="AU283" s="187"/>
      <c r="AV283" s="187"/>
      <c r="AW283" s="224"/>
      <c r="AX283" s="184"/>
      <c r="AY283" s="184"/>
      <c r="AZ283" s="184"/>
      <c r="BA283" s="184"/>
      <c r="BB283" s="184"/>
    </row>
    <row r="284" spans="1:54" s="163" customFormat="1" ht="16.5" customHeight="1">
      <c r="A284" s="180"/>
      <c r="B284" s="181"/>
      <c r="C284" s="182"/>
      <c r="D284" s="182"/>
      <c r="E284" s="183"/>
      <c r="F284" s="183"/>
      <c r="G284" s="183"/>
      <c r="H284" s="184"/>
      <c r="I284" s="184"/>
      <c r="J284" s="184"/>
      <c r="K284" s="184"/>
      <c r="L284" s="184"/>
      <c r="M284" s="184"/>
      <c r="N284" s="184"/>
      <c r="O284" s="184"/>
      <c r="Q284" s="184"/>
      <c r="R284" s="185"/>
      <c r="S284" s="185"/>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6"/>
      <c r="AT284" s="187"/>
      <c r="AU284" s="187"/>
      <c r="AV284" s="187"/>
      <c r="AW284" s="224"/>
      <c r="AX284" s="184"/>
      <c r="AY284" s="184"/>
      <c r="AZ284" s="184"/>
      <c r="BA284" s="184"/>
      <c r="BB284" s="184"/>
    </row>
    <row r="285" spans="1:54" s="163" customFormat="1" ht="16.5" customHeight="1">
      <c r="A285" s="180"/>
      <c r="B285" s="181"/>
      <c r="C285" s="182"/>
      <c r="D285" s="182"/>
      <c r="E285" s="183"/>
      <c r="F285" s="183"/>
      <c r="G285" s="183"/>
      <c r="H285" s="184"/>
      <c r="I285" s="184"/>
      <c r="J285" s="184"/>
      <c r="K285" s="184"/>
      <c r="L285" s="184"/>
      <c r="M285" s="184"/>
      <c r="N285" s="184"/>
      <c r="O285" s="184"/>
      <c r="Q285" s="184"/>
      <c r="R285" s="185"/>
      <c r="S285" s="185"/>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6"/>
      <c r="AT285" s="187"/>
      <c r="AU285" s="187"/>
      <c r="AV285" s="187"/>
      <c r="AW285" s="224"/>
      <c r="AX285" s="184"/>
      <c r="AY285" s="184"/>
      <c r="AZ285" s="184"/>
      <c r="BA285" s="184"/>
      <c r="BB285" s="184"/>
    </row>
    <row r="286" spans="1:54" s="163" customFormat="1" ht="16.5" customHeight="1">
      <c r="A286" s="180"/>
      <c r="B286" s="181"/>
      <c r="C286" s="182"/>
      <c r="D286" s="182"/>
      <c r="E286" s="183"/>
      <c r="F286" s="183"/>
      <c r="G286" s="183"/>
      <c r="H286" s="184"/>
      <c r="I286" s="184"/>
      <c r="J286" s="184"/>
      <c r="K286" s="184"/>
      <c r="L286" s="184"/>
      <c r="M286" s="184"/>
      <c r="N286" s="184"/>
      <c r="O286" s="184"/>
      <c r="Q286" s="184"/>
      <c r="R286" s="185"/>
      <c r="S286" s="185"/>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6"/>
      <c r="AT286" s="187"/>
      <c r="AU286" s="187"/>
      <c r="AV286" s="187"/>
      <c r="AW286" s="224"/>
      <c r="AX286" s="184"/>
      <c r="AY286" s="184"/>
      <c r="AZ286" s="184"/>
      <c r="BA286" s="184"/>
      <c r="BB286" s="184"/>
    </row>
    <row r="287" spans="1:54" s="163" customFormat="1" ht="16.5" customHeight="1">
      <c r="A287" s="180"/>
      <c r="B287" s="181"/>
      <c r="C287" s="182"/>
      <c r="D287" s="182"/>
      <c r="E287" s="183"/>
      <c r="F287" s="183"/>
      <c r="G287" s="183"/>
      <c r="H287" s="184"/>
      <c r="I287" s="184"/>
      <c r="J287" s="184"/>
      <c r="K287" s="184"/>
      <c r="L287" s="184"/>
      <c r="M287" s="184"/>
      <c r="N287" s="184"/>
      <c r="O287" s="184"/>
      <c r="Q287" s="184"/>
      <c r="R287" s="185"/>
      <c r="S287" s="185"/>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6"/>
      <c r="AT287" s="187"/>
      <c r="AU287" s="187"/>
      <c r="AV287" s="187"/>
      <c r="AW287" s="224"/>
      <c r="AX287" s="184"/>
      <c r="AY287" s="184"/>
      <c r="AZ287" s="184"/>
      <c r="BA287" s="184"/>
      <c r="BB287" s="184"/>
    </row>
    <row r="288" spans="1:54" s="163" customFormat="1" ht="16.5" customHeight="1">
      <c r="A288" s="180"/>
      <c r="B288" s="181"/>
      <c r="C288" s="182"/>
      <c r="D288" s="182"/>
      <c r="E288" s="183"/>
      <c r="F288" s="183"/>
      <c r="G288" s="183"/>
      <c r="H288" s="184"/>
      <c r="I288" s="184"/>
      <c r="J288" s="184"/>
      <c r="K288" s="184"/>
      <c r="L288" s="184"/>
      <c r="M288" s="184"/>
      <c r="N288" s="184"/>
      <c r="O288" s="184"/>
      <c r="Q288" s="184"/>
      <c r="R288" s="185"/>
      <c r="S288" s="185"/>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6"/>
      <c r="AT288" s="187"/>
      <c r="AU288" s="187"/>
      <c r="AV288" s="187"/>
      <c r="AW288" s="224"/>
      <c r="AX288" s="184"/>
      <c r="AY288" s="184"/>
      <c r="AZ288" s="184"/>
      <c r="BA288" s="184"/>
      <c r="BB288" s="184"/>
    </row>
    <row r="289" spans="1:54" s="163" customFormat="1" ht="16.5" customHeight="1">
      <c r="A289" s="180"/>
      <c r="B289" s="181"/>
      <c r="C289" s="182"/>
      <c r="D289" s="182"/>
      <c r="E289" s="183"/>
      <c r="F289" s="183"/>
      <c r="G289" s="183"/>
      <c r="H289" s="184"/>
      <c r="I289" s="184"/>
      <c r="J289" s="184"/>
      <c r="K289" s="184"/>
      <c r="L289" s="184"/>
      <c r="M289" s="184"/>
      <c r="N289" s="184"/>
      <c r="O289" s="184"/>
      <c r="Q289" s="184"/>
      <c r="R289" s="185"/>
      <c r="S289" s="185"/>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6"/>
      <c r="AT289" s="187"/>
      <c r="AU289" s="187"/>
      <c r="AV289" s="187"/>
      <c r="AW289" s="224"/>
      <c r="AX289" s="184"/>
      <c r="AY289" s="184"/>
      <c r="AZ289" s="184"/>
      <c r="BA289" s="184"/>
      <c r="BB289" s="184"/>
    </row>
    <row r="290" spans="1:54" s="163" customFormat="1" ht="16.5" customHeight="1">
      <c r="A290" s="180"/>
      <c r="B290" s="181"/>
      <c r="C290" s="182"/>
      <c r="D290" s="182"/>
      <c r="E290" s="183"/>
      <c r="F290" s="183"/>
      <c r="G290" s="183"/>
      <c r="H290" s="184"/>
      <c r="I290" s="184"/>
      <c r="J290" s="184"/>
      <c r="K290" s="184"/>
      <c r="L290" s="184"/>
      <c r="M290" s="184"/>
      <c r="N290" s="184"/>
      <c r="O290" s="184"/>
      <c r="Q290" s="184"/>
      <c r="R290" s="185"/>
      <c r="S290" s="185"/>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6"/>
      <c r="AT290" s="187"/>
      <c r="AU290" s="187"/>
      <c r="AV290" s="187"/>
      <c r="AW290" s="224"/>
      <c r="AX290" s="184"/>
      <c r="AY290" s="184"/>
      <c r="AZ290" s="184"/>
      <c r="BA290" s="184"/>
      <c r="BB290" s="184"/>
    </row>
    <row r="291" spans="1:54" s="163" customFormat="1" ht="16.5" customHeight="1">
      <c r="A291" s="180"/>
      <c r="B291" s="181"/>
      <c r="C291" s="182"/>
      <c r="D291" s="182"/>
      <c r="E291" s="183"/>
      <c r="F291" s="183"/>
      <c r="G291" s="183"/>
      <c r="H291" s="184"/>
      <c r="I291" s="184"/>
      <c r="J291" s="184"/>
      <c r="K291" s="184"/>
      <c r="L291" s="184"/>
      <c r="M291" s="184"/>
      <c r="N291" s="184"/>
      <c r="O291" s="184"/>
      <c r="Q291" s="184"/>
      <c r="R291" s="185"/>
      <c r="S291" s="185"/>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6"/>
      <c r="AT291" s="187"/>
      <c r="AU291" s="187"/>
      <c r="AV291" s="187"/>
      <c r="AW291" s="224"/>
      <c r="AX291" s="184"/>
      <c r="AY291" s="184"/>
      <c r="AZ291" s="184"/>
      <c r="BA291" s="184"/>
      <c r="BB291" s="184"/>
    </row>
    <row r="292" spans="1:54" s="163" customFormat="1" ht="16.5" customHeight="1">
      <c r="A292" s="180"/>
      <c r="B292" s="181"/>
      <c r="C292" s="182"/>
      <c r="D292" s="182"/>
      <c r="E292" s="183"/>
      <c r="F292" s="183"/>
      <c r="G292" s="183"/>
      <c r="H292" s="184"/>
      <c r="I292" s="184"/>
      <c r="J292" s="184"/>
      <c r="K292" s="184"/>
      <c r="L292" s="184"/>
      <c r="M292" s="184"/>
      <c r="N292" s="184"/>
      <c r="O292" s="184"/>
      <c r="Q292" s="184"/>
      <c r="R292" s="185"/>
      <c r="S292" s="185"/>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6"/>
      <c r="AT292" s="187"/>
      <c r="AU292" s="187"/>
      <c r="AV292" s="187"/>
      <c r="AW292" s="224"/>
      <c r="AX292" s="184"/>
      <c r="AY292" s="184"/>
      <c r="AZ292" s="184"/>
      <c r="BA292" s="184"/>
      <c r="BB292" s="184"/>
    </row>
    <row r="293" spans="1:54" s="163" customFormat="1" ht="16.5" customHeight="1">
      <c r="A293" s="180"/>
      <c r="B293" s="181"/>
      <c r="C293" s="182"/>
      <c r="D293" s="182"/>
      <c r="E293" s="183"/>
      <c r="F293" s="183"/>
      <c r="G293" s="183"/>
      <c r="H293" s="184"/>
      <c r="I293" s="184"/>
      <c r="J293" s="184"/>
      <c r="K293" s="184"/>
      <c r="L293" s="184"/>
      <c r="M293" s="184"/>
      <c r="N293" s="184"/>
      <c r="O293" s="184"/>
      <c r="Q293" s="184"/>
      <c r="R293" s="185"/>
      <c r="S293" s="185"/>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6"/>
      <c r="AT293" s="187"/>
      <c r="AU293" s="187"/>
      <c r="AV293" s="187"/>
      <c r="AW293" s="224"/>
      <c r="AX293" s="184"/>
      <c r="AY293" s="184"/>
      <c r="AZ293" s="184"/>
      <c r="BA293" s="184"/>
      <c r="BB293" s="184"/>
    </row>
    <row r="294" spans="1:54" s="163" customFormat="1" ht="16.5" customHeight="1">
      <c r="A294" s="180"/>
      <c r="B294" s="181"/>
      <c r="C294" s="182"/>
      <c r="D294" s="182"/>
      <c r="E294" s="183"/>
      <c r="F294" s="183"/>
      <c r="G294" s="183"/>
      <c r="H294" s="184"/>
      <c r="I294" s="184"/>
      <c r="J294" s="184"/>
      <c r="K294" s="184"/>
      <c r="L294" s="184"/>
      <c r="M294" s="184"/>
      <c r="N294" s="184"/>
      <c r="O294" s="184"/>
      <c r="Q294" s="184"/>
      <c r="R294" s="185"/>
      <c r="S294" s="185"/>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6"/>
      <c r="AT294" s="187"/>
      <c r="AU294" s="187"/>
      <c r="AV294" s="187"/>
      <c r="AW294" s="224"/>
      <c r="AX294" s="184"/>
      <c r="AY294" s="184"/>
      <c r="AZ294" s="184"/>
      <c r="BA294" s="184"/>
      <c r="BB294" s="184"/>
    </row>
    <row r="295" spans="1:54" s="163" customFormat="1" ht="16.5" customHeight="1">
      <c r="A295" s="180"/>
      <c r="B295" s="181"/>
      <c r="C295" s="182"/>
      <c r="D295" s="182"/>
      <c r="E295" s="183"/>
      <c r="F295" s="183"/>
      <c r="G295" s="183"/>
      <c r="H295" s="184"/>
      <c r="I295" s="184"/>
      <c r="J295" s="184"/>
      <c r="K295" s="184"/>
      <c r="L295" s="184"/>
      <c r="M295" s="184"/>
      <c r="N295" s="184"/>
      <c r="O295" s="184"/>
      <c r="Q295" s="184"/>
      <c r="R295" s="185"/>
      <c r="S295" s="185"/>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6"/>
      <c r="AT295" s="187"/>
      <c r="AU295" s="187"/>
      <c r="AV295" s="187"/>
      <c r="AW295" s="224"/>
      <c r="AX295" s="184"/>
      <c r="AY295" s="184"/>
      <c r="AZ295" s="184"/>
      <c r="BA295" s="184"/>
      <c r="BB295" s="184"/>
    </row>
    <row r="296" spans="1:54" s="163" customFormat="1" ht="16.5" customHeight="1">
      <c r="A296" s="180"/>
      <c r="B296" s="181"/>
      <c r="C296" s="182"/>
      <c r="D296" s="182"/>
      <c r="E296" s="183"/>
      <c r="F296" s="183"/>
      <c r="G296" s="183"/>
      <c r="H296" s="184"/>
      <c r="I296" s="184"/>
      <c r="J296" s="184"/>
      <c r="K296" s="184"/>
      <c r="L296" s="184"/>
      <c r="M296" s="184"/>
      <c r="N296" s="184"/>
      <c r="O296" s="184"/>
      <c r="Q296" s="184"/>
      <c r="R296" s="185"/>
      <c r="S296" s="185"/>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6"/>
      <c r="AT296" s="187"/>
      <c r="AU296" s="187"/>
      <c r="AV296" s="187"/>
      <c r="AW296" s="224"/>
      <c r="AX296" s="184"/>
      <c r="AY296" s="184"/>
      <c r="AZ296" s="184"/>
      <c r="BA296" s="184"/>
      <c r="BB296" s="184"/>
    </row>
    <row r="297" spans="1:54" s="163" customFormat="1" ht="16.5" customHeight="1">
      <c r="A297" s="180"/>
      <c r="B297" s="181"/>
      <c r="C297" s="182"/>
      <c r="D297" s="182"/>
      <c r="E297" s="183"/>
      <c r="F297" s="183"/>
      <c r="G297" s="183"/>
      <c r="H297" s="184"/>
      <c r="I297" s="184"/>
      <c r="J297" s="184"/>
      <c r="K297" s="184"/>
      <c r="L297" s="184"/>
      <c r="M297" s="184"/>
      <c r="N297" s="184"/>
      <c r="O297" s="184"/>
      <c r="Q297" s="184"/>
      <c r="R297" s="185"/>
      <c r="S297" s="185"/>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6"/>
      <c r="AT297" s="187"/>
      <c r="AU297" s="187"/>
      <c r="AV297" s="187"/>
      <c r="AW297" s="224"/>
      <c r="AX297" s="184"/>
      <c r="AY297" s="184"/>
      <c r="AZ297" s="184"/>
      <c r="BA297" s="184"/>
      <c r="BB297" s="184"/>
    </row>
    <row r="298" spans="1:54" s="163" customFormat="1" ht="16.5" customHeight="1">
      <c r="A298" s="180"/>
      <c r="B298" s="181"/>
      <c r="C298" s="182"/>
      <c r="D298" s="182"/>
      <c r="E298" s="183"/>
      <c r="F298" s="183"/>
      <c r="G298" s="183"/>
      <c r="H298" s="184"/>
      <c r="I298" s="184"/>
      <c r="J298" s="184"/>
      <c r="K298" s="184"/>
      <c r="L298" s="184"/>
      <c r="M298" s="184"/>
      <c r="N298" s="184"/>
      <c r="O298" s="184"/>
      <c r="Q298" s="184"/>
      <c r="R298" s="185"/>
      <c r="S298" s="185"/>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6"/>
      <c r="AT298" s="187"/>
      <c r="AU298" s="187"/>
      <c r="AV298" s="187"/>
      <c r="AW298" s="224"/>
      <c r="AX298" s="184"/>
      <c r="AY298" s="184"/>
      <c r="AZ298" s="184"/>
      <c r="BA298" s="184"/>
      <c r="BB298" s="184"/>
    </row>
    <row r="299" spans="1:54" s="163" customFormat="1" ht="16.5" customHeight="1">
      <c r="A299" s="180"/>
      <c r="B299" s="181"/>
      <c r="C299" s="182"/>
      <c r="D299" s="182"/>
      <c r="E299" s="183"/>
      <c r="F299" s="183"/>
      <c r="G299" s="183"/>
      <c r="H299" s="184"/>
      <c r="I299" s="184"/>
      <c r="J299" s="184"/>
      <c r="K299" s="184"/>
      <c r="L299" s="184"/>
      <c r="M299" s="184"/>
      <c r="N299" s="184"/>
      <c r="O299" s="184"/>
      <c r="Q299" s="184"/>
      <c r="R299" s="185"/>
      <c r="S299" s="185"/>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6"/>
      <c r="AT299" s="187"/>
      <c r="AU299" s="187"/>
      <c r="AV299" s="187"/>
      <c r="AW299" s="224"/>
      <c r="AX299" s="184"/>
      <c r="AY299" s="184"/>
      <c r="AZ299" s="184"/>
      <c r="BA299" s="184"/>
      <c r="BB299" s="184"/>
    </row>
    <row r="300" spans="1:54" s="163" customFormat="1" ht="16.5" customHeight="1">
      <c r="A300" s="180"/>
      <c r="B300" s="181"/>
      <c r="C300" s="182"/>
      <c r="D300" s="182"/>
      <c r="E300" s="183"/>
      <c r="F300" s="183"/>
      <c r="G300" s="183"/>
      <c r="H300" s="184"/>
      <c r="I300" s="184"/>
      <c r="J300" s="184"/>
      <c r="K300" s="184"/>
      <c r="L300" s="184"/>
      <c r="M300" s="184"/>
      <c r="N300" s="184"/>
      <c r="O300" s="184"/>
      <c r="Q300" s="184"/>
      <c r="R300" s="185"/>
      <c r="S300" s="185"/>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6"/>
      <c r="AT300" s="187"/>
      <c r="AU300" s="187"/>
      <c r="AV300" s="187"/>
      <c r="AW300" s="224"/>
      <c r="AX300" s="184"/>
      <c r="AY300" s="184"/>
      <c r="AZ300" s="184"/>
      <c r="BA300" s="184"/>
      <c r="BB300" s="184"/>
    </row>
    <row r="301" spans="1:54" s="163" customFormat="1" ht="16.5" customHeight="1">
      <c r="A301" s="180"/>
      <c r="B301" s="181"/>
      <c r="C301" s="182"/>
      <c r="D301" s="182"/>
      <c r="E301" s="183"/>
      <c r="F301" s="183"/>
      <c r="G301" s="183"/>
      <c r="H301" s="184"/>
      <c r="I301" s="184"/>
      <c r="J301" s="184"/>
      <c r="K301" s="184"/>
      <c r="L301" s="184"/>
      <c r="M301" s="184"/>
      <c r="N301" s="184"/>
      <c r="O301" s="184"/>
      <c r="Q301" s="184"/>
      <c r="R301" s="185"/>
      <c r="S301" s="185"/>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6"/>
      <c r="AT301" s="187"/>
      <c r="AU301" s="187"/>
      <c r="AV301" s="187"/>
      <c r="AW301" s="224"/>
      <c r="AX301" s="184"/>
      <c r="AY301" s="184"/>
      <c r="AZ301" s="184"/>
      <c r="BA301" s="184"/>
      <c r="BB301" s="184"/>
    </row>
    <row r="302" spans="1:54" s="163" customFormat="1" ht="16.5" customHeight="1">
      <c r="A302" s="180"/>
      <c r="B302" s="181"/>
      <c r="C302" s="182"/>
      <c r="D302" s="182"/>
      <c r="E302" s="183"/>
      <c r="F302" s="183"/>
      <c r="G302" s="183"/>
      <c r="H302" s="184"/>
      <c r="I302" s="184"/>
      <c r="J302" s="184"/>
      <c r="K302" s="184"/>
      <c r="L302" s="184"/>
      <c r="M302" s="184"/>
      <c r="N302" s="184"/>
      <c r="O302" s="184"/>
      <c r="Q302" s="184"/>
      <c r="R302" s="185"/>
      <c r="S302" s="185"/>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6"/>
      <c r="AT302" s="187"/>
      <c r="AU302" s="187"/>
      <c r="AV302" s="187"/>
      <c r="AW302" s="224"/>
      <c r="AX302" s="184"/>
      <c r="AY302" s="184"/>
      <c r="AZ302" s="184"/>
      <c r="BA302" s="184"/>
      <c r="BB302" s="184"/>
    </row>
    <row r="303" spans="1:54" s="163" customFormat="1" ht="16.5" customHeight="1">
      <c r="A303" s="180"/>
      <c r="B303" s="181"/>
      <c r="C303" s="182"/>
      <c r="D303" s="182"/>
      <c r="E303" s="183"/>
      <c r="F303" s="183"/>
      <c r="G303" s="183"/>
      <c r="H303" s="184"/>
      <c r="I303" s="184"/>
      <c r="J303" s="184"/>
      <c r="K303" s="184"/>
      <c r="L303" s="184"/>
      <c r="M303" s="184"/>
      <c r="N303" s="184"/>
      <c r="O303" s="184"/>
      <c r="Q303" s="184"/>
      <c r="R303" s="185"/>
      <c r="S303" s="185"/>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6"/>
      <c r="AT303" s="187"/>
      <c r="AU303" s="187"/>
      <c r="AV303" s="187"/>
      <c r="AW303" s="224"/>
      <c r="AX303" s="184"/>
      <c r="AY303" s="184"/>
      <c r="AZ303" s="184"/>
      <c r="BA303" s="184"/>
      <c r="BB303" s="184"/>
    </row>
    <row r="304" spans="1:54" s="163" customFormat="1" ht="16.5" customHeight="1">
      <c r="A304" s="180"/>
      <c r="B304" s="181"/>
      <c r="C304" s="182"/>
      <c r="D304" s="182"/>
      <c r="E304" s="183"/>
      <c r="F304" s="183"/>
      <c r="G304" s="183"/>
      <c r="H304" s="184"/>
      <c r="I304" s="184"/>
      <c r="J304" s="184"/>
      <c r="K304" s="184"/>
      <c r="L304" s="184"/>
      <c r="M304" s="184"/>
      <c r="N304" s="184"/>
      <c r="O304" s="184"/>
      <c r="Q304" s="184"/>
      <c r="R304" s="185"/>
      <c r="S304" s="185"/>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6"/>
      <c r="AT304" s="187"/>
      <c r="AU304" s="187"/>
      <c r="AV304" s="187"/>
      <c r="AW304" s="224"/>
      <c r="AX304" s="184"/>
      <c r="AY304" s="184"/>
      <c r="AZ304" s="184"/>
      <c r="BA304" s="184"/>
      <c r="BB304" s="184"/>
    </row>
    <row r="305" spans="1:54" s="163" customFormat="1" ht="16.5" customHeight="1">
      <c r="A305" s="180"/>
      <c r="B305" s="181"/>
      <c r="C305" s="182"/>
      <c r="D305" s="182"/>
      <c r="E305" s="183"/>
      <c r="F305" s="183"/>
      <c r="G305" s="183"/>
      <c r="H305" s="184"/>
      <c r="I305" s="184"/>
      <c r="J305" s="184"/>
      <c r="K305" s="184"/>
      <c r="L305" s="184"/>
      <c r="M305" s="184"/>
      <c r="N305" s="184"/>
      <c r="O305" s="184"/>
      <c r="Q305" s="184"/>
      <c r="R305" s="185"/>
      <c r="S305" s="185"/>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6"/>
      <c r="AT305" s="187"/>
      <c r="AU305" s="187"/>
      <c r="AV305" s="187"/>
      <c r="AW305" s="224"/>
      <c r="AX305" s="184"/>
      <c r="AY305" s="184"/>
      <c r="AZ305" s="184"/>
      <c r="BA305" s="184"/>
      <c r="BB305" s="184"/>
    </row>
    <row r="306" spans="1:54" s="163" customFormat="1" ht="16.5" customHeight="1">
      <c r="A306" s="180"/>
      <c r="B306" s="181"/>
      <c r="C306" s="182"/>
      <c r="D306" s="182"/>
      <c r="E306" s="183"/>
      <c r="F306" s="183"/>
      <c r="G306" s="183"/>
      <c r="H306" s="184"/>
      <c r="I306" s="184"/>
      <c r="J306" s="184"/>
      <c r="K306" s="184"/>
      <c r="L306" s="184"/>
      <c r="M306" s="184"/>
      <c r="N306" s="184"/>
      <c r="O306" s="184"/>
      <c r="Q306" s="184"/>
      <c r="R306" s="185"/>
      <c r="S306" s="185"/>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6"/>
      <c r="AT306" s="187"/>
      <c r="AU306" s="187"/>
      <c r="AV306" s="187"/>
      <c r="AW306" s="224"/>
      <c r="AX306" s="184"/>
      <c r="AY306" s="184"/>
      <c r="AZ306" s="184"/>
      <c r="BA306" s="184"/>
      <c r="BB306" s="184"/>
    </row>
    <row r="307" spans="1:54" s="163" customFormat="1" ht="16.5" customHeight="1">
      <c r="A307" s="180"/>
      <c r="B307" s="181"/>
      <c r="C307" s="182"/>
      <c r="D307" s="182"/>
      <c r="E307" s="183"/>
      <c r="F307" s="183"/>
      <c r="G307" s="183"/>
      <c r="H307" s="184"/>
      <c r="I307" s="184"/>
      <c r="J307" s="184"/>
      <c r="K307" s="184"/>
      <c r="L307" s="184"/>
      <c r="M307" s="184"/>
      <c r="N307" s="184"/>
      <c r="O307" s="184"/>
      <c r="Q307" s="184"/>
      <c r="R307" s="185"/>
      <c r="S307" s="185"/>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6"/>
      <c r="AT307" s="187"/>
      <c r="AU307" s="187"/>
      <c r="AV307" s="187"/>
      <c r="AW307" s="224"/>
      <c r="AX307" s="184"/>
      <c r="AY307" s="184"/>
      <c r="AZ307" s="184"/>
      <c r="BA307" s="184"/>
      <c r="BB307" s="184"/>
    </row>
    <row r="308" spans="1:54" s="163" customFormat="1" ht="16.5" customHeight="1">
      <c r="A308" s="180"/>
      <c r="B308" s="181"/>
      <c r="C308" s="182"/>
      <c r="D308" s="182"/>
      <c r="E308" s="183"/>
      <c r="F308" s="183"/>
      <c r="G308" s="183"/>
      <c r="H308" s="184"/>
      <c r="I308" s="184"/>
      <c r="J308" s="184"/>
      <c r="K308" s="184"/>
      <c r="L308" s="184"/>
      <c r="M308" s="184"/>
      <c r="N308" s="184"/>
      <c r="O308" s="184"/>
      <c r="Q308" s="184"/>
      <c r="R308" s="185"/>
      <c r="S308" s="185"/>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6"/>
      <c r="AT308" s="187"/>
      <c r="AU308" s="187"/>
      <c r="AV308" s="187"/>
      <c r="AW308" s="224"/>
      <c r="AX308" s="184"/>
      <c r="AY308" s="184"/>
      <c r="AZ308" s="184"/>
      <c r="BA308" s="184"/>
      <c r="BB308" s="184"/>
    </row>
    <row r="309" spans="1:54" s="163" customFormat="1" ht="16.5" customHeight="1">
      <c r="A309" s="180"/>
      <c r="B309" s="181"/>
      <c r="C309" s="182"/>
      <c r="D309" s="182"/>
      <c r="E309" s="183"/>
      <c r="F309" s="183"/>
      <c r="G309" s="183"/>
      <c r="H309" s="184"/>
      <c r="I309" s="184"/>
      <c r="J309" s="184"/>
      <c r="K309" s="184"/>
      <c r="L309" s="184"/>
      <c r="M309" s="184"/>
      <c r="N309" s="184"/>
      <c r="O309" s="184"/>
      <c r="Q309" s="184"/>
      <c r="R309" s="185"/>
      <c r="S309" s="185"/>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6"/>
      <c r="AT309" s="187"/>
      <c r="AU309" s="187"/>
      <c r="AV309" s="187"/>
      <c r="AW309" s="224"/>
      <c r="AX309" s="184"/>
      <c r="AY309" s="184"/>
      <c r="AZ309" s="184"/>
      <c r="BA309" s="184"/>
      <c r="BB309" s="184"/>
    </row>
    <row r="310" spans="1:54" s="163" customFormat="1" ht="16.5" customHeight="1">
      <c r="A310" s="180"/>
      <c r="B310" s="181"/>
      <c r="C310" s="182"/>
      <c r="D310" s="182"/>
      <c r="E310" s="183"/>
      <c r="F310" s="183"/>
      <c r="G310" s="183"/>
      <c r="H310" s="184"/>
      <c r="I310" s="184"/>
      <c r="J310" s="184"/>
      <c r="K310" s="184"/>
      <c r="L310" s="184"/>
      <c r="M310" s="184"/>
      <c r="N310" s="184"/>
      <c r="O310" s="184"/>
      <c r="Q310" s="184"/>
      <c r="R310" s="185"/>
      <c r="S310" s="185"/>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6"/>
      <c r="AT310" s="187"/>
      <c r="AU310" s="187"/>
      <c r="AV310" s="187"/>
      <c r="AW310" s="224"/>
      <c r="AX310" s="184"/>
      <c r="AY310" s="184"/>
      <c r="AZ310" s="184"/>
      <c r="BA310" s="184"/>
      <c r="BB310" s="184"/>
    </row>
    <row r="311" spans="1:54" s="163" customFormat="1" ht="16.5" customHeight="1">
      <c r="A311" s="180"/>
      <c r="B311" s="181"/>
      <c r="C311" s="182"/>
      <c r="D311" s="182"/>
      <c r="E311" s="183"/>
      <c r="F311" s="183"/>
      <c r="G311" s="183"/>
      <c r="H311" s="184"/>
      <c r="I311" s="184"/>
      <c r="J311" s="184"/>
      <c r="K311" s="184"/>
      <c r="L311" s="184"/>
      <c r="M311" s="184"/>
      <c r="N311" s="184"/>
      <c r="O311" s="184"/>
      <c r="Q311" s="184"/>
      <c r="R311" s="185"/>
      <c r="S311" s="185"/>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6"/>
      <c r="AT311" s="187"/>
      <c r="AU311" s="187"/>
      <c r="AV311" s="187"/>
      <c r="AW311" s="224"/>
      <c r="AX311" s="184"/>
      <c r="AY311" s="184"/>
      <c r="AZ311" s="184"/>
      <c r="BA311" s="184"/>
      <c r="BB311" s="184"/>
    </row>
    <row r="312" spans="1:54" s="163" customFormat="1" ht="16.5" customHeight="1">
      <c r="A312" s="180"/>
      <c r="B312" s="181"/>
      <c r="C312" s="182"/>
      <c r="D312" s="182"/>
      <c r="E312" s="183"/>
      <c r="F312" s="183"/>
      <c r="G312" s="183"/>
      <c r="H312" s="184"/>
      <c r="I312" s="184"/>
      <c r="J312" s="184"/>
      <c r="K312" s="184"/>
      <c r="L312" s="184"/>
      <c r="M312" s="184"/>
      <c r="N312" s="184"/>
      <c r="O312" s="184"/>
      <c r="Q312" s="184"/>
      <c r="R312" s="185"/>
      <c r="S312" s="185"/>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6"/>
      <c r="AT312" s="187"/>
      <c r="AU312" s="187"/>
      <c r="AV312" s="187"/>
      <c r="AW312" s="224"/>
      <c r="AX312" s="184"/>
      <c r="AY312" s="184"/>
      <c r="AZ312" s="184"/>
      <c r="BA312" s="184"/>
      <c r="BB312" s="184"/>
    </row>
    <row r="313" spans="1:54" s="163" customFormat="1" ht="16.5" customHeight="1">
      <c r="A313" s="180"/>
      <c r="B313" s="181"/>
      <c r="C313" s="182"/>
      <c r="D313" s="182"/>
      <c r="E313" s="183"/>
      <c r="F313" s="183"/>
      <c r="G313" s="183"/>
      <c r="H313" s="184"/>
      <c r="I313" s="184"/>
      <c r="J313" s="184"/>
      <c r="K313" s="184"/>
      <c r="L313" s="184"/>
      <c r="M313" s="184"/>
      <c r="N313" s="184"/>
      <c r="O313" s="184"/>
      <c r="Q313" s="184"/>
      <c r="R313" s="185"/>
      <c r="S313" s="185"/>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6"/>
      <c r="AT313" s="187"/>
      <c r="AU313" s="187"/>
      <c r="AV313" s="187"/>
      <c r="AW313" s="224"/>
      <c r="AX313" s="184"/>
      <c r="AY313" s="184"/>
      <c r="AZ313" s="184"/>
      <c r="BA313" s="184"/>
      <c r="BB313" s="184"/>
    </row>
    <row r="314" spans="1:54" s="163" customFormat="1" ht="16.5" customHeight="1">
      <c r="A314" s="180"/>
      <c r="B314" s="181"/>
      <c r="C314" s="182"/>
      <c r="D314" s="182"/>
      <c r="E314" s="183"/>
      <c r="F314" s="183"/>
      <c r="G314" s="183"/>
      <c r="H314" s="184"/>
      <c r="I314" s="184"/>
      <c r="J314" s="184"/>
      <c r="K314" s="184"/>
      <c r="L314" s="184"/>
      <c r="M314" s="184"/>
      <c r="N314" s="184"/>
      <c r="O314" s="184"/>
      <c r="Q314" s="184"/>
      <c r="R314" s="185"/>
      <c r="S314" s="185"/>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6"/>
      <c r="AT314" s="187"/>
      <c r="AU314" s="187"/>
      <c r="AV314" s="187"/>
      <c r="AW314" s="224"/>
      <c r="AX314" s="184"/>
      <c r="AY314" s="184"/>
      <c r="AZ314" s="184"/>
      <c r="BA314" s="184"/>
      <c r="BB314" s="184"/>
    </row>
    <row r="315" spans="1:54" s="163" customFormat="1" ht="16.5" customHeight="1">
      <c r="A315" s="180"/>
      <c r="B315" s="181"/>
      <c r="C315" s="182"/>
      <c r="D315" s="182"/>
      <c r="E315" s="183"/>
      <c r="F315" s="183"/>
      <c r="G315" s="183"/>
      <c r="H315" s="184"/>
      <c r="I315" s="184"/>
      <c r="J315" s="184"/>
      <c r="K315" s="184"/>
      <c r="L315" s="184"/>
      <c r="M315" s="184"/>
      <c r="N315" s="184"/>
      <c r="O315" s="184"/>
      <c r="Q315" s="184"/>
      <c r="R315" s="185"/>
      <c r="S315" s="185"/>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6"/>
      <c r="AT315" s="187"/>
      <c r="AU315" s="187"/>
      <c r="AV315" s="187"/>
      <c r="AW315" s="224"/>
      <c r="AX315" s="184"/>
      <c r="AY315" s="184"/>
      <c r="AZ315" s="184"/>
      <c r="BA315" s="184"/>
      <c r="BB315" s="184"/>
    </row>
    <row r="316" spans="1:54" s="163" customFormat="1" ht="16.5" customHeight="1">
      <c r="A316" s="180"/>
      <c r="B316" s="181"/>
      <c r="C316" s="182"/>
      <c r="D316" s="182"/>
      <c r="E316" s="183"/>
      <c r="F316" s="183"/>
      <c r="G316" s="183"/>
      <c r="H316" s="184"/>
      <c r="I316" s="184"/>
      <c r="J316" s="184"/>
      <c r="K316" s="184"/>
      <c r="L316" s="184"/>
      <c r="M316" s="184"/>
      <c r="N316" s="184"/>
      <c r="O316" s="184"/>
      <c r="Q316" s="184"/>
      <c r="R316" s="185"/>
      <c r="S316" s="185"/>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6"/>
      <c r="AT316" s="187"/>
      <c r="AU316" s="187"/>
      <c r="AV316" s="187"/>
      <c r="AW316" s="224"/>
      <c r="AX316" s="184"/>
      <c r="AY316" s="184"/>
      <c r="AZ316" s="184"/>
      <c r="BA316" s="184"/>
      <c r="BB316" s="184"/>
    </row>
    <row r="317" spans="1:54" s="163" customFormat="1" ht="16.5" customHeight="1">
      <c r="A317" s="180"/>
      <c r="B317" s="181"/>
      <c r="C317" s="182"/>
      <c r="D317" s="182"/>
      <c r="E317" s="183"/>
      <c r="F317" s="183"/>
      <c r="G317" s="183"/>
      <c r="H317" s="184"/>
      <c r="I317" s="184"/>
      <c r="J317" s="184"/>
      <c r="K317" s="184"/>
      <c r="L317" s="184"/>
      <c r="M317" s="184"/>
      <c r="N317" s="184"/>
      <c r="O317" s="184"/>
      <c r="Q317" s="184"/>
      <c r="R317" s="185"/>
      <c r="S317" s="185"/>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6"/>
      <c r="AT317" s="187"/>
      <c r="AU317" s="187"/>
      <c r="AV317" s="187"/>
      <c r="AW317" s="224"/>
      <c r="AX317" s="184"/>
      <c r="AY317" s="184"/>
      <c r="AZ317" s="184"/>
      <c r="BA317" s="184"/>
      <c r="BB317" s="184"/>
    </row>
    <row r="318" spans="1:54" s="163" customFormat="1" ht="16.5" customHeight="1">
      <c r="A318" s="180"/>
      <c r="B318" s="181"/>
      <c r="C318" s="182"/>
      <c r="D318" s="182"/>
      <c r="E318" s="183"/>
      <c r="F318" s="183"/>
      <c r="G318" s="183"/>
      <c r="H318" s="184"/>
      <c r="I318" s="184"/>
      <c r="J318" s="184"/>
      <c r="K318" s="184"/>
      <c r="L318" s="184"/>
      <c r="M318" s="184"/>
      <c r="N318" s="184"/>
      <c r="O318" s="184"/>
      <c r="Q318" s="184"/>
      <c r="R318" s="185"/>
      <c r="S318" s="185"/>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6"/>
      <c r="AT318" s="187"/>
      <c r="AU318" s="187"/>
      <c r="AV318" s="187"/>
      <c r="AW318" s="224"/>
      <c r="AX318" s="184"/>
      <c r="AY318" s="184"/>
      <c r="AZ318" s="184"/>
      <c r="BA318" s="184"/>
      <c r="BB318" s="184"/>
    </row>
    <row r="319" spans="1:54" s="163" customFormat="1" ht="16.5" customHeight="1">
      <c r="A319" s="180"/>
      <c r="B319" s="181"/>
      <c r="C319" s="182"/>
      <c r="D319" s="182"/>
      <c r="E319" s="183"/>
      <c r="F319" s="183"/>
      <c r="G319" s="183"/>
      <c r="H319" s="184"/>
      <c r="I319" s="184"/>
      <c r="J319" s="184"/>
      <c r="K319" s="184"/>
      <c r="L319" s="184"/>
      <c r="M319" s="184"/>
      <c r="N319" s="184"/>
      <c r="O319" s="184"/>
      <c r="Q319" s="184"/>
      <c r="R319" s="185"/>
      <c r="S319" s="185"/>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6"/>
      <c r="AT319" s="187"/>
      <c r="AU319" s="187"/>
      <c r="AV319" s="187"/>
      <c r="AW319" s="224"/>
      <c r="AX319" s="184"/>
      <c r="AY319" s="184"/>
      <c r="AZ319" s="184"/>
      <c r="BA319" s="184"/>
      <c r="BB319" s="184"/>
    </row>
    <row r="320" spans="1:54" s="163" customFormat="1" ht="16.5" customHeight="1">
      <c r="A320" s="180"/>
      <c r="B320" s="181"/>
      <c r="C320" s="182"/>
      <c r="D320" s="182"/>
      <c r="E320" s="183"/>
      <c r="F320" s="183"/>
      <c r="G320" s="183"/>
      <c r="H320" s="184"/>
      <c r="I320" s="184"/>
      <c r="J320" s="184"/>
      <c r="K320" s="184"/>
      <c r="L320" s="184"/>
      <c r="M320" s="184"/>
      <c r="N320" s="184"/>
      <c r="O320" s="184"/>
      <c r="Q320" s="184"/>
      <c r="R320" s="185"/>
      <c r="S320" s="185"/>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6"/>
      <c r="AT320" s="187"/>
      <c r="AU320" s="187"/>
      <c r="AV320" s="187"/>
      <c r="AW320" s="224"/>
      <c r="AX320" s="184"/>
      <c r="AY320" s="184"/>
      <c r="AZ320" s="184"/>
      <c r="BA320" s="184"/>
      <c r="BB320" s="184"/>
    </row>
    <row r="321" spans="1:54" s="163" customFormat="1" ht="16.5" customHeight="1">
      <c r="A321" s="180"/>
      <c r="B321" s="181"/>
      <c r="C321" s="182"/>
      <c r="D321" s="182"/>
      <c r="E321" s="183"/>
      <c r="F321" s="183"/>
      <c r="G321" s="183"/>
      <c r="H321" s="184"/>
      <c r="I321" s="184"/>
      <c r="J321" s="184"/>
      <c r="K321" s="184"/>
      <c r="L321" s="184"/>
      <c r="M321" s="184"/>
      <c r="N321" s="184"/>
      <c r="O321" s="184"/>
      <c r="Q321" s="184"/>
      <c r="R321" s="185"/>
      <c r="S321" s="185"/>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6"/>
      <c r="AT321" s="187"/>
      <c r="AU321" s="187"/>
      <c r="AV321" s="187"/>
      <c r="AW321" s="224"/>
      <c r="AX321" s="184"/>
      <c r="AY321" s="184"/>
      <c r="AZ321" s="184"/>
      <c r="BA321" s="184"/>
      <c r="BB321" s="184"/>
    </row>
    <row r="322" spans="1:54" s="163" customFormat="1" ht="16.5" customHeight="1">
      <c r="A322" s="180"/>
      <c r="B322" s="181"/>
      <c r="C322" s="182"/>
      <c r="D322" s="182"/>
      <c r="E322" s="183"/>
      <c r="F322" s="183"/>
      <c r="G322" s="183"/>
      <c r="H322" s="184"/>
      <c r="I322" s="184"/>
      <c r="J322" s="184"/>
      <c r="K322" s="184"/>
      <c r="L322" s="184"/>
      <c r="M322" s="184"/>
      <c r="N322" s="184"/>
      <c r="O322" s="184"/>
      <c r="Q322" s="184"/>
      <c r="R322" s="185"/>
      <c r="S322" s="185"/>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6"/>
      <c r="AT322" s="187"/>
      <c r="AU322" s="187"/>
      <c r="AV322" s="187"/>
      <c r="AW322" s="224"/>
      <c r="AX322" s="184"/>
      <c r="AY322" s="184"/>
      <c r="AZ322" s="184"/>
      <c r="BA322" s="184"/>
      <c r="BB322" s="184"/>
    </row>
    <row r="323" spans="1:54" s="163" customFormat="1" ht="16.5" customHeight="1">
      <c r="A323" s="180"/>
      <c r="B323" s="181"/>
      <c r="C323" s="182"/>
      <c r="D323" s="182"/>
      <c r="E323" s="183"/>
      <c r="F323" s="183"/>
      <c r="G323" s="183"/>
      <c r="H323" s="184"/>
      <c r="I323" s="184"/>
      <c r="J323" s="184"/>
      <c r="K323" s="184"/>
      <c r="L323" s="184"/>
      <c r="M323" s="184"/>
      <c r="N323" s="184"/>
      <c r="O323" s="184"/>
      <c r="Q323" s="184"/>
      <c r="R323" s="185"/>
      <c r="S323" s="185"/>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6"/>
      <c r="AT323" s="187"/>
      <c r="AU323" s="187"/>
      <c r="AV323" s="187"/>
      <c r="AW323" s="224"/>
      <c r="AX323" s="184"/>
      <c r="AY323" s="184"/>
      <c r="AZ323" s="184"/>
      <c r="BA323" s="184"/>
      <c r="BB323" s="184"/>
    </row>
    <row r="324" spans="1:54" s="163" customFormat="1" ht="16.5" customHeight="1">
      <c r="A324" s="180"/>
      <c r="B324" s="181"/>
      <c r="C324" s="182"/>
      <c r="D324" s="182"/>
      <c r="E324" s="183"/>
      <c r="F324" s="183"/>
      <c r="G324" s="183"/>
      <c r="H324" s="184"/>
      <c r="I324" s="184"/>
      <c r="J324" s="184"/>
      <c r="K324" s="184"/>
      <c r="L324" s="184"/>
      <c r="M324" s="184"/>
      <c r="N324" s="184"/>
      <c r="O324" s="184"/>
      <c r="Q324" s="184"/>
      <c r="R324" s="185"/>
      <c r="S324" s="185"/>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6"/>
      <c r="AT324" s="187"/>
      <c r="AU324" s="187"/>
      <c r="AV324" s="187"/>
      <c r="AW324" s="224"/>
      <c r="AX324" s="184"/>
      <c r="AY324" s="184"/>
      <c r="AZ324" s="184"/>
      <c r="BA324" s="184"/>
      <c r="BB324" s="184"/>
    </row>
    <row r="325" spans="1:54" s="163" customFormat="1" ht="16.5" customHeight="1">
      <c r="A325" s="180"/>
      <c r="B325" s="181"/>
      <c r="C325" s="182"/>
      <c r="D325" s="182"/>
      <c r="E325" s="183"/>
      <c r="F325" s="183"/>
      <c r="G325" s="183"/>
      <c r="H325" s="184"/>
      <c r="I325" s="184"/>
      <c r="J325" s="184"/>
      <c r="K325" s="184"/>
      <c r="L325" s="184"/>
      <c r="M325" s="184"/>
      <c r="N325" s="184"/>
      <c r="O325" s="184"/>
      <c r="Q325" s="184"/>
      <c r="R325" s="185"/>
      <c r="S325" s="185"/>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6"/>
      <c r="AT325" s="187"/>
      <c r="AU325" s="187"/>
      <c r="AV325" s="187"/>
      <c r="AW325" s="224"/>
      <c r="AX325" s="184"/>
      <c r="AY325" s="184"/>
      <c r="AZ325" s="184"/>
      <c r="BA325" s="184"/>
      <c r="BB325" s="184"/>
    </row>
    <row r="326" spans="1:54" s="163" customFormat="1" ht="16.5" customHeight="1">
      <c r="A326" s="180"/>
      <c r="B326" s="181"/>
      <c r="C326" s="182"/>
      <c r="D326" s="182"/>
      <c r="E326" s="183"/>
      <c r="F326" s="183"/>
      <c r="G326" s="183"/>
      <c r="H326" s="184"/>
      <c r="I326" s="184"/>
      <c r="J326" s="184"/>
      <c r="K326" s="184"/>
      <c r="L326" s="184"/>
      <c r="M326" s="184"/>
      <c r="N326" s="184"/>
      <c r="O326" s="184"/>
      <c r="Q326" s="184"/>
      <c r="R326" s="185"/>
      <c r="S326" s="185"/>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6"/>
      <c r="AT326" s="187"/>
      <c r="AU326" s="187"/>
      <c r="AV326" s="187"/>
      <c r="AW326" s="224"/>
      <c r="AX326" s="184"/>
      <c r="AY326" s="184"/>
      <c r="AZ326" s="184"/>
      <c r="BA326" s="184"/>
      <c r="BB326" s="184"/>
    </row>
    <row r="327" spans="1:54" s="163" customFormat="1" ht="16.5" customHeight="1">
      <c r="A327" s="180"/>
      <c r="B327" s="181"/>
      <c r="C327" s="182"/>
      <c r="D327" s="182"/>
      <c r="E327" s="183"/>
      <c r="F327" s="183"/>
      <c r="G327" s="183"/>
      <c r="H327" s="184"/>
      <c r="I327" s="184"/>
      <c r="J327" s="184"/>
      <c r="K327" s="184"/>
      <c r="L327" s="184"/>
      <c r="M327" s="184"/>
      <c r="N327" s="184"/>
      <c r="O327" s="184"/>
      <c r="Q327" s="184"/>
      <c r="R327" s="185"/>
      <c r="S327" s="185"/>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6"/>
      <c r="AT327" s="187"/>
      <c r="AU327" s="187"/>
      <c r="AV327" s="187"/>
      <c r="AW327" s="224"/>
      <c r="AX327" s="184"/>
      <c r="AY327" s="184"/>
      <c r="AZ327" s="184"/>
      <c r="BA327" s="184"/>
      <c r="BB327" s="184"/>
    </row>
    <row r="328" spans="1:54" s="163" customFormat="1" ht="16.5" customHeight="1">
      <c r="A328" s="180"/>
      <c r="B328" s="181"/>
      <c r="C328" s="182"/>
      <c r="D328" s="182"/>
      <c r="E328" s="183"/>
      <c r="F328" s="183"/>
      <c r="G328" s="183"/>
      <c r="H328" s="184"/>
      <c r="I328" s="184"/>
      <c r="J328" s="184"/>
      <c r="K328" s="184"/>
      <c r="L328" s="184"/>
      <c r="M328" s="184"/>
      <c r="N328" s="184"/>
      <c r="O328" s="184"/>
      <c r="Q328" s="184"/>
      <c r="R328" s="185"/>
      <c r="S328" s="185"/>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6"/>
      <c r="AT328" s="187"/>
      <c r="AU328" s="187"/>
      <c r="AV328" s="187"/>
      <c r="AW328" s="224"/>
      <c r="AX328" s="184"/>
      <c r="AY328" s="184"/>
      <c r="AZ328" s="184"/>
      <c r="BA328" s="184"/>
      <c r="BB328" s="184"/>
    </row>
    <row r="329" spans="1:54" s="163" customFormat="1" ht="16.5" customHeight="1">
      <c r="A329" s="180"/>
      <c r="B329" s="181"/>
      <c r="C329" s="182"/>
      <c r="D329" s="182"/>
      <c r="E329" s="183"/>
      <c r="F329" s="183"/>
      <c r="G329" s="183"/>
      <c r="H329" s="184"/>
      <c r="I329" s="184"/>
      <c r="J329" s="184"/>
      <c r="K329" s="184"/>
      <c r="L329" s="184"/>
      <c r="M329" s="184"/>
      <c r="N329" s="184"/>
      <c r="O329" s="184"/>
      <c r="Q329" s="184"/>
      <c r="R329" s="185"/>
      <c r="S329" s="185"/>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6"/>
      <c r="AT329" s="187"/>
      <c r="AU329" s="187"/>
      <c r="AV329" s="187"/>
      <c r="AW329" s="224"/>
      <c r="AX329" s="184"/>
      <c r="AY329" s="184"/>
      <c r="AZ329" s="184"/>
      <c r="BA329" s="184"/>
      <c r="BB329" s="184"/>
    </row>
    <row r="330" spans="1:54" s="163" customFormat="1" ht="16.5" customHeight="1">
      <c r="A330" s="180"/>
      <c r="B330" s="181"/>
      <c r="C330" s="182"/>
      <c r="D330" s="182"/>
      <c r="E330" s="183"/>
      <c r="F330" s="183"/>
      <c r="G330" s="183"/>
      <c r="H330" s="184"/>
      <c r="I330" s="184"/>
      <c r="J330" s="184"/>
      <c r="K330" s="184"/>
      <c r="L330" s="184"/>
      <c r="M330" s="184"/>
      <c r="N330" s="184"/>
      <c r="O330" s="184"/>
      <c r="Q330" s="184"/>
      <c r="R330" s="185"/>
      <c r="S330" s="185"/>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6"/>
      <c r="AT330" s="187"/>
      <c r="AU330" s="187"/>
      <c r="AV330" s="187"/>
      <c r="AW330" s="224"/>
      <c r="AX330" s="184"/>
      <c r="AY330" s="184"/>
      <c r="AZ330" s="184"/>
      <c r="BA330" s="184"/>
      <c r="BB330" s="184"/>
    </row>
    <row r="331" spans="1:54" s="163" customFormat="1" ht="16.5" customHeight="1">
      <c r="A331" s="180"/>
      <c r="B331" s="181"/>
      <c r="C331" s="182"/>
      <c r="D331" s="182"/>
      <c r="E331" s="183"/>
      <c r="F331" s="183"/>
      <c r="G331" s="183"/>
      <c r="H331" s="184"/>
      <c r="I331" s="184"/>
      <c r="J331" s="184"/>
      <c r="K331" s="184"/>
      <c r="L331" s="184"/>
      <c r="M331" s="184"/>
      <c r="N331" s="184"/>
      <c r="O331" s="184"/>
      <c r="Q331" s="184"/>
      <c r="R331" s="185"/>
      <c r="S331" s="185"/>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6"/>
      <c r="AT331" s="187"/>
      <c r="AU331" s="187"/>
      <c r="AV331" s="187"/>
      <c r="AW331" s="224"/>
      <c r="AX331" s="184"/>
      <c r="AY331" s="184"/>
      <c r="AZ331" s="184"/>
      <c r="BA331" s="184"/>
      <c r="BB331" s="184"/>
    </row>
    <row r="332" spans="1:54" s="163" customFormat="1" ht="16.5" customHeight="1">
      <c r="A332" s="180"/>
      <c r="B332" s="181"/>
      <c r="C332" s="182"/>
      <c r="D332" s="182"/>
      <c r="E332" s="183"/>
      <c r="F332" s="183"/>
      <c r="G332" s="183"/>
      <c r="H332" s="184"/>
      <c r="I332" s="184"/>
      <c r="J332" s="184"/>
      <c r="K332" s="184"/>
      <c r="L332" s="184"/>
      <c r="M332" s="184"/>
      <c r="N332" s="184"/>
      <c r="O332" s="184"/>
      <c r="Q332" s="184"/>
      <c r="R332" s="185"/>
      <c r="S332" s="185"/>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6"/>
      <c r="AT332" s="187"/>
      <c r="AU332" s="187"/>
      <c r="AV332" s="187"/>
      <c r="AW332" s="224"/>
      <c r="AX332" s="184"/>
      <c r="AY332" s="184"/>
      <c r="AZ332" s="184"/>
      <c r="BA332" s="184"/>
      <c r="BB332" s="184"/>
    </row>
    <row r="333" spans="1:54" s="163" customFormat="1" ht="16.5" customHeight="1">
      <c r="A333" s="180"/>
      <c r="B333" s="181"/>
      <c r="C333" s="182"/>
      <c r="D333" s="182"/>
      <c r="E333" s="183"/>
      <c r="F333" s="183"/>
      <c r="G333" s="183"/>
      <c r="H333" s="184"/>
      <c r="I333" s="184"/>
      <c r="J333" s="184"/>
      <c r="K333" s="184"/>
      <c r="L333" s="184"/>
      <c r="M333" s="184"/>
      <c r="N333" s="184"/>
      <c r="O333" s="184"/>
      <c r="Q333" s="184"/>
      <c r="R333" s="185"/>
      <c r="S333" s="185"/>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6"/>
      <c r="AT333" s="187"/>
      <c r="AU333" s="187"/>
      <c r="AV333" s="187"/>
      <c r="AW333" s="224"/>
      <c r="AX333" s="184"/>
      <c r="AY333" s="184"/>
      <c r="AZ333" s="184"/>
      <c r="BA333" s="184"/>
      <c r="BB333" s="184"/>
    </row>
    <row r="334" spans="1:54" s="163" customFormat="1" ht="16.5" customHeight="1">
      <c r="A334" s="180"/>
      <c r="B334" s="181"/>
      <c r="C334" s="182"/>
      <c r="D334" s="182"/>
      <c r="E334" s="183"/>
      <c r="F334" s="183"/>
      <c r="G334" s="183"/>
      <c r="H334" s="184"/>
      <c r="I334" s="184"/>
      <c r="J334" s="184"/>
      <c r="K334" s="184"/>
      <c r="L334" s="184"/>
      <c r="M334" s="184"/>
      <c r="N334" s="184"/>
      <c r="O334" s="184"/>
      <c r="Q334" s="184"/>
      <c r="R334" s="185"/>
      <c r="S334" s="185"/>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6"/>
      <c r="AT334" s="187"/>
      <c r="AU334" s="187"/>
      <c r="AV334" s="187"/>
      <c r="AW334" s="224"/>
      <c r="AX334" s="184"/>
      <c r="AY334" s="184"/>
      <c r="AZ334" s="184"/>
      <c r="BA334" s="184"/>
      <c r="BB334" s="184"/>
    </row>
    <row r="335" spans="1:54" s="163" customFormat="1" ht="16.5" customHeight="1">
      <c r="A335" s="180"/>
      <c r="B335" s="181"/>
      <c r="C335" s="182"/>
      <c r="D335" s="182"/>
      <c r="E335" s="183"/>
      <c r="F335" s="183"/>
      <c r="G335" s="183"/>
      <c r="H335" s="184"/>
      <c r="I335" s="184"/>
      <c r="J335" s="184"/>
      <c r="K335" s="184"/>
      <c r="L335" s="184"/>
      <c r="M335" s="184"/>
      <c r="N335" s="184"/>
      <c r="O335" s="184"/>
      <c r="Q335" s="184"/>
      <c r="R335" s="185"/>
      <c r="S335" s="185"/>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6"/>
      <c r="AT335" s="187"/>
      <c r="AU335" s="187"/>
      <c r="AV335" s="187"/>
      <c r="AW335" s="224"/>
      <c r="AX335" s="184"/>
      <c r="AY335" s="184"/>
      <c r="AZ335" s="184"/>
      <c r="BA335" s="184"/>
      <c r="BB335" s="184"/>
    </row>
    <row r="336" spans="1:54" s="163" customFormat="1" ht="16.5" customHeight="1">
      <c r="A336" s="180"/>
      <c r="B336" s="181"/>
      <c r="C336" s="182"/>
      <c r="D336" s="182"/>
      <c r="E336" s="183"/>
      <c r="F336" s="183"/>
      <c r="G336" s="183"/>
      <c r="H336" s="184"/>
      <c r="I336" s="184"/>
      <c r="J336" s="184"/>
      <c r="K336" s="184"/>
      <c r="L336" s="184"/>
      <c r="M336" s="184"/>
      <c r="N336" s="184"/>
      <c r="O336" s="184"/>
      <c r="Q336" s="184"/>
      <c r="R336" s="185"/>
      <c r="S336" s="185"/>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6"/>
      <c r="AT336" s="187"/>
      <c r="AU336" s="187"/>
      <c r="AV336" s="187"/>
      <c r="AW336" s="224"/>
      <c r="AX336" s="184"/>
      <c r="AY336" s="184"/>
      <c r="AZ336" s="184"/>
      <c r="BA336" s="184"/>
      <c r="BB336" s="184"/>
    </row>
    <row r="337" spans="1:54" s="163" customFormat="1" ht="16.5" customHeight="1">
      <c r="A337" s="180"/>
      <c r="B337" s="181"/>
      <c r="C337" s="182"/>
      <c r="D337" s="182"/>
      <c r="E337" s="183"/>
      <c r="F337" s="183"/>
      <c r="G337" s="183"/>
      <c r="H337" s="184"/>
      <c r="I337" s="184"/>
      <c r="J337" s="184"/>
      <c r="K337" s="184"/>
      <c r="L337" s="184"/>
      <c r="M337" s="184"/>
      <c r="N337" s="184"/>
      <c r="O337" s="184"/>
      <c r="Q337" s="184"/>
      <c r="R337" s="185"/>
      <c r="S337" s="185"/>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6"/>
      <c r="AT337" s="187"/>
      <c r="AU337" s="187"/>
      <c r="AV337" s="187"/>
      <c r="AW337" s="224"/>
      <c r="AX337" s="184"/>
      <c r="AY337" s="184"/>
      <c r="AZ337" s="184"/>
      <c r="BA337" s="184"/>
      <c r="BB337" s="184"/>
    </row>
    <row r="338" spans="1:54" s="163" customFormat="1" ht="16.5" customHeight="1">
      <c r="A338" s="180"/>
      <c r="B338" s="181"/>
      <c r="C338" s="182"/>
      <c r="D338" s="182"/>
      <c r="E338" s="183"/>
      <c r="F338" s="183"/>
      <c r="G338" s="183"/>
      <c r="H338" s="184"/>
      <c r="I338" s="184"/>
      <c r="J338" s="184"/>
      <c r="K338" s="184"/>
      <c r="L338" s="184"/>
      <c r="M338" s="184"/>
      <c r="N338" s="184"/>
      <c r="O338" s="184"/>
      <c r="Q338" s="184"/>
      <c r="R338" s="185"/>
      <c r="S338" s="185"/>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6"/>
      <c r="AT338" s="187"/>
      <c r="AU338" s="187"/>
      <c r="AV338" s="187"/>
      <c r="AW338" s="224"/>
      <c r="AX338" s="184"/>
      <c r="AY338" s="184"/>
      <c r="AZ338" s="184"/>
      <c r="BA338" s="184"/>
      <c r="BB338" s="184"/>
    </row>
    <row r="339" spans="1:54" s="163" customFormat="1" ht="16.5" customHeight="1">
      <c r="A339" s="180"/>
      <c r="B339" s="181"/>
      <c r="C339" s="182"/>
      <c r="D339" s="182"/>
      <c r="E339" s="183"/>
      <c r="F339" s="183"/>
      <c r="G339" s="183"/>
      <c r="H339" s="184"/>
      <c r="I339" s="184"/>
      <c r="J339" s="184"/>
      <c r="K339" s="184"/>
      <c r="L339" s="184"/>
      <c r="M339" s="184"/>
      <c r="N339" s="184"/>
      <c r="O339" s="184"/>
      <c r="Q339" s="184"/>
      <c r="R339" s="185"/>
      <c r="S339" s="185"/>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6"/>
      <c r="AT339" s="187"/>
      <c r="AU339" s="187"/>
      <c r="AV339" s="187"/>
      <c r="AW339" s="224"/>
      <c r="AX339" s="184"/>
      <c r="AY339" s="184"/>
      <c r="AZ339" s="184"/>
      <c r="BA339" s="184"/>
      <c r="BB339" s="184"/>
    </row>
    <row r="340" spans="1:54" s="163" customFormat="1" ht="16.5" customHeight="1">
      <c r="A340" s="180"/>
      <c r="B340" s="181"/>
      <c r="C340" s="182"/>
      <c r="D340" s="182"/>
      <c r="E340" s="183"/>
      <c r="F340" s="183"/>
      <c r="G340" s="183"/>
      <c r="H340" s="184"/>
      <c r="I340" s="184"/>
      <c r="J340" s="184"/>
      <c r="K340" s="184"/>
      <c r="L340" s="184"/>
      <c r="M340" s="184"/>
      <c r="N340" s="184"/>
      <c r="O340" s="184"/>
      <c r="Q340" s="184"/>
      <c r="R340" s="185"/>
      <c r="S340" s="185"/>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6"/>
      <c r="AT340" s="187"/>
      <c r="AU340" s="187"/>
      <c r="AV340" s="187"/>
      <c r="AW340" s="224"/>
      <c r="AX340" s="184"/>
      <c r="AY340" s="184"/>
      <c r="AZ340" s="184"/>
      <c r="BA340" s="184"/>
      <c r="BB340" s="184"/>
    </row>
    <row r="341" spans="1:54" s="163" customFormat="1" ht="16.5" customHeight="1">
      <c r="A341" s="180"/>
      <c r="B341" s="181"/>
      <c r="C341" s="182"/>
      <c r="D341" s="182"/>
      <c r="E341" s="183"/>
      <c r="F341" s="183"/>
      <c r="G341" s="183"/>
      <c r="H341" s="184"/>
      <c r="I341" s="184"/>
      <c r="J341" s="184"/>
      <c r="K341" s="184"/>
      <c r="L341" s="184"/>
      <c r="M341" s="184"/>
      <c r="N341" s="184"/>
      <c r="O341" s="184"/>
      <c r="Q341" s="184"/>
      <c r="R341" s="185"/>
      <c r="S341" s="185"/>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6"/>
      <c r="AT341" s="187"/>
      <c r="AU341" s="187"/>
      <c r="AV341" s="187"/>
      <c r="AW341" s="224"/>
      <c r="AX341" s="184"/>
      <c r="AY341" s="184"/>
      <c r="AZ341" s="184"/>
      <c r="BA341" s="184"/>
      <c r="BB341" s="184"/>
    </row>
    <row r="342" spans="1:54" s="163" customFormat="1" ht="16.5" customHeight="1">
      <c r="A342" s="180"/>
      <c r="B342" s="181"/>
      <c r="C342" s="182"/>
      <c r="D342" s="182"/>
      <c r="E342" s="183"/>
      <c r="F342" s="183"/>
      <c r="G342" s="183"/>
      <c r="H342" s="184"/>
      <c r="I342" s="184"/>
      <c r="J342" s="184"/>
      <c r="K342" s="184"/>
      <c r="L342" s="184"/>
      <c r="M342" s="184"/>
      <c r="N342" s="184"/>
      <c r="O342" s="184"/>
      <c r="Q342" s="184"/>
      <c r="R342" s="185"/>
      <c r="S342" s="185"/>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6"/>
      <c r="AT342" s="187"/>
      <c r="AU342" s="187"/>
      <c r="AV342" s="187"/>
      <c r="AW342" s="224"/>
      <c r="AX342" s="184"/>
      <c r="AY342" s="184"/>
      <c r="AZ342" s="184"/>
      <c r="BA342" s="184"/>
      <c r="BB342" s="184"/>
    </row>
    <row r="343" spans="1:54" s="163" customFormat="1" ht="16.5" customHeight="1">
      <c r="A343" s="180"/>
      <c r="B343" s="181"/>
      <c r="C343" s="182"/>
      <c r="D343" s="182"/>
      <c r="E343" s="183"/>
      <c r="F343" s="183"/>
      <c r="G343" s="183"/>
      <c r="H343" s="184"/>
      <c r="I343" s="184"/>
      <c r="J343" s="184"/>
      <c r="K343" s="184"/>
      <c r="L343" s="184"/>
      <c r="M343" s="184"/>
      <c r="N343" s="184"/>
      <c r="O343" s="184"/>
      <c r="Q343" s="184"/>
      <c r="R343" s="185"/>
      <c r="S343" s="185"/>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6"/>
      <c r="AT343" s="187"/>
      <c r="AU343" s="187"/>
      <c r="AV343" s="187"/>
      <c r="AW343" s="224"/>
      <c r="AX343" s="184"/>
      <c r="AY343" s="184"/>
      <c r="AZ343" s="184"/>
      <c r="BA343" s="184"/>
      <c r="BB343" s="184"/>
    </row>
    <row r="344" spans="1:54" s="163" customFormat="1" ht="16.5" customHeight="1">
      <c r="A344" s="180"/>
      <c r="B344" s="181"/>
      <c r="C344" s="182"/>
      <c r="D344" s="182"/>
      <c r="E344" s="183"/>
      <c r="F344" s="183"/>
      <c r="G344" s="183"/>
      <c r="H344" s="184"/>
      <c r="I344" s="184"/>
      <c r="J344" s="184"/>
      <c r="K344" s="184"/>
      <c r="L344" s="184"/>
      <c r="M344" s="184"/>
      <c r="N344" s="184"/>
      <c r="O344" s="184"/>
      <c r="Q344" s="184"/>
      <c r="R344" s="185"/>
      <c r="S344" s="185"/>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6"/>
      <c r="AT344" s="187"/>
      <c r="AU344" s="187"/>
      <c r="AV344" s="187"/>
      <c r="AW344" s="224"/>
      <c r="AX344" s="184"/>
      <c r="AY344" s="184"/>
      <c r="AZ344" s="184"/>
      <c r="BA344" s="184"/>
      <c r="BB344" s="184"/>
    </row>
    <row r="345" spans="1:54" s="163" customFormat="1" ht="16.5" customHeight="1">
      <c r="A345" s="180"/>
      <c r="B345" s="181"/>
      <c r="C345" s="182"/>
      <c r="D345" s="182"/>
      <c r="E345" s="183"/>
      <c r="F345" s="183"/>
      <c r="G345" s="183"/>
      <c r="H345" s="184"/>
      <c r="I345" s="184"/>
      <c r="J345" s="184"/>
      <c r="K345" s="184"/>
      <c r="L345" s="184"/>
      <c r="M345" s="184"/>
      <c r="N345" s="184"/>
      <c r="O345" s="184"/>
      <c r="Q345" s="184"/>
      <c r="R345" s="185"/>
      <c r="S345" s="185"/>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6"/>
      <c r="AT345" s="187"/>
      <c r="AU345" s="187"/>
      <c r="AV345" s="187"/>
      <c r="AW345" s="224"/>
      <c r="AX345" s="184"/>
      <c r="AY345" s="184"/>
      <c r="AZ345" s="184"/>
      <c r="BA345" s="184"/>
      <c r="BB345" s="184"/>
    </row>
    <row r="346" spans="1:54" s="163" customFormat="1" ht="16.5" customHeight="1">
      <c r="A346" s="180"/>
      <c r="B346" s="181"/>
      <c r="C346" s="182"/>
      <c r="D346" s="182"/>
      <c r="E346" s="183"/>
      <c r="F346" s="183"/>
      <c r="G346" s="183"/>
      <c r="H346" s="184"/>
      <c r="I346" s="184"/>
      <c r="J346" s="184"/>
      <c r="K346" s="184"/>
      <c r="L346" s="184"/>
      <c r="M346" s="184"/>
      <c r="N346" s="184"/>
      <c r="O346" s="184"/>
      <c r="Q346" s="184"/>
      <c r="R346" s="185"/>
      <c r="S346" s="185"/>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6"/>
      <c r="AT346" s="187"/>
      <c r="AU346" s="187"/>
      <c r="AV346" s="187"/>
      <c r="AW346" s="224"/>
      <c r="AX346" s="184"/>
      <c r="AY346" s="184"/>
      <c r="AZ346" s="184"/>
      <c r="BA346" s="184"/>
      <c r="BB346" s="184"/>
    </row>
    <row r="347" spans="1:54" s="163" customFormat="1" ht="16.5" customHeight="1">
      <c r="A347" s="180"/>
      <c r="B347" s="181"/>
      <c r="C347" s="182"/>
      <c r="D347" s="182"/>
      <c r="E347" s="183"/>
      <c r="F347" s="183"/>
      <c r="G347" s="183"/>
      <c r="H347" s="184"/>
      <c r="I347" s="184"/>
      <c r="J347" s="184"/>
      <c r="K347" s="184"/>
      <c r="L347" s="184"/>
      <c r="M347" s="184"/>
      <c r="N347" s="184"/>
      <c r="O347" s="184"/>
      <c r="Q347" s="184"/>
      <c r="R347" s="185"/>
      <c r="S347" s="185"/>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6"/>
      <c r="AT347" s="187"/>
      <c r="AU347" s="187"/>
      <c r="AV347" s="187"/>
      <c r="AW347" s="224"/>
      <c r="AX347" s="184"/>
      <c r="AY347" s="184"/>
      <c r="AZ347" s="184"/>
      <c r="BA347" s="184"/>
      <c r="BB347" s="184"/>
    </row>
    <row r="348" spans="1:54" s="163" customFormat="1" ht="16.5" customHeight="1">
      <c r="A348" s="180"/>
      <c r="B348" s="181"/>
      <c r="C348" s="182"/>
      <c r="D348" s="182"/>
      <c r="E348" s="183"/>
      <c r="F348" s="183"/>
      <c r="G348" s="183"/>
      <c r="H348" s="184"/>
      <c r="I348" s="184"/>
      <c r="J348" s="184"/>
      <c r="K348" s="184"/>
      <c r="L348" s="184"/>
      <c r="M348" s="184"/>
      <c r="N348" s="184"/>
      <c r="O348" s="184"/>
      <c r="Q348" s="184"/>
      <c r="R348" s="185"/>
      <c r="S348" s="185"/>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6"/>
      <c r="AT348" s="187"/>
      <c r="AU348" s="187"/>
      <c r="AV348" s="187"/>
      <c r="AW348" s="224"/>
      <c r="AX348" s="184"/>
      <c r="AY348" s="184"/>
      <c r="AZ348" s="184"/>
      <c r="BA348" s="184"/>
      <c r="BB348" s="184"/>
    </row>
    <row r="349" spans="1:54" s="163" customFormat="1" ht="16.5" customHeight="1">
      <c r="A349" s="180"/>
      <c r="B349" s="181"/>
      <c r="C349" s="182"/>
      <c r="D349" s="182"/>
      <c r="E349" s="183"/>
      <c r="F349" s="183"/>
      <c r="G349" s="183"/>
      <c r="H349" s="184"/>
      <c r="I349" s="184"/>
      <c r="J349" s="184"/>
      <c r="K349" s="184"/>
      <c r="L349" s="184"/>
      <c r="M349" s="184"/>
      <c r="N349" s="184"/>
      <c r="O349" s="184"/>
      <c r="Q349" s="184"/>
      <c r="R349" s="185"/>
      <c r="S349" s="185"/>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6"/>
      <c r="AT349" s="187"/>
      <c r="AU349" s="187"/>
      <c r="AV349" s="187"/>
      <c r="AW349" s="224"/>
      <c r="AX349" s="184"/>
      <c r="AY349" s="184"/>
      <c r="AZ349" s="184"/>
      <c r="BA349" s="184"/>
      <c r="BB349" s="184"/>
    </row>
    <row r="350" spans="1:54" s="163" customFormat="1" ht="16.5" customHeight="1">
      <c r="A350" s="180"/>
      <c r="B350" s="181"/>
      <c r="C350" s="182"/>
      <c r="D350" s="182"/>
      <c r="E350" s="183"/>
      <c r="F350" s="183"/>
      <c r="G350" s="183"/>
      <c r="H350" s="184"/>
      <c r="I350" s="184"/>
      <c r="J350" s="184"/>
      <c r="K350" s="184"/>
      <c r="L350" s="184"/>
      <c r="M350" s="184"/>
      <c r="N350" s="184"/>
      <c r="O350" s="184"/>
      <c r="Q350" s="184"/>
      <c r="R350" s="185"/>
      <c r="S350" s="185"/>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6"/>
      <c r="AT350" s="187"/>
      <c r="AU350" s="187"/>
      <c r="AV350" s="187"/>
      <c r="AW350" s="224"/>
      <c r="AX350" s="184"/>
      <c r="AY350" s="184"/>
      <c r="AZ350" s="184"/>
      <c r="BA350" s="184"/>
      <c r="BB350" s="184"/>
    </row>
    <row r="351" spans="1:54" s="163" customFormat="1" ht="16.5" customHeight="1">
      <c r="A351" s="180"/>
      <c r="B351" s="181"/>
      <c r="C351" s="182"/>
      <c r="D351" s="182"/>
      <c r="E351" s="183"/>
      <c r="F351" s="183"/>
      <c r="G351" s="183"/>
      <c r="H351" s="184"/>
      <c r="I351" s="184"/>
      <c r="J351" s="184"/>
      <c r="K351" s="184"/>
      <c r="L351" s="184"/>
      <c r="M351" s="184"/>
      <c r="N351" s="184"/>
      <c r="O351" s="184"/>
      <c r="Q351" s="184"/>
      <c r="R351" s="185"/>
      <c r="S351" s="185"/>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6"/>
      <c r="AT351" s="187"/>
      <c r="AU351" s="187"/>
      <c r="AV351" s="187"/>
      <c r="AW351" s="224"/>
      <c r="AX351" s="184"/>
      <c r="AY351" s="184"/>
      <c r="AZ351" s="184"/>
      <c r="BA351" s="184"/>
      <c r="BB351" s="184"/>
    </row>
    <row r="352" spans="1:54" s="163" customFormat="1" ht="16.5" customHeight="1">
      <c r="A352" s="180"/>
      <c r="B352" s="181"/>
      <c r="C352" s="182"/>
      <c r="D352" s="182"/>
      <c r="E352" s="183"/>
      <c r="F352" s="183"/>
      <c r="G352" s="183"/>
      <c r="H352" s="184"/>
      <c r="I352" s="184"/>
      <c r="J352" s="184"/>
      <c r="K352" s="184"/>
      <c r="L352" s="184"/>
      <c r="M352" s="184"/>
      <c r="N352" s="184"/>
      <c r="O352" s="184"/>
      <c r="Q352" s="184"/>
      <c r="R352" s="185"/>
      <c r="S352" s="185"/>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6"/>
      <c r="AT352" s="187"/>
      <c r="AU352" s="187"/>
      <c r="AV352" s="187"/>
      <c r="AW352" s="224"/>
      <c r="AX352" s="184"/>
      <c r="AY352" s="184"/>
      <c r="AZ352" s="184"/>
      <c r="BA352" s="184"/>
      <c r="BB352" s="184"/>
    </row>
    <row r="353" spans="1:54" s="163" customFormat="1" ht="16.5" customHeight="1">
      <c r="A353" s="180"/>
      <c r="B353" s="181"/>
      <c r="C353" s="182"/>
      <c r="D353" s="182"/>
      <c r="E353" s="183"/>
      <c r="F353" s="183"/>
      <c r="G353" s="183"/>
      <c r="H353" s="184"/>
      <c r="I353" s="184"/>
      <c r="J353" s="184"/>
      <c r="K353" s="184"/>
      <c r="L353" s="184"/>
      <c r="M353" s="184"/>
      <c r="N353" s="184"/>
      <c r="O353" s="184"/>
      <c r="Q353" s="184"/>
      <c r="R353" s="185"/>
      <c r="S353" s="185"/>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6"/>
      <c r="AT353" s="187"/>
      <c r="AU353" s="187"/>
      <c r="AV353" s="187"/>
      <c r="AW353" s="224"/>
      <c r="AX353" s="184"/>
      <c r="AY353" s="184"/>
      <c r="AZ353" s="184"/>
      <c r="BA353" s="184"/>
      <c r="BB353" s="184"/>
    </row>
    <row r="354" spans="1:54" s="163" customFormat="1" ht="16.5" customHeight="1">
      <c r="A354" s="180"/>
      <c r="B354" s="181"/>
      <c r="C354" s="182"/>
      <c r="D354" s="182"/>
      <c r="E354" s="183"/>
      <c r="F354" s="183"/>
      <c r="G354" s="183"/>
      <c r="H354" s="184"/>
      <c r="I354" s="184"/>
      <c r="J354" s="184"/>
      <c r="K354" s="184"/>
      <c r="L354" s="184"/>
      <c r="M354" s="184"/>
      <c r="N354" s="184"/>
      <c r="O354" s="184"/>
      <c r="Q354" s="184"/>
      <c r="R354" s="185"/>
      <c r="S354" s="185"/>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6"/>
      <c r="AT354" s="187"/>
      <c r="AU354" s="187"/>
      <c r="AV354" s="187"/>
      <c r="AW354" s="224"/>
      <c r="AX354" s="184"/>
      <c r="AY354" s="184"/>
      <c r="AZ354" s="184"/>
      <c r="BA354" s="184"/>
      <c r="BB354" s="184"/>
    </row>
    <row r="355" spans="1:54" s="163" customFormat="1" ht="16.5" customHeight="1">
      <c r="A355" s="180"/>
      <c r="B355" s="181"/>
      <c r="C355" s="182"/>
      <c r="D355" s="182"/>
      <c r="E355" s="183"/>
      <c r="F355" s="183"/>
      <c r="G355" s="183"/>
      <c r="H355" s="184"/>
      <c r="I355" s="184"/>
      <c r="J355" s="184"/>
      <c r="K355" s="184"/>
      <c r="L355" s="184"/>
      <c r="M355" s="184"/>
      <c r="N355" s="184"/>
      <c r="O355" s="184"/>
      <c r="Q355" s="184"/>
      <c r="R355" s="185"/>
      <c r="S355" s="185"/>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6"/>
      <c r="AT355" s="187"/>
      <c r="AU355" s="187"/>
      <c r="AV355" s="187"/>
      <c r="AW355" s="224"/>
      <c r="AX355" s="184"/>
      <c r="AY355" s="184"/>
      <c r="AZ355" s="184"/>
      <c r="BA355" s="184"/>
      <c r="BB355" s="184"/>
    </row>
    <row r="356" spans="1:54" s="163" customFormat="1" ht="16.5" customHeight="1">
      <c r="A356" s="180"/>
      <c r="B356" s="181"/>
      <c r="C356" s="182"/>
      <c r="D356" s="182"/>
      <c r="E356" s="183"/>
      <c r="F356" s="183"/>
      <c r="G356" s="183"/>
      <c r="H356" s="184"/>
      <c r="I356" s="184"/>
      <c r="J356" s="184"/>
      <c r="K356" s="184"/>
      <c r="L356" s="184"/>
      <c r="M356" s="184"/>
      <c r="N356" s="184"/>
      <c r="O356" s="184"/>
      <c r="Q356" s="184"/>
      <c r="R356" s="185"/>
      <c r="S356" s="185"/>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6"/>
      <c r="AT356" s="187"/>
      <c r="AU356" s="187"/>
      <c r="AV356" s="187"/>
      <c r="AW356" s="224"/>
      <c r="AX356" s="184"/>
      <c r="AY356" s="184"/>
      <c r="AZ356" s="184"/>
      <c r="BA356" s="184"/>
      <c r="BB356" s="184"/>
    </row>
    <row r="357" spans="1:54" s="163" customFormat="1" ht="16.5" customHeight="1">
      <c r="A357" s="180"/>
      <c r="B357" s="181"/>
      <c r="C357" s="182"/>
      <c r="D357" s="182"/>
      <c r="E357" s="183"/>
      <c r="F357" s="183"/>
      <c r="G357" s="183"/>
      <c r="H357" s="184"/>
      <c r="I357" s="184"/>
      <c r="J357" s="184"/>
      <c r="K357" s="184"/>
      <c r="L357" s="184"/>
      <c r="M357" s="184"/>
      <c r="N357" s="184"/>
      <c r="O357" s="184"/>
      <c r="Q357" s="184"/>
      <c r="R357" s="185"/>
      <c r="S357" s="185"/>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6"/>
      <c r="AT357" s="187"/>
      <c r="AU357" s="187"/>
      <c r="AV357" s="187"/>
      <c r="AW357" s="224"/>
      <c r="AX357" s="184"/>
      <c r="AY357" s="184"/>
      <c r="AZ357" s="184"/>
      <c r="BA357" s="184"/>
      <c r="BB357" s="184"/>
    </row>
    <row r="358" spans="1:54" s="163" customFormat="1" ht="16.5" customHeight="1">
      <c r="A358" s="180"/>
      <c r="B358" s="181"/>
      <c r="C358" s="182"/>
      <c r="D358" s="182"/>
      <c r="E358" s="183"/>
      <c r="F358" s="183"/>
      <c r="G358" s="183"/>
      <c r="H358" s="184"/>
      <c r="I358" s="184"/>
      <c r="J358" s="184"/>
      <c r="K358" s="184"/>
      <c r="L358" s="184"/>
      <c r="M358" s="184"/>
      <c r="N358" s="184"/>
      <c r="O358" s="184"/>
      <c r="Q358" s="184"/>
      <c r="R358" s="185"/>
      <c r="S358" s="185"/>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6"/>
      <c r="AT358" s="187"/>
      <c r="AU358" s="187"/>
      <c r="AV358" s="187"/>
      <c r="AW358" s="224"/>
      <c r="AX358" s="184"/>
      <c r="AY358" s="184"/>
      <c r="AZ358" s="184"/>
      <c r="BA358" s="184"/>
      <c r="BB358" s="184"/>
    </row>
    <row r="359" spans="1:54" s="163" customFormat="1" ht="16.5" customHeight="1">
      <c r="A359" s="180"/>
      <c r="B359" s="181"/>
      <c r="C359" s="182"/>
      <c r="D359" s="182"/>
      <c r="E359" s="183"/>
      <c r="F359" s="183"/>
      <c r="G359" s="183"/>
      <c r="H359" s="184"/>
      <c r="I359" s="184"/>
      <c r="J359" s="184"/>
      <c r="K359" s="184"/>
      <c r="L359" s="184"/>
      <c r="M359" s="184"/>
      <c r="N359" s="184"/>
      <c r="O359" s="184"/>
      <c r="Q359" s="184"/>
      <c r="R359" s="185"/>
      <c r="S359" s="185"/>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6"/>
      <c r="AT359" s="187"/>
      <c r="AU359" s="187"/>
      <c r="AV359" s="187"/>
      <c r="AW359" s="224"/>
      <c r="AX359" s="184"/>
      <c r="AY359" s="184"/>
      <c r="AZ359" s="184"/>
      <c r="BA359" s="184"/>
      <c r="BB359" s="184"/>
    </row>
    <row r="360" spans="1:54" s="163" customFormat="1" ht="16.5" customHeight="1">
      <c r="A360" s="180"/>
      <c r="B360" s="181"/>
      <c r="C360" s="182"/>
      <c r="D360" s="182"/>
      <c r="E360" s="183"/>
      <c r="F360" s="183"/>
      <c r="G360" s="183"/>
      <c r="H360" s="184"/>
      <c r="I360" s="184"/>
      <c r="J360" s="184"/>
      <c r="K360" s="184"/>
      <c r="L360" s="184"/>
      <c r="M360" s="184"/>
      <c r="N360" s="184"/>
      <c r="O360" s="184"/>
      <c r="Q360" s="184"/>
      <c r="R360" s="185"/>
      <c r="S360" s="185"/>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6"/>
      <c r="AT360" s="187"/>
      <c r="AU360" s="187"/>
      <c r="AV360" s="187"/>
      <c r="AW360" s="224"/>
      <c r="AX360" s="184"/>
      <c r="AY360" s="184"/>
      <c r="AZ360" s="184"/>
      <c r="BA360" s="184"/>
      <c r="BB360" s="184"/>
    </row>
    <row r="361" spans="1:54" s="163" customFormat="1" ht="16.5" customHeight="1">
      <c r="A361" s="180"/>
      <c r="B361" s="181"/>
      <c r="C361" s="182"/>
      <c r="D361" s="182"/>
      <c r="E361" s="183"/>
      <c r="F361" s="183"/>
      <c r="G361" s="183"/>
      <c r="H361" s="184"/>
      <c r="I361" s="184"/>
      <c r="J361" s="184"/>
      <c r="K361" s="184"/>
      <c r="L361" s="184"/>
      <c r="M361" s="184"/>
      <c r="N361" s="184"/>
      <c r="O361" s="184"/>
      <c r="Q361" s="184"/>
      <c r="R361" s="185"/>
      <c r="S361" s="185"/>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6"/>
      <c r="AT361" s="187"/>
      <c r="AU361" s="187"/>
      <c r="AV361" s="187"/>
      <c r="AW361" s="224"/>
      <c r="AX361" s="184"/>
      <c r="AY361" s="184"/>
      <c r="AZ361" s="184"/>
      <c r="BA361" s="184"/>
      <c r="BB361" s="184"/>
    </row>
    <row r="362" spans="1:54" s="163" customFormat="1" ht="16.5" customHeight="1">
      <c r="A362" s="180"/>
      <c r="B362" s="181"/>
      <c r="C362" s="182"/>
      <c r="D362" s="182"/>
      <c r="E362" s="183"/>
      <c r="F362" s="183"/>
      <c r="G362" s="183"/>
      <c r="H362" s="184"/>
      <c r="I362" s="184"/>
      <c r="J362" s="184"/>
      <c r="K362" s="184"/>
      <c r="L362" s="184"/>
      <c r="M362" s="184"/>
      <c r="N362" s="184"/>
      <c r="O362" s="184"/>
      <c r="Q362" s="184"/>
      <c r="R362" s="185"/>
      <c r="S362" s="185"/>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6"/>
      <c r="AT362" s="187"/>
      <c r="AU362" s="187"/>
      <c r="AV362" s="187"/>
      <c r="AW362" s="224"/>
      <c r="AX362" s="184"/>
      <c r="AY362" s="184"/>
      <c r="AZ362" s="184"/>
      <c r="BA362" s="184"/>
      <c r="BB362" s="184"/>
    </row>
    <row r="363" spans="1:54" s="163" customFormat="1" ht="16.5" customHeight="1">
      <c r="A363" s="180"/>
      <c r="B363" s="181"/>
      <c r="C363" s="182"/>
      <c r="D363" s="182"/>
      <c r="E363" s="183"/>
      <c r="F363" s="183"/>
      <c r="G363" s="183"/>
      <c r="H363" s="184"/>
      <c r="I363" s="184"/>
      <c r="J363" s="184"/>
      <c r="K363" s="184"/>
      <c r="L363" s="184"/>
      <c r="M363" s="184"/>
      <c r="N363" s="184"/>
      <c r="O363" s="184"/>
      <c r="Q363" s="184"/>
      <c r="R363" s="185"/>
      <c r="S363" s="185"/>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6"/>
      <c r="AT363" s="187"/>
      <c r="AU363" s="187"/>
      <c r="AV363" s="187"/>
      <c r="AW363" s="224"/>
      <c r="AX363" s="184"/>
      <c r="AY363" s="184"/>
      <c r="AZ363" s="184"/>
      <c r="BA363" s="184"/>
      <c r="BB363" s="184"/>
    </row>
    <row r="364" spans="1:54" s="163" customFormat="1" ht="16.5" customHeight="1">
      <c r="A364" s="180"/>
      <c r="B364" s="181"/>
      <c r="C364" s="182"/>
      <c r="D364" s="182"/>
      <c r="E364" s="183"/>
      <c r="F364" s="183"/>
      <c r="G364" s="183"/>
      <c r="H364" s="184"/>
      <c r="I364" s="184"/>
      <c r="J364" s="184"/>
      <c r="K364" s="184"/>
      <c r="L364" s="184"/>
      <c r="M364" s="184"/>
      <c r="N364" s="184"/>
      <c r="O364" s="184"/>
      <c r="Q364" s="184"/>
      <c r="R364" s="185"/>
      <c r="S364" s="185"/>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6"/>
      <c r="AT364" s="187"/>
      <c r="AU364" s="187"/>
      <c r="AV364" s="187"/>
      <c r="AW364" s="224"/>
      <c r="AX364" s="184"/>
      <c r="AY364" s="184"/>
      <c r="AZ364" s="184"/>
      <c r="BA364" s="184"/>
      <c r="BB364" s="184"/>
    </row>
    <row r="365" spans="1:54" s="163" customFormat="1" ht="16.5" customHeight="1">
      <c r="A365" s="180"/>
      <c r="B365" s="181"/>
      <c r="C365" s="182"/>
      <c r="D365" s="182"/>
      <c r="E365" s="183"/>
      <c r="F365" s="183"/>
      <c r="G365" s="183"/>
      <c r="H365" s="184"/>
      <c r="I365" s="184"/>
      <c r="J365" s="184"/>
      <c r="K365" s="184"/>
      <c r="L365" s="184"/>
      <c r="M365" s="184"/>
      <c r="N365" s="184"/>
      <c r="O365" s="184"/>
      <c r="Q365" s="184"/>
      <c r="R365" s="185"/>
      <c r="S365" s="185"/>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6"/>
      <c r="AT365" s="187"/>
      <c r="AU365" s="187"/>
      <c r="AV365" s="187"/>
      <c r="AW365" s="224"/>
      <c r="AX365" s="184"/>
      <c r="AY365" s="184"/>
      <c r="AZ365" s="184"/>
      <c r="BA365" s="184"/>
      <c r="BB365" s="184"/>
    </row>
    <row r="366" spans="1:54" s="163" customFormat="1" ht="16.5" customHeight="1">
      <c r="A366" s="180"/>
      <c r="B366" s="181"/>
      <c r="C366" s="182"/>
      <c r="D366" s="182"/>
      <c r="E366" s="183"/>
      <c r="F366" s="183"/>
      <c r="G366" s="183"/>
      <c r="H366" s="184"/>
      <c r="I366" s="184"/>
      <c r="J366" s="184"/>
      <c r="K366" s="184"/>
      <c r="L366" s="184"/>
      <c r="M366" s="184"/>
      <c r="N366" s="184"/>
      <c r="O366" s="184"/>
      <c r="Q366" s="184"/>
      <c r="R366" s="185"/>
      <c r="S366" s="185"/>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6"/>
      <c r="AT366" s="187"/>
      <c r="AU366" s="187"/>
      <c r="AV366" s="187"/>
      <c r="AW366" s="224"/>
      <c r="AX366" s="184"/>
      <c r="AY366" s="184"/>
      <c r="AZ366" s="184"/>
      <c r="BA366" s="184"/>
      <c r="BB366" s="184"/>
    </row>
    <row r="367" spans="1:54" s="163" customFormat="1" ht="16.5" customHeight="1">
      <c r="A367" s="180"/>
      <c r="B367" s="181"/>
      <c r="C367" s="182"/>
      <c r="D367" s="182"/>
      <c r="E367" s="183"/>
      <c r="F367" s="183"/>
      <c r="G367" s="183"/>
      <c r="H367" s="184"/>
      <c r="I367" s="184"/>
      <c r="J367" s="184"/>
      <c r="K367" s="184"/>
      <c r="L367" s="184"/>
      <c r="M367" s="184"/>
      <c r="N367" s="184"/>
      <c r="O367" s="184"/>
      <c r="Q367" s="184"/>
      <c r="R367" s="185"/>
      <c r="S367" s="185"/>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6"/>
      <c r="AT367" s="187"/>
      <c r="AU367" s="187"/>
      <c r="AV367" s="187"/>
      <c r="AW367" s="224"/>
      <c r="AX367" s="184"/>
      <c r="AY367" s="184"/>
      <c r="AZ367" s="184"/>
      <c r="BA367" s="184"/>
      <c r="BB367" s="184"/>
    </row>
    <row r="368" spans="1:54" s="163" customFormat="1" ht="16.5" customHeight="1">
      <c r="A368" s="180"/>
      <c r="B368" s="181"/>
      <c r="C368" s="182"/>
      <c r="D368" s="182"/>
      <c r="E368" s="183"/>
      <c r="F368" s="183"/>
      <c r="G368" s="183"/>
      <c r="H368" s="184"/>
      <c r="I368" s="184"/>
      <c r="J368" s="184"/>
      <c r="K368" s="184"/>
      <c r="L368" s="184"/>
      <c r="M368" s="184"/>
      <c r="N368" s="184"/>
      <c r="O368" s="184"/>
      <c r="Q368" s="184"/>
      <c r="R368" s="185"/>
      <c r="S368" s="185"/>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6"/>
      <c r="AT368" s="187"/>
      <c r="AU368" s="187"/>
      <c r="AV368" s="187"/>
      <c r="AW368" s="224"/>
      <c r="AX368" s="184"/>
      <c r="AY368" s="184"/>
      <c r="AZ368" s="184"/>
      <c r="BA368" s="184"/>
      <c r="BB368" s="184"/>
    </row>
    <row r="369" spans="1:54" s="163" customFormat="1" ht="16.5" customHeight="1">
      <c r="A369" s="180"/>
      <c r="B369" s="181"/>
      <c r="C369" s="182"/>
      <c r="D369" s="182"/>
      <c r="E369" s="183"/>
      <c r="F369" s="183"/>
      <c r="G369" s="183"/>
      <c r="H369" s="184"/>
      <c r="I369" s="184"/>
      <c r="J369" s="184"/>
      <c r="K369" s="184"/>
      <c r="L369" s="184"/>
      <c r="M369" s="184"/>
      <c r="N369" s="184"/>
      <c r="O369" s="184"/>
      <c r="Q369" s="184"/>
      <c r="R369" s="185"/>
      <c r="S369" s="185"/>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6"/>
      <c r="AT369" s="187"/>
      <c r="AU369" s="187"/>
      <c r="AV369" s="187"/>
      <c r="AW369" s="224"/>
      <c r="AX369" s="184"/>
      <c r="AY369" s="184"/>
      <c r="AZ369" s="184"/>
      <c r="BA369" s="184"/>
      <c r="BB369" s="184"/>
    </row>
    <row r="370" spans="1:54" s="163" customFormat="1" ht="16.5" customHeight="1">
      <c r="A370" s="180"/>
      <c r="B370" s="181"/>
      <c r="C370" s="182"/>
      <c r="D370" s="182"/>
      <c r="E370" s="183"/>
      <c r="F370" s="183"/>
      <c r="G370" s="183"/>
      <c r="H370" s="184"/>
      <c r="I370" s="184"/>
      <c r="J370" s="184"/>
      <c r="K370" s="184"/>
      <c r="L370" s="184"/>
      <c r="M370" s="184"/>
      <c r="N370" s="184"/>
      <c r="O370" s="184"/>
      <c r="Q370" s="184"/>
      <c r="R370" s="185"/>
      <c r="S370" s="185"/>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6"/>
      <c r="AT370" s="187"/>
      <c r="AU370" s="187"/>
      <c r="AV370" s="187"/>
      <c r="AW370" s="224"/>
      <c r="AX370" s="184"/>
      <c r="AY370" s="184"/>
      <c r="AZ370" s="184"/>
      <c r="BA370" s="184"/>
      <c r="BB370" s="184"/>
    </row>
    <row r="371" spans="1:54" s="163" customFormat="1" ht="16.5" customHeight="1">
      <c r="A371" s="180"/>
      <c r="B371" s="181"/>
      <c r="C371" s="182"/>
      <c r="D371" s="182"/>
      <c r="E371" s="183"/>
      <c r="F371" s="183"/>
      <c r="G371" s="183"/>
      <c r="H371" s="184"/>
      <c r="I371" s="184"/>
      <c r="J371" s="184"/>
      <c r="K371" s="184"/>
      <c r="L371" s="184"/>
      <c r="M371" s="184"/>
      <c r="N371" s="184"/>
      <c r="O371" s="184"/>
      <c r="Q371" s="184"/>
      <c r="R371" s="185"/>
      <c r="S371" s="185"/>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6"/>
      <c r="AT371" s="187"/>
      <c r="AU371" s="187"/>
      <c r="AV371" s="187"/>
      <c r="AW371" s="224"/>
      <c r="AX371" s="184"/>
      <c r="AY371" s="184"/>
      <c r="AZ371" s="184"/>
      <c r="BA371" s="184"/>
      <c r="BB371" s="184"/>
    </row>
    <row r="372" spans="1:54" s="163" customFormat="1" ht="16.5" customHeight="1">
      <c r="A372" s="180"/>
      <c r="B372" s="181"/>
      <c r="C372" s="182"/>
      <c r="D372" s="182"/>
      <c r="E372" s="183"/>
      <c r="F372" s="183"/>
      <c r="G372" s="183"/>
      <c r="H372" s="184"/>
      <c r="I372" s="184"/>
      <c r="J372" s="184"/>
      <c r="K372" s="184"/>
      <c r="L372" s="184"/>
      <c r="M372" s="184"/>
      <c r="N372" s="184"/>
      <c r="O372" s="184"/>
      <c r="Q372" s="184"/>
      <c r="R372" s="185"/>
      <c r="S372" s="185"/>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6"/>
      <c r="AT372" s="187"/>
      <c r="AU372" s="187"/>
      <c r="AV372" s="187"/>
      <c r="AW372" s="224"/>
      <c r="AX372" s="184"/>
      <c r="AY372" s="184"/>
      <c r="AZ372" s="184"/>
      <c r="BA372" s="184"/>
      <c r="BB372" s="184"/>
    </row>
    <row r="373" spans="1:54" s="163" customFormat="1" ht="16.5" customHeight="1">
      <c r="A373" s="180"/>
      <c r="B373" s="181"/>
      <c r="C373" s="182"/>
      <c r="D373" s="182"/>
      <c r="E373" s="183"/>
      <c r="F373" s="183"/>
      <c r="G373" s="183"/>
      <c r="H373" s="184"/>
      <c r="I373" s="184"/>
      <c r="J373" s="184"/>
      <c r="K373" s="184"/>
      <c r="L373" s="184"/>
      <c r="M373" s="184"/>
      <c r="N373" s="184"/>
      <c r="O373" s="184"/>
      <c r="Q373" s="184"/>
      <c r="R373" s="185"/>
      <c r="S373" s="185"/>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6"/>
      <c r="AT373" s="187"/>
      <c r="AU373" s="187"/>
      <c r="AV373" s="187"/>
      <c r="AW373" s="224"/>
      <c r="AX373" s="184"/>
      <c r="AY373" s="184"/>
      <c r="AZ373" s="184"/>
      <c r="BA373" s="184"/>
      <c r="BB373" s="184"/>
    </row>
    <row r="374" spans="1:54" s="163" customFormat="1" ht="16.5" customHeight="1">
      <c r="A374" s="180"/>
      <c r="B374" s="181"/>
      <c r="C374" s="182"/>
      <c r="D374" s="182"/>
      <c r="E374" s="183"/>
      <c r="F374" s="183"/>
      <c r="G374" s="183"/>
      <c r="H374" s="184"/>
      <c r="I374" s="184"/>
      <c r="J374" s="184"/>
      <c r="K374" s="184"/>
      <c r="L374" s="184"/>
      <c r="M374" s="184"/>
      <c r="N374" s="184"/>
      <c r="O374" s="184"/>
      <c r="Q374" s="184"/>
      <c r="R374" s="185"/>
      <c r="S374" s="185"/>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6"/>
      <c r="AT374" s="187"/>
      <c r="AU374" s="187"/>
      <c r="AV374" s="187"/>
      <c r="AW374" s="224"/>
      <c r="AX374" s="184"/>
      <c r="AY374" s="184"/>
      <c r="AZ374" s="184"/>
      <c r="BA374" s="184"/>
      <c r="BB374" s="184"/>
    </row>
    <row r="375" spans="1:54" s="163" customFormat="1" ht="16.5" customHeight="1">
      <c r="A375" s="180"/>
      <c r="B375" s="181"/>
      <c r="C375" s="182"/>
      <c r="D375" s="182"/>
      <c r="E375" s="183"/>
      <c r="F375" s="183"/>
      <c r="G375" s="183"/>
      <c r="H375" s="184"/>
      <c r="I375" s="184"/>
      <c r="J375" s="184"/>
      <c r="K375" s="184"/>
      <c r="L375" s="184"/>
      <c r="M375" s="184"/>
      <c r="N375" s="184"/>
      <c r="O375" s="184"/>
      <c r="Q375" s="184"/>
      <c r="R375" s="185"/>
      <c r="S375" s="185"/>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6"/>
      <c r="AT375" s="187"/>
      <c r="AU375" s="187"/>
      <c r="AV375" s="187"/>
      <c r="AW375" s="224"/>
      <c r="AX375" s="184"/>
      <c r="AY375" s="184"/>
      <c r="AZ375" s="184"/>
      <c r="BA375" s="184"/>
      <c r="BB375" s="184"/>
    </row>
    <row r="376" spans="1:54" s="163" customFormat="1" ht="16.5" customHeight="1">
      <c r="A376" s="180"/>
      <c r="B376" s="181"/>
      <c r="C376" s="182"/>
      <c r="D376" s="182"/>
      <c r="E376" s="183"/>
      <c r="F376" s="183"/>
      <c r="G376" s="183"/>
      <c r="H376" s="184"/>
      <c r="I376" s="184"/>
      <c r="J376" s="184"/>
      <c r="K376" s="184"/>
      <c r="L376" s="184"/>
      <c r="M376" s="184"/>
      <c r="N376" s="184"/>
      <c r="O376" s="184"/>
      <c r="Q376" s="184"/>
      <c r="R376" s="185"/>
      <c r="S376" s="185"/>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6"/>
      <c r="AT376" s="187"/>
      <c r="AU376" s="187"/>
      <c r="AV376" s="187"/>
      <c r="AW376" s="224"/>
      <c r="AX376" s="184"/>
      <c r="AY376" s="184"/>
      <c r="AZ376" s="184"/>
      <c r="BA376" s="184"/>
      <c r="BB376" s="184"/>
    </row>
    <row r="377" spans="1:54" s="163" customFormat="1" ht="16.5" customHeight="1">
      <c r="A377" s="180"/>
      <c r="B377" s="181"/>
      <c r="C377" s="182"/>
      <c r="D377" s="182"/>
      <c r="E377" s="183"/>
      <c r="F377" s="183"/>
      <c r="G377" s="183"/>
      <c r="H377" s="184"/>
      <c r="I377" s="184"/>
      <c r="J377" s="184"/>
      <c r="K377" s="184"/>
      <c r="L377" s="184"/>
      <c r="M377" s="184"/>
      <c r="N377" s="184"/>
      <c r="O377" s="184"/>
      <c r="Q377" s="184"/>
      <c r="R377" s="185"/>
      <c r="S377" s="185"/>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6"/>
      <c r="AT377" s="187"/>
      <c r="AU377" s="187"/>
      <c r="AV377" s="187"/>
      <c r="AW377" s="224"/>
      <c r="AX377" s="184"/>
      <c r="AY377" s="184"/>
      <c r="AZ377" s="184"/>
      <c r="BA377" s="184"/>
      <c r="BB377" s="184"/>
    </row>
    <row r="378" spans="1:54" s="163" customFormat="1" ht="16.5" customHeight="1">
      <c r="A378" s="180"/>
      <c r="B378" s="181"/>
      <c r="C378" s="182"/>
      <c r="D378" s="182"/>
      <c r="E378" s="183"/>
      <c r="F378" s="183"/>
      <c r="G378" s="183"/>
      <c r="H378" s="184"/>
      <c r="I378" s="184"/>
      <c r="J378" s="184"/>
      <c r="K378" s="184"/>
      <c r="L378" s="184"/>
      <c r="M378" s="184"/>
      <c r="N378" s="184"/>
      <c r="O378" s="184"/>
      <c r="Q378" s="184"/>
      <c r="R378" s="185"/>
      <c r="S378" s="185"/>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6"/>
      <c r="AT378" s="187"/>
      <c r="AU378" s="187"/>
      <c r="AV378" s="187"/>
      <c r="AW378" s="224"/>
      <c r="AX378" s="184"/>
      <c r="AY378" s="184"/>
      <c r="AZ378" s="184"/>
      <c r="BA378" s="184"/>
      <c r="BB378" s="184"/>
    </row>
    <row r="379" spans="1:54" s="163" customFormat="1" ht="16.5" customHeight="1">
      <c r="A379" s="180"/>
      <c r="B379" s="181"/>
      <c r="C379" s="182"/>
      <c r="D379" s="182"/>
      <c r="E379" s="183"/>
      <c r="F379" s="183"/>
      <c r="G379" s="183"/>
      <c r="H379" s="184"/>
      <c r="I379" s="184"/>
      <c r="J379" s="184"/>
      <c r="K379" s="184"/>
      <c r="L379" s="184"/>
      <c r="M379" s="184"/>
      <c r="N379" s="184"/>
      <c r="O379" s="184"/>
      <c r="Q379" s="184"/>
      <c r="R379" s="185"/>
      <c r="S379" s="185"/>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6"/>
      <c r="AT379" s="187"/>
      <c r="AU379" s="187"/>
      <c r="AV379" s="187"/>
      <c r="AW379" s="224"/>
      <c r="AX379" s="184"/>
      <c r="AY379" s="184"/>
      <c r="AZ379" s="184"/>
      <c r="BA379" s="184"/>
      <c r="BB379" s="184"/>
    </row>
    <row r="380" spans="1:54" s="163" customFormat="1" ht="16.5" customHeight="1">
      <c r="A380" s="180"/>
      <c r="B380" s="181"/>
      <c r="C380" s="182"/>
      <c r="D380" s="182"/>
      <c r="E380" s="183"/>
      <c r="F380" s="183"/>
      <c r="G380" s="183"/>
      <c r="H380" s="184"/>
      <c r="I380" s="184"/>
      <c r="J380" s="184"/>
      <c r="K380" s="184"/>
      <c r="L380" s="184"/>
      <c r="M380" s="184"/>
      <c r="N380" s="184"/>
      <c r="O380" s="184"/>
      <c r="Q380" s="184"/>
      <c r="R380" s="185"/>
      <c r="S380" s="185"/>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6"/>
      <c r="AT380" s="187"/>
      <c r="AU380" s="187"/>
      <c r="AV380" s="187"/>
      <c r="AW380" s="224"/>
      <c r="AX380" s="184"/>
      <c r="AY380" s="184"/>
      <c r="AZ380" s="184"/>
      <c r="BA380" s="184"/>
      <c r="BB380" s="184"/>
    </row>
    <row r="381" spans="1:54" s="163" customFormat="1" ht="16.5" customHeight="1">
      <c r="A381" s="180"/>
      <c r="B381" s="181"/>
      <c r="C381" s="182"/>
      <c r="D381" s="182"/>
      <c r="E381" s="183"/>
      <c r="F381" s="183"/>
      <c r="G381" s="183"/>
      <c r="H381" s="184"/>
      <c r="I381" s="184"/>
      <c r="J381" s="184"/>
      <c r="K381" s="184"/>
      <c r="L381" s="184"/>
      <c r="M381" s="184"/>
      <c r="N381" s="184"/>
      <c r="O381" s="184"/>
      <c r="Q381" s="184"/>
      <c r="R381" s="185"/>
      <c r="S381" s="185"/>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6"/>
      <c r="AT381" s="187"/>
      <c r="AU381" s="187"/>
      <c r="AV381" s="187"/>
      <c r="AW381" s="224"/>
      <c r="AX381" s="184"/>
      <c r="AY381" s="184"/>
      <c r="AZ381" s="184"/>
      <c r="BA381" s="184"/>
      <c r="BB381" s="184"/>
    </row>
    <row r="382" spans="1:54" s="163" customFormat="1" ht="16.5" customHeight="1">
      <c r="A382" s="180"/>
      <c r="B382" s="181"/>
      <c r="C382" s="182"/>
      <c r="D382" s="182"/>
      <c r="E382" s="183"/>
      <c r="F382" s="183"/>
      <c r="G382" s="183"/>
      <c r="H382" s="184"/>
      <c r="I382" s="184"/>
      <c r="J382" s="184"/>
      <c r="K382" s="184"/>
      <c r="L382" s="184"/>
      <c r="M382" s="184"/>
      <c r="N382" s="184"/>
      <c r="O382" s="184"/>
      <c r="Q382" s="184"/>
      <c r="R382" s="185"/>
      <c r="S382" s="185"/>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6"/>
      <c r="AT382" s="187"/>
      <c r="AU382" s="187"/>
      <c r="AV382" s="187"/>
      <c r="AW382" s="224"/>
      <c r="AX382" s="184"/>
      <c r="AY382" s="184"/>
      <c r="AZ382" s="184"/>
      <c r="BA382" s="184"/>
      <c r="BB382" s="184"/>
    </row>
    <row r="383" spans="1:54" s="163" customFormat="1" ht="16.5" customHeight="1">
      <c r="A383" s="180"/>
      <c r="B383" s="181"/>
      <c r="C383" s="182"/>
      <c r="D383" s="182"/>
      <c r="E383" s="183"/>
      <c r="F383" s="183"/>
      <c r="G383" s="183"/>
      <c r="H383" s="184"/>
      <c r="I383" s="184"/>
      <c r="J383" s="184"/>
      <c r="K383" s="184"/>
      <c r="L383" s="184"/>
      <c r="M383" s="184"/>
      <c r="N383" s="184"/>
      <c r="O383" s="184"/>
      <c r="Q383" s="184"/>
      <c r="R383" s="185"/>
      <c r="S383" s="185"/>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6"/>
      <c r="AT383" s="187"/>
      <c r="AU383" s="187"/>
      <c r="AV383" s="187"/>
      <c r="AW383" s="224"/>
      <c r="AX383" s="184"/>
      <c r="AY383" s="184"/>
      <c r="AZ383" s="184"/>
      <c r="BA383" s="184"/>
      <c r="BB383" s="184"/>
    </row>
    <row r="384" spans="1:54" s="163" customFormat="1" ht="16.5" customHeight="1">
      <c r="A384" s="180"/>
      <c r="B384" s="181"/>
      <c r="C384" s="182"/>
      <c r="D384" s="182"/>
      <c r="E384" s="183"/>
      <c r="F384" s="183"/>
      <c r="G384" s="183"/>
      <c r="H384" s="184"/>
      <c r="I384" s="184"/>
      <c r="J384" s="184"/>
      <c r="K384" s="184"/>
      <c r="L384" s="184"/>
      <c r="M384" s="184"/>
      <c r="N384" s="184"/>
      <c r="O384" s="184"/>
      <c r="Q384" s="184"/>
      <c r="R384" s="185"/>
      <c r="S384" s="185"/>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6"/>
      <c r="AT384" s="187"/>
      <c r="AU384" s="187"/>
      <c r="AV384" s="187"/>
      <c r="AW384" s="224"/>
      <c r="AX384" s="184"/>
      <c r="AY384" s="184"/>
      <c r="AZ384" s="184"/>
      <c r="BA384" s="184"/>
      <c r="BB384" s="184"/>
    </row>
    <row r="385" spans="1:54" s="163" customFormat="1" ht="16.5" customHeight="1">
      <c r="A385" s="180"/>
      <c r="B385" s="181"/>
      <c r="C385" s="182"/>
      <c r="D385" s="182"/>
      <c r="E385" s="183"/>
      <c r="F385" s="183"/>
      <c r="G385" s="183"/>
      <c r="H385" s="184"/>
      <c r="I385" s="184"/>
      <c r="J385" s="184"/>
      <c r="K385" s="184"/>
      <c r="L385" s="184"/>
      <c r="M385" s="184"/>
      <c r="N385" s="184"/>
      <c r="O385" s="184"/>
      <c r="Q385" s="184"/>
      <c r="R385" s="185"/>
      <c r="S385" s="185"/>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6"/>
      <c r="AT385" s="187"/>
      <c r="AU385" s="187"/>
      <c r="AV385" s="187"/>
      <c r="AW385" s="224"/>
      <c r="AX385" s="184"/>
      <c r="AY385" s="184"/>
      <c r="AZ385" s="184"/>
      <c r="BA385" s="184"/>
      <c r="BB385" s="184"/>
    </row>
    <row r="386" spans="1:54" s="163" customFormat="1" ht="16.5" customHeight="1">
      <c r="A386" s="180"/>
      <c r="B386" s="181"/>
      <c r="C386" s="182"/>
      <c r="D386" s="182"/>
      <c r="E386" s="183"/>
      <c r="F386" s="183"/>
      <c r="G386" s="183"/>
      <c r="H386" s="184"/>
      <c r="I386" s="184"/>
      <c r="J386" s="184"/>
      <c r="K386" s="184"/>
      <c r="L386" s="184"/>
      <c r="M386" s="184"/>
      <c r="N386" s="184"/>
      <c r="O386" s="184"/>
      <c r="Q386" s="184"/>
      <c r="R386" s="185"/>
      <c r="S386" s="185"/>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6"/>
      <c r="AT386" s="187"/>
      <c r="AU386" s="187"/>
      <c r="AV386" s="187"/>
      <c r="AW386" s="224"/>
      <c r="AX386" s="184"/>
      <c r="AY386" s="184"/>
      <c r="AZ386" s="184"/>
      <c r="BA386" s="184"/>
      <c r="BB386" s="184"/>
    </row>
    <row r="387" spans="1:54" s="163" customFormat="1" ht="16.5" customHeight="1">
      <c r="A387" s="180"/>
      <c r="B387" s="181"/>
      <c r="C387" s="182"/>
      <c r="D387" s="182"/>
      <c r="E387" s="183"/>
      <c r="F387" s="183"/>
      <c r="G387" s="183"/>
      <c r="H387" s="184"/>
      <c r="I387" s="184"/>
      <c r="J387" s="184"/>
      <c r="K387" s="184"/>
      <c r="L387" s="184"/>
      <c r="M387" s="184"/>
      <c r="N387" s="184"/>
      <c r="O387" s="184"/>
      <c r="Q387" s="184"/>
      <c r="R387" s="185"/>
      <c r="S387" s="185"/>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6"/>
      <c r="AT387" s="187"/>
      <c r="AU387" s="187"/>
      <c r="AV387" s="187"/>
      <c r="AW387" s="224"/>
      <c r="AX387" s="184"/>
      <c r="AY387" s="184"/>
      <c r="AZ387" s="184"/>
      <c r="BA387" s="184"/>
      <c r="BB387" s="184"/>
    </row>
    <row r="388" spans="1:54" s="163" customFormat="1" ht="16.5" customHeight="1">
      <c r="A388" s="180"/>
      <c r="B388" s="181"/>
      <c r="C388" s="182"/>
      <c r="D388" s="182"/>
      <c r="E388" s="183"/>
      <c r="F388" s="183"/>
      <c r="G388" s="183"/>
      <c r="H388" s="184"/>
      <c r="I388" s="184"/>
      <c r="J388" s="184"/>
      <c r="K388" s="184"/>
      <c r="L388" s="184"/>
      <c r="M388" s="184"/>
      <c r="N388" s="184"/>
      <c r="O388" s="184"/>
      <c r="Q388" s="184"/>
      <c r="R388" s="185"/>
      <c r="S388" s="185"/>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6"/>
      <c r="AT388" s="187"/>
      <c r="AU388" s="187"/>
      <c r="AV388" s="187"/>
      <c r="AW388" s="224"/>
      <c r="AX388" s="184"/>
      <c r="AY388" s="184"/>
      <c r="AZ388" s="184"/>
      <c r="BA388" s="184"/>
      <c r="BB388" s="184"/>
    </row>
    <row r="389" spans="1:54" s="163" customFormat="1" ht="16.5" customHeight="1">
      <c r="A389" s="180"/>
      <c r="B389" s="181"/>
      <c r="C389" s="182"/>
      <c r="D389" s="182"/>
      <c r="E389" s="183"/>
      <c r="F389" s="183"/>
      <c r="G389" s="183"/>
      <c r="H389" s="184"/>
      <c r="I389" s="184"/>
      <c r="J389" s="184"/>
      <c r="K389" s="184"/>
      <c r="L389" s="184"/>
      <c r="M389" s="184"/>
      <c r="N389" s="184"/>
      <c r="O389" s="184"/>
      <c r="Q389" s="184"/>
      <c r="R389" s="185"/>
      <c r="S389" s="185"/>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6"/>
      <c r="AT389" s="187"/>
      <c r="AU389" s="187"/>
      <c r="AV389" s="187"/>
      <c r="AW389" s="224"/>
      <c r="AX389" s="184"/>
      <c r="AY389" s="184"/>
      <c r="AZ389" s="184"/>
      <c r="BA389" s="184"/>
      <c r="BB389" s="184"/>
    </row>
    <row r="390" spans="1:54" s="163" customFormat="1" ht="16.5" customHeight="1">
      <c r="A390" s="180"/>
      <c r="B390" s="181"/>
      <c r="C390" s="182"/>
      <c r="D390" s="182"/>
      <c r="E390" s="183"/>
      <c r="F390" s="183"/>
      <c r="G390" s="183"/>
      <c r="H390" s="184"/>
      <c r="I390" s="184"/>
      <c r="J390" s="184"/>
      <c r="K390" s="184"/>
      <c r="L390" s="184"/>
      <c r="M390" s="184"/>
      <c r="N390" s="184"/>
      <c r="O390" s="184"/>
      <c r="Q390" s="184"/>
      <c r="R390" s="185"/>
      <c r="S390" s="185"/>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6"/>
      <c r="AT390" s="187"/>
      <c r="AU390" s="187"/>
      <c r="AV390" s="187"/>
      <c r="AW390" s="224"/>
      <c r="AX390" s="184"/>
      <c r="AY390" s="184"/>
      <c r="AZ390" s="184"/>
      <c r="BA390" s="184"/>
      <c r="BB390" s="184"/>
    </row>
    <row r="391" spans="1:54" s="163" customFormat="1" ht="16.5" customHeight="1">
      <c r="A391" s="180"/>
      <c r="B391" s="181"/>
      <c r="C391" s="182"/>
      <c r="D391" s="182"/>
      <c r="E391" s="183"/>
      <c r="F391" s="183"/>
      <c r="G391" s="183"/>
      <c r="H391" s="184"/>
      <c r="I391" s="184"/>
      <c r="J391" s="184"/>
      <c r="K391" s="184"/>
      <c r="L391" s="184"/>
      <c r="M391" s="184"/>
      <c r="N391" s="184"/>
      <c r="O391" s="184"/>
      <c r="Q391" s="184"/>
      <c r="R391" s="185"/>
      <c r="S391" s="185"/>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6"/>
      <c r="AT391" s="187"/>
      <c r="AU391" s="187"/>
      <c r="AV391" s="187"/>
      <c r="AW391" s="224"/>
      <c r="AX391" s="184"/>
      <c r="AY391" s="184"/>
      <c r="AZ391" s="184"/>
      <c r="BA391" s="184"/>
      <c r="BB391" s="184"/>
    </row>
    <row r="392" spans="1:54" s="163" customFormat="1" ht="16.5" customHeight="1">
      <c r="A392" s="180"/>
      <c r="B392" s="181"/>
      <c r="C392" s="182"/>
      <c r="D392" s="182"/>
      <c r="E392" s="183"/>
      <c r="F392" s="183"/>
      <c r="G392" s="183"/>
      <c r="H392" s="184"/>
      <c r="I392" s="184"/>
      <c r="J392" s="184"/>
      <c r="K392" s="184"/>
      <c r="L392" s="184"/>
      <c r="M392" s="184"/>
      <c r="N392" s="184"/>
      <c r="O392" s="184"/>
      <c r="Q392" s="184"/>
      <c r="R392" s="185"/>
      <c r="S392" s="185"/>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6"/>
      <c r="AT392" s="187"/>
      <c r="AU392" s="187"/>
      <c r="AV392" s="187"/>
      <c r="AW392" s="224"/>
      <c r="AX392" s="184"/>
      <c r="AY392" s="184"/>
      <c r="AZ392" s="184"/>
      <c r="BA392" s="184"/>
      <c r="BB392" s="184"/>
    </row>
    <row r="393" spans="1:54" s="163" customFormat="1" ht="16.5" customHeight="1">
      <c r="A393" s="180"/>
      <c r="B393" s="181"/>
      <c r="C393" s="182"/>
      <c r="D393" s="182"/>
      <c r="E393" s="183"/>
      <c r="F393" s="183"/>
      <c r="G393" s="183"/>
      <c r="H393" s="184"/>
      <c r="I393" s="184"/>
      <c r="J393" s="184"/>
      <c r="K393" s="184"/>
      <c r="L393" s="184"/>
      <c r="M393" s="184"/>
      <c r="N393" s="184"/>
      <c r="O393" s="184"/>
      <c r="Q393" s="184"/>
      <c r="R393" s="185"/>
      <c r="S393" s="185"/>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6"/>
      <c r="AT393" s="187"/>
      <c r="AU393" s="187"/>
      <c r="AV393" s="187"/>
      <c r="AW393" s="224"/>
      <c r="AX393" s="184"/>
      <c r="AY393" s="184"/>
      <c r="AZ393" s="184"/>
      <c r="BA393" s="184"/>
      <c r="BB393" s="184"/>
    </row>
    <row r="394" spans="1:54" s="163" customFormat="1" ht="16.5" customHeight="1">
      <c r="A394" s="180"/>
      <c r="B394" s="181"/>
      <c r="C394" s="182"/>
      <c r="D394" s="182"/>
      <c r="E394" s="183"/>
      <c r="F394" s="183"/>
      <c r="G394" s="183"/>
      <c r="H394" s="184"/>
      <c r="I394" s="184"/>
      <c r="J394" s="184"/>
      <c r="K394" s="184"/>
      <c r="L394" s="184"/>
      <c r="M394" s="184"/>
      <c r="N394" s="184"/>
      <c r="O394" s="184"/>
      <c r="Q394" s="184"/>
      <c r="R394" s="185"/>
      <c r="S394" s="185"/>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6"/>
      <c r="AT394" s="187"/>
      <c r="AU394" s="187"/>
      <c r="AV394" s="187"/>
      <c r="AW394" s="224"/>
      <c r="AX394" s="184"/>
      <c r="AY394" s="184"/>
      <c r="AZ394" s="184"/>
      <c r="BA394" s="184"/>
      <c r="BB394" s="184"/>
    </row>
    <row r="395" spans="1:54" s="163" customFormat="1" ht="16.5" customHeight="1">
      <c r="A395" s="180"/>
      <c r="B395" s="181"/>
      <c r="C395" s="182"/>
      <c r="D395" s="182"/>
      <c r="E395" s="183"/>
      <c r="F395" s="183"/>
      <c r="G395" s="183"/>
      <c r="H395" s="184"/>
      <c r="I395" s="184"/>
      <c r="J395" s="184"/>
      <c r="K395" s="184"/>
      <c r="L395" s="184"/>
      <c r="M395" s="184"/>
      <c r="N395" s="184"/>
      <c r="O395" s="184"/>
      <c r="Q395" s="184"/>
      <c r="R395" s="185"/>
      <c r="S395" s="185"/>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6"/>
      <c r="AT395" s="187"/>
      <c r="AU395" s="187"/>
      <c r="AV395" s="187"/>
      <c r="AW395" s="224"/>
      <c r="AX395" s="184"/>
      <c r="AY395" s="184"/>
      <c r="AZ395" s="184"/>
      <c r="BA395" s="184"/>
      <c r="BB395" s="184"/>
    </row>
    <row r="396" spans="1:54" s="163" customFormat="1" ht="16.5" customHeight="1">
      <c r="A396" s="180"/>
      <c r="B396" s="181"/>
      <c r="C396" s="182"/>
      <c r="D396" s="182"/>
      <c r="E396" s="183"/>
      <c r="F396" s="183"/>
      <c r="G396" s="183"/>
      <c r="H396" s="184"/>
      <c r="I396" s="184"/>
      <c r="J396" s="184"/>
      <c r="K396" s="184"/>
      <c r="L396" s="184"/>
      <c r="M396" s="184"/>
      <c r="N396" s="184"/>
      <c r="O396" s="184"/>
      <c r="Q396" s="184"/>
      <c r="R396" s="185"/>
      <c r="S396" s="185"/>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6"/>
      <c r="AT396" s="187"/>
      <c r="AU396" s="187"/>
      <c r="AV396" s="187"/>
      <c r="AW396" s="224"/>
      <c r="AX396" s="184"/>
      <c r="AY396" s="184"/>
      <c r="AZ396" s="184"/>
      <c r="BA396" s="184"/>
      <c r="BB396" s="184"/>
    </row>
    <row r="397" spans="1:54" s="163" customFormat="1" ht="16.5" customHeight="1">
      <c r="A397" s="180"/>
      <c r="B397" s="181"/>
      <c r="C397" s="182"/>
      <c r="D397" s="182"/>
      <c r="E397" s="183"/>
      <c r="F397" s="183"/>
      <c r="G397" s="183"/>
      <c r="H397" s="184"/>
      <c r="I397" s="184"/>
      <c r="J397" s="184"/>
      <c r="K397" s="184"/>
      <c r="L397" s="184"/>
      <c r="M397" s="184"/>
      <c r="N397" s="184"/>
      <c r="O397" s="184"/>
      <c r="Q397" s="184"/>
      <c r="R397" s="185"/>
      <c r="S397" s="185"/>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6"/>
      <c r="AT397" s="187"/>
      <c r="AU397" s="187"/>
      <c r="AV397" s="187"/>
      <c r="AW397" s="224"/>
      <c r="AX397" s="184"/>
      <c r="AY397" s="184"/>
      <c r="AZ397" s="184"/>
      <c r="BA397" s="184"/>
      <c r="BB397" s="184"/>
    </row>
    <row r="398" spans="1:54" s="163" customFormat="1" ht="16.5" customHeight="1">
      <c r="A398" s="180"/>
      <c r="B398" s="181"/>
      <c r="C398" s="182"/>
      <c r="D398" s="182"/>
      <c r="E398" s="183"/>
      <c r="F398" s="183"/>
      <c r="G398" s="183"/>
      <c r="H398" s="184"/>
      <c r="I398" s="184"/>
      <c r="J398" s="184"/>
      <c r="K398" s="184"/>
      <c r="L398" s="184"/>
      <c r="M398" s="184"/>
      <c r="N398" s="184"/>
      <c r="O398" s="184"/>
      <c r="Q398" s="184"/>
      <c r="R398" s="185"/>
      <c r="S398" s="185"/>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6"/>
      <c r="AT398" s="187"/>
      <c r="AU398" s="187"/>
      <c r="AV398" s="187"/>
      <c r="AW398" s="224"/>
      <c r="AX398" s="184"/>
      <c r="AY398" s="184"/>
      <c r="AZ398" s="184"/>
      <c r="BA398" s="184"/>
      <c r="BB398" s="184"/>
    </row>
    <row r="399" spans="1:54" s="163" customFormat="1" ht="16.5" customHeight="1">
      <c r="A399" s="180"/>
      <c r="B399" s="181"/>
      <c r="C399" s="182"/>
      <c r="D399" s="182"/>
      <c r="E399" s="183"/>
      <c r="F399" s="183"/>
      <c r="G399" s="183"/>
      <c r="H399" s="184"/>
      <c r="I399" s="184"/>
      <c r="J399" s="184"/>
      <c r="K399" s="184"/>
      <c r="L399" s="184"/>
      <c r="M399" s="184"/>
      <c r="N399" s="184"/>
      <c r="O399" s="184"/>
      <c r="Q399" s="184"/>
      <c r="R399" s="185"/>
      <c r="S399" s="185"/>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6"/>
      <c r="AT399" s="187"/>
      <c r="AU399" s="187"/>
      <c r="AV399" s="187"/>
      <c r="AW399" s="224"/>
      <c r="AX399" s="184"/>
      <c r="AY399" s="184"/>
      <c r="AZ399" s="184"/>
      <c r="BA399" s="184"/>
      <c r="BB399" s="184"/>
    </row>
    <row r="400" spans="1:54" s="163" customFormat="1" ht="16.5" customHeight="1">
      <c r="A400" s="180"/>
      <c r="B400" s="181"/>
      <c r="C400" s="182"/>
      <c r="D400" s="182"/>
      <c r="E400" s="183"/>
      <c r="F400" s="183"/>
      <c r="G400" s="183"/>
      <c r="H400" s="184"/>
      <c r="I400" s="184"/>
      <c r="J400" s="184"/>
      <c r="K400" s="184"/>
      <c r="L400" s="184"/>
      <c r="M400" s="184"/>
      <c r="N400" s="184"/>
      <c r="O400" s="184"/>
      <c r="Q400" s="184"/>
      <c r="R400" s="185"/>
      <c r="S400" s="185"/>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6"/>
      <c r="AT400" s="187"/>
      <c r="AU400" s="187"/>
      <c r="AV400" s="187"/>
      <c r="AW400" s="224"/>
      <c r="AX400" s="184"/>
      <c r="AY400" s="184"/>
      <c r="AZ400" s="184"/>
      <c r="BA400" s="184"/>
      <c r="BB400" s="184"/>
    </row>
    <row r="401" spans="1:54" s="163" customFormat="1" ht="16.5" customHeight="1">
      <c r="A401" s="180"/>
      <c r="B401" s="181"/>
      <c r="C401" s="182"/>
      <c r="D401" s="182"/>
      <c r="E401" s="183"/>
      <c r="F401" s="183"/>
      <c r="G401" s="183"/>
      <c r="H401" s="184"/>
      <c r="I401" s="184"/>
      <c r="J401" s="184"/>
      <c r="K401" s="184"/>
      <c r="L401" s="184"/>
      <c r="M401" s="184"/>
      <c r="N401" s="184"/>
      <c r="O401" s="184"/>
      <c r="Q401" s="184"/>
      <c r="R401" s="185"/>
      <c r="S401" s="185"/>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6"/>
      <c r="AT401" s="187"/>
      <c r="AU401" s="187"/>
      <c r="AV401" s="187"/>
      <c r="AW401" s="224"/>
      <c r="AX401" s="184"/>
      <c r="AY401" s="184"/>
      <c r="AZ401" s="184"/>
      <c r="BA401" s="184"/>
      <c r="BB401" s="184"/>
    </row>
    <row r="402" spans="1:54" s="163" customFormat="1" ht="16.5" customHeight="1">
      <c r="A402" s="180"/>
      <c r="B402" s="181"/>
      <c r="C402" s="182"/>
      <c r="D402" s="182"/>
      <c r="E402" s="183"/>
      <c r="F402" s="183"/>
      <c r="G402" s="183"/>
      <c r="H402" s="184"/>
      <c r="I402" s="184"/>
      <c r="J402" s="184"/>
      <c r="K402" s="184"/>
      <c r="L402" s="184"/>
      <c r="M402" s="184"/>
      <c r="N402" s="184"/>
      <c r="O402" s="184"/>
      <c r="Q402" s="184"/>
      <c r="R402" s="185"/>
      <c r="S402" s="185"/>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6"/>
      <c r="AT402" s="187"/>
      <c r="AU402" s="187"/>
      <c r="AV402" s="187"/>
      <c r="AW402" s="224"/>
      <c r="AX402" s="184"/>
      <c r="AY402" s="184"/>
      <c r="AZ402" s="184"/>
      <c r="BA402" s="184"/>
      <c r="BB402" s="184"/>
    </row>
    <row r="403" spans="1:54" s="163" customFormat="1" ht="16.5" customHeight="1">
      <c r="A403" s="180"/>
      <c r="B403" s="181"/>
      <c r="C403" s="182"/>
      <c r="D403" s="182"/>
      <c r="E403" s="183"/>
      <c r="F403" s="183"/>
      <c r="G403" s="183"/>
      <c r="H403" s="184"/>
      <c r="I403" s="184"/>
      <c r="J403" s="184"/>
      <c r="K403" s="184"/>
      <c r="L403" s="184"/>
      <c r="M403" s="184"/>
      <c r="N403" s="184"/>
      <c r="O403" s="184"/>
      <c r="Q403" s="184"/>
      <c r="R403" s="185"/>
      <c r="S403" s="185"/>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6"/>
      <c r="AT403" s="187"/>
      <c r="AU403" s="187"/>
      <c r="AV403" s="187"/>
      <c r="AW403" s="224"/>
      <c r="AX403" s="184"/>
      <c r="AY403" s="184"/>
      <c r="AZ403" s="184"/>
      <c r="BA403" s="184"/>
      <c r="BB403" s="184"/>
    </row>
    <row r="404" spans="1:54" s="163" customFormat="1" ht="16.5" customHeight="1">
      <c r="A404" s="180"/>
      <c r="B404" s="181"/>
      <c r="C404" s="182"/>
      <c r="D404" s="182"/>
      <c r="E404" s="183"/>
      <c r="F404" s="183"/>
      <c r="G404" s="183"/>
      <c r="H404" s="184"/>
      <c r="I404" s="184"/>
      <c r="J404" s="184"/>
      <c r="K404" s="184"/>
      <c r="L404" s="184"/>
      <c r="M404" s="184"/>
      <c r="N404" s="184"/>
      <c r="O404" s="184"/>
      <c r="Q404" s="184"/>
      <c r="R404" s="185"/>
      <c r="S404" s="185"/>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6"/>
      <c r="AT404" s="187"/>
      <c r="AU404" s="187"/>
      <c r="AV404" s="187"/>
      <c r="AW404" s="224"/>
      <c r="AX404" s="184"/>
      <c r="AY404" s="184"/>
      <c r="AZ404" s="184"/>
      <c r="BA404" s="184"/>
      <c r="BB404" s="184"/>
    </row>
    <row r="405" spans="1:54" s="163" customFormat="1" ht="16.5" customHeight="1">
      <c r="A405" s="180"/>
      <c r="B405" s="181"/>
      <c r="C405" s="182"/>
      <c r="D405" s="182"/>
      <c r="E405" s="183"/>
      <c r="F405" s="183"/>
      <c r="G405" s="183"/>
      <c r="H405" s="184"/>
      <c r="I405" s="184"/>
      <c r="J405" s="184"/>
      <c r="K405" s="184"/>
      <c r="L405" s="184"/>
      <c r="M405" s="184"/>
      <c r="N405" s="184"/>
      <c r="O405" s="184"/>
      <c r="Q405" s="184"/>
      <c r="R405" s="185"/>
      <c r="S405" s="185"/>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6"/>
      <c r="AT405" s="187"/>
      <c r="AU405" s="187"/>
      <c r="AV405" s="187"/>
      <c r="AW405" s="224"/>
      <c r="AX405" s="184"/>
      <c r="AY405" s="184"/>
      <c r="AZ405" s="184"/>
      <c r="BA405" s="184"/>
      <c r="BB405" s="184"/>
    </row>
    <row r="406" spans="1:54" s="163" customFormat="1" ht="16.5" customHeight="1">
      <c r="A406" s="180"/>
      <c r="B406" s="181"/>
      <c r="C406" s="182"/>
      <c r="D406" s="182"/>
      <c r="E406" s="183"/>
      <c r="F406" s="183"/>
      <c r="G406" s="183"/>
      <c r="H406" s="184"/>
      <c r="I406" s="184"/>
      <c r="J406" s="184"/>
      <c r="K406" s="184"/>
      <c r="L406" s="184"/>
      <c r="M406" s="184"/>
      <c r="N406" s="184"/>
      <c r="O406" s="184"/>
      <c r="Q406" s="184"/>
      <c r="R406" s="185"/>
      <c r="S406" s="185"/>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6"/>
      <c r="AT406" s="187"/>
      <c r="AU406" s="187"/>
      <c r="AV406" s="187"/>
      <c r="AW406" s="224"/>
      <c r="AX406" s="184"/>
      <c r="AY406" s="184"/>
      <c r="AZ406" s="184"/>
      <c r="BA406" s="184"/>
      <c r="BB406" s="184"/>
    </row>
    <row r="407" spans="1:54" s="163" customFormat="1" ht="16.5" customHeight="1">
      <c r="A407" s="180"/>
      <c r="B407" s="181"/>
      <c r="C407" s="182"/>
      <c r="D407" s="182"/>
      <c r="E407" s="183"/>
      <c r="F407" s="183"/>
      <c r="G407" s="183"/>
      <c r="H407" s="184"/>
      <c r="I407" s="184"/>
      <c r="J407" s="184"/>
      <c r="K407" s="184"/>
      <c r="L407" s="184"/>
      <c r="M407" s="184"/>
      <c r="N407" s="184"/>
      <c r="O407" s="184"/>
      <c r="Q407" s="184"/>
      <c r="R407" s="185"/>
      <c r="S407" s="185"/>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6"/>
      <c r="AT407" s="187"/>
      <c r="AU407" s="187"/>
      <c r="AV407" s="187"/>
      <c r="AW407" s="224"/>
      <c r="AX407" s="184"/>
      <c r="AY407" s="184"/>
      <c r="AZ407" s="184"/>
      <c r="BA407" s="184"/>
      <c r="BB407" s="184"/>
    </row>
    <row r="408" spans="1:54" s="163" customFormat="1" ht="16.5" customHeight="1">
      <c r="A408" s="180"/>
      <c r="B408" s="181"/>
      <c r="C408" s="182"/>
      <c r="D408" s="182"/>
      <c r="E408" s="183"/>
      <c r="F408" s="183"/>
      <c r="G408" s="183"/>
      <c r="H408" s="184"/>
      <c r="I408" s="184"/>
      <c r="J408" s="184"/>
      <c r="K408" s="184"/>
      <c r="L408" s="184"/>
      <c r="M408" s="184"/>
      <c r="N408" s="184"/>
      <c r="O408" s="184"/>
      <c r="Q408" s="184"/>
      <c r="R408" s="185"/>
      <c r="S408" s="185"/>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6"/>
      <c r="AT408" s="187"/>
      <c r="AU408" s="187"/>
      <c r="AV408" s="187"/>
      <c r="AW408" s="224"/>
      <c r="AX408" s="184"/>
      <c r="AY408" s="184"/>
      <c r="AZ408" s="184"/>
      <c r="BA408" s="184"/>
      <c r="BB408" s="184"/>
    </row>
    <row r="409" spans="1:54" s="163" customFormat="1" ht="16.5" customHeight="1">
      <c r="A409" s="180"/>
      <c r="B409" s="181"/>
      <c r="C409" s="182"/>
      <c r="D409" s="182"/>
      <c r="E409" s="183"/>
      <c r="F409" s="183"/>
      <c r="G409" s="183"/>
      <c r="H409" s="184"/>
      <c r="I409" s="184"/>
      <c r="J409" s="184"/>
      <c r="K409" s="184"/>
      <c r="L409" s="184"/>
      <c r="M409" s="184"/>
      <c r="N409" s="184"/>
      <c r="O409" s="184"/>
      <c r="Q409" s="184"/>
      <c r="R409" s="185"/>
      <c r="S409" s="185"/>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6"/>
      <c r="AT409" s="187"/>
      <c r="AU409" s="187"/>
      <c r="AV409" s="187"/>
      <c r="AW409" s="224"/>
      <c r="AX409" s="184"/>
      <c r="AY409" s="184"/>
      <c r="AZ409" s="184"/>
      <c r="BA409" s="184"/>
      <c r="BB409" s="184"/>
    </row>
    <row r="410" spans="1:54" s="163" customFormat="1" ht="16.5" customHeight="1">
      <c r="A410" s="180"/>
      <c r="B410" s="181"/>
      <c r="C410" s="182"/>
      <c r="D410" s="182"/>
      <c r="E410" s="183"/>
      <c r="F410" s="183"/>
      <c r="G410" s="183"/>
      <c r="H410" s="184"/>
      <c r="I410" s="184"/>
      <c r="J410" s="184"/>
      <c r="K410" s="184"/>
      <c r="L410" s="184"/>
      <c r="M410" s="184"/>
      <c r="N410" s="184"/>
      <c r="O410" s="184"/>
      <c r="Q410" s="184"/>
      <c r="R410" s="185"/>
      <c r="S410" s="185"/>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6"/>
      <c r="AT410" s="187"/>
      <c r="AU410" s="187"/>
      <c r="AV410" s="187"/>
      <c r="AW410" s="224"/>
      <c r="AX410" s="184"/>
      <c r="AY410" s="184"/>
      <c r="AZ410" s="184"/>
      <c r="BA410" s="184"/>
      <c r="BB410" s="184"/>
    </row>
    <row r="411" spans="1:54" s="163" customFormat="1" ht="16.5" customHeight="1">
      <c r="A411" s="180"/>
      <c r="B411" s="181"/>
      <c r="C411" s="182"/>
      <c r="D411" s="182"/>
      <c r="E411" s="183"/>
      <c r="F411" s="183"/>
      <c r="G411" s="183"/>
      <c r="H411" s="184"/>
      <c r="I411" s="184"/>
      <c r="J411" s="184"/>
      <c r="K411" s="184"/>
      <c r="L411" s="184"/>
      <c r="M411" s="184"/>
      <c r="N411" s="184"/>
      <c r="O411" s="184"/>
      <c r="Q411" s="184"/>
      <c r="R411" s="185"/>
      <c r="S411" s="185"/>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6"/>
      <c r="AT411" s="187"/>
      <c r="AU411" s="187"/>
      <c r="AV411" s="187"/>
      <c r="AW411" s="224"/>
      <c r="AX411" s="184"/>
      <c r="AY411" s="184"/>
      <c r="AZ411" s="184"/>
      <c r="BA411" s="184"/>
      <c r="BB411" s="184"/>
    </row>
    <row r="412" spans="1:54" s="163" customFormat="1" ht="16.5" customHeight="1">
      <c r="A412" s="180"/>
      <c r="B412" s="181"/>
      <c r="C412" s="182"/>
      <c r="D412" s="182"/>
      <c r="E412" s="183"/>
      <c r="F412" s="183"/>
      <c r="G412" s="183"/>
      <c r="H412" s="184"/>
      <c r="I412" s="184"/>
      <c r="J412" s="184"/>
      <c r="K412" s="184"/>
      <c r="L412" s="184"/>
      <c r="M412" s="184"/>
      <c r="N412" s="184"/>
      <c r="O412" s="184"/>
      <c r="Q412" s="184"/>
      <c r="R412" s="185"/>
      <c r="S412" s="185"/>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6"/>
      <c r="AT412" s="187"/>
      <c r="AU412" s="187"/>
      <c r="AV412" s="187"/>
      <c r="AW412" s="224"/>
      <c r="AX412" s="184"/>
      <c r="AY412" s="184"/>
      <c r="AZ412" s="184"/>
      <c r="BA412" s="184"/>
      <c r="BB412" s="184"/>
    </row>
    <row r="413" spans="1:54" s="163" customFormat="1" ht="16.5" customHeight="1">
      <c r="A413" s="180"/>
      <c r="B413" s="181"/>
      <c r="C413" s="182"/>
      <c r="D413" s="182"/>
      <c r="E413" s="183"/>
      <c r="F413" s="183"/>
      <c r="G413" s="183"/>
      <c r="H413" s="184"/>
      <c r="I413" s="184"/>
      <c r="J413" s="184"/>
      <c r="K413" s="184"/>
      <c r="L413" s="184"/>
      <c r="M413" s="184"/>
      <c r="N413" s="184"/>
      <c r="O413" s="184"/>
      <c r="Q413" s="184"/>
      <c r="R413" s="185"/>
      <c r="S413" s="185"/>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6"/>
      <c r="AT413" s="187"/>
      <c r="AU413" s="187"/>
      <c r="AV413" s="187"/>
      <c r="AW413" s="224"/>
      <c r="AX413" s="184"/>
      <c r="AY413" s="184"/>
      <c r="AZ413" s="184"/>
      <c r="BA413" s="184"/>
      <c r="BB413" s="184"/>
    </row>
    <row r="414" spans="1:54" s="163" customFormat="1" ht="16.5" customHeight="1">
      <c r="A414" s="180"/>
      <c r="B414" s="181"/>
      <c r="C414" s="182"/>
      <c r="D414" s="182"/>
      <c r="E414" s="183"/>
      <c r="F414" s="183"/>
      <c r="G414" s="183"/>
      <c r="H414" s="184"/>
      <c r="I414" s="184"/>
      <c r="J414" s="184"/>
      <c r="K414" s="184"/>
      <c r="L414" s="184"/>
      <c r="M414" s="184"/>
      <c r="N414" s="184"/>
      <c r="O414" s="184"/>
      <c r="Q414" s="184"/>
      <c r="R414" s="185"/>
      <c r="S414" s="185"/>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6"/>
      <c r="AT414" s="187"/>
      <c r="AU414" s="187"/>
      <c r="AV414" s="187"/>
      <c r="AW414" s="224"/>
      <c r="AX414" s="184"/>
      <c r="AY414" s="184"/>
      <c r="AZ414" s="184"/>
      <c r="BA414" s="184"/>
      <c r="BB414" s="184"/>
    </row>
    <row r="415" spans="1:54" s="163" customFormat="1" ht="16.5" customHeight="1">
      <c r="A415" s="180"/>
      <c r="B415" s="181"/>
      <c r="C415" s="182"/>
      <c r="D415" s="182"/>
      <c r="E415" s="183"/>
      <c r="F415" s="183"/>
      <c r="G415" s="183"/>
      <c r="H415" s="184"/>
      <c r="I415" s="184"/>
      <c r="J415" s="184"/>
      <c r="K415" s="184"/>
      <c r="L415" s="184"/>
      <c r="M415" s="184"/>
      <c r="N415" s="184"/>
      <c r="O415" s="184"/>
      <c r="Q415" s="184"/>
      <c r="R415" s="185"/>
      <c r="S415" s="185"/>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6"/>
      <c r="AT415" s="187"/>
      <c r="AU415" s="187"/>
      <c r="AV415" s="187"/>
      <c r="AW415" s="224"/>
      <c r="AX415" s="184"/>
      <c r="AY415" s="184"/>
      <c r="AZ415" s="184"/>
      <c r="BA415" s="184"/>
      <c r="BB415" s="184"/>
    </row>
    <row r="416" spans="1:54" s="163" customFormat="1" ht="16.5" customHeight="1">
      <c r="A416" s="180"/>
      <c r="B416" s="181"/>
      <c r="C416" s="182"/>
      <c r="D416" s="182"/>
      <c r="E416" s="183"/>
      <c r="F416" s="183"/>
      <c r="G416" s="183"/>
      <c r="H416" s="184"/>
      <c r="I416" s="184"/>
      <c r="J416" s="184"/>
      <c r="K416" s="184"/>
      <c r="L416" s="184"/>
      <c r="M416" s="184"/>
      <c r="N416" s="184"/>
      <c r="O416" s="184"/>
      <c r="Q416" s="184"/>
      <c r="R416" s="185"/>
      <c r="S416" s="185"/>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6"/>
      <c r="AT416" s="187"/>
      <c r="AU416" s="187"/>
      <c r="AV416" s="187"/>
      <c r="AW416" s="224"/>
      <c r="AX416" s="184"/>
      <c r="AY416" s="184"/>
      <c r="AZ416" s="184"/>
      <c r="BA416" s="184"/>
      <c r="BB416" s="184"/>
    </row>
    <row r="417" spans="1:54" s="163" customFormat="1" ht="16.5" customHeight="1">
      <c r="A417" s="180"/>
      <c r="B417" s="181"/>
      <c r="C417" s="182"/>
      <c r="D417" s="182"/>
      <c r="E417" s="183"/>
      <c r="F417" s="183"/>
      <c r="G417" s="183"/>
      <c r="H417" s="184"/>
      <c r="I417" s="184"/>
      <c r="J417" s="184"/>
      <c r="K417" s="184"/>
      <c r="L417" s="184"/>
      <c r="M417" s="184"/>
      <c r="N417" s="184"/>
      <c r="O417" s="184"/>
      <c r="Q417" s="184"/>
      <c r="R417" s="185"/>
      <c r="S417" s="185"/>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6"/>
      <c r="AT417" s="187"/>
      <c r="AU417" s="187"/>
      <c r="AV417" s="187"/>
      <c r="AW417" s="224"/>
      <c r="AX417" s="184"/>
      <c r="AY417" s="184"/>
      <c r="AZ417" s="184"/>
      <c r="BA417" s="184"/>
      <c r="BB417" s="184"/>
    </row>
    <row r="418" spans="1:54" s="163" customFormat="1" ht="16.5" customHeight="1">
      <c r="A418" s="180"/>
      <c r="B418" s="181"/>
      <c r="C418" s="182"/>
      <c r="D418" s="182"/>
      <c r="E418" s="183"/>
      <c r="F418" s="183"/>
      <c r="G418" s="183"/>
      <c r="H418" s="184"/>
      <c r="I418" s="184"/>
      <c r="J418" s="184"/>
      <c r="K418" s="184"/>
      <c r="L418" s="184"/>
      <c r="M418" s="184"/>
      <c r="N418" s="184"/>
      <c r="O418" s="184"/>
      <c r="Q418" s="184"/>
      <c r="R418" s="185"/>
      <c r="S418" s="185"/>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6"/>
      <c r="AT418" s="187"/>
      <c r="AU418" s="187"/>
      <c r="AV418" s="187"/>
      <c r="AW418" s="224"/>
      <c r="AX418" s="184"/>
      <c r="AY418" s="184"/>
      <c r="AZ418" s="184"/>
      <c r="BA418" s="184"/>
      <c r="BB418" s="184"/>
    </row>
    <row r="419" spans="1:54" s="163" customFormat="1" ht="16.5" customHeight="1">
      <c r="A419" s="180"/>
      <c r="B419" s="181"/>
      <c r="C419" s="182"/>
      <c r="D419" s="182"/>
      <c r="E419" s="183"/>
      <c r="F419" s="183"/>
      <c r="G419" s="183"/>
      <c r="H419" s="184"/>
      <c r="I419" s="184"/>
      <c r="J419" s="184"/>
      <c r="K419" s="184"/>
      <c r="L419" s="184"/>
      <c r="M419" s="184"/>
      <c r="N419" s="184"/>
      <c r="O419" s="184"/>
      <c r="Q419" s="184"/>
      <c r="R419" s="185"/>
      <c r="S419" s="185"/>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6"/>
      <c r="AT419" s="187"/>
      <c r="AU419" s="187"/>
      <c r="AV419" s="187"/>
      <c r="AW419" s="224"/>
      <c r="AX419" s="184"/>
      <c r="AY419" s="184"/>
      <c r="AZ419" s="184"/>
      <c r="BA419" s="184"/>
      <c r="BB419" s="184"/>
    </row>
    <row r="420" spans="1:54" s="163" customFormat="1" ht="16.5" customHeight="1">
      <c r="A420" s="180"/>
      <c r="B420" s="181"/>
      <c r="C420" s="182"/>
      <c r="D420" s="182"/>
      <c r="E420" s="183"/>
      <c r="F420" s="183"/>
      <c r="G420" s="183"/>
      <c r="H420" s="184"/>
      <c r="I420" s="184"/>
      <c r="J420" s="184"/>
      <c r="K420" s="184"/>
      <c r="L420" s="184"/>
      <c r="M420" s="184"/>
      <c r="N420" s="184"/>
      <c r="O420" s="184"/>
      <c r="Q420" s="184"/>
      <c r="R420" s="185"/>
      <c r="S420" s="185"/>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6"/>
      <c r="AT420" s="187"/>
      <c r="AU420" s="187"/>
      <c r="AV420" s="187"/>
      <c r="AW420" s="224"/>
      <c r="AX420" s="184"/>
      <c r="AY420" s="184"/>
      <c r="AZ420" s="184"/>
      <c r="BA420" s="184"/>
      <c r="BB420" s="184"/>
    </row>
    <row r="421" spans="1:54" s="163" customFormat="1" ht="16.5" customHeight="1">
      <c r="A421" s="180"/>
      <c r="B421" s="181"/>
      <c r="C421" s="182"/>
      <c r="D421" s="182"/>
      <c r="E421" s="183"/>
      <c r="F421" s="183"/>
      <c r="G421" s="183"/>
      <c r="H421" s="184"/>
      <c r="I421" s="184"/>
      <c r="J421" s="184"/>
      <c r="K421" s="184"/>
      <c r="L421" s="184"/>
      <c r="M421" s="184"/>
      <c r="N421" s="184"/>
      <c r="O421" s="184"/>
      <c r="Q421" s="184"/>
      <c r="R421" s="185"/>
      <c r="S421" s="185"/>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6"/>
      <c r="AT421" s="187"/>
      <c r="AU421" s="187"/>
      <c r="AV421" s="187"/>
      <c r="AW421" s="224"/>
      <c r="AX421" s="184"/>
      <c r="AY421" s="184"/>
      <c r="AZ421" s="184"/>
      <c r="BA421" s="184"/>
      <c r="BB421" s="184"/>
    </row>
    <row r="422" spans="1:54" s="163" customFormat="1" ht="16.5" customHeight="1">
      <c r="A422" s="180"/>
      <c r="B422" s="181"/>
      <c r="C422" s="182"/>
      <c r="D422" s="182"/>
      <c r="E422" s="183"/>
      <c r="F422" s="183"/>
      <c r="G422" s="183"/>
      <c r="H422" s="184"/>
      <c r="I422" s="184"/>
      <c r="J422" s="184"/>
      <c r="K422" s="184"/>
      <c r="L422" s="184"/>
      <c r="M422" s="184"/>
      <c r="N422" s="184"/>
      <c r="O422" s="184"/>
      <c r="Q422" s="184"/>
      <c r="R422" s="185"/>
      <c r="S422" s="185"/>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6"/>
      <c r="AT422" s="187"/>
      <c r="AU422" s="187"/>
      <c r="AV422" s="187"/>
      <c r="AW422" s="224"/>
      <c r="AX422" s="184"/>
      <c r="AY422" s="184"/>
      <c r="AZ422" s="184"/>
      <c r="BA422" s="184"/>
      <c r="BB422" s="184"/>
    </row>
    <row r="423" spans="1:54" s="163" customFormat="1" ht="16.5" customHeight="1">
      <c r="A423" s="180"/>
      <c r="B423" s="181"/>
      <c r="C423" s="182"/>
      <c r="D423" s="182"/>
      <c r="E423" s="183"/>
      <c r="F423" s="183"/>
      <c r="G423" s="183"/>
      <c r="H423" s="184"/>
      <c r="I423" s="184"/>
      <c r="J423" s="184"/>
      <c r="K423" s="184"/>
      <c r="L423" s="184"/>
      <c r="M423" s="184"/>
      <c r="N423" s="184"/>
      <c r="O423" s="184"/>
      <c r="Q423" s="184"/>
      <c r="R423" s="185"/>
      <c r="S423" s="185"/>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6"/>
      <c r="AT423" s="187"/>
      <c r="AU423" s="187"/>
      <c r="AV423" s="187"/>
      <c r="AW423" s="224"/>
      <c r="AX423" s="184"/>
      <c r="AY423" s="184"/>
      <c r="AZ423" s="184"/>
      <c r="BA423" s="184"/>
      <c r="BB423" s="184"/>
    </row>
    <row r="424" spans="1:54" s="163" customFormat="1" ht="16.5" customHeight="1">
      <c r="A424" s="180"/>
      <c r="B424" s="181"/>
      <c r="C424" s="182"/>
      <c r="D424" s="182"/>
      <c r="E424" s="183"/>
      <c r="F424" s="183"/>
      <c r="G424" s="183"/>
      <c r="H424" s="184"/>
      <c r="I424" s="184"/>
      <c r="J424" s="184"/>
      <c r="K424" s="184"/>
      <c r="L424" s="184"/>
      <c r="M424" s="184"/>
      <c r="N424" s="184"/>
      <c r="O424" s="184"/>
      <c r="Q424" s="184"/>
      <c r="R424" s="185"/>
      <c r="S424" s="185"/>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6"/>
      <c r="AT424" s="187"/>
      <c r="AU424" s="187"/>
      <c r="AV424" s="187"/>
      <c r="AW424" s="224"/>
      <c r="AX424" s="184"/>
      <c r="AY424" s="184"/>
      <c r="AZ424" s="184"/>
      <c r="BA424" s="184"/>
      <c r="BB424" s="184"/>
    </row>
    <row r="425" spans="1:54" s="163" customFormat="1" ht="16.5" customHeight="1">
      <c r="A425" s="180"/>
      <c r="B425" s="181"/>
      <c r="C425" s="182"/>
      <c r="D425" s="182"/>
      <c r="E425" s="183"/>
      <c r="F425" s="183"/>
      <c r="G425" s="183"/>
      <c r="H425" s="184"/>
      <c r="I425" s="184"/>
      <c r="J425" s="184"/>
      <c r="K425" s="184"/>
      <c r="L425" s="184"/>
      <c r="M425" s="184"/>
      <c r="N425" s="184"/>
      <c r="O425" s="184"/>
      <c r="Q425" s="184"/>
      <c r="R425" s="185"/>
      <c r="S425" s="185"/>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6"/>
      <c r="AT425" s="187"/>
      <c r="AU425" s="187"/>
      <c r="AV425" s="187"/>
      <c r="AW425" s="224"/>
      <c r="AX425" s="184"/>
      <c r="AY425" s="184"/>
      <c r="AZ425" s="184"/>
      <c r="BA425" s="184"/>
      <c r="BB425" s="184"/>
    </row>
    <row r="426" spans="1:54" s="163" customFormat="1" ht="16.5" customHeight="1">
      <c r="A426" s="180"/>
      <c r="B426" s="181"/>
      <c r="C426" s="182"/>
      <c r="D426" s="182"/>
      <c r="E426" s="183"/>
      <c r="F426" s="183"/>
      <c r="G426" s="183"/>
      <c r="H426" s="184"/>
      <c r="I426" s="184"/>
      <c r="J426" s="184"/>
      <c r="K426" s="184"/>
      <c r="L426" s="184"/>
      <c r="M426" s="184"/>
      <c r="N426" s="184"/>
      <c r="O426" s="184"/>
      <c r="Q426" s="184"/>
      <c r="R426" s="185"/>
      <c r="S426" s="185"/>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6"/>
      <c r="AT426" s="187"/>
      <c r="AU426" s="187"/>
      <c r="AV426" s="187"/>
      <c r="AW426" s="224"/>
      <c r="AX426" s="184"/>
      <c r="AY426" s="184"/>
      <c r="AZ426" s="184"/>
      <c r="BA426" s="184"/>
      <c r="BB426" s="184"/>
    </row>
    <row r="427" spans="1:54" s="163" customFormat="1" ht="16.5" customHeight="1">
      <c r="A427" s="180"/>
      <c r="B427" s="181"/>
      <c r="C427" s="182"/>
      <c r="D427" s="182"/>
      <c r="E427" s="183"/>
      <c r="F427" s="183"/>
      <c r="G427" s="183"/>
      <c r="H427" s="184"/>
      <c r="I427" s="184"/>
      <c r="J427" s="184"/>
      <c r="K427" s="184"/>
      <c r="L427" s="184"/>
      <c r="M427" s="184"/>
      <c r="N427" s="184"/>
      <c r="O427" s="184"/>
      <c r="Q427" s="184"/>
      <c r="R427" s="185"/>
      <c r="S427" s="185"/>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6"/>
      <c r="AT427" s="187"/>
      <c r="AU427" s="187"/>
      <c r="AV427" s="187"/>
      <c r="AW427" s="224"/>
      <c r="AX427" s="184"/>
      <c r="AY427" s="184"/>
      <c r="AZ427" s="184"/>
      <c r="BA427" s="184"/>
      <c r="BB427" s="184"/>
    </row>
    <row r="428" spans="1:54" s="163" customFormat="1" ht="16.5" customHeight="1">
      <c r="A428" s="180"/>
      <c r="B428" s="181"/>
      <c r="C428" s="182"/>
      <c r="D428" s="182"/>
      <c r="E428" s="183"/>
      <c r="F428" s="183"/>
      <c r="G428" s="183"/>
      <c r="H428" s="184"/>
      <c r="I428" s="184"/>
      <c r="J428" s="184"/>
      <c r="K428" s="184"/>
      <c r="L428" s="184"/>
      <c r="M428" s="184"/>
      <c r="N428" s="184"/>
      <c r="O428" s="184"/>
      <c r="Q428" s="184"/>
      <c r="R428" s="185"/>
      <c r="S428" s="185"/>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6"/>
      <c r="AT428" s="187"/>
      <c r="AU428" s="187"/>
      <c r="AV428" s="187"/>
      <c r="AW428" s="224"/>
      <c r="AX428" s="184"/>
      <c r="AY428" s="184"/>
      <c r="AZ428" s="184"/>
      <c r="BA428" s="184"/>
      <c r="BB428" s="184"/>
    </row>
    <row r="429" spans="1:54" s="163" customFormat="1" ht="16.5" customHeight="1">
      <c r="A429" s="180"/>
      <c r="B429" s="181"/>
      <c r="C429" s="182"/>
      <c r="D429" s="182"/>
      <c r="E429" s="183"/>
      <c r="F429" s="183"/>
      <c r="G429" s="183"/>
      <c r="H429" s="184"/>
      <c r="I429" s="184"/>
      <c r="J429" s="184"/>
      <c r="K429" s="184"/>
      <c r="L429" s="184"/>
      <c r="M429" s="184"/>
      <c r="N429" s="184"/>
      <c r="O429" s="184"/>
      <c r="Q429" s="184"/>
      <c r="R429" s="185"/>
      <c r="S429" s="185"/>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6"/>
      <c r="AT429" s="187"/>
      <c r="AU429" s="187"/>
      <c r="AV429" s="187"/>
      <c r="AW429" s="224"/>
      <c r="AX429" s="184"/>
      <c r="AY429" s="184"/>
      <c r="AZ429" s="184"/>
      <c r="BA429" s="184"/>
      <c r="BB429" s="184"/>
    </row>
    <row r="430" spans="1:54" s="163" customFormat="1" ht="16.5" customHeight="1">
      <c r="A430" s="180"/>
      <c r="B430" s="181"/>
      <c r="C430" s="182"/>
      <c r="D430" s="182"/>
      <c r="E430" s="183"/>
      <c r="F430" s="183"/>
      <c r="G430" s="183"/>
      <c r="H430" s="184"/>
      <c r="I430" s="184"/>
      <c r="J430" s="184"/>
      <c r="K430" s="184"/>
      <c r="L430" s="184"/>
      <c r="M430" s="184"/>
      <c r="N430" s="184"/>
      <c r="O430" s="184"/>
      <c r="Q430" s="184"/>
      <c r="R430" s="185"/>
      <c r="S430" s="185"/>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6"/>
      <c r="AT430" s="187"/>
      <c r="AU430" s="187"/>
      <c r="AV430" s="187"/>
      <c r="AW430" s="224"/>
      <c r="AX430" s="184"/>
      <c r="AY430" s="184"/>
      <c r="AZ430" s="184"/>
      <c r="BA430" s="184"/>
      <c r="BB430" s="184"/>
    </row>
    <row r="431" spans="1:54" s="163" customFormat="1" ht="16.5" customHeight="1">
      <c r="A431" s="180"/>
      <c r="B431" s="181"/>
      <c r="C431" s="182"/>
      <c r="D431" s="182"/>
      <c r="E431" s="183"/>
      <c r="F431" s="183"/>
      <c r="G431" s="183"/>
      <c r="H431" s="184"/>
      <c r="I431" s="184"/>
      <c r="J431" s="184"/>
      <c r="K431" s="184"/>
      <c r="L431" s="184"/>
      <c r="M431" s="184"/>
      <c r="N431" s="184"/>
      <c r="O431" s="184"/>
      <c r="Q431" s="184"/>
      <c r="R431" s="185"/>
      <c r="S431" s="185"/>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6"/>
      <c r="AT431" s="187"/>
      <c r="AU431" s="187"/>
      <c r="AV431" s="187"/>
      <c r="AW431" s="224"/>
      <c r="AX431" s="184"/>
      <c r="AY431" s="184"/>
      <c r="AZ431" s="184"/>
      <c r="BA431" s="184"/>
      <c r="BB431" s="184"/>
    </row>
    <row r="432" spans="1:54" s="163" customFormat="1" ht="16.5" customHeight="1">
      <c r="A432" s="180"/>
      <c r="B432" s="181"/>
      <c r="C432" s="182"/>
      <c r="D432" s="182"/>
      <c r="E432" s="183"/>
      <c r="F432" s="183"/>
      <c r="G432" s="183"/>
      <c r="H432" s="184"/>
      <c r="I432" s="184"/>
      <c r="J432" s="184"/>
      <c r="K432" s="184"/>
      <c r="L432" s="184"/>
      <c r="M432" s="184"/>
      <c r="N432" s="184"/>
      <c r="O432" s="184"/>
      <c r="Q432" s="184"/>
      <c r="R432" s="185"/>
      <c r="S432" s="185"/>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6"/>
      <c r="AT432" s="187"/>
      <c r="AU432" s="187"/>
      <c r="AV432" s="187"/>
      <c r="AW432" s="224"/>
      <c r="AX432" s="184"/>
      <c r="AY432" s="184"/>
      <c r="AZ432" s="184"/>
      <c r="BA432" s="184"/>
      <c r="BB432" s="184"/>
    </row>
    <row r="433" spans="1:54" s="163" customFormat="1" ht="16.5" customHeight="1">
      <c r="A433" s="180"/>
      <c r="B433" s="181"/>
      <c r="C433" s="182"/>
      <c r="D433" s="182"/>
      <c r="E433" s="183"/>
      <c r="F433" s="183"/>
      <c r="G433" s="183"/>
      <c r="H433" s="184"/>
      <c r="I433" s="184"/>
      <c r="J433" s="184"/>
      <c r="K433" s="184"/>
      <c r="L433" s="184"/>
      <c r="M433" s="184"/>
      <c r="N433" s="184"/>
      <c r="O433" s="184"/>
      <c r="Q433" s="184"/>
      <c r="R433" s="185"/>
      <c r="S433" s="185"/>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6"/>
      <c r="AT433" s="187"/>
      <c r="AU433" s="187"/>
      <c r="AV433" s="187"/>
      <c r="AW433" s="224"/>
      <c r="AX433" s="184"/>
      <c r="AY433" s="184"/>
      <c r="AZ433" s="184"/>
      <c r="BA433" s="184"/>
      <c r="BB433" s="184"/>
    </row>
    <row r="434" spans="1:54" s="163" customFormat="1" ht="16.5" customHeight="1">
      <c r="A434" s="180"/>
      <c r="B434" s="181"/>
      <c r="C434" s="182"/>
      <c r="D434" s="182"/>
      <c r="E434" s="183"/>
      <c r="F434" s="183"/>
      <c r="G434" s="183"/>
      <c r="H434" s="184"/>
      <c r="I434" s="184"/>
      <c r="J434" s="184"/>
      <c r="K434" s="184"/>
      <c r="L434" s="184"/>
      <c r="M434" s="184"/>
      <c r="N434" s="184"/>
      <c r="O434" s="184"/>
      <c r="Q434" s="184"/>
      <c r="R434" s="185"/>
      <c r="S434" s="185"/>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6"/>
      <c r="AT434" s="187"/>
      <c r="AU434" s="187"/>
      <c r="AV434" s="187"/>
      <c r="AW434" s="224"/>
      <c r="AX434" s="184"/>
      <c r="AY434" s="184"/>
      <c r="AZ434" s="184"/>
      <c r="BA434" s="184"/>
      <c r="BB434" s="184"/>
    </row>
    <row r="435" spans="1:54" s="163" customFormat="1" ht="16.5" customHeight="1">
      <c r="A435" s="180"/>
      <c r="B435" s="181"/>
      <c r="C435" s="182"/>
      <c r="D435" s="182"/>
      <c r="E435" s="183"/>
      <c r="F435" s="183"/>
      <c r="G435" s="183"/>
      <c r="H435" s="184"/>
      <c r="I435" s="184"/>
      <c r="J435" s="184"/>
      <c r="K435" s="184"/>
      <c r="L435" s="184"/>
      <c r="M435" s="184"/>
      <c r="N435" s="184"/>
      <c r="O435" s="184"/>
      <c r="Q435" s="184"/>
      <c r="R435" s="185"/>
      <c r="S435" s="185"/>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6"/>
      <c r="AT435" s="187"/>
      <c r="AU435" s="187"/>
      <c r="AV435" s="187"/>
      <c r="AW435" s="224"/>
      <c r="AX435" s="184"/>
      <c r="AY435" s="184"/>
      <c r="AZ435" s="184"/>
      <c r="BA435" s="184"/>
      <c r="BB435" s="184"/>
    </row>
    <row r="436" spans="1:54" s="163" customFormat="1" ht="16.5" customHeight="1">
      <c r="A436" s="180"/>
      <c r="B436" s="181"/>
      <c r="C436" s="182"/>
      <c r="D436" s="182"/>
      <c r="E436" s="183"/>
      <c r="F436" s="183"/>
      <c r="G436" s="183"/>
      <c r="H436" s="184"/>
      <c r="I436" s="184"/>
      <c r="J436" s="184"/>
      <c r="K436" s="184"/>
      <c r="L436" s="184"/>
      <c r="M436" s="184"/>
      <c r="N436" s="184"/>
      <c r="O436" s="184"/>
      <c r="Q436" s="184"/>
      <c r="R436" s="185"/>
      <c r="S436" s="185"/>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6"/>
      <c r="AT436" s="187"/>
      <c r="AU436" s="187"/>
      <c r="AV436" s="187"/>
      <c r="AW436" s="224"/>
      <c r="AX436" s="184"/>
      <c r="AY436" s="184"/>
      <c r="AZ436" s="184"/>
      <c r="BA436" s="184"/>
      <c r="BB436" s="184"/>
    </row>
    <row r="437" spans="1:54" s="163" customFormat="1" ht="16.5" customHeight="1">
      <c r="A437" s="180"/>
      <c r="B437" s="181"/>
      <c r="C437" s="182"/>
      <c r="D437" s="182"/>
      <c r="E437" s="183"/>
      <c r="F437" s="183"/>
      <c r="G437" s="183"/>
      <c r="H437" s="184"/>
      <c r="I437" s="184"/>
      <c r="J437" s="184"/>
      <c r="K437" s="184"/>
      <c r="L437" s="184"/>
      <c r="M437" s="184"/>
      <c r="N437" s="184"/>
      <c r="O437" s="184"/>
      <c r="Q437" s="184"/>
      <c r="R437" s="185"/>
      <c r="S437" s="185"/>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6"/>
      <c r="AT437" s="187"/>
      <c r="AU437" s="187"/>
      <c r="AV437" s="187"/>
      <c r="AW437" s="224"/>
      <c r="AX437" s="184"/>
      <c r="AY437" s="184"/>
      <c r="AZ437" s="184"/>
      <c r="BA437" s="184"/>
      <c r="BB437" s="184"/>
    </row>
    <row r="438" spans="1:54" s="163" customFormat="1" ht="16.5" customHeight="1">
      <c r="A438" s="180"/>
      <c r="B438" s="181"/>
      <c r="C438" s="182"/>
      <c r="D438" s="182"/>
      <c r="E438" s="183"/>
      <c r="F438" s="183"/>
      <c r="G438" s="183"/>
      <c r="H438" s="184"/>
      <c r="I438" s="184"/>
      <c r="J438" s="184"/>
      <c r="K438" s="184"/>
      <c r="L438" s="184"/>
      <c r="M438" s="184"/>
      <c r="N438" s="184"/>
      <c r="O438" s="184"/>
      <c r="Q438" s="184"/>
      <c r="R438" s="185"/>
      <c r="S438" s="185"/>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6"/>
      <c r="AT438" s="187"/>
      <c r="AU438" s="187"/>
      <c r="AV438" s="187"/>
      <c r="AW438" s="224"/>
      <c r="AX438" s="184"/>
      <c r="AY438" s="184"/>
      <c r="AZ438" s="184"/>
      <c r="BA438" s="184"/>
      <c r="BB438" s="184"/>
    </row>
    <row r="439" spans="1:54" s="163" customFormat="1" ht="16.5" customHeight="1">
      <c r="A439" s="180"/>
      <c r="B439" s="181"/>
      <c r="C439" s="182"/>
      <c r="D439" s="182"/>
      <c r="E439" s="183"/>
      <c r="F439" s="183"/>
      <c r="G439" s="183"/>
      <c r="H439" s="184"/>
      <c r="I439" s="184"/>
      <c r="J439" s="184"/>
      <c r="K439" s="184"/>
      <c r="L439" s="184"/>
      <c r="M439" s="184"/>
      <c r="N439" s="184"/>
      <c r="O439" s="184"/>
      <c r="Q439" s="184"/>
      <c r="R439" s="185"/>
      <c r="S439" s="185"/>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6"/>
      <c r="AT439" s="187"/>
      <c r="AU439" s="187"/>
      <c r="AV439" s="187"/>
      <c r="AW439" s="224"/>
      <c r="AX439" s="184"/>
      <c r="AY439" s="184"/>
      <c r="AZ439" s="184"/>
      <c r="BA439" s="184"/>
      <c r="BB439" s="184"/>
    </row>
    <row r="440" spans="1:54" s="163" customFormat="1" ht="16.5" customHeight="1">
      <c r="A440" s="180"/>
      <c r="B440" s="181"/>
      <c r="C440" s="182"/>
      <c r="D440" s="182"/>
      <c r="E440" s="183"/>
      <c r="F440" s="183"/>
      <c r="G440" s="183"/>
      <c r="H440" s="184"/>
      <c r="I440" s="184"/>
      <c r="J440" s="184"/>
      <c r="K440" s="184"/>
      <c r="L440" s="184"/>
      <c r="M440" s="184"/>
      <c r="N440" s="184"/>
      <c r="O440" s="184"/>
      <c r="Q440" s="184"/>
      <c r="R440" s="185"/>
      <c r="S440" s="185"/>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6"/>
      <c r="AT440" s="187"/>
      <c r="AU440" s="187"/>
      <c r="AV440" s="187"/>
      <c r="AW440" s="224"/>
      <c r="AX440" s="184"/>
      <c r="AY440" s="184"/>
      <c r="AZ440" s="184"/>
      <c r="BA440" s="184"/>
      <c r="BB440" s="184"/>
    </row>
    <row r="441" spans="1:54" s="163" customFormat="1" ht="16.5" customHeight="1">
      <c r="A441" s="180"/>
      <c r="B441" s="181"/>
      <c r="C441" s="182"/>
      <c r="D441" s="182"/>
      <c r="E441" s="183"/>
      <c r="F441" s="183"/>
      <c r="G441" s="183"/>
      <c r="H441" s="184"/>
      <c r="I441" s="184"/>
      <c r="J441" s="184"/>
      <c r="K441" s="184"/>
      <c r="L441" s="184"/>
      <c r="M441" s="184"/>
      <c r="N441" s="184"/>
      <c r="O441" s="184"/>
      <c r="Q441" s="184"/>
      <c r="R441" s="185"/>
      <c r="S441" s="185"/>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6"/>
      <c r="AT441" s="187"/>
      <c r="AU441" s="187"/>
      <c r="AV441" s="187"/>
      <c r="AW441" s="224"/>
      <c r="AX441" s="184"/>
      <c r="AY441" s="184"/>
      <c r="AZ441" s="184"/>
      <c r="BA441" s="184"/>
      <c r="BB441" s="184"/>
    </row>
    <row r="442" spans="1:54" s="163" customFormat="1" ht="16.5" customHeight="1">
      <c r="A442" s="180"/>
      <c r="B442" s="181"/>
      <c r="C442" s="182"/>
      <c r="D442" s="182"/>
      <c r="E442" s="183"/>
      <c r="F442" s="183"/>
      <c r="G442" s="183"/>
      <c r="H442" s="184"/>
      <c r="I442" s="184"/>
      <c r="J442" s="184"/>
      <c r="K442" s="184"/>
      <c r="L442" s="184"/>
      <c r="M442" s="184"/>
      <c r="N442" s="184"/>
      <c r="O442" s="184"/>
      <c r="Q442" s="184"/>
      <c r="R442" s="185"/>
      <c r="S442" s="185"/>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6"/>
      <c r="AT442" s="187"/>
      <c r="AU442" s="187"/>
      <c r="AV442" s="187"/>
      <c r="AW442" s="224"/>
      <c r="AX442" s="184"/>
      <c r="AY442" s="184"/>
      <c r="AZ442" s="184"/>
      <c r="BA442" s="184"/>
      <c r="BB442" s="184"/>
    </row>
    <row r="443" spans="1:54" s="163" customFormat="1" ht="16.5" customHeight="1">
      <c r="A443" s="180"/>
      <c r="B443" s="181"/>
      <c r="C443" s="182"/>
      <c r="D443" s="182"/>
      <c r="E443" s="183"/>
      <c r="F443" s="183"/>
      <c r="G443" s="183"/>
      <c r="H443" s="184"/>
      <c r="I443" s="184"/>
      <c r="J443" s="184"/>
      <c r="K443" s="184"/>
      <c r="L443" s="184"/>
      <c r="M443" s="184"/>
      <c r="N443" s="184"/>
      <c r="O443" s="184"/>
      <c r="Q443" s="184"/>
      <c r="R443" s="185"/>
      <c r="S443" s="185"/>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6"/>
      <c r="AT443" s="187"/>
      <c r="AU443" s="187"/>
      <c r="AV443" s="187"/>
      <c r="AW443" s="224"/>
      <c r="AX443" s="184"/>
      <c r="AY443" s="184"/>
      <c r="AZ443" s="184"/>
      <c r="BA443" s="184"/>
      <c r="BB443" s="184"/>
    </row>
    <row r="444" spans="1:54" s="163" customFormat="1" ht="16.5" customHeight="1">
      <c r="A444" s="180"/>
      <c r="B444" s="181"/>
      <c r="C444" s="182"/>
      <c r="D444" s="182"/>
      <c r="E444" s="183"/>
      <c r="F444" s="183"/>
      <c r="G444" s="183"/>
      <c r="H444" s="184"/>
      <c r="I444" s="184"/>
      <c r="J444" s="184"/>
      <c r="K444" s="184"/>
      <c r="L444" s="184"/>
      <c r="M444" s="184"/>
      <c r="N444" s="184"/>
      <c r="O444" s="184"/>
      <c r="Q444" s="184"/>
      <c r="R444" s="185"/>
      <c r="S444" s="185"/>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6"/>
      <c r="AT444" s="187"/>
      <c r="AU444" s="187"/>
      <c r="AV444" s="187"/>
      <c r="AW444" s="224"/>
      <c r="AX444" s="184"/>
      <c r="AY444" s="184"/>
      <c r="AZ444" s="184"/>
      <c r="BA444" s="184"/>
      <c r="BB444" s="184"/>
    </row>
    <row r="445" spans="1:54" s="163" customFormat="1" ht="16.5" customHeight="1">
      <c r="A445" s="180"/>
      <c r="B445" s="181"/>
      <c r="C445" s="182"/>
      <c r="D445" s="182"/>
      <c r="E445" s="183"/>
      <c r="F445" s="183"/>
      <c r="G445" s="183"/>
      <c r="H445" s="184"/>
      <c r="I445" s="184"/>
      <c r="J445" s="184"/>
      <c r="K445" s="184"/>
      <c r="L445" s="184"/>
      <c r="M445" s="184"/>
      <c r="N445" s="184"/>
      <c r="O445" s="184"/>
      <c r="Q445" s="184"/>
      <c r="R445" s="185"/>
      <c r="S445" s="185"/>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6"/>
      <c r="AT445" s="187"/>
      <c r="AU445" s="187"/>
      <c r="AV445" s="187"/>
      <c r="AW445" s="224"/>
      <c r="AX445" s="184"/>
      <c r="AY445" s="184"/>
      <c r="AZ445" s="184"/>
      <c r="BA445" s="184"/>
      <c r="BB445" s="184"/>
    </row>
    <row r="446" spans="1:54" s="163" customFormat="1" ht="16.5" customHeight="1">
      <c r="A446" s="180"/>
      <c r="B446" s="181"/>
      <c r="C446" s="182"/>
      <c r="D446" s="182"/>
      <c r="E446" s="183"/>
      <c r="F446" s="183"/>
      <c r="G446" s="183"/>
      <c r="H446" s="184"/>
      <c r="I446" s="184"/>
      <c r="J446" s="184"/>
      <c r="K446" s="184"/>
      <c r="L446" s="184"/>
      <c r="M446" s="184"/>
      <c r="N446" s="184"/>
      <c r="O446" s="184"/>
      <c r="Q446" s="184"/>
      <c r="R446" s="185"/>
      <c r="S446" s="185"/>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6"/>
      <c r="AT446" s="187"/>
      <c r="AU446" s="187"/>
      <c r="AV446" s="187"/>
      <c r="AW446" s="224"/>
      <c r="AX446" s="184"/>
      <c r="AY446" s="184"/>
      <c r="AZ446" s="184"/>
      <c r="BA446" s="184"/>
      <c r="BB446" s="184"/>
    </row>
    <row r="447" spans="1:54" s="163" customFormat="1" ht="16.5" customHeight="1">
      <c r="A447" s="180"/>
      <c r="B447" s="181"/>
      <c r="C447" s="182"/>
      <c r="D447" s="182"/>
      <c r="E447" s="183"/>
      <c r="F447" s="183"/>
      <c r="G447" s="183"/>
      <c r="H447" s="184"/>
      <c r="I447" s="184"/>
      <c r="J447" s="184"/>
      <c r="K447" s="184"/>
      <c r="L447" s="184"/>
      <c r="M447" s="184"/>
      <c r="N447" s="184"/>
      <c r="O447" s="184"/>
      <c r="Q447" s="184"/>
      <c r="R447" s="185"/>
      <c r="S447" s="185"/>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6"/>
      <c r="AT447" s="187"/>
      <c r="AU447" s="187"/>
      <c r="AV447" s="187"/>
      <c r="AW447" s="224"/>
      <c r="AX447" s="184"/>
      <c r="AY447" s="184"/>
      <c r="AZ447" s="184"/>
      <c r="BA447" s="184"/>
      <c r="BB447" s="184"/>
    </row>
    <row r="448" spans="1:54" s="163" customFormat="1" ht="16.5" customHeight="1">
      <c r="A448" s="180"/>
      <c r="B448" s="181"/>
      <c r="C448" s="182"/>
      <c r="D448" s="182"/>
      <c r="E448" s="183"/>
      <c r="F448" s="183"/>
      <c r="G448" s="183"/>
      <c r="H448" s="184"/>
      <c r="I448" s="184"/>
      <c r="J448" s="184"/>
      <c r="K448" s="184"/>
      <c r="L448" s="184"/>
      <c r="M448" s="184"/>
      <c r="N448" s="184"/>
      <c r="O448" s="184"/>
      <c r="Q448" s="184"/>
      <c r="R448" s="185"/>
      <c r="S448" s="185"/>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6"/>
      <c r="AT448" s="187"/>
      <c r="AU448" s="187"/>
      <c r="AV448" s="187"/>
      <c r="AW448" s="224"/>
      <c r="AX448" s="184"/>
      <c r="AY448" s="184"/>
      <c r="AZ448" s="184"/>
      <c r="BA448" s="184"/>
      <c r="BB448" s="184"/>
    </row>
    <row r="449" spans="1:54" s="163" customFormat="1" ht="16.5" customHeight="1">
      <c r="A449" s="180"/>
      <c r="B449" s="181"/>
      <c r="C449" s="182"/>
      <c r="D449" s="182"/>
      <c r="E449" s="183"/>
      <c r="F449" s="183"/>
      <c r="G449" s="183"/>
      <c r="H449" s="184"/>
      <c r="I449" s="184"/>
      <c r="J449" s="184"/>
      <c r="K449" s="184"/>
      <c r="L449" s="184"/>
      <c r="M449" s="184"/>
      <c r="N449" s="184"/>
      <c r="O449" s="184"/>
      <c r="Q449" s="184"/>
      <c r="R449" s="185"/>
      <c r="S449" s="185"/>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6"/>
      <c r="AT449" s="187"/>
      <c r="AU449" s="187"/>
      <c r="AV449" s="187"/>
      <c r="AW449" s="224"/>
      <c r="AX449" s="184"/>
      <c r="AY449" s="184"/>
      <c r="AZ449" s="184"/>
      <c r="BA449" s="184"/>
      <c r="BB449" s="184"/>
    </row>
    <row r="450" spans="1:54" s="163" customFormat="1" ht="16.5" customHeight="1">
      <c r="A450" s="180"/>
      <c r="B450" s="181"/>
      <c r="C450" s="182"/>
      <c r="D450" s="182"/>
      <c r="E450" s="183"/>
      <c r="F450" s="183"/>
      <c r="G450" s="183"/>
      <c r="H450" s="184"/>
      <c r="I450" s="184"/>
      <c r="J450" s="184"/>
      <c r="K450" s="184"/>
      <c r="L450" s="184"/>
      <c r="M450" s="184"/>
      <c r="N450" s="184"/>
      <c r="O450" s="184"/>
      <c r="Q450" s="184"/>
      <c r="R450" s="185"/>
      <c r="S450" s="185"/>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6"/>
      <c r="AT450" s="187"/>
      <c r="AU450" s="187"/>
      <c r="AV450" s="187"/>
      <c r="AW450" s="224"/>
      <c r="AX450" s="184"/>
      <c r="AY450" s="184"/>
      <c r="AZ450" s="184"/>
      <c r="BA450" s="184"/>
      <c r="BB450" s="184"/>
    </row>
    <row r="451" spans="1:54" s="163" customFormat="1" ht="16.5" customHeight="1">
      <c r="A451" s="180"/>
      <c r="B451" s="181"/>
      <c r="C451" s="182"/>
      <c r="D451" s="182"/>
      <c r="E451" s="183"/>
      <c r="F451" s="183"/>
      <c r="G451" s="183"/>
      <c r="H451" s="184"/>
      <c r="I451" s="184"/>
      <c r="J451" s="184"/>
      <c r="K451" s="184"/>
      <c r="L451" s="184"/>
      <c r="M451" s="184"/>
      <c r="N451" s="184"/>
      <c r="O451" s="184"/>
      <c r="Q451" s="184"/>
      <c r="R451" s="185"/>
      <c r="S451" s="185"/>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6"/>
      <c r="AT451" s="187"/>
      <c r="AU451" s="187"/>
      <c r="AV451" s="187"/>
      <c r="AW451" s="224"/>
      <c r="AX451" s="184"/>
      <c r="AY451" s="184"/>
      <c r="AZ451" s="184"/>
      <c r="BA451" s="184"/>
      <c r="BB451" s="184"/>
    </row>
    <row r="452" spans="1:54" s="163" customFormat="1" ht="16.5" customHeight="1">
      <c r="A452" s="180"/>
      <c r="B452" s="181"/>
      <c r="C452" s="182"/>
      <c r="D452" s="182"/>
      <c r="E452" s="183"/>
      <c r="F452" s="183"/>
      <c r="G452" s="183"/>
      <c r="H452" s="184"/>
      <c r="I452" s="184"/>
      <c r="J452" s="184"/>
      <c r="K452" s="184"/>
      <c r="L452" s="184"/>
      <c r="M452" s="184"/>
      <c r="N452" s="184"/>
      <c r="O452" s="184"/>
      <c r="Q452" s="184"/>
      <c r="R452" s="185"/>
      <c r="S452" s="185"/>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6"/>
      <c r="AT452" s="187"/>
      <c r="AU452" s="187"/>
      <c r="AV452" s="187"/>
      <c r="AW452" s="224"/>
      <c r="AX452" s="184"/>
      <c r="AY452" s="184"/>
      <c r="AZ452" s="184"/>
      <c r="BA452" s="184"/>
      <c r="BB452" s="184"/>
    </row>
    <row r="453" spans="1:54" s="163" customFormat="1" ht="16.5" customHeight="1">
      <c r="A453" s="180"/>
      <c r="B453" s="181"/>
      <c r="C453" s="182"/>
      <c r="D453" s="182"/>
      <c r="E453" s="183"/>
      <c r="F453" s="183"/>
      <c r="G453" s="183"/>
      <c r="H453" s="184"/>
      <c r="I453" s="184"/>
      <c r="J453" s="184"/>
      <c r="K453" s="184"/>
      <c r="L453" s="184"/>
      <c r="M453" s="184"/>
      <c r="N453" s="184"/>
      <c r="O453" s="184"/>
      <c r="Q453" s="184"/>
      <c r="R453" s="185"/>
      <c r="S453" s="185"/>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6"/>
      <c r="AT453" s="187"/>
      <c r="AU453" s="187"/>
      <c r="AV453" s="187"/>
      <c r="AW453" s="224"/>
      <c r="AX453" s="184"/>
      <c r="AY453" s="184"/>
      <c r="AZ453" s="184"/>
      <c r="BA453" s="184"/>
      <c r="BB453" s="184"/>
    </row>
    <row r="454" spans="1:54" s="163" customFormat="1" ht="16.5" customHeight="1">
      <c r="A454" s="180"/>
      <c r="B454" s="181"/>
      <c r="C454" s="182"/>
      <c r="D454" s="182"/>
      <c r="E454" s="183"/>
      <c r="F454" s="183"/>
      <c r="G454" s="183"/>
      <c r="H454" s="184"/>
      <c r="I454" s="184"/>
      <c r="J454" s="184"/>
      <c r="K454" s="184"/>
      <c r="L454" s="184"/>
      <c r="M454" s="184"/>
      <c r="N454" s="184"/>
      <c r="O454" s="184"/>
      <c r="Q454" s="184"/>
      <c r="R454" s="185"/>
      <c r="S454" s="185"/>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6"/>
      <c r="AT454" s="187"/>
      <c r="AU454" s="187"/>
      <c r="AV454" s="187"/>
      <c r="AW454" s="224"/>
      <c r="AX454" s="184"/>
      <c r="AY454" s="184"/>
      <c r="AZ454" s="184"/>
      <c r="BA454" s="184"/>
      <c r="BB454" s="184"/>
    </row>
    <row r="455" spans="1:54" s="163" customFormat="1" ht="16.5" customHeight="1">
      <c r="A455" s="180"/>
      <c r="B455" s="181"/>
      <c r="C455" s="182"/>
      <c r="D455" s="182"/>
      <c r="E455" s="183"/>
      <c r="F455" s="183"/>
      <c r="G455" s="183"/>
      <c r="H455" s="184"/>
      <c r="I455" s="184"/>
      <c r="J455" s="184"/>
      <c r="K455" s="184"/>
      <c r="L455" s="184"/>
      <c r="M455" s="184"/>
      <c r="N455" s="184"/>
      <c r="O455" s="184"/>
      <c r="Q455" s="184"/>
      <c r="R455" s="185"/>
      <c r="S455" s="185"/>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6"/>
      <c r="AT455" s="187"/>
      <c r="AU455" s="187"/>
      <c r="AV455" s="187"/>
      <c r="AW455" s="224"/>
      <c r="AX455" s="184"/>
      <c r="AY455" s="184"/>
      <c r="AZ455" s="184"/>
      <c r="BA455" s="184"/>
      <c r="BB455" s="184"/>
    </row>
    <row r="456" spans="1:54" s="163" customFormat="1" ht="16.5" customHeight="1">
      <c r="A456" s="180"/>
      <c r="B456" s="181"/>
      <c r="C456" s="182"/>
      <c r="D456" s="182"/>
      <c r="E456" s="183"/>
      <c r="F456" s="183"/>
      <c r="G456" s="183"/>
      <c r="H456" s="184"/>
      <c r="I456" s="184"/>
      <c r="J456" s="184"/>
      <c r="K456" s="184"/>
      <c r="L456" s="184"/>
      <c r="M456" s="184"/>
      <c r="N456" s="184"/>
      <c r="O456" s="184"/>
      <c r="Q456" s="184"/>
      <c r="R456" s="185"/>
      <c r="S456" s="185"/>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6"/>
      <c r="AT456" s="187"/>
      <c r="AU456" s="187"/>
      <c r="AV456" s="187"/>
      <c r="AW456" s="224"/>
      <c r="AX456" s="184"/>
      <c r="AY456" s="184"/>
      <c r="AZ456" s="184"/>
      <c r="BA456" s="184"/>
      <c r="BB456" s="184"/>
    </row>
    <row r="457" spans="1:54" s="163" customFormat="1" ht="16.5" customHeight="1">
      <c r="A457" s="180"/>
      <c r="B457" s="181"/>
      <c r="C457" s="182"/>
      <c r="D457" s="182"/>
      <c r="E457" s="183"/>
      <c r="F457" s="183"/>
      <c r="G457" s="183"/>
      <c r="H457" s="184"/>
      <c r="I457" s="184"/>
      <c r="J457" s="184"/>
      <c r="K457" s="184"/>
      <c r="L457" s="184"/>
      <c r="M457" s="184"/>
      <c r="N457" s="184"/>
      <c r="O457" s="184"/>
      <c r="Q457" s="184"/>
      <c r="R457" s="185"/>
      <c r="S457" s="185"/>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6"/>
      <c r="AT457" s="187"/>
      <c r="AU457" s="187"/>
      <c r="AV457" s="187"/>
      <c r="AW457" s="224"/>
      <c r="AX457" s="184"/>
      <c r="AY457" s="184"/>
      <c r="AZ457" s="184"/>
      <c r="BA457" s="184"/>
      <c r="BB457" s="184"/>
    </row>
    <row r="458" spans="1:54" s="163" customFormat="1" ht="16.5" customHeight="1">
      <c r="A458" s="180"/>
      <c r="B458" s="181"/>
      <c r="C458" s="182"/>
      <c r="D458" s="182"/>
      <c r="E458" s="183"/>
      <c r="F458" s="183"/>
      <c r="G458" s="183"/>
      <c r="H458" s="184"/>
      <c r="I458" s="184"/>
      <c r="J458" s="184"/>
      <c r="K458" s="184"/>
      <c r="L458" s="184"/>
      <c r="M458" s="184"/>
      <c r="N458" s="184"/>
      <c r="O458" s="184"/>
      <c r="Q458" s="184"/>
      <c r="R458" s="185"/>
      <c r="S458" s="185"/>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6"/>
      <c r="AT458" s="187"/>
      <c r="AU458" s="187"/>
      <c r="AV458" s="187"/>
      <c r="AW458" s="224"/>
      <c r="AX458" s="184"/>
      <c r="AY458" s="184"/>
      <c r="AZ458" s="184"/>
      <c r="BA458" s="184"/>
      <c r="BB458" s="184"/>
    </row>
    <row r="459" spans="1:54" s="163" customFormat="1" ht="16.5" customHeight="1">
      <c r="A459" s="180"/>
      <c r="B459" s="181"/>
      <c r="C459" s="182"/>
      <c r="D459" s="182"/>
      <c r="E459" s="183"/>
      <c r="F459" s="183"/>
      <c r="G459" s="183"/>
      <c r="H459" s="184"/>
      <c r="I459" s="184"/>
      <c r="J459" s="184"/>
      <c r="K459" s="184"/>
      <c r="L459" s="184"/>
      <c r="M459" s="184"/>
      <c r="N459" s="184"/>
      <c r="O459" s="184"/>
      <c r="Q459" s="184"/>
      <c r="R459" s="185"/>
      <c r="S459" s="185"/>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6"/>
      <c r="AT459" s="187"/>
      <c r="AU459" s="187"/>
      <c r="AV459" s="187"/>
      <c r="AW459" s="224"/>
      <c r="AX459" s="184"/>
      <c r="AY459" s="184"/>
      <c r="AZ459" s="184"/>
      <c r="BA459" s="184"/>
      <c r="BB459" s="184"/>
    </row>
    <row r="460" spans="1:54" s="163" customFormat="1" ht="16.5" customHeight="1">
      <c r="A460" s="180"/>
      <c r="B460" s="181"/>
      <c r="C460" s="182"/>
      <c r="D460" s="182"/>
      <c r="E460" s="183"/>
      <c r="F460" s="183"/>
      <c r="G460" s="183"/>
      <c r="H460" s="184"/>
      <c r="I460" s="184"/>
      <c r="J460" s="184"/>
      <c r="K460" s="184"/>
      <c r="L460" s="184"/>
      <c r="M460" s="184"/>
      <c r="N460" s="184"/>
      <c r="O460" s="184"/>
      <c r="Q460" s="184"/>
      <c r="R460" s="185"/>
      <c r="S460" s="185"/>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6"/>
      <c r="AT460" s="187"/>
      <c r="AU460" s="187"/>
      <c r="AV460" s="187"/>
      <c r="AW460" s="224"/>
      <c r="AX460" s="184"/>
      <c r="AY460" s="184"/>
      <c r="AZ460" s="184"/>
      <c r="BA460" s="184"/>
      <c r="BB460" s="184"/>
    </row>
    <row r="461" spans="1:54" s="163" customFormat="1" ht="16.5" customHeight="1">
      <c r="A461" s="180"/>
      <c r="B461" s="181"/>
      <c r="C461" s="182"/>
      <c r="D461" s="182"/>
      <c r="E461" s="183"/>
      <c r="F461" s="183"/>
      <c r="G461" s="183"/>
      <c r="H461" s="184"/>
      <c r="I461" s="184"/>
      <c r="J461" s="184"/>
      <c r="K461" s="184"/>
      <c r="L461" s="184"/>
      <c r="M461" s="184"/>
      <c r="N461" s="184"/>
      <c r="O461" s="184"/>
      <c r="Q461" s="184"/>
      <c r="R461" s="185"/>
      <c r="S461" s="185"/>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6"/>
      <c r="AT461" s="187"/>
      <c r="AU461" s="187"/>
      <c r="AV461" s="187"/>
      <c r="AW461" s="224"/>
      <c r="AX461" s="184"/>
      <c r="AY461" s="184"/>
      <c r="AZ461" s="184"/>
      <c r="BA461" s="184"/>
      <c r="BB461" s="184"/>
    </row>
    <row r="462" spans="1:54" s="163" customFormat="1" ht="16.5" customHeight="1">
      <c r="A462" s="180"/>
      <c r="B462" s="181"/>
      <c r="C462" s="182"/>
      <c r="D462" s="182"/>
      <c r="E462" s="183"/>
      <c r="F462" s="183"/>
      <c r="G462" s="183"/>
      <c r="H462" s="184"/>
      <c r="I462" s="184"/>
      <c r="J462" s="184"/>
      <c r="K462" s="184"/>
      <c r="L462" s="184"/>
      <c r="M462" s="184"/>
      <c r="N462" s="184"/>
      <c r="O462" s="184"/>
      <c r="Q462" s="184"/>
      <c r="R462" s="185"/>
      <c r="S462" s="185"/>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6"/>
      <c r="AT462" s="187"/>
      <c r="AU462" s="187"/>
      <c r="AV462" s="187"/>
      <c r="AW462" s="224"/>
      <c r="AX462" s="184"/>
      <c r="AY462" s="184"/>
      <c r="AZ462" s="184"/>
      <c r="BA462" s="184"/>
      <c r="BB462" s="184"/>
    </row>
    <row r="463" spans="1:54" s="163" customFormat="1" ht="16.5" customHeight="1">
      <c r="A463" s="180"/>
      <c r="B463" s="181"/>
      <c r="C463" s="182"/>
      <c r="D463" s="182"/>
      <c r="E463" s="183"/>
      <c r="F463" s="183"/>
      <c r="G463" s="183"/>
      <c r="H463" s="184"/>
      <c r="I463" s="184"/>
      <c r="J463" s="184"/>
      <c r="K463" s="184"/>
      <c r="L463" s="184"/>
      <c r="M463" s="184"/>
      <c r="N463" s="184"/>
      <c r="O463" s="184"/>
      <c r="Q463" s="184"/>
      <c r="R463" s="185"/>
      <c r="S463" s="185"/>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6"/>
      <c r="AT463" s="187"/>
      <c r="AU463" s="187"/>
      <c r="AV463" s="187"/>
      <c r="AW463" s="224"/>
      <c r="AX463" s="184"/>
      <c r="AY463" s="184"/>
      <c r="AZ463" s="184"/>
      <c r="BA463" s="184"/>
      <c r="BB463" s="184"/>
    </row>
    <row r="464" spans="1:54" s="163" customFormat="1" ht="16.5" customHeight="1">
      <c r="A464" s="180"/>
      <c r="B464" s="181"/>
      <c r="C464" s="182"/>
      <c r="D464" s="182"/>
      <c r="E464" s="183"/>
      <c r="F464" s="183"/>
      <c r="G464" s="183"/>
      <c r="H464" s="184"/>
      <c r="I464" s="184"/>
      <c r="J464" s="184"/>
      <c r="K464" s="184"/>
      <c r="L464" s="184"/>
      <c r="M464" s="184"/>
      <c r="N464" s="184"/>
      <c r="O464" s="184"/>
      <c r="Q464" s="184"/>
      <c r="R464" s="185"/>
      <c r="S464" s="185"/>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6"/>
      <c r="AT464" s="187"/>
      <c r="AU464" s="187"/>
      <c r="AV464" s="187"/>
      <c r="AW464" s="224"/>
      <c r="AX464" s="184"/>
      <c r="AY464" s="184"/>
      <c r="AZ464" s="184"/>
      <c r="BA464" s="184"/>
      <c r="BB464" s="184"/>
    </row>
    <row r="465" spans="1:54" s="163" customFormat="1" ht="16.5" customHeight="1">
      <c r="A465" s="180"/>
      <c r="B465" s="181"/>
      <c r="C465" s="182"/>
      <c r="D465" s="182"/>
      <c r="E465" s="183"/>
      <c r="F465" s="183"/>
      <c r="G465" s="183"/>
      <c r="H465" s="184"/>
      <c r="I465" s="184"/>
      <c r="J465" s="184"/>
      <c r="K465" s="184"/>
      <c r="L465" s="184"/>
      <c r="M465" s="184"/>
      <c r="N465" s="184"/>
      <c r="O465" s="184"/>
      <c r="Q465" s="184"/>
      <c r="R465" s="185"/>
      <c r="S465" s="185"/>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6"/>
      <c r="AT465" s="187"/>
      <c r="AU465" s="187"/>
      <c r="AV465" s="187"/>
      <c r="AW465" s="224"/>
      <c r="AX465" s="184"/>
      <c r="AY465" s="184"/>
      <c r="AZ465" s="184"/>
      <c r="BA465" s="184"/>
      <c r="BB465" s="184"/>
    </row>
    <row r="466" spans="1:54" s="163" customFormat="1" ht="16.5" customHeight="1">
      <c r="A466" s="180"/>
      <c r="B466" s="181"/>
      <c r="C466" s="182"/>
      <c r="D466" s="182"/>
      <c r="E466" s="183"/>
      <c r="F466" s="183"/>
      <c r="G466" s="183"/>
      <c r="H466" s="184"/>
      <c r="I466" s="184"/>
      <c r="J466" s="184"/>
      <c r="K466" s="184"/>
      <c r="L466" s="184"/>
      <c r="M466" s="184"/>
      <c r="N466" s="184"/>
      <c r="O466" s="184"/>
      <c r="Q466" s="184"/>
      <c r="R466" s="185"/>
      <c r="S466" s="185"/>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6"/>
      <c r="AT466" s="187"/>
      <c r="AU466" s="187"/>
      <c r="AV466" s="187"/>
      <c r="AW466" s="224"/>
      <c r="AX466" s="184"/>
      <c r="AY466" s="184"/>
      <c r="AZ466" s="184"/>
      <c r="BA466" s="184"/>
      <c r="BB466" s="184"/>
    </row>
    <row r="467" spans="1:54" s="163" customFormat="1" ht="16.5" customHeight="1">
      <c r="A467" s="180"/>
      <c r="B467" s="181"/>
      <c r="C467" s="182"/>
      <c r="D467" s="182"/>
      <c r="E467" s="183"/>
      <c r="F467" s="183"/>
      <c r="G467" s="183"/>
      <c r="H467" s="184"/>
      <c r="I467" s="184"/>
      <c r="J467" s="184"/>
      <c r="K467" s="184"/>
      <c r="L467" s="184"/>
      <c r="M467" s="184"/>
      <c r="N467" s="184"/>
      <c r="O467" s="184"/>
      <c r="Q467" s="184"/>
      <c r="R467" s="185"/>
      <c r="S467" s="185"/>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6"/>
      <c r="AT467" s="187"/>
      <c r="AU467" s="187"/>
      <c r="AV467" s="187"/>
      <c r="AW467" s="224"/>
      <c r="AX467" s="184"/>
      <c r="AY467" s="184"/>
      <c r="AZ467" s="184"/>
      <c r="BA467" s="184"/>
      <c r="BB467" s="184"/>
    </row>
    <row r="468" spans="1:54" s="163" customFormat="1" ht="16.5" customHeight="1">
      <c r="A468" s="180"/>
      <c r="B468" s="181"/>
      <c r="C468" s="182"/>
      <c r="D468" s="182"/>
      <c r="E468" s="183"/>
      <c r="F468" s="183"/>
      <c r="G468" s="183"/>
      <c r="H468" s="184"/>
      <c r="I468" s="184"/>
      <c r="J468" s="184"/>
      <c r="K468" s="184"/>
      <c r="L468" s="184"/>
      <c r="M468" s="184"/>
      <c r="N468" s="184"/>
      <c r="O468" s="184"/>
      <c r="Q468" s="184"/>
      <c r="R468" s="185"/>
      <c r="S468" s="185"/>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6"/>
      <c r="AT468" s="187"/>
      <c r="AU468" s="187"/>
      <c r="AV468" s="187"/>
      <c r="AW468" s="224"/>
      <c r="AX468" s="184"/>
      <c r="AY468" s="184"/>
      <c r="AZ468" s="184"/>
      <c r="BA468" s="184"/>
      <c r="BB468" s="184"/>
    </row>
    <row r="469" spans="1:54" s="163" customFormat="1" ht="16.5" customHeight="1">
      <c r="A469" s="180"/>
      <c r="B469" s="181"/>
      <c r="C469" s="182"/>
      <c r="D469" s="182"/>
      <c r="E469" s="183"/>
      <c r="F469" s="183"/>
      <c r="G469" s="183"/>
      <c r="H469" s="184"/>
      <c r="I469" s="184"/>
      <c r="J469" s="184"/>
      <c r="K469" s="184"/>
      <c r="L469" s="184"/>
      <c r="M469" s="184"/>
      <c r="N469" s="184"/>
      <c r="O469" s="184"/>
      <c r="Q469" s="184"/>
      <c r="R469" s="185"/>
      <c r="S469" s="185"/>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6"/>
      <c r="AT469" s="187"/>
      <c r="AU469" s="187"/>
      <c r="AV469" s="187"/>
      <c r="AW469" s="224"/>
      <c r="AX469" s="184"/>
      <c r="AY469" s="184"/>
      <c r="AZ469" s="184"/>
      <c r="BA469" s="184"/>
      <c r="BB469" s="184"/>
    </row>
    <row r="470" spans="1:54" s="163" customFormat="1" ht="16.5" customHeight="1">
      <c r="A470" s="180"/>
      <c r="B470" s="181"/>
      <c r="C470" s="182"/>
      <c r="D470" s="182"/>
      <c r="E470" s="183"/>
      <c r="F470" s="183"/>
      <c r="G470" s="183"/>
      <c r="H470" s="184"/>
      <c r="I470" s="184"/>
      <c r="J470" s="184"/>
      <c r="K470" s="184"/>
      <c r="L470" s="184"/>
      <c r="M470" s="184"/>
      <c r="N470" s="184"/>
      <c r="O470" s="184"/>
      <c r="Q470" s="184"/>
      <c r="R470" s="185"/>
      <c r="S470" s="185"/>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6"/>
      <c r="AT470" s="187"/>
      <c r="AU470" s="187"/>
      <c r="AV470" s="187"/>
      <c r="AW470" s="224"/>
      <c r="AX470" s="184"/>
      <c r="AY470" s="184"/>
      <c r="AZ470" s="184"/>
      <c r="BA470" s="184"/>
      <c r="BB470" s="184"/>
    </row>
    <row r="471" spans="1:54" s="163" customFormat="1" ht="16.5" customHeight="1">
      <c r="A471" s="180"/>
      <c r="B471" s="181"/>
      <c r="C471" s="182"/>
      <c r="D471" s="182"/>
      <c r="E471" s="183"/>
      <c r="F471" s="183"/>
      <c r="G471" s="183"/>
      <c r="H471" s="184"/>
      <c r="I471" s="184"/>
      <c r="J471" s="184"/>
      <c r="K471" s="184"/>
      <c r="L471" s="184"/>
      <c r="M471" s="184"/>
      <c r="N471" s="184"/>
      <c r="O471" s="184"/>
      <c r="Q471" s="184"/>
      <c r="R471" s="185"/>
      <c r="S471" s="185"/>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6"/>
      <c r="AT471" s="187"/>
      <c r="AU471" s="187"/>
      <c r="AV471" s="187"/>
      <c r="AW471" s="224"/>
      <c r="AX471" s="184"/>
      <c r="AY471" s="184"/>
      <c r="AZ471" s="184"/>
      <c r="BA471" s="184"/>
      <c r="BB471" s="184"/>
    </row>
    <row r="472" spans="1:54" s="163" customFormat="1" ht="16.5" customHeight="1">
      <c r="A472" s="180"/>
      <c r="B472" s="181"/>
      <c r="C472" s="182"/>
      <c r="D472" s="182"/>
      <c r="E472" s="183"/>
      <c r="F472" s="183"/>
      <c r="G472" s="183"/>
      <c r="H472" s="184"/>
      <c r="I472" s="184"/>
      <c r="J472" s="184"/>
      <c r="K472" s="184"/>
      <c r="L472" s="184"/>
      <c r="M472" s="184"/>
      <c r="N472" s="184"/>
      <c r="O472" s="184"/>
      <c r="Q472" s="184"/>
      <c r="R472" s="185"/>
      <c r="S472" s="185"/>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6"/>
      <c r="AT472" s="187"/>
      <c r="AU472" s="187"/>
      <c r="AV472" s="187"/>
      <c r="AW472" s="224"/>
      <c r="AX472" s="184"/>
      <c r="AY472" s="184"/>
      <c r="AZ472" s="184"/>
      <c r="BA472" s="184"/>
      <c r="BB472" s="184"/>
    </row>
    <row r="473" spans="1:54" s="163" customFormat="1" ht="16.5" customHeight="1">
      <c r="A473" s="180"/>
      <c r="B473" s="181"/>
      <c r="C473" s="182"/>
      <c r="D473" s="182"/>
      <c r="E473" s="183"/>
      <c r="F473" s="183"/>
      <c r="G473" s="183"/>
      <c r="H473" s="184"/>
      <c r="I473" s="184"/>
      <c r="J473" s="184"/>
      <c r="K473" s="184"/>
      <c r="L473" s="184"/>
      <c r="M473" s="184"/>
      <c r="N473" s="184"/>
      <c r="O473" s="184"/>
      <c r="Q473" s="184"/>
      <c r="R473" s="185"/>
      <c r="S473" s="185"/>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6"/>
      <c r="AT473" s="187"/>
      <c r="AU473" s="187"/>
      <c r="AV473" s="187"/>
      <c r="AW473" s="224"/>
      <c r="AX473" s="184"/>
      <c r="AY473" s="184"/>
      <c r="AZ473" s="184"/>
      <c r="BA473" s="184"/>
      <c r="BB473" s="184"/>
    </row>
    <row r="474" spans="1:54" s="163" customFormat="1" ht="16.5" customHeight="1">
      <c r="A474" s="180"/>
      <c r="B474" s="181"/>
      <c r="C474" s="182"/>
      <c r="D474" s="182"/>
      <c r="E474" s="183"/>
      <c r="F474" s="183"/>
      <c r="G474" s="183"/>
      <c r="H474" s="184"/>
      <c r="I474" s="184"/>
      <c r="J474" s="184"/>
      <c r="K474" s="184"/>
      <c r="L474" s="184"/>
      <c r="M474" s="184"/>
      <c r="N474" s="184"/>
      <c r="O474" s="184"/>
      <c r="Q474" s="184"/>
      <c r="R474" s="185"/>
      <c r="S474" s="185"/>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6"/>
      <c r="AT474" s="187"/>
      <c r="AU474" s="187"/>
      <c r="AV474" s="187"/>
      <c r="AW474" s="224"/>
      <c r="AX474" s="184"/>
      <c r="AY474" s="184"/>
      <c r="AZ474" s="184"/>
      <c r="BA474" s="184"/>
      <c r="BB474" s="184"/>
    </row>
    <row r="475" spans="1:54" s="163" customFormat="1" ht="16.5" customHeight="1">
      <c r="A475" s="180"/>
      <c r="B475" s="181"/>
      <c r="C475" s="182"/>
      <c r="D475" s="182"/>
      <c r="E475" s="183"/>
      <c r="F475" s="183"/>
      <c r="G475" s="183"/>
      <c r="H475" s="184"/>
      <c r="I475" s="184"/>
      <c r="J475" s="184"/>
      <c r="K475" s="184"/>
      <c r="L475" s="184"/>
      <c r="M475" s="184"/>
      <c r="N475" s="184"/>
      <c r="O475" s="184"/>
      <c r="Q475" s="184"/>
      <c r="R475" s="185"/>
      <c r="S475" s="185"/>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6"/>
      <c r="AT475" s="187"/>
      <c r="AU475" s="187"/>
      <c r="AV475" s="187"/>
      <c r="AW475" s="224"/>
      <c r="AX475" s="184"/>
      <c r="AY475" s="184"/>
      <c r="AZ475" s="184"/>
      <c r="BA475" s="184"/>
      <c r="BB475" s="184"/>
    </row>
    <row r="476" spans="1:54" s="163" customFormat="1" ht="16.5" customHeight="1">
      <c r="A476" s="180"/>
      <c r="B476" s="181"/>
      <c r="C476" s="182"/>
      <c r="D476" s="182"/>
      <c r="E476" s="183"/>
      <c r="F476" s="183"/>
      <c r="G476" s="183"/>
      <c r="H476" s="184"/>
      <c r="I476" s="184"/>
      <c r="J476" s="184"/>
      <c r="K476" s="184"/>
      <c r="L476" s="184"/>
      <c r="M476" s="184"/>
      <c r="N476" s="184"/>
      <c r="O476" s="184"/>
      <c r="Q476" s="184"/>
      <c r="R476" s="185"/>
      <c r="S476" s="185"/>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6"/>
      <c r="AT476" s="187"/>
      <c r="AU476" s="187"/>
      <c r="AV476" s="187"/>
      <c r="AW476" s="224"/>
      <c r="AX476" s="184"/>
      <c r="AY476" s="184"/>
      <c r="AZ476" s="184"/>
      <c r="BA476" s="184"/>
      <c r="BB476" s="184"/>
    </row>
    <row r="477" spans="1:54" s="163" customFormat="1" ht="16.5" customHeight="1">
      <c r="A477" s="180"/>
      <c r="B477" s="181"/>
      <c r="C477" s="182"/>
      <c r="D477" s="182"/>
      <c r="E477" s="183"/>
      <c r="F477" s="183"/>
      <c r="G477" s="183"/>
      <c r="H477" s="184"/>
      <c r="I477" s="184"/>
      <c r="J477" s="184"/>
      <c r="K477" s="184"/>
      <c r="L477" s="184"/>
      <c r="M477" s="184"/>
      <c r="N477" s="184"/>
      <c r="O477" s="184"/>
      <c r="Q477" s="184"/>
      <c r="R477" s="185"/>
      <c r="S477" s="185"/>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6"/>
      <c r="AT477" s="187"/>
      <c r="AU477" s="187"/>
      <c r="AV477" s="187"/>
      <c r="AW477" s="224"/>
      <c r="AX477" s="184"/>
      <c r="AY477" s="184"/>
      <c r="AZ477" s="184"/>
      <c r="BA477" s="184"/>
      <c r="BB477" s="184"/>
    </row>
    <row r="478" spans="1:54" s="163" customFormat="1" ht="16.5" customHeight="1">
      <c r="A478" s="180"/>
      <c r="B478" s="181"/>
      <c r="C478" s="182"/>
      <c r="D478" s="182"/>
      <c r="E478" s="183"/>
      <c r="F478" s="183"/>
      <c r="G478" s="183"/>
      <c r="H478" s="184"/>
      <c r="I478" s="184"/>
      <c r="J478" s="184"/>
      <c r="K478" s="184"/>
      <c r="L478" s="184"/>
      <c r="M478" s="184"/>
      <c r="N478" s="184"/>
      <c r="O478" s="184"/>
      <c r="Q478" s="184"/>
      <c r="R478" s="185"/>
      <c r="S478" s="185"/>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6"/>
      <c r="AT478" s="187"/>
      <c r="AU478" s="187"/>
      <c r="AV478" s="187"/>
      <c r="AW478" s="224"/>
      <c r="AX478" s="184"/>
      <c r="AY478" s="184"/>
      <c r="AZ478" s="184"/>
      <c r="BA478" s="184"/>
      <c r="BB478" s="184"/>
    </row>
    <row r="479" spans="1:54" s="163" customFormat="1" ht="16.5" customHeight="1">
      <c r="A479" s="180"/>
      <c r="B479" s="181"/>
      <c r="C479" s="182"/>
      <c r="D479" s="182"/>
      <c r="E479" s="183"/>
      <c r="F479" s="183"/>
      <c r="G479" s="183"/>
      <c r="H479" s="184"/>
      <c r="I479" s="184"/>
      <c r="J479" s="184"/>
      <c r="K479" s="184"/>
      <c r="L479" s="184"/>
      <c r="M479" s="184"/>
      <c r="N479" s="184"/>
      <c r="O479" s="184"/>
      <c r="Q479" s="184"/>
      <c r="R479" s="185"/>
      <c r="S479" s="185"/>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6"/>
      <c r="AT479" s="187"/>
      <c r="AU479" s="187"/>
      <c r="AV479" s="187"/>
      <c r="AW479" s="224"/>
      <c r="AX479" s="184"/>
      <c r="AY479" s="184"/>
      <c r="AZ479" s="184"/>
      <c r="BA479" s="184"/>
      <c r="BB479" s="184"/>
    </row>
    <row r="480" spans="1:54" s="163" customFormat="1" ht="16.5" customHeight="1">
      <c r="A480" s="180"/>
      <c r="B480" s="181"/>
      <c r="C480" s="182"/>
      <c r="D480" s="182"/>
      <c r="E480" s="183"/>
      <c r="F480" s="183"/>
      <c r="G480" s="183"/>
      <c r="H480" s="184"/>
      <c r="I480" s="184"/>
      <c r="J480" s="184"/>
      <c r="K480" s="184"/>
      <c r="L480" s="184"/>
      <c r="M480" s="184"/>
      <c r="N480" s="184"/>
      <c r="O480" s="184"/>
      <c r="Q480" s="184"/>
      <c r="R480" s="185"/>
      <c r="S480" s="185"/>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6"/>
      <c r="AT480" s="187"/>
      <c r="AU480" s="187"/>
      <c r="AV480" s="187"/>
      <c r="AW480" s="224"/>
      <c r="AX480" s="184"/>
      <c r="AY480" s="184"/>
      <c r="AZ480" s="184"/>
      <c r="BA480" s="184"/>
      <c r="BB480" s="184"/>
    </row>
    <row r="481" spans="1:54" s="163" customFormat="1" ht="16.5" customHeight="1">
      <c r="A481" s="180"/>
      <c r="B481" s="181"/>
      <c r="C481" s="182"/>
      <c r="D481" s="182"/>
      <c r="E481" s="183"/>
      <c r="F481" s="183"/>
      <c r="G481" s="183"/>
      <c r="H481" s="184"/>
      <c r="I481" s="184"/>
      <c r="J481" s="184"/>
      <c r="K481" s="184"/>
      <c r="L481" s="184"/>
      <c r="M481" s="184"/>
      <c r="N481" s="184"/>
      <c r="O481" s="184"/>
      <c r="Q481" s="184"/>
      <c r="R481" s="185"/>
      <c r="S481" s="185"/>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6"/>
      <c r="AT481" s="187"/>
      <c r="AU481" s="187"/>
      <c r="AV481" s="187"/>
      <c r="AW481" s="224"/>
      <c r="AX481" s="184"/>
      <c r="AY481" s="184"/>
      <c r="AZ481" s="184"/>
      <c r="BA481" s="184"/>
      <c r="BB481" s="184"/>
    </row>
    <row r="482" spans="1:54" s="163" customFormat="1" ht="16.5" customHeight="1">
      <c r="A482" s="180"/>
      <c r="B482" s="181"/>
      <c r="C482" s="182"/>
      <c r="D482" s="182"/>
      <c r="E482" s="183"/>
      <c r="F482" s="183"/>
      <c r="G482" s="183"/>
      <c r="H482" s="184"/>
      <c r="I482" s="184"/>
      <c r="J482" s="184"/>
      <c r="K482" s="184"/>
      <c r="L482" s="184"/>
      <c r="M482" s="184"/>
      <c r="N482" s="184"/>
      <c r="O482" s="184"/>
      <c r="Q482" s="184"/>
      <c r="R482" s="185"/>
      <c r="S482" s="185"/>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6"/>
      <c r="AT482" s="187"/>
      <c r="AU482" s="187"/>
      <c r="AV482" s="187"/>
      <c r="AW482" s="224"/>
      <c r="AX482" s="184"/>
      <c r="AY482" s="184"/>
      <c r="AZ482" s="184"/>
      <c r="BA482" s="184"/>
      <c r="BB482" s="184"/>
    </row>
    <row r="483" spans="1:54" s="163" customFormat="1" ht="16.5" customHeight="1">
      <c r="A483" s="180"/>
      <c r="B483" s="181"/>
      <c r="C483" s="182"/>
      <c r="D483" s="182"/>
      <c r="E483" s="183"/>
      <c r="F483" s="183"/>
      <c r="G483" s="183"/>
      <c r="H483" s="184"/>
      <c r="I483" s="184"/>
      <c r="J483" s="184"/>
      <c r="K483" s="184"/>
      <c r="L483" s="184"/>
      <c r="M483" s="184"/>
      <c r="N483" s="184"/>
      <c r="O483" s="184"/>
      <c r="Q483" s="184"/>
      <c r="R483" s="185"/>
      <c r="S483" s="185"/>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6"/>
      <c r="AT483" s="187"/>
      <c r="AU483" s="187"/>
      <c r="AV483" s="187"/>
      <c r="AW483" s="224"/>
      <c r="AX483" s="184"/>
      <c r="AY483" s="184"/>
      <c r="AZ483" s="184"/>
      <c r="BA483" s="184"/>
      <c r="BB483" s="184"/>
    </row>
    <row r="484" spans="1:54" s="163" customFormat="1" ht="16.5" customHeight="1">
      <c r="A484" s="180"/>
      <c r="B484" s="181"/>
      <c r="C484" s="182"/>
      <c r="D484" s="182"/>
      <c r="E484" s="183"/>
      <c r="F484" s="183"/>
      <c r="G484" s="183"/>
      <c r="H484" s="184"/>
      <c r="I484" s="184"/>
      <c r="J484" s="184"/>
      <c r="K484" s="184"/>
      <c r="L484" s="184"/>
      <c r="M484" s="184"/>
      <c r="N484" s="184"/>
      <c r="O484" s="184"/>
      <c r="Q484" s="184"/>
      <c r="R484" s="185"/>
      <c r="S484" s="185"/>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6"/>
      <c r="AT484" s="187"/>
      <c r="AU484" s="187"/>
      <c r="AV484" s="187"/>
      <c r="AW484" s="224"/>
      <c r="AX484" s="184"/>
      <c r="AY484" s="184"/>
      <c r="AZ484" s="184"/>
      <c r="BA484" s="184"/>
      <c r="BB484" s="184"/>
    </row>
    <row r="485" spans="1:54" s="163" customFormat="1" ht="16.5" customHeight="1">
      <c r="A485" s="180"/>
      <c r="B485" s="181"/>
      <c r="C485" s="182"/>
      <c r="D485" s="182"/>
      <c r="E485" s="183"/>
      <c r="F485" s="183"/>
      <c r="G485" s="183"/>
      <c r="H485" s="184"/>
      <c r="I485" s="184"/>
      <c r="J485" s="184"/>
      <c r="K485" s="184"/>
      <c r="L485" s="184"/>
      <c r="M485" s="184"/>
      <c r="N485" s="184"/>
      <c r="O485" s="184"/>
      <c r="Q485" s="184"/>
      <c r="R485" s="185"/>
      <c r="S485" s="185"/>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6"/>
      <c r="AT485" s="187"/>
      <c r="AU485" s="187"/>
      <c r="AV485" s="187"/>
      <c r="AW485" s="224"/>
      <c r="AX485" s="184"/>
      <c r="AY485" s="184"/>
      <c r="AZ485" s="184"/>
      <c r="BA485" s="184"/>
      <c r="BB485" s="184"/>
    </row>
    <row r="486" spans="1:54" s="163" customFormat="1" ht="16.5" customHeight="1">
      <c r="A486" s="180"/>
      <c r="B486" s="181"/>
      <c r="C486" s="182"/>
      <c r="D486" s="182"/>
      <c r="E486" s="183"/>
      <c r="F486" s="183"/>
      <c r="G486" s="183"/>
      <c r="H486" s="184"/>
      <c r="I486" s="184"/>
      <c r="J486" s="184"/>
      <c r="K486" s="184"/>
      <c r="L486" s="184"/>
      <c r="M486" s="184"/>
      <c r="N486" s="184"/>
      <c r="O486" s="184"/>
      <c r="Q486" s="184"/>
      <c r="R486" s="185"/>
      <c r="S486" s="185"/>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6"/>
      <c r="AT486" s="187"/>
      <c r="AU486" s="187"/>
      <c r="AV486" s="187"/>
      <c r="AW486" s="224"/>
      <c r="AX486" s="184"/>
      <c r="AY486" s="184"/>
      <c r="AZ486" s="184"/>
      <c r="BA486" s="184"/>
      <c r="BB486" s="184"/>
    </row>
    <row r="487" spans="1:54" s="163" customFormat="1" ht="16.5" customHeight="1">
      <c r="A487" s="180"/>
      <c r="B487" s="181"/>
      <c r="C487" s="182"/>
      <c r="D487" s="182"/>
      <c r="E487" s="183"/>
      <c r="F487" s="183"/>
      <c r="G487" s="183"/>
      <c r="H487" s="184"/>
      <c r="I487" s="184"/>
      <c r="J487" s="184"/>
      <c r="K487" s="184"/>
      <c r="L487" s="184"/>
      <c r="M487" s="184"/>
      <c r="N487" s="184"/>
      <c r="O487" s="184"/>
      <c r="Q487" s="184"/>
      <c r="R487" s="185"/>
      <c r="S487" s="185"/>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6"/>
      <c r="AT487" s="187"/>
      <c r="AU487" s="187"/>
      <c r="AV487" s="187"/>
      <c r="AW487" s="224"/>
      <c r="AX487" s="184"/>
      <c r="AY487" s="184"/>
      <c r="AZ487" s="184"/>
      <c r="BA487" s="184"/>
      <c r="BB487" s="184"/>
    </row>
    <row r="488" spans="1:54" s="163" customFormat="1" ht="16.5" customHeight="1">
      <c r="A488" s="180"/>
      <c r="B488" s="181"/>
      <c r="C488" s="182"/>
      <c r="D488" s="182"/>
      <c r="E488" s="183"/>
      <c r="F488" s="183"/>
      <c r="G488" s="183"/>
      <c r="H488" s="184"/>
      <c r="I488" s="184"/>
      <c r="J488" s="184"/>
      <c r="K488" s="184"/>
      <c r="L488" s="184"/>
      <c r="M488" s="184"/>
      <c r="N488" s="184"/>
      <c r="O488" s="184"/>
      <c r="Q488" s="184"/>
      <c r="R488" s="185"/>
      <c r="S488" s="185"/>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6"/>
      <c r="AT488" s="187"/>
      <c r="AU488" s="187"/>
      <c r="AV488" s="187"/>
      <c r="AW488" s="224"/>
      <c r="AX488" s="184"/>
      <c r="AY488" s="184"/>
      <c r="AZ488" s="184"/>
      <c r="BA488" s="184"/>
      <c r="BB488" s="184"/>
    </row>
    <row r="489" spans="1:54" s="163" customFormat="1" ht="16.5" customHeight="1">
      <c r="A489" s="180"/>
      <c r="B489" s="181"/>
      <c r="C489" s="182"/>
      <c r="D489" s="182"/>
      <c r="E489" s="183"/>
      <c r="F489" s="183"/>
      <c r="G489" s="183"/>
      <c r="H489" s="184"/>
      <c r="I489" s="184"/>
      <c r="J489" s="184"/>
      <c r="K489" s="184"/>
      <c r="L489" s="184"/>
      <c r="M489" s="184"/>
      <c r="N489" s="184"/>
      <c r="O489" s="184"/>
      <c r="Q489" s="184"/>
      <c r="R489" s="185"/>
      <c r="S489" s="185"/>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6"/>
      <c r="AT489" s="187"/>
      <c r="AU489" s="187"/>
      <c r="AV489" s="187"/>
      <c r="AW489" s="224"/>
      <c r="AX489" s="184"/>
      <c r="AY489" s="184"/>
      <c r="AZ489" s="184"/>
      <c r="BA489" s="184"/>
      <c r="BB489" s="184"/>
    </row>
    <row r="490" spans="1:54" s="163" customFormat="1" ht="16.5" customHeight="1">
      <c r="A490" s="180"/>
      <c r="B490" s="181"/>
      <c r="C490" s="182"/>
      <c r="D490" s="182"/>
      <c r="E490" s="183"/>
      <c r="F490" s="183"/>
      <c r="G490" s="183"/>
      <c r="H490" s="184"/>
      <c r="I490" s="184"/>
      <c r="J490" s="184"/>
      <c r="K490" s="184"/>
      <c r="L490" s="184"/>
      <c r="M490" s="184"/>
      <c r="N490" s="184"/>
      <c r="O490" s="184"/>
      <c r="Q490" s="184"/>
      <c r="R490" s="185"/>
      <c r="S490" s="185"/>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6"/>
      <c r="AT490" s="187"/>
      <c r="AU490" s="187"/>
      <c r="AV490" s="187"/>
      <c r="AW490" s="224"/>
      <c r="AX490" s="184"/>
      <c r="AY490" s="184"/>
      <c r="AZ490" s="184"/>
      <c r="BA490" s="184"/>
      <c r="BB490" s="184"/>
    </row>
    <row r="491" spans="1:54" s="163" customFormat="1" ht="16.5" customHeight="1">
      <c r="A491" s="180"/>
      <c r="B491" s="181"/>
      <c r="C491" s="182"/>
      <c r="D491" s="182"/>
      <c r="E491" s="183"/>
      <c r="F491" s="183"/>
      <c r="G491" s="183"/>
      <c r="H491" s="184"/>
      <c r="I491" s="184"/>
      <c r="J491" s="184"/>
      <c r="K491" s="184"/>
      <c r="L491" s="184"/>
      <c r="M491" s="184"/>
      <c r="N491" s="184"/>
      <c r="O491" s="184"/>
      <c r="Q491" s="184"/>
      <c r="R491" s="185"/>
      <c r="S491" s="185"/>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6"/>
      <c r="AT491" s="187"/>
      <c r="AU491" s="187"/>
      <c r="AV491" s="187"/>
      <c r="AW491" s="224"/>
      <c r="AX491" s="184"/>
      <c r="AY491" s="184"/>
      <c r="AZ491" s="184"/>
      <c r="BA491" s="184"/>
      <c r="BB491" s="184"/>
    </row>
    <row r="492" spans="1:54" s="163" customFormat="1" ht="16.5" customHeight="1">
      <c r="A492" s="180"/>
      <c r="B492" s="181"/>
      <c r="C492" s="182"/>
      <c r="D492" s="182"/>
      <c r="E492" s="183"/>
      <c r="F492" s="183"/>
      <c r="G492" s="183"/>
      <c r="H492" s="184"/>
      <c r="I492" s="184"/>
      <c r="J492" s="184"/>
      <c r="K492" s="184"/>
      <c r="L492" s="184"/>
      <c r="M492" s="184"/>
      <c r="N492" s="184"/>
      <c r="O492" s="184"/>
      <c r="Q492" s="184"/>
      <c r="R492" s="185"/>
      <c r="S492" s="185"/>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6"/>
      <c r="AT492" s="187"/>
      <c r="AU492" s="187"/>
      <c r="AV492" s="187"/>
      <c r="AW492" s="224"/>
      <c r="AX492" s="184"/>
      <c r="AY492" s="184"/>
      <c r="AZ492" s="184"/>
      <c r="BA492" s="184"/>
      <c r="BB492" s="184"/>
    </row>
    <row r="493" spans="1:54" s="163" customFormat="1" ht="16.5" customHeight="1">
      <c r="A493" s="180"/>
      <c r="B493" s="181"/>
      <c r="C493" s="182"/>
      <c r="D493" s="182"/>
      <c r="E493" s="183"/>
      <c r="F493" s="183"/>
      <c r="G493" s="183"/>
      <c r="H493" s="184"/>
      <c r="I493" s="184"/>
      <c r="J493" s="184"/>
      <c r="K493" s="184"/>
      <c r="L493" s="184"/>
      <c r="M493" s="184"/>
      <c r="N493" s="184"/>
      <c r="O493" s="184"/>
      <c r="Q493" s="184"/>
      <c r="R493" s="185"/>
      <c r="S493" s="185"/>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6"/>
      <c r="AT493" s="187"/>
      <c r="AU493" s="187"/>
      <c r="AV493" s="187"/>
      <c r="AW493" s="224"/>
      <c r="AX493" s="184"/>
      <c r="AY493" s="184"/>
      <c r="AZ493" s="184"/>
      <c r="BA493" s="184"/>
      <c r="BB493" s="184"/>
    </row>
    <row r="494" spans="1:54" s="163" customFormat="1" ht="16.5" customHeight="1">
      <c r="A494" s="180"/>
      <c r="B494" s="181"/>
      <c r="C494" s="182"/>
      <c r="D494" s="182"/>
      <c r="E494" s="183"/>
      <c r="F494" s="183"/>
      <c r="G494" s="183"/>
      <c r="H494" s="184"/>
      <c r="I494" s="184"/>
      <c r="J494" s="184"/>
      <c r="K494" s="184"/>
      <c r="L494" s="184"/>
      <c r="M494" s="184"/>
      <c r="N494" s="184"/>
      <c r="O494" s="184"/>
      <c r="Q494" s="184"/>
      <c r="R494" s="185"/>
      <c r="S494" s="185"/>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6"/>
      <c r="AT494" s="187"/>
      <c r="AU494" s="187"/>
      <c r="AV494" s="187"/>
      <c r="AW494" s="224"/>
      <c r="AX494" s="184"/>
      <c r="AY494" s="184"/>
      <c r="AZ494" s="184"/>
      <c r="BA494" s="184"/>
      <c r="BB494" s="184"/>
    </row>
    <row r="495" spans="1:54" s="163" customFormat="1" ht="16.5" customHeight="1">
      <c r="A495" s="180"/>
      <c r="B495" s="181"/>
      <c r="C495" s="182"/>
      <c r="D495" s="182"/>
      <c r="E495" s="183"/>
      <c r="F495" s="183"/>
      <c r="G495" s="183"/>
      <c r="H495" s="184"/>
      <c r="I495" s="184"/>
      <c r="J495" s="184"/>
      <c r="K495" s="184"/>
      <c r="L495" s="184"/>
      <c r="M495" s="184"/>
      <c r="N495" s="184"/>
      <c r="O495" s="184"/>
      <c r="Q495" s="184"/>
      <c r="R495" s="185"/>
      <c r="S495" s="185"/>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6"/>
      <c r="AT495" s="187"/>
      <c r="AU495" s="187"/>
      <c r="AV495" s="187"/>
      <c r="AW495" s="224"/>
      <c r="AX495" s="184"/>
      <c r="AY495" s="184"/>
      <c r="AZ495" s="184"/>
      <c r="BA495" s="184"/>
      <c r="BB495" s="184"/>
    </row>
    <row r="496" spans="1:54" s="163" customFormat="1" ht="16.5" customHeight="1">
      <c r="A496" s="180"/>
      <c r="B496" s="181"/>
      <c r="C496" s="182"/>
      <c r="D496" s="182"/>
      <c r="E496" s="183"/>
      <c r="F496" s="183"/>
      <c r="G496" s="183"/>
      <c r="H496" s="184"/>
      <c r="I496" s="184"/>
      <c r="J496" s="184"/>
      <c r="K496" s="184"/>
      <c r="L496" s="184"/>
      <c r="M496" s="184"/>
      <c r="N496" s="184"/>
      <c r="O496" s="184"/>
      <c r="Q496" s="184"/>
      <c r="R496" s="185"/>
      <c r="S496" s="185"/>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6"/>
      <c r="AT496" s="187"/>
      <c r="AU496" s="187"/>
      <c r="AV496" s="187"/>
      <c r="AW496" s="224"/>
      <c r="AX496" s="184"/>
      <c r="AY496" s="184"/>
      <c r="AZ496" s="184"/>
      <c r="BA496" s="184"/>
      <c r="BB496" s="184"/>
    </row>
    <row r="497" spans="1:54" s="163" customFormat="1" ht="16.5" customHeight="1">
      <c r="A497" s="180"/>
      <c r="B497" s="181"/>
      <c r="C497" s="182"/>
      <c r="D497" s="182"/>
      <c r="E497" s="183"/>
      <c r="F497" s="183"/>
      <c r="G497" s="183"/>
      <c r="H497" s="184"/>
      <c r="I497" s="184"/>
      <c r="J497" s="184"/>
      <c r="K497" s="184"/>
      <c r="L497" s="184"/>
      <c r="M497" s="184"/>
      <c r="N497" s="184"/>
      <c r="O497" s="184"/>
      <c r="Q497" s="184"/>
      <c r="R497" s="185"/>
      <c r="S497" s="185"/>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6"/>
      <c r="AT497" s="187"/>
      <c r="AU497" s="187"/>
      <c r="AV497" s="187"/>
      <c r="AW497" s="224"/>
      <c r="AX497" s="184"/>
      <c r="AY497" s="184"/>
      <c r="AZ497" s="184"/>
      <c r="BA497" s="184"/>
      <c r="BB497" s="184"/>
    </row>
    <row r="498" spans="1:54" s="163" customFormat="1" ht="16.5" customHeight="1">
      <c r="A498" s="180"/>
      <c r="B498" s="181"/>
      <c r="C498" s="182"/>
      <c r="D498" s="182"/>
      <c r="E498" s="183"/>
      <c r="F498" s="183"/>
      <c r="G498" s="183"/>
      <c r="H498" s="184"/>
      <c r="I498" s="184"/>
      <c r="J498" s="184"/>
      <c r="K498" s="184"/>
      <c r="L498" s="184"/>
      <c r="M498" s="184"/>
      <c r="N498" s="184"/>
      <c r="O498" s="184"/>
      <c r="Q498" s="184"/>
      <c r="R498" s="185"/>
      <c r="S498" s="185"/>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6"/>
      <c r="AT498" s="187"/>
      <c r="AU498" s="187"/>
      <c r="AV498" s="187"/>
      <c r="AW498" s="224"/>
      <c r="AX498" s="184"/>
      <c r="AY498" s="184"/>
      <c r="AZ498" s="184"/>
      <c r="BA498" s="184"/>
      <c r="BB498" s="184"/>
    </row>
    <row r="499" spans="1:54" s="163" customFormat="1" ht="16.5" customHeight="1">
      <c r="A499" s="180"/>
      <c r="B499" s="181"/>
      <c r="C499" s="182"/>
      <c r="D499" s="182"/>
      <c r="E499" s="183"/>
      <c r="F499" s="183"/>
      <c r="G499" s="183"/>
      <c r="H499" s="184"/>
      <c r="I499" s="184"/>
      <c r="J499" s="184"/>
      <c r="K499" s="184"/>
      <c r="L499" s="184"/>
      <c r="M499" s="184"/>
      <c r="N499" s="184"/>
      <c r="O499" s="184"/>
      <c r="Q499" s="184"/>
      <c r="R499" s="185"/>
      <c r="S499" s="185"/>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6"/>
      <c r="AT499" s="187"/>
      <c r="AU499" s="187"/>
      <c r="AV499" s="187"/>
      <c r="AW499" s="224"/>
      <c r="AX499" s="184"/>
      <c r="AY499" s="184"/>
      <c r="AZ499" s="184"/>
      <c r="BA499" s="184"/>
      <c r="BB499" s="184"/>
    </row>
    <row r="500" spans="1:54" s="163" customFormat="1" ht="16.5" customHeight="1">
      <c r="A500" s="180"/>
      <c r="B500" s="181"/>
      <c r="C500" s="182"/>
      <c r="D500" s="182"/>
      <c r="E500" s="183"/>
      <c r="F500" s="183"/>
      <c r="G500" s="183"/>
      <c r="H500" s="184"/>
      <c r="I500" s="184"/>
      <c r="J500" s="184"/>
      <c r="K500" s="184"/>
      <c r="L500" s="184"/>
      <c r="M500" s="184"/>
      <c r="N500" s="184"/>
      <c r="O500" s="184"/>
      <c r="Q500" s="184"/>
      <c r="R500" s="185"/>
      <c r="S500" s="185"/>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6"/>
      <c r="AT500" s="187"/>
      <c r="AU500" s="187"/>
      <c r="AV500" s="187"/>
      <c r="AW500" s="224"/>
      <c r="AX500" s="184"/>
      <c r="AY500" s="184"/>
      <c r="AZ500" s="184"/>
      <c r="BA500" s="184"/>
      <c r="BB500" s="184"/>
    </row>
    <row r="501" spans="1:54" s="163" customFormat="1" ht="16.5" customHeight="1">
      <c r="A501" s="180"/>
      <c r="B501" s="181"/>
      <c r="C501" s="182"/>
      <c r="D501" s="182"/>
      <c r="E501" s="183"/>
      <c r="F501" s="183"/>
      <c r="G501" s="183"/>
      <c r="H501" s="184"/>
      <c r="I501" s="184"/>
      <c r="J501" s="184"/>
      <c r="K501" s="184"/>
      <c r="L501" s="184"/>
      <c r="M501" s="184"/>
      <c r="N501" s="184"/>
      <c r="O501" s="184"/>
      <c r="Q501" s="184"/>
      <c r="R501" s="185"/>
      <c r="S501" s="185"/>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6"/>
      <c r="AT501" s="187"/>
      <c r="AU501" s="187"/>
      <c r="AV501" s="187"/>
      <c r="AW501" s="224"/>
      <c r="AX501" s="184"/>
      <c r="AY501" s="184"/>
      <c r="AZ501" s="184"/>
      <c r="BA501" s="184"/>
      <c r="BB501" s="184"/>
    </row>
    <row r="502" spans="1:54" s="163" customFormat="1" ht="16.5" customHeight="1">
      <c r="A502" s="180"/>
      <c r="B502" s="181"/>
      <c r="C502" s="182"/>
      <c r="D502" s="182"/>
      <c r="E502" s="183"/>
      <c r="F502" s="183"/>
      <c r="G502" s="183"/>
      <c r="H502" s="184"/>
      <c r="I502" s="184"/>
      <c r="J502" s="184"/>
      <c r="K502" s="184"/>
      <c r="L502" s="184"/>
      <c r="M502" s="184"/>
      <c r="N502" s="184"/>
      <c r="O502" s="184"/>
      <c r="Q502" s="184"/>
      <c r="R502" s="185"/>
      <c r="S502" s="185"/>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6"/>
      <c r="AT502" s="187"/>
      <c r="AU502" s="187"/>
      <c r="AV502" s="187"/>
      <c r="AW502" s="224"/>
      <c r="AX502" s="184"/>
      <c r="AY502" s="184"/>
      <c r="AZ502" s="184"/>
      <c r="BA502" s="184"/>
      <c r="BB502" s="184"/>
    </row>
    <row r="503" spans="1:54" s="163" customFormat="1" ht="16.5" customHeight="1">
      <c r="A503" s="180"/>
      <c r="B503" s="181"/>
      <c r="C503" s="182"/>
      <c r="D503" s="182"/>
      <c r="E503" s="183"/>
      <c r="F503" s="183"/>
      <c r="G503" s="183"/>
      <c r="H503" s="184"/>
      <c r="I503" s="184"/>
      <c r="J503" s="184"/>
      <c r="K503" s="184"/>
      <c r="L503" s="184"/>
      <c r="M503" s="184"/>
      <c r="N503" s="184"/>
      <c r="O503" s="184"/>
      <c r="Q503" s="184"/>
      <c r="R503" s="185"/>
      <c r="S503" s="185"/>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6"/>
      <c r="AT503" s="187"/>
      <c r="AU503" s="187"/>
      <c r="AV503" s="187"/>
      <c r="AW503" s="224"/>
      <c r="AX503" s="184"/>
      <c r="AY503" s="184"/>
      <c r="AZ503" s="184"/>
      <c r="BA503" s="184"/>
      <c r="BB503" s="184"/>
    </row>
    <row r="504" spans="1:54" s="163" customFormat="1" ht="16.5" customHeight="1">
      <c r="A504" s="180"/>
      <c r="B504" s="181"/>
      <c r="C504" s="182"/>
      <c r="D504" s="182"/>
      <c r="E504" s="183"/>
      <c r="F504" s="183"/>
      <c r="G504" s="183"/>
      <c r="H504" s="184"/>
      <c r="I504" s="184"/>
      <c r="J504" s="184"/>
      <c r="K504" s="184"/>
      <c r="L504" s="184"/>
      <c r="M504" s="184"/>
      <c r="N504" s="184"/>
      <c r="O504" s="184"/>
      <c r="Q504" s="184"/>
      <c r="R504" s="185"/>
      <c r="S504" s="185"/>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6"/>
      <c r="AT504" s="187"/>
      <c r="AU504" s="187"/>
      <c r="AV504" s="187"/>
      <c r="AW504" s="224"/>
      <c r="AX504" s="184"/>
      <c r="AY504" s="184"/>
      <c r="AZ504" s="184"/>
      <c r="BA504" s="184"/>
      <c r="BB504" s="184"/>
    </row>
    <row r="505" spans="1:54" s="163" customFormat="1" ht="16.5" customHeight="1">
      <c r="A505" s="180"/>
      <c r="B505" s="181"/>
      <c r="C505" s="182"/>
      <c r="D505" s="182"/>
      <c r="E505" s="183"/>
      <c r="F505" s="183"/>
      <c r="G505" s="183"/>
      <c r="H505" s="184"/>
      <c r="I505" s="184"/>
      <c r="J505" s="184"/>
      <c r="K505" s="184"/>
      <c r="L505" s="184"/>
      <c r="M505" s="184"/>
      <c r="N505" s="184"/>
      <c r="O505" s="184"/>
      <c r="Q505" s="184"/>
      <c r="R505" s="185"/>
      <c r="S505" s="185"/>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6"/>
      <c r="AT505" s="187"/>
      <c r="AU505" s="187"/>
      <c r="AV505" s="187"/>
      <c r="AW505" s="224"/>
      <c r="AX505" s="184"/>
      <c r="AY505" s="184"/>
      <c r="AZ505" s="184"/>
      <c r="BA505" s="184"/>
      <c r="BB505" s="184"/>
    </row>
    <row r="506" spans="1:54" s="163" customFormat="1" ht="16.5" customHeight="1">
      <c r="A506" s="180"/>
      <c r="B506" s="181"/>
      <c r="C506" s="182"/>
      <c r="D506" s="182"/>
      <c r="E506" s="183"/>
      <c r="F506" s="183"/>
      <c r="G506" s="183"/>
      <c r="H506" s="184"/>
      <c r="I506" s="184"/>
      <c r="J506" s="184"/>
      <c r="K506" s="184"/>
      <c r="L506" s="184"/>
      <c r="M506" s="184"/>
      <c r="N506" s="184"/>
      <c r="O506" s="184"/>
      <c r="Q506" s="184"/>
      <c r="R506" s="185"/>
      <c r="S506" s="185"/>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6"/>
      <c r="AT506" s="187"/>
      <c r="AU506" s="187"/>
      <c r="AV506" s="187"/>
      <c r="AW506" s="224"/>
      <c r="AX506" s="184"/>
      <c r="AY506" s="184"/>
      <c r="AZ506" s="184"/>
      <c r="BA506" s="184"/>
      <c r="BB506" s="184"/>
    </row>
    <row r="507" spans="1:54" s="163" customFormat="1" ht="16.5" customHeight="1">
      <c r="A507" s="180"/>
      <c r="B507" s="181"/>
      <c r="C507" s="182"/>
      <c r="D507" s="182"/>
      <c r="E507" s="183"/>
      <c r="F507" s="183"/>
      <c r="G507" s="183"/>
      <c r="H507" s="184"/>
      <c r="I507" s="184"/>
      <c r="J507" s="184"/>
      <c r="K507" s="184"/>
      <c r="L507" s="184"/>
      <c r="M507" s="184"/>
      <c r="N507" s="184"/>
      <c r="O507" s="184"/>
      <c r="Q507" s="184"/>
      <c r="R507" s="185"/>
      <c r="S507" s="185"/>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6"/>
      <c r="AT507" s="187"/>
      <c r="AU507" s="187"/>
      <c r="AV507" s="187"/>
      <c r="AW507" s="224"/>
      <c r="AX507" s="184"/>
      <c r="AY507" s="184"/>
      <c r="AZ507" s="184"/>
      <c r="BA507" s="184"/>
      <c r="BB507" s="184"/>
    </row>
    <row r="508" spans="1:54" s="163" customFormat="1" ht="16.5" customHeight="1">
      <c r="A508" s="180"/>
      <c r="B508" s="181"/>
      <c r="C508" s="182"/>
      <c r="D508" s="182"/>
      <c r="E508" s="183"/>
      <c r="F508" s="183"/>
      <c r="G508" s="183"/>
      <c r="H508" s="184"/>
      <c r="I508" s="184"/>
      <c r="J508" s="184"/>
      <c r="K508" s="184"/>
      <c r="L508" s="184"/>
      <c r="M508" s="184"/>
      <c r="N508" s="184"/>
      <c r="O508" s="184"/>
      <c r="Q508" s="184"/>
      <c r="R508" s="185"/>
      <c r="S508" s="185"/>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6"/>
      <c r="AT508" s="187"/>
      <c r="AU508" s="187"/>
      <c r="AV508" s="187"/>
      <c r="AW508" s="224"/>
      <c r="AX508" s="184"/>
      <c r="AY508" s="184"/>
      <c r="AZ508" s="184"/>
      <c r="BA508" s="184"/>
      <c r="BB508" s="184"/>
    </row>
    <row r="509" spans="1:54" s="163" customFormat="1" ht="16.5" customHeight="1">
      <c r="A509" s="180"/>
      <c r="B509" s="181"/>
      <c r="C509" s="182"/>
      <c r="D509" s="182"/>
      <c r="E509" s="183"/>
      <c r="F509" s="183"/>
      <c r="G509" s="183"/>
      <c r="H509" s="184"/>
      <c r="I509" s="184"/>
      <c r="J509" s="184"/>
      <c r="K509" s="184"/>
      <c r="L509" s="184"/>
      <c r="M509" s="184"/>
      <c r="N509" s="184"/>
      <c r="O509" s="184"/>
      <c r="Q509" s="184"/>
      <c r="R509" s="185"/>
      <c r="S509" s="185"/>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6"/>
      <c r="AT509" s="187"/>
      <c r="AU509" s="187"/>
      <c r="AV509" s="187"/>
      <c r="AW509" s="224"/>
      <c r="AX509" s="184"/>
      <c r="AY509" s="184"/>
      <c r="AZ509" s="184"/>
      <c r="BA509" s="184"/>
      <c r="BB509" s="184"/>
    </row>
    <row r="510" spans="1:54" s="163" customFormat="1" ht="16.5" customHeight="1">
      <c r="A510" s="180"/>
      <c r="B510" s="181"/>
      <c r="C510" s="182"/>
      <c r="D510" s="182"/>
      <c r="E510" s="183"/>
      <c r="F510" s="183"/>
      <c r="G510" s="183"/>
      <c r="H510" s="184"/>
      <c r="I510" s="184"/>
      <c r="J510" s="184"/>
      <c r="K510" s="184"/>
      <c r="L510" s="184"/>
      <c r="M510" s="184"/>
      <c r="N510" s="184"/>
      <c r="O510" s="184"/>
      <c r="Q510" s="184"/>
      <c r="R510" s="185"/>
      <c r="S510" s="185"/>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6"/>
      <c r="AT510" s="187"/>
      <c r="AU510" s="187"/>
      <c r="AV510" s="187"/>
      <c r="AW510" s="224"/>
      <c r="AX510" s="184"/>
      <c r="AY510" s="184"/>
      <c r="AZ510" s="184"/>
      <c r="BA510" s="184"/>
      <c r="BB510" s="184"/>
    </row>
    <row r="511" spans="1:54" s="163" customFormat="1" ht="16.5" customHeight="1">
      <c r="A511" s="180"/>
      <c r="B511" s="181"/>
      <c r="C511" s="182"/>
      <c r="D511" s="182"/>
      <c r="E511" s="183"/>
      <c r="F511" s="183"/>
      <c r="G511" s="183"/>
      <c r="H511" s="184"/>
      <c r="I511" s="184"/>
      <c r="J511" s="184"/>
      <c r="K511" s="184"/>
      <c r="L511" s="184"/>
      <c r="M511" s="184"/>
      <c r="N511" s="184"/>
      <c r="O511" s="184"/>
      <c r="Q511" s="184"/>
      <c r="R511" s="185"/>
      <c r="S511" s="185"/>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6"/>
      <c r="AT511" s="187"/>
      <c r="AU511" s="187"/>
      <c r="AV511" s="187"/>
      <c r="AW511" s="224"/>
      <c r="AX511" s="184"/>
      <c r="AY511" s="184"/>
      <c r="AZ511" s="184"/>
      <c r="BA511" s="184"/>
      <c r="BB511" s="184"/>
    </row>
    <row r="512" spans="1:54" s="163" customFormat="1" ht="16.5" customHeight="1">
      <c r="A512" s="180"/>
      <c r="B512" s="181"/>
      <c r="C512" s="182"/>
      <c r="D512" s="182"/>
      <c r="E512" s="183"/>
      <c r="F512" s="183"/>
      <c r="G512" s="183"/>
      <c r="H512" s="184"/>
      <c r="I512" s="184"/>
      <c r="J512" s="184"/>
      <c r="K512" s="184"/>
      <c r="L512" s="184"/>
      <c r="M512" s="184"/>
      <c r="N512" s="184"/>
      <c r="O512" s="184"/>
      <c r="Q512" s="184"/>
      <c r="R512" s="185"/>
      <c r="S512" s="185"/>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6"/>
      <c r="AT512" s="187"/>
      <c r="AU512" s="187"/>
      <c r="AV512" s="187"/>
      <c r="AW512" s="224"/>
      <c r="AX512" s="184"/>
      <c r="AY512" s="184"/>
      <c r="AZ512" s="184"/>
      <c r="BA512" s="184"/>
      <c r="BB512" s="184"/>
    </row>
    <row r="513" spans="1:54" s="163" customFormat="1" ht="16.5" customHeight="1">
      <c r="A513" s="180"/>
      <c r="B513" s="181"/>
      <c r="C513" s="182"/>
      <c r="D513" s="182"/>
      <c r="E513" s="183"/>
      <c r="F513" s="183"/>
      <c r="G513" s="183"/>
      <c r="H513" s="184"/>
      <c r="I513" s="184"/>
      <c r="J513" s="184"/>
      <c r="K513" s="184"/>
      <c r="L513" s="184"/>
      <c r="M513" s="184"/>
      <c r="N513" s="184"/>
      <c r="O513" s="184"/>
      <c r="Q513" s="184"/>
      <c r="R513" s="185"/>
      <c r="S513" s="185"/>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6"/>
      <c r="AT513" s="187"/>
      <c r="AU513" s="187"/>
      <c r="AV513" s="187"/>
      <c r="AW513" s="224"/>
      <c r="AX513" s="184"/>
      <c r="AY513" s="184"/>
      <c r="AZ513" s="184"/>
      <c r="BA513" s="184"/>
      <c r="BB513" s="184"/>
    </row>
    <row r="514" spans="1:54" s="163" customFormat="1" ht="16.5" customHeight="1">
      <c r="A514" s="180"/>
      <c r="B514" s="181"/>
      <c r="C514" s="182"/>
      <c r="D514" s="182"/>
      <c r="E514" s="183"/>
      <c r="F514" s="183"/>
      <c r="G514" s="183"/>
      <c r="H514" s="184"/>
      <c r="I514" s="184"/>
      <c r="J514" s="184"/>
      <c r="K514" s="184"/>
      <c r="L514" s="184"/>
      <c r="M514" s="184"/>
      <c r="N514" s="184"/>
      <c r="O514" s="184"/>
      <c r="Q514" s="184"/>
      <c r="R514" s="185"/>
      <c r="S514" s="185"/>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6"/>
      <c r="AT514" s="187"/>
      <c r="AU514" s="187"/>
      <c r="AV514" s="187"/>
      <c r="AW514" s="224"/>
      <c r="AX514" s="184"/>
      <c r="AY514" s="184"/>
      <c r="AZ514" s="184"/>
      <c r="BA514" s="184"/>
      <c r="BB514" s="184"/>
    </row>
    <row r="515" spans="1:54" s="163" customFormat="1" ht="16.5" customHeight="1">
      <c r="A515" s="180"/>
      <c r="B515" s="181"/>
      <c r="C515" s="182"/>
      <c r="D515" s="182"/>
      <c r="E515" s="183"/>
      <c r="F515" s="183"/>
      <c r="G515" s="183"/>
      <c r="H515" s="184"/>
      <c r="I515" s="184"/>
      <c r="J515" s="184"/>
      <c r="K515" s="184"/>
      <c r="L515" s="184"/>
      <c r="M515" s="184"/>
      <c r="N515" s="184"/>
      <c r="O515" s="184"/>
      <c r="Q515" s="184"/>
      <c r="R515" s="185"/>
      <c r="S515" s="185"/>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6"/>
      <c r="AT515" s="187"/>
      <c r="AU515" s="187"/>
      <c r="AV515" s="187"/>
      <c r="AW515" s="224"/>
      <c r="AX515" s="184"/>
      <c r="AY515" s="184"/>
      <c r="AZ515" s="184"/>
      <c r="BA515" s="184"/>
      <c r="BB515" s="184"/>
    </row>
    <row r="516" spans="1:54" s="163" customFormat="1" ht="16.5" customHeight="1">
      <c r="A516" s="180"/>
      <c r="B516" s="181"/>
      <c r="C516" s="182"/>
      <c r="D516" s="182"/>
      <c r="E516" s="183"/>
      <c r="F516" s="183"/>
      <c r="G516" s="183"/>
      <c r="H516" s="184"/>
      <c r="I516" s="184"/>
      <c r="J516" s="184"/>
      <c r="K516" s="184"/>
      <c r="L516" s="184"/>
      <c r="M516" s="184"/>
      <c r="N516" s="184"/>
      <c r="O516" s="184"/>
      <c r="Q516" s="184"/>
      <c r="R516" s="185"/>
      <c r="S516" s="185"/>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6"/>
      <c r="AT516" s="187"/>
      <c r="AU516" s="187"/>
      <c r="AV516" s="187"/>
      <c r="AW516" s="224"/>
      <c r="AX516" s="184"/>
      <c r="AY516" s="184"/>
      <c r="AZ516" s="184"/>
      <c r="BA516" s="184"/>
      <c r="BB516" s="184"/>
    </row>
    <row r="517" spans="1:54" s="163" customFormat="1" ht="16.5" customHeight="1">
      <c r="A517" s="180"/>
      <c r="B517" s="181"/>
      <c r="C517" s="182"/>
      <c r="D517" s="182"/>
      <c r="E517" s="183"/>
      <c r="F517" s="183"/>
      <c r="G517" s="183"/>
      <c r="H517" s="184"/>
      <c r="I517" s="184"/>
      <c r="J517" s="184"/>
      <c r="K517" s="184"/>
      <c r="L517" s="184"/>
      <c r="M517" s="184"/>
      <c r="N517" s="184"/>
      <c r="O517" s="184"/>
      <c r="Q517" s="184"/>
      <c r="R517" s="185"/>
      <c r="S517" s="185"/>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6"/>
      <c r="AT517" s="187"/>
      <c r="AU517" s="187"/>
      <c r="AV517" s="187"/>
      <c r="AW517" s="224"/>
      <c r="AX517" s="184"/>
      <c r="AY517" s="184"/>
      <c r="AZ517" s="184"/>
      <c r="BA517" s="184"/>
      <c r="BB517" s="184"/>
    </row>
    <row r="518" spans="1:54" s="163" customFormat="1" ht="16.5" customHeight="1">
      <c r="A518" s="180"/>
      <c r="B518" s="181"/>
      <c r="C518" s="182"/>
      <c r="D518" s="182"/>
      <c r="E518" s="183"/>
      <c r="F518" s="183"/>
      <c r="G518" s="183"/>
      <c r="H518" s="184"/>
      <c r="I518" s="184"/>
      <c r="J518" s="184"/>
      <c r="K518" s="184"/>
      <c r="L518" s="184"/>
      <c r="M518" s="184"/>
      <c r="N518" s="184"/>
      <c r="O518" s="184"/>
      <c r="Q518" s="184"/>
      <c r="R518" s="185"/>
      <c r="S518" s="185"/>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6"/>
      <c r="AT518" s="187"/>
      <c r="AU518" s="187"/>
      <c r="AV518" s="187"/>
      <c r="AW518" s="224"/>
      <c r="AX518" s="184"/>
      <c r="AY518" s="184"/>
      <c r="AZ518" s="184"/>
      <c r="BA518" s="184"/>
      <c r="BB518" s="184"/>
    </row>
    <row r="519" spans="1:54" s="163" customFormat="1" ht="16.5" customHeight="1">
      <c r="A519" s="180"/>
      <c r="B519" s="181"/>
      <c r="C519" s="182"/>
      <c r="D519" s="182"/>
      <c r="E519" s="183"/>
      <c r="F519" s="183"/>
      <c r="G519" s="183"/>
      <c r="H519" s="184"/>
      <c r="I519" s="184"/>
      <c r="J519" s="184"/>
      <c r="K519" s="184"/>
      <c r="L519" s="184"/>
      <c r="M519" s="184"/>
      <c r="N519" s="184"/>
      <c r="O519" s="184"/>
      <c r="Q519" s="184"/>
      <c r="R519" s="185"/>
      <c r="S519" s="185"/>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6"/>
      <c r="AT519" s="187"/>
      <c r="AU519" s="187"/>
      <c r="AV519" s="187"/>
      <c r="AW519" s="224"/>
      <c r="AX519" s="184"/>
      <c r="AY519" s="184"/>
      <c r="AZ519" s="184"/>
      <c r="BA519" s="184"/>
      <c r="BB519" s="184"/>
    </row>
    <row r="520" spans="1:54" s="163" customFormat="1" ht="16.5" customHeight="1">
      <c r="A520" s="180"/>
      <c r="B520" s="181"/>
      <c r="C520" s="182"/>
      <c r="D520" s="182"/>
      <c r="E520" s="183"/>
      <c r="F520" s="183"/>
      <c r="G520" s="183"/>
      <c r="H520" s="184"/>
      <c r="I520" s="184"/>
      <c r="J520" s="184"/>
      <c r="K520" s="184"/>
      <c r="L520" s="184"/>
      <c r="M520" s="184"/>
      <c r="N520" s="184"/>
      <c r="O520" s="184"/>
      <c r="Q520" s="184"/>
      <c r="R520" s="185"/>
      <c r="S520" s="185"/>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6"/>
      <c r="AT520" s="187"/>
      <c r="AU520" s="187"/>
      <c r="AV520" s="187"/>
      <c r="AW520" s="224"/>
      <c r="AX520" s="184"/>
      <c r="AY520" s="184"/>
      <c r="AZ520" s="184"/>
      <c r="BA520" s="184"/>
      <c r="BB520" s="184"/>
    </row>
    <row r="521" spans="1:54" s="163" customFormat="1" ht="16.5" customHeight="1">
      <c r="A521" s="180"/>
      <c r="B521" s="181"/>
      <c r="C521" s="182"/>
      <c r="D521" s="182"/>
      <c r="E521" s="183"/>
      <c r="F521" s="183"/>
      <c r="G521" s="183"/>
      <c r="H521" s="184"/>
      <c r="I521" s="184"/>
      <c r="J521" s="184"/>
      <c r="K521" s="184"/>
      <c r="L521" s="184"/>
      <c r="M521" s="184"/>
      <c r="N521" s="184"/>
      <c r="O521" s="184"/>
      <c r="Q521" s="184"/>
      <c r="R521" s="185"/>
      <c r="S521" s="185"/>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6"/>
      <c r="AT521" s="187"/>
      <c r="AU521" s="187"/>
      <c r="AV521" s="187"/>
      <c r="AW521" s="224"/>
      <c r="AX521" s="184"/>
      <c r="AY521" s="184"/>
      <c r="AZ521" s="184"/>
      <c r="BA521" s="184"/>
      <c r="BB521" s="184"/>
    </row>
    <row r="522" spans="1:54" s="163" customFormat="1" ht="16.5" customHeight="1">
      <c r="A522" s="180"/>
      <c r="B522" s="181"/>
      <c r="C522" s="182"/>
      <c r="D522" s="182"/>
      <c r="E522" s="183"/>
      <c r="F522" s="183"/>
      <c r="G522" s="183"/>
      <c r="H522" s="184"/>
      <c r="I522" s="184"/>
      <c r="J522" s="184"/>
      <c r="K522" s="184"/>
      <c r="L522" s="184"/>
      <c r="M522" s="184"/>
      <c r="N522" s="184"/>
      <c r="O522" s="184"/>
      <c r="Q522" s="184"/>
      <c r="R522" s="185"/>
      <c r="S522" s="185"/>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6"/>
      <c r="AT522" s="187"/>
      <c r="AU522" s="187"/>
      <c r="AV522" s="187"/>
      <c r="AW522" s="224"/>
      <c r="AX522" s="184"/>
      <c r="AY522" s="184"/>
      <c r="AZ522" s="184"/>
      <c r="BA522" s="184"/>
      <c r="BB522" s="184"/>
    </row>
    <row r="523" spans="1:54" s="163" customFormat="1" ht="16.5" customHeight="1">
      <c r="A523" s="180"/>
      <c r="B523" s="181"/>
      <c r="C523" s="182"/>
      <c r="D523" s="182"/>
      <c r="E523" s="183"/>
      <c r="F523" s="183"/>
      <c r="G523" s="183"/>
      <c r="H523" s="184"/>
      <c r="I523" s="184"/>
      <c r="J523" s="184"/>
      <c r="K523" s="184"/>
      <c r="L523" s="184"/>
      <c r="M523" s="184"/>
      <c r="N523" s="184"/>
      <c r="O523" s="184"/>
      <c r="Q523" s="184"/>
      <c r="R523" s="185"/>
      <c r="S523" s="185"/>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6"/>
      <c r="AT523" s="187"/>
      <c r="AU523" s="187"/>
      <c r="AV523" s="187"/>
      <c r="AW523" s="224"/>
      <c r="AX523" s="184"/>
      <c r="AY523" s="184"/>
      <c r="AZ523" s="184"/>
      <c r="BA523" s="184"/>
      <c r="BB523" s="184"/>
    </row>
    <row r="524" spans="1:54" s="163" customFormat="1" ht="16.5" customHeight="1">
      <c r="A524" s="180"/>
      <c r="B524" s="181"/>
      <c r="C524" s="182"/>
      <c r="D524" s="182"/>
      <c r="E524" s="183"/>
      <c r="F524" s="183"/>
      <c r="G524" s="183"/>
      <c r="H524" s="184"/>
      <c r="I524" s="184"/>
      <c r="J524" s="184"/>
      <c r="K524" s="184"/>
      <c r="L524" s="184"/>
      <c r="M524" s="184"/>
      <c r="N524" s="184"/>
      <c r="O524" s="184"/>
      <c r="Q524" s="184"/>
      <c r="R524" s="185"/>
      <c r="S524" s="185"/>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6"/>
      <c r="AT524" s="187"/>
      <c r="AU524" s="187"/>
      <c r="AV524" s="187"/>
      <c r="AW524" s="224"/>
      <c r="AX524" s="184"/>
      <c r="AY524" s="184"/>
      <c r="AZ524" s="184"/>
      <c r="BA524" s="184"/>
      <c r="BB524" s="184"/>
    </row>
    <row r="525" spans="1:54" s="163" customFormat="1" ht="16.5" customHeight="1">
      <c r="A525" s="180"/>
      <c r="B525" s="181"/>
      <c r="C525" s="182"/>
      <c r="D525" s="182"/>
      <c r="E525" s="183"/>
      <c r="F525" s="183"/>
      <c r="G525" s="183"/>
      <c r="H525" s="184"/>
      <c r="I525" s="184"/>
      <c r="J525" s="184"/>
      <c r="K525" s="184"/>
      <c r="L525" s="184"/>
      <c r="M525" s="184"/>
      <c r="N525" s="184"/>
      <c r="O525" s="184"/>
      <c r="Q525" s="184"/>
      <c r="R525" s="185"/>
      <c r="S525" s="185"/>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6"/>
      <c r="AT525" s="187"/>
      <c r="AU525" s="187"/>
      <c r="AV525" s="187"/>
      <c r="AW525" s="224"/>
      <c r="AX525" s="184"/>
      <c r="AY525" s="184"/>
      <c r="AZ525" s="184"/>
      <c r="BA525" s="184"/>
      <c r="BB525" s="184"/>
    </row>
    <row r="526" spans="1:54" s="163" customFormat="1" ht="16.5" customHeight="1">
      <c r="A526" s="180"/>
      <c r="B526" s="181"/>
      <c r="C526" s="182"/>
      <c r="D526" s="182"/>
      <c r="E526" s="183"/>
      <c r="F526" s="183"/>
      <c r="G526" s="183"/>
      <c r="H526" s="184"/>
      <c r="I526" s="184"/>
      <c r="J526" s="184"/>
      <c r="K526" s="184"/>
      <c r="L526" s="184"/>
      <c r="M526" s="184"/>
      <c r="N526" s="184"/>
      <c r="O526" s="184"/>
      <c r="Q526" s="184"/>
      <c r="R526" s="185"/>
      <c r="S526" s="185"/>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6"/>
      <c r="AT526" s="187"/>
      <c r="AU526" s="187"/>
      <c r="AV526" s="187"/>
      <c r="AW526" s="224"/>
      <c r="AX526" s="184"/>
      <c r="AY526" s="184"/>
      <c r="AZ526" s="184"/>
      <c r="BA526" s="184"/>
      <c r="BB526" s="184"/>
    </row>
    <row r="527" spans="1:54" s="163" customFormat="1" ht="16.5" customHeight="1">
      <c r="A527" s="180"/>
      <c r="B527" s="181"/>
      <c r="C527" s="182"/>
      <c r="D527" s="182"/>
      <c r="E527" s="183"/>
      <c r="F527" s="183"/>
      <c r="G527" s="183"/>
      <c r="H527" s="184"/>
      <c r="I527" s="184"/>
      <c r="J527" s="184"/>
      <c r="K527" s="184"/>
      <c r="L527" s="184"/>
      <c r="M527" s="184"/>
      <c r="N527" s="184"/>
      <c r="O527" s="184"/>
      <c r="Q527" s="184"/>
      <c r="R527" s="185"/>
      <c r="S527" s="185"/>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6"/>
      <c r="AT527" s="187"/>
      <c r="AU527" s="187"/>
      <c r="AV527" s="187"/>
      <c r="AW527" s="224"/>
      <c r="AX527" s="184"/>
      <c r="AY527" s="184"/>
      <c r="AZ527" s="184"/>
      <c r="BA527" s="184"/>
      <c r="BB527" s="184"/>
    </row>
    <row r="528" spans="1:54" s="163" customFormat="1" ht="16.5" customHeight="1">
      <c r="A528" s="180"/>
      <c r="B528" s="181"/>
      <c r="C528" s="182"/>
      <c r="D528" s="182"/>
      <c r="E528" s="183"/>
      <c r="F528" s="183"/>
      <c r="G528" s="183"/>
      <c r="H528" s="184"/>
      <c r="I528" s="184"/>
      <c r="J528" s="184"/>
      <c r="K528" s="184"/>
      <c r="L528" s="184"/>
      <c r="M528" s="184"/>
      <c r="N528" s="184"/>
      <c r="O528" s="184"/>
      <c r="Q528" s="184"/>
      <c r="R528" s="185"/>
      <c r="S528" s="185"/>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6"/>
      <c r="AT528" s="187"/>
      <c r="AU528" s="187"/>
      <c r="AV528" s="187"/>
      <c r="AW528" s="224"/>
      <c r="AX528" s="184"/>
      <c r="AY528" s="184"/>
      <c r="AZ528" s="184"/>
      <c r="BA528" s="184"/>
      <c r="BB528" s="184"/>
    </row>
    <row r="529" spans="1:54" s="163" customFormat="1" ht="16.5" customHeight="1">
      <c r="A529" s="180"/>
      <c r="B529" s="181"/>
      <c r="C529" s="182"/>
      <c r="D529" s="182"/>
      <c r="E529" s="183"/>
      <c r="F529" s="183"/>
      <c r="G529" s="183"/>
      <c r="H529" s="184"/>
      <c r="I529" s="184"/>
      <c r="J529" s="184"/>
      <c r="K529" s="184"/>
      <c r="L529" s="184"/>
      <c r="M529" s="184"/>
      <c r="N529" s="184"/>
      <c r="O529" s="184"/>
      <c r="Q529" s="184"/>
      <c r="R529" s="185"/>
      <c r="S529" s="185"/>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6"/>
      <c r="AT529" s="187"/>
      <c r="AU529" s="187"/>
      <c r="AV529" s="187"/>
      <c r="AW529" s="224"/>
      <c r="AX529" s="184"/>
      <c r="AY529" s="184"/>
      <c r="AZ529" s="184"/>
      <c r="BA529" s="184"/>
      <c r="BB529" s="184"/>
    </row>
    <row r="530" spans="1:54" s="163" customFormat="1" ht="16.5" customHeight="1">
      <c r="A530" s="180"/>
      <c r="B530" s="181"/>
      <c r="C530" s="182"/>
      <c r="D530" s="182"/>
      <c r="E530" s="183"/>
      <c r="F530" s="183"/>
      <c r="G530" s="183"/>
      <c r="H530" s="184"/>
      <c r="I530" s="184"/>
      <c r="J530" s="184"/>
      <c r="K530" s="184"/>
      <c r="L530" s="184"/>
      <c r="M530" s="184"/>
      <c r="N530" s="184"/>
      <c r="O530" s="184"/>
      <c r="Q530" s="184"/>
      <c r="R530" s="185"/>
      <c r="S530" s="185"/>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6"/>
      <c r="AT530" s="187"/>
      <c r="AU530" s="187"/>
      <c r="AV530" s="187"/>
      <c r="AW530" s="224"/>
      <c r="AX530" s="184"/>
      <c r="AY530" s="184"/>
      <c r="AZ530" s="184"/>
      <c r="BA530" s="184"/>
      <c r="BB530" s="184"/>
    </row>
    <row r="531" spans="1:54" s="163" customFormat="1" ht="16.5" customHeight="1">
      <c r="A531" s="180"/>
      <c r="B531" s="181"/>
      <c r="C531" s="182"/>
      <c r="D531" s="182"/>
      <c r="E531" s="183"/>
      <c r="F531" s="183"/>
      <c r="G531" s="183"/>
      <c r="H531" s="184"/>
      <c r="I531" s="184"/>
      <c r="J531" s="184"/>
      <c r="K531" s="184"/>
      <c r="L531" s="184"/>
      <c r="M531" s="184"/>
      <c r="N531" s="184"/>
      <c r="O531" s="184"/>
      <c r="Q531" s="184"/>
      <c r="R531" s="185"/>
      <c r="S531" s="185"/>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6"/>
      <c r="AT531" s="187"/>
      <c r="AU531" s="187"/>
      <c r="AV531" s="187"/>
      <c r="AW531" s="224"/>
      <c r="AX531" s="184"/>
      <c r="AY531" s="184"/>
      <c r="AZ531" s="184"/>
      <c r="BA531" s="184"/>
      <c r="BB531" s="184"/>
    </row>
    <row r="532" spans="1:54" s="163" customFormat="1" ht="16.5" customHeight="1">
      <c r="A532" s="180"/>
      <c r="B532" s="181"/>
      <c r="C532" s="182"/>
      <c r="D532" s="182"/>
      <c r="E532" s="183"/>
      <c r="F532" s="183"/>
      <c r="G532" s="183"/>
      <c r="H532" s="184"/>
      <c r="I532" s="184"/>
      <c r="J532" s="184"/>
      <c r="K532" s="184"/>
      <c r="L532" s="184"/>
      <c r="M532" s="184"/>
      <c r="N532" s="184"/>
      <c r="O532" s="184"/>
      <c r="Q532" s="184"/>
      <c r="R532" s="185"/>
      <c r="S532" s="185"/>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6"/>
      <c r="AT532" s="187"/>
      <c r="AU532" s="187"/>
      <c r="AV532" s="187"/>
      <c r="AW532" s="224"/>
      <c r="AX532" s="184"/>
      <c r="AY532" s="184"/>
      <c r="AZ532" s="184"/>
      <c r="BA532" s="184"/>
      <c r="BB532" s="184"/>
    </row>
    <row r="533" spans="1:54" s="163" customFormat="1" ht="16.5" customHeight="1">
      <c r="A533" s="180"/>
      <c r="B533" s="181"/>
      <c r="C533" s="182"/>
      <c r="D533" s="182"/>
      <c r="E533" s="183"/>
      <c r="F533" s="183"/>
      <c r="G533" s="183"/>
      <c r="H533" s="184"/>
      <c r="I533" s="184"/>
      <c r="J533" s="184"/>
      <c r="K533" s="184"/>
      <c r="L533" s="184"/>
      <c r="M533" s="184"/>
      <c r="N533" s="184"/>
      <c r="O533" s="184"/>
      <c r="Q533" s="184"/>
      <c r="R533" s="185"/>
      <c r="S533" s="185"/>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6"/>
      <c r="AT533" s="187"/>
      <c r="AU533" s="187"/>
      <c r="AV533" s="187"/>
      <c r="AW533" s="224"/>
      <c r="AX533" s="184"/>
      <c r="AY533" s="184"/>
      <c r="AZ533" s="184"/>
      <c r="BA533" s="184"/>
      <c r="BB533" s="184"/>
    </row>
    <row r="534" spans="1:54" s="163" customFormat="1" ht="16.5" customHeight="1">
      <c r="A534" s="180"/>
      <c r="B534" s="181"/>
      <c r="C534" s="182"/>
      <c r="D534" s="182"/>
      <c r="E534" s="183"/>
      <c r="F534" s="183"/>
      <c r="G534" s="183"/>
      <c r="H534" s="184"/>
      <c r="I534" s="184"/>
      <c r="J534" s="184"/>
      <c r="K534" s="184"/>
      <c r="L534" s="184"/>
      <c r="M534" s="184"/>
      <c r="N534" s="184"/>
      <c r="O534" s="184"/>
      <c r="Q534" s="184"/>
      <c r="R534" s="185"/>
      <c r="S534" s="185"/>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6"/>
      <c r="AT534" s="187"/>
      <c r="AU534" s="187"/>
      <c r="AV534" s="187"/>
      <c r="AW534" s="224"/>
      <c r="AX534" s="184"/>
      <c r="AY534" s="184"/>
      <c r="AZ534" s="184"/>
      <c r="BA534" s="184"/>
      <c r="BB534" s="184"/>
    </row>
    <row r="535" spans="1:54" s="163" customFormat="1" ht="16.5" customHeight="1">
      <c r="A535" s="180"/>
      <c r="B535" s="181"/>
      <c r="C535" s="182"/>
      <c r="D535" s="182"/>
      <c r="E535" s="183"/>
      <c r="F535" s="183"/>
      <c r="G535" s="183"/>
      <c r="H535" s="184"/>
      <c r="I535" s="184"/>
      <c r="J535" s="184"/>
      <c r="K535" s="184"/>
      <c r="L535" s="184"/>
      <c r="M535" s="184"/>
      <c r="N535" s="184"/>
      <c r="O535" s="184"/>
      <c r="Q535" s="184"/>
      <c r="R535" s="185"/>
      <c r="S535" s="185"/>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6"/>
      <c r="AT535" s="187"/>
      <c r="AU535" s="187"/>
      <c r="AV535" s="187"/>
      <c r="AW535" s="224"/>
      <c r="AX535" s="184"/>
      <c r="AY535" s="184"/>
      <c r="AZ535" s="184"/>
      <c r="BA535" s="184"/>
      <c r="BB535" s="184"/>
    </row>
    <row r="536" spans="1:54" s="163" customFormat="1" ht="16.5" customHeight="1">
      <c r="A536" s="180"/>
      <c r="B536" s="181"/>
      <c r="C536" s="182"/>
      <c r="D536" s="182"/>
      <c r="E536" s="183"/>
      <c r="F536" s="183"/>
      <c r="G536" s="183"/>
      <c r="H536" s="184"/>
      <c r="I536" s="184"/>
      <c r="J536" s="184"/>
      <c r="K536" s="184"/>
      <c r="L536" s="184"/>
      <c r="M536" s="184"/>
      <c r="N536" s="184"/>
      <c r="O536" s="184"/>
      <c r="Q536" s="184"/>
      <c r="R536" s="185"/>
      <c r="S536" s="185"/>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6"/>
      <c r="AT536" s="187"/>
      <c r="AU536" s="187"/>
      <c r="AV536" s="187"/>
      <c r="AW536" s="224"/>
      <c r="AX536" s="184"/>
      <c r="AY536" s="184"/>
      <c r="AZ536" s="184"/>
      <c r="BA536" s="184"/>
      <c r="BB536" s="184"/>
    </row>
    <row r="537" spans="1:54" s="163" customFormat="1" ht="16.5" customHeight="1">
      <c r="A537" s="180"/>
      <c r="B537" s="181"/>
      <c r="C537" s="182"/>
      <c r="D537" s="182"/>
      <c r="E537" s="183"/>
      <c r="F537" s="183"/>
      <c r="G537" s="183"/>
      <c r="H537" s="184"/>
      <c r="I537" s="184"/>
      <c r="J537" s="184"/>
      <c r="K537" s="184"/>
      <c r="L537" s="184"/>
      <c r="M537" s="184"/>
      <c r="N537" s="184"/>
      <c r="O537" s="184"/>
      <c r="Q537" s="184"/>
      <c r="R537" s="185"/>
      <c r="S537" s="185"/>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6"/>
      <c r="AT537" s="187"/>
      <c r="AU537" s="187"/>
      <c r="AV537" s="187"/>
      <c r="AW537" s="224"/>
      <c r="AX537" s="184"/>
      <c r="AY537" s="184"/>
      <c r="AZ537" s="184"/>
      <c r="BA537" s="184"/>
      <c r="BB537" s="184"/>
    </row>
    <row r="538" spans="1:54" s="163" customFormat="1" ht="16.5" customHeight="1">
      <c r="A538" s="180"/>
      <c r="B538" s="181"/>
      <c r="C538" s="182"/>
      <c r="D538" s="182"/>
      <c r="E538" s="183"/>
      <c r="F538" s="183"/>
      <c r="G538" s="183"/>
      <c r="H538" s="184"/>
      <c r="I538" s="184"/>
      <c r="J538" s="184"/>
      <c r="K538" s="184"/>
      <c r="L538" s="184"/>
      <c r="M538" s="184"/>
      <c r="N538" s="184"/>
      <c r="O538" s="184"/>
      <c r="Q538" s="184"/>
      <c r="R538" s="185"/>
      <c r="S538" s="185"/>
      <c r="U538" s="184"/>
      <c r="V538" s="184"/>
      <c r="W538" s="184"/>
      <c r="X538" s="184"/>
      <c r="Y538" s="184"/>
      <c r="Z538" s="184"/>
      <c r="AA538" s="184"/>
      <c r="AB538" s="184"/>
      <c r="AC538" s="184"/>
      <c r="AD538" s="184"/>
      <c r="AE538" s="184"/>
      <c r="AF538" s="184"/>
      <c r="AG538" s="184"/>
      <c r="AH538" s="184"/>
      <c r="AI538" s="184"/>
      <c r="AJ538" s="184"/>
      <c r="AK538" s="184"/>
      <c r="AL538" s="184"/>
      <c r="AM538" s="184"/>
      <c r="AN538" s="184"/>
      <c r="AO538" s="184"/>
      <c r="AP538" s="184"/>
      <c r="AQ538" s="184"/>
      <c r="AR538" s="184"/>
      <c r="AS538" s="186"/>
      <c r="AT538" s="187"/>
      <c r="AU538" s="187"/>
      <c r="AV538" s="187"/>
      <c r="AW538" s="224"/>
      <c r="AX538" s="184"/>
      <c r="AY538" s="184"/>
      <c r="AZ538" s="184"/>
      <c r="BA538" s="184"/>
      <c r="BB538" s="184"/>
    </row>
    <row r="539" spans="1:54" s="163" customFormat="1" ht="16.5" customHeight="1">
      <c r="A539" s="180"/>
      <c r="B539" s="181"/>
      <c r="C539" s="182"/>
      <c r="D539" s="182"/>
      <c r="E539" s="183"/>
      <c r="F539" s="183"/>
      <c r="G539" s="183"/>
      <c r="H539" s="184"/>
      <c r="I539" s="184"/>
      <c r="J539" s="184"/>
      <c r="K539" s="184"/>
      <c r="L539" s="184"/>
      <c r="M539" s="184"/>
      <c r="N539" s="184"/>
      <c r="O539" s="184"/>
      <c r="Q539" s="184"/>
      <c r="R539" s="185"/>
      <c r="S539" s="185"/>
      <c r="U539" s="184"/>
      <c r="V539" s="184"/>
      <c r="W539" s="184"/>
      <c r="X539" s="184"/>
      <c r="Y539" s="184"/>
      <c r="Z539" s="184"/>
      <c r="AA539" s="184"/>
      <c r="AB539" s="184"/>
      <c r="AC539" s="184"/>
      <c r="AD539" s="184"/>
      <c r="AE539" s="184"/>
      <c r="AF539" s="184"/>
      <c r="AG539" s="184"/>
      <c r="AH539" s="184"/>
      <c r="AI539" s="184"/>
      <c r="AJ539" s="184"/>
      <c r="AK539" s="184"/>
      <c r="AL539" s="184"/>
      <c r="AM539" s="184"/>
      <c r="AN539" s="184"/>
      <c r="AO539" s="184"/>
      <c r="AP539" s="184"/>
      <c r="AQ539" s="184"/>
      <c r="AR539" s="184"/>
      <c r="AS539" s="186"/>
      <c r="AT539" s="187"/>
      <c r="AU539" s="187"/>
      <c r="AV539" s="187"/>
      <c r="AW539" s="224"/>
      <c r="AX539" s="184"/>
      <c r="AY539" s="184"/>
      <c r="AZ539" s="184"/>
      <c r="BA539" s="184"/>
      <c r="BB539" s="184"/>
    </row>
    <row r="540" spans="1:54" s="163" customFormat="1" ht="16.5" customHeight="1">
      <c r="A540" s="180"/>
      <c r="B540" s="181"/>
      <c r="C540" s="182"/>
      <c r="D540" s="182"/>
      <c r="E540" s="183"/>
      <c r="F540" s="183"/>
      <c r="G540" s="183"/>
      <c r="H540" s="184"/>
      <c r="I540" s="184"/>
      <c r="J540" s="184"/>
      <c r="K540" s="184"/>
      <c r="L540" s="184"/>
      <c r="M540" s="184"/>
      <c r="N540" s="184"/>
      <c r="O540" s="184"/>
      <c r="Q540" s="184"/>
      <c r="R540" s="185"/>
      <c r="S540" s="185"/>
      <c r="U540" s="184"/>
      <c r="V540" s="184"/>
      <c r="W540" s="184"/>
      <c r="X540" s="184"/>
      <c r="Y540" s="184"/>
      <c r="Z540" s="184"/>
      <c r="AA540" s="184"/>
      <c r="AB540" s="184"/>
      <c r="AC540" s="184"/>
      <c r="AD540" s="184"/>
      <c r="AE540" s="184"/>
      <c r="AF540" s="184"/>
      <c r="AG540" s="184"/>
      <c r="AH540" s="184"/>
      <c r="AI540" s="184"/>
      <c r="AJ540" s="184"/>
      <c r="AK540" s="184"/>
      <c r="AL540" s="184"/>
      <c r="AM540" s="184"/>
      <c r="AN540" s="184"/>
      <c r="AO540" s="184"/>
      <c r="AP540" s="184"/>
      <c r="AQ540" s="184"/>
      <c r="AR540" s="184"/>
      <c r="AS540" s="186"/>
      <c r="AT540" s="187"/>
      <c r="AU540" s="187"/>
      <c r="AV540" s="187"/>
      <c r="AW540" s="224"/>
      <c r="AX540" s="184"/>
      <c r="AY540" s="184"/>
      <c r="AZ540" s="184"/>
      <c r="BA540" s="184"/>
      <c r="BB540" s="184"/>
    </row>
    <row r="541" spans="1:54" s="163" customFormat="1" ht="16.5" customHeight="1">
      <c r="A541" s="180"/>
      <c r="B541" s="181"/>
      <c r="C541" s="182"/>
      <c r="D541" s="182"/>
      <c r="E541" s="183"/>
      <c r="F541" s="183"/>
      <c r="G541" s="183"/>
      <c r="H541" s="184"/>
      <c r="I541" s="184"/>
      <c r="J541" s="184"/>
      <c r="K541" s="184"/>
      <c r="L541" s="184"/>
      <c r="M541" s="184"/>
      <c r="N541" s="184"/>
      <c r="O541" s="184"/>
      <c r="Q541" s="184"/>
      <c r="R541" s="185"/>
      <c r="S541" s="185"/>
      <c r="U541" s="184"/>
      <c r="V541" s="184"/>
      <c r="W541" s="184"/>
      <c r="X541" s="184"/>
      <c r="Y541" s="184"/>
      <c r="Z541" s="184"/>
      <c r="AA541" s="184"/>
      <c r="AB541" s="184"/>
      <c r="AC541" s="184"/>
      <c r="AD541" s="184"/>
      <c r="AE541" s="184"/>
      <c r="AF541" s="184"/>
      <c r="AG541" s="184"/>
      <c r="AH541" s="184"/>
      <c r="AI541" s="184"/>
      <c r="AJ541" s="184"/>
      <c r="AK541" s="184"/>
      <c r="AL541" s="184"/>
      <c r="AM541" s="184"/>
      <c r="AN541" s="184"/>
      <c r="AO541" s="184"/>
      <c r="AP541" s="184"/>
      <c r="AQ541" s="184"/>
      <c r="AR541" s="184"/>
      <c r="AS541" s="186"/>
      <c r="AT541" s="187"/>
      <c r="AU541" s="187"/>
      <c r="AV541" s="187"/>
      <c r="AW541" s="224"/>
      <c r="AX541" s="184"/>
      <c r="AY541" s="184"/>
      <c r="AZ541" s="184"/>
      <c r="BA541" s="184"/>
      <c r="BB541" s="184"/>
    </row>
    <row r="542" spans="1:54" s="163" customFormat="1" ht="16.5" customHeight="1">
      <c r="A542" s="180"/>
      <c r="B542" s="181"/>
      <c r="C542" s="182"/>
      <c r="D542" s="182"/>
      <c r="E542" s="183"/>
      <c r="F542" s="183"/>
      <c r="G542" s="183"/>
      <c r="H542" s="184"/>
      <c r="I542" s="184"/>
      <c r="J542" s="184"/>
      <c r="K542" s="184"/>
      <c r="L542" s="184"/>
      <c r="M542" s="184"/>
      <c r="N542" s="184"/>
      <c r="O542" s="184"/>
      <c r="Q542" s="184"/>
      <c r="R542" s="185"/>
      <c r="S542" s="185"/>
      <c r="U542" s="184"/>
      <c r="V542" s="184"/>
      <c r="W542" s="184"/>
      <c r="X542" s="184"/>
      <c r="Y542" s="184"/>
      <c r="Z542" s="184"/>
      <c r="AA542" s="184"/>
      <c r="AB542" s="184"/>
      <c r="AC542" s="184"/>
      <c r="AD542" s="184"/>
      <c r="AE542" s="184"/>
      <c r="AF542" s="184"/>
      <c r="AG542" s="184"/>
      <c r="AH542" s="184"/>
      <c r="AI542" s="184"/>
      <c r="AJ542" s="184"/>
      <c r="AK542" s="184"/>
      <c r="AL542" s="184"/>
      <c r="AM542" s="184"/>
      <c r="AN542" s="184"/>
      <c r="AO542" s="184"/>
      <c r="AP542" s="184"/>
      <c r="AQ542" s="184"/>
      <c r="AR542" s="184"/>
      <c r="AS542" s="186"/>
      <c r="AT542" s="187"/>
      <c r="AU542" s="187"/>
      <c r="AV542" s="187"/>
      <c r="AW542" s="224"/>
      <c r="AX542" s="184"/>
      <c r="AY542" s="184"/>
      <c r="AZ542" s="184"/>
      <c r="BA542" s="184"/>
      <c r="BB542" s="184"/>
    </row>
    <row r="543" spans="1:54" s="163" customFormat="1" ht="16.5" customHeight="1">
      <c r="A543" s="180"/>
      <c r="B543" s="181"/>
      <c r="C543" s="182"/>
      <c r="D543" s="182"/>
      <c r="E543" s="183"/>
      <c r="F543" s="183"/>
      <c r="G543" s="183"/>
      <c r="H543" s="184"/>
      <c r="I543" s="184"/>
      <c r="J543" s="184"/>
      <c r="K543" s="184"/>
      <c r="L543" s="184"/>
      <c r="M543" s="184"/>
      <c r="N543" s="184"/>
      <c r="O543" s="184"/>
      <c r="Q543" s="184"/>
      <c r="R543" s="185"/>
      <c r="S543" s="185"/>
      <c r="U543" s="184"/>
      <c r="V543" s="184"/>
      <c r="W543" s="184"/>
      <c r="X543" s="184"/>
      <c r="Y543" s="184"/>
      <c r="Z543" s="184"/>
      <c r="AA543" s="184"/>
      <c r="AB543" s="184"/>
      <c r="AC543" s="184"/>
      <c r="AD543" s="184"/>
      <c r="AE543" s="184"/>
      <c r="AF543" s="184"/>
      <c r="AG543" s="184"/>
      <c r="AH543" s="184"/>
      <c r="AI543" s="184"/>
      <c r="AJ543" s="184"/>
      <c r="AK543" s="184"/>
      <c r="AL543" s="184"/>
      <c r="AM543" s="184"/>
      <c r="AN543" s="184"/>
      <c r="AO543" s="184"/>
      <c r="AP543" s="184"/>
      <c r="AQ543" s="184"/>
      <c r="AR543" s="184"/>
      <c r="AS543" s="186"/>
      <c r="AT543" s="187"/>
      <c r="AU543" s="187"/>
      <c r="AV543" s="187"/>
      <c r="AW543" s="224"/>
      <c r="AX543" s="184"/>
      <c r="AY543" s="184"/>
      <c r="AZ543" s="184"/>
      <c r="BA543" s="184"/>
      <c r="BB543" s="184"/>
    </row>
    <row r="544" spans="1:54" s="163" customFormat="1" ht="16.5" customHeight="1">
      <c r="A544" s="180"/>
      <c r="B544" s="181"/>
      <c r="C544" s="182"/>
      <c r="D544" s="182"/>
      <c r="E544" s="183"/>
      <c r="F544" s="183"/>
      <c r="G544" s="183"/>
      <c r="H544" s="184"/>
      <c r="I544" s="184"/>
      <c r="J544" s="184"/>
      <c r="K544" s="184"/>
      <c r="L544" s="184"/>
      <c r="M544" s="184"/>
      <c r="N544" s="184"/>
      <c r="O544" s="184"/>
      <c r="Q544" s="184"/>
      <c r="R544" s="185"/>
      <c r="S544" s="185"/>
      <c r="U544" s="184"/>
      <c r="V544" s="184"/>
      <c r="W544" s="184"/>
      <c r="X544" s="184"/>
      <c r="Y544" s="184"/>
      <c r="Z544" s="184"/>
      <c r="AA544" s="184"/>
      <c r="AB544" s="184"/>
      <c r="AC544" s="184"/>
      <c r="AD544" s="184"/>
      <c r="AE544" s="184"/>
      <c r="AF544" s="184"/>
      <c r="AG544" s="184"/>
      <c r="AH544" s="184"/>
      <c r="AI544" s="184"/>
      <c r="AJ544" s="184"/>
      <c r="AK544" s="184"/>
      <c r="AL544" s="184"/>
      <c r="AM544" s="184"/>
      <c r="AN544" s="184"/>
      <c r="AO544" s="184"/>
      <c r="AP544" s="184"/>
      <c r="AQ544" s="184"/>
      <c r="AR544" s="184"/>
      <c r="AS544" s="186"/>
      <c r="AT544" s="187"/>
      <c r="AU544" s="187"/>
      <c r="AV544" s="187"/>
      <c r="AW544" s="224"/>
      <c r="AX544" s="184"/>
      <c r="AY544" s="184"/>
      <c r="AZ544" s="184"/>
      <c r="BA544" s="184"/>
      <c r="BB544" s="184"/>
    </row>
    <row r="545" spans="1:54" s="163" customFormat="1" ht="16.5" customHeight="1">
      <c r="A545" s="180"/>
      <c r="B545" s="181"/>
      <c r="C545" s="182"/>
      <c r="D545" s="182"/>
      <c r="E545" s="183"/>
      <c r="F545" s="183"/>
      <c r="G545" s="183"/>
      <c r="H545" s="184"/>
      <c r="I545" s="184"/>
      <c r="J545" s="184"/>
      <c r="K545" s="184"/>
      <c r="L545" s="184"/>
      <c r="M545" s="184"/>
      <c r="N545" s="184"/>
      <c r="O545" s="184"/>
      <c r="Q545" s="184"/>
      <c r="R545" s="185"/>
      <c r="S545" s="185"/>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c r="AP545" s="184"/>
      <c r="AQ545" s="184"/>
      <c r="AR545" s="184"/>
      <c r="AS545" s="186"/>
      <c r="AT545" s="187"/>
      <c r="AU545" s="187"/>
      <c r="AV545" s="187"/>
      <c r="AW545" s="224"/>
      <c r="AX545" s="184"/>
      <c r="AY545" s="184"/>
      <c r="AZ545" s="184"/>
      <c r="BA545" s="184"/>
      <c r="BB545" s="184"/>
    </row>
    <row r="546" spans="1:54" s="163" customFormat="1" ht="16.5" customHeight="1">
      <c r="A546" s="180"/>
      <c r="B546" s="181"/>
      <c r="C546" s="182"/>
      <c r="D546" s="182"/>
      <c r="E546" s="183"/>
      <c r="F546" s="183"/>
      <c r="G546" s="183"/>
      <c r="H546" s="184"/>
      <c r="I546" s="184"/>
      <c r="J546" s="184"/>
      <c r="K546" s="184"/>
      <c r="L546" s="184"/>
      <c r="M546" s="184"/>
      <c r="N546" s="184"/>
      <c r="O546" s="184"/>
      <c r="Q546" s="184"/>
      <c r="R546" s="185"/>
      <c r="S546" s="185"/>
      <c r="U546" s="184"/>
      <c r="V546" s="184"/>
      <c r="W546" s="184"/>
      <c r="X546" s="184"/>
      <c r="Y546" s="184"/>
      <c r="Z546" s="184"/>
      <c r="AA546" s="184"/>
      <c r="AB546" s="184"/>
      <c r="AC546" s="184"/>
      <c r="AD546" s="184"/>
      <c r="AE546" s="184"/>
      <c r="AF546" s="184"/>
      <c r="AG546" s="184"/>
      <c r="AH546" s="184"/>
      <c r="AI546" s="184"/>
      <c r="AJ546" s="184"/>
      <c r="AK546" s="184"/>
      <c r="AL546" s="184"/>
      <c r="AM546" s="184"/>
      <c r="AN546" s="184"/>
      <c r="AO546" s="184"/>
      <c r="AP546" s="184"/>
      <c r="AQ546" s="184"/>
      <c r="AR546" s="184"/>
      <c r="AS546" s="186"/>
      <c r="AT546" s="187"/>
      <c r="AU546" s="187"/>
      <c r="AV546" s="187"/>
      <c r="AW546" s="224"/>
      <c r="AX546" s="184"/>
      <c r="AY546" s="184"/>
      <c r="AZ546" s="184"/>
      <c r="BA546" s="184"/>
      <c r="BB546" s="184"/>
    </row>
    <row r="547" spans="1:54" s="163" customFormat="1" ht="16.5" customHeight="1">
      <c r="A547" s="180"/>
      <c r="B547" s="181"/>
      <c r="C547" s="182"/>
      <c r="D547" s="182"/>
      <c r="E547" s="183"/>
      <c r="F547" s="183"/>
      <c r="G547" s="183"/>
      <c r="H547" s="184"/>
      <c r="I547" s="184"/>
      <c r="J547" s="184"/>
      <c r="K547" s="184"/>
      <c r="L547" s="184"/>
      <c r="M547" s="184"/>
      <c r="N547" s="184"/>
      <c r="O547" s="184"/>
      <c r="Q547" s="184"/>
      <c r="R547" s="185"/>
      <c r="S547" s="185"/>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6"/>
      <c r="AT547" s="187"/>
      <c r="AU547" s="187"/>
      <c r="AV547" s="187"/>
      <c r="AW547" s="224"/>
      <c r="AX547" s="184"/>
      <c r="AY547" s="184"/>
      <c r="AZ547" s="184"/>
      <c r="BA547" s="184"/>
      <c r="BB547" s="184"/>
    </row>
    <row r="548" spans="1:54" s="163" customFormat="1" ht="16.5" customHeight="1">
      <c r="A548" s="180"/>
      <c r="B548" s="181"/>
      <c r="C548" s="182"/>
      <c r="D548" s="182"/>
      <c r="E548" s="183"/>
      <c r="F548" s="183"/>
      <c r="G548" s="183"/>
      <c r="H548" s="184"/>
      <c r="I548" s="184"/>
      <c r="J548" s="184"/>
      <c r="K548" s="184"/>
      <c r="L548" s="184"/>
      <c r="M548" s="184"/>
      <c r="N548" s="184"/>
      <c r="O548" s="184"/>
      <c r="Q548" s="184"/>
      <c r="R548" s="185"/>
      <c r="S548" s="185"/>
      <c r="U548" s="184"/>
      <c r="V548" s="184"/>
      <c r="W548" s="184"/>
      <c r="X548" s="184"/>
      <c r="Y548" s="184"/>
      <c r="Z548" s="184"/>
      <c r="AA548" s="184"/>
      <c r="AB548" s="184"/>
      <c r="AC548" s="184"/>
      <c r="AD548" s="184"/>
      <c r="AE548" s="184"/>
      <c r="AF548" s="184"/>
      <c r="AG548" s="184"/>
      <c r="AH548" s="184"/>
      <c r="AI548" s="184"/>
      <c r="AJ548" s="184"/>
      <c r="AK548" s="184"/>
      <c r="AL548" s="184"/>
      <c r="AM548" s="184"/>
      <c r="AN548" s="184"/>
      <c r="AO548" s="184"/>
      <c r="AP548" s="184"/>
      <c r="AQ548" s="184"/>
      <c r="AR548" s="184"/>
      <c r="AS548" s="186"/>
      <c r="AT548" s="187"/>
      <c r="AU548" s="187"/>
      <c r="AV548" s="187"/>
      <c r="AW548" s="224"/>
      <c r="AX548" s="184"/>
      <c r="AY548" s="184"/>
      <c r="AZ548" s="184"/>
      <c r="BA548" s="184"/>
      <c r="BB548" s="184"/>
    </row>
    <row r="549" spans="1:54" s="163" customFormat="1" ht="16.5" customHeight="1">
      <c r="A549" s="180"/>
      <c r="B549" s="181"/>
      <c r="C549" s="182"/>
      <c r="D549" s="182"/>
      <c r="E549" s="183"/>
      <c r="F549" s="183"/>
      <c r="G549" s="183"/>
      <c r="H549" s="184"/>
      <c r="I549" s="184"/>
      <c r="J549" s="184"/>
      <c r="K549" s="184"/>
      <c r="L549" s="184"/>
      <c r="M549" s="184"/>
      <c r="N549" s="184"/>
      <c r="O549" s="184"/>
      <c r="Q549" s="184"/>
      <c r="R549" s="185"/>
      <c r="S549" s="185"/>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6"/>
      <c r="AT549" s="187"/>
      <c r="AU549" s="187"/>
      <c r="AV549" s="187"/>
      <c r="AW549" s="224"/>
      <c r="AX549" s="184"/>
      <c r="AY549" s="184"/>
      <c r="AZ549" s="184"/>
      <c r="BA549" s="184"/>
      <c r="BB549" s="184"/>
    </row>
    <row r="550" spans="1:54" s="163" customFormat="1" ht="16.5" customHeight="1">
      <c r="A550" s="180"/>
      <c r="B550" s="181"/>
      <c r="C550" s="182"/>
      <c r="D550" s="182"/>
      <c r="E550" s="183"/>
      <c r="F550" s="183"/>
      <c r="G550" s="183"/>
      <c r="H550" s="184"/>
      <c r="I550" s="184"/>
      <c r="J550" s="184"/>
      <c r="K550" s="184"/>
      <c r="L550" s="184"/>
      <c r="M550" s="184"/>
      <c r="N550" s="184"/>
      <c r="O550" s="184"/>
      <c r="Q550" s="184"/>
      <c r="R550" s="185"/>
      <c r="S550" s="185"/>
      <c r="U550" s="184"/>
      <c r="V550" s="184"/>
      <c r="W550" s="184"/>
      <c r="X550" s="184"/>
      <c r="Y550" s="184"/>
      <c r="Z550" s="184"/>
      <c r="AA550" s="184"/>
      <c r="AB550" s="184"/>
      <c r="AC550" s="184"/>
      <c r="AD550" s="184"/>
      <c r="AE550" s="184"/>
      <c r="AF550" s="184"/>
      <c r="AG550" s="184"/>
      <c r="AH550" s="184"/>
      <c r="AI550" s="184"/>
      <c r="AJ550" s="184"/>
      <c r="AK550" s="184"/>
      <c r="AL550" s="184"/>
      <c r="AM550" s="184"/>
      <c r="AN550" s="184"/>
      <c r="AO550" s="184"/>
      <c r="AP550" s="184"/>
      <c r="AQ550" s="184"/>
      <c r="AR550" s="184"/>
      <c r="AS550" s="186"/>
      <c r="AT550" s="187"/>
      <c r="AU550" s="187"/>
      <c r="AV550" s="187"/>
      <c r="AW550" s="224"/>
      <c r="AX550" s="184"/>
      <c r="AY550" s="184"/>
      <c r="AZ550" s="184"/>
      <c r="BA550" s="184"/>
      <c r="BB550" s="184"/>
    </row>
    <row r="551" spans="1:54" s="163" customFormat="1" ht="16.5" customHeight="1">
      <c r="A551" s="180"/>
      <c r="B551" s="181"/>
      <c r="C551" s="182"/>
      <c r="D551" s="182"/>
      <c r="E551" s="183"/>
      <c r="F551" s="183"/>
      <c r="G551" s="183"/>
      <c r="H551" s="184"/>
      <c r="I551" s="184"/>
      <c r="J551" s="184"/>
      <c r="K551" s="184"/>
      <c r="L551" s="184"/>
      <c r="M551" s="184"/>
      <c r="N551" s="184"/>
      <c r="O551" s="184"/>
      <c r="Q551" s="184"/>
      <c r="R551" s="185"/>
      <c r="S551" s="185"/>
      <c r="U551" s="184"/>
      <c r="V551" s="184"/>
      <c r="W551" s="184"/>
      <c r="X551" s="184"/>
      <c r="Y551" s="184"/>
      <c r="Z551" s="184"/>
      <c r="AA551" s="184"/>
      <c r="AB551" s="184"/>
      <c r="AC551" s="184"/>
      <c r="AD551" s="184"/>
      <c r="AE551" s="184"/>
      <c r="AF551" s="184"/>
      <c r="AG551" s="184"/>
      <c r="AH551" s="184"/>
      <c r="AI551" s="184"/>
      <c r="AJ551" s="184"/>
      <c r="AK551" s="184"/>
      <c r="AL551" s="184"/>
      <c r="AM551" s="184"/>
      <c r="AN551" s="184"/>
      <c r="AO551" s="184"/>
      <c r="AP551" s="184"/>
      <c r="AQ551" s="184"/>
      <c r="AR551" s="184"/>
      <c r="AS551" s="186"/>
      <c r="AT551" s="187"/>
      <c r="AU551" s="187"/>
      <c r="AV551" s="187"/>
      <c r="AW551" s="224"/>
      <c r="AX551" s="184"/>
      <c r="AY551" s="184"/>
      <c r="AZ551" s="184"/>
      <c r="BA551" s="184"/>
      <c r="BB551" s="184"/>
    </row>
    <row r="552" spans="1:54" s="163" customFormat="1" ht="16.5" customHeight="1">
      <c r="A552" s="180"/>
      <c r="B552" s="181"/>
      <c r="C552" s="182"/>
      <c r="D552" s="182"/>
      <c r="E552" s="183"/>
      <c r="F552" s="183"/>
      <c r="G552" s="183"/>
      <c r="H552" s="184"/>
      <c r="I552" s="184"/>
      <c r="J552" s="184"/>
      <c r="K552" s="184"/>
      <c r="L552" s="184"/>
      <c r="M552" s="184"/>
      <c r="N552" s="184"/>
      <c r="O552" s="184"/>
      <c r="Q552" s="184"/>
      <c r="R552" s="185"/>
      <c r="S552" s="185"/>
      <c r="U552" s="184"/>
      <c r="V552" s="184"/>
      <c r="W552" s="184"/>
      <c r="X552" s="184"/>
      <c r="Y552" s="184"/>
      <c r="Z552" s="184"/>
      <c r="AA552" s="184"/>
      <c r="AB552" s="184"/>
      <c r="AC552" s="184"/>
      <c r="AD552" s="184"/>
      <c r="AE552" s="184"/>
      <c r="AF552" s="184"/>
      <c r="AG552" s="184"/>
      <c r="AH552" s="184"/>
      <c r="AI552" s="184"/>
      <c r="AJ552" s="184"/>
      <c r="AK552" s="184"/>
      <c r="AL552" s="184"/>
      <c r="AM552" s="184"/>
      <c r="AN552" s="184"/>
      <c r="AO552" s="184"/>
      <c r="AP552" s="184"/>
      <c r="AQ552" s="184"/>
      <c r="AR552" s="184"/>
      <c r="AS552" s="186"/>
      <c r="AT552" s="187"/>
      <c r="AU552" s="187"/>
      <c r="AV552" s="187"/>
      <c r="AW552" s="224"/>
      <c r="AX552" s="184"/>
      <c r="AY552" s="184"/>
      <c r="AZ552" s="184"/>
      <c r="BA552" s="184"/>
      <c r="BB552" s="184"/>
    </row>
    <row r="553" spans="1:54" s="163" customFormat="1" ht="16.5" customHeight="1">
      <c r="A553" s="180"/>
      <c r="B553" s="181"/>
      <c r="C553" s="182"/>
      <c r="D553" s="182"/>
      <c r="E553" s="183"/>
      <c r="F553" s="183"/>
      <c r="G553" s="183"/>
      <c r="H553" s="184"/>
      <c r="I553" s="184"/>
      <c r="J553" s="184"/>
      <c r="K553" s="184"/>
      <c r="L553" s="184"/>
      <c r="M553" s="184"/>
      <c r="N553" s="184"/>
      <c r="O553" s="184"/>
      <c r="Q553" s="184"/>
      <c r="R553" s="185"/>
      <c r="S553" s="185"/>
      <c r="U553" s="184"/>
      <c r="V553" s="184"/>
      <c r="W553" s="184"/>
      <c r="X553" s="184"/>
      <c r="Y553" s="184"/>
      <c r="Z553" s="184"/>
      <c r="AA553" s="184"/>
      <c r="AB553" s="184"/>
      <c r="AC553" s="184"/>
      <c r="AD553" s="184"/>
      <c r="AE553" s="184"/>
      <c r="AF553" s="184"/>
      <c r="AG553" s="184"/>
      <c r="AH553" s="184"/>
      <c r="AI553" s="184"/>
      <c r="AJ553" s="184"/>
      <c r="AK553" s="184"/>
      <c r="AL553" s="184"/>
      <c r="AM553" s="184"/>
      <c r="AN553" s="184"/>
      <c r="AO553" s="184"/>
      <c r="AP553" s="184"/>
      <c r="AQ553" s="184"/>
      <c r="AR553" s="184"/>
      <c r="AS553" s="186"/>
      <c r="AT553" s="187"/>
      <c r="AU553" s="187"/>
      <c r="AV553" s="187"/>
      <c r="AW553" s="224"/>
      <c r="AX553" s="184"/>
      <c r="AY553" s="184"/>
      <c r="AZ553" s="184"/>
      <c r="BA553" s="184"/>
      <c r="BB553" s="184"/>
    </row>
    <row r="554" spans="1:54" s="163" customFormat="1" ht="16.5" customHeight="1">
      <c r="A554" s="180"/>
      <c r="B554" s="181"/>
      <c r="C554" s="182"/>
      <c r="D554" s="182"/>
      <c r="E554" s="183"/>
      <c r="F554" s="183"/>
      <c r="G554" s="183"/>
      <c r="H554" s="184"/>
      <c r="I554" s="184"/>
      <c r="J554" s="184"/>
      <c r="K554" s="184"/>
      <c r="L554" s="184"/>
      <c r="M554" s="184"/>
      <c r="N554" s="184"/>
      <c r="O554" s="184"/>
      <c r="Q554" s="184"/>
      <c r="R554" s="185"/>
      <c r="S554" s="185"/>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c r="AP554" s="184"/>
      <c r="AQ554" s="184"/>
      <c r="AR554" s="184"/>
      <c r="AS554" s="186"/>
      <c r="AT554" s="187"/>
      <c r="AU554" s="187"/>
      <c r="AV554" s="187"/>
      <c r="AW554" s="224"/>
      <c r="AX554" s="184"/>
      <c r="AY554" s="184"/>
      <c r="AZ554" s="184"/>
      <c r="BA554" s="184"/>
      <c r="BB554" s="184"/>
    </row>
    <row r="555" spans="1:54" s="163" customFormat="1" ht="16.5" customHeight="1">
      <c r="A555" s="180"/>
      <c r="B555" s="181"/>
      <c r="C555" s="182"/>
      <c r="D555" s="182"/>
      <c r="E555" s="183"/>
      <c r="F555" s="183"/>
      <c r="G555" s="183"/>
      <c r="H555" s="184"/>
      <c r="I555" s="184"/>
      <c r="J555" s="184"/>
      <c r="K555" s="184"/>
      <c r="L555" s="184"/>
      <c r="M555" s="184"/>
      <c r="N555" s="184"/>
      <c r="O555" s="184"/>
      <c r="Q555" s="184"/>
      <c r="R555" s="185"/>
      <c r="S555" s="185"/>
      <c r="U555" s="184"/>
      <c r="V555" s="184"/>
      <c r="W555" s="184"/>
      <c r="X555" s="184"/>
      <c r="Y555" s="184"/>
      <c r="Z555" s="184"/>
      <c r="AA555" s="184"/>
      <c r="AB555" s="184"/>
      <c r="AC555" s="184"/>
      <c r="AD555" s="184"/>
      <c r="AE555" s="184"/>
      <c r="AF555" s="184"/>
      <c r="AG555" s="184"/>
      <c r="AH555" s="184"/>
      <c r="AI555" s="184"/>
      <c r="AJ555" s="184"/>
      <c r="AK555" s="184"/>
      <c r="AL555" s="184"/>
      <c r="AM555" s="184"/>
      <c r="AN555" s="184"/>
      <c r="AO555" s="184"/>
      <c r="AP555" s="184"/>
      <c r="AQ555" s="184"/>
      <c r="AR555" s="184"/>
      <c r="AS555" s="186"/>
      <c r="AT555" s="187"/>
      <c r="AU555" s="187"/>
      <c r="AV555" s="187"/>
      <c r="AW555" s="224"/>
      <c r="AX555" s="184"/>
      <c r="AY555" s="184"/>
      <c r="AZ555" s="184"/>
      <c r="BA555" s="184"/>
      <c r="BB555" s="184"/>
    </row>
    <row r="556" spans="1:54" s="163" customFormat="1" ht="16.5" customHeight="1">
      <c r="A556" s="180"/>
      <c r="B556" s="181"/>
      <c r="C556" s="182"/>
      <c r="D556" s="182"/>
      <c r="E556" s="183"/>
      <c r="F556" s="183"/>
      <c r="G556" s="183"/>
      <c r="H556" s="184"/>
      <c r="I556" s="184"/>
      <c r="J556" s="184"/>
      <c r="K556" s="184"/>
      <c r="L556" s="184"/>
      <c r="M556" s="184"/>
      <c r="N556" s="184"/>
      <c r="O556" s="184"/>
      <c r="Q556" s="184"/>
      <c r="R556" s="185"/>
      <c r="S556" s="185"/>
      <c r="U556" s="184"/>
      <c r="V556" s="184"/>
      <c r="W556" s="184"/>
      <c r="X556" s="184"/>
      <c r="Y556" s="184"/>
      <c r="Z556" s="184"/>
      <c r="AA556" s="184"/>
      <c r="AB556" s="184"/>
      <c r="AC556" s="184"/>
      <c r="AD556" s="184"/>
      <c r="AE556" s="184"/>
      <c r="AF556" s="184"/>
      <c r="AG556" s="184"/>
      <c r="AH556" s="184"/>
      <c r="AI556" s="184"/>
      <c r="AJ556" s="184"/>
      <c r="AK556" s="184"/>
      <c r="AL556" s="184"/>
      <c r="AM556" s="184"/>
      <c r="AN556" s="184"/>
      <c r="AO556" s="184"/>
      <c r="AP556" s="184"/>
      <c r="AQ556" s="184"/>
      <c r="AR556" s="184"/>
      <c r="AS556" s="186"/>
      <c r="AT556" s="187"/>
      <c r="AU556" s="187"/>
      <c r="AV556" s="187"/>
      <c r="AW556" s="224"/>
      <c r="AX556" s="184"/>
      <c r="AY556" s="184"/>
      <c r="AZ556" s="184"/>
      <c r="BA556" s="184"/>
      <c r="BB556" s="184"/>
    </row>
    <row r="557" spans="1:54" s="163" customFormat="1" ht="16.5" customHeight="1">
      <c r="A557" s="180"/>
      <c r="B557" s="181"/>
      <c r="C557" s="182"/>
      <c r="D557" s="182"/>
      <c r="E557" s="183"/>
      <c r="F557" s="183"/>
      <c r="G557" s="183"/>
      <c r="H557" s="184"/>
      <c r="I557" s="184"/>
      <c r="J557" s="184"/>
      <c r="K557" s="184"/>
      <c r="L557" s="184"/>
      <c r="M557" s="184"/>
      <c r="N557" s="184"/>
      <c r="O557" s="184"/>
      <c r="Q557" s="184"/>
      <c r="R557" s="185"/>
      <c r="S557" s="185"/>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c r="AP557" s="184"/>
      <c r="AQ557" s="184"/>
      <c r="AR557" s="184"/>
      <c r="AS557" s="186"/>
      <c r="AT557" s="187"/>
      <c r="AU557" s="187"/>
      <c r="AV557" s="187"/>
      <c r="AW557" s="224"/>
      <c r="AX557" s="184"/>
      <c r="AY557" s="184"/>
      <c r="AZ557" s="184"/>
      <c r="BA557" s="184"/>
      <c r="BB557" s="184"/>
    </row>
    <row r="558" spans="1:54" s="163" customFormat="1" ht="16.5" customHeight="1">
      <c r="A558" s="180"/>
      <c r="B558" s="181"/>
      <c r="C558" s="182"/>
      <c r="D558" s="182"/>
      <c r="E558" s="183"/>
      <c r="F558" s="183"/>
      <c r="G558" s="183"/>
      <c r="H558" s="184"/>
      <c r="I558" s="184"/>
      <c r="J558" s="184"/>
      <c r="K558" s="184"/>
      <c r="L558" s="184"/>
      <c r="M558" s="184"/>
      <c r="N558" s="184"/>
      <c r="O558" s="184"/>
      <c r="Q558" s="184"/>
      <c r="R558" s="185"/>
      <c r="S558" s="185"/>
      <c r="U558" s="184"/>
      <c r="V558" s="184"/>
      <c r="W558" s="184"/>
      <c r="X558" s="184"/>
      <c r="Y558" s="184"/>
      <c r="Z558" s="184"/>
      <c r="AA558" s="184"/>
      <c r="AB558" s="184"/>
      <c r="AC558" s="184"/>
      <c r="AD558" s="184"/>
      <c r="AE558" s="184"/>
      <c r="AF558" s="184"/>
      <c r="AG558" s="184"/>
      <c r="AH558" s="184"/>
      <c r="AI558" s="184"/>
      <c r="AJ558" s="184"/>
      <c r="AK558" s="184"/>
      <c r="AL558" s="184"/>
      <c r="AM558" s="184"/>
      <c r="AN558" s="184"/>
      <c r="AO558" s="184"/>
      <c r="AP558" s="184"/>
      <c r="AQ558" s="184"/>
      <c r="AR558" s="184"/>
      <c r="AS558" s="186"/>
      <c r="AT558" s="187"/>
      <c r="AU558" s="187"/>
      <c r="AV558" s="187"/>
      <c r="AW558" s="224"/>
      <c r="AX558" s="184"/>
      <c r="AY558" s="184"/>
      <c r="AZ558" s="184"/>
      <c r="BA558" s="184"/>
      <c r="BB558" s="184"/>
    </row>
    <row r="559" spans="1:54" s="163" customFormat="1" ht="16.5" customHeight="1">
      <c r="A559" s="180"/>
      <c r="B559" s="181"/>
      <c r="C559" s="182"/>
      <c r="D559" s="182"/>
      <c r="E559" s="183"/>
      <c r="F559" s="183"/>
      <c r="G559" s="183"/>
      <c r="H559" s="184"/>
      <c r="I559" s="184"/>
      <c r="J559" s="184"/>
      <c r="K559" s="184"/>
      <c r="L559" s="184"/>
      <c r="M559" s="184"/>
      <c r="N559" s="184"/>
      <c r="O559" s="184"/>
      <c r="Q559" s="184"/>
      <c r="R559" s="185"/>
      <c r="S559" s="185"/>
      <c r="U559" s="184"/>
      <c r="V559" s="184"/>
      <c r="W559" s="184"/>
      <c r="X559" s="184"/>
      <c r="Y559" s="184"/>
      <c r="Z559" s="184"/>
      <c r="AA559" s="184"/>
      <c r="AB559" s="184"/>
      <c r="AC559" s="184"/>
      <c r="AD559" s="184"/>
      <c r="AE559" s="184"/>
      <c r="AF559" s="184"/>
      <c r="AG559" s="184"/>
      <c r="AH559" s="184"/>
      <c r="AI559" s="184"/>
      <c r="AJ559" s="184"/>
      <c r="AK559" s="184"/>
      <c r="AL559" s="184"/>
      <c r="AM559" s="184"/>
      <c r="AN559" s="184"/>
      <c r="AO559" s="184"/>
      <c r="AP559" s="184"/>
      <c r="AQ559" s="184"/>
      <c r="AR559" s="184"/>
      <c r="AS559" s="186"/>
      <c r="AT559" s="187"/>
      <c r="AU559" s="187"/>
      <c r="AV559" s="187"/>
      <c r="AW559" s="224"/>
      <c r="AX559" s="184"/>
      <c r="AY559" s="184"/>
      <c r="AZ559" s="184"/>
      <c r="BA559" s="184"/>
      <c r="BB559" s="184"/>
    </row>
    <row r="560" spans="1:54" s="163" customFormat="1" ht="16.5" customHeight="1">
      <c r="A560" s="180"/>
      <c r="B560" s="181"/>
      <c r="C560" s="182"/>
      <c r="D560" s="182"/>
      <c r="E560" s="183"/>
      <c r="F560" s="183"/>
      <c r="G560" s="183"/>
      <c r="H560" s="184"/>
      <c r="I560" s="184"/>
      <c r="J560" s="184"/>
      <c r="K560" s="184"/>
      <c r="L560" s="184"/>
      <c r="M560" s="184"/>
      <c r="N560" s="184"/>
      <c r="O560" s="184"/>
      <c r="Q560" s="184"/>
      <c r="R560" s="185"/>
      <c r="S560" s="185"/>
      <c r="U560" s="184"/>
      <c r="V560" s="184"/>
      <c r="W560" s="184"/>
      <c r="X560" s="184"/>
      <c r="Y560" s="184"/>
      <c r="Z560" s="184"/>
      <c r="AA560" s="184"/>
      <c r="AB560" s="184"/>
      <c r="AC560" s="184"/>
      <c r="AD560" s="184"/>
      <c r="AE560" s="184"/>
      <c r="AF560" s="184"/>
      <c r="AG560" s="184"/>
      <c r="AH560" s="184"/>
      <c r="AI560" s="184"/>
      <c r="AJ560" s="184"/>
      <c r="AK560" s="184"/>
      <c r="AL560" s="184"/>
      <c r="AM560" s="184"/>
      <c r="AN560" s="184"/>
      <c r="AO560" s="184"/>
      <c r="AP560" s="184"/>
      <c r="AQ560" s="184"/>
      <c r="AR560" s="184"/>
      <c r="AS560" s="186"/>
      <c r="AT560" s="187"/>
      <c r="AU560" s="187"/>
      <c r="AV560" s="187"/>
      <c r="AW560" s="224"/>
      <c r="AX560" s="184"/>
      <c r="AY560" s="184"/>
      <c r="AZ560" s="184"/>
      <c r="BA560" s="184"/>
      <c r="BB560" s="184"/>
    </row>
    <row r="561" spans="1:54" s="163" customFormat="1" ht="16.5" customHeight="1">
      <c r="A561" s="180"/>
      <c r="B561" s="181"/>
      <c r="C561" s="182"/>
      <c r="D561" s="182"/>
      <c r="E561" s="183"/>
      <c r="F561" s="183"/>
      <c r="G561" s="183"/>
      <c r="H561" s="184"/>
      <c r="I561" s="184"/>
      <c r="J561" s="184"/>
      <c r="K561" s="184"/>
      <c r="L561" s="184"/>
      <c r="M561" s="184"/>
      <c r="N561" s="184"/>
      <c r="O561" s="184"/>
      <c r="Q561" s="184"/>
      <c r="R561" s="185"/>
      <c r="S561" s="185"/>
      <c r="U561" s="184"/>
      <c r="V561" s="184"/>
      <c r="W561" s="184"/>
      <c r="X561" s="184"/>
      <c r="Y561" s="184"/>
      <c r="Z561" s="184"/>
      <c r="AA561" s="184"/>
      <c r="AB561" s="184"/>
      <c r="AC561" s="184"/>
      <c r="AD561" s="184"/>
      <c r="AE561" s="184"/>
      <c r="AF561" s="184"/>
      <c r="AG561" s="184"/>
      <c r="AH561" s="184"/>
      <c r="AI561" s="184"/>
      <c r="AJ561" s="184"/>
      <c r="AK561" s="184"/>
      <c r="AL561" s="184"/>
      <c r="AM561" s="184"/>
      <c r="AN561" s="184"/>
      <c r="AO561" s="184"/>
      <c r="AP561" s="184"/>
      <c r="AQ561" s="184"/>
      <c r="AR561" s="184"/>
      <c r="AS561" s="186"/>
      <c r="AT561" s="187"/>
      <c r="AU561" s="187"/>
      <c r="AV561" s="187"/>
      <c r="AW561" s="224"/>
      <c r="AX561" s="184"/>
      <c r="AY561" s="184"/>
      <c r="AZ561" s="184"/>
      <c r="BA561" s="184"/>
      <c r="BB561" s="184"/>
    </row>
    <row r="562" spans="1:54" s="163" customFormat="1" ht="16.5" customHeight="1">
      <c r="A562" s="180"/>
      <c r="B562" s="181"/>
      <c r="C562" s="182"/>
      <c r="D562" s="182"/>
      <c r="E562" s="183"/>
      <c r="F562" s="183"/>
      <c r="G562" s="183"/>
      <c r="H562" s="184"/>
      <c r="I562" s="184"/>
      <c r="J562" s="184"/>
      <c r="K562" s="184"/>
      <c r="L562" s="184"/>
      <c r="M562" s="184"/>
      <c r="N562" s="184"/>
      <c r="O562" s="184"/>
      <c r="Q562" s="184"/>
      <c r="R562" s="185"/>
      <c r="S562" s="185"/>
      <c r="U562" s="184"/>
      <c r="V562" s="184"/>
      <c r="W562" s="184"/>
      <c r="X562" s="184"/>
      <c r="Y562" s="184"/>
      <c r="Z562" s="184"/>
      <c r="AA562" s="184"/>
      <c r="AB562" s="184"/>
      <c r="AC562" s="184"/>
      <c r="AD562" s="184"/>
      <c r="AE562" s="184"/>
      <c r="AF562" s="184"/>
      <c r="AG562" s="184"/>
      <c r="AH562" s="184"/>
      <c r="AI562" s="184"/>
      <c r="AJ562" s="184"/>
      <c r="AK562" s="184"/>
      <c r="AL562" s="184"/>
      <c r="AM562" s="184"/>
      <c r="AN562" s="184"/>
      <c r="AO562" s="184"/>
      <c r="AP562" s="184"/>
      <c r="AQ562" s="184"/>
      <c r="AR562" s="184"/>
      <c r="AS562" s="186"/>
      <c r="AT562" s="187"/>
      <c r="AU562" s="187"/>
      <c r="AV562" s="187"/>
      <c r="AW562" s="224"/>
      <c r="AX562" s="184"/>
      <c r="AY562" s="184"/>
      <c r="AZ562" s="184"/>
      <c r="BA562" s="184"/>
      <c r="BB562" s="184"/>
    </row>
    <row r="563" spans="1:54" s="163" customFormat="1" ht="16.5" customHeight="1">
      <c r="A563" s="180"/>
      <c r="B563" s="181"/>
      <c r="C563" s="182"/>
      <c r="D563" s="182"/>
      <c r="E563" s="183"/>
      <c r="F563" s="183"/>
      <c r="G563" s="183"/>
      <c r="H563" s="184"/>
      <c r="I563" s="184"/>
      <c r="J563" s="184"/>
      <c r="K563" s="184"/>
      <c r="L563" s="184"/>
      <c r="M563" s="184"/>
      <c r="N563" s="184"/>
      <c r="O563" s="184"/>
      <c r="Q563" s="184"/>
      <c r="R563" s="185"/>
      <c r="S563" s="185"/>
      <c r="U563" s="184"/>
      <c r="V563" s="184"/>
      <c r="W563" s="184"/>
      <c r="X563" s="184"/>
      <c r="Y563" s="184"/>
      <c r="Z563" s="184"/>
      <c r="AA563" s="184"/>
      <c r="AB563" s="184"/>
      <c r="AC563" s="184"/>
      <c r="AD563" s="184"/>
      <c r="AE563" s="184"/>
      <c r="AF563" s="184"/>
      <c r="AG563" s="184"/>
      <c r="AH563" s="184"/>
      <c r="AI563" s="184"/>
      <c r="AJ563" s="184"/>
      <c r="AK563" s="184"/>
      <c r="AL563" s="184"/>
      <c r="AM563" s="184"/>
      <c r="AN563" s="184"/>
      <c r="AO563" s="184"/>
      <c r="AP563" s="184"/>
      <c r="AQ563" s="184"/>
      <c r="AR563" s="184"/>
      <c r="AS563" s="186"/>
      <c r="AT563" s="187"/>
      <c r="AU563" s="187"/>
      <c r="AV563" s="187"/>
      <c r="AW563" s="224"/>
      <c r="AX563" s="184"/>
      <c r="AY563" s="184"/>
      <c r="AZ563" s="184"/>
      <c r="BA563" s="184"/>
      <c r="BB563" s="184"/>
    </row>
    <row r="564" spans="1:54" s="163" customFormat="1" ht="16.5" customHeight="1">
      <c r="A564" s="180"/>
      <c r="B564" s="181"/>
      <c r="C564" s="182"/>
      <c r="D564" s="182"/>
      <c r="E564" s="183"/>
      <c r="F564" s="183"/>
      <c r="G564" s="183"/>
      <c r="H564" s="184"/>
      <c r="I564" s="184"/>
      <c r="J564" s="184"/>
      <c r="K564" s="184"/>
      <c r="L564" s="184"/>
      <c r="M564" s="184"/>
      <c r="N564" s="184"/>
      <c r="O564" s="184"/>
      <c r="Q564" s="184"/>
      <c r="R564" s="185"/>
      <c r="S564" s="185"/>
      <c r="U564" s="184"/>
      <c r="V564" s="184"/>
      <c r="W564" s="184"/>
      <c r="X564" s="184"/>
      <c r="Y564" s="184"/>
      <c r="Z564" s="184"/>
      <c r="AA564" s="184"/>
      <c r="AB564" s="184"/>
      <c r="AC564" s="184"/>
      <c r="AD564" s="184"/>
      <c r="AE564" s="184"/>
      <c r="AF564" s="184"/>
      <c r="AG564" s="184"/>
      <c r="AH564" s="184"/>
      <c r="AI564" s="184"/>
      <c r="AJ564" s="184"/>
      <c r="AK564" s="184"/>
      <c r="AL564" s="184"/>
      <c r="AM564" s="184"/>
      <c r="AN564" s="184"/>
      <c r="AO564" s="184"/>
      <c r="AP564" s="184"/>
      <c r="AQ564" s="184"/>
      <c r="AR564" s="184"/>
      <c r="AS564" s="186"/>
      <c r="AT564" s="187"/>
      <c r="AU564" s="187"/>
      <c r="AV564" s="187"/>
      <c r="AW564" s="224"/>
      <c r="AX564" s="184"/>
      <c r="AY564" s="184"/>
      <c r="AZ564" s="184"/>
      <c r="BA564" s="184"/>
      <c r="BB564" s="184"/>
    </row>
    <row r="565" spans="1:54" s="163" customFormat="1" ht="16.5" customHeight="1">
      <c r="A565" s="180"/>
      <c r="B565" s="181"/>
      <c r="C565" s="182"/>
      <c r="D565" s="182"/>
      <c r="E565" s="183"/>
      <c r="F565" s="183"/>
      <c r="G565" s="183"/>
      <c r="H565" s="184"/>
      <c r="I565" s="184"/>
      <c r="J565" s="184"/>
      <c r="K565" s="184"/>
      <c r="L565" s="184"/>
      <c r="M565" s="184"/>
      <c r="N565" s="184"/>
      <c r="O565" s="184"/>
      <c r="Q565" s="184"/>
      <c r="R565" s="185"/>
      <c r="S565" s="185"/>
      <c r="U565" s="184"/>
      <c r="V565" s="184"/>
      <c r="W565" s="184"/>
      <c r="X565" s="184"/>
      <c r="Y565" s="184"/>
      <c r="Z565" s="184"/>
      <c r="AA565" s="184"/>
      <c r="AB565" s="184"/>
      <c r="AC565" s="184"/>
      <c r="AD565" s="184"/>
      <c r="AE565" s="184"/>
      <c r="AF565" s="184"/>
      <c r="AG565" s="184"/>
      <c r="AH565" s="184"/>
      <c r="AI565" s="184"/>
      <c r="AJ565" s="184"/>
      <c r="AK565" s="184"/>
      <c r="AL565" s="184"/>
      <c r="AM565" s="184"/>
      <c r="AN565" s="184"/>
      <c r="AO565" s="184"/>
      <c r="AP565" s="184"/>
      <c r="AQ565" s="184"/>
      <c r="AR565" s="184"/>
      <c r="AS565" s="186"/>
      <c r="AT565" s="187"/>
      <c r="AU565" s="187"/>
      <c r="AV565" s="187"/>
      <c r="AW565" s="224"/>
      <c r="AX565" s="184"/>
      <c r="AY565" s="184"/>
      <c r="AZ565" s="184"/>
      <c r="BA565" s="184"/>
      <c r="BB565" s="184"/>
    </row>
    <row r="566" spans="1:54" s="163" customFormat="1" ht="16.5" customHeight="1">
      <c r="A566" s="180"/>
      <c r="B566" s="181"/>
      <c r="C566" s="182"/>
      <c r="D566" s="182"/>
      <c r="E566" s="183"/>
      <c r="F566" s="183"/>
      <c r="G566" s="183"/>
      <c r="H566" s="184"/>
      <c r="I566" s="184"/>
      <c r="J566" s="184"/>
      <c r="K566" s="184"/>
      <c r="L566" s="184"/>
      <c r="M566" s="184"/>
      <c r="N566" s="184"/>
      <c r="O566" s="184"/>
      <c r="Q566" s="184"/>
      <c r="R566" s="185"/>
      <c r="S566" s="185"/>
      <c r="U566" s="184"/>
      <c r="V566" s="184"/>
      <c r="W566" s="184"/>
      <c r="X566" s="184"/>
      <c r="Y566" s="184"/>
      <c r="Z566" s="184"/>
      <c r="AA566" s="184"/>
      <c r="AB566" s="184"/>
      <c r="AC566" s="184"/>
      <c r="AD566" s="184"/>
      <c r="AE566" s="184"/>
      <c r="AF566" s="184"/>
      <c r="AG566" s="184"/>
      <c r="AH566" s="184"/>
      <c r="AI566" s="184"/>
      <c r="AJ566" s="184"/>
      <c r="AK566" s="184"/>
      <c r="AL566" s="184"/>
      <c r="AM566" s="184"/>
      <c r="AN566" s="184"/>
      <c r="AO566" s="184"/>
      <c r="AP566" s="184"/>
      <c r="AQ566" s="184"/>
      <c r="AR566" s="184"/>
      <c r="AS566" s="186"/>
      <c r="AT566" s="187"/>
      <c r="AU566" s="187"/>
      <c r="AV566" s="187"/>
      <c r="AW566" s="224"/>
      <c r="AX566" s="184"/>
      <c r="AY566" s="184"/>
      <c r="AZ566" s="184"/>
      <c r="BA566" s="184"/>
      <c r="BB566" s="184"/>
    </row>
    <row r="567" spans="1:54" s="163" customFormat="1" ht="16.5" customHeight="1">
      <c r="A567" s="180"/>
      <c r="B567" s="181"/>
      <c r="C567" s="182"/>
      <c r="D567" s="182"/>
      <c r="E567" s="183"/>
      <c r="F567" s="183"/>
      <c r="G567" s="183"/>
      <c r="H567" s="184"/>
      <c r="I567" s="184"/>
      <c r="J567" s="184"/>
      <c r="K567" s="184"/>
      <c r="L567" s="184"/>
      <c r="M567" s="184"/>
      <c r="N567" s="184"/>
      <c r="O567" s="184"/>
      <c r="Q567" s="184"/>
      <c r="R567" s="185"/>
      <c r="S567" s="185"/>
      <c r="U567" s="184"/>
      <c r="V567" s="184"/>
      <c r="W567" s="184"/>
      <c r="X567" s="184"/>
      <c r="Y567" s="184"/>
      <c r="Z567" s="184"/>
      <c r="AA567" s="184"/>
      <c r="AB567" s="184"/>
      <c r="AC567" s="184"/>
      <c r="AD567" s="184"/>
      <c r="AE567" s="184"/>
      <c r="AF567" s="184"/>
      <c r="AG567" s="184"/>
      <c r="AH567" s="184"/>
      <c r="AI567" s="184"/>
      <c r="AJ567" s="184"/>
      <c r="AK567" s="184"/>
      <c r="AL567" s="184"/>
      <c r="AM567" s="184"/>
      <c r="AN567" s="184"/>
      <c r="AO567" s="184"/>
      <c r="AP567" s="184"/>
      <c r="AQ567" s="184"/>
      <c r="AR567" s="184"/>
      <c r="AS567" s="186"/>
      <c r="AT567" s="187"/>
      <c r="AU567" s="187"/>
      <c r="AV567" s="187"/>
      <c r="AW567" s="224"/>
      <c r="AX567" s="184"/>
      <c r="AY567" s="184"/>
      <c r="AZ567" s="184"/>
      <c r="BA567" s="184"/>
      <c r="BB567" s="184"/>
    </row>
    <row r="568" spans="1:54" s="163" customFormat="1" ht="16.5" customHeight="1">
      <c r="A568" s="180"/>
      <c r="B568" s="181"/>
      <c r="C568" s="182"/>
      <c r="D568" s="182"/>
      <c r="E568" s="183"/>
      <c r="F568" s="183"/>
      <c r="G568" s="183"/>
      <c r="H568" s="184"/>
      <c r="I568" s="184"/>
      <c r="J568" s="184"/>
      <c r="K568" s="184"/>
      <c r="L568" s="184"/>
      <c r="M568" s="184"/>
      <c r="N568" s="184"/>
      <c r="O568" s="184"/>
      <c r="Q568" s="184"/>
      <c r="R568" s="185"/>
      <c r="S568" s="185"/>
      <c r="U568" s="184"/>
      <c r="V568" s="184"/>
      <c r="W568" s="184"/>
      <c r="X568" s="184"/>
      <c r="Y568" s="184"/>
      <c r="Z568" s="184"/>
      <c r="AA568" s="184"/>
      <c r="AB568" s="184"/>
      <c r="AC568" s="184"/>
      <c r="AD568" s="184"/>
      <c r="AE568" s="184"/>
      <c r="AF568" s="184"/>
      <c r="AG568" s="184"/>
      <c r="AH568" s="184"/>
      <c r="AI568" s="184"/>
      <c r="AJ568" s="184"/>
      <c r="AK568" s="184"/>
      <c r="AL568" s="184"/>
      <c r="AM568" s="184"/>
      <c r="AN568" s="184"/>
      <c r="AO568" s="184"/>
      <c r="AP568" s="184"/>
      <c r="AQ568" s="184"/>
      <c r="AR568" s="184"/>
      <c r="AS568" s="186"/>
      <c r="AT568" s="187"/>
      <c r="AU568" s="187"/>
      <c r="AV568" s="187"/>
      <c r="AW568" s="224"/>
      <c r="AX568" s="184"/>
      <c r="AY568" s="184"/>
      <c r="AZ568" s="184"/>
      <c r="BA568" s="184"/>
      <c r="BB568" s="184"/>
    </row>
    <row r="569" spans="1:54" s="163" customFormat="1" ht="16.5" customHeight="1">
      <c r="A569" s="180"/>
      <c r="B569" s="181"/>
      <c r="C569" s="182"/>
      <c r="D569" s="182"/>
      <c r="E569" s="183"/>
      <c r="F569" s="183"/>
      <c r="G569" s="183"/>
      <c r="H569" s="184"/>
      <c r="I569" s="184"/>
      <c r="J569" s="184"/>
      <c r="K569" s="184"/>
      <c r="L569" s="184"/>
      <c r="M569" s="184"/>
      <c r="N569" s="184"/>
      <c r="O569" s="184"/>
      <c r="Q569" s="184"/>
      <c r="R569" s="185"/>
      <c r="S569" s="185"/>
      <c r="U569" s="184"/>
      <c r="V569" s="184"/>
      <c r="W569" s="184"/>
      <c r="X569" s="184"/>
      <c r="Y569" s="184"/>
      <c r="Z569" s="184"/>
      <c r="AA569" s="184"/>
      <c r="AB569" s="184"/>
      <c r="AC569" s="184"/>
      <c r="AD569" s="184"/>
      <c r="AE569" s="184"/>
      <c r="AF569" s="184"/>
      <c r="AG569" s="184"/>
      <c r="AH569" s="184"/>
      <c r="AI569" s="184"/>
      <c r="AJ569" s="184"/>
      <c r="AK569" s="184"/>
      <c r="AL569" s="184"/>
      <c r="AM569" s="184"/>
      <c r="AN569" s="184"/>
      <c r="AO569" s="184"/>
      <c r="AP569" s="184"/>
      <c r="AQ569" s="184"/>
      <c r="AR569" s="184"/>
      <c r="AS569" s="186"/>
      <c r="AT569" s="187"/>
      <c r="AU569" s="187"/>
      <c r="AV569" s="187"/>
      <c r="AW569" s="224"/>
      <c r="AX569" s="184"/>
      <c r="AY569" s="184"/>
      <c r="AZ569" s="184"/>
      <c r="BA569" s="184"/>
      <c r="BB569" s="184"/>
    </row>
    <row r="570" spans="1:54" s="163" customFormat="1" ht="16.5" customHeight="1">
      <c r="A570" s="180"/>
      <c r="B570" s="181"/>
      <c r="C570" s="182"/>
      <c r="D570" s="182"/>
      <c r="E570" s="183"/>
      <c r="F570" s="183"/>
      <c r="G570" s="183"/>
      <c r="H570" s="184"/>
      <c r="I570" s="184"/>
      <c r="J570" s="184"/>
      <c r="K570" s="184"/>
      <c r="L570" s="184"/>
      <c r="M570" s="184"/>
      <c r="N570" s="184"/>
      <c r="O570" s="184"/>
      <c r="Q570" s="184"/>
      <c r="R570" s="185"/>
      <c r="S570" s="185"/>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6"/>
      <c r="AT570" s="187"/>
      <c r="AU570" s="187"/>
      <c r="AV570" s="187"/>
      <c r="AW570" s="224"/>
      <c r="AX570" s="184"/>
      <c r="AY570" s="184"/>
      <c r="AZ570" s="184"/>
      <c r="BA570" s="184"/>
      <c r="BB570" s="184"/>
    </row>
    <row r="571" spans="1:54" s="163" customFormat="1" ht="16.5" customHeight="1">
      <c r="A571" s="180"/>
      <c r="B571" s="181"/>
      <c r="C571" s="182"/>
      <c r="D571" s="182"/>
      <c r="E571" s="183"/>
      <c r="F571" s="183"/>
      <c r="G571" s="183"/>
      <c r="H571" s="184"/>
      <c r="I571" s="184"/>
      <c r="J571" s="184"/>
      <c r="K571" s="184"/>
      <c r="L571" s="184"/>
      <c r="M571" s="184"/>
      <c r="N571" s="184"/>
      <c r="O571" s="184"/>
      <c r="Q571" s="184"/>
      <c r="R571" s="185"/>
      <c r="S571" s="185"/>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6"/>
      <c r="AT571" s="187"/>
      <c r="AU571" s="187"/>
      <c r="AV571" s="187"/>
      <c r="AW571" s="224"/>
      <c r="AX571" s="184"/>
      <c r="AY571" s="184"/>
      <c r="AZ571" s="184"/>
      <c r="BA571" s="184"/>
      <c r="BB571" s="184"/>
    </row>
    <row r="572" spans="1:54" s="163" customFormat="1" ht="16.5" customHeight="1">
      <c r="A572" s="180"/>
      <c r="B572" s="181"/>
      <c r="C572" s="182"/>
      <c r="D572" s="182"/>
      <c r="E572" s="183"/>
      <c r="F572" s="183"/>
      <c r="G572" s="183"/>
      <c r="H572" s="184"/>
      <c r="I572" s="184"/>
      <c r="J572" s="184"/>
      <c r="K572" s="184"/>
      <c r="L572" s="184"/>
      <c r="M572" s="184"/>
      <c r="N572" s="184"/>
      <c r="O572" s="184"/>
      <c r="Q572" s="184"/>
      <c r="R572" s="185"/>
      <c r="S572" s="185"/>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6"/>
      <c r="AT572" s="187"/>
      <c r="AU572" s="187"/>
      <c r="AV572" s="187"/>
      <c r="AW572" s="224"/>
      <c r="AX572" s="184"/>
      <c r="AY572" s="184"/>
      <c r="AZ572" s="184"/>
      <c r="BA572" s="184"/>
      <c r="BB572" s="184"/>
    </row>
    <row r="573" spans="1:54" s="163" customFormat="1" ht="16.5" customHeight="1">
      <c r="A573" s="180"/>
      <c r="B573" s="181"/>
      <c r="C573" s="182"/>
      <c r="D573" s="182"/>
      <c r="E573" s="183"/>
      <c r="F573" s="183"/>
      <c r="G573" s="183"/>
      <c r="H573" s="184"/>
      <c r="I573" s="184"/>
      <c r="J573" s="184"/>
      <c r="K573" s="184"/>
      <c r="L573" s="184"/>
      <c r="M573" s="184"/>
      <c r="N573" s="184"/>
      <c r="O573" s="184"/>
      <c r="Q573" s="184"/>
      <c r="R573" s="185"/>
      <c r="S573" s="185"/>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6"/>
      <c r="AT573" s="187"/>
      <c r="AU573" s="187"/>
      <c r="AV573" s="187"/>
      <c r="AW573" s="224"/>
      <c r="AX573" s="184"/>
      <c r="AY573" s="184"/>
      <c r="AZ573" s="184"/>
      <c r="BA573" s="184"/>
      <c r="BB573" s="184"/>
    </row>
    <row r="574" spans="1:54" s="163" customFormat="1" ht="16.5" customHeight="1">
      <c r="A574" s="180"/>
      <c r="B574" s="181"/>
      <c r="C574" s="182"/>
      <c r="D574" s="182"/>
      <c r="E574" s="183"/>
      <c r="F574" s="183"/>
      <c r="G574" s="183"/>
      <c r="H574" s="184"/>
      <c r="I574" s="184"/>
      <c r="J574" s="184"/>
      <c r="K574" s="184"/>
      <c r="L574" s="184"/>
      <c r="M574" s="184"/>
      <c r="N574" s="184"/>
      <c r="O574" s="184"/>
      <c r="Q574" s="184"/>
      <c r="R574" s="185"/>
      <c r="S574" s="185"/>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6"/>
      <c r="AT574" s="187"/>
      <c r="AU574" s="187"/>
      <c r="AV574" s="187"/>
      <c r="AW574" s="224"/>
      <c r="AX574" s="184"/>
      <c r="AY574" s="184"/>
      <c r="AZ574" s="184"/>
      <c r="BA574" s="184"/>
      <c r="BB574" s="184"/>
    </row>
    <row r="575" spans="1:54" s="163" customFormat="1" ht="16.5" customHeight="1">
      <c r="A575" s="180"/>
      <c r="B575" s="181"/>
      <c r="C575" s="182"/>
      <c r="D575" s="182"/>
      <c r="E575" s="183"/>
      <c r="F575" s="183"/>
      <c r="G575" s="183"/>
      <c r="H575" s="184"/>
      <c r="I575" s="184"/>
      <c r="J575" s="184"/>
      <c r="K575" s="184"/>
      <c r="L575" s="184"/>
      <c r="M575" s="184"/>
      <c r="N575" s="184"/>
      <c r="O575" s="184"/>
      <c r="Q575" s="184"/>
      <c r="R575" s="185"/>
      <c r="S575" s="185"/>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6"/>
      <c r="AT575" s="187"/>
      <c r="AU575" s="187"/>
      <c r="AV575" s="187"/>
      <c r="AW575" s="224"/>
      <c r="AX575" s="184"/>
      <c r="AY575" s="184"/>
      <c r="AZ575" s="184"/>
      <c r="BA575" s="184"/>
      <c r="BB575" s="184"/>
    </row>
    <row r="576" spans="1:54" s="163" customFormat="1" ht="16.5" customHeight="1">
      <c r="A576" s="180"/>
      <c r="B576" s="181"/>
      <c r="C576" s="182"/>
      <c r="D576" s="182"/>
      <c r="E576" s="183"/>
      <c r="F576" s="183"/>
      <c r="G576" s="183"/>
      <c r="H576" s="184"/>
      <c r="I576" s="184"/>
      <c r="J576" s="184"/>
      <c r="K576" s="184"/>
      <c r="L576" s="184"/>
      <c r="M576" s="184"/>
      <c r="N576" s="184"/>
      <c r="O576" s="184"/>
      <c r="Q576" s="184"/>
      <c r="R576" s="185"/>
      <c r="S576" s="185"/>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6"/>
      <c r="AT576" s="187"/>
      <c r="AU576" s="187"/>
      <c r="AV576" s="187"/>
      <c r="AW576" s="224"/>
      <c r="AX576" s="184"/>
      <c r="AY576" s="184"/>
      <c r="AZ576" s="184"/>
      <c r="BA576" s="184"/>
      <c r="BB576" s="184"/>
    </row>
    <row r="577" spans="1:54" s="163" customFormat="1" ht="16.5" customHeight="1">
      <c r="A577" s="180"/>
      <c r="B577" s="181"/>
      <c r="C577" s="182"/>
      <c r="D577" s="182"/>
      <c r="E577" s="183"/>
      <c r="F577" s="183"/>
      <c r="G577" s="183"/>
      <c r="H577" s="184"/>
      <c r="I577" s="184"/>
      <c r="J577" s="184"/>
      <c r="K577" s="184"/>
      <c r="L577" s="184"/>
      <c r="M577" s="184"/>
      <c r="N577" s="184"/>
      <c r="O577" s="184"/>
      <c r="Q577" s="184"/>
      <c r="R577" s="185"/>
      <c r="S577" s="185"/>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6"/>
      <c r="AT577" s="187"/>
      <c r="AU577" s="187"/>
      <c r="AV577" s="187"/>
      <c r="AW577" s="224"/>
      <c r="AX577" s="184"/>
      <c r="AY577" s="184"/>
      <c r="AZ577" s="184"/>
      <c r="BA577" s="184"/>
      <c r="BB577" s="184"/>
    </row>
    <row r="578" spans="1:54" s="163" customFormat="1" ht="16.5" customHeight="1">
      <c r="A578" s="180"/>
      <c r="B578" s="181"/>
      <c r="C578" s="182"/>
      <c r="D578" s="182"/>
      <c r="E578" s="183"/>
      <c r="F578" s="183"/>
      <c r="G578" s="183"/>
      <c r="H578" s="184"/>
      <c r="I578" s="184"/>
      <c r="J578" s="184"/>
      <c r="K578" s="184"/>
      <c r="L578" s="184"/>
      <c r="M578" s="184"/>
      <c r="N578" s="184"/>
      <c r="O578" s="184"/>
      <c r="Q578" s="184"/>
      <c r="R578" s="185"/>
      <c r="S578" s="185"/>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6"/>
      <c r="AT578" s="187"/>
      <c r="AU578" s="187"/>
      <c r="AV578" s="187"/>
      <c r="AW578" s="224"/>
      <c r="AX578" s="184"/>
      <c r="AY578" s="184"/>
      <c r="AZ578" s="184"/>
      <c r="BA578" s="184"/>
      <c r="BB578" s="184"/>
    </row>
    <row r="579" spans="1:54" s="163" customFormat="1" ht="16.5" customHeight="1">
      <c r="A579" s="180"/>
      <c r="B579" s="181"/>
      <c r="C579" s="182"/>
      <c r="D579" s="182"/>
      <c r="E579" s="183"/>
      <c r="F579" s="183"/>
      <c r="G579" s="183"/>
      <c r="H579" s="184"/>
      <c r="I579" s="184"/>
      <c r="J579" s="184"/>
      <c r="K579" s="184"/>
      <c r="L579" s="184"/>
      <c r="M579" s="184"/>
      <c r="N579" s="184"/>
      <c r="O579" s="184"/>
      <c r="Q579" s="184"/>
      <c r="R579" s="185"/>
      <c r="S579" s="185"/>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6"/>
      <c r="AT579" s="187"/>
      <c r="AU579" s="187"/>
      <c r="AV579" s="187"/>
      <c r="AW579" s="224"/>
      <c r="AX579" s="184"/>
      <c r="AY579" s="184"/>
      <c r="AZ579" s="184"/>
      <c r="BA579" s="184"/>
      <c r="BB579" s="184"/>
    </row>
    <row r="580" spans="1:54" s="163" customFormat="1" ht="16.5" customHeight="1">
      <c r="A580" s="180"/>
      <c r="B580" s="181"/>
      <c r="C580" s="182"/>
      <c r="D580" s="182"/>
      <c r="E580" s="183"/>
      <c r="F580" s="183"/>
      <c r="G580" s="183"/>
      <c r="H580" s="184"/>
      <c r="I580" s="184"/>
      <c r="J580" s="184"/>
      <c r="K580" s="184"/>
      <c r="L580" s="184"/>
      <c r="M580" s="184"/>
      <c r="N580" s="184"/>
      <c r="O580" s="184"/>
      <c r="Q580" s="184"/>
      <c r="R580" s="185"/>
      <c r="S580" s="185"/>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6"/>
      <c r="AT580" s="187"/>
      <c r="AU580" s="187"/>
      <c r="AV580" s="187"/>
      <c r="AW580" s="224"/>
      <c r="AX580" s="184"/>
      <c r="AY580" s="184"/>
      <c r="AZ580" s="184"/>
      <c r="BA580" s="184"/>
      <c r="BB580" s="184"/>
    </row>
    <row r="581" spans="1:54" s="163" customFormat="1" ht="16.5" customHeight="1">
      <c r="A581" s="180"/>
      <c r="B581" s="181"/>
      <c r="C581" s="182"/>
      <c r="D581" s="182"/>
      <c r="E581" s="183"/>
      <c r="F581" s="183"/>
      <c r="G581" s="183"/>
      <c r="H581" s="184"/>
      <c r="I581" s="184"/>
      <c r="J581" s="184"/>
      <c r="K581" s="184"/>
      <c r="L581" s="184"/>
      <c r="M581" s="184"/>
      <c r="N581" s="184"/>
      <c r="O581" s="184"/>
      <c r="Q581" s="184"/>
      <c r="R581" s="185"/>
      <c r="S581" s="185"/>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6"/>
      <c r="AT581" s="187"/>
      <c r="AU581" s="187"/>
      <c r="AV581" s="187"/>
      <c r="AW581" s="224"/>
      <c r="AX581" s="184"/>
      <c r="AY581" s="184"/>
      <c r="AZ581" s="184"/>
      <c r="BA581" s="184"/>
      <c r="BB581" s="184"/>
    </row>
    <row r="582" spans="1:54" s="163" customFormat="1" ht="16.5" customHeight="1">
      <c r="A582" s="180"/>
      <c r="B582" s="181"/>
      <c r="C582" s="182"/>
      <c r="D582" s="182"/>
      <c r="E582" s="183"/>
      <c r="F582" s="183"/>
      <c r="G582" s="183"/>
      <c r="H582" s="184"/>
      <c r="I582" s="184"/>
      <c r="J582" s="184"/>
      <c r="K582" s="184"/>
      <c r="L582" s="184"/>
      <c r="M582" s="184"/>
      <c r="N582" s="184"/>
      <c r="O582" s="184"/>
      <c r="Q582" s="184"/>
      <c r="R582" s="185"/>
      <c r="S582" s="185"/>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6"/>
      <c r="AT582" s="187"/>
      <c r="AU582" s="187"/>
      <c r="AV582" s="187"/>
      <c r="AW582" s="224"/>
      <c r="AX582" s="184"/>
      <c r="AY582" s="184"/>
      <c r="AZ582" s="184"/>
      <c r="BA582" s="184"/>
      <c r="BB582" s="184"/>
    </row>
    <row r="583" spans="1:54" s="163" customFormat="1" ht="16.5" customHeight="1">
      <c r="A583" s="180"/>
      <c r="B583" s="181"/>
      <c r="C583" s="182"/>
      <c r="D583" s="182"/>
      <c r="E583" s="183"/>
      <c r="F583" s="183"/>
      <c r="G583" s="183"/>
      <c r="H583" s="184"/>
      <c r="I583" s="184"/>
      <c r="J583" s="184"/>
      <c r="K583" s="184"/>
      <c r="L583" s="184"/>
      <c r="M583" s="184"/>
      <c r="N583" s="184"/>
      <c r="O583" s="184"/>
      <c r="Q583" s="184"/>
      <c r="R583" s="185"/>
      <c r="S583" s="185"/>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6"/>
      <c r="AT583" s="187"/>
      <c r="AU583" s="187"/>
      <c r="AV583" s="187"/>
      <c r="AW583" s="224"/>
      <c r="AX583" s="184"/>
      <c r="AY583" s="184"/>
      <c r="AZ583" s="184"/>
      <c r="BA583" s="184"/>
      <c r="BB583" s="184"/>
    </row>
    <row r="584" spans="1:54" s="163" customFormat="1" ht="16.5" customHeight="1">
      <c r="A584" s="180"/>
      <c r="B584" s="181"/>
      <c r="C584" s="182"/>
      <c r="D584" s="182"/>
      <c r="E584" s="183"/>
      <c r="F584" s="183"/>
      <c r="G584" s="183"/>
      <c r="H584" s="184"/>
      <c r="I584" s="184"/>
      <c r="J584" s="184"/>
      <c r="K584" s="184"/>
      <c r="L584" s="184"/>
      <c r="M584" s="184"/>
      <c r="N584" s="184"/>
      <c r="O584" s="184"/>
      <c r="Q584" s="184"/>
      <c r="R584" s="185"/>
      <c r="S584" s="185"/>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6"/>
      <c r="AT584" s="187"/>
      <c r="AU584" s="187"/>
      <c r="AV584" s="187"/>
      <c r="AW584" s="224"/>
      <c r="AX584" s="184"/>
      <c r="AY584" s="184"/>
      <c r="AZ584" s="184"/>
      <c r="BA584" s="184"/>
      <c r="BB584" s="184"/>
    </row>
    <row r="585" spans="1:54" s="163" customFormat="1" ht="16.5" customHeight="1">
      <c r="A585" s="180"/>
      <c r="B585" s="181"/>
      <c r="C585" s="182"/>
      <c r="D585" s="182"/>
      <c r="E585" s="183"/>
      <c r="F585" s="183"/>
      <c r="G585" s="183"/>
      <c r="H585" s="184"/>
      <c r="I585" s="184"/>
      <c r="J585" s="184"/>
      <c r="K585" s="184"/>
      <c r="L585" s="184"/>
      <c r="M585" s="184"/>
      <c r="N585" s="184"/>
      <c r="O585" s="184"/>
      <c r="Q585" s="184"/>
      <c r="R585" s="185"/>
      <c r="S585" s="185"/>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6"/>
      <c r="AT585" s="187"/>
      <c r="AU585" s="187"/>
      <c r="AV585" s="187"/>
      <c r="AW585" s="224"/>
      <c r="AX585" s="184"/>
      <c r="AY585" s="184"/>
      <c r="AZ585" s="184"/>
      <c r="BA585" s="184"/>
      <c r="BB585" s="184"/>
    </row>
    <row r="586" spans="1:54" s="163" customFormat="1" ht="16.5" customHeight="1">
      <c r="A586" s="180"/>
      <c r="B586" s="181"/>
      <c r="C586" s="182"/>
      <c r="D586" s="182"/>
      <c r="E586" s="183"/>
      <c r="F586" s="183"/>
      <c r="G586" s="183"/>
      <c r="H586" s="184"/>
      <c r="I586" s="184"/>
      <c r="J586" s="184"/>
      <c r="K586" s="184"/>
      <c r="L586" s="184"/>
      <c r="M586" s="184"/>
      <c r="N586" s="184"/>
      <c r="O586" s="184"/>
      <c r="Q586" s="184"/>
      <c r="R586" s="185"/>
      <c r="S586" s="185"/>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6"/>
      <c r="AT586" s="187"/>
      <c r="AU586" s="187"/>
      <c r="AV586" s="187"/>
      <c r="AW586" s="224"/>
      <c r="AX586" s="184"/>
      <c r="AY586" s="184"/>
      <c r="AZ586" s="184"/>
      <c r="BA586" s="184"/>
      <c r="BB586" s="184"/>
    </row>
    <row r="587" spans="1:54" s="163" customFormat="1" ht="16.5" customHeight="1">
      <c r="A587" s="180"/>
      <c r="B587" s="181"/>
      <c r="C587" s="182"/>
      <c r="D587" s="182"/>
      <c r="E587" s="183"/>
      <c r="F587" s="183"/>
      <c r="G587" s="183"/>
      <c r="H587" s="184"/>
      <c r="I587" s="184"/>
      <c r="J587" s="184"/>
      <c r="K587" s="184"/>
      <c r="L587" s="184"/>
      <c r="M587" s="184"/>
      <c r="N587" s="184"/>
      <c r="O587" s="184"/>
      <c r="Q587" s="184"/>
      <c r="R587" s="185"/>
      <c r="S587" s="185"/>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c r="AP587" s="184"/>
      <c r="AQ587" s="184"/>
      <c r="AR587" s="184"/>
      <c r="AS587" s="186"/>
      <c r="AT587" s="187"/>
      <c r="AU587" s="187"/>
      <c r="AV587" s="187"/>
      <c r="AW587" s="224"/>
      <c r="AX587" s="184"/>
      <c r="AY587" s="184"/>
      <c r="AZ587" s="184"/>
      <c r="BA587" s="184"/>
      <c r="BB587" s="184"/>
    </row>
    <row r="588" spans="1:54" s="163" customFormat="1" ht="16.5" customHeight="1">
      <c r="A588" s="180"/>
      <c r="B588" s="181"/>
      <c r="C588" s="182"/>
      <c r="D588" s="182"/>
      <c r="E588" s="183"/>
      <c r="F588" s="183"/>
      <c r="G588" s="183"/>
      <c r="H588" s="184"/>
      <c r="I588" s="184"/>
      <c r="J588" s="184"/>
      <c r="K588" s="184"/>
      <c r="L588" s="184"/>
      <c r="M588" s="184"/>
      <c r="N588" s="184"/>
      <c r="O588" s="184"/>
      <c r="Q588" s="184"/>
      <c r="R588" s="185"/>
      <c r="S588" s="185"/>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6"/>
      <c r="AT588" s="187"/>
      <c r="AU588" s="187"/>
      <c r="AV588" s="187"/>
      <c r="AW588" s="224"/>
      <c r="AX588" s="184"/>
      <c r="AY588" s="184"/>
      <c r="AZ588" s="184"/>
      <c r="BA588" s="184"/>
      <c r="BB588" s="184"/>
    </row>
    <row r="589" spans="1:54" s="163" customFormat="1" ht="16.5" customHeight="1">
      <c r="A589" s="180"/>
      <c r="B589" s="181"/>
      <c r="C589" s="182"/>
      <c r="D589" s="182"/>
      <c r="E589" s="183"/>
      <c r="F589" s="183"/>
      <c r="G589" s="183"/>
      <c r="H589" s="184"/>
      <c r="I589" s="184"/>
      <c r="J589" s="184"/>
      <c r="K589" s="184"/>
      <c r="L589" s="184"/>
      <c r="M589" s="184"/>
      <c r="N589" s="184"/>
      <c r="O589" s="184"/>
      <c r="Q589" s="184"/>
      <c r="R589" s="185"/>
      <c r="S589" s="185"/>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6"/>
      <c r="AT589" s="187"/>
      <c r="AU589" s="187"/>
      <c r="AV589" s="187"/>
      <c r="AW589" s="224"/>
      <c r="AX589" s="184"/>
      <c r="AY589" s="184"/>
      <c r="AZ589" s="184"/>
      <c r="BA589" s="184"/>
      <c r="BB589" s="184"/>
    </row>
    <row r="590" spans="1:54" s="163" customFormat="1" ht="16.5" customHeight="1">
      <c r="A590" s="180"/>
      <c r="B590" s="181"/>
      <c r="C590" s="182"/>
      <c r="D590" s="182"/>
      <c r="E590" s="183"/>
      <c r="F590" s="183"/>
      <c r="G590" s="183"/>
      <c r="H590" s="184"/>
      <c r="I590" s="184"/>
      <c r="J590" s="184"/>
      <c r="K590" s="184"/>
      <c r="L590" s="184"/>
      <c r="M590" s="184"/>
      <c r="N590" s="184"/>
      <c r="O590" s="184"/>
      <c r="Q590" s="184"/>
      <c r="R590" s="185"/>
      <c r="S590" s="185"/>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6"/>
      <c r="AT590" s="187"/>
      <c r="AU590" s="187"/>
      <c r="AV590" s="187"/>
      <c r="AW590" s="224"/>
      <c r="AX590" s="184"/>
      <c r="AY590" s="184"/>
      <c r="AZ590" s="184"/>
      <c r="BA590" s="184"/>
      <c r="BB590" s="184"/>
    </row>
    <row r="591" spans="1:54" s="163" customFormat="1" ht="16.5" customHeight="1">
      <c r="A591" s="180"/>
      <c r="B591" s="181"/>
      <c r="C591" s="182"/>
      <c r="D591" s="182"/>
      <c r="E591" s="183"/>
      <c r="F591" s="183"/>
      <c r="G591" s="183"/>
      <c r="H591" s="184"/>
      <c r="I591" s="184"/>
      <c r="J591" s="184"/>
      <c r="K591" s="184"/>
      <c r="L591" s="184"/>
      <c r="M591" s="184"/>
      <c r="N591" s="184"/>
      <c r="O591" s="184"/>
      <c r="Q591" s="184"/>
      <c r="R591" s="185"/>
      <c r="S591" s="185"/>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6"/>
      <c r="AT591" s="187"/>
      <c r="AU591" s="187"/>
      <c r="AV591" s="187"/>
      <c r="AW591" s="224"/>
      <c r="AX591" s="184"/>
      <c r="AY591" s="184"/>
      <c r="AZ591" s="184"/>
      <c r="BA591" s="184"/>
      <c r="BB591" s="184"/>
    </row>
    <row r="592" spans="1:54" s="163" customFormat="1" ht="16.5" customHeight="1">
      <c r="A592" s="180"/>
      <c r="B592" s="181"/>
      <c r="C592" s="182"/>
      <c r="D592" s="182"/>
      <c r="E592" s="183"/>
      <c r="F592" s="183"/>
      <c r="G592" s="183"/>
      <c r="H592" s="184"/>
      <c r="I592" s="184"/>
      <c r="J592" s="184"/>
      <c r="K592" s="184"/>
      <c r="L592" s="184"/>
      <c r="M592" s="184"/>
      <c r="N592" s="184"/>
      <c r="O592" s="184"/>
      <c r="Q592" s="184"/>
      <c r="R592" s="185"/>
      <c r="S592" s="185"/>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c r="AP592" s="184"/>
      <c r="AQ592" s="184"/>
      <c r="AR592" s="184"/>
      <c r="AS592" s="186"/>
      <c r="AT592" s="187"/>
      <c r="AU592" s="187"/>
      <c r="AV592" s="187"/>
      <c r="AW592" s="224"/>
      <c r="AX592" s="184"/>
      <c r="AY592" s="184"/>
      <c r="AZ592" s="184"/>
      <c r="BA592" s="184"/>
      <c r="BB592" s="184"/>
    </row>
    <row r="593" spans="1:54" s="163" customFormat="1" ht="16.5" customHeight="1">
      <c r="A593" s="180"/>
      <c r="B593" s="181"/>
      <c r="C593" s="182"/>
      <c r="D593" s="182"/>
      <c r="E593" s="183"/>
      <c r="F593" s="183"/>
      <c r="G593" s="183"/>
      <c r="H593" s="184"/>
      <c r="I593" s="184"/>
      <c r="J593" s="184"/>
      <c r="K593" s="184"/>
      <c r="L593" s="184"/>
      <c r="M593" s="184"/>
      <c r="N593" s="184"/>
      <c r="O593" s="184"/>
      <c r="Q593" s="184"/>
      <c r="R593" s="185"/>
      <c r="S593" s="185"/>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6"/>
      <c r="AT593" s="187"/>
      <c r="AU593" s="187"/>
      <c r="AV593" s="187"/>
      <c r="AW593" s="224"/>
      <c r="AX593" s="184"/>
      <c r="AY593" s="184"/>
      <c r="AZ593" s="184"/>
      <c r="BA593" s="184"/>
      <c r="BB593" s="184"/>
    </row>
    <row r="594" spans="1:54" s="163" customFormat="1" ht="16.5" customHeight="1">
      <c r="A594" s="180"/>
      <c r="B594" s="181"/>
      <c r="C594" s="182"/>
      <c r="D594" s="182"/>
      <c r="E594" s="183"/>
      <c r="F594" s="183"/>
      <c r="G594" s="183"/>
      <c r="H594" s="184"/>
      <c r="I594" s="184"/>
      <c r="J594" s="184"/>
      <c r="K594" s="184"/>
      <c r="L594" s="184"/>
      <c r="M594" s="184"/>
      <c r="N594" s="184"/>
      <c r="O594" s="184"/>
      <c r="Q594" s="184"/>
      <c r="R594" s="185"/>
      <c r="S594" s="185"/>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6"/>
      <c r="AT594" s="187"/>
      <c r="AU594" s="187"/>
      <c r="AV594" s="187"/>
      <c r="AW594" s="224"/>
      <c r="AX594" s="184"/>
      <c r="AY594" s="184"/>
      <c r="AZ594" s="184"/>
      <c r="BA594" s="184"/>
      <c r="BB594" s="184"/>
    </row>
    <row r="595" spans="1:54" s="163" customFormat="1" ht="16.5" customHeight="1">
      <c r="A595" s="180"/>
      <c r="B595" s="181"/>
      <c r="C595" s="182"/>
      <c r="D595" s="182"/>
      <c r="E595" s="183"/>
      <c r="F595" s="183"/>
      <c r="G595" s="183"/>
      <c r="H595" s="184"/>
      <c r="I595" s="184"/>
      <c r="J595" s="184"/>
      <c r="K595" s="184"/>
      <c r="L595" s="184"/>
      <c r="M595" s="184"/>
      <c r="N595" s="184"/>
      <c r="O595" s="184"/>
      <c r="Q595" s="184"/>
      <c r="R595" s="185"/>
      <c r="S595" s="185"/>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6"/>
      <c r="AT595" s="187"/>
      <c r="AU595" s="187"/>
      <c r="AV595" s="187"/>
      <c r="AW595" s="224"/>
      <c r="AX595" s="184"/>
      <c r="AY595" s="184"/>
      <c r="AZ595" s="184"/>
      <c r="BA595" s="184"/>
      <c r="BB595" s="184"/>
    </row>
    <row r="596" spans="1:54" s="163" customFormat="1" ht="16.5" customHeight="1">
      <c r="A596" s="180"/>
      <c r="B596" s="181"/>
      <c r="C596" s="182"/>
      <c r="D596" s="182"/>
      <c r="E596" s="183"/>
      <c r="F596" s="183"/>
      <c r="G596" s="183"/>
      <c r="H596" s="184"/>
      <c r="I596" s="184"/>
      <c r="J596" s="184"/>
      <c r="K596" s="184"/>
      <c r="L596" s="184"/>
      <c r="M596" s="184"/>
      <c r="N596" s="184"/>
      <c r="O596" s="184"/>
      <c r="Q596" s="184"/>
      <c r="R596" s="185"/>
      <c r="S596" s="185"/>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6"/>
      <c r="AT596" s="187"/>
      <c r="AU596" s="187"/>
      <c r="AV596" s="187"/>
      <c r="AW596" s="224"/>
      <c r="AX596" s="184"/>
      <c r="AY596" s="184"/>
      <c r="AZ596" s="184"/>
      <c r="BA596" s="184"/>
      <c r="BB596" s="184"/>
    </row>
    <row r="597" spans="1:54" s="163" customFormat="1" ht="16.5" customHeight="1">
      <c r="A597" s="180"/>
      <c r="B597" s="181"/>
      <c r="C597" s="182"/>
      <c r="D597" s="182"/>
      <c r="E597" s="183"/>
      <c r="F597" s="183"/>
      <c r="G597" s="183"/>
      <c r="H597" s="184"/>
      <c r="I597" s="184"/>
      <c r="J597" s="184"/>
      <c r="K597" s="184"/>
      <c r="L597" s="184"/>
      <c r="M597" s="184"/>
      <c r="N597" s="184"/>
      <c r="O597" s="184"/>
      <c r="Q597" s="184"/>
      <c r="R597" s="185"/>
      <c r="S597" s="185"/>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6"/>
      <c r="AT597" s="187"/>
      <c r="AU597" s="187"/>
      <c r="AV597" s="187"/>
      <c r="AW597" s="224"/>
      <c r="AX597" s="184"/>
      <c r="AY597" s="184"/>
      <c r="AZ597" s="184"/>
      <c r="BA597" s="184"/>
      <c r="BB597" s="184"/>
    </row>
    <row r="598" spans="1:54" s="163" customFormat="1" ht="16.5" customHeight="1">
      <c r="A598" s="180"/>
      <c r="B598" s="181"/>
      <c r="C598" s="182"/>
      <c r="D598" s="182"/>
      <c r="E598" s="183"/>
      <c r="F598" s="183"/>
      <c r="G598" s="183"/>
      <c r="H598" s="184"/>
      <c r="I598" s="184"/>
      <c r="J598" s="184"/>
      <c r="K598" s="184"/>
      <c r="L598" s="184"/>
      <c r="M598" s="184"/>
      <c r="N598" s="184"/>
      <c r="O598" s="184"/>
      <c r="Q598" s="184"/>
      <c r="R598" s="185"/>
      <c r="S598" s="185"/>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6"/>
      <c r="AT598" s="187"/>
      <c r="AU598" s="187"/>
      <c r="AV598" s="187"/>
      <c r="AW598" s="224"/>
      <c r="AX598" s="184"/>
      <c r="AY598" s="184"/>
      <c r="AZ598" s="184"/>
      <c r="BA598" s="184"/>
      <c r="BB598" s="184"/>
    </row>
    <row r="599" spans="1:54" s="163" customFormat="1" ht="16.5" customHeight="1">
      <c r="A599" s="180"/>
      <c r="B599" s="181"/>
      <c r="C599" s="182"/>
      <c r="D599" s="182"/>
      <c r="E599" s="183"/>
      <c r="F599" s="183"/>
      <c r="G599" s="183"/>
      <c r="H599" s="184"/>
      <c r="I599" s="184"/>
      <c r="J599" s="184"/>
      <c r="K599" s="184"/>
      <c r="L599" s="184"/>
      <c r="M599" s="184"/>
      <c r="N599" s="184"/>
      <c r="O599" s="184"/>
      <c r="Q599" s="184"/>
      <c r="R599" s="185"/>
      <c r="S599" s="185"/>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6"/>
      <c r="AT599" s="187"/>
      <c r="AU599" s="187"/>
      <c r="AV599" s="187"/>
      <c r="AW599" s="224"/>
      <c r="AX599" s="184"/>
      <c r="AY599" s="184"/>
      <c r="AZ599" s="184"/>
      <c r="BA599" s="184"/>
      <c r="BB599" s="184"/>
    </row>
    <row r="600" spans="1:54" s="163" customFormat="1" ht="16.5" customHeight="1">
      <c r="A600" s="180"/>
      <c r="B600" s="181"/>
      <c r="C600" s="182"/>
      <c r="D600" s="182"/>
      <c r="E600" s="183"/>
      <c r="F600" s="183"/>
      <c r="G600" s="183"/>
      <c r="H600" s="184"/>
      <c r="I600" s="184"/>
      <c r="J600" s="184"/>
      <c r="K600" s="184"/>
      <c r="L600" s="184"/>
      <c r="M600" s="184"/>
      <c r="N600" s="184"/>
      <c r="O600" s="184"/>
      <c r="Q600" s="184"/>
      <c r="R600" s="185"/>
      <c r="S600" s="185"/>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c r="AP600" s="184"/>
      <c r="AQ600" s="184"/>
      <c r="AR600" s="184"/>
      <c r="AS600" s="186"/>
      <c r="AT600" s="187"/>
      <c r="AU600" s="187"/>
      <c r="AV600" s="187"/>
      <c r="AW600" s="224"/>
      <c r="AX600" s="184"/>
      <c r="AY600" s="184"/>
      <c r="AZ600" s="184"/>
      <c r="BA600" s="184"/>
      <c r="BB600" s="184"/>
    </row>
    <row r="601" spans="1:54" s="163" customFormat="1" ht="16.5" customHeight="1">
      <c r="A601" s="180"/>
      <c r="B601" s="181"/>
      <c r="C601" s="182"/>
      <c r="D601" s="182"/>
      <c r="E601" s="183"/>
      <c r="F601" s="183"/>
      <c r="G601" s="183"/>
      <c r="H601" s="184"/>
      <c r="I601" s="184"/>
      <c r="J601" s="184"/>
      <c r="K601" s="184"/>
      <c r="L601" s="184"/>
      <c r="M601" s="184"/>
      <c r="N601" s="184"/>
      <c r="O601" s="184"/>
      <c r="Q601" s="184"/>
      <c r="R601" s="185"/>
      <c r="S601" s="185"/>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6"/>
      <c r="AT601" s="187"/>
      <c r="AU601" s="187"/>
      <c r="AV601" s="187"/>
      <c r="AW601" s="224"/>
      <c r="AX601" s="184"/>
      <c r="AY601" s="184"/>
      <c r="AZ601" s="184"/>
      <c r="BA601" s="184"/>
      <c r="BB601" s="184"/>
    </row>
    <row r="602" spans="1:54" s="163" customFormat="1" ht="16.5" customHeight="1">
      <c r="A602" s="180"/>
      <c r="B602" s="181"/>
      <c r="C602" s="182"/>
      <c r="D602" s="182"/>
      <c r="E602" s="183"/>
      <c r="F602" s="183"/>
      <c r="G602" s="183"/>
      <c r="H602" s="184"/>
      <c r="I602" s="184"/>
      <c r="J602" s="184"/>
      <c r="K602" s="184"/>
      <c r="L602" s="184"/>
      <c r="M602" s="184"/>
      <c r="N602" s="184"/>
      <c r="O602" s="184"/>
      <c r="Q602" s="184"/>
      <c r="R602" s="185"/>
      <c r="S602" s="185"/>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6"/>
      <c r="AT602" s="187"/>
      <c r="AU602" s="187"/>
      <c r="AV602" s="187"/>
      <c r="AW602" s="224"/>
      <c r="AX602" s="184"/>
      <c r="AY602" s="184"/>
      <c r="AZ602" s="184"/>
      <c r="BA602" s="184"/>
      <c r="BB602" s="184"/>
    </row>
    <row r="603" spans="1:54" s="163" customFormat="1" ht="16.5" customHeight="1">
      <c r="A603" s="180"/>
      <c r="B603" s="181"/>
      <c r="C603" s="182"/>
      <c r="D603" s="182"/>
      <c r="E603" s="183"/>
      <c r="F603" s="183"/>
      <c r="G603" s="183"/>
      <c r="H603" s="184"/>
      <c r="I603" s="184"/>
      <c r="J603" s="184"/>
      <c r="K603" s="184"/>
      <c r="L603" s="184"/>
      <c r="M603" s="184"/>
      <c r="N603" s="184"/>
      <c r="O603" s="184"/>
      <c r="Q603" s="184"/>
      <c r="R603" s="185"/>
      <c r="S603" s="185"/>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6"/>
      <c r="AT603" s="187"/>
      <c r="AU603" s="187"/>
      <c r="AV603" s="187"/>
      <c r="AW603" s="224"/>
      <c r="AX603" s="184"/>
      <c r="AY603" s="184"/>
      <c r="AZ603" s="184"/>
      <c r="BA603" s="184"/>
      <c r="BB603" s="184"/>
    </row>
    <row r="604" spans="1:54" s="163" customFormat="1" ht="16.5" customHeight="1">
      <c r="A604" s="180"/>
      <c r="B604" s="181"/>
      <c r="C604" s="182"/>
      <c r="D604" s="182"/>
      <c r="E604" s="183"/>
      <c r="F604" s="183"/>
      <c r="G604" s="183"/>
      <c r="H604" s="184"/>
      <c r="I604" s="184"/>
      <c r="J604" s="184"/>
      <c r="K604" s="184"/>
      <c r="L604" s="184"/>
      <c r="M604" s="184"/>
      <c r="N604" s="184"/>
      <c r="O604" s="184"/>
      <c r="Q604" s="184"/>
      <c r="R604" s="185"/>
      <c r="S604" s="185"/>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6"/>
      <c r="AT604" s="187"/>
      <c r="AU604" s="187"/>
      <c r="AV604" s="187"/>
      <c r="AW604" s="224"/>
      <c r="AX604" s="184"/>
      <c r="AY604" s="184"/>
      <c r="AZ604" s="184"/>
      <c r="BA604" s="184"/>
      <c r="BB604" s="184"/>
    </row>
    <row r="605" spans="1:54" s="163" customFormat="1" ht="16.5" customHeight="1">
      <c r="A605" s="180"/>
      <c r="B605" s="181"/>
      <c r="C605" s="182"/>
      <c r="D605" s="182"/>
      <c r="E605" s="183"/>
      <c r="F605" s="183"/>
      <c r="G605" s="183"/>
      <c r="H605" s="184"/>
      <c r="I605" s="184"/>
      <c r="J605" s="184"/>
      <c r="K605" s="184"/>
      <c r="L605" s="184"/>
      <c r="M605" s="184"/>
      <c r="N605" s="184"/>
      <c r="O605" s="184"/>
      <c r="Q605" s="184"/>
      <c r="R605" s="185"/>
      <c r="S605" s="185"/>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6"/>
      <c r="AT605" s="187"/>
      <c r="AU605" s="187"/>
      <c r="AV605" s="187"/>
      <c r="AW605" s="224"/>
      <c r="AX605" s="184"/>
      <c r="AY605" s="184"/>
      <c r="AZ605" s="184"/>
      <c r="BA605" s="184"/>
      <c r="BB605" s="184"/>
    </row>
    <row r="606" spans="1:54" s="163" customFormat="1" ht="16.5" customHeight="1">
      <c r="A606" s="180"/>
      <c r="B606" s="181"/>
      <c r="C606" s="182"/>
      <c r="D606" s="182"/>
      <c r="E606" s="183"/>
      <c r="F606" s="183"/>
      <c r="G606" s="183"/>
      <c r="H606" s="184"/>
      <c r="I606" s="184"/>
      <c r="J606" s="184"/>
      <c r="K606" s="184"/>
      <c r="L606" s="184"/>
      <c r="M606" s="184"/>
      <c r="N606" s="184"/>
      <c r="O606" s="184"/>
      <c r="Q606" s="184"/>
      <c r="R606" s="185"/>
      <c r="S606" s="185"/>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c r="AP606" s="184"/>
      <c r="AQ606" s="184"/>
      <c r="AR606" s="184"/>
      <c r="AS606" s="186"/>
      <c r="AT606" s="187"/>
      <c r="AU606" s="187"/>
      <c r="AV606" s="187"/>
      <c r="AW606" s="224"/>
      <c r="AX606" s="184"/>
      <c r="AY606" s="184"/>
      <c r="AZ606" s="184"/>
      <c r="BA606" s="184"/>
      <c r="BB606" s="184"/>
    </row>
    <row r="607" spans="1:54" s="163" customFormat="1" ht="16.5" customHeight="1">
      <c r="A607" s="180"/>
      <c r="B607" s="181"/>
      <c r="C607" s="182"/>
      <c r="D607" s="182"/>
      <c r="E607" s="183"/>
      <c r="F607" s="183"/>
      <c r="G607" s="183"/>
      <c r="H607" s="184"/>
      <c r="I607" s="184"/>
      <c r="J607" s="184"/>
      <c r="K607" s="184"/>
      <c r="L607" s="184"/>
      <c r="M607" s="184"/>
      <c r="N607" s="184"/>
      <c r="O607" s="184"/>
      <c r="Q607" s="184"/>
      <c r="R607" s="185"/>
      <c r="S607" s="185"/>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6"/>
      <c r="AT607" s="187"/>
      <c r="AU607" s="187"/>
      <c r="AV607" s="187"/>
      <c r="AW607" s="224"/>
      <c r="AX607" s="184"/>
      <c r="AY607" s="184"/>
      <c r="AZ607" s="184"/>
      <c r="BA607" s="184"/>
      <c r="BB607" s="184"/>
    </row>
    <row r="608" spans="1:54" s="163" customFormat="1" ht="16.5" customHeight="1">
      <c r="A608" s="180"/>
      <c r="B608" s="181"/>
      <c r="C608" s="182"/>
      <c r="D608" s="182"/>
      <c r="E608" s="183"/>
      <c r="F608" s="183"/>
      <c r="G608" s="183"/>
      <c r="H608" s="184"/>
      <c r="I608" s="184"/>
      <c r="J608" s="184"/>
      <c r="K608" s="184"/>
      <c r="L608" s="184"/>
      <c r="M608" s="184"/>
      <c r="N608" s="184"/>
      <c r="O608" s="184"/>
      <c r="Q608" s="184"/>
      <c r="R608" s="185"/>
      <c r="S608" s="185"/>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6"/>
      <c r="AT608" s="187"/>
      <c r="AU608" s="187"/>
      <c r="AV608" s="187"/>
      <c r="AW608" s="224"/>
      <c r="AX608" s="184"/>
      <c r="AY608" s="184"/>
      <c r="AZ608" s="184"/>
      <c r="BA608" s="184"/>
      <c r="BB608" s="184"/>
    </row>
    <row r="609" spans="1:54" s="163" customFormat="1" ht="16.5" customHeight="1">
      <c r="A609" s="180"/>
      <c r="B609" s="181"/>
      <c r="C609" s="182"/>
      <c r="D609" s="182"/>
      <c r="E609" s="183"/>
      <c r="F609" s="183"/>
      <c r="G609" s="183"/>
      <c r="H609" s="184"/>
      <c r="I609" s="184"/>
      <c r="J609" s="184"/>
      <c r="K609" s="184"/>
      <c r="L609" s="184"/>
      <c r="M609" s="184"/>
      <c r="N609" s="184"/>
      <c r="O609" s="184"/>
      <c r="Q609" s="184"/>
      <c r="R609" s="185"/>
      <c r="S609" s="185"/>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6"/>
      <c r="AT609" s="187"/>
      <c r="AU609" s="187"/>
      <c r="AV609" s="187"/>
      <c r="AW609" s="224"/>
      <c r="AX609" s="184"/>
      <c r="AY609" s="184"/>
      <c r="AZ609" s="184"/>
      <c r="BA609" s="184"/>
      <c r="BB609" s="184"/>
    </row>
    <row r="610" spans="1:54" s="163" customFormat="1" ht="16.5" customHeight="1">
      <c r="A610" s="180"/>
      <c r="B610" s="181"/>
      <c r="C610" s="182"/>
      <c r="D610" s="182"/>
      <c r="E610" s="183"/>
      <c r="F610" s="183"/>
      <c r="G610" s="183"/>
      <c r="H610" s="184"/>
      <c r="I610" s="184"/>
      <c r="J610" s="184"/>
      <c r="K610" s="184"/>
      <c r="L610" s="184"/>
      <c r="M610" s="184"/>
      <c r="N610" s="184"/>
      <c r="O610" s="184"/>
      <c r="Q610" s="184"/>
      <c r="R610" s="185"/>
      <c r="S610" s="185"/>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6"/>
      <c r="AT610" s="187"/>
      <c r="AU610" s="187"/>
      <c r="AV610" s="187"/>
      <c r="AW610" s="224"/>
      <c r="AX610" s="184"/>
      <c r="AY610" s="184"/>
      <c r="AZ610" s="184"/>
      <c r="BA610" s="184"/>
      <c r="BB610" s="184"/>
    </row>
    <row r="611" spans="1:54" s="163" customFormat="1" ht="16.5" customHeight="1">
      <c r="A611" s="180"/>
      <c r="B611" s="181"/>
      <c r="C611" s="182"/>
      <c r="D611" s="182"/>
      <c r="E611" s="183"/>
      <c r="F611" s="183"/>
      <c r="G611" s="183"/>
      <c r="H611" s="184"/>
      <c r="I611" s="184"/>
      <c r="J611" s="184"/>
      <c r="K611" s="184"/>
      <c r="L611" s="184"/>
      <c r="M611" s="184"/>
      <c r="N611" s="184"/>
      <c r="O611" s="184"/>
      <c r="Q611" s="184"/>
      <c r="R611" s="185"/>
      <c r="S611" s="185"/>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6"/>
      <c r="AT611" s="187"/>
      <c r="AU611" s="187"/>
      <c r="AV611" s="187"/>
      <c r="AW611" s="224"/>
      <c r="AX611" s="184"/>
      <c r="AY611" s="184"/>
      <c r="AZ611" s="184"/>
      <c r="BA611" s="184"/>
      <c r="BB611" s="184"/>
    </row>
    <row r="612" spans="1:54" s="163" customFormat="1" ht="16.5" customHeight="1">
      <c r="A612" s="180"/>
      <c r="B612" s="181"/>
      <c r="C612" s="182"/>
      <c r="D612" s="182"/>
      <c r="E612" s="183"/>
      <c r="F612" s="183"/>
      <c r="G612" s="183"/>
      <c r="H612" s="184"/>
      <c r="I612" s="184"/>
      <c r="J612" s="184"/>
      <c r="K612" s="184"/>
      <c r="L612" s="184"/>
      <c r="M612" s="184"/>
      <c r="N612" s="184"/>
      <c r="O612" s="184"/>
      <c r="Q612" s="184"/>
      <c r="R612" s="185"/>
      <c r="S612" s="185"/>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6"/>
      <c r="AT612" s="187"/>
      <c r="AU612" s="187"/>
      <c r="AV612" s="187"/>
      <c r="AW612" s="224"/>
      <c r="AX612" s="184"/>
      <c r="AY612" s="184"/>
      <c r="AZ612" s="184"/>
      <c r="BA612" s="184"/>
      <c r="BB612" s="184"/>
    </row>
    <row r="613" spans="1:54" s="163" customFormat="1" ht="16.5" customHeight="1">
      <c r="A613" s="180"/>
      <c r="B613" s="181"/>
      <c r="C613" s="182"/>
      <c r="D613" s="182"/>
      <c r="E613" s="183"/>
      <c r="F613" s="183"/>
      <c r="G613" s="183"/>
      <c r="H613" s="184"/>
      <c r="I613" s="184"/>
      <c r="J613" s="184"/>
      <c r="K613" s="184"/>
      <c r="L613" s="184"/>
      <c r="M613" s="184"/>
      <c r="N613" s="184"/>
      <c r="O613" s="184"/>
      <c r="Q613" s="184"/>
      <c r="R613" s="185"/>
      <c r="S613" s="185"/>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6"/>
      <c r="AT613" s="187"/>
      <c r="AU613" s="187"/>
      <c r="AV613" s="187"/>
      <c r="AW613" s="224"/>
      <c r="AX613" s="184"/>
      <c r="AY613" s="184"/>
      <c r="AZ613" s="184"/>
      <c r="BA613" s="184"/>
      <c r="BB613" s="184"/>
    </row>
    <row r="614" spans="1:54" s="163" customFormat="1" ht="16.5" customHeight="1">
      <c r="A614" s="180"/>
      <c r="B614" s="181"/>
      <c r="C614" s="182"/>
      <c r="D614" s="182"/>
      <c r="E614" s="183"/>
      <c r="F614" s="183"/>
      <c r="G614" s="183"/>
      <c r="H614" s="184"/>
      <c r="I614" s="184"/>
      <c r="J614" s="184"/>
      <c r="K614" s="184"/>
      <c r="L614" s="184"/>
      <c r="M614" s="184"/>
      <c r="N614" s="184"/>
      <c r="O614" s="184"/>
      <c r="Q614" s="184"/>
      <c r="R614" s="185"/>
      <c r="S614" s="185"/>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6"/>
      <c r="AT614" s="187"/>
      <c r="AU614" s="187"/>
      <c r="AV614" s="187"/>
      <c r="AW614" s="224"/>
      <c r="AX614" s="184"/>
      <c r="AY614" s="184"/>
      <c r="AZ614" s="184"/>
      <c r="BA614" s="184"/>
      <c r="BB614" s="184"/>
    </row>
    <row r="615" spans="1:54" s="163" customFormat="1" ht="16.5" customHeight="1">
      <c r="A615" s="180"/>
      <c r="B615" s="181"/>
      <c r="C615" s="182"/>
      <c r="D615" s="182"/>
      <c r="E615" s="183"/>
      <c r="F615" s="183"/>
      <c r="G615" s="183"/>
      <c r="H615" s="184"/>
      <c r="I615" s="184"/>
      <c r="J615" s="184"/>
      <c r="K615" s="184"/>
      <c r="L615" s="184"/>
      <c r="M615" s="184"/>
      <c r="N615" s="184"/>
      <c r="O615" s="184"/>
      <c r="Q615" s="184"/>
      <c r="R615" s="185"/>
      <c r="S615" s="185"/>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6"/>
      <c r="AT615" s="187"/>
      <c r="AU615" s="187"/>
      <c r="AV615" s="187"/>
      <c r="AW615" s="224"/>
      <c r="AX615" s="184"/>
      <c r="AY615" s="184"/>
      <c r="AZ615" s="184"/>
      <c r="BA615" s="184"/>
      <c r="BB615" s="184"/>
    </row>
    <row r="616" spans="1:54" s="163" customFormat="1" ht="16.5" customHeight="1">
      <c r="A616" s="180"/>
      <c r="B616" s="181"/>
      <c r="C616" s="182"/>
      <c r="D616" s="182"/>
      <c r="E616" s="183"/>
      <c r="F616" s="183"/>
      <c r="G616" s="183"/>
      <c r="H616" s="184"/>
      <c r="I616" s="184"/>
      <c r="J616" s="184"/>
      <c r="K616" s="184"/>
      <c r="L616" s="184"/>
      <c r="M616" s="184"/>
      <c r="N616" s="184"/>
      <c r="O616" s="184"/>
      <c r="Q616" s="184"/>
      <c r="R616" s="185"/>
      <c r="S616" s="185"/>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6"/>
      <c r="AT616" s="187"/>
      <c r="AU616" s="187"/>
      <c r="AV616" s="187"/>
      <c r="AW616" s="224"/>
      <c r="AX616" s="184"/>
      <c r="AY616" s="184"/>
      <c r="AZ616" s="184"/>
      <c r="BA616" s="184"/>
      <c r="BB616" s="184"/>
    </row>
    <row r="617" spans="1:54" s="163" customFormat="1" ht="16.5" customHeight="1">
      <c r="A617" s="180"/>
      <c r="B617" s="181"/>
      <c r="C617" s="182"/>
      <c r="D617" s="182"/>
      <c r="E617" s="183"/>
      <c r="F617" s="183"/>
      <c r="G617" s="183"/>
      <c r="H617" s="184"/>
      <c r="I617" s="184"/>
      <c r="J617" s="184"/>
      <c r="K617" s="184"/>
      <c r="L617" s="184"/>
      <c r="M617" s="184"/>
      <c r="N617" s="184"/>
      <c r="O617" s="184"/>
      <c r="Q617" s="184"/>
      <c r="R617" s="185"/>
      <c r="S617" s="185"/>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6"/>
      <c r="AT617" s="187"/>
      <c r="AU617" s="187"/>
      <c r="AV617" s="187"/>
      <c r="AW617" s="224"/>
      <c r="AX617" s="184"/>
      <c r="AY617" s="184"/>
      <c r="AZ617" s="184"/>
      <c r="BA617" s="184"/>
      <c r="BB617" s="184"/>
    </row>
    <row r="618" spans="1:54" s="163" customFormat="1" ht="16.5" customHeight="1">
      <c r="A618" s="180"/>
      <c r="B618" s="181"/>
      <c r="C618" s="182"/>
      <c r="D618" s="182"/>
      <c r="E618" s="183"/>
      <c r="F618" s="183"/>
      <c r="G618" s="183"/>
      <c r="H618" s="184"/>
      <c r="I618" s="184"/>
      <c r="J618" s="184"/>
      <c r="K618" s="184"/>
      <c r="L618" s="184"/>
      <c r="M618" s="184"/>
      <c r="N618" s="184"/>
      <c r="O618" s="184"/>
      <c r="Q618" s="184"/>
      <c r="R618" s="185"/>
      <c r="S618" s="185"/>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6"/>
      <c r="AT618" s="187"/>
      <c r="AU618" s="187"/>
      <c r="AV618" s="187"/>
      <c r="AW618" s="224"/>
      <c r="AX618" s="184"/>
      <c r="AY618" s="184"/>
      <c r="AZ618" s="184"/>
      <c r="BA618" s="184"/>
      <c r="BB618" s="184"/>
    </row>
    <row r="619" spans="1:54" s="163" customFormat="1" ht="16.5" customHeight="1">
      <c r="A619" s="180"/>
      <c r="B619" s="181"/>
      <c r="C619" s="182"/>
      <c r="D619" s="182"/>
      <c r="E619" s="183"/>
      <c r="F619" s="183"/>
      <c r="G619" s="183"/>
      <c r="H619" s="184"/>
      <c r="I619" s="184"/>
      <c r="J619" s="184"/>
      <c r="K619" s="184"/>
      <c r="L619" s="184"/>
      <c r="M619" s="184"/>
      <c r="N619" s="184"/>
      <c r="O619" s="184"/>
      <c r="Q619" s="184"/>
      <c r="R619" s="185"/>
      <c r="S619" s="185"/>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6"/>
      <c r="AT619" s="187"/>
      <c r="AU619" s="187"/>
      <c r="AV619" s="187"/>
      <c r="AW619" s="224"/>
      <c r="AX619" s="184"/>
      <c r="AY619" s="184"/>
      <c r="AZ619" s="184"/>
      <c r="BA619" s="184"/>
      <c r="BB619" s="184"/>
    </row>
    <row r="620" spans="1:54" s="163" customFormat="1" ht="16.5" customHeight="1">
      <c r="A620" s="180"/>
      <c r="B620" s="181"/>
      <c r="C620" s="182"/>
      <c r="D620" s="182"/>
      <c r="E620" s="183"/>
      <c r="F620" s="183"/>
      <c r="G620" s="183"/>
      <c r="H620" s="184"/>
      <c r="I620" s="184"/>
      <c r="J620" s="184"/>
      <c r="K620" s="184"/>
      <c r="L620" s="184"/>
      <c r="M620" s="184"/>
      <c r="N620" s="184"/>
      <c r="O620" s="184"/>
      <c r="Q620" s="184"/>
      <c r="R620" s="185"/>
      <c r="S620" s="185"/>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6"/>
      <c r="AT620" s="187"/>
      <c r="AU620" s="187"/>
      <c r="AV620" s="187"/>
      <c r="AW620" s="224"/>
      <c r="AX620" s="184"/>
      <c r="AY620" s="184"/>
      <c r="AZ620" s="184"/>
      <c r="BA620" s="184"/>
      <c r="BB620" s="184"/>
    </row>
    <row r="621" spans="1:54" s="163" customFormat="1" ht="16.5" customHeight="1">
      <c r="A621" s="180"/>
      <c r="B621" s="181"/>
      <c r="C621" s="182"/>
      <c r="D621" s="182"/>
      <c r="E621" s="183"/>
      <c r="F621" s="183"/>
      <c r="G621" s="183"/>
      <c r="H621" s="184"/>
      <c r="I621" s="184"/>
      <c r="J621" s="184"/>
      <c r="K621" s="184"/>
      <c r="L621" s="184"/>
      <c r="M621" s="184"/>
      <c r="N621" s="184"/>
      <c r="O621" s="184"/>
      <c r="Q621" s="184"/>
      <c r="R621" s="185"/>
      <c r="S621" s="185"/>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6"/>
      <c r="AT621" s="187"/>
      <c r="AU621" s="187"/>
      <c r="AV621" s="187"/>
      <c r="AW621" s="224"/>
      <c r="AX621" s="184"/>
      <c r="AY621" s="184"/>
      <c r="AZ621" s="184"/>
      <c r="BA621" s="184"/>
      <c r="BB621" s="184"/>
    </row>
    <row r="622" spans="1:54" s="163" customFormat="1" ht="16.5" customHeight="1">
      <c r="A622" s="180"/>
      <c r="B622" s="181"/>
      <c r="C622" s="182"/>
      <c r="D622" s="182"/>
      <c r="E622" s="183"/>
      <c r="F622" s="183"/>
      <c r="G622" s="183"/>
      <c r="H622" s="184"/>
      <c r="I622" s="184"/>
      <c r="J622" s="184"/>
      <c r="K622" s="184"/>
      <c r="L622" s="184"/>
      <c r="M622" s="184"/>
      <c r="N622" s="184"/>
      <c r="O622" s="184"/>
      <c r="Q622" s="184"/>
      <c r="R622" s="185"/>
      <c r="S622" s="185"/>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6"/>
      <c r="AT622" s="187"/>
      <c r="AU622" s="187"/>
      <c r="AV622" s="187"/>
      <c r="AW622" s="224"/>
      <c r="AX622" s="184"/>
      <c r="AY622" s="184"/>
      <c r="AZ622" s="184"/>
      <c r="BA622" s="184"/>
      <c r="BB622" s="184"/>
    </row>
    <row r="623" spans="1:54" s="163" customFormat="1" ht="16.5" customHeight="1">
      <c r="A623" s="180"/>
      <c r="B623" s="181"/>
      <c r="C623" s="182"/>
      <c r="D623" s="182"/>
      <c r="E623" s="183"/>
      <c r="F623" s="183"/>
      <c r="G623" s="183"/>
      <c r="H623" s="184"/>
      <c r="I623" s="184"/>
      <c r="J623" s="184"/>
      <c r="K623" s="184"/>
      <c r="L623" s="184"/>
      <c r="M623" s="184"/>
      <c r="N623" s="184"/>
      <c r="O623" s="184"/>
      <c r="Q623" s="184"/>
      <c r="R623" s="185"/>
      <c r="S623" s="185"/>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6"/>
      <c r="AT623" s="187"/>
      <c r="AU623" s="187"/>
      <c r="AV623" s="187"/>
      <c r="AW623" s="224"/>
      <c r="AX623" s="184"/>
      <c r="AY623" s="184"/>
      <c r="AZ623" s="184"/>
      <c r="BA623" s="184"/>
      <c r="BB623" s="184"/>
    </row>
    <row r="624" spans="1:54" s="163" customFormat="1" ht="16.5" customHeight="1">
      <c r="A624" s="180"/>
      <c r="B624" s="181"/>
      <c r="C624" s="182"/>
      <c r="D624" s="182"/>
      <c r="E624" s="183"/>
      <c r="F624" s="183"/>
      <c r="G624" s="183"/>
      <c r="H624" s="184"/>
      <c r="I624" s="184"/>
      <c r="J624" s="184"/>
      <c r="K624" s="184"/>
      <c r="L624" s="184"/>
      <c r="M624" s="184"/>
      <c r="N624" s="184"/>
      <c r="O624" s="184"/>
      <c r="Q624" s="184"/>
      <c r="R624" s="185"/>
      <c r="S624" s="185"/>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6"/>
      <c r="AT624" s="187"/>
      <c r="AU624" s="187"/>
      <c r="AV624" s="187"/>
      <c r="AW624" s="224"/>
      <c r="AX624" s="184"/>
      <c r="AY624" s="184"/>
      <c r="AZ624" s="184"/>
      <c r="BA624" s="184"/>
      <c r="BB624" s="184"/>
    </row>
    <row r="625" spans="1:54" s="163" customFormat="1" ht="16.5" customHeight="1">
      <c r="A625" s="180"/>
      <c r="B625" s="181"/>
      <c r="C625" s="182"/>
      <c r="D625" s="182"/>
      <c r="E625" s="183"/>
      <c r="F625" s="183"/>
      <c r="G625" s="183"/>
      <c r="H625" s="184"/>
      <c r="I625" s="184"/>
      <c r="J625" s="184"/>
      <c r="K625" s="184"/>
      <c r="L625" s="184"/>
      <c r="M625" s="184"/>
      <c r="N625" s="184"/>
      <c r="O625" s="184"/>
      <c r="Q625" s="184"/>
      <c r="R625" s="185"/>
      <c r="S625" s="185"/>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6"/>
      <c r="AT625" s="187"/>
      <c r="AU625" s="187"/>
      <c r="AV625" s="187"/>
      <c r="AW625" s="224"/>
      <c r="AX625" s="184"/>
      <c r="AY625" s="184"/>
      <c r="AZ625" s="184"/>
      <c r="BA625" s="184"/>
      <c r="BB625" s="184"/>
    </row>
    <row r="626" spans="1:54" s="163" customFormat="1" ht="16.5" customHeight="1">
      <c r="A626" s="180"/>
      <c r="B626" s="181"/>
      <c r="C626" s="182"/>
      <c r="D626" s="182"/>
      <c r="E626" s="183"/>
      <c r="F626" s="183"/>
      <c r="G626" s="183"/>
      <c r="H626" s="184"/>
      <c r="I626" s="184"/>
      <c r="J626" s="184"/>
      <c r="K626" s="184"/>
      <c r="L626" s="184"/>
      <c r="M626" s="184"/>
      <c r="N626" s="184"/>
      <c r="O626" s="184"/>
      <c r="Q626" s="184"/>
      <c r="R626" s="185"/>
      <c r="S626" s="185"/>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6"/>
      <c r="AT626" s="187"/>
      <c r="AU626" s="187"/>
      <c r="AV626" s="187"/>
      <c r="AW626" s="224"/>
      <c r="AX626" s="184"/>
      <c r="AY626" s="184"/>
      <c r="AZ626" s="184"/>
      <c r="BA626" s="184"/>
      <c r="BB626" s="184"/>
    </row>
    <row r="627" spans="1:54" s="163" customFormat="1" ht="16.5" customHeight="1">
      <c r="A627" s="180"/>
      <c r="B627" s="181"/>
      <c r="C627" s="182"/>
      <c r="D627" s="182"/>
      <c r="E627" s="183"/>
      <c r="F627" s="183"/>
      <c r="G627" s="183"/>
      <c r="H627" s="184"/>
      <c r="I627" s="184"/>
      <c r="J627" s="184"/>
      <c r="K627" s="184"/>
      <c r="L627" s="184"/>
      <c r="M627" s="184"/>
      <c r="N627" s="184"/>
      <c r="O627" s="184"/>
      <c r="Q627" s="184"/>
      <c r="R627" s="185"/>
      <c r="S627" s="185"/>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6"/>
      <c r="AT627" s="187"/>
      <c r="AU627" s="187"/>
      <c r="AV627" s="187"/>
      <c r="AW627" s="224"/>
      <c r="AX627" s="184"/>
      <c r="AY627" s="184"/>
      <c r="AZ627" s="184"/>
      <c r="BA627" s="184"/>
      <c r="BB627" s="184"/>
    </row>
    <row r="628" spans="1:54" s="163" customFormat="1" ht="16.5" customHeight="1">
      <c r="A628" s="180"/>
      <c r="B628" s="181"/>
      <c r="C628" s="182"/>
      <c r="D628" s="182"/>
      <c r="E628" s="183"/>
      <c r="F628" s="183"/>
      <c r="G628" s="183"/>
      <c r="H628" s="184"/>
      <c r="I628" s="184"/>
      <c r="J628" s="184"/>
      <c r="K628" s="184"/>
      <c r="L628" s="184"/>
      <c r="M628" s="184"/>
      <c r="N628" s="184"/>
      <c r="O628" s="184"/>
      <c r="Q628" s="184"/>
      <c r="R628" s="185"/>
      <c r="S628" s="185"/>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6"/>
      <c r="AT628" s="187"/>
      <c r="AU628" s="187"/>
      <c r="AV628" s="187"/>
      <c r="AW628" s="224"/>
      <c r="AX628" s="184"/>
      <c r="AY628" s="184"/>
      <c r="AZ628" s="184"/>
      <c r="BA628" s="184"/>
      <c r="BB628" s="184"/>
    </row>
    <row r="629" spans="1:54" s="163" customFormat="1" ht="16.5" customHeight="1">
      <c r="A629" s="180"/>
      <c r="B629" s="181"/>
      <c r="C629" s="182"/>
      <c r="D629" s="182"/>
      <c r="E629" s="183"/>
      <c r="F629" s="183"/>
      <c r="G629" s="183"/>
      <c r="H629" s="184"/>
      <c r="I629" s="184"/>
      <c r="J629" s="184"/>
      <c r="K629" s="184"/>
      <c r="L629" s="184"/>
      <c r="M629" s="184"/>
      <c r="N629" s="184"/>
      <c r="O629" s="184"/>
      <c r="Q629" s="184"/>
      <c r="R629" s="185"/>
      <c r="S629" s="185"/>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c r="AP629" s="184"/>
      <c r="AQ629" s="184"/>
      <c r="AR629" s="184"/>
      <c r="AS629" s="186"/>
      <c r="AT629" s="187"/>
      <c r="AU629" s="187"/>
      <c r="AV629" s="187"/>
      <c r="AW629" s="224"/>
      <c r="AX629" s="184"/>
      <c r="AY629" s="184"/>
      <c r="AZ629" s="184"/>
      <c r="BA629" s="184"/>
      <c r="BB629" s="184"/>
    </row>
    <row r="630" spans="1:54" s="163" customFormat="1" ht="16.5" customHeight="1">
      <c r="A630" s="180"/>
      <c r="B630" s="181"/>
      <c r="C630" s="182"/>
      <c r="D630" s="182"/>
      <c r="E630" s="183"/>
      <c r="F630" s="183"/>
      <c r="G630" s="183"/>
      <c r="H630" s="184"/>
      <c r="I630" s="184"/>
      <c r="J630" s="184"/>
      <c r="K630" s="184"/>
      <c r="L630" s="184"/>
      <c r="M630" s="184"/>
      <c r="N630" s="184"/>
      <c r="O630" s="184"/>
      <c r="Q630" s="184"/>
      <c r="R630" s="185"/>
      <c r="S630" s="185"/>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6"/>
      <c r="AT630" s="187"/>
      <c r="AU630" s="187"/>
      <c r="AV630" s="187"/>
      <c r="AW630" s="224"/>
      <c r="AX630" s="184"/>
      <c r="AY630" s="184"/>
      <c r="AZ630" s="184"/>
      <c r="BA630" s="184"/>
      <c r="BB630" s="184"/>
    </row>
    <row r="631" spans="1:54" s="163" customFormat="1" ht="16.5" customHeight="1">
      <c r="A631" s="180"/>
      <c r="B631" s="181"/>
      <c r="C631" s="182"/>
      <c r="D631" s="182"/>
      <c r="E631" s="183"/>
      <c r="F631" s="183"/>
      <c r="G631" s="183"/>
      <c r="H631" s="184"/>
      <c r="I631" s="184"/>
      <c r="J631" s="184"/>
      <c r="K631" s="184"/>
      <c r="L631" s="184"/>
      <c r="M631" s="184"/>
      <c r="N631" s="184"/>
      <c r="O631" s="184"/>
      <c r="Q631" s="184"/>
      <c r="R631" s="185"/>
      <c r="S631" s="185"/>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6"/>
      <c r="AT631" s="187"/>
      <c r="AU631" s="187"/>
      <c r="AV631" s="187"/>
      <c r="AW631" s="224"/>
      <c r="AX631" s="184"/>
      <c r="AY631" s="184"/>
      <c r="AZ631" s="184"/>
      <c r="BA631" s="184"/>
      <c r="BB631" s="184"/>
    </row>
    <row r="632" spans="1:54" s="163" customFormat="1" ht="16.5" customHeight="1">
      <c r="A632" s="180"/>
      <c r="B632" s="181"/>
      <c r="C632" s="182"/>
      <c r="D632" s="182"/>
      <c r="E632" s="183"/>
      <c r="F632" s="183"/>
      <c r="G632" s="183"/>
      <c r="H632" s="184"/>
      <c r="I632" s="184"/>
      <c r="J632" s="184"/>
      <c r="K632" s="184"/>
      <c r="L632" s="184"/>
      <c r="M632" s="184"/>
      <c r="N632" s="184"/>
      <c r="O632" s="184"/>
      <c r="Q632" s="184"/>
      <c r="R632" s="185"/>
      <c r="S632" s="185"/>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6"/>
      <c r="AT632" s="187"/>
      <c r="AU632" s="187"/>
      <c r="AV632" s="187"/>
      <c r="AW632" s="224"/>
      <c r="AX632" s="184"/>
      <c r="AY632" s="184"/>
      <c r="AZ632" s="184"/>
      <c r="BA632" s="184"/>
      <c r="BB632" s="184"/>
    </row>
    <row r="633" spans="1:54" s="163" customFormat="1" ht="16.5" customHeight="1">
      <c r="A633" s="180"/>
      <c r="B633" s="181"/>
      <c r="C633" s="182"/>
      <c r="D633" s="182"/>
      <c r="E633" s="183"/>
      <c r="F633" s="183"/>
      <c r="G633" s="183"/>
      <c r="H633" s="184"/>
      <c r="I633" s="184"/>
      <c r="J633" s="184"/>
      <c r="K633" s="184"/>
      <c r="L633" s="184"/>
      <c r="M633" s="184"/>
      <c r="N633" s="184"/>
      <c r="O633" s="184"/>
      <c r="Q633" s="184"/>
      <c r="R633" s="185"/>
      <c r="S633" s="185"/>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6"/>
      <c r="AT633" s="187"/>
      <c r="AU633" s="187"/>
      <c r="AV633" s="187"/>
      <c r="AW633" s="224"/>
      <c r="AX633" s="184"/>
      <c r="AY633" s="184"/>
      <c r="AZ633" s="184"/>
      <c r="BA633" s="184"/>
      <c r="BB633" s="184"/>
    </row>
    <row r="634" spans="1:54" s="163" customFormat="1" ht="16.5" customHeight="1">
      <c r="A634" s="180"/>
      <c r="B634" s="181"/>
      <c r="C634" s="182"/>
      <c r="D634" s="182"/>
      <c r="E634" s="183"/>
      <c r="F634" s="183"/>
      <c r="G634" s="183"/>
      <c r="H634" s="184"/>
      <c r="I634" s="184"/>
      <c r="J634" s="184"/>
      <c r="K634" s="184"/>
      <c r="L634" s="184"/>
      <c r="M634" s="184"/>
      <c r="N634" s="184"/>
      <c r="O634" s="184"/>
      <c r="Q634" s="184"/>
      <c r="R634" s="185"/>
      <c r="S634" s="185"/>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c r="AP634" s="184"/>
      <c r="AQ634" s="184"/>
      <c r="AR634" s="184"/>
      <c r="AS634" s="186"/>
      <c r="AT634" s="187"/>
      <c r="AU634" s="187"/>
      <c r="AV634" s="187"/>
      <c r="AW634" s="224"/>
      <c r="AX634" s="184"/>
      <c r="AY634" s="184"/>
      <c r="AZ634" s="184"/>
      <c r="BA634" s="184"/>
      <c r="BB634" s="184"/>
    </row>
    <row r="635" spans="1:54" s="163" customFormat="1" ht="16.5" customHeight="1">
      <c r="A635" s="180"/>
      <c r="B635" s="181"/>
      <c r="C635" s="182"/>
      <c r="D635" s="182"/>
      <c r="E635" s="183"/>
      <c r="F635" s="183"/>
      <c r="G635" s="183"/>
      <c r="H635" s="184"/>
      <c r="I635" s="184"/>
      <c r="J635" s="184"/>
      <c r="K635" s="184"/>
      <c r="L635" s="184"/>
      <c r="M635" s="184"/>
      <c r="N635" s="184"/>
      <c r="O635" s="184"/>
      <c r="Q635" s="184"/>
      <c r="R635" s="185"/>
      <c r="S635" s="185"/>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6"/>
      <c r="AT635" s="187"/>
      <c r="AU635" s="187"/>
      <c r="AV635" s="187"/>
      <c r="AW635" s="224"/>
      <c r="AX635" s="184"/>
      <c r="AY635" s="184"/>
      <c r="AZ635" s="184"/>
      <c r="BA635" s="184"/>
      <c r="BB635" s="184"/>
    </row>
    <row r="636" spans="1:54" s="163" customFormat="1" ht="16.5" customHeight="1">
      <c r="A636" s="180"/>
      <c r="B636" s="181"/>
      <c r="C636" s="182"/>
      <c r="D636" s="182"/>
      <c r="E636" s="183"/>
      <c r="F636" s="183"/>
      <c r="G636" s="183"/>
      <c r="H636" s="184"/>
      <c r="I636" s="184"/>
      <c r="J636" s="184"/>
      <c r="K636" s="184"/>
      <c r="L636" s="184"/>
      <c r="M636" s="184"/>
      <c r="N636" s="184"/>
      <c r="O636" s="184"/>
      <c r="Q636" s="184"/>
      <c r="R636" s="185"/>
      <c r="S636" s="185"/>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6"/>
      <c r="AT636" s="187"/>
      <c r="AU636" s="187"/>
      <c r="AV636" s="187"/>
      <c r="AW636" s="224"/>
      <c r="AX636" s="184"/>
      <c r="AY636" s="184"/>
      <c r="AZ636" s="184"/>
      <c r="BA636" s="184"/>
      <c r="BB636" s="184"/>
    </row>
    <row r="637" spans="1:54" s="163" customFormat="1" ht="16.5" customHeight="1">
      <c r="A637" s="180"/>
      <c r="B637" s="181"/>
      <c r="C637" s="182"/>
      <c r="D637" s="182"/>
      <c r="E637" s="183"/>
      <c r="F637" s="183"/>
      <c r="G637" s="183"/>
      <c r="H637" s="184"/>
      <c r="I637" s="184"/>
      <c r="J637" s="184"/>
      <c r="K637" s="184"/>
      <c r="L637" s="184"/>
      <c r="M637" s="184"/>
      <c r="N637" s="184"/>
      <c r="O637" s="184"/>
      <c r="Q637" s="184"/>
      <c r="R637" s="185"/>
      <c r="S637" s="185"/>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6"/>
      <c r="AT637" s="187"/>
      <c r="AU637" s="187"/>
      <c r="AV637" s="187"/>
      <c r="AW637" s="224"/>
      <c r="AX637" s="184"/>
      <c r="AY637" s="184"/>
      <c r="AZ637" s="184"/>
      <c r="BA637" s="184"/>
      <c r="BB637" s="184"/>
    </row>
    <row r="638" spans="1:54" s="163" customFormat="1" ht="16.5" customHeight="1">
      <c r="A638" s="180"/>
      <c r="B638" s="181"/>
      <c r="C638" s="182"/>
      <c r="D638" s="182"/>
      <c r="E638" s="183"/>
      <c r="F638" s="183"/>
      <c r="G638" s="183"/>
      <c r="H638" s="184"/>
      <c r="I638" s="184"/>
      <c r="J638" s="184"/>
      <c r="K638" s="184"/>
      <c r="L638" s="184"/>
      <c r="M638" s="184"/>
      <c r="N638" s="184"/>
      <c r="O638" s="184"/>
      <c r="Q638" s="184"/>
      <c r="R638" s="185"/>
      <c r="S638" s="185"/>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6"/>
      <c r="AT638" s="187"/>
      <c r="AU638" s="187"/>
      <c r="AV638" s="187"/>
      <c r="AW638" s="224"/>
      <c r="AX638" s="184"/>
      <c r="AY638" s="184"/>
      <c r="AZ638" s="184"/>
      <c r="BA638" s="184"/>
      <c r="BB638" s="184"/>
    </row>
    <row r="639" spans="1:54" s="163" customFormat="1" ht="16.5" customHeight="1">
      <c r="A639" s="180"/>
      <c r="B639" s="181"/>
      <c r="C639" s="182"/>
      <c r="D639" s="182"/>
      <c r="E639" s="183"/>
      <c r="F639" s="183"/>
      <c r="G639" s="183"/>
      <c r="H639" s="184"/>
      <c r="I639" s="184"/>
      <c r="J639" s="184"/>
      <c r="K639" s="184"/>
      <c r="L639" s="184"/>
      <c r="M639" s="184"/>
      <c r="N639" s="184"/>
      <c r="O639" s="184"/>
      <c r="Q639" s="184"/>
      <c r="R639" s="185"/>
      <c r="S639" s="185"/>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6"/>
      <c r="AT639" s="187"/>
      <c r="AU639" s="187"/>
      <c r="AV639" s="187"/>
      <c r="AW639" s="224"/>
      <c r="AX639" s="184"/>
      <c r="AY639" s="184"/>
      <c r="AZ639" s="184"/>
      <c r="BA639" s="184"/>
      <c r="BB639" s="184"/>
    </row>
    <row r="640" spans="1:54" s="163" customFormat="1" ht="16.5" customHeight="1">
      <c r="A640" s="180"/>
      <c r="B640" s="181"/>
      <c r="C640" s="182"/>
      <c r="D640" s="182"/>
      <c r="E640" s="183"/>
      <c r="F640" s="183"/>
      <c r="G640" s="183"/>
      <c r="H640" s="184"/>
      <c r="I640" s="184"/>
      <c r="J640" s="184"/>
      <c r="K640" s="184"/>
      <c r="L640" s="184"/>
      <c r="M640" s="184"/>
      <c r="N640" s="184"/>
      <c r="O640" s="184"/>
      <c r="Q640" s="184"/>
      <c r="R640" s="185"/>
      <c r="S640" s="185"/>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6"/>
      <c r="AT640" s="187"/>
      <c r="AU640" s="187"/>
      <c r="AV640" s="187"/>
      <c r="AW640" s="224"/>
      <c r="AX640" s="184"/>
      <c r="AY640" s="184"/>
      <c r="AZ640" s="184"/>
      <c r="BA640" s="184"/>
      <c r="BB640" s="184"/>
    </row>
    <row r="641" spans="1:54" s="163" customFormat="1" ht="16.5" customHeight="1">
      <c r="A641" s="180"/>
      <c r="B641" s="181"/>
      <c r="C641" s="182"/>
      <c r="D641" s="182"/>
      <c r="E641" s="183"/>
      <c r="F641" s="183"/>
      <c r="G641" s="183"/>
      <c r="H641" s="184"/>
      <c r="I641" s="184"/>
      <c r="J641" s="184"/>
      <c r="K641" s="184"/>
      <c r="L641" s="184"/>
      <c r="M641" s="184"/>
      <c r="N641" s="184"/>
      <c r="O641" s="184"/>
      <c r="Q641" s="184"/>
      <c r="R641" s="185"/>
      <c r="S641" s="185"/>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6"/>
      <c r="AT641" s="187"/>
      <c r="AU641" s="187"/>
      <c r="AV641" s="187"/>
      <c r="AW641" s="224"/>
      <c r="AX641" s="184"/>
      <c r="AY641" s="184"/>
      <c r="AZ641" s="184"/>
      <c r="BA641" s="184"/>
      <c r="BB641" s="184"/>
    </row>
    <row r="642" spans="1:54" s="163" customFormat="1" ht="16.5" customHeight="1">
      <c r="A642" s="180"/>
      <c r="B642" s="181"/>
      <c r="C642" s="182"/>
      <c r="D642" s="182"/>
      <c r="E642" s="183"/>
      <c r="F642" s="183"/>
      <c r="G642" s="183"/>
      <c r="H642" s="184"/>
      <c r="I642" s="184"/>
      <c r="J642" s="184"/>
      <c r="K642" s="184"/>
      <c r="L642" s="184"/>
      <c r="M642" s="184"/>
      <c r="N642" s="184"/>
      <c r="O642" s="184"/>
      <c r="Q642" s="184"/>
      <c r="R642" s="185"/>
      <c r="S642" s="185"/>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6"/>
      <c r="AT642" s="187"/>
      <c r="AU642" s="187"/>
      <c r="AV642" s="187"/>
      <c r="AW642" s="224"/>
      <c r="AX642" s="184"/>
      <c r="AY642" s="184"/>
      <c r="AZ642" s="184"/>
      <c r="BA642" s="184"/>
      <c r="BB642" s="184"/>
    </row>
    <row r="643" spans="1:54" s="163" customFormat="1" ht="16.5" customHeight="1">
      <c r="A643" s="180"/>
      <c r="B643" s="181"/>
      <c r="C643" s="182"/>
      <c r="D643" s="182"/>
      <c r="E643" s="183"/>
      <c r="F643" s="183"/>
      <c r="G643" s="183"/>
      <c r="H643" s="184"/>
      <c r="I643" s="184"/>
      <c r="J643" s="184"/>
      <c r="K643" s="184"/>
      <c r="L643" s="184"/>
      <c r="M643" s="184"/>
      <c r="N643" s="184"/>
      <c r="O643" s="184"/>
      <c r="Q643" s="184"/>
      <c r="R643" s="185"/>
      <c r="S643" s="185"/>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6"/>
      <c r="AT643" s="187"/>
      <c r="AU643" s="187"/>
      <c r="AV643" s="187"/>
      <c r="AW643" s="224"/>
      <c r="AX643" s="184"/>
      <c r="AY643" s="184"/>
      <c r="AZ643" s="184"/>
      <c r="BA643" s="184"/>
      <c r="BB643" s="184"/>
    </row>
    <row r="644" spans="1:54" s="163" customFormat="1" ht="16.5" customHeight="1">
      <c r="A644" s="180"/>
      <c r="B644" s="181"/>
      <c r="C644" s="182"/>
      <c r="D644" s="182"/>
      <c r="E644" s="183"/>
      <c r="F644" s="183"/>
      <c r="G644" s="183"/>
      <c r="H644" s="184"/>
      <c r="I644" s="184"/>
      <c r="J644" s="184"/>
      <c r="K644" s="184"/>
      <c r="L644" s="184"/>
      <c r="M644" s="184"/>
      <c r="N644" s="184"/>
      <c r="O644" s="184"/>
      <c r="Q644" s="184"/>
      <c r="R644" s="185"/>
      <c r="S644" s="185"/>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6"/>
      <c r="AT644" s="187"/>
      <c r="AU644" s="187"/>
      <c r="AV644" s="187"/>
      <c r="AW644" s="224"/>
      <c r="AX644" s="184"/>
      <c r="AY644" s="184"/>
      <c r="AZ644" s="184"/>
      <c r="BA644" s="184"/>
      <c r="BB644" s="184"/>
    </row>
    <row r="645" spans="1:54" s="163" customFormat="1" ht="16.5" customHeight="1">
      <c r="A645" s="180"/>
      <c r="B645" s="181"/>
      <c r="C645" s="182"/>
      <c r="D645" s="182"/>
      <c r="E645" s="183"/>
      <c r="F645" s="183"/>
      <c r="G645" s="183"/>
      <c r="H645" s="184"/>
      <c r="I645" s="184"/>
      <c r="J645" s="184"/>
      <c r="K645" s="184"/>
      <c r="L645" s="184"/>
      <c r="M645" s="184"/>
      <c r="N645" s="184"/>
      <c r="O645" s="184"/>
      <c r="Q645" s="184"/>
      <c r="R645" s="185"/>
      <c r="S645" s="185"/>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6"/>
      <c r="AT645" s="187"/>
      <c r="AU645" s="187"/>
      <c r="AV645" s="187"/>
      <c r="AW645" s="224"/>
      <c r="AX645" s="184"/>
      <c r="AY645" s="184"/>
      <c r="AZ645" s="184"/>
      <c r="BA645" s="184"/>
      <c r="BB645" s="184"/>
    </row>
    <row r="646" spans="1:54" s="163" customFormat="1" ht="16.5" customHeight="1">
      <c r="A646" s="180"/>
      <c r="B646" s="181"/>
      <c r="C646" s="182"/>
      <c r="D646" s="182"/>
      <c r="E646" s="183"/>
      <c r="F646" s="183"/>
      <c r="G646" s="183"/>
      <c r="H646" s="184"/>
      <c r="I646" s="184"/>
      <c r="J646" s="184"/>
      <c r="K646" s="184"/>
      <c r="L646" s="184"/>
      <c r="M646" s="184"/>
      <c r="N646" s="184"/>
      <c r="O646" s="184"/>
      <c r="Q646" s="184"/>
      <c r="R646" s="185"/>
      <c r="S646" s="185"/>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6"/>
      <c r="AT646" s="187"/>
      <c r="AU646" s="187"/>
      <c r="AV646" s="187"/>
      <c r="AW646" s="224"/>
      <c r="AX646" s="184"/>
      <c r="AY646" s="184"/>
      <c r="AZ646" s="184"/>
      <c r="BA646" s="184"/>
      <c r="BB646" s="184"/>
    </row>
    <row r="647" spans="1:54" s="163" customFormat="1" ht="16.5" customHeight="1">
      <c r="A647" s="180"/>
      <c r="B647" s="181"/>
      <c r="C647" s="182"/>
      <c r="D647" s="182"/>
      <c r="E647" s="183"/>
      <c r="F647" s="183"/>
      <c r="G647" s="183"/>
      <c r="H647" s="184"/>
      <c r="I647" s="184"/>
      <c r="J647" s="184"/>
      <c r="K647" s="184"/>
      <c r="L647" s="184"/>
      <c r="M647" s="184"/>
      <c r="N647" s="184"/>
      <c r="O647" s="184"/>
      <c r="Q647" s="184"/>
      <c r="R647" s="185"/>
      <c r="S647" s="185"/>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6"/>
      <c r="AT647" s="187"/>
      <c r="AU647" s="187"/>
      <c r="AV647" s="187"/>
      <c r="AW647" s="224"/>
      <c r="AX647" s="184"/>
      <c r="AY647" s="184"/>
      <c r="AZ647" s="184"/>
      <c r="BA647" s="184"/>
      <c r="BB647" s="184"/>
    </row>
    <row r="648" spans="1:54" s="163" customFormat="1" ht="16.5" customHeight="1">
      <c r="A648" s="180"/>
      <c r="B648" s="181"/>
      <c r="C648" s="182"/>
      <c r="D648" s="182"/>
      <c r="E648" s="183"/>
      <c r="F648" s="183"/>
      <c r="G648" s="183"/>
      <c r="H648" s="184"/>
      <c r="I648" s="184"/>
      <c r="J648" s="184"/>
      <c r="K648" s="184"/>
      <c r="L648" s="184"/>
      <c r="M648" s="184"/>
      <c r="N648" s="184"/>
      <c r="O648" s="184"/>
      <c r="Q648" s="184"/>
      <c r="R648" s="185"/>
      <c r="S648" s="185"/>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6"/>
      <c r="AT648" s="187"/>
      <c r="AU648" s="187"/>
      <c r="AV648" s="187"/>
      <c r="AW648" s="224"/>
      <c r="AX648" s="184"/>
      <c r="AY648" s="184"/>
      <c r="AZ648" s="184"/>
      <c r="BA648" s="184"/>
      <c r="BB648" s="184"/>
    </row>
    <row r="649" spans="1:54" s="163" customFormat="1" ht="16.5" customHeight="1">
      <c r="A649" s="180"/>
      <c r="B649" s="181"/>
      <c r="C649" s="182"/>
      <c r="D649" s="182"/>
      <c r="E649" s="183"/>
      <c r="F649" s="183"/>
      <c r="G649" s="183"/>
      <c r="H649" s="184"/>
      <c r="I649" s="184"/>
      <c r="J649" s="184"/>
      <c r="K649" s="184"/>
      <c r="L649" s="184"/>
      <c r="M649" s="184"/>
      <c r="N649" s="184"/>
      <c r="O649" s="184"/>
      <c r="Q649" s="184"/>
      <c r="R649" s="185"/>
      <c r="S649" s="185"/>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6"/>
      <c r="AT649" s="187"/>
      <c r="AU649" s="187"/>
      <c r="AV649" s="187"/>
      <c r="AW649" s="224"/>
      <c r="AX649" s="184"/>
      <c r="AY649" s="184"/>
      <c r="AZ649" s="184"/>
      <c r="BA649" s="184"/>
      <c r="BB649" s="184"/>
    </row>
    <row r="650" spans="1:54" s="163" customFormat="1" ht="16.5" customHeight="1">
      <c r="A650" s="180"/>
      <c r="B650" s="181"/>
      <c r="C650" s="182"/>
      <c r="D650" s="182"/>
      <c r="E650" s="183"/>
      <c r="F650" s="183"/>
      <c r="G650" s="183"/>
      <c r="H650" s="184"/>
      <c r="I650" s="184"/>
      <c r="J650" s="184"/>
      <c r="K650" s="184"/>
      <c r="L650" s="184"/>
      <c r="M650" s="184"/>
      <c r="N650" s="184"/>
      <c r="O650" s="184"/>
      <c r="Q650" s="184"/>
      <c r="R650" s="185"/>
      <c r="S650" s="185"/>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6"/>
      <c r="AT650" s="187"/>
      <c r="AU650" s="187"/>
      <c r="AV650" s="187"/>
      <c r="AW650" s="224"/>
      <c r="AX650" s="184"/>
      <c r="AY650" s="184"/>
      <c r="AZ650" s="184"/>
      <c r="BA650" s="184"/>
      <c r="BB650" s="184"/>
    </row>
    <row r="651" spans="1:54" s="163" customFormat="1" ht="16.5" customHeight="1">
      <c r="A651" s="180"/>
      <c r="B651" s="181"/>
      <c r="C651" s="182"/>
      <c r="D651" s="182"/>
      <c r="E651" s="183"/>
      <c r="F651" s="183"/>
      <c r="G651" s="183"/>
      <c r="H651" s="184"/>
      <c r="I651" s="184"/>
      <c r="J651" s="184"/>
      <c r="K651" s="184"/>
      <c r="L651" s="184"/>
      <c r="M651" s="184"/>
      <c r="N651" s="184"/>
      <c r="O651" s="184"/>
      <c r="Q651" s="184"/>
      <c r="R651" s="185"/>
      <c r="S651" s="185"/>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6"/>
      <c r="AT651" s="187"/>
      <c r="AU651" s="187"/>
      <c r="AV651" s="187"/>
      <c r="AW651" s="224"/>
      <c r="AX651" s="184"/>
      <c r="AY651" s="184"/>
      <c r="AZ651" s="184"/>
      <c r="BA651" s="184"/>
      <c r="BB651" s="184"/>
    </row>
    <row r="652" spans="1:54" s="163" customFormat="1" ht="16.5" customHeight="1">
      <c r="A652" s="180"/>
      <c r="B652" s="181"/>
      <c r="C652" s="182"/>
      <c r="D652" s="182"/>
      <c r="E652" s="183"/>
      <c r="F652" s="183"/>
      <c r="G652" s="183"/>
      <c r="H652" s="184"/>
      <c r="I652" s="184"/>
      <c r="J652" s="184"/>
      <c r="K652" s="184"/>
      <c r="L652" s="184"/>
      <c r="M652" s="184"/>
      <c r="N652" s="184"/>
      <c r="O652" s="184"/>
      <c r="Q652" s="184"/>
      <c r="R652" s="185"/>
      <c r="S652" s="185"/>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6"/>
      <c r="AT652" s="187"/>
      <c r="AU652" s="187"/>
      <c r="AV652" s="187"/>
      <c r="AW652" s="224"/>
      <c r="AX652" s="184"/>
      <c r="AY652" s="184"/>
      <c r="AZ652" s="184"/>
      <c r="BA652" s="184"/>
      <c r="BB652" s="184"/>
    </row>
    <row r="653" spans="1:54" s="163" customFormat="1" ht="16.5" customHeight="1">
      <c r="A653" s="180"/>
      <c r="B653" s="181"/>
      <c r="C653" s="182"/>
      <c r="D653" s="182"/>
      <c r="E653" s="183"/>
      <c r="F653" s="183"/>
      <c r="G653" s="183"/>
      <c r="H653" s="184"/>
      <c r="I653" s="184"/>
      <c r="J653" s="184"/>
      <c r="K653" s="184"/>
      <c r="L653" s="184"/>
      <c r="M653" s="184"/>
      <c r="N653" s="184"/>
      <c r="O653" s="184"/>
      <c r="Q653" s="184"/>
      <c r="R653" s="185"/>
      <c r="S653" s="185"/>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6"/>
      <c r="AT653" s="187"/>
      <c r="AU653" s="187"/>
      <c r="AV653" s="187"/>
      <c r="AW653" s="224"/>
      <c r="AX653" s="184"/>
      <c r="AY653" s="184"/>
      <c r="AZ653" s="184"/>
      <c r="BA653" s="184"/>
      <c r="BB653" s="184"/>
    </row>
    <row r="654" spans="1:54" s="163" customFormat="1" ht="16.5" customHeight="1">
      <c r="A654" s="180"/>
      <c r="B654" s="181"/>
      <c r="C654" s="182"/>
      <c r="D654" s="182"/>
      <c r="E654" s="183"/>
      <c r="F654" s="183"/>
      <c r="G654" s="183"/>
      <c r="H654" s="184"/>
      <c r="I654" s="184"/>
      <c r="J654" s="184"/>
      <c r="K654" s="184"/>
      <c r="L654" s="184"/>
      <c r="M654" s="184"/>
      <c r="N654" s="184"/>
      <c r="O654" s="184"/>
      <c r="Q654" s="184"/>
      <c r="R654" s="185"/>
      <c r="S654" s="185"/>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6"/>
      <c r="AT654" s="187"/>
      <c r="AU654" s="187"/>
      <c r="AV654" s="187"/>
      <c r="AW654" s="224"/>
      <c r="AX654" s="184"/>
      <c r="AY654" s="184"/>
      <c r="AZ654" s="184"/>
      <c r="BA654" s="184"/>
      <c r="BB654" s="184"/>
    </row>
    <row r="655" spans="1:54" s="163" customFormat="1" ht="16.5" customHeight="1">
      <c r="A655" s="180"/>
      <c r="B655" s="181"/>
      <c r="C655" s="182"/>
      <c r="D655" s="182"/>
      <c r="E655" s="183"/>
      <c r="F655" s="183"/>
      <c r="G655" s="183"/>
      <c r="H655" s="184"/>
      <c r="I655" s="184"/>
      <c r="J655" s="184"/>
      <c r="K655" s="184"/>
      <c r="L655" s="184"/>
      <c r="M655" s="184"/>
      <c r="N655" s="184"/>
      <c r="O655" s="184"/>
      <c r="Q655" s="184"/>
      <c r="R655" s="185"/>
      <c r="S655" s="185"/>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6"/>
      <c r="AT655" s="187"/>
      <c r="AU655" s="187"/>
      <c r="AV655" s="187"/>
      <c r="AW655" s="224"/>
      <c r="AX655" s="184"/>
      <c r="AY655" s="184"/>
      <c r="AZ655" s="184"/>
      <c r="BA655" s="184"/>
      <c r="BB655" s="184"/>
    </row>
    <row r="656" spans="1:54" s="163" customFormat="1" ht="16.5" customHeight="1">
      <c r="A656" s="180"/>
      <c r="B656" s="181"/>
      <c r="C656" s="182"/>
      <c r="D656" s="182"/>
      <c r="E656" s="183"/>
      <c r="F656" s="183"/>
      <c r="G656" s="183"/>
      <c r="H656" s="184"/>
      <c r="I656" s="184"/>
      <c r="J656" s="184"/>
      <c r="K656" s="184"/>
      <c r="L656" s="184"/>
      <c r="M656" s="184"/>
      <c r="N656" s="184"/>
      <c r="O656" s="184"/>
      <c r="Q656" s="184"/>
      <c r="R656" s="185"/>
      <c r="S656" s="185"/>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6"/>
      <c r="AT656" s="187"/>
      <c r="AU656" s="187"/>
      <c r="AV656" s="187"/>
      <c r="AW656" s="224"/>
      <c r="AX656" s="184"/>
      <c r="AY656" s="184"/>
      <c r="AZ656" s="184"/>
      <c r="BA656" s="184"/>
      <c r="BB656" s="184"/>
    </row>
    <row r="657" spans="1:54" s="163" customFormat="1" ht="16.5" customHeight="1">
      <c r="A657" s="180"/>
      <c r="B657" s="181"/>
      <c r="C657" s="182"/>
      <c r="D657" s="182"/>
      <c r="E657" s="183"/>
      <c r="F657" s="183"/>
      <c r="G657" s="183"/>
      <c r="H657" s="184"/>
      <c r="I657" s="184"/>
      <c r="J657" s="184"/>
      <c r="K657" s="184"/>
      <c r="L657" s="184"/>
      <c r="M657" s="184"/>
      <c r="N657" s="184"/>
      <c r="O657" s="184"/>
      <c r="Q657" s="184"/>
      <c r="R657" s="185"/>
      <c r="S657" s="185"/>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6"/>
      <c r="AT657" s="187"/>
      <c r="AU657" s="187"/>
      <c r="AV657" s="187"/>
      <c r="AW657" s="224"/>
      <c r="AX657" s="184"/>
      <c r="AY657" s="184"/>
      <c r="AZ657" s="184"/>
      <c r="BA657" s="184"/>
      <c r="BB657" s="184"/>
    </row>
    <row r="658" spans="1:54" s="163" customFormat="1" ht="16.5" customHeight="1">
      <c r="A658" s="180"/>
      <c r="B658" s="181"/>
      <c r="C658" s="182"/>
      <c r="D658" s="182"/>
      <c r="E658" s="183"/>
      <c r="F658" s="183"/>
      <c r="G658" s="183"/>
      <c r="H658" s="184"/>
      <c r="I658" s="184"/>
      <c r="J658" s="184"/>
      <c r="K658" s="184"/>
      <c r="L658" s="184"/>
      <c r="M658" s="184"/>
      <c r="N658" s="184"/>
      <c r="O658" s="184"/>
      <c r="Q658" s="184"/>
      <c r="R658" s="185"/>
      <c r="S658" s="185"/>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6"/>
      <c r="AT658" s="187"/>
      <c r="AU658" s="187"/>
      <c r="AV658" s="187"/>
      <c r="AW658" s="224"/>
      <c r="AX658" s="184"/>
      <c r="AY658" s="184"/>
      <c r="AZ658" s="184"/>
      <c r="BA658" s="184"/>
      <c r="BB658" s="184"/>
    </row>
    <row r="659" spans="1:54" s="163" customFormat="1" ht="16.5" customHeight="1">
      <c r="A659" s="180"/>
      <c r="B659" s="181"/>
      <c r="C659" s="182"/>
      <c r="D659" s="182"/>
      <c r="E659" s="183"/>
      <c r="F659" s="183"/>
      <c r="G659" s="183"/>
      <c r="H659" s="184"/>
      <c r="I659" s="184"/>
      <c r="J659" s="184"/>
      <c r="K659" s="184"/>
      <c r="L659" s="184"/>
      <c r="M659" s="184"/>
      <c r="N659" s="184"/>
      <c r="O659" s="184"/>
      <c r="Q659" s="184"/>
      <c r="R659" s="185"/>
      <c r="S659" s="185"/>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6"/>
      <c r="AT659" s="187"/>
      <c r="AU659" s="187"/>
      <c r="AV659" s="187"/>
      <c r="AW659" s="224"/>
      <c r="AX659" s="184"/>
      <c r="AY659" s="184"/>
      <c r="AZ659" s="184"/>
      <c r="BA659" s="184"/>
      <c r="BB659" s="184"/>
    </row>
    <row r="660" spans="1:54" s="163" customFormat="1" ht="16.5" customHeight="1">
      <c r="A660" s="180"/>
      <c r="B660" s="181"/>
      <c r="C660" s="182"/>
      <c r="D660" s="182"/>
      <c r="E660" s="183"/>
      <c r="F660" s="183"/>
      <c r="G660" s="183"/>
      <c r="H660" s="184"/>
      <c r="I660" s="184"/>
      <c r="J660" s="184"/>
      <c r="K660" s="184"/>
      <c r="L660" s="184"/>
      <c r="M660" s="184"/>
      <c r="N660" s="184"/>
      <c r="O660" s="184"/>
      <c r="Q660" s="184"/>
      <c r="R660" s="185"/>
      <c r="S660" s="185"/>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c r="AP660" s="184"/>
      <c r="AQ660" s="184"/>
      <c r="AR660" s="184"/>
      <c r="AS660" s="186"/>
      <c r="AT660" s="187"/>
      <c r="AU660" s="187"/>
      <c r="AV660" s="187"/>
      <c r="AW660" s="224"/>
      <c r="AX660" s="184"/>
      <c r="AY660" s="184"/>
      <c r="AZ660" s="184"/>
      <c r="BA660" s="184"/>
      <c r="BB660" s="184"/>
    </row>
    <row r="661" spans="1:54" s="163" customFormat="1" ht="16.5" customHeight="1">
      <c r="A661" s="180"/>
      <c r="B661" s="181"/>
      <c r="C661" s="182"/>
      <c r="D661" s="182"/>
      <c r="E661" s="183"/>
      <c r="F661" s="183"/>
      <c r="G661" s="183"/>
      <c r="H661" s="184"/>
      <c r="I661" s="184"/>
      <c r="J661" s="184"/>
      <c r="K661" s="184"/>
      <c r="L661" s="184"/>
      <c r="M661" s="184"/>
      <c r="N661" s="184"/>
      <c r="O661" s="184"/>
      <c r="Q661" s="184"/>
      <c r="R661" s="185"/>
      <c r="S661" s="185"/>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6"/>
      <c r="AT661" s="187"/>
      <c r="AU661" s="187"/>
      <c r="AV661" s="187"/>
      <c r="AW661" s="224"/>
      <c r="AX661" s="184"/>
      <c r="AY661" s="184"/>
      <c r="AZ661" s="184"/>
      <c r="BA661" s="184"/>
      <c r="BB661" s="184"/>
    </row>
    <row r="662" spans="1:54" s="163" customFormat="1" ht="16.5" customHeight="1">
      <c r="A662" s="180"/>
      <c r="B662" s="181"/>
      <c r="C662" s="182"/>
      <c r="D662" s="182"/>
      <c r="E662" s="183"/>
      <c r="F662" s="183"/>
      <c r="G662" s="183"/>
      <c r="H662" s="184"/>
      <c r="I662" s="184"/>
      <c r="J662" s="184"/>
      <c r="K662" s="184"/>
      <c r="L662" s="184"/>
      <c r="M662" s="184"/>
      <c r="N662" s="184"/>
      <c r="O662" s="184"/>
      <c r="Q662" s="184"/>
      <c r="R662" s="185"/>
      <c r="S662" s="185"/>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6"/>
      <c r="AT662" s="187"/>
      <c r="AU662" s="187"/>
      <c r="AV662" s="187"/>
      <c r="AW662" s="224"/>
      <c r="AX662" s="184"/>
      <c r="AY662" s="184"/>
      <c r="AZ662" s="184"/>
      <c r="BA662" s="184"/>
      <c r="BB662" s="184"/>
    </row>
    <row r="663" spans="1:54" s="163" customFormat="1" ht="16.5" customHeight="1">
      <c r="A663" s="180"/>
      <c r="B663" s="181"/>
      <c r="C663" s="182"/>
      <c r="D663" s="182"/>
      <c r="E663" s="183"/>
      <c r="F663" s="183"/>
      <c r="G663" s="183"/>
      <c r="H663" s="184"/>
      <c r="I663" s="184"/>
      <c r="J663" s="184"/>
      <c r="K663" s="184"/>
      <c r="L663" s="184"/>
      <c r="M663" s="184"/>
      <c r="N663" s="184"/>
      <c r="O663" s="184"/>
      <c r="Q663" s="184"/>
      <c r="R663" s="185"/>
      <c r="S663" s="185"/>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6"/>
      <c r="AT663" s="187"/>
      <c r="AU663" s="187"/>
      <c r="AV663" s="187"/>
      <c r="AW663" s="224"/>
      <c r="AX663" s="184"/>
      <c r="AY663" s="184"/>
      <c r="AZ663" s="184"/>
      <c r="BA663" s="184"/>
      <c r="BB663" s="184"/>
    </row>
    <row r="664" spans="1:54" s="163" customFormat="1" ht="16.5" customHeight="1">
      <c r="A664" s="180"/>
      <c r="B664" s="181"/>
      <c r="C664" s="182"/>
      <c r="D664" s="182"/>
      <c r="E664" s="183"/>
      <c r="F664" s="183"/>
      <c r="G664" s="183"/>
      <c r="H664" s="184"/>
      <c r="I664" s="184"/>
      <c r="J664" s="184"/>
      <c r="K664" s="184"/>
      <c r="L664" s="184"/>
      <c r="M664" s="184"/>
      <c r="N664" s="184"/>
      <c r="O664" s="184"/>
      <c r="Q664" s="184"/>
      <c r="R664" s="185"/>
      <c r="S664" s="185"/>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6"/>
      <c r="AT664" s="187"/>
      <c r="AU664" s="187"/>
      <c r="AV664" s="187"/>
      <c r="AW664" s="224"/>
      <c r="AX664" s="184"/>
      <c r="AY664" s="184"/>
      <c r="AZ664" s="184"/>
      <c r="BA664" s="184"/>
      <c r="BB664" s="184"/>
    </row>
    <row r="665" spans="1:54" s="163" customFormat="1" ht="16.5" customHeight="1">
      <c r="A665" s="180"/>
      <c r="B665" s="181"/>
      <c r="C665" s="182"/>
      <c r="D665" s="182"/>
      <c r="E665" s="183"/>
      <c r="F665" s="183"/>
      <c r="G665" s="183"/>
      <c r="H665" s="184"/>
      <c r="I665" s="184"/>
      <c r="J665" s="184"/>
      <c r="K665" s="184"/>
      <c r="L665" s="184"/>
      <c r="M665" s="184"/>
      <c r="N665" s="184"/>
      <c r="O665" s="184"/>
      <c r="Q665" s="184"/>
      <c r="R665" s="185"/>
      <c r="S665" s="185"/>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6"/>
      <c r="AT665" s="187"/>
      <c r="AU665" s="187"/>
      <c r="AV665" s="187"/>
      <c r="AW665" s="224"/>
      <c r="AX665" s="184"/>
      <c r="AY665" s="184"/>
      <c r="AZ665" s="184"/>
      <c r="BA665" s="184"/>
      <c r="BB665" s="184"/>
    </row>
    <row r="666" spans="1:54" s="163" customFormat="1" ht="16.5" customHeight="1">
      <c r="A666" s="180"/>
      <c r="B666" s="181"/>
      <c r="C666" s="182"/>
      <c r="D666" s="182"/>
      <c r="E666" s="183"/>
      <c r="F666" s="183"/>
      <c r="G666" s="183"/>
      <c r="H666" s="184"/>
      <c r="I666" s="184"/>
      <c r="J666" s="184"/>
      <c r="K666" s="184"/>
      <c r="L666" s="184"/>
      <c r="M666" s="184"/>
      <c r="N666" s="184"/>
      <c r="O666" s="184"/>
      <c r="Q666" s="184"/>
      <c r="R666" s="185"/>
      <c r="S666" s="185"/>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6"/>
      <c r="AT666" s="187"/>
      <c r="AU666" s="187"/>
      <c r="AV666" s="187"/>
      <c r="AW666" s="224"/>
      <c r="AX666" s="184"/>
      <c r="AY666" s="184"/>
      <c r="AZ666" s="184"/>
      <c r="BA666" s="184"/>
      <c r="BB666" s="184"/>
    </row>
    <row r="667" spans="1:54" s="163" customFormat="1" ht="16.5" customHeight="1">
      <c r="A667" s="180"/>
      <c r="B667" s="181"/>
      <c r="C667" s="182"/>
      <c r="D667" s="182"/>
      <c r="E667" s="183"/>
      <c r="F667" s="183"/>
      <c r="G667" s="183"/>
      <c r="H667" s="184"/>
      <c r="I667" s="184"/>
      <c r="J667" s="184"/>
      <c r="K667" s="184"/>
      <c r="L667" s="184"/>
      <c r="M667" s="184"/>
      <c r="N667" s="184"/>
      <c r="O667" s="184"/>
      <c r="Q667" s="184"/>
      <c r="R667" s="185"/>
      <c r="S667" s="185"/>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6"/>
      <c r="AT667" s="187"/>
      <c r="AU667" s="187"/>
      <c r="AV667" s="187"/>
      <c r="AW667" s="224"/>
      <c r="AX667" s="184"/>
      <c r="AY667" s="184"/>
      <c r="AZ667" s="184"/>
      <c r="BA667" s="184"/>
      <c r="BB667" s="184"/>
    </row>
    <row r="668" spans="1:54" s="163" customFormat="1" ht="16.5" customHeight="1">
      <c r="A668" s="180"/>
      <c r="B668" s="181"/>
      <c r="C668" s="182"/>
      <c r="D668" s="182"/>
      <c r="E668" s="183"/>
      <c r="F668" s="183"/>
      <c r="G668" s="183"/>
      <c r="H668" s="184"/>
      <c r="I668" s="184"/>
      <c r="J668" s="184"/>
      <c r="K668" s="184"/>
      <c r="L668" s="184"/>
      <c r="M668" s="184"/>
      <c r="N668" s="184"/>
      <c r="O668" s="184"/>
      <c r="Q668" s="184"/>
      <c r="R668" s="185"/>
      <c r="S668" s="185"/>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6"/>
      <c r="AT668" s="187"/>
      <c r="AU668" s="187"/>
      <c r="AV668" s="187"/>
      <c r="AW668" s="224"/>
      <c r="AX668" s="184"/>
      <c r="AY668" s="184"/>
      <c r="AZ668" s="184"/>
      <c r="BA668" s="184"/>
      <c r="BB668" s="184"/>
    </row>
    <row r="669" spans="1:54" s="163" customFormat="1" ht="16.5" customHeight="1">
      <c r="A669" s="180"/>
      <c r="B669" s="181"/>
      <c r="C669" s="182"/>
      <c r="D669" s="182"/>
      <c r="E669" s="183"/>
      <c r="F669" s="183"/>
      <c r="G669" s="183"/>
      <c r="H669" s="184"/>
      <c r="I669" s="184"/>
      <c r="J669" s="184"/>
      <c r="K669" s="184"/>
      <c r="L669" s="184"/>
      <c r="M669" s="184"/>
      <c r="N669" s="184"/>
      <c r="O669" s="184"/>
      <c r="Q669" s="184"/>
      <c r="R669" s="185"/>
      <c r="S669" s="185"/>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6"/>
      <c r="AT669" s="187"/>
      <c r="AU669" s="187"/>
      <c r="AV669" s="187"/>
      <c r="AW669" s="224"/>
      <c r="AX669" s="184"/>
      <c r="AY669" s="184"/>
      <c r="AZ669" s="184"/>
      <c r="BA669" s="184"/>
      <c r="BB669" s="184"/>
    </row>
    <row r="670" spans="1:54" s="163" customFormat="1" ht="16.5" customHeight="1">
      <c r="A670" s="180"/>
      <c r="B670" s="181"/>
      <c r="C670" s="182"/>
      <c r="D670" s="182"/>
      <c r="E670" s="183"/>
      <c r="F670" s="183"/>
      <c r="G670" s="183"/>
      <c r="H670" s="184"/>
      <c r="I670" s="184"/>
      <c r="J670" s="184"/>
      <c r="K670" s="184"/>
      <c r="L670" s="184"/>
      <c r="M670" s="184"/>
      <c r="N670" s="184"/>
      <c r="O670" s="184"/>
      <c r="Q670" s="184"/>
      <c r="R670" s="185"/>
      <c r="S670" s="185"/>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6"/>
      <c r="AT670" s="187"/>
      <c r="AU670" s="187"/>
      <c r="AV670" s="187"/>
      <c r="AW670" s="224"/>
      <c r="AX670" s="184"/>
      <c r="AY670" s="184"/>
      <c r="AZ670" s="184"/>
      <c r="BA670" s="184"/>
      <c r="BB670" s="184"/>
    </row>
    <row r="671" spans="1:54" s="163" customFormat="1" ht="16.5" customHeight="1">
      <c r="A671" s="180"/>
      <c r="B671" s="181"/>
      <c r="C671" s="182"/>
      <c r="D671" s="182"/>
      <c r="E671" s="183"/>
      <c r="F671" s="183"/>
      <c r="G671" s="183"/>
      <c r="H671" s="184"/>
      <c r="I671" s="184"/>
      <c r="J671" s="184"/>
      <c r="K671" s="184"/>
      <c r="L671" s="184"/>
      <c r="M671" s="184"/>
      <c r="N671" s="184"/>
      <c r="O671" s="184"/>
      <c r="Q671" s="184"/>
      <c r="R671" s="185"/>
      <c r="S671" s="185"/>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6"/>
      <c r="AT671" s="187"/>
      <c r="AU671" s="187"/>
      <c r="AV671" s="187"/>
      <c r="AW671" s="224"/>
      <c r="AX671" s="184"/>
      <c r="AY671" s="184"/>
      <c r="AZ671" s="184"/>
      <c r="BA671" s="184"/>
      <c r="BB671" s="184"/>
    </row>
    <row r="672" spans="1:54" s="163" customFormat="1" ht="16.5" customHeight="1">
      <c r="A672" s="180"/>
      <c r="B672" s="181"/>
      <c r="C672" s="182"/>
      <c r="D672" s="182"/>
      <c r="E672" s="183"/>
      <c r="F672" s="183"/>
      <c r="G672" s="183"/>
      <c r="H672" s="184"/>
      <c r="I672" s="184"/>
      <c r="J672" s="184"/>
      <c r="K672" s="184"/>
      <c r="L672" s="184"/>
      <c r="M672" s="184"/>
      <c r="N672" s="184"/>
      <c r="O672" s="184"/>
      <c r="Q672" s="184"/>
      <c r="R672" s="185"/>
      <c r="S672" s="185"/>
      <c r="U672" s="184"/>
      <c r="V672" s="184"/>
      <c r="W672" s="184"/>
      <c r="X672" s="184"/>
      <c r="Y672" s="184"/>
      <c r="Z672" s="184"/>
      <c r="AA672" s="184"/>
      <c r="AB672" s="184"/>
      <c r="AC672" s="184"/>
      <c r="AD672" s="184"/>
      <c r="AE672" s="184"/>
      <c r="AF672" s="184"/>
      <c r="AG672" s="184"/>
      <c r="AH672" s="184"/>
      <c r="AI672" s="184"/>
      <c r="AJ672" s="184"/>
      <c r="AK672" s="184"/>
      <c r="AL672" s="184"/>
      <c r="AM672" s="184"/>
      <c r="AN672" s="184"/>
      <c r="AO672" s="184"/>
      <c r="AP672" s="184"/>
      <c r="AQ672" s="184"/>
      <c r="AR672" s="184"/>
      <c r="AS672" s="186"/>
      <c r="AT672" s="187"/>
      <c r="AU672" s="187"/>
      <c r="AV672" s="187"/>
      <c r="AW672" s="224"/>
      <c r="AX672" s="184"/>
      <c r="AY672" s="184"/>
      <c r="AZ672" s="184"/>
      <c r="BA672" s="184"/>
      <c r="BB672" s="184"/>
    </row>
    <row r="673" spans="1:54" s="163" customFormat="1" ht="16.5" customHeight="1">
      <c r="A673" s="180"/>
      <c r="B673" s="181"/>
      <c r="C673" s="182"/>
      <c r="D673" s="182"/>
      <c r="E673" s="183"/>
      <c r="F673" s="183"/>
      <c r="G673" s="183"/>
      <c r="H673" s="184"/>
      <c r="I673" s="184"/>
      <c r="J673" s="184"/>
      <c r="K673" s="184"/>
      <c r="L673" s="184"/>
      <c r="M673" s="184"/>
      <c r="N673" s="184"/>
      <c r="O673" s="184"/>
      <c r="Q673" s="184"/>
      <c r="R673" s="185"/>
      <c r="S673" s="185"/>
      <c r="U673" s="184"/>
      <c r="V673" s="184"/>
      <c r="W673" s="184"/>
      <c r="X673" s="184"/>
      <c r="Y673" s="184"/>
      <c r="Z673" s="184"/>
      <c r="AA673" s="184"/>
      <c r="AB673" s="184"/>
      <c r="AC673" s="184"/>
      <c r="AD673" s="184"/>
      <c r="AE673" s="184"/>
      <c r="AF673" s="184"/>
      <c r="AG673" s="184"/>
      <c r="AH673" s="184"/>
      <c r="AI673" s="184"/>
      <c r="AJ673" s="184"/>
      <c r="AK673" s="184"/>
      <c r="AL673" s="184"/>
      <c r="AM673" s="184"/>
      <c r="AN673" s="184"/>
      <c r="AO673" s="184"/>
      <c r="AP673" s="184"/>
      <c r="AQ673" s="184"/>
      <c r="AR673" s="184"/>
      <c r="AS673" s="186"/>
      <c r="AT673" s="187"/>
      <c r="AU673" s="187"/>
      <c r="AV673" s="187"/>
      <c r="AW673" s="224"/>
      <c r="AX673" s="184"/>
      <c r="AY673" s="184"/>
      <c r="AZ673" s="184"/>
      <c r="BA673" s="184"/>
      <c r="BB673" s="184"/>
    </row>
    <row r="674" spans="1:54" s="163" customFormat="1" ht="16.5" customHeight="1">
      <c r="A674" s="180"/>
      <c r="B674" s="181"/>
      <c r="C674" s="182"/>
      <c r="D674" s="182"/>
      <c r="E674" s="183"/>
      <c r="F674" s="183"/>
      <c r="G674" s="183"/>
      <c r="H674" s="184"/>
      <c r="I674" s="184"/>
      <c r="J674" s="184"/>
      <c r="K674" s="184"/>
      <c r="L674" s="184"/>
      <c r="M674" s="184"/>
      <c r="N674" s="184"/>
      <c r="O674" s="184"/>
      <c r="Q674" s="184"/>
      <c r="R674" s="185"/>
      <c r="S674" s="185"/>
      <c r="U674" s="184"/>
      <c r="V674" s="184"/>
      <c r="W674" s="184"/>
      <c r="X674" s="184"/>
      <c r="Y674" s="184"/>
      <c r="Z674" s="184"/>
      <c r="AA674" s="184"/>
      <c r="AB674" s="184"/>
      <c r="AC674" s="184"/>
      <c r="AD674" s="184"/>
      <c r="AE674" s="184"/>
      <c r="AF674" s="184"/>
      <c r="AG674" s="184"/>
      <c r="AH674" s="184"/>
      <c r="AI674" s="184"/>
      <c r="AJ674" s="184"/>
      <c r="AK674" s="184"/>
      <c r="AL674" s="184"/>
      <c r="AM674" s="184"/>
      <c r="AN674" s="184"/>
      <c r="AO674" s="184"/>
      <c r="AP674" s="184"/>
      <c r="AQ674" s="184"/>
      <c r="AR674" s="184"/>
      <c r="AS674" s="186"/>
      <c r="AT674" s="187"/>
      <c r="AU674" s="187"/>
      <c r="AV674" s="187"/>
      <c r="AW674" s="224"/>
      <c r="AX674" s="184"/>
      <c r="AY674" s="184"/>
      <c r="AZ674" s="184"/>
      <c r="BA674" s="184"/>
      <c r="BB674" s="184"/>
    </row>
    <row r="675" spans="1:54" s="163" customFormat="1" ht="16.5" customHeight="1">
      <c r="A675" s="180"/>
      <c r="B675" s="181"/>
      <c r="C675" s="182"/>
      <c r="D675" s="182"/>
      <c r="E675" s="183"/>
      <c r="F675" s="183"/>
      <c r="G675" s="183"/>
      <c r="H675" s="184"/>
      <c r="I675" s="184"/>
      <c r="J675" s="184"/>
      <c r="K675" s="184"/>
      <c r="L675" s="184"/>
      <c r="M675" s="184"/>
      <c r="N675" s="184"/>
      <c r="O675" s="184"/>
      <c r="Q675" s="184"/>
      <c r="R675" s="185"/>
      <c r="S675" s="185"/>
      <c r="U675" s="184"/>
      <c r="V675" s="184"/>
      <c r="W675" s="184"/>
      <c r="X675" s="184"/>
      <c r="Y675" s="184"/>
      <c r="Z675" s="184"/>
      <c r="AA675" s="184"/>
      <c r="AB675" s="184"/>
      <c r="AC675" s="184"/>
      <c r="AD675" s="184"/>
      <c r="AE675" s="184"/>
      <c r="AF675" s="184"/>
      <c r="AG675" s="184"/>
      <c r="AH675" s="184"/>
      <c r="AI675" s="184"/>
      <c r="AJ675" s="184"/>
      <c r="AK675" s="184"/>
      <c r="AL675" s="184"/>
      <c r="AM675" s="184"/>
      <c r="AN675" s="184"/>
      <c r="AO675" s="184"/>
      <c r="AP675" s="184"/>
      <c r="AQ675" s="184"/>
      <c r="AR675" s="184"/>
      <c r="AS675" s="186"/>
      <c r="AT675" s="187"/>
      <c r="AU675" s="187"/>
      <c r="AV675" s="187"/>
      <c r="AW675" s="224"/>
      <c r="AX675" s="184"/>
      <c r="AY675" s="184"/>
      <c r="AZ675" s="184"/>
      <c r="BA675" s="184"/>
      <c r="BB675" s="184"/>
    </row>
    <row r="676" spans="1:54" s="163" customFormat="1" ht="16.5" customHeight="1">
      <c r="A676" s="180"/>
      <c r="B676" s="181"/>
      <c r="C676" s="182"/>
      <c r="D676" s="182"/>
      <c r="E676" s="183"/>
      <c r="F676" s="183"/>
      <c r="G676" s="183"/>
      <c r="H676" s="184"/>
      <c r="I676" s="184"/>
      <c r="J676" s="184"/>
      <c r="K676" s="184"/>
      <c r="L676" s="184"/>
      <c r="M676" s="184"/>
      <c r="N676" s="184"/>
      <c r="O676" s="184"/>
      <c r="Q676" s="184"/>
      <c r="R676" s="185"/>
      <c r="S676" s="185"/>
      <c r="U676" s="184"/>
      <c r="V676" s="184"/>
      <c r="W676" s="184"/>
      <c r="X676" s="184"/>
      <c r="Y676" s="184"/>
      <c r="Z676" s="184"/>
      <c r="AA676" s="184"/>
      <c r="AB676" s="184"/>
      <c r="AC676" s="184"/>
      <c r="AD676" s="184"/>
      <c r="AE676" s="184"/>
      <c r="AF676" s="184"/>
      <c r="AG676" s="184"/>
      <c r="AH676" s="184"/>
      <c r="AI676" s="184"/>
      <c r="AJ676" s="184"/>
      <c r="AK676" s="184"/>
      <c r="AL676" s="184"/>
      <c r="AM676" s="184"/>
      <c r="AN676" s="184"/>
      <c r="AO676" s="184"/>
      <c r="AP676" s="184"/>
      <c r="AQ676" s="184"/>
      <c r="AR676" s="184"/>
      <c r="AS676" s="186"/>
      <c r="AT676" s="187"/>
      <c r="AU676" s="187"/>
      <c r="AV676" s="187"/>
      <c r="AW676" s="224"/>
      <c r="AX676" s="184"/>
      <c r="AY676" s="184"/>
      <c r="AZ676" s="184"/>
      <c r="BA676" s="184"/>
      <c r="BB676" s="184"/>
    </row>
    <row r="677" spans="1:54" s="163" customFormat="1" ht="16.5" customHeight="1">
      <c r="A677" s="180"/>
      <c r="B677" s="181"/>
      <c r="C677" s="182"/>
      <c r="D677" s="182"/>
      <c r="E677" s="183"/>
      <c r="F677" s="183"/>
      <c r="G677" s="183"/>
      <c r="H677" s="184"/>
      <c r="I677" s="184"/>
      <c r="J677" s="184"/>
      <c r="K677" s="184"/>
      <c r="L677" s="184"/>
      <c r="M677" s="184"/>
      <c r="N677" s="184"/>
      <c r="O677" s="184"/>
      <c r="Q677" s="184"/>
      <c r="R677" s="185"/>
      <c r="S677" s="185"/>
      <c r="U677" s="184"/>
      <c r="V677" s="184"/>
      <c r="W677" s="184"/>
      <c r="X677" s="184"/>
      <c r="Y677" s="184"/>
      <c r="Z677" s="184"/>
      <c r="AA677" s="184"/>
      <c r="AB677" s="184"/>
      <c r="AC677" s="184"/>
      <c r="AD677" s="184"/>
      <c r="AE677" s="184"/>
      <c r="AF677" s="184"/>
      <c r="AG677" s="184"/>
      <c r="AH677" s="184"/>
      <c r="AI677" s="184"/>
      <c r="AJ677" s="184"/>
      <c r="AK677" s="184"/>
      <c r="AL677" s="184"/>
      <c r="AM677" s="184"/>
      <c r="AN677" s="184"/>
      <c r="AO677" s="184"/>
      <c r="AP677" s="184"/>
      <c r="AQ677" s="184"/>
      <c r="AR677" s="184"/>
      <c r="AS677" s="186"/>
      <c r="AT677" s="187"/>
      <c r="AU677" s="187"/>
      <c r="AV677" s="187"/>
      <c r="AW677" s="224"/>
      <c r="AX677" s="184"/>
      <c r="AY677" s="184"/>
      <c r="AZ677" s="184"/>
      <c r="BA677" s="184"/>
      <c r="BB677" s="184"/>
    </row>
    <row r="678" spans="1:54" s="163" customFormat="1" ht="16.5" customHeight="1">
      <c r="A678" s="180"/>
      <c r="B678" s="181"/>
      <c r="C678" s="182"/>
      <c r="D678" s="182"/>
      <c r="E678" s="183"/>
      <c r="F678" s="183"/>
      <c r="G678" s="183"/>
      <c r="H678" s="184"/>
      <c r="I678" s="184"/>
      <c r="J678" s="184"/>
      <c r="K678" s="184"/>
      <c r="L678" s="184"/>
      <c r="M678" s="184"/>
      <c r="N678" s="184"/>
      <c r="O678" s="184"/>
      <c r="Q678" s="184"/>
      <c r="R678" s="185"/>
      <c r="S678" s="185"/>
      <c r="U678" s="184"/>
      <c r="V678" s="184"/>
      <c r="W678" s="184"/>
      <c r="X678" s="184"/>
      <c r="Y678" s="184"/>
      <c r="Z678" s="184"/>
      <c r="AA678" s="184"/>
      <c r="AB678" s="184"/>
      <c r="AC678" s="184"/>
      <c r="AD678" s="184"/>
      <c r="AE678" s="184"/>
      <c r="AF678" s="184"/>
      <c r="AG678" s="184"/>
      <c r="AH678" s="184"/>
      <c r="AI678" s="184"/>
      <c r="AJ678" s="184"/>
      <c r="AK678" s="184"/>
      <c r="AL678" s="184"/>
      <c r="AM678" s="184"/>
      <c r="AN678" s="184"/>
      <c r="AO678" s="184"/>
      <c r="AP678" s="184"/>
      <c r="AQ678" s="184"/>
      <c r="AR678" s="184"/>
      <c r="AS678" s="186"/>
      <c r="AT678" s="187"/>
      <c r="AU678" s="187"/>
      <c r="AV678" s="187"/>
      <c r="AW678" s="224"/>
      <c r="AX678" s="184"/>
      <c r="AY678" s="184"/>
      <c r="AZ678" s="184"/>
      <c r="BA678" s="184"/>
      <c r="BB678" s="184"/>
    </row>
    <row r="679" spans="1:54" s="163" customFormat="1" ht="16.5" customHeight="1">
      <c r="A679" s="180"/>
      <c r="B679" s="181"/>
      <c r="C679" s="182"/>
      <c r="D679" s="182"/>
      <c r="E679" s="183"/>
      <c r="F679" s="183"/>
      <c r="G679" s="183"/>
      <c r="H679" s="184"/>
      <c r="I679" s="184"/>
      <c r="J679" s="184"/>
      <c r="K679" s="184"/>
      <c r="L679" s="184"/>
      <c r="M679" s="184"/>
      <c r="N679" s="184"/>
      <c r="O679" s="184"/>
      <c r="Q679" s="184"/>
      <c r="R679" s="185"/>
      <c r="S679" s="185"/>
      <c r="U679" s="184"/>
      <c r="V679" s="184"/>
      <c r="W679" s="184"/>
      <c r="X679" s="184"/>
      <c r="Y679" s="184"/>
      <c r="Z679" s="184"/>
      <c r="AA679" s="184"/>
      <c r="AB679" s="184"/>
      <c r="AC679" s="184"/>
      <c r="AD679" s="184"/>
      <c r="AE679" s="184"/>
      <c r="AF679" s="184"/>
      <c r="AG679" s="184"/>
      <c r="AH679" s="184"/>
      <c r="AI679" s="184"/>
      <c r="AJ679" s="184"/>
      <c r="AK679" s="184"/>
      <c r="AL679" s="184"/>
      <c r="AM679" s="184"/>
      <c r="AN679" s="184"/>
      <c r="AO679" s="184"/>
      <c r="AP679" s="184"/>
      <c r="AQ679" s="184"/>
      <c r="AR679" s="184"/>
      <c r="AS679" s="186"/>
      <c r="AT679" s="187"/>
      <c r="AU679" s="187"/>
      <c r="AV679" s="187"/>
      <c r="AW679" s="224"/>
      <c r="AX679" s="184"/>
      <c r="AY679" s="184"/>
      <c r="AZ679" s="184"/>
      <c r="BA679" s="184"/>
      <c r="BB679" s="184"/>
    </row>
    <row r="680" spans="1:54" s="163" customFormat="1" ht="16.5" customHeight="1">
      <c r="A680" s="180"/>
      <c r="B680" s="181"/>
      <c r="C680" s="182"/>
      <c r="D680" s="182"/>
      <c r="E680" s="183"/>
      <c r="F680" s="183"/>
      <c r="G680" s="183"/>
      <c r="H680" s="184"/>
      <c r="I680" s="184"/>
      <c r="J680" s="184"/>
      <c r="K680" s="184"/>
      <c r="L680" s="184"/>
      <c r="M680" s="184"/>
      <c r="N680" s="184"/>
      <c r="O680" s="184"/>
      <c r="Q680" s="184"/>
      <c r="R680" s="185"/>
      <c r="S680" s="185"/>
      <c r="U680" s="184"/>
      <c r="V680" s="184"/>
      <c r="W680" s="184"/>
      <c r="X680" s="184"/>
      <c r="Y680" s="184"/>
      <c r="Z680" s="184"/>
      <c r="AA680" s="184"/>
      <c r="AB680" s="184"/>
      <c r="AC680" s="184"/>
      <c r="AD680" s="184"/>
      <c r="AE680" s="184"/>
      <c r="AF680" s="184"/>
      <c r="AG680" s="184"/>
      <c r="AH680" s="184"/>
      <c r="AI680" s="184"/>
      <c r="AJ680" s="184"/>
      <c r="AK680" s="184"/>
      <c r="AL680" s="184"/>
      <c r="AM680" s="184"/>
      <c r="AN680" s="184"/>
      <c r="AO680" s="184"/>
      <c r="AP680" s="184"/>
      <c r="AQ680" s="184"/>
      <c r="AR680" s="184"/>
      <c r="AS680" s="186"/>
      <c r="AT680" s="187"/>
      <c r="AU680" s="187"/>
      <c r="AV680" s="187"/>
      <c r="AW680" s="224"/>
      <c r="AX680" s="184"/>
      <c r="AY680" s="184"/>
      <c r="AZ680" s="184"/>
      <c r="BA680" s="184"/>
      <c r="BB680" s="184"/>
    </row>
    <row r="681" spans="1:54" s="163" customFormat="1" ht="16.5" customHeight="1">
      <c r="A681" s="180"/>
      <c r="B681" s="181"/>
      <c r="C681" s="182"/>
      <c r="D681" s="182"/>
      <c r="E681" s="183"/>
      <c r="F681" s="183"/>
      <c r="G681" s="183"/>
      <c r="H681" s="184"/>
      <c r="I681" s="184"/>
      <c r="J681" s="184"/>
      <c r="K681" s="184"/>
      <c r="L681" s="184"/>
      <c r="M681" s="184"/>
      <c r="N681" s="184"/>
      <c r="O681" s="184"/>
      <c r="Q681" s="184"/>
      <c r="R681" s="185"/>
      <c r="S681" s="185"/>
      <c r="U681" s="184"/>
      <c r="V681" s="184"/>
      <c r="W681" s="184"/>
      <c r="X681" s="184"/>
      <c r="Y681" s="184"/>
      <c r="Z681" s="184"/>
      <c r="AA681" s="184"/>
      <c r="AB681" s="184"/>
      <c r="AC681" s="184"/>
      <c r="AD681" s="184"/>
      <c r="AE681" s="184"/>
      <c r="AF681" s="184"/>
      <c r="AG681" s="184"/>
      <c r="AH681" s="184"/>
      <c r="AI681" s="184"/>
      <c r="AJ681" s="184"/>
      <c r="AK681" s="184"/>
      <c r="AL681" s="184"/>
      <c r="AM681" s="184"/>
      <c r="AN681" s="184"/>
      <c r="AO681" s="184"/>
      <c r="AP681" s="184"/>
      <c r="AQ681" s="184"/>
      <c r="AR681" s="184"/>
      <c r="AS681" s="186"/>
      <c r="AT681" s="187"/>
      <c r="AU681" s="187"/>
      <c r="AV681" s="187"/>
      <c r="AW681" s="224"/>
      <c r="AX681" s="184"/>
      <c r="AY681" s="184"/>
      <c r="AZ681" s="184"/>
      <c r="BA681" s="184"/>
      <c r="BB681" s="184"/>
    </row>
    <row r="682" spans="1:54" s="163" customFormat="1" ht="16.5" customHeight="1">
      <c r="A682" s="180"/>
      <c r="B682" s="181"/>
      <c r="C682" s="182"/>
      <c r="D682" s="182"/>
      <c r="E682" s="183"/>
      <c r="F682" s="183"/>
      <c r="G682" s="183"/>
      <c r="H682" s="184"/>
      <c r="I682" s="184"/>
      <c r="J682" s="184"/>
      <c r="K682" s="184"/>
      <c r="L682" s="184"/>
      <c r="M682" s="184"/>
      <c r="N682" s="184"/>
      <c r="O682" s="184"/>
      <c r="Q682" s="184"/>
      <c r="R682" s="185"/>
      <c r="S682" s="185"/>
      <c r="U682" s="184"/>
      <c r="V682" s="184"/>
      <c r="W682" s="184"/>
      <c r="X682" s="184"/>
      <c r="Y682" s="184"/>
      <c r="Z682" s="184"/>
      <c r="AA682" s="184"/>
      <c r="AB682" s="184"/>
      <c r="AC682" s="184"/>
      <c r="AD682" s="184"/>
      <c r="AE682" s="184"/>
      <c r="AF682" s="184"/>
      <c r="AG682" s="184"/>
      <c r="AH682" s="184"/>
      <c r="AI682" s="184"/>
      <c r="AJ682" s="184"/>
      <c r="AK682" s="184"/>
      <c r="AL682" s="184"/>
      <c r="AM682" s="184"/>
      <c r="AN682" s="184"/>
      <c r="AO682" s="184"/>
      <c r="AP682" s="184"/>
      <c r="AQ682" s="184"/>
      <c r="AR682" s="184"/>
      <c r="AS682" s="186"/>
      <c r="AT682" s="187"/>
      <c r="AU682" s="187"/>
      <c r="AV682" s="187"/>
      <c r="AW682" s="224"/>
      <c r="AX682" s="184"/>
      <c r="AY682" s="184"/>
      <c r="AZ682" s="184"/>
      <c r="BA682" s="184"/>
      <c r="BB682" s="184"/>
    </row>
    <row r="683" spans="1:54" s="163" customFormat="1" ht="16.5" customHeight="1">
      <c r="A683" s="180"/>
      <c r="B683" s="181"/>
      <c r="C683" s="182"/>
      <c r="D683" s="182"/>
      <c r="E683" s="183"/>
      <c r="F683" s="183"/>
      <c r="G683" s="183"/>
      <c r="H683" s="184"/>
      <c r="I683" s="184"/>
      <c r="J683" s="184"/>
      <c r="K683" s="184"/>
      <c r="L683" s="184"/>
      <c r="M683" s="184"/>
      <c r="N683" s="184"/>
      <c r="O683" s="184"/>
      <c r="Q683" s="184"/>
      <c r="R683" s="185"/>
      <c r="S683" s="185"/>
      <c r="U683" s="184"/>
      <c r="V683" s="184"/>
      <c r="W683" s="184"/>
      <c r="X683" s="184"/>
      <c r="Y683" s="184"/>
      <c r="Z683" s="184"/>
      <c r="AA683" s="184"/>
      <c r="AB683" s="184"/>
      <c r="AC683" s="184"/>
      <c r="AD683" s="184"/>
      <c r="AE683" s="184"/>
      <c r="AF683" s="184"/>
      <c r="AG683" s="184"/>
      <c r="AH683" s="184"/>
      <c r="AI683" s="184"/>
      <c r="AJ683" s="184"/>
      <c r="AK683" s="184"/>
      <c r="AL683" s="184"/>
      <c r="AM683" s="184"/>
      <c r="AN683" s="184"/>
      <c r="AO683" s="184"/>
      <c r="AP683" s="184"/>
      <c r="AQ683" s="184"/>
      <c r="AR683" s="184"/>
      <c r="AS683" s="186"/>
      <c r="AT683" s="187"/>
      <c r="AU683" s="187"/>
      <c r="AV683" s="187"/>
      <c r="AW683" s="224"/>
      <c r="AX683" s="184"/>
      <c r="AY683" s="184"/>
      <c r="AZ683" s="184"/>
      <c r="BA683" s="184"/>
      <c r="BB683" s="184"/>
    </row>
    <row r="684" spans="1:54" s="163" customFormat="1" ht="16.5" customHeight="1">
      <c r="A684" s="180"/>
      <c r="B684" s="181"/>
      <c r="C684" s="182"/>
      <c r="D684" s="182"/>
      <c r="E684" s="183"/>
      <c r="F684" s="183"/>
      <c r="G684" s="183"/>
      <c r="H684" s="184"/>
      <c r="I684" s="184"/>
      <c r="J684" s="184"/>
      <c r="K684" s="184"/>
      <c r="L684" s="184"/>
      <c r="M684" s="184"/>
      <c r="N684" s="184"/>
      <c r="O684" s="184"/>
      <c r="Q684" s="184"/>
      <c r="R684" s="185"/>
      <c r="S684" s="185"/>
      <c r="U684" s="184"/>
      <c r="V684" s="184"/>
      <c r="W684" s="184"/>
      <c r="X684" s="184"/>
      <c r="Y684" s="184"/>
      <c r="Z684" s="184"/>
      <c r="AA684" s="184"/>
      <c r="AB684" s="184"/>
      <c r="AC684" s="184"/>
      <c r="AD684" s="184"/>
      <c r="AE684" s="184"/>
      <c r="AF684" s="184"/>
      <c r="AG684" s="184"/>
      <c r="AH684" s="184"/>
      <c r="AI684" s="184"/>
      <c r="AJ684" s="184"/>
      <c r="AK684" s="184"/>
      <c r="AL684" s="184"/>
      <c r="AM684" s="184"/>
      <c r="AN684" s="184"/>
      <c r="AO684" s="184"/>
      <c r="AP684" s="184"/>
      <c r="AQ684" s="184"/>
      <c r="AR684" s="184"/>
      <c r="AS684" s="186"/>
      <c r="AT684" s="187"/>
      <c r="AU684" s="187"/>
      <c r="AV684" s="187"/>
      <c r="AW684" s="224"/>
      <c r="AX684" s="184"/>
      <c r="AY684" s="184"/>
      <c r="AZ684" s="184"/>
      <c r="BA684" s="184"/>
      <c r="BB684" s="184"/>
    </row>
    <row r="685" spans="1:54" s="163" customFormat="1" ht="16.5" customHeight="1">
      <c r="A685" s="180"/>
      <c r="B685" s="181"/>
      <c r="C685" s="182"/>
      <c r="D685" s="182"/>
      <c r="E685" s="183"/>
      <c r="F685" s="183"/>
      <c r="G685" s="183"/>
      <c r="H685" s="184"/>
      <c r="I685" s="184"/>
      <c r="J685" s="184"/>
      <c r="K685" s="184"/>
      <c r="L685" s="184"/>
      <c r="M685" s="184"/>
      <c r="N685" s="184"/>
      <c r="O685" s="184"/>
      <c r="Q685" s="184"/>
      <c r="R685" s="185"/>
      <c r="S685" s="185"/>
      <c r="U685" s="184"/>
      <c r="V685" s="184"/>
      <c r="W685" s="184"/>
      <c r="X685" s="184"/>
      <c r="Y685" s="184"/>
      <c r="Z685" s="184"/>
      <c r="AA685" s="184"/>
      <c r="AB685" s="184"/>
      <c r="AC685" s="184"/>
      <c r="AD685" s="184"/>
      <c r="AE685" s="184"/>
      <c r="AF685" s="184"/>
      <c r="AG685" s="184"/>
      <c r="AH685" s="184"/>
      <c r="AI685" s="184"/>
      <c r="AJ685" s="184"/>
      <c r="AK685" s="184"/>
      <c r="AL685" s="184"/>
      <c r="AM685" s="184"/>
      <c r="AN685" s="184"/>
      <c r="AO685" s="184"/>
      <c r="AP685" s="184"/>
      <c r="AQ685" s="184"/>
      <c r="AR685" s="184"/>
      <c r="AS685" s="186"/>
      <c r="AT685" s="187"/>
      <c r="AU685" s="187"/>
      <c r="AV685" s="187"/>
      <c r="AW685" s="224"/>
      <c r="AX685" s="184"/>
      <c r="AY685" s="184"/>
      <c r="AZ685" s="184"/>
      <c r="BA685" s="184"/>
      <c r="BB685" s="184"/>
    </row>
    <row r="686" spans="1:54" s="163" customFormat="1" ht="16.5" customHeight="1">
      <c r="A686" s="180"/>
      <c r="B686" s="181"/>
      <c r="C686" s="182"/>
      <c r="D686" s="182"/>
      <c r="E686" s="183"/>
      <c r="F686" s="183"/>
      <c r="G686" s="183"/>
      <c r="H686" s="184"/>
      <c r="I686" s="184"/>
      <c r="J686" s="184"/>
      <c r="K686" s="184"/>
      <c r="L686" s="184"/>
      <c r="M686" s="184"/>
      <c r="N686" s="184"/>
      <c r="O686" s="184"/>
      <c r="Q686" s="184"/>
      <c r="R686" s="185"/>
      <c r="S686" s="185"/>
      <c r="U686" s="184"/>
      <c r="V686" s="184"/>
      <c r="W686" s="184"/>
      <c r="X686" s="184"/>
      <c r="Y686" s="184"/>
      <c r="Z686" s="184"/>
      <c r="AA686" s="184"/>
      <c r="AB686" s="184"/>
      <c r="AC686" s="184"/>
      <c r="AD686" s="184"/>
      <c r="AE686" s="184"/>
      <c r="AF686" s="184"/>
      <c r="AG686" s="184"/>
      <c r="AH686" s="184"/>
      <c r="AI686" s="184"/>
      <c r="AJ686" s="184"/>
      <c r="AK686" s="184"/>
      <c r="AL686" s="184"/>
      <c r="AM686" s="184"/>
      <c r="AN686" s="184"/>
      <c r="AO686" s="184"/>
      <c r="AP686" s="184"/>
      <c r="AQ686" s="184"/>
      <c r="AR686" s="184"/>
      <c r="AS686" s="186"/>
      <c r="AT686" s="187"/>
      <c r="AU686" s="187"/>
      <c r="AV686" s="187"/>
      <c r="AW686" s="224"/>
      <c r="AX686" s="184"/>
      <c r="AY686" s="184"/>
      <c r="AZ686" s="184"/>
      <c r="BA686" s="184"/>
      <c r="BB686" s="184"/>
    </row>
    <row r="687" spans="1:54" s="163" customFormat="1" ht="16.5" customHeight="1">
      <c r="A687" s="180"/>
      <c r="B687" s="181"/>
      <c r="C687" s="182"/>
      <c r="D687" s="182"/>
      <c r="E687" s="183"/>
      <c r="F687" s="183"/>
      <c r="G687" s="183"/>
      <c r="H687" s="184"/>
      <c r="I687" s="184"/>
      <c r="J687" s="184"/>
      <c r="K687" s="184"/>
      <c r="L687" s="184"/>
      <c r="M687" s="184"/>
      <c r="N687" s="184"/>
      <c r="O687" s="184"/>
      <c r="Q687" s="184"/>
      <c r="R687" s="185"/>
      <c r="S687" s="185"/>
      <c r="U687" s="184"/>
      <c r="V687" s="184"/>
      <c r="W687" s="184"/>
      <c r="X687" s="184"/>
      <c r="Y687" s="184"/>
      <c r="Z687" s="184"/>
      <c r="AA687" s="184"/>
      <c r="AB687" s="184"/>
      <c r="AC687" s="184"/>
      <c r="AD687" s="184"/>
      <c r="AE687" s="184"/>
      <c r="AF687" s="184"/>
      <c r="AG687" s="184"/>
      <c r="AH687" s="184"/>
      <c r="AI687" s="184"/>
      <c r="AJ687" s="184"/>
      <c r="AK687" s="184"/>
      <c r="AL687" s="184"/>
      <c r="AM687" s="184"/>
      <c r="AN687" s="184"/>
      <c r="AO687" s="184"/>
      <c r="AP687" s="184"/>
      <c r="AQ687" s="184"/>
      <c r="AR687" s="184"/>
      <c r="AS687" s="186"/>
      <c r="AT687" s="187"/>
      <c r="AU687" s="187"/>
      <c r="AV687" s="187"/>
      <c r="AW687" s="224"/>
      <c r="AX687" s="184"/>
      <c r="AY687" s="184"/>
      <c r="AZ687" s="184"/>
      <c r="BA687" s="184"/>
      <c r="BB687" s="184"/>
    </row>
    <row r="688" spans="1:54" s="163" customFormat="1" ht="16.5" customHeight="1">
      <c r="A688" s="180"/>
      <c r="B688" s="181"/>
      <c r="C688" s="182"/>
      <c r="D688" s="182"/>
      <c r="E688" s="183"/>
      <c r="F688" s="183"/>
      <c r="G688" s="183"/>
      <c r="H688" s="184"/>
      <c r="I688" s="184"/>
      <c r="J688" s="184"/>
      <c r="K688" s="184"/>
      <c r="L688" s="184"/>
      <c r="M688" s="184"/>
      <c r="N688" s="184"/>
      <c r="O688" s="184"/>
      <c r="Q688" s="184"/>
      <c r="R688" s="185"/>
      <c r="S688" s="185"/>
      <c r="U688" s="184"/>
      <c r="V688" s="184"/>
      <c r="W688" s="184"/>
      <c r="X688" s="184"/>
      <c r="Y688" s="184"/>
      <c r="Z688" s="184"/>
      <c r="AA688" s="184"/>
      <c r="AB688" s="184"/>
      <c r="AC688" s="184"/>
      <c r="AD688" s="184"/>
      <c r="AE688" s="184"/>
      <c r="AF688" s="184"/>
      <c r="AG688" s="184"/>
      <c r="AH688" s="184"/>
      <c r="AI688" s="184"/>
      <c r="AJ688" s="184"/>
      <c r="AK688" s="184"/>
      <c r="AL688" s="184"/>
      <c r="AM688" s="184"/>
      <c r="AN688" s="184"/>
      <c r="AO688" s="184"/>
      <c r="AP688" s="184"/>
      <c r="AQ688" s="184"/>
      <c r="AR688" s="184"/>
      <c r="AS688" s="186"/>
      <c r="AT688" s="187"/>
      <c r="AU688" s="187"/>
      <c r="AV688" s="187"/>
      <c r="AW688" s="224"/>
      <c r="AX688" s="184"/>
      <c r="AY688" s="184"/>
      <c r="AZ688" s="184"/>
      <c r="BA688" s="184"/>
      <c r="BB688" s="184"/>
    </row>
    <row r="689" spans="1:54" s="163" customFormat="1" ht="16.5" customHeight="1">
      <c r="A689" s="180"/>
      <c r="B689" s="181"/>
      <c r="C689" s="182"/>
      <c r="D689" s="182"/>
      <c r="E689" s="183"/>
      <c r="F689" s="183"/>
      <c r="G689" s="183"/>
      <c r="H689" s="184"/>
      <c r="I689" s="184"/>
      <c r="J689" s="184"/>
      <c r="K689" s="184"/>
      <c r="L689" s="184"/>
      <c r="M689" s="184"/>
      <c r="N689" s="184"/>
      <c r="O689" s="184"/>
      <c r="Q689" s="184"/>
      <c r="R689" s="185"/>
      <c r="S689" s="185"/>
      <c r="U689" s="184"/>
      <c r="V689" s="184"/>
      <c r="W689" s="184"/>
      <c r="X689" s="184"/>
      <c r="Y689" s="184"/>
      <c r="Z689" s="184"/>
      <c r="AA689" s="184"/>
      <c r="AB689" s="184"/>
      <c r="AC689" s="184"/>
      <c r="AD689" s="184"/>
      <c r="AE689" s="184"/>
      <c r="AF689" s="184"/>
      <c r="AG689" s="184"/>
      <c r="AH689" s="184"/>
      <c r="AI689" s="184"/>
      <c r="AJ689" s="184"/>
      <c r="AK689" s="184"/>
      <c r="AL689" s="184"/>
      <c r="AM689" s="184"/>
      <c r="AN689" s="184"/>
      <c r="AO689" s="184"/>
      <c r="AP689" s="184"/>
      <c r="AQ689" s="184"/>
      <c r="AR689" s="184"/>
      <c r="AS689" s="186"/>
      <c r="AT689" s="187"/>
      <c r="AU689" s="187"/>
      <c r="AV689" s="187"/>
      <c r="AW689" s="224"/>
      <c r="AX689" s="184"/>
      <c r="AY689" s="184"/>
      <c r="AZ689" s="184"/>
      <c r="BA689" s="184"/>
      <c r="BB689" s="184"/>
    </row>
    <row r="690" spans="1:54" s="163" customFormat="1" ht="16.5" customHeight="1">
      <c r="A690" s="180"/>
      <c r="B690" s="181"/>
      <c r="C690" s="182"/>
      <c r="D690" s="182"/>
      <c r="E690" s="183"/>
      <c r="F690" s="183"/>
      <c r="G690" s="183"/>
      <c r="H690" s="184"/>
      <c r="I690" s="184"/>
      <c r="J690" s="184"/>
      <c r="K690" s="184"/>
      <c r="L690" s="184"/>
      <c r="M690" s="184"/>
      <c r="N690" s="184"/>
      <c r="O690" s="184"/>
      <c r="Q690" s="184"/>
      <c r="R690" s="185"/>
      <c r="S690" s="185"/>
      <c r="U690" s="184"/>
      <c r="V690" s="184"/>
      <c r="W690" s="184"/>
      <c r="X690" s="184"/>
      <c r="Y690" s="184"/>
      <c r="Z690" s="184"/>
      <c r="AA690" s="184"/>
      <c r="AB690" s="184"/>
      <c r="AC690" s="184"/>
      <c r="AD690" s="184"/>
      <c r="AE690" s="184"/>
      <c r="AF690" s="184"/>
      <c r="AG690" s="184"/>
      <c r="AH690" s="184"/>
      <c r="AI690" s="184"/>
      <c r="AJ690" s="184"/>
      <c r="AK690" s="184"/>
      <c r="AL690" s="184"/>
      <c r="AM690" s="184"/>
      <c r="AN690" s="184"/>
      <c r="AO690" s="184"/>
      <c r="AP690" s="184"/>
      <c r="AQ690" s="184"/>
      <c r="AR690" s="184"/>
      <c r="AS690" s="186"/>
      <c r="AT690" s="187"/>
      <c r="AU690" s="187"/>
      <c r="AV690" s="187"/>
      <c r="AW690" s="224"/>
      <c r="AX690" s="184"/>
      <c r="AY690" s="184"/>
      <c r="AZ690" s="184"/>
      <c r="BA690" s="184"/>
      <c r="BB690" s="184"/>
    </row>
    <row r="691" spans="1:54" s="163" customFormat="1" ht="16.5" customHeight="1">
      <c r="A691" s="180"/>
      <c r="B691" s="181"/>
      <c r="C691" s="182"/>
      <c r="D691" s="182"/>
      <c r="E691" s="183"/>
      <c r="F691" s="183"/>
      <c r="G691" s="183"/>
      <c r="H691" s="184"/>
      <c r="I691" s="184"/>
      <c r="J691" s="184"/>
      <c r="K691" s="184"/>
      <c r="L691" s="184"/>
      <c r="M691" s="184"/>
      <c r="N691" s="184"/>
      <c r="O691" s="184"/>
      <c r="Q691" s="184"/>
      <c r="R691" s="185"/>
      <c r="S691" s="185"/>
      <c r="U691" s="184"/>
      <c r="V691" s="184"/>
      <c r="W691" s="184"/>
      <c r="X691" s="184"/>
      <c r="Y691" s="184"/>
      <c r="Z691" s="184"/>
      <c r="AA691" s="184"/>
      <c r="AB691" s="184"/>
      <c r="AC691" s="184"/>
      <c r="AD691" s="184"/>
      <c r="AE691" s="184"/>
      <c r="AF691" s="184"/>
      <c r="AG691" s="184"/>
      <c r="AH691" s="184"/>
      <c r="AI691" s="184"/>
      <c r="AJ691" s="184"/>
      <c r="AK691" s="184"/>
      <c r="AL691" s="184"/>
      <c r="AM691" s="184"/>
      <c r="AN691" s="184"/>
      <c r="AO691" s="184"/>
      <c r="AP691" s="184"/>
      <c r="AQ691" s="184"/>
      <c r="AR691" s="184"/>
      <c r="AS691" s="186"/>
      <c r="AT691" s="187"/>
      <c r="AU691" s="187"/>
      <c r="AV691" s="187"/>
      <c r="AW691" s="224"/>
      <c r="AX691" s="184"/>
      <c r="AY691" s="184"/>
      <c r="AZ691" s="184"/>
      <c r="BA691" s="184"/>
      <c r="BB691" s="184"/>
    </row>
    <row r="692" spans="1:54" s="163" customFormat="1" ht="16.5" customHeight="1">
      <c r="A692" s="180"/>
      <c r="B692" s="181"/>
      <c r="C692" s="182"/>
      <c r="D692" s="182"/>
      <c r="E692" s="183"/>
      <c r="F692" s="183"/>
      <c r="G692" s="183"/>
      <c r="H692" s="184"/>
      <c r="I692" s="184"/>
      <c r="J692" s="184"/>
      <c r="K692" s="184"/>
      <c r="L692" s="184"/>
      <c r="M692" s="184"/>
      <c r="N692" s="184"/>
      <c r="O692" s="184"/>
      <c r="Q692" s="184"/>
      <c r="R692" s="185"/>
      <c r="S692" s="185"/>
      <c r="U692" s="184"/>
      <c r="V692" s="184"/>
      <c r="W692" s="184"/>
      <c r="X692" s="184"/>
      <c r="Y692" s="184"/>
      <c r="Z692" s="184"/>
      <c r="AA692" s="184"/>
      <c r="AB692" s="184"/>
      <c r="AC692" s="184"/>
      <c r="AD692" s="184"/>
      <c r="AE692" s="184"/>
      <c r="AF692" s="184"/>
      <c r="AG692" s="184"/>
      <c r="AH692" s="184"/>
      <c r="AI692" s="184"/>
      <c r="AJ692" s="184"/>
      <c r="AK692" s="184"/>
      <c r="AL692" s="184"/>
      <c r="AM692" s="184"/>
      <c r="AN692" s="184"/>
      <c r="AO692" s="184"/>
      <c r="AP692" s="184"/>
      <c r="AQ692" s="184"/>
      <c r="AR692" s="184"/>
      <c r="AS692" s="186"/>
      <c r="AT692" s="187"/>
      <c r="AU692" s="187"/>
      <c r="AV692" s="187"/>
      <c r="AW692" s="224"/>
      <c r="AX692" s="184"/>
      <c r="AY692" s="184"/>
      <c r="AZ692" s="184"/>
      <c r="BA692" s="184"/>
      <c r="BB692" s="184"/>
    </row>
    <row r="693" spans="1:54" s="163" customFormat="1" ht="16.5" customHeight="1">
      <c r="A693" s="180"/>
      <c r="B693" s="181"/>
      <c r="C693" s="182"/>
      <c r="D693" s="182"/>
      <c r="E693" s="183"/>
      <c r="F693" s="183"/>
      <c r="G693" s="183"/>
      <c r="H693" s="184"/>
      <c r="I693" s="184"/>
      <c r="J693" s="184"/>
      <c r="K693" s="184"/>
      <c r="L693" s="184"/>
      <c r="M693" s="184"/>
      <c r="N693" s="184"/>
      <c r="O693" s="184"/>
      <c r="Q693" s="184"/>
      <c r="R693" s="185"/>
      <c r="S693" s="185"/>
      <c r="U693" s="184"/>
      <c r="V693" s="184"/>
      <c r="W693" s="184"/>
      <c r="X693" s="184"/>
      <c r="Y693" s="184"/>
      <c r="Z693" s="184"/>
      <c r="AA693" s="184"/>
      <c r="AB693" s="184"/>
      <c r="AC693" s="184"/>
      <c r="AD693" s="184"/>
      <c r="AE693" s="184"/>
      <c r="AF693" s="184"/>
      <c r="AG693" s="184"/>
      <c r="AH693" s="184"/>
      <c r="AI693" s="184"/>
      <c r="AJ693" s="184"/>
      <c r="AK693" s="184"/>
      <c r="AL693" s="184"/>
      <c r="AM693" s="184"/>
      <c r="AN693" s="184"/>
      <c r="AO693" s="184"/>
      <c r="AP693" s="184"/>
      <c r="AQ693" s="184"/>
      <c r="AR693" s="184"/>
      <c r="AS693" s="186"/>
      <c r="AT693" s="187"/>
      <c r="AU693" s="187"/>
      <c r="AV693" s="187"/>
      <c r="AW693" s="224"/>
      <c r="AX693" s="184"/>
      <c r="AY693" s="184"/>
      <c r="AZ693" s="184"/>
      <c r="BA693" s="184"/>
      <c r="BB693" s="184"/>
    </row>
    <row r="694" spans="1:54" s="163" customFormat="1" ht="16.5" customHeight="1">
      <c r="A694" s="180"/>
      <c r="B694" s="181"/>
      <c r="C694" s="182"/>
      <c r="D694" s="182"/>
      <c r="E694" s="183"/>
      <c r="F694" s="183"/>
      <c r="G694" s="183"/>
      <c r="H694" s="184"/>
      <c r="I694" s="184"/>
      <c r="J694" s="184"/>
      <c r="K694" s="184"/>
      <c r="L694" s="184"/>
      <c r="M694" s="184"/>
      <c r="N694" s="184"/>
      <c r="O694" s="184"/>
      <c r="Q694" s="184"/>
      <c r="R694" s="185"/>
      <c r="S694" s="185"/>
      <c r="U694" s="184"/>
      <c r="V694" s="184"/>
      <c r="W694" s="184"/>
      <c r="X694" s="184"/>
      <c r="Y694" s="184"/>
      <c r="Z694" s="184"/>
      <c r="AA694" s="184"/>
      <c r="AB694" s="184"/>
      <c r="AC694" s="184"/>
      <c r="AD694" s="184"/>
      <c r="AE694" s="184"/>
      <c r="AF694" s="184"/>
      <c r="AG694" s="184"/>
      <c r="AH694" s="184"/>
      <c r="AI694" s="184"/>
      <c r="AJ694" s="184"/>
      <c r="AK694" s="184"/>
      <c r="AL694" s="184"/>
      <c r="AM694" s="184"/>
      <c r="AN694" s="184"/>
      <c r="AO694" s="184"/>
      <c r="AP694" s="184"/>
      <c r="AQ694" s="184"/>
      <c r="AR694" s="184"/>
      <c r="AS694" s="186"/>
      <c r="AT694" s="187"/>
      <c r="AU694" s="187"/>
      <c r="AV694" s="187"/>
      <c r="AW694" s="224"/>
      <c r="AX694" s="184"/>
      <c r="AY694" s="184"/>
      <c r="AZ694" s="184"/>
      <c r="BA694" s="184"/>
      <c r="BB694" s="184"/>
    </row>
    <row r="695" spans="1:54" s="163" customFormat="1" ht="16.5" customHeight="1">
      <c r="A695" s="180"/>
      <c r="B695" s="181"/>
      <c r="C695" s="182"/>
      <c r="D695" s="182"/>
      <c r="E695" s="183"/>
      <c r="F695" s="183"/>
      <c r="G695" s="183"/>
      <c r="H695" s="184"/>
      <c r="I695" s="184"/>
      <c r="J695" s="184"/>
      <c r="K695" s="184"/>
      <c r="L695" s="184"/>
      <c r="M695" s="184"/>
      <c r="N695" s="184"/>
      <c r="O695" s="184"/>
      <c r="Q695" s="184"/>
      <c r="R695" s="185"/>
      <c r="S695" s="185"/>
      <c r="U695" s="184"/>
      <c r="V695" s="184"/>
      <c r="W695" s="184"/>
      <c r="X695" s="184"/>
      <c r="Y695" s="184"/>
      <c r="Z695" s="184"/>
      <c r="AA695" s="184"/>
      <c r="AB695" s="184"/>
      <c r="AC695" s="184"/>
      <c r="AD695" s="184"/>
      <c r="AE695" s="184"/>
      <c r="AF695" s="184"/>
      <c r="AG695" s="184"/>
      <c r="AH695" s="184"/>
      <c r="AI695" s="184"/>
      <c r="AJ695" s="184"/>
      <c r="AK695" s="184"/>
      <c r="AL695" s="184"/>
      <c r="AM695" s="184"/>
      <c r="AN695" s="184"/>
      <c r="AO695" s="184"/>
      <c r="AP695" s="184"/>
      <c r="AQ695" s="184"/>
      <c r="AR695" s="184"/>
      <c r="AS695" s="186"/>
      <c r="AT695" s="187"/>
      <c r="AU695" s="187"/>
      <c r="AV695" s="187"/>
      <c r="AW695" s="224"/>
      <c r="AX695" s="184"/>
      <c r="AY695" s="184"/>
      <c r="AZ695" s="184"/>
      <c r="BA695" s="184"/>
      <c r="BB695" s="184"/>
    </row>
    <row r="696" spans="1:54" s="163" customFormat="1" ht="16.5" customHeight="1">
      <c r="A696" s="180"/>
      <c r="B696" s="181"/>
      <c r="C696" s="182"/>
      <c r="D696" s="182"/>
      <c r="E696" s="183"/>
      <c r="F696" s="183"/>
      <c r="G696" s="183"/>
      <c r="H696" s="184"/>
      <c r="I696" s="184"/>
      <c r="J696" s="184"/>
      <c r="K696" s="184"/>
      <c r="L696" s="184"/>
      <c r="M696" s="184"/>
      <c r="N696" s="184"/>
      <c r="O696" s="184"/>
      <c r="Q696" s="184"/>
      <c r="R696" s="185"/>
      <c r="S696" s="185"/>
      <c r="U696" s="184"/>
      <c r="V696" s="184"/>
      <c r="W696" s="184"/>
      <c r="X696" s="184"/>
      <c r="Y696" s="184"/>
      <c r="Z696" s="184"/>
      <c r="AA696" s="184"/>
      <c r="AB696" s="184"/>
      <c r="AC696" s="184"/>
      <c r="AD696" s="184"/>
      <c r="AE696" s="184"/>
      <c r="AF696" s="184"/>
      <c r="AG696" s="184"/>
      <c r="AH696" s="184"/>
      <c r="AI696" s="184"/>
      <c r="AJ696" s="184"/>
      <c r="AK696" s="184"/>
      <c r="AL696" s="184"/>
      <c r="AM696" s="184"/>
      <c r="AN696" s="184"/>
      <c r="AO696" s="184"/>
      <c r="AP696" s="184"/>
      <c r="AQ696" s="184"/>
      <c r="AR696" s="184"/>
      <c r="AS696" s="186"/>
      <c r="AT696" s="187"/>
      <c r="AU696" s="187"/>
      <c r="AV696" s="187"/>
      <c r="AW696" s="224"/>
      <c r="AX696" s="184"/>
      <c r="AY696" s="184"/>
      <c r="AZ696" s="184"/>
      <c r="BA696" s="184"/>
      <c r="BB696" s="184"/>
    </row>
    <row r="697" spans="1:54" s="163" customFormat="1" ht="16.5" customHeight="1">
      <c r="A697" s="180"/>
      <c r="B697" s="181"/>
      <c r="C697" s="182"/>
      <c r="D697" s="182"/>
      <c r="E697" s="183"/>
      <c r="F697" s="183"/>
      <c r="G697" s="183"/>
      <c r="H697" s="184"/>
      <c r="I697" s="184"/>
      <c r="J697" s="184"/>
      <c r="K697" s="184"/>
      <c r="L697" s="184"/>
      <c r="M697" s="184"/>
      <c r="N697" s="184"/>
      <c r="O697" s="184"/>
      <c r="Q697" s="184"/>
      <c r="R697" s="185"/>
      <c r="S697" s="185"/>
      <c r="U697" s="184"/>
      <c r="V697" s="184"/>
      <c r="W697" s="184"/>
      <c r="X697" s="184"/>
      <c r="Y697" s="184"/>
      <c r="Z697" s="184"/>
      <c r="AA697" s="184"/>
      <c r="AB697" s="184"/>
      <c r="AC697" s="184"/>
      <c r="AD697" s="184"/>
      <c r="AE697" s="184"/>
      <c r="AF697" s="184"/>
      <c r="AG697" s="184"/>
      <c r="AH697" s="184"/>
      <c r="AI697" s="184"/>
      <c r="AJ697" s="184"/>
      <c r="AK697" s="184"/>
      <c r="AL697" s="184"/>
      <c r="AM697" s="184"/>
      <c r="AN697" s="184"/>
      <c r="AO697" s="184"/>
      <c r="AP697" s="184"/>
      <c r="AQ697" s="184"/>
      <c r="AR697" s="184"/>
      <c r="AS697" s="186"/>
      <c r="AT697" s="187"/>
      <c r="AU697" s="187"/>
      <c r="AV697" s="187"/>
      <c r="AW697" s="224"/>
      <c r="AX697" s="184"/>
      <c r="AY697" s="184"/>
      <c r="AZ697" s="184"/>
      <c r="BA697" s="184"/>
      <c r="BB697" s="184"/>
    </row>
    <row r="698" spans="1:54" s="163" customFormat="1" ht="16.5" customHeight="1">
      <c r="A698" s="180"/>
      <c r="B698" s="181"/>
      <c r="C698" s="182"/>
      <c r="D698" s="182"/>
      <c r="E698" s="183"/>
      <c r="F698" s="183"/>
      <c r="G698" s="183"/>
      <c r="H698" s="184"/>
      <c r="I698" s="184"/>
      <c r="J698" s="184"/>
      <c r="K698" s="184"/>
      <c r="L698" s="184"/>
      <c r="M698" s="184"/>
      <c r="N698" s="184"/>
      <c r="O698" s="184"/>
      <c r="Q698" s="184"/>
      <c r="R698" s="185"/>
      <c r="S698" s="185"/>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c r="AP698" s="184"/>
      <c r="AQ698" s="184"/>
      <c r="AR698" s="184"/>
      <c r="AS698" s="186"/>
      <c r="AT698" s="187"/>
      <c r="AU698" s="187"/>
      <c r="AV698" s="187"/>
      <c r="AW698" s="224"/>
      <c r="AX698" s="184"/>
      <c r="AY698" s="184"/>
      <c r="AZ698" s="184"/>
      <c r="BA698" s="184"/>
      <c r="BB698" s="184"/>
    </row>
    <row r="699" spans="1:54" s="163" customFormat="1" ht="16.5" customHeight="1">
      <c r="A699" s="180"/>
      <c r="B699" s="181"/>
      <c r="C699" s="182"/>
      <c r="D699" s="182"/>
      <c r="E699" s="183"/>
      <c r="F699" s="183"/>
      <c r="G699" s="183"/>
      <c r="H699" s="184"/>
      <c r="I699" s="184"/>
      <c r="J699" s="184"/>
      <c r="K699" s="184"/>
      <c r="L699" s="184"/>
      <c r="M699" s="184"/>
      <c r="N699" s="184"/>
      <c r="O699" s="184"/>
      <c r="Q699" s="184"/>
      <c r="R699" s="185"/>
      <c r="S699" s="185"/>
      <c r="U699" s="184"/>
      <c r="V699" s="184"/>
      <c r="W699" s="184"/>
      <c r="X699" s="184"/>
      <c r="Y699" s="184"/>
      <c r="Z699" s="184"/>
      <c r="AA699" s="184"/>
      <c r="AB699" s="184"/>
      <c r="AC699" s="184"/>
      <c r="AD699" s="184"/>
      <c r="AE699" s="184"/>
      <c r="AF699" s="184"/>
      <c r="AG699" s="184"/>
      <c r="AH699" s="184"/>
      <c r="AI699" s="184"/>
      <c r="AJ699" s="184"/>
      <c r="AK699" s="184"/>
      <c r="AL699" s="184"/>
      <c r="AM699" s="184"/>
      <c r="AN699" s="184"/>
      <c r="AO699" s="184"/>
      <c r="AP699" s="184"/>
      <c r="AQ699" s="184"/>
      <c r="AR699" s="184"/>
      <c r="AS699" s="186"/>
      <c r="AT699" s="187"/>
      <c r="AU699" s="187"/>
      <c r="AV699" s="187"/>
      <c r="AW699" s="224"/>
      <c r="AX699" s="184"/>
      <c r="AY699" s="184"/>
      <c r="AZ699" s="184"/>
      <c r="BA699" s="184"/>
      <c r="BB699" s="184"/>
    </row>
    <row r="700" spans="1:54" s="163" customFormat="1" ht="16.5" customHeight="1">
      <c r="A700" s="180"/>
      <c r="B700" s="181"/>
      <c r="C700" s="182"/>
      <c r="D700" s="182"/>
      <c r="E700" s="183"/>
      <c r="F700" s="183"/>
      <c r="G700" s="183"/>
      <c r="H700" s="184"/>
      <c r="I700" s="184"/>
      <c r="J700" s="184"/>
      <c r="K700" s="184"/>
      <c r="L700" s="184"/>
      <c r="M700" s="184"/>
      <c r="N700" s="184"/>
      <c r="O700" s="184"/>
      <c r="Q700" s="184"/>
      <c r="R700" s="185"/>
      <c r="S700" s="185"/>
      <c r="U700" s="184"/>
      <c r="V700" s="184"/>
      <c r="W700" s="184"/>
      <c r="X700" s="184"/>
      <c r="Y700" s="184"/>
      <c r="Z700" s="184"/>
      <c r="AA700" s="184"/>
      <c r="AB700" s="184"/>
      <c r="AC700" s="184"/>
      <c r="AD700" s="184"/>
      <c r="AE700" s="184"/>
      <c r="AF700" s="184"/>
      <c r="AG700" s="184"/>
      <c r="AH700" s="184"/>
      <c r="AI700" s="184"/>
      <c r="AJ700" s="184"/>
      <c r="AK700" s="184"/>
      <c r="AL700" s="184"/>
      <c r="AM700" s="184"/>
      <c r="AN700" s="184"/>
      <c r="AO700" s="184"/>
      <c r="AP700" s="184"/>
      <c r="AQ700" s="184"/>
      <c r="AR700" s="184"/>
      <c r="AS700" s="186"/>
      <c r="AT700" s="187"/>
      <c r="AU700" s="187"/>
      <c r="AV700" s="187"/>
      <c r="AW700" s="224"/>
      <c r="AX700" s="184"/>
      <c r="AY700" s="184"/>
      <c r="AZ700" s="184"/>
      <c r="BA700" s="184"/>
      <c r="BB700" s="184"/>
    </row>
    <row r="701" spans="1:54" s="163" customFormat="1" ht="16.5" customHeight="1">
      <c r="A701" s="180"/>
      <c r="B701" s="181"/>
      <c r="C701" s="182"/>
      <c r="D701" s="182"/>
      <c r="E701" s="183"/>
      <c r="F701" s="183"/>
      <c r="G701" s="183"/>
      <c r="H701" s="184"/>
      <c r="I701" s="184"/>
      <c r="J701" s="184"/>
      <c r="K701" s="184"/>
      <c r="L701" s="184"/>
      <c r="M701" s="184"/>
      <c r="N701" s="184"/>
      <c r="O701" s="184"/>
      <c r="Q701" s="184"/>
      <c r="R701" s="185"/>
      <c r="S701" s="185"/>
      <c r="U701" s="184"/>
      <c r="V701" s="184"/>
      <c r="W701" s="184"/>
      <c r="X701" s="184"/>
      <c r="Y701" s="184"/>
      <c r="Z701" s="184"/>
      <c r="AA701" s="184"/>
      <c r="AB701" s="184"/>
      <c r="AC701" s="184"/>
      <c r="AD701" s="184"/>
      <c r="AE701" s="184"/>
      <c r="AF701" s="184"/>
      <c r="AG701" s="184"/>
      <c r="AH701" s="184"/>
      <c r="AI701" s="184"/>
      <c r="AJ701" s="184"/>
      <c r="AK701" s="184"/>
      <c r="AL701" s="184"/>
      <c r="AM701" s="184"/>
      <c r="AN701" s="184"/>
      <c r="AO701" s="184"/>
      <c r="AP701" s="184"/>
      <c r="AQ701" s="184"/>
      <c r="AR701" s="184"/>
      <c r="AS701" s="186"/>
      <c r="AT701" s="187"/>
      <c r="AU701" s="187"/>
      <c r="AV701" s="187"/>
      <c r="AW701" s="224"/>
      <c r="AX701" s="184"/>
      <c r="AY701" s="184"/>
      <c r="AZ701" s="184"/>
      <c r="BA701" s="184"/>
      <c r="BB701" s="184"/>
    </row>
    <row r="702" spans="1:54" s="163" customFormat="1" ht="16.5" customHeight="1">
      <c r="A702" s="180"/>
      <c r="B702" s="181"/>
      <c r="C702" s="182"/>
      <c r="D702" s="182"/>
      <c r="E702" s="183"/>
      <c r="F702" s="183"/>
      <c r="G702" s="183"/>
      <c r="H702" s="184"/>
      <c r="I702" s="184"/>
      <c r="J702" s="184"/>
      <c r="K702" s="184"/>
      <c r="L702" s="184"/>
      <c r="M702" s="184"/>
      <c r="N702" s="184"/>
      <c r="O702" s="184"/>
      <c r="Q702" s="184"/>
      <c r="R702" s="185"/>
      <c r="S702" s="185"/>
      <c r="U702" s="184"/>
      <c r="V702" s="184"/>
      <c r="W702" s="184"/>
      <c r="X702" s="184"/>
      <c r="Y702" s="184"/>
      <c r="Z702" s="184"/>
      <c r="AA702" s="184"/>
      <c r="AB702" s="184"/>
      <c r="AC702" s="184"/>
      <c r="AD702" s="184"/>
      <c r="AE702" s="184"/>
      <c r="AF702" s="184"/>
      <c r="AG702" s="184"/>
      <c r="AH702" s="184"/>
      <c r="AI702" s="184"/>
      <c r="AJ702" s="184"/>
      <c r="AK702" s="184"/>
      <c r="AL702" s="184"/>
      <c r="AM702" s="184"/>
      <c r="AN702" s="184"/>
      <c r="AO702" s="184"/>
      <c r="AP702" s="184"/>
      <c r="AQ702" s="184"/>
      <c r="AR702" s="184"/>
      <c r="AS702" s="186"/>
      <c r="AT702" s="187"/>
      <c r="AU702" s="187"/>
      <c r="AV702" s="187"/>
      <c r="AW702" s="224"/>
      <c r="AX702" s="184"/>
      <c r="AY702" s="184"/>
      <c r="AZ702" s="184"/>
      <c r="BA702" s="184"/>
      <c r="BB702" s="184"/>
    </row>
    <row r="703" spans="1:54" s="163" customFormat="1" ht="16.5" customHeight="1">
      <c r="A703" s="180"/>
      <c r="B703" s="181"/>
      <c r="C703" s="182"/>
      <c r="D703" s="182"/>
      <c r="E703" s="183"/>
      <c r="F703" s="183"/>
      <c r="G703" s="183"/>
      <c r="H703" s="184"/>
      <c r="I703" s="184"/>
      <c r="J703" s="184"/>
      <c r="K703" s="184"/>
      <c r="L703" s="184"/>
      <c r="M703" s="184"/>
      <c r="N703" s="184"/>
      <c r="O703" s="184"/>
      <c r="Q703" s="184"/>
      <c r="R703" s="185"/>
      <c r="S703" s="185"/>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c r="AP703" s="184"/>
      <c r="AQ703" s="184"/>
      <c r="AR703" s="184"/>
      <c r="AS703" s="186"/>
      <c r="AT703" s="187"/>
      <c r="AU703" s="187"/>
      <c r="AV703" s="187"/>
      <c r="AW703" s="224"/>
      <c r="AX703" s="184"/>
      <c r="AY703" s="184"/>
      <c r="AZ703" s="184"/>
      <c r="BA703" s="184"/>
      <c r="BB703" s="184"/>
    </row>
    <row r="704" spans="1:54" s="163" customFormat="1" ht="16.5" customHeight="1">
      <c r="A704" s="180"/>
      <c r="B704" s="181"/>
      <c r="C704" s="182"/>
      <c r="D704" s="182"/>
      <c r="E704" s="183"/>
      <c r="F704" s="183"/>
      <c r="G704" s="183"/>
      <c r="H704" s="184"/>
      <c r="I704" s="184"/>
      <c r="J704" s="184"/>
      <c r="K704" s="184"/>
      <c r="L704" s="184"/>
      <c r="M704" s="184"/>
      <c r="N704" s="184"/>
      <c r="O704" s="184"/>
      <c r="Q704" s="184"/>
      <c r="R704" s="185"/>
      <c r="S704" s="185"/>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c r="AP704" s="184"/>
      <c r="AQ704" s="184"/>
      <c r="AR704" s="184"/>
      <c r="AS704" s="186"/>
      <c r="AT704" s="187"/>
      <c r="AU704" s="187"/>
      <c r="AV704" s="187"/>
      <c r="AW704" s="224"/>
      <c r="AX704" s="184"/>
      <c r="AY704" s="184"/>
      <c r="AZ704" s="184"/>
      <c r="BA704" s="184"/>
      <c r="BB704" s="184"/>
    </row>
    <row r="705" spans="1:54" s="163" customFormat="1" ht="16.5" customHeight="1">
      <c r="A705" s="180"/>
      <c r="B705" s="181"/>
      <c r="C705" s="182"/>
      <c r="D705" s="182"/>
      <c r="E705" s="183"/>
      <c r="F705" s="183"/>
      <c r="G705" s="183"/>
      <c r="H705" s="184"/>
      <c r="I705" s="184"/>
      <c r="J705" s="184"/>
      <c r="K705" s="184"/>
      <c r="L705" s="184"/>
      <c r="M705" s="184"/>
      <c r="N705" s="184"/>
      <c r="O705" s="184"/>
      <c r="Q705" s="184"/>
      <c r="R705" s="185"/>
      <c r="S705" s="185"/>
      <c r="U705" s="184"/>
      <c r="V705" s="184"/>
      <c r="W705" s="184"/>
      <c r="X705" s="184"/>
      <c r="Y705" s="184"/>
      <c r="Z705" s="184"/>
      <c r="AA705" s="184"/>
      <c r="AB705" s="184"/>
      <c r="AC705" s="184"/>
      <c r="AD705" s="184"/>
      <c r="AE705" s="184"/>
      <c r="AF705" s="184"/>
      <c r="AG705" s="184"/>
      <c r="AH705" s="184"/>
      <c r="AI705" s="184"/>
      <c r="AJ705" s="184"/>
      <c r="AK705" s="184"/>
      <c r="AL705" s="184"/>
      <c r="AM705" s="184"/>
      <c r="AN705" s="184"/>
      <c r="AO705" s="184"/>
      <c r="AP705" s="184"/>
      <c r="AQ705" s="184"/>
      <c r="AR705" s="184"/>
      <c r="AS705" s="186"/>
      <c r="AT705" s="187"/>
      <c r="AU705" s="187"/>
      <c r="AV705" s="187"/>
      <c r="AW705" s="224"/>
      <c r="AX705" s="184"/>
      <c r="AY705" s="184"/>
      <c r="AZ705" s="184"/>
      <c r="BA705" s="184"/>
      <c r="BB705" s="184"/>
    </row>
    <row r="706" spans="1:54" s="163" customFormat="1" ht="16.5" customHeight="1">
      <c r="A706" s="180"/>
      <c r="B706" s="181"/>
      <c r="C706" s="182"/>
      <c r="D706" s="182"/>
      <c r="E706" s="183"/>
      <c r="F706" s="183"/>
      <c r="G706" s="183"/>
      <c r="H706" s="184"/>
      <c r="I706" s="184"/>
      <c r="J706" s="184"/>
      <c r="K706" s="184"/>
      <c r="L706" s="184"/>
      <c r="M706" s="184"/>
      <c r="N706" s="184"/>
      <c r="O706" s="184"/>
      <c r="Q706" s="184"/>
      <c r="R706" s="185"/>
      <c r="S706" s="185"/>
      <c r="U706" s="184"/>
      <c r="V706" s="184"/>
      <c r="W706" s="184"/>
      <c r="X706" s="184"/>
      <c r="Y706" s="184"/>
      <c r="Z706" s="184"/>
      <c r="AA706" s="184"/>
      <c r="AB706" s="184"/>
      <c r="AC706" s="184"/>
      <c r="AD706" s="184"/>
      <c r="AE706" s="184"/>
      <c r="AF706" s="184"/>
      <c r="AG706" s="184"/>
      <c r="AH706" s="184"/>
      <c r="AI706" s="184"/>
      <c r="AJ706" s="184"/>
      <c r="AK706" s="184"/>
      <c r="AL706" s="184"/>
      <c r="AM706" s="184"/>
      <c r="AN706" s="184"/>
      <c r="AO706" s="184"/>
      <c r="AP706" s="184"/>
      <c r="AQ706" s="184"/>
      <c r="AR706" s="184"/>
      <c r="AS706" s="186"/>
      <c r="AT706" s="187"/>
      <c r="AU706" s="187"/>
      <c r="AV706" s="187"/>
      <c r="AW706" s="224"/>
      <c r="AX706" s="184"/>
      <c r="AY706" s="184"/>
      <c r="AZ706" s="184"/>
      <c r="BA706" s="184"/>
      <c r="BB706" s="184"/>
    </row>
    <row r="707" spans="1:54" s="163" customFormat="1" ht="16.5" customHeight="1">
      <c r="A707" s="180"/>
      <c r="B707" s="181"/>
      <c r="C707" s="182"/>
      <c r="D707" s="182"/>
      <c r="E707" s="183"/>
      <c r="F707" s="183"/>
      <c r="G707" s="183"/>
      <c r="H707" s="184"/>
      <c r="I707" s="184"/>
      <c r="J707" s="184"/>
      <c r="K707" s="184"/>
      <c r="L707" s="184"/>
      <c r="M707" s="184"/>
      <c r="N707" s="184"/>
      <c r="O707" s="184"/>
      <c r="Q707" s="184"/>
      <c r="R707" s="185"/>
      <c r="S707" s="185"/>
      <c r="U707" s="184"/>
      <c r="V707" s="184"/>
      <c r="W707" s="184"/>
      <c r="X707" s="184"/>
      <c r="Y707" s="184"/>
      <c r="Z707" s="184"/>
      <c r="AA707" s="184"/>
      <c r="AB707" s="184"/>
      <c r="AC707" s="184"/>
      <c r="AD707" s="184"/>
      <c r="AE707" s="184"/>
      <c r="AF707" s="184"/>
      <c r="AG707" s="184"/>
      <c r="AH707" s="184"/>
      <c r="AI707" s="184"/>
      <c r="AJ707" s="184"/>
      <c r="AK707" s="184"/>
      <c r="AL707" s="184"/>
      <c r="AM707" s="184"/>
      <c r="AN707" s="184"/>
      <c r="AO707" s="184"/>
      <c r="AP707" s="184"/>
      <c r="AQ707" s="184"/>
      <c r="AR707" s="184"/>
      <c r="AS707" s="186"/>
      <c r="AT707" s="187"/>
      <c r="AU707" s="187"/>
      <c r="AV707" s="187"/>
      <c r="AW707" s="224"/>
      <c r="AX707" s="184"/>
      <c r="AY707" s="184"/>
      <c r="AZ707" s="184"/>
      <c r="BA707" s="184"/>
      <c r="BB707" s="184"/>
    </row>
    <row r="708" spans="1:54" s="163" customFormat="1" ht="16.5" customHeight="1">
      <c r="A708" s="180"/>
      <c r="B708" s="181"/>
      <c r="C708" s="182"/>
      <c r="D708" s="182"/>
      <c r="E708" s="183"/>
      <c r="F708" s="183"/>
      <c r="G708" s="183"/>
      <c r="H708" s="184"/>
      <c r="I708" s="184"/>
      <c r="J708" s="184"/>
      <c r="K708" s="184"/>
      <c r="L708" s="184"/>
      <c r="M708" s="184"/>
      <c r="N708" s="184"/>
      <c r="O708" s="184"/>
      <c r="Q708" s="184"/>
      <c r="R708" s="185"/>
      <c r="S708" s="185"/>
      <c r="U708" s="184"/>
      <c r="V708" s="184"/>
      <c r="W708" s="184"/>
      <c r="X708" s="184"/>
      <c r="Y708" s="184"/>
      <c r="Z708" s="184"/>
      <c r="AA708" s="184"/>
      <c r="AB708" s="184"/>
      <c r="AC708" s="184"/>
      <c r="AD708" s="184"/>
      <c r="AE708" s="184"/>
      <c r="AF708" s="184"/>
      <c r="AG708" s="184"/>
      <c r="AH708" s="184"/>
      <c r="AI708" s="184"/>
      <c r="AJ708" s="184"/>
      <c r="AK708" s="184"/>
      <c r="AL708" s="184"/>
      <c r="AM708" s="184"/>
      <c r="AN708" s="184"/>
      <c r="AO708" s="184"/>
      <c r="AP708" s="184"/>
      <c r="AQ708" s="184"/>
      <c r="AR708" s="184"/>
      <c r="AS708" s="186"/>
      <c r="AT708" s="187"/>
      <c r="AU708" s="187"/>
      <c r="AV708" s="187"/>
      <c r="AW708" s="224"/>
      <c r="AX708" s="184"/>
      <c r="AY708" s="184"/>
      <c r="AZ708" s="184"/>
      <c r="BA708" s="184"/>
      <c r="BB708" s="184"/>
    </row>
    <row r="709" spans="1:54" s="163" customFormat="1" ht="16.5" customHeight="1">
      <c r="A709" s="180"/>
      <c r="B709" s="181"/>
      <c r="C709" s="182"/>
      <c r="D709" s="182"/>
      <c r="E709" s="183"/>
      <c r="F709" s="183"/>
      <c r="G709" s="183"/>
      <c r="H709" s="184"/>
      <c r="I709" s="184"/>
      <c r="J709" s="184"/>
      <c r="K709" s="184"/>
      <c r="L709" s="184"/>
      <c r="M709" s="184"/>
      <c r="N709" s="184"/>
      <c r="O709" s="184"/>
      <c r="Q709" s="184"/>
      <c r="R709" s="185"/>
      <c r="S709" s="185"/>
      <c r="U709" s="184"/>
      <c r="V709" s="184"/>
      <c r="W709" s="184"/>
      <c r="X709" s="184"/>
      <c r="Y709" s="184"/>
      <c r="Z709" s="184"/>
      <c r="AA709" s="184"/>
      <c r="AB709" s="184"/>
      <c r="AC709" s="184"/>
      <c r="AD709" s="184"/>
      <c r="AE709" s="184"/>
      <c r="AF709" s="184"/>
      <c r="AG709" s="184"/>
      <c r="AH709" s="184"/>
      <c r="AI709" s="184"/>
      <c r="AJ709" s="184"/>
      <c r="AK709" s="184"/>
      <c r="AL709" s="184"/>
      <c r="AM709" s="184"/>
      <c r="AN709" s="184"/>
      <c r="AO709" s="184"/>
      <c r="AP709" s="184"/>
      <c r="AQ709" s="184"/>
      <c r="AR709" s="184"/>
      <c r="AS709" s="186"/>
      <c r="AT709" s="187"/>
      <c r="AU709" s="187"/>
      <c r="AV709" s="187"/>
      <c r="AW709" s="224"/>
      <c r="AX709" s="184"/>
      <c r="AY709" s="184"/>
      <c r="AZ709" s="184"/>
      <c r="BA709" s="184"/>
      <c r="BB709" s="184"/>
    </row>
    <row r="710" spans="1:54" s="163" customFormat="1" ht="16.5" customHeight="1">
      <c r="A710" s="180"/>
      <c r="B710" s="181"/>
      <c r="C710" s="182"/>
      <c r="D710" s="182"/>
      <c r="E710" s="183"/>
      <c r="F710" s="183"/>
      <c r="G710" s="183"/>
      <c r="H710" s="184"/>
      <c r="I710" s="184"/>
      <c r="J710" s="184"/>
      <c r="K710" s="184"/>
      <c r="L710" s="184"/>
      <c r="M710" s="184"/>
      <c r="N710" s="184"/>
      <c r="O710" s="184"/>
      <c r="Q710" s="184"/>
      <c r="R710" s="185"/>
      <c r="S710" s="185"/>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c r="AP710" s="184"/>
      <c r="AQ710" s="184"/>
      <c r="AR710" s="184"/>
      <c r="AS710" s="186"/>
      <c r="AT710" s="187"/>
      <c r="AU710" s="187"/>
      <c r="AV710" s="187"/>
      <c r="AW710" s="224"/>
      <c r="AX710" s="184"/>
      <c r="AY710" s="184"/>
      <c r="AZ710" s="184"/>
      <c r="BA710" s="184"/>
      <c r="BB710" s="184"/>
    </row>
    <row r="711" spans="1:54" s="163" customFormat="1" ht="16.5" customHeight="1">
      <c r="A711" s="180"/>
      <c r="B711" s="181"/>
      <c r="C711" s="182"/>
      <c r="D711" s="182"/>
      <c r="E711" s="183"/>
      <c r="F711" s="183"/>
      <c r="G711" s="183"/>
      <c r="H711" s="184"/>
      <c r="I711" s="184"/>
      <c r="J711" s="184"/>
      <c r="K711" s="184"/>
      <c r="L711" s="184"/>
      <c r="M711" s="184"/>
      <c r="N711" s="184"/>
      <c r="O711" s="184"/>
      <c r="Q711" s="184"/>
      <c r="R711" s="185"/>
      <c r="S711" s="185"/>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6"/>
      <c r="AT711" s="187"/>
      <c r="AU711" s="187"/>
      <c r="AV711" s="187"/>
      <c r="AW711" s="224"/>
      <c r="AX711" s="184"/>
      <c r="AY711" s="184"/>
      <c r="AZ711" s="184"/>
      <c r="BA711" s="184"/>
      <c r="BB711" s="184"/>
    </row>
    <row r="712" spans="1:54" s="163" customFormat="1" ht="16.5" customHeight="1">
      <c r="A712" s="180"/>
      <c r="B712" s="181"/>
      <c r="C712" s="182"/>
      <c r="D712" s="182"/>
      <c r="E712" s="183"/>
      <c r="F712" s="183"/>
      <c r="G712" s="183"/>
      <c r="H712" s="184"/>
      <c r="I712" s="184"/>
      <c r="J712" s="184"/>
      <c r="K712" s="184"/>
      <c r="L712" s="184"/>
      <c r="M712" s="184"/>
      <c r="N712" s="184"/>
      <c r="O712" s="184"/>
      <c r="Q712" s="184"/>
      <c r="R712" s="185"/>
      <c r="S712" s="185"/>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6"/>
      <c r="AT712" s="187"/>
      <c r="AU712" s="187"/>
      <c r="AV712" s="187"/>
      <c r="AW712" s="224"/>
      <c r="AX712" s="184"/>
      <c r="AY712" s="184"/>
      <c r="AZ712" s="184"/>
      <c r="BA712" s="184"/>
      <c r="BB712" s="184"/>
    </row>
    <row r="713" spans="1:54" s="163" customFormat="1" ht="16.5" customHeight="1">
      <c r="A713" s="180"/>
      <c r="B713" s="181"/>
      <c r="C713" s="182"/>
      <c r="D713" s="182"/>
      <c r="E713" s="183"/>
      <c r="F713" s="183"/>
      <c r="G713" s="183"/>
      <c r="H713" s="184"/>
      <c r="I713" s="184"/>
      <c r="J713" s="184"/>
      <c r="K713" s="184"/>
      <c r="L713" s="184"/>
      <c r="M713" s="184"/>
      <c r="N713" s="184"/>
      <c r="O713" s="184"/>
      <c r="Q713" s="184"/>
      <c r="R713" s="185"/>
      <c r="S713" s="185"/>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6"/>
      <c r="AT713" s="187"/>
      <c r="AU713" s="187"/>
      <c r="AV713" s="187"/>
      <c r="AW713" s="224"/>
      <c r="AX713" s="184"/>
      <c r="AY713" s="184"/>
      <c r="AZ713" s="184"/>
      <c r="BA713" s="184"/>
      <c r="BB713" s="184"/>
    </row>
    <row r="714" spans="1:54" s="163" customFormat="1" ht="16.5" customHeight="1">
      <c r="A714" s="180"/>
      <c r="B714" s="181"/>
      <c r="C714" s="182"/>
      <c r="D714" s="182"/>
      <c r="E714" s="183"/>
      <c r="F714" s="183"/>
      <c r="G714" s="183"/>
      <c r="H714" s="184"/>
      <c r="I714" s="184"/>
      <c r="J714" s="184"/>
      <c r="K714" s="184"/>
      <c r="L714" s="184"/>
      <c r="M714" s="184"/>
      <c r="N714" s="184"/>
      <c r="O714" s="184"/>
      <c r="Q714" s="184"/>
      <c r="R714" s="185"/>
      <c r="S714" s="185"/>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6"/>
      <c r="AT714" s="187"/>
      <c r="AU714" s="187"/>
      <c r="AV714" s="187"/>
      <c r="AW714" s="224"/>
      <c r="AX714" s="184"/>
      <c r="AY714" s="184"/>
      <c r="AZ714" s="184"/>
      <c r="BA714" s="184"/>
      <c r="BB714" s="184"/>
    </row>
    <row r="715" spans="1:54" s="163" customFormat="1" ht="16.5" customHeight="1">
      <c r="A715" s="180"/>
      <c r="B715" s="181"/>
      <c r="C715" s="182"/>
      <c r="D715" s="182"/>
      <c r="E715" s="183"/>
      <c r="F715" s="183"/>
      <c r="G715" s="183"/>
      <c r="H715" s="184"/>
      <c r="I715" s="184"/>
      <c r="J715" s="184"/>
      <c r="K715" s="184"/>
      <c r="L715" s="184"/>
      <c r="M715" s="184"/>
      <c r="N715" s="184"/>
      <c r="O715" s="184"/>
      <c r="Q715" s="184"/>
      <c r="R715" s="185"/>
      <c r="S715" s="185"/>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c r="AP715" s="184"/>
      <c r="AQ715" s="184"/>
      <c r="AR715" s="184"/>
      <c r="AS715" s="186"/>
      <c r="AT715" s="187"/>
      <c r="AU715" s="187"/>
      <c r="AV715" s="187"/>
      <c r="AW715" s="224"/>
      <c r="AX715" s="184"/>
      <c r="AY715" s="184"/>
      <c r="AZ715" s="184"/>
      <c r="BA715" s="184"/>
      <c r="BB715" s="184"/>
    </row>
    <row r="716" spans="1:54" s="163" customFormat="1" ht="16.5" customHeight="1">
      <c r="A716" s="180"/>
      <c r="B716" s="181"/>
      <c r="C716" s="182"/>
      <c r="D716" s="182"/>
      <c r="E716" s="183"/>
      <c r="F716" s="183"/>
      <c r="G716" s="183"/>
      <c r="H716" s="184"/>
      <c r="I716" s="184"/>
      <c r="J716" s="184"/>
      <c r="K716" s="184"/>
      <c r="L716" s="184"/>
      <c r="M716" s="184"/>
      <c r="N716" s="184"/>
      <c r="O716" s="184"/>
      <c r="Q716" s="184"/>
      <c r="R716" s="185"/>
      <c r="S716" s="185"/>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6"/>
      <c r="AT716" s="187"/>
      <c r="AU716" s="187"/>
      <c r="AV716" s="187"/>
      <c r="AW716" s="224"/>
      <c r="AX716" s="184"/>
      <c r="AY716" s="184"/>
      <c r="AZ716" s="184"/>
      <c r="BA716" s="184"/>
      <c r="BB716" s="184"/>
    </row>
    <row r="717" spans="1:54" s="163" customFormat="1" ht="16.5" customHeight="1">
      <c r="A717" s="180"/>
      <c r="B717" s="181"/>
      <c r="C717" s="182"/>
      <c r="D717" s="182"/>
      <c r="E717" s="183"/>
      <c r="F717" s="183"/>
      <c r="G717" s="183"/>
      <c r="H717" s="184"/>
      <c r="I717" s="184"/>
      <c r="J717" s="184"/>
      <c r="K717" s="184"/>
      <c r="L717" s="184"/>
      <c r="M717" s="184"/>
      <c r="N717" s="184"/>
      <c r="O717" s="184"/>
      <c r="Q717" s="184"/>
      <c r="R717" s="185"/>
      <c r="S717" s="185"/>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6"/>
      <c r="AT717" s="187"/>
      <c r="AU717" s="187"/>
      <c r="AV717" s="187"/>
      <c r="AW717" s="224"/>
      <c r="AX717" s="184"/>
      <c r="AY717" s="184"/>
      <c r="AZ717" s="184"/>
      <c r="BA717" s="184"/>
      <c r="BB717" s="184"/>
    </row>
    <row r="718" spans="1:54" s="163" customFormat="1" ht="16.5" customHeight="1">
      <c r="A718" s="180"/>
      <c r="B718" s="181"/>
      <c r="C718" s="182"/>
      <c r="D718" s="182"/>
      <c r="E718" s="183"/>
      <c r="F718" s="183"/>
      <c r="G718" s="183"/>
      <c r="H718" s="184"/>
      <c r="I718" s="184"/>
      <c r="J718" s="184"/>
      <c r="K718" s="184"/>
      <c r="L718" s="184"/>
      <c r="M718" s="184"/>
      <c r="N718" s="184"/>
      <c r="O718" s="184"/>
      <c r="Q718" s="184"/>
      <c r="R718" s="185"/>
      <c r="S718" s="185"/>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6"/>
      <c r="AT718" s="187"/>
      <c r="AU718" s="187"/>
      <c r="AV718" s="187"/>
      <c r="AW718" s="224"/>
      <c r="AX718" s="184"/>
      <c r="AY718" s="184"/>
      <c r="AZ718" s="184"/>
      <c r="BA718" s="184"/>
      <c r="BB718" s="184"/>
    </row>
    <row r="719" spans="1:54" s="163" customFormat="1" ht="16.5" customHeight="1">
      <c r="A719" s="180"/>
      <c r="B719" s="181"/>
      <c r="C719" s="182"/>
      <c r="D719" s="182"/>
      <c r="E719" s="183"/>
      <c r="F719" s="183"/>
      <c r="G719" s="183"/>
      <c r="H719" s="184"/>
      <c r="I719" s="184"/>
      <c r="J719" s="184"/>
      <c r="K719" s="184"/>
      <c r="L719" s="184"/>
      <c r="M719" s="184"/>
      <c r="N719" s="184"/>
      <c r="O719" s="184"/>
      <c r="Q719" s="184"/>
      <c r="R719" s="185"/>
      <c r="S719" s="185"/>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6"/>
      <c r="AT719" s="187"/>
      <c r="AU719" s="187"/>
      <c r="AV719" s="187"/>
      <c r="AW719" s="224"/>
      <c r="AX719" s="184"/>
      <c r="AY719" s="184"/>
      <c r="AZ719" s="184"/>
      <c r="BA719" s="184"/>
      <c r="BB719" s="184"/>
    </row>
    <row r="720" spans="1:54" s="163" customFormat="1" ht="16.5" customHeight="1">
      <c r="A720" s="180"/>
      <c r="B720" s="181"/>
      <c r="C720" s="182"/>
      <c r="D720" s="182"/>
      <c r="E720" s="183"/>
      <c r="F720" s="183"/>
      <c r="G720" s="183"/>
      <c r="H720" s="184"/>
      <c r="I720" s="184"/>
      <c r="J720" s="184"/>
      <c r="K720" s="184"/>
      <c r="L720" s="184"/>
      <c r="M720" s="184"/>
      <c r="N720" s="184"/>
      <c r="O720" s="184"/>
      <c r="Q720" s="184"/>
      <c r="R720" s="185"/>
      <c r="S720" s="185"/>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6"/>
      <c r="AT720" s="187"/>
      <c r="AU720" s="187"/>
      <c r="AV720" s="187"/>
      <c r="AW720" s="224"/>
      <c r="AX720" s="184"/>
      <c r="AY720" s="184"/>
      <c r="AZ720" s="184"/>
      <c r="BA720" s="184"/>
      <c r="BB720" s="184"/>
    </row>
    <row r="721" spans="1:54" s="163" customFormat="1" ht="16.5" customHeight="1">
      <c r="A721" s="180"/>
      <c r="B721" s="181"/>
      <c r="C721" s="182"/>
      <c r="D721" s="182"/>
      <c r="E721" s="183"/>
      <c r="F721" s="183"/>
      <c r="G721" s="183"/>
      <c r="H721" s="184"/>
      <c r="I721" s="184"/>
      <c r="J721" s="184"/>
      <c r="K721" s="184"/>
      <c r="L721" s="184"/>
      <c r="M721" s="184"/>
      <c r="N721" s="184"/>
      <c r="O721" s="184"/>
      <c r="Q721" s="184"/>
      <c r="R721" s="185"/>
      <c r="S721" s="185"/>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c r="AP721" s="184"/>
      <c r="AQ721" s="184"/>
      <c r="AR721" s="184"/>
      <c r="AS721" s="186"/>
      <c r="AT721" s="187"/>
      <c r="AU721" s="187"/>
      <c r="AV721" s="187"/>
      <c r="AW721" s="224"/>
      <c r="AX721" s="184"/>
      <c r="AY721" s="184"/>
      <c r="AZ721" s="184"/>
      <c r="BA721" s="184"/>
      <c r="BB721" s="184"/>
    </row>
    <row r="722" spans="1:54" s="163" customFormat="1" ht="16.5" customHeight="1">
      <c r="A722" s="180"/>
      <c r="B722" s="181"/>
      <c r="C722" s="182"/>
      <c r="D722" s="182"/>
      <c r="E722" s="183"/>
      <c r="F722" s="183"/>
      <c r="G722" s="183"/>
      <c r="H722" s="184"/>
      <c r="I722" s="184"/>
      <c r="J722" s="184"/>
      <c r="K722" s="184"/>
      <c r="L722" s="184"/>
      <c r="M722" s="184"/>
      <c r="N722" s="184"/>
      <c r="O722" s="184"/>
      <c r="Q722" s="184"/>
      <c r="R722" s="185"/>
      <c r="S722" s="185"/>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6"/>
      <c r="AT722" s="187"/>
      <c r="AU722" s="187"/>
      <c r="AV722" s="187"/>
      <c r="AW722" s="224"/>
      <c r="AX722" s="184"/>
      <c r="AY722" s="184"/>
      <c r="AZ722" s="184"/>
      <c r="BA722" s="184"/>
      <c r="BB722" s="184"/>
    </row>
    <row r="723" spans="1:54" s="163" customFormat="1" ht="16.5" customHeight="1">
      <c r="A723" s="180"/>
      <c r="B723" s="181"/>
      <c r="C723" s="182"/>
      <c r="D723" s="182"/>
      <c r="E723" s="183"/>
      <c r="F723" s="183"/>
      <c r="G723" s="183"/>
      <c r="H723" s="184"/>
      <c r="I723" s="184"/>
      <c r="J723" s="184"/>
      <c r="K723" s="184"/>
      <c r="L723" s="184"/>
      <c r="M723" s="184"/>
      <c r="N723" s="184"/>
      <c r="O723" s="184"/>
      <c r="Q723" s="184"/>
      <c r="R723" s="185"/>
      <c r="S723" s="185"/>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6"/>
      <c r="AT723" s="187"/>
      <c r="AU723" s="187"/>
      <c r="AV723" s="187"/>
      <c r="AW723" s="224"/>
      <c r="AX723" s="184"/>
      <c r="AY723" s="184"/>
      <c r="AZ723" s="184"/>
      <c r="BA723" s="184"/>
      <c r="BB723" s="184"/>
    </row>
    <row r="724" spans="1:54" s="163" customFormat="1" ht="16.5" customHeight="1">
      <c r="A724" s="180"/>
      <c r="B724" s="181"/>
      <c r="C724" s="182"/>
      <c r="D724" s="182"/>
      <c r="E724" s="183"/>
      <c r="F724" s="183"/>
      <c r="G724" s="183"/>
      <c r="H724" s="184"/>
      <c r="I724" s="184"/>
      <c r="J724" s="184"/>
      <c r="K724" s="184"/>
      <c r="L724" s="184"/>
      <c r="M724" s="184"/>
      <c r="N724" s="184"/>
      <c r="O724" s="184"/>
      <c r="Q724" s="184"/>
      <c r="R724" s="185"/>
      <c r="S724" s="185"/>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6"/>
      <c r="AT724" s="187"/>
      <c r="AU724" s="187"/>
      <c r="AV724" s="187"/>
      <c r="AW724" s="224"/>
      <c r="AX724" s="184"/>
      <c r="AY724" s="184"/>
      <c r="AZ724" s="184"/>
      <c r="BA724" s="184"/>
      <c r="BB724" s="184"/>
    </row>
    <row r="725" spans="1:54" s="163" customFormat="1" ht="16.5" customHeight="1">
      <c r="A725" s="180"/>
      <c r="B725" s="181"/>
      <c r="C725" s="182"/>
      <c r="D725" s="182"/>
      <c r="E725" s="183"/>
      <c r="F725" s="183"/>
      <c r="G725" s="183"/>
      <c r="H725" s="184"/>
      <c r="I725" s="184"/>
      <c r="J725" s="184"/>
      <c r="K725" s="184"/>
      <c r="L725" s="184"/>
      <c r="M725" s="184"/>
      <c r="N725" s="184"/>
      <c r="O725" s="184"/>
      <c r="Q725" s="184"/>
      <c r="R725" s="185"/>
      <c r="S725" s="185"/>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6"/>
      <c r="AT725" s="187"/>
      <c r="AU725" s="187"/>
      <c r="AV725" s="187"/>
      <c r="AW725" s="224"/>
      <c r="AX725" s="184"/>
      <c r="AY725" s="184"/>
      <c r="AZ725" s="184"/>
      <c r="BA725" s="184"/>
      <c r="BB725" s="184"/>
    </row>
    <row r="726" spans="1:54" s="163" customFormat="1" ht="16.5" customHeight="1">
      <c r="A726" s="180"/>
      <c r="B726" s="181"/>
      <c r="C726" s="182"/>
      <c r="D726" s="182"/>
      <c r="E726" s="183"/>
      <c r="F726" s="183"/>
      <c r="G726" s="183"/>
      <c r="H726" s="184"/>
      <c r="I726" s="184"/>
      <c r="J726" s="184"/>
      <c r="K726" s="184"/>
      <c r="L726" s="184"/>
      <c r="M726" s="184"/>
      <c r="N726" s="184"/>
      <c r="O726" s="184"/>
      <c r="Q726" s="184"/>
      <c r="R726" s="185"/>
      <c r="S726" s="185"/>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6"/>
      <c r="AT726" s="187"/>
      <c r="AU726" s="187"/>
      <c r="AV726" s="187"/>
      <c r="AW726" s="224"/>
      <c r="AX726" s="184"/>
      <c r="AY726" s="184"/>
      <c r="AZ726" s="184"/>
      <c r="BA726" s="184"/>
      <c r="BB726" s="184"/>
    </row>
    <row r="727" spans="1:54" s="163" customFormat="1" ht="16.5" customHeight="1">
      <c r="A727" s="180"/>
      <c r="B727" s="181"/>
      <c r="C727" s="182"/>
      <c r="D727" s="182"/>
      <c r="E727" s="183"/>
      <c r="F727" s="183"/>
      <c r="G727" s="183"/>
      <c r="H727" s="184"/>
      <c r="I727" s="184"/>
      <c r="J727" s="184"/>
      <c r="K727" s="184"/>
      <c r="L727" s="184"/>
      <c r="M727" s="184"/>
      <c r="N727" s="184"/>
      <c r="O727" s="184"/>
      <c r="Q727" s="184"/>
      <c r="R727" s="185"/>
      <c r="S727" s="185"/>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6"/>
      <c r="AT727" s="187"/>
      <c r="AU727" s="187"/>
      <c r="AV727" s="187"/>
      <c r="AW727" s="224"/>
      <c r="AX727" s="184"/>
      <c r="AY727" s="184"/>
      <c r="AZ727" s="184"/>
      <c r="BA727" s="184"/>
      <c r="BB727" s="184"/>
    </row>
    <row r="728" spans="1:54" s="163" customFormat="1" ht="16.5" customHeight="1">
      <c r="A728" s="180"/>
      <c r="B728" s="181"/>
      <c r="C728" s="182"/>
      <c r="D728" s="182"/>
      <c r="E728" s="183"/>
      <c r="F728" s="183"/>
      <c r="G728" s="183"/>
      <c r="H728" s="184"/>
      <c r="I728" s="184"/>
      <c r="J728" s="184"/>
      <c r="K728" s="184"/>
      <c r="L728" s="184"/>
      <c r="M728" s="184"/>
      <c r="N728" s="184"/>
      <c r="O728" s="184"/>
      <c r="Q728" s="184"/>
      <c r="R728" s="185"/>
      <c r="S728" s="185"/>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6"/>
      <c r="AT728" s="187"/>
      <c r="AU728" s="187"/>
      <c r="AV728" s="187"/>
      <c r="AW728" s="224"/>
      <c r="AX728" s="184"/>
      <c r="AY728" s="184"/>
      <c r="AZ728" s="184"/>
      <c r="BA728" s="184"/>
      <c r="BB728" s="184"/>
    </row>
    <row r="729" spans="1:54" s="163" customFormat="1" ht="16.5" customHeight="1">
      <c r="A729" s="180"/>
      <c r="B729" s="181"/>
      <c r="C729" s="182"/>
      <c r="D729" s="182"/>
      <c r="E729" s="183"/>
      <c r="F729" s="183"/>
      <c r="G729" s="183"/>
      <c r="H729" s="184"/>
      <c r="I729" s="184"/>
      <c r="J729" s="184"/>
      <c r="K729" s="184"/>
      <c r="L729" s="184"/>
      <c r="M729" s="184"/>
      <c r="N729" s="184"/>
      <c r="O729" s="184"/>
      <c r="Q729" s="184"/>
      <c r="R729" s="185"/>
      <c r="S729" s="185"/>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6"/>
      <c r="AT729" s="187"/>
      <c r="AU729" s="187"/>
      <c r="AV729" s="187"/>
      <c r="AW729" s="224"/>
      <c r="AX729" s="184"/>
      <c r="AY729" s="184"/>
      <c r="AZ729" s="184"/>
      <c r="BA729" s="184"/>
      <c r="BB729" s="184"/>
    </row>
    <row r="730" spans="1:54" s="163" customFormat="1" ht="16.5" customHeight="1">
      <c r="A730" s="180"/>
      <c r="B730" s="181"/>
      <c r="C730" s="182"/>
      <c r="D730" s="182"/>
      <c r="E730" s="183"/>
      <c r="F730" s="183"/>
      <c r="G730" s="183"/>
      <c r="H730" s="184"/>
      <c r="I730" s="184"/>
      <c r="J730" s="184"/>
      <c r="K730" s="184"/>
      <c r="L730" s="184"/>
      <c r="M730" s="184"/>
      <c r="N730" s="184"/>
      <c r="O730" s="184"/>
      <c r="Q730" s="184"/>
      <c r="R730" s="185"/>
      <c r="S730" s="185"/>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6"/>
      <c r="AT730" s="187"/>
      <c r="AU730" s="187"/>
      <c r="AV730" s="187"/>
      <c r="AW730" s="224"/>
      <c r="AX730" s="184"/>
      <c r="AY730" s="184"/>
      <c r="AZ730" s="184"/>
      <c r="BA730" s="184"/>
      <c r="BB730" s="184"/>
    </row>
    <row r="731" spans="1:54" s="163" customFormat="1" ht="16.5" customHeight="1">
      <c r="A731" s="180"/>
      <c r="B731" s="181"/>
      <c r="C731" s="182"/>
      <c r="D731" s="182"/>
      <c r="E731" s="183"/>
      <c r="F731" s="183"/>
      <c r="G731" s="183"/>
      <c r="H731" s="184"/>
      <c r="I731" s="184"/>
      <c r="J731" s="184"/>
      <c r="K731" s="184"/>
      <c r="L731" s="184"/>
      <c r="M731" s="184"/>
      <c r="N731" s="184"/>
      <c r="O731" s="184"/>
      <c r="Q731" s="184"/>
      <c r="R731" s="185"/>
      <c r="S731" s="185"/>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6"/>
      <c r="AT731" s="187"/>
      <c r="AU731" s="187"/>
      <c r="AV731" s="187"/>
      <c r="AW731" s="224"/>
      <c r="AX731" s="184"/>
      <c r="AY731" s="184"/>
      <c r="AZ731" s="184"/>
      <c r="BA731" s="184"/>
      <c r="BB731" s="184"/>
    </row>
    <row r="732" spans="1:54" s="163" customFormat="1" ht="16.5" customHeight="1">
      <c r="A732" s="180"/>
      <c r="B732" s="181"/>
      <c r="C732" s="182"/>
      <c r="D732" s="182"/>
      <c r="E732" s="183"/>
      <c r="F732" s="183"/>
      <c r="G732" s="183"/>
      <c r="H732" s="184"/>
      <c r="I732" s="184"/>
      <c r="J732" s="184"/>
      <c r="K732" s="184"/>
      <c r="L732" s="184"/>
      <c r="M732" s="184"/>
      <c r="N732" s="184"/>
      <c r="O732" s="184"/>
      <c r="Q732" s="184"/>
      <c r="R732" s="185"/>
      <c r="S732" s="185"/>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6"/>
      <c r="AT732" s="187"/>
      <c r="AU732" s="187"/>
      <c r="AV732" s="187"/>
      <c r="AW732" s="224"/>
      <c r="AX732" s="184"/>
      <c r="AY732" s="184"/>
      <c r="AZ732" s="184"/>
      <c r="BA732" s="184"/>
      <c r="BB732" s="184"/>
    </row>
    <row r="733" spans="1:54" s="163" customFormat="1" ht="16.5" customHeight="1">
      <c r="A733" s="180"/>
      <c r="B733" s="181"/>
      <c r="C733" s="182"/>
      <c r="D733" s="182"/>
      <c r="E733" s="183"/>
      <c r="F733" s="183"/>
      <c r="G733" s="183"/>
      <c r="H733" s="184"/>
      <c r="I733" s="184"/>
      <c r="J733" s="184"/>
      <c r="K733" s="184"/>
      <c r="L733" s="184"/>
      <c r="M733" s="184"/>
      <c r="N733" s="184"/>
      <c r="O733" s="184"/>
      <c r="Q733" s="184"/>
      <c r="R733" s="185"/>
      <c r="S733" s="185"/>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6"/>
      <c r="AT733" s="187"/>
      <c r="AU733" s="187"/>
      <c r="AV733" s="187"/>
      <c r="AW733" s="224"/>
      <c r="AX733" s="184"/>
      <c r="AY733" s="184"/>
      <c r="AZ733" s="184"/>
      <c r="BA733" s="184"/>
      <c r="BB733" s="184"/>
    </row>
    <row r="734" spans="1:54" s="163" customFormat="1" ht="16.5" customHeight="1">
      <c r="A734" s="180"/>
      <c r="B734" s="181"/>
      <c r="C734" s="182"/>
      <c r="D734" s="182"/>
      <c r="E734" s="183"/>
      <c r="F734" s="183"/>
      <c r="G734" s="183"/>
      <c r="H734" s="184"/>
      <c r="I734" s="184"/>
      <c r="J734" s="184"/>
      <c r="K734" s="184"/>
      <c r="L734" s="184"/>
      <c r="M734" s="184"/>
      <c r="N734" s="184"/>
      <c r="O734" s="184"/>
      <c r="Q734" s="184"/>
      <c r="R734" s="185"/>
      <c r="S734" s="185"/>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6"/>
      <c r="AT734" s="187"/>
      <c r="AU734" s="187"/>
      <c r="AV734" s="187"/>
      <c r="AW734" s="224"/>
      <c r="AX734" s="184"/>
      <c r="AY734" s="184"/>
      <c r="AZ734" s="184"/>
      <c r="BA734" s="184"/>
      <c r="BB734" s="184"/>
    </row>
    <row r="735" spans="1:54" s="163" customFormat="1" ht="16.5" customHeight="1">
      <c r="A735" s="180"/>
      <c r="B735" s="181"/>
      <c r="C735" s="182"/>
      <c r="D735" s="182"/>
      <c r="E735" s="183"/>
      <c r="F735" s="183"/>
      <c r="G735" s="183"/>
      <c r="H735" s="184"/>
      <c r="I735" s="184"/>
      <c r="J735" s="184"/>
      <c r="K735" s="184"/>
      <c r="L735" s="184"/>
      <c r="M735" s="184"/>
      <c r="N735" s="184"/>
      <c r="O735" s="184"/>
      <c r="Q735" s="184"/>
      <c r="R735" s="185"/>
      <c r="S735" s="185"/>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6"/>
      <c r="AT735" s="187"/>
      <c r="AU735" s="187"/>
      <c r="AV735" s="187"/>
      <c r="AW735" s="224"/>
      <c r="AX735" s="184"/>
      <c r="AY735" s="184"/>
      <c r="AZ735" s="184"/>
      <c r="BA735" s="184"/>
      <c r="BB735" s="184"/>
    </row>
    <row r="736" spans="1:54" s="163" customFormat="1" ht="16.5" customHeight="1">
      <c r="A736" s="180"/>
      <c r="B736" s="181"/>
      <c r="C736" s="182"/>
      <c r="D736" s="182"/>
      <c r="E736" s="183"/>
      <c r="F736" s="183"/>
      <c r="G736" s="183"/>
      <c r="H736" s="184"/>
      <c r="I736" s="184"/>
      <c r="J736" s="184"/>
      <c r="K736" s="184"/>
      <c r="L736" s="184"/>
      <c r="M736" s="184"/>
      <c r="N736" s="184"/>
      <c r="O736" s="184"/>
      <c r="Q736" s="184"/>
      <c r="R736" s="185"/>
      <c r="S736" s="185"/>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6"/>
      <c r="AT736" s="187"/>
      <c r="AU736" s="187"/>
      <c r="AV736" s="187"/>
      <c r="AW736" s="224"/>
      <c r="AX736" s="184"/>
      <c r="AY736" s="184"/>
      <c r="AZ736" s="184"/>
      <c r="BA736" s="184"/>
      <c r="BB736" s="184"/>
    </row>
    <row r="737" spans="1:54" s="163" customFormat="1" ht="16.5" customHeight="1">
      <c r="A737" s="180"/>
      <c r="B737" s="181"/>
      <c r="C737" s="182"/>
      <c r="D737" s="182"/>
      <c r="E737" s="183"/>
      <c r="F737" s="183"/>
      <c r="G737" s="183"/>
      <c r="H737" s="184"/>
      <c r="I737" s="184"/>
      <c r="J737" s="184"/>
      <c r="K737" s="184"/>
      <c r="L737" s="184"/>
      <c r="M737" s="184"/>
      <c r="N737" s="184"/>
      <c r="O737" s="184"/>
      <c r="Q737" s="184"/>
      <c r="R737" s="185"/>
      <c r="S737" s="185"/>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6"/>
      <c r="AT737" s="187"/>
      <c r="AU737" s="187"/>
      <c r="AV737" s="187"/>
      <c r="AW737" s="224"/>
      <c r="AX737" s="184"/>
      <c r="AY737" s="184"/>
      <c r="AZ737" s="184"/>
      <c r="BA737" s="184"/>
      <c r="BB737" s="184"/>
    </row>
    <row r="738" spans="1:54" s="163" customFormat="1" ht="16.5" customHeight="1">
      <c r="A738" s="180"/>
      <c r="B738" s="181"/>
      <c r="C738" s="182"/>
      <c r="D738" s="182"/>
      <c r="E738" s="183"/>
      <c r="F738" s="183"/>
      <c r="G738" s="183"/>
      <c r="H738" s="184"/>
      <c r="I738" s="184"/>
      <c r="J738" s="184"/>
      <c r="K738" s="184"/>
      <c r="L738" s="184"/>
      <c r="M738" s="184"/>
      <c r="N738" s="184"/>
      <c r="O738" s="184"/>
      <c r="Q738" s="184"/>
      <c r="R738" s="185"/>
      <c r="S738" s="185"/>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6"/>
      <c r="AT738" s="187"/>
      <c r="AU738" s="187"/>
      <c r="AV738" s="187"/>
      <c r="AW738" s="224"/>
      <c r="AX738" s="184"/>
      <c r="AY738" s="184"/>
      <c r="AZ738" s="184"/>
      <c r="BA738" s="184"/>
      <c r="BB738" s="184"/>
    </row>
    <row r="739" spans="1:54" s="163" customFormat="1" ht="16.5" customHeight="1">
      <c r="A739" s="180"/>
      <c r="B739" s="181"/>
      <c r="C739" s="182"/>
      <c r="D739" s="182"/>
      <c r="E739" s="183"/>
      <c r="F739" s="183"/>
      <c r="G739" s="183"/>
      <c r="H739" s="184"/>
      <c r="I739" s="184"/>
      <c r="J739" s="184"/>
      <c r="K739" s="184"/>
      <c r="L739" s="184"/>
      <c r="M739" s="184"/>
      <c r="N739" s="184"/>
      <c r="O739" s="184"/>
      <c r="Q739" s="184"/>
      <c r="R739" s="185"/>
      <c r="S739" s="185"/>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6"/>
      <c r="AT739" s="187"/>
      <c r="AU739" s="187"/>
      <c r="AV739" s="187"/>
      <c r="AW739" s="224"/>
      <c r="AX739" s="184"/>
      <c r="AY739" s="184"/>
      <c r="AZ739" s="184"/>
      <c r="BA739" s="184"/>
      <c r="BB739" s="184"/>
    </row>
    <row r="740" spans="1:54" s="163" customFormat="1" ht="16.5" customHeight="1">
      <c r="A740" s="180"/>
      <c r="B740" s="181"/>
      <c r="C740" s="182"/>
      <c r="D740" s="182"/>
      <c r="E740" s="183"/>
      <c r="F740" s="183"/>
      <c r="G740" s="183"/>
      <c r="H740" s="184"/>
      <c r="I740" s="184"/>
      <c r="J740" s="184"/>
      <c r="K740" s="184"/>
      <c r="L740" s="184"/>
      <c r="M740" s="184"/>
      <c r="N740" s="184"/>
      <c r="O740" s="184"/>
      <c r="Q740" s="184"/>
      <c r="R740" s="185"/>
      <c r="S740" s="185"/>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6"/>
      <c r="AT740" s="187"/>
      <c r="AU740" s="187"/>
      <c r="AV740" s="187"/>
      <c r="AW740" s="224"/>
      <c r="AX740" s="184"/>
      <c r="AY740" s="184"/>
      <c r="AZ740" s="184"/>
      <c r="BA740" s="184"/>
      <c r="BB740" s="184"/>
    </row>
    <row r="741" spans="1:54" s="163" customFormat="1" ht="16.5" customHeight="1">
      <c r="A741" s="180"/>
      <c r="B741" s="181"/>
      <c r="C741" s="182"/>
      <c r="D741" s="182"/>
      <c r="E741" s="183"/>
      <c r="F741" s="183"/>
      <c r="G741" s="183"/>
      <c r="H741" s="184"/>
      <c r="I741" s="184"/>
      <c r="J741" s="184"/>
      <c r="K741" s="184"/>
      <c r="L741" s="184"/>
      <c r="M741" s="184"/>
      <c r="N741" s="184"/>
      <c r="O741" s="184"/>
      <c r="Q741" s="184"/>
      <c r="R741" s="185"/>
      <c r="S741" s="185"/>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6"/>
      <c r="AT741" s="187"/>
      <c r="AU741" s="187"/>
      <c r="AV741" s="187"/>
      <c r="AW741" s="224"/>
      <c r="AX741" s="184"/>
      <c r="AY741" s="184"/>
      <c r="AZ741" s="184"/>
      <c r="BA741" s="184"/>
      <c r="BB741" s="184"/>
    </row>
    <row r="742" spans="1:54" s="163" customFormat="1" ht="16.5" customHeight="1">
      <c r="A742" s="180"/>
      <c r="B742" s="181"/>
      <c r="C742" s="182"/>
      <c r="D742" s="182"/>
      <c r="E742" s="183"/>
      <c r="F742" s="183"/>
      <c r="G742" s="183"/>
      <c r="H742" s="184"/>
      <c r="I742" s="184"/>
      <c r="J742" s="184"/>
      <c r="K742" s="184"/>
      <c r="L742" s="184"/>
      <c r="M742" s="184"/>
      <c r="N742" s="184"/>
      <c r="O742" s="184"/>
      <c r="Q742" s="184"/>
      <c r="R742" s="185"/>
      <c r="S742" s="185"/>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6"/>
      <c r="AT742" s="187"/>
      <c r="AU742" s="187"/>
      <c r="AV742" s="187"/>
      <c r="AW742" s="224"/>
      <c r="AX742" s="184"/>
      <c r="AY742" s="184"/>
      <c r="AZ742" s="184"/>
      <c r="BA742" s="184"/>
      <c r="BB742" s="184"/>
    </row>
    <row r="743" spans="1:54" s="163" customFormat="1" ht="16.5" customHeight="1">
      <c r="A743" s="180"/>
      <c r="B743" s="181"/>
      <c r="C743" s="182"/>
      <c r="D743" s="182"/>
      <c r="E743" s="183"/>
      <c r="F743" s="183"/>
      <c r="G743" s="183"/>
      <c r="H743" s="184"/>
      <c r="I743" s="184"/>
      <c r="J743" s="184"/>
      <c r="K743" s="184"/>
      <c r="L743" s="184"/>
      <c r="M743" s="184"/>
      <c r="N743" s="184"/>
      <c r="O743" s="184"/>
      <c r="Q743" s="184"/>
      <c r="R743" s="185"/>
      <c r="S743" s="185"/>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6"/>
      <c r="AT743" s="187"/>
      <c r="AU743" s="187"/>
      <c r="AV743" s="187"/>
      <c r="AW743" s="224"/>
      <c r="AX743" s="184"/>
      <c r="AY743" s="184"/>
      <c r="AZ743" s="184"/>
      <c r="BA743" s="184"/>
      <c r="BB743" s="184"/>
    </row>
    <row r="744" spans="1:54" s="163" customFormat="1" ht="16.5" customHeight="1">
      <c r="A744" s="180"/>
      <c r="B744" s="181"/>
      <c r="C744" s="182"/>
      <c r="D744" s="182"/>
      <c r="E744" s="183"/>
      <c r="F744" s="183"/>
      <c r="G744" s="183"/>
      <c r="H744" s="184"/>
      <c r="I744" s="184"/>
      <c r="J744" s="184"/>
      <c r="K744" s="184"/>
      <c r="L744" s="184"/>
      <c r="M744" s="184"/>
      <c r="N744" s="184"/>
      <c r="O744" s="184"/>
      <c r="Q744" s="184"/>
      <c r="R744" s="185"/>
      <c r="S744" s="185"/>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c r="AP744" s="184"/>
      <c r="AQ744" s="184"/>
      <c r="AR744" s="184"/>
      <c r="AS744" s="186"/>
      <c r="AT744" s="187"/>
      <c r="AU744" s="187"/>
      <c r="AV744" s="187"/>
      <c r="AW744" s="224"/>
      <c r="AX744" s="184"/>
      <c r="AY744" s="184"/>
      <c r="AZ744" s="184"/>
      <c r="BA744" s="184"/>
      <c r="BB744" s="184"/>
    </row>
    <row r="745" spans="1:54" s="163" customFormat="1" ht="16.5" customHeight="1">
      <c r="A745" s="180"/>
      <c r="B745" s="181"/>
      <c r="C745" s="182"/>
      <c r="D745" s="182"/>
      <c r="E745" s="183"/>
      <c r="F745" s="183"/>
      <c r="G745" s="183"/>
      <c r="H745" s="184"/>
      <c r="I745" s="184"/>
      <c r="J745" s="184"/>
      <c r="K745" s="184"/>
      <c r="L745" s="184"/>
      <c r="M745" s="184"/>
      <c r="N745" s="184"/>
      <c r="O745" s="184"/>
      <c r="Q745" s="184"/>
      <c r="R745" s="185"/>
      <c r="S745" s="185"/>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6"/>
      <c r="AT745" s="187"/>
      <c r="AU745" s="187"/>
      <c r="AV745" s="187"/>
      <c r="AW745" s="224"/>
      <c r="AX745" s="184"/>
      <c r="AY745" s="184"/>
      <c r="AZ745" s="184"/>
      <c r="BA745" s="184"/>
      <c r="BB745" s="184"/>
    </row>
    <row r="746" spans="1:54" s="163" customFormat="1" ht="16.5" customHeight="1">
      <c r="A746" s="180"/>
      <c r="B746" s="181"/>
      <c r="C746" s="182"/>
      <c r="D746" s="182"/>
      <c r="E746" s="183"/>
      <c r="F746" s="183"/>
      <c r="G746" s="183"/>
      <c r="H746" s="184"/>
      <c r="I746" s="184"/>
      <c r="J746" s="184"/>
      <c r="K746" s="184"/>
      <c r="L746" s="184"/>
      <c r="M746" s="184"/>
      <c r="N746" s="184"/>
      <c r="O746" s="184"/>
      <c r="Q746" s="184"/>
      <c r="R746" s="185"/>
      <c r="S746" s="185"/>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6"/>
      <c r="AT746" s="187"/>
      <c r="AU746" s="187"/>
      <c r="AV746" s="187"/>
      <c r="AW746" s="224"/>
      <c r="AX746" s="184"/>
      <c r="AY746" s="184"/>
      <c r="AZ746" s="184"/>
      <c r="BA746" s="184"/>
      <c r="BB746" s="184"/>
    </row>
    <row r="747" spans="1:54" s="163" customFormat="1" ht="16.5" customHeight="1">
      <c r="A747" s="180"/>
      <c r="B747" s="181"/>
      <c r="C747" s="182"/>
      <c r="D747" s="182"/>
      <c r="E747" s="183"/>
      <c r="F747" s="183"/>
      <c r="G747" s="183"/>
      <c r="H747" s="184"/>
      <c r="I747" s="184"/>
      <c r="J747" s="184"/>
      <c r="K747" s="184"/>
      <c r="L747" s="184"/>
      <c r="M747" s="184"/>
      <c r="N747" s="184"/>
      <c r="O747" s="184"/>
      <c r="Q747" s="184"/>
      <c r="R747" s="185"/>
      <c r="S747" s="185"/>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6"/>
      <c r="AT747" s="187"/>
      <c r="AU747" s="187"/>
      <c r="AV747" s="187"/>
      <c r="AW747" s="224"/>
      <c r="AX747" s="184"/>
      <c r="AY747" s="184"/>
      <c r="AZ747" s="184"/>
      <c r="BA747" s="184"/>
      <c r="BB747" s="184"/>
    </row>
    <row r="748" spans="1:54" s="163" customFormat="1" ht="16.5" customHeight="1">
      <c r="A748" s="180"/>
      <c r="B748" s="181"/>
      <c r="C748" s="182"/>
      <c r="D748" s="182"/>
      <c r="E748" s="183"/>
      <c r="F748" s="183"/>
      <c r="G748" s="183"/>
      <c r="H748" s="184"/>
      <c r="I748" s="184"/>
      <c r="J748" s="184"/>
      <c r="K748" s="184"/>
      <c r="L748" s="184"/>
      <c r="M748" s="184"/>
      <c r="N748" s="184"/>
      <c r="O748" s="184"/>
      <c r="Q748" s="184"/>
      <c r="R748" s="185"/>
      <c r="S748" s="185"/>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6"/>
      <c r="AT748" s="187"/>
      <c r="AU748" s="187"/>
      <c r="AV748" s="187"/>
      <c r="AW748" s="224"/>
      <c r="AX748" s="184"/>
      <c r="AY748" s="184"/>
      <c r="AZ748" s="184"/>
      <c r="BA748" s="184"/>
      <c r="BB748" s="184"/>
    </row>
    <row r="749" spans="1:54" s="163" customFormat="1" ht="16.5" customHeight="1">
      <c r="A749" s="180"/>
      <c r="B749" s="181"/>
      <c r="C749" s="182"/>
      <c r="D749" s="182"/>
      <c r="E749" s="183"/>
      <c r="F749" s="183"/>
      <c r="G749" s="183"/>
      <c r="H749" s="184"/>
      <c r="I749" s="184"/>
      <c r="J749" s="184"/>
      <c r="K749" s="184"/>
      <c r="L749" s="184"/>
      <c r="M749" s="184"/>
      <c r="N749" s="184"/>
      <c r="O749" s="184"/>
      <c r="Q749" s="184"/>
      <c r="R749" s="185"/>
      <c r="S749" s="185"/>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6"/>
      <c r="AT749" s="187"/>
      <c r="AU749" s="187"/>
      <c r="AV749" s="187"/>
      <c r="AW749" s="224"/>
      <c r="AX749" s="184"/>
      <c r="AY749" s="184"/>
      <c r="AZ749" s="184"/>
      <c r="BA749" s="184"/>
      <c r="BB749" s="184"/>
    </row>
    <row r="750" spans="1:54" s="163" customFormat="1" ht="16.5" customHeight="1">
      <c r="A750" s="180"/>
      <c r="B750" s="181"/>
      <c r="C750" s="182"/>
      <c r="D750" s="182"/>
      <c r="E750" s="183"/>
      <c r="F750" s="183"/>
      <c r="G750" s="183"/>
      <c r="H750" s="184"/>
      <c r="I750" s="184"/>
      <c r="J750" s="184"/>
      <c r="K750" s="184"/>
      <c r="L750" s="184"/>
      <c r="M750" s="184"/>
      <c r="N750" s="184"/>
      <c r="O750" s="184"/>
      <c r="Q750" s="184"/>
      <c r="R750" s="185"/>
      <c r="S750" s="185"/>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6"/>
      <c r="AT750" s="187"/>
      <c r="AU750" s="187"/>
      <c r="AV750" s="187"/>
      <c r="AW750" s="224"/>
      <c r="AX750" s="184"/>
      <c r="AY750" s="184"/>
      <c r="AZ750" s="184"/>
      <c r="BA750" s="184"/>
      <c r="BB750" s="184"/>
    </row>
    <row r="751" spans="1:54" s="163" customFormat="1" ht="16.5" customHeight="1">
      <c r="A751" s="180"/>
      <c r="B751" s="181"/>
      <c r="C751" s="182"/>
      <c r="D751" s="182"/>
      <c r="E751" s="183"/>
      <c r="F751" s="183"/>
      <c r="G751" s="183"/>
      <c r="H751" s="184"/>
      <c r="I751" s="184"/>
      <c r="J751" s="184"/>
      <c r="K751" s="184"/>
      <c r="L751" s="184"/>
      <c r="M751" s="184"/>
      <c r="N751" s="184"/>
      <c r="O751" s="184"/>
      <c r="Q751" s="184"/>
      <c r="R751" s="185"/>
      <c r="S751" s="185"/>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6"/>
      <c r="AT751" s="187"/>
      <c r="AU751" s="187"/>
      <c r="AV751" s="187"/>
      <c r="AW751" s="224"/>
      <c r="AX751" s="184"/>
      <c r="AY751" s="184"/>
      <c r="AZ751" s="184"/>
      <c r="BA751" s="184"/>
      <c r="BB751" s="184"/>
    </row>
    <row r="752" spans="1:54" s="163" customFormat="1" ht="16.5" customHeight="1">
      <c r="A752" s="180"/>
      <c r="B752" s="181"/>
      <c r="C752" s="182"/>
      <c r="D752" s="182"/>
      <c r="E752" s="183"/>
      <c r="F752" s="183"/>
      <c r="G752" s="183"/>
      <c r="H752" s="184"/>
      <c r="I752" s="184"/>
      <c r="J752" s="184"/>
      <c r="K752" s="184"/>
      <c r="L752" s="184"/>
      <c r="M752" s="184"/>
      <c r="N752" s="184"/>
      <c r="O752" s="184"/>
      <c r="Q752" s="184"/>
      <c r="R752" s="185"/>
      <c r="S752" s="185"/>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6"/>
      <c r="AT752" s="187"/>
      <c r="AU752" s="187"/>
      <c r="AV752" s="187"/>
      <c r="AW752" s="224"/>
      <c r="AX752" s="184"/>
      <c r="AY752" s="184"/>
      <c r="AZ752" s="184"/>
      <c r="BA752" s="184"/>
      <c r="BB752" s="184"/>
    </row>
    <row r="753" spans="1:54" s="163" customFormat="1" ht="16.5" customHeight="1">
      <c r="A753" s="180"/>
      <c r="B753" s="181"/>
      <c r="C753" s="182"/>
      <c r="D753" s="182"/>
      <c r="E753" s="183"/>
      <c r="F753" s="183"/>
      <c r="G753" s="183"/>
      <c r="H753" s="184"/>
      <c r="I753" s="184"/>
      <c r="J753" s="184"/>
      <c r="K753" s="184"/>
      <c r="L753" s="184"/>
      <c r="M753" s="184"/>
      <c r="N753" s="184"/>
      <c r="O753" s="184"/>
      <c r="Q753" s="184"/>
      <c r="R753" s="185"/>
      <c r="S753" s="185"/>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6"/>
      <c r="AT753" s="187"/>
      <c r="AU753" s="187"/>
      <c r="AV753" s="187"/>
      <c r="AW753" s="224"/>
      <c r="AX753" s="184"/>
      <c r="AY753" s="184"/>
      <c r="AZ753" s="184"/>
      <c r="BA753" s="184"/>
      <c r="BB753" s="184"/>
    </row>
    <row r="754" spans="1:54" s="163" customFormat="1" ht="16.5" customHeight="1">
      <c r="A754" s="180"/>
      <c r="B754" s="181"/>
      <c r="C754" s="182"/>
      <c r="D754" s="182"/>
      <c r="E754" s="183"/>
      <c r="F754" s="183"/>
      <c r="G754" s="183"/>
      <c r="H754" s="184"/>
      <c r="I754" s="184"/>
      <c r="J754" s="184"/>
      <c r="K754" s="184"/>
      <c r="L754" s="184"/>
      <c r="M754" s="184"/>
      <c r="N754" s="184"/>
      <c r="O754" s="184"/>
      <c r="Q754" s="184"/>
      <c r="R754" s="185"/>
      <c r="S754" s="185"/>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6"/>
      <c r="AT754" s="187"/>
      <c r="AU754" s="187"/>
      <c r="AV754" s="187"/>
      <c r="AW754" s="224"/>
      <c r="AX754" s="184"/>
      <c r="AY754" s="184"/>
      <c r="AZ754" s="184"/>
      <c r="BA754" s="184"/>
      <c r="BB754" s="184"/>
    </row>
    <row r="755" spans="1:54" s="163" customFormat="1" ht="16.5" customHeight="1">
      <c r="A755" s="180"/>
      <c r="B755" s="181"/>
      <c r="C755" s="182"/>
      <c r="D755" s="182"/>
      <c r="E755" s="183"/>
      <c r="F755" s="183"/>
      <c r="G755" s="183"/>
      <c r="H755" s="184"/>
      <c r="I755" s="184"/>
      <c r="J755" s="184"/>
      <c r="K755" s="184"/>
      <c r="L755" s="184"/>
      <c r="M755" s="184"/>
      <c r="N755" s="184"/>
      <c r="O755" s="184"/>
      <c r="Q755" s="184"/>
      <c r="R755" s="185"/>
      <c r="S755" s="185"/>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6"/>
      <c r="AT755" s="187"/>
      <c r="AU755" s="187"/>
      <c r="AV755" s="187"/>
      <c r="AW755" s="224"/>
      <c r="AX755" s="184"/>
      <c r="AY755" s="184"/>
      <c r="AZ755" s="184"/>
      <c r="BA755" s="184"/>
      <c r="BB755" s="184"/>
    </row>
    <row r="756" spans="1:54" s="163" customFormat="1" ht="16.5" customHeight="1">
      <c r="A756" s="180"/>
      <c r="B756" s="181"/>
      <c r="C756" s="182"/>
      <c r="D756" s="182"/>
      <c r="E756" s="183"/>
      <c r="F756" s="183"/>
      <c r="G756" s="183"/>
      <c r="H756" s="184"/>
      <c r="I756" s="184"/>
      <c r="J756" s="184"/>
      <c r="K756" s="184"/>
      <c r="L756" s="184"/>
      <c r="M756" s="184"/>
      <c r="N756" s="184"/>
      <c r="O756" s="184"/>
      <c r="Q756" s="184"/>
      <c r="R756" s="185"/>
      <c r="S756" s="185"/>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6"/>
      <c r="AT756" s="187"/>
      <c r="AU756" s="187"/>
      <c r="AV756" s="187"/>
      <c r="AW756" s="224"/>
      <c r="AX756" s="184"/>
      <c r="AY756" s="184"/>
      <c r="AZ756" s="184"/>
      <c r="BA756" s="184"/>
      <c r="BB756" s="184"/>
    </row>
    <row r="757" spans="1:54" s="163" customFormat="1" ht="16.5" customHeight="1">
      <c r="A757" s="180"/>
      <c r="B757" s="181"/>
      <c r="C757" s="182"/>
      <c r="D757" s="182"/>
      <c r="E757" s="183"/>
      <c r="F757" s="183"/>
      <c r="G757" s="183"/>
      <c r="H757" s="184"/>
      <c r="I757" s="184"/>
      <c r="J757" s="184"/>
      <c r="K757" s="184"/>
      <c r="L757" s="184"/>
      <c r="M757" s="184"/>
      <c r="N757" s="184"/>
      <c r="O757" s="184"/>
      <c r="Q757" s="184"/>
      <c r="R757" s="185"/>
      <c r="S757" s="185"/>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c r="AP757" s="184"/>
      <c r="AQ757" s="184"/>
      <c r="AR757" s="184"/>
      <c r="AS757" s="186"/>
      <c r="AT757" s="187"/>
      <c r="AU757" s="187"/>
      <c r="AV757" s="187"/>
      <c r="AW757" s="224"/>
      <c r="AX757" s="184"/>
      <c r="AY757" s="184"/>
      <c r="AZ757" s="184"/>
      <c r="BA757" s="184"/>
      <c r="BB757" s="184"/>
    </row>
    <row r="758" spans="1:54" s="163" customFormat="1" ht="16.5" customHeight="1">
      <c r="A758" s="180"/>
      <c r="B758" s="181"/>
      <c r="C758" s="182"/>
      <c r="D758" s="182"/>
      <c r="E758" s="183"/>
      <c r="F758" s="183"/>
      <c r="G758" s="183"/>
      <c r="H758" s="184"/>
      <c r="I758" s="184"/>
      <c r="J758" s="184"/>
      <c r="K758" s="184"/>
      <c r="L758" s="184"/>
      <c r="M758" s="184"/>
      <c r="N758" s="184"/>
      <c r="O758" s="184"/>
      <c r="Q758" s="184"/>
      <c r="R758" s="185"/>
      <c r="S758" s="185"/>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6"/>
      <c r="AT758" s="187"/>
      <c r="AU758" s="187"/>
      <c r="AV758" s="187"/>
      <c r="AW758" s="224"/>
      <c r="AX758" s="184"/>
      <c r="AY758" s="184"/>
      <c r="AZ758" s="184"/>
      <c r="BA758" s="184"/>
      <c r="BB758" s="184"/>
    </row>
    <row r="759" spans="1:54" s="163" customFormat="1" ht="16.5" customHeight="1">
      <c r="A759" s="180"/>
      <c r="B759" s="181"/>
      <c r="C759" s="182"/>
      <c r="D759" s="182"/>
      <c r="E759" s="183"/>
      <c r="F759" s="183"/>
      <c r="G759" s="183"/>
      <c r="H759" s="184"/>
      <c r="I759" s="184"/>
      <c r="J759" s="184"/>
      <c r="K759" s="184"/>
      <c r="L759" s="184"/>
      <c r="M759" s="184"/>
      <c r="N759" s="184"/>
      <c r="O759" s="184"/>
      <c r="Q759" s="184"/>
      <c r="R759" s="185"/>
      <c r="S759" s="185"/>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6"/>
      <c r="AT759" s="187"/>
      <c r="AU759" s="187"/>
      <c r="AV759" s="187"/>
      <c r="AW759" s="224"/>
      <c r="AX759" s="184"/>
      <c r="AY759" s="184"/>
      <c r="AZ759" s="184"/>
      <c r="BA759" s="184"/>
      <c r="BB759" s="184"/>
    </row>
    <row r="760" spans="1:54" s="163" customFormat="1" ht="16.5" customHeight="1">
      <c r="A760" s="180"/>
      <c r="B760" s="181"/>
      <c r="C760" s="182"/>
      <c r="D760" s="182"/>
      <c r="E760" s="183"/>
      <c r="F760" s="183"/>
      <c r="G760" s="183"/>
      <c r="H760" s="184"/>
      <c r="I760" s="184"/>
      <c r="J760" s="184"/>
      <c r="K760" s="184"/>
      <c r="L760" s="184"/>
      <c r="M760" s="184"/>
      <c r="N760" s="184"/>
      <c r="O760" s="184"/>
      <c r="Q760" s="184"/>
      <c r="R760" s="185"/>
      <c r="S760" s="185"/>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6"/>
      <c r="AT760" s="187"/>
      <c r="AU760" s="187"/>
      <c r="AV760" s="187"/>
      <c r="AW760" s="224"/>
      <c r="AX760" s="184"/>
      <c r="AY760" s="184"/>
      <c r="AZ760" s="184"/>
      <c r="BA760" s="184"/>
      <c r="BB760" s="184"/>
    </row>
    <row r="761" spans="1:54" s="163" customFormat="1" ht="16.5" customHeight="1">
      <c r="A761" s="180"/>
      <c r="B761" s="181"/>
      <c r="C761" s="182"/>
      <c r="D761" s="182"/>
      <c r="E761" s="183"/>
      <c r="F761" s="183"/>
      <c r="G761" s="183"/>
      <c r="H761" s="184"/>
      <c r="I761" s="184"/>
      <c r="J761" s="184"/>
      <c r="K761" s="184"/>
      <c r="L761" s="184"/>
      <c r="M761" s="184"/>
      <c r="N761" s="184"/>
      <c r="O761" s="184"/>
      <c r="Q761" s="184"/>
      <c r="R761" s="185"/>
      <c r="S761" s="185"/>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6"/>
      <c r="AT761" s="187"/>
      <c r="AU761" s="187"/>
      <c r="AV761" s="187"/>
      <c r="AW761" s="224"/>
      <c r="AX761" s="184"/>
      <c r="AY761" s="184"/>
      <c r="AZ761" s="184"/>
      <c r="BA761" s="184"/>
      <c r="BB761" s="184"/>
    </row>
    <row r="762" spans="1:54" s="163" customFormat="1" ht="16.5" customHeight="1">
      <c r="A762" s="180"/>
      <c r="B762" s="181"/>
      <c r="C762" s="182"/>
      <c r="D762" s="182"/>
      <c r="E762" s="183"/>
      <c r="F762" s="183"/>
      <c r="G762" s="183"/>
      <c r="H762" s="184"/>
      <c r="I762" s="184"/>
      <c r="J762" s="184"/>
      <c r="K762" s="184"/>
      <c r="L762" s="184"/>
      <c r="M762" s="184"/>
      <c r="N762" s="184"/>
      <c r="O762" s="184"/>
      <c r="Q762" s="184"/>
      <c r="R762" s="185"/>
      <c r="S762" s="185"/>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6"/>
      <c r="AT762" s="187"/>
      <c r="AU762" s="187"/>
      <c r="AV762" s="187"/>
      <c r="AW762" s="224"/>
      <c r="AX762" s="184"/>
      <c r="AY762" s="184"/>
      <c r="AZ762" s="184"/>
      <c r="BA762" s="184"/>
      <c r="BB762" s="184"/>
    </row>
    <row r="763" spans="1:54" s="163" customFormat="1" ht="16.5" customHeight="1">
      <c r="A763" s="180"/>
      <c r="B763" s="181"/>
      <c r="C763" s="182"/>
      <c r="D763" s="182"/>
      <c r="E763" s="183"/>
      <c r="F763" s="183"/>
      <c r="G763" s="183"/>
      <c r="H763" s="184"/>
      <c r="I763" s="184"/>
      <c r="J763" s="184"/>
      <c r="K763" s="184"/>
      <c r="L763" s="184"/>
      <c r="M763" s="184"/>
      <c r="N763" s="184"/>
      <c r="O763" s="184"/>
      <c r="Q763" s="184"/>
      <c r="R763" s="185"/>
      <c r="S763" s="185"/>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c r="AP763" s="184"/>
      <c r="AQ763" s="184"/>
      <c r="AR763" s="184"/>
      <c r="AS763" s="186"/>
      <c r="AT763" s="187"/>
      <c r="AU763" s="187"/>
      <c r="AV763" s="187"/>
      <c r="AW763" s="224"/>
      <c r="AX763" s="184"/>
      <c r="AY763" s="184"/>
      <c r="AZ763" s="184"/>
      <c r="BA763" s="184"/>
      <c r="BB763" s="184"/>
    </row>
    <row r="764" spans="1:54" s="163" customFormat="1" ht="16.5" customHeight="1">
      <c r="A764" s="180"/>
      <c r="B764" s="181"/>
      <c r="C764" s="182"/>
      <c r="D764" s="182"/>
      <c r="E764" s="183"/>
      <c r="F764" s="183"/>
      <c r="G764" s="183"/>
      <c r="H764" s="184"/>
      <c r="I764" s="184"/>
      <c r="J764" s="184"/>
      <c r="K764" s="184"/>
      <c r="L764" s="184"/>
      <c r="M764" s="184"/>
      <c r="N764" s="184"/>
      <c r="O764" s="184"/>
      <c r="Q764" s="184"/>
      <c r="R764" s="185"/>
      <c r="S764" s="185"/>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6"/>
      <c r="AT764" s="187"/>
      <c r="AU764" s="187"/>
      <c r="AV764" s="187"/>
      <c r="AW764" s="224"/>
      <c r="AX764" s="184"/>
      <c r="AY764" s="184"/>
      <c r="AZ764" s="184"/>
      <c r="BA764" s="184"/>
      <c r="BB764" s="184"/>
    </row>
    <row r="765" spans="1:54" s="163" customFormat="1" ht="16.5" customHeight="1">
      <c r="A765" s="180"/>
      <c r="B765" s="181"/>
      <c r="C765" s="182"/>
      <c r="D765" s="182"/>
      <c r="E765" s="183"/>
      <c r="F765" s="183"/>
      <c r="G765" s="183"/>
      <c r="H765" s="184"/>
      <c r="I765" s="184"/>
      <c r="J765" s="184"/>
      <c r="K765" s="184"/>
      <c r="L765" s="184"/>
      <c r="M765" s="184"/>
      <c r="N765" s="184"/>
      <c r="O765" s="184"/>
      <c r="Q765" s="184"/>
      <c r="R765" s="185"/>
      <c r="S765" s="185"/>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6"/>
      <c r="AT765" s="187"/>
      <c r="AU765" s="187"/>
      <c r="AV765" s="187"/>
      <c r="AW765" s="224"/>
      <c r="AX765" s="184"/>
      <c r="AY765" s="184"/>
      <c r="AZ765" s="184"/>
      <c r="BA765" s="184"/>
      <c r="BB765" s="184"/>
    </row>
    <row r="766" spans="1:54" s="163" customFormat="1" ht="16.5" customHeight="1">
      <c r="A766" s="180"/>
      <c r="B766" s="181"/>
      <c r="C766" s="182"/>
      <c r="D766" s="182"/>
      <c r="E766" s="183"/>
      <c r="F766" s="183"/>
      <c r="G766" s="183"/>
      <c r="H766" s="184"/>
      <c r="I766" s="184"/>
      <c r="J766" s="184"/>
      <c r="K766" s="184"/>
      <c r="L766" s="184"/>
      <c r="M766" s="184"/>
      <c r="N766" s="184"/>
      <c r="O766" s="184"/>
      <c r="Q766" s="184"/>
      <c r="R766" s="185"/>
      <c r="S766" s="185"/>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6"/>
      <c r="AT766" s="187"/>
      <c r="AU766" s="187"/>
      <c r="AV766" s="187"/>
      <c r="AW766" s="224"/>
      <c r="AX766" s="184"/>
      <c r="AY766" s="184"/>
      <c r="AZ766" s="184"/>
      <c r="BA766" s="184"/>
      <c r="BB766" s="184"/>
    </row>
    <row r="767" spans="1:54" s="163" customFormat="1" ht="16.5" customHeight="1">
      <c r="A767" s="180"/>
      <c r="B767" s="181"/>
      <c r="C767" s="182"/>
      <c r="D767" s="182"/>
      <c r="E767" s="183"/>
      <c r="F767" s="183"/>
      <c r="G767" s="183"/>
      <c r="H767" s="184"/>
      <c r="I767" s="184"/>
      <c r="J767" s="184"/>
      <c r="K767" s="184"/>
      <c r="L767" s="184"/>
      <c r="M767" s="184"/>
      <c r="N767" s="184"/>
      <c r="O767" s="184"/>
      <c r="Q767" s="184"/>
      <c r="R767" s="185"/>
      <c r="S767" s="185"/>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6"/>
      <c r="AT767" s="187"/>
      <c r="AU767" s="187"/>
      <c r="AV767" s="187"/>
      <c r="AW767" s="224"/>
      <c r="AX767" s="184"/>
      <c r="AY767" s="184"/>
      <c r="AZ767" s="184"/>
      <c r="BA767" s="184"/>
      <c r="BB767" s="184"/>
    </row>
    <row r="768" spans="1:54" s="163" customFormat="1" ht="16.5" customHeight="1">
      <c r="A768" s="180"/>
      <c r="B768" s="181"/>
      <c r="C768" s="182"/>
      <c r="D768" s="182"/>
      <c r="E768" s="183"/>
      <c r="F768" s="183"/>
      <c r="G768" s="183"/>
      <c r="H768" s="184"/>
      <c r="I768" s="184"/>
      <c r="J768" s="184"/>
      <c r="K768" s="184"/>
      <c r="L768" s="184"/>
      <c r="M768" s="184"/>
      <c r="N768" s="184"/>
      <c r="O768" s="184"/>
      <c r="Q768" s="184"/>
      <c r="R768" s="185"/>
      <c r="S768" s="185"/>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6"/>
      <c r="AT768" s="187"/>
      <c r="AU768" s="187"/>
      <c r="AV768" s="187"/>
      <c r="AW768" s="224"/>
      <c r="AX768" s="184"/>
      <c r="AY768" s="184"/>
      <c r="AZ768" s="184"/>
      <c r="BA768" s="184"/>
      <c r="BB768" s="184"/>
    </row>
    <row r="769" spans="1:54" s="163" customFormat="1" ht="16.5" customHeight="1">
      <c r="A769" s="180"/>
      <c r="B769" s="181"/>
      <c r="C769" s="182"/>
      <c r="D769" s="182"/>
      <c r="E769" s="183"/>
      <c r="F769" s="183"/>
      <c r="G769" s="183"/>
      <c r="H769" s="184"/>
      <c r="I769" s="184"/>
      <c r="J769" s="184"/>
      <c r="K769" s="184"/>
      <c r="L769" s="184"/>
      <c r="M769" s="184"/>
      <c r="N769" s="184"/>
      <c r="O769" s="184"/>
      <c r="Q769" s="184"/>
      <c r="R769" s="185"/>
      <c r="S769" s="185"/>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6"/>
      <c r="AT769" s="187"/>
      <c r="AU769" s="187"/>
      <c r="AV769" s="187"/>
      <c r="AW769" s="224"/>
      <c r="AX769" s="184"/>
      <c r="AY769" s="184"/>
      <c r="AZ769" s="184"/>
      <c r="BA769" s="184"/>
      <c r="BB769" s="184"/>
    </row>
    <row r="770" spans="1:54" s="163" customFormat="1" ht="16.5" customHeight="1">
      <c r="A770" s="180"/>
      <c r="B770" s="181"/>
      <c r="C770" s="182"/>
      <c r="D770" s="182"/>
      <c r="E770" s="183"/>
      <c r="F770" s="183"/>
      <c r="G770" s="183"/>
      <c r="H770" s="184"/>
      <c r="I770" s="184"/>
      <c r="J770" s="184"/>
      <c r="K770" s="184"/>
      <c r="L770" s="184"/>
      <c r="M770" s="184"/>
      <c r="N770" s="184"/>
      <c r="O770" s="184"/>
      <c r="Q770" s="184"/>
      <c r="R770" s="185"/>
      <c r="S770" s="185"/>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c r="AP770" s="184"/>
      <c r="AQ770" s="184"/>
      <c r="AR770" s="184"/>
      <c r="AS770" s="186"/>
      <c r="AT770" s="187"/>
      <c r="AU770" s="187"/>
      <c r="AV770" s="187"/>
      <c r="AW770" s="224"/>
      <c r="AX770" s="184"/>
      <c r="AY770" s="184"/>
      <c r="AZ770" s="184"/>
      <c r="BA770" s="184"/>
      <c r="BB770" s="184"/>
    </row>
    <row r="771" spans="1:54" s="163" customFormat="1" ht="16.5" customHeight="1">
      <c r="A771" s="180"/>
      <c r="B771" s="181"/>
      <c r="C771" s="182"/>
      <c r="D771" s="182"/>
      <c r="E771" s="183"/>
      <c r="F771" s="183"/>
      <c r="G771" s="183"/>
      <c r="H771" s="184"/>
      <c r="I771" s="184"/>
      <c r="J771" s="184"/>
      <c r="K771" s="184"/>
      <c r="L771" s="184"/>
      <c r="M771" s="184"/>
      <c r="N771" s="184"/>
      <c r="O771" s="184"/>
      <c r="Q771" s="184"/>
      <c r="R771" s="185"/>
      <c r="S771" s="185"/>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c r="AP771" s="184"/>
      <c r="AQ771" s="184"/>
      <c r="AR771" s="184"/>
      <c r="AS771" s="186"/>
      <c r="AT771" s="187"/>
      <c r="AU771" s="187"/>
      <c r="AV771" s="187"/>
      <c r="AW771" s="224"/>
      <c r="AX771" s="184"/>
      <c r="AY771" s="184"/>
      <c r="AZ771" s="184"/>
      <c r="BA771" s="184"/>
      <c r="BB771" s="184"/>
    </row>
    <row r="772" spans="1:54" s="163" customFormat="1" ht="16.5" customHeight="1">
      <c r="A772" s="180"/>
      <c r="B772" s="181"/>
      <c r="C772" s="182"/>
      <c r="D772" s="182"/>
      <c r="E772" s="183"/>
      <c r="F772" s="183"/>
      <c r="G772" s="183"/>
      <c r="H772" s="184"/>
      <c r="I772" s="184"/>
      <c r="J772" s="184"/>
      <c r="K772" s="184"/>
      <c r="L772" s="184"/>
      <c r="M772" s="184"/>
      <c r="N772" s="184"/>
      <c r="O772" s="184"/>
      <c r="Q772" s="184"/>
      <c r="R772" s="185"/>
      <c r="S772" s="185"/>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c r="AP772" s="184"/>
      <c r="AQ772" s="184"/>
      <c r="AR772" s="184"/>
      <c r="AS772" s="186"/>
      <c r="AT772" s="187"/>
      <c r="AU772" s="187"/>
      <c r="AV772" s="187"/>
      <c r="AW772" s="224"/>
      <c r="AX772" s="184"/>
      <c r="AY772" s="184"/>
      <c r="AZ772" s="184"/>
      <c r="BA772" s="184"/>
      <c r="BB772" s="184"/>
    </row>
    <row r="773" spans="1:54" s="163" customFormat="1" ht="16.5" customHeight="1">
      <c r="A773" s="180"/>
      <c r="B773" s="181"/>
      <c r="C773" s="182"/>
      <c r="D773" s="182"/>
      <c r="E773" s="183"/>
      <c r="F773" s="183"/>
      <c r="G773" s="183"/>
      <c r="H773" s="184"/>
      <c r="I773" s="184"/>
      <c r="J773" s="184"/>
      <c r="K773" s="184"/>
      <c r="L773" s="184"/>
      <c r="M773" s="184"/>
      <c r="N773" s="184"/>
      <c r="O773" s="184"/>
      <c r="Q773" s="184"/>
      <c r="R773" s="185"/>
      <c r="S773" s="185"/>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c r="AP773" s="184"/>
      <c r="AQ773" s="184"/>
      <c r="AR773" s="184"/>
      <c r="AS773" s="186"/>
      <c r="AT773" s="187"/>
      <c r="AU773" s="187"/>
      <c r="AV773" s="187"/>
      <c r="AW773" s="224"/>
      <c r="AX773" s="184"/>
      <c r="AY773" s="184"/>
      <c r="AZ773" s="184"/>
      <c r="BA773" s="184"/>
      <c r="BB773" s="184"/>
    </row>
    <row r="774" spans="1:54" s="163" customFormat="1" ht="16.5" customHeight="1">
      <c r="A774" s="180"/>
      <c r="B774" s="181"/>
      <c r="C774" s="182"/>
      <c r="D774" s="182"/>
      <c r="E774" s="183"/>
      <c r="F774" s="183"/>
      <c r="G774" s="183"/>
      <c r="H774" s="184"/>
      <c r="I774" s="184"/>
      <c r="J774" s="184"/>
      <c r="K774" s="184"/>
      <c r="L774" s="184"/>
      <c r="M774" s="184"/>
      <c r="N774" s="184"/>
      <c r="O774" s="184"/>
      <c r="Q774" s="184"/>
      <c r="R774" s="185"/>
      <c r="S774" s="185"/>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c r="AP774" s="184"/>
      <c r="AQ774" s="184"/>
      <c r="AR774" s="184"/>
      <c r="AS774" s="186"/>
      <c r="AT774" s="187"/>
      <c r="AU774" s="187"/>
      <c r="AV774" s="187"/>
      <c r="AW774" s="224"/>
      <c r="AX774" s="184"/>
      <c r="AY774" s="184"/>
      <c r="AZ774" s="184"/>
      <c r="BA774" s="184"/>
      <c r="BB774" s="184"/>
    </row>
    <row r="775" spans="1:54" s="163" customFormat="1" ht="16.5" customHeight="1">
      <c r="A775" s="180"/>
      <c r="B775" s="181"/>
      <c r="C775" s="182"/>
      <c r="D775" s="182"/>
      <c r="E775" s="183"/>
      <c r="F775" s="183"/>
      <c r="G775" s="183"/>
      <c r="H775" s="184"/>
      <c r="I775" s="184"/>
      <c r="J775" s="184"/>
      <c r="K775" s="184"/>
      <c r="L775" s="184"/>
      <c r="M775" s="184"/>
      <c r="N775" s="184"/>
      <c r="O775" s="184"/>
      <c r="Q775" s="184"/>
      <c r="R775" s="185"/>
      <c r="S775" s="185"/>
      <c r="U775" s="184"/>
      <c r="V775" s="184"/>
      <c r="W775" s="184"/>
      <c r="X775" s="184"/>
      <c r="Y775" s="184"/>
      <c r="Z775" s="184"/>
      <c r="AA775" s="184"/>
      <c r="AB775" s="184"/>
      <c r="AC775" s="184"/>
      <c r="AD775" s="184"/>
      <c r="AE775" s="184"/>
      <c r="AF775" s="184"/>
      <c r="AG775" s="184"/>
      <c r="AH775" s="184"/>
      <c r="AI775" s="184"/>
      <c r="AJ775" s="184"/>
      <c r="AK775" s="184"/>
      <c r="AL775" s="184"/>
      <c r="AM775" s="184"/>
      <c r="AN775" s="184"/>
      <c r="AO775" s="184"/>
      <c r="AP775" s="184"/>
      <c r="AQ775" s="184"/>
      <c r="AR775" s="184"/>
      <c r="AS775" s="186"/>
      <c r="AT775" s="187"/>
      <c r="AU775" s="187"/>
      <c r="AV775" s="187"/>
      <c r="AW775" s="224"/>
      <c r="AX775" s="184"/>
      <c r="AY775" s="184"/>
      <c r="AZ775" s="184"/>
      <c r="BA775" s="184"/>
      <c r="BB775" s="184"/>
    </row>
    <row r="776" spans="1:54" s="163" customFormat="1" ht="16.5" customHeight="1">
      <c r="A776" s="180"/>
      <c r="B776" s="181"/>
      <c r="C776" s="182"/>
      <c r="D776" s="182"/>
      <c r="E776" s="183"/>
      <c r="F776" s="183"/>
      <c r="G776" s="183"/>
      <c r="H776" s="184"/>
      <c r="I776" s="184"/>
      <c r="J776" s="184"/>
      <c r="K776" s="184"/>
      <c r="L776" s="184"/>
      <c r="M776" s="184"/>
      <c r="N776" s="184"/>
      <c r="O776" s="184"/>
      <c r="Q776" s="184"/>
      <c r="R776" s="185"/>
      <c r="S776" s="185"/>
      <c r="U776" s="184"/>
      <c r="V776" s="184"/>
      <c r="W776" s="184"/>
      <c r="X776" s="184"/>
      <c r="Y776" s="184"/>
      <c r="Z776" s="184"/>
      <c r="AA776" s="184"/>
      <c r="AB776" s="184"/>
      <c r="AC776" s="184"/>
      <c r="AD776" s="184"/>
      <c r="AE776" s="184"/>
      <c r="AF776" s="184"/>
      <c r="AG776" s="184"/>
      <c r="AH776" s="184"/>
      <c r="AI776" s="184"/>
      <c r="AJ776" s="184"/>
      <c r="AK776" s="184"/>
      <c r="AL776" s="184"/>
      <c r="AM776" s="184"/>
      <c r="AN776" s="184"/>
      <c r="AO776" s="184"/>
      <c r="AP776" s="184"/>
      <c r="AQ776" s="184"/>
      <c r="AR776" s="184"/>
      <c r="AS776" s="186"/>
      <c r="AT776" s="187"/>
      <c r="AU776" s="187"/>
      <c r="AV776" s="187"/>
      <c r="AW776" s="224"/>
      <c r="AX776" s="184"/>
      <c r="AY776" s="184"/>
      <c r="AZ776" s="184"/>
      <c r="BA776" s="184"/>
      <c r="BB776" s="184"/>
    </row>
    <row r="777" spans="1:54" s="163" customFormat="1" ht="16.5" customHeight="1">
      <c r="A777" s="180"/>
      <c r="B777" s="181"/>
      <c r="C777" s="182"/>
      <c r="D777" s="182"/>
      <c r="E777" s="183"/>
      <c r="F777" s="183"/>
      <c r="G777" s="183"/>
      <c r="H777" s="184"/>
      <c r="I777" s="184"/>
      <c r="J777" s="184"/>
      <c r="K777" s="184"/>
      <c r="L777" s="184"/>
      <c r="M777" s="184"/>
      <c r="N777" s="184"/>
      <c r="O777" s="184"/>
      <c r="Q777" s="184"/>
      <c r="R777" s="185"/>
      <c r="S777" s="185"/>
      <c r="U777" s="184"/>
      <c r="V777" s="184"/>
      <c r="W777" s="184"/>
      <c r="X777" s="184"/>
      <c r="Y777" s="184"/>
      <c r="Z777" s="184"/>
      <c r="AA777" s="184"/>
      <c r="AB777" s="184"/>
      <c r="AC777" s="184"/>
      <c r="AD777" s="184"/>
      <c r="AE777" s="184"/>
      <c r="AF777" s="184"/>
      <c r="AG777" s="184"/>
      <c r="AH777" s="184"/>
      <c r="AI777" s="184"/>
      <c r="AJ777" s="184"/>
      <c r="AK777" s="184"/>
      <c r="AL777" s="184"/>
      <c r="AM777" s="184"/>
      <c r="AN777" s="184"/>
      <c r="AO777" s="184"/>
      <c r="AP777" s="184"/>
      <c r="AQ777" s="184"/>
      <c r="AR777" s="184"/>
      <c r="AS777" s="186"/>
      <c r="AT777" s="187"/>
      <c r="AU777" s="187"/>
      <c r="AV777" s="187"/>
      <c r="AW777" s="224"/>
      <c r="AX777" s="184"/>
      <c r="AY777" s="184"/>
      <c r="AZ777" s="184"/>
      <c r="BA777" s="184"/>
      <c r="BB777" s="184"/>
    </row>
    <row r="778" spans="1:54" s="163" customFormat="1" ht="16.5" customHeight="1">
      <c r="A778" s="180"/>
      <c r="B778" s="181"/>
      <c r="C778" s="182"/>
      <c r="D778" s="182"/>
      <c r="E778" s="183"/>
      <c r="F778" s="183"/>
      <c r="G778" s="183"/>
      <c r="H778" s="184"/>
      <c r="I778" s="184"/>
      <c r="J778" s="184"/>
      <c r="K778" s="184"/>
      <c r="L778" s="184"/>
      <c r="M778" s="184"/>
      <c r="N778" s="184"/>
      <c r="O778" s="184"/>
      <c r="Q778" s="184"/>
      <c r="R778" s="185"/>
      <c r="S778" s="185"/>
      <c r="U778" s="184"/>
      <c r="V778" s="184"/>
      <c r="W778" s="184"/>
      <c r="X778" s="184"/>
      <c r="Y778" s="184"/>
      <c r="Z778" s="184"/>
      <c r="AA778" s="184"/>
      <c r="AB778" s="184"/>
      <c r="AC778" s="184"/>
      <c r="AD778" s="184"/>
      <c r="AE778" s="184"/>
      <c r="AF778" s="184"/>
      <c r="AG778" s="184"/>
      <c r="AH778" s="184"/>
      <c r="AI778" s="184"/>
      <c r="AJ778" s="184"/>
      <c r="AK778" s="184"/>
      <c r="AL778" s="184"/>
      <c r="AM778" s="184"/>
      <c r="AN778" s="184"/>
      <c r="AO778" s="184"/>
      <c r="AP778" s="184"/>
      <c r="AQ778" s="184"/>
      <c r="AR778" s="184"/>
      <c r="AS778" s="186"/>
      <c r="AT778" s="187"/>
      <c r="AU778" s="187"/>
      <c r="AV778" s="187"/>
      <c r="AW778" s="224"/>
      <c r="AX778" s="184"/>
      <c r="AY778" s="184"/>
      <c r="AZ778" s="184"/>
      <c r="BA778" s="184"/>
      <c r="BB778" s="184"/>
    </row>
    <row r="779" spans="1:54" s="163" customFormat="1" ht="16.5" customHeight="1">
      <c r="A779" s="180"/>
      <c r="B779" s="181"/>
      <c r="C779" s="182"/>
      <c r="D779" s="182"/>
      <c r="E779" s="183"/>
      <c r="F779" s="183"/>
      <c r="G779" s="183"/>
      <c r="H779" s="184"/>
      <c r="I779" s="184"/>
      <c r="J779" s="184"/>
      <c r="K779" s="184"/>
      <c r="L779" s="184"/>
      <c r="M779" s="184"/>
      <c r="N779" s="184"/>
      <c r="O779" s="184"/>
      <c r="Q779" s="184"/>
      <c r="R779" s="185"/>
      <c r="S779" s="185"/>
      <c r="U779" s="184"/>
      <c r="V779" s="184"/>
      <c r="W779" s="184"/>
      <c r="X779" s="184"/>
      <c r="Y779" s="184"/>
      <c r="Z779" s="184"/>
      <c r="AA779" s="184"/>
      <c r="AB779" s="184"/>
      <c r="AC779" s="184"/>
      <c r="AD779" s="184"/>
      <c r="AE779" s="184"/>
      <c r="AF779" s="184"/>
      <c r="AG779" s="184"/>
      <c r="AH779" s="184"/>
      <c r="AI779" s="184"/>
      <c r="AJ779" s="184"/>
      <c r="AK779" s="184"/>
      <c r="AL779" s="184"/>
      <c r="AM779" s="184"/>
      <c r="AN779" s="184"/>
      <c r="AO779" s="184"/>
      <c r="AP779" s="184"/>
      <c r="AQ779" s="184"/>
      <c r="AR779" s="184"/>
      <c r="AS779" s="186"/>
      <c r="AT779" s="187"/>
      <c r="AU779" s="187"/>
      <c r="AV779" s="187"/>
      <c r="AW779" s="224"/>
      <c r="AX779" s="184"/>
      <c r="AY779" s="184"/>
      <c r="AZ779" s="184"/>
      <c r="BA779" s="184"/>
      <c r="BB779" s="184"/>
    </row>
    <row r="780" spans="1:54" s="163" customFormat="1" ht="16.5" customHeight="1">
      <c r="A780" s="180"/>
      <c r="B780" s="181"/>
      <c r="C780" s="182"/>
      <c r="D780" s="182"/>
      <c r="E780" s="183"/>
      <c r="F780" s="183"/>
      <c r="G780" s="183"/>
      <c r="H780" s="184"/>
      <c r="I780" s="184"/>
      <c r="J780" s="184"/>
      <c r="K780" s="184"/>
      <c r="L780" s="184"/>
      <c r="M780" s="184"/>
      <c r="N780" s="184"/>
      <c r="O780" s="184"/>
      <c r="Q780" s="184"/>
      <c r="R780" s="185"/>
      <c r="S780" s="185"/>
      <c r="U780" s="184"/>
      <c r="V780" s="184"/>
      <c r="W780" s="184"/>
      <c r="X780" s="184"/>
      <c r="Y780" s="184"/>
      <c r="Z780" s="184"/>
      <c r="AA780" s="184"/>
      <c r="AB780" s="184"/>
      <c r="AC780" s="184"/>
      <c r="AD780" s="184"/>
      <c r="AE780" s="184"/>
      <c r="AF780" s="184"/>
      <c r="AG780" s="184"/>
      <c r="AH780" s="184"/>
      <c r="AI780" s="184"/>
      <c r="AJ780" s="184"/>
      <c r="AK780" s="184"/>
      <c r="AL780" s="184"/>
      <c r="AM780" s="184"/>
      <c r="AN780" s="184"/>
      <c r="AO780" s="184"/>
      <c r="AP780" s="184"/>
      <c r="AQ780" s="184"/>
      <c r="AR780" s="184"/>
      <c r="AS780" s="186"/>
      <c r="AT780" s="187"/>
      <c r="AU780" s="187"/>
      <c r="AV780" s="187"/>
      <c r="AW780" s="224"/>
      <c r="AX780" s="184"/>
      <c r="AY780" s="184"/>
      <c r="AZ780" s="184"/>
      <c r="BA780" s="184"/>
      <c r="BB780" s="184"/>
    </row>
    <row r="781" spans="1:54" s="163" customFormat="1" ht="16.5" customHeight="1">
      <c r="A781" s="180"/>
      <c r="B781" s="181"/>
      <c r="C781" s="182"/>
      <c r="D781" s="182"/>
      <c r="E781" s="183"/>
      <c r="F781" s="183"/>
      <c r="G781" s="183"/>
      <c r="H781" s="184"/>
      <c r="I781" s="184"/>
      <c r="J781" s="184"/>
      <c r="K781" s="184"/>
      <c r="L781" s="184"/>
      <c r="M781" s="184"/>
      <c r="N781" s="184"/>
      <c r="O781" s="184"/>
      <c r="Q781" s="184"/>
      <c r="R781" s="185"/>
      <c r="S781" s="185"/>
      <c r="U781" s="184"/>
      <c r="V781" s="184"/>
      <c r="W781" s="184"/>
      <c r="X781" s="184"/>
      <c r="Y781" s="184"/>
      <c r="Z781" s="184"/>
      <c r="AA781" s="184"/>
      <c r="AB781" s="184"/>
      <c r="AC781" s="184"/>
      <c r="AD781" s="184"/>
      <c r="AE781" s="184"/>
      <c r="AF781" s="184"/>
      <c r="AG781" s="184"/>
      <c r="AH781" s="184"/>
      <c r="AI781" s="184"/>
      <c r="AJ781" s="184"/>
      <c r="AK781" s="184"/>
      <c r="AL781" s="184"/>
      <c r="AM781" s="184"/>
      <c r="AN781" s="184"/>
      <c r="AO781" s="184"/>
      <c r="AP781" s="184"/>
      <c r="AQ781" s="184"/>
      <c r="AR781" s="184"/>
      <c r="AS781" s="186"/>
      <c r="AT781" s="187"/>
      <c r="AU781" s="187"/>
      <c r="AV781" s="187"/>
      <c r="AW781" s="224"/>
      <c r="AX781" s="184"/>
      <c r="AY781" s="184"/>
      <c r="AZ781" s="184"/>
      <c r="BA781" s="184"/>
      <c r="BB781" s="184"/>
    </row>
    <row r="782" spans="1:54" s="163" customFormat="1" ht="16.5" customHeight="1">
      <c r="A782" s="180"/>
      <c r="B782" s="181"/>
      <c r="C782" s="182"/>
      <c r="D782" s="182"/>
      <c r="E782" s="183"/>
      <c r="F782" s="183"/>
      <c r="G782" s="183"/>
      <c r="H782" s="184"/>
      <c r="I782" s="184"/>
      <c r="J782" s="184"/>
      <c r="K782" s="184"/>
      <c r="L782" s="184"/>
      <c r="M782" s="184"/>
      <c r="N782" s="184"/>
      <c r="O782" s="184"/>
      <c r="Q782" s="184"/>
      <c r="R782" s="185"/>
      <c r="S782" s="185"/>
      <c r="U782" s="184"/>
      <c r="V782" s="184"/>
      <c r="W782" s="184"/>
      <c r="X782" s="184"/>
      <c r="Y782" s="184"/>
      <c r="Z782" s="184"/>
      <c r="AA782" s="184"/>
      <c r="AB782" s="184"/>
      <c r="AC782" s="184"/>
      <c r="AD782" s="184"/>
      <c r="AE782" s="184"/>
      <c r="AF782" s="184"/>
      <c r="AG782" s="184"/>
      <c r="AH782" s="184"/>
      <c r="AI782" s="184"/>
      <c r="AJ782" s="184"/>
      <c r="AK782" s="184"/>
      <c r="AL782" s="184"/>
      <c r="AM782" s="184"/>
      <c r="AN782" s="184"/>
      <c r="AO782" s="184"/>
      <c r="AP782" s="184"/>
      <c r="AQ782" s="184"/>
      <c r="AR782" s="184"/>
      <c r="AS782" s="186"/>
      <c r="AT782" s="187"/>
      <c r="AU782" s="187"/>
      <c r="AV782" s="187"/>
      <c r="AW782" s="224"/>
      <c r="AX782" s="184"/>
      <c r="AY782" s="184"/>
      <c r="AZ782" s="184"/>
      <c r="BA782" s="184"/>
      <c r="BB782" s="184"/>
    </row>
    <row r="783" spans="1:54" s="163" customFormat="1" ht="16.5" customHeight="1">
      <c r="A783" s="180"/>
      <c r="B783" s="181"/>
      <c r="C783" s="182"/>
      <c r="D783" s="182"/>
      <c r="E783" s="183"/>
      <c r="F783" s="183"/>
      <c r="G783" s="183"/>
      <c r="H783" s="184"/>
      <c r="I783" s="184"/>
      <c r="J783" s="184"/>
      <c r="K783" s="184"/>
      <c r="L783" s="184"/>
      <c r="M783" s="184"/>
      <c r="N783" s="184"/>
      <c r="O783" s="184"/>
      <c r="Q783" s="184"/>
      <c r="R783" s="185"/>
      <c r="S783" s="185"/>
      <c r="U783" s="184"/>
      <c r="V783" s="184"/>
      <c r="W783" s="184"/>
      <c r="X783" s="184"/>
      <c r="Y783" s="184"/>
      <c r="Z783" s="184"/>
      <c r="AA783" s="184"/>
      <c r="AB783" s="184"/>
      <c r="AC783" s="184"/>
      <c r="AD783" s="184"/>
      <c r="AE783" s="184"/>
      <c r="AF783" s="184"/>
      <c r="AG783" s="184"/>
      <c r="AH783" s="184"/>
      <c r="AI783" s="184"/>
      <c r="AJ783" s="184"/>
      <c r="AK783" s="184"/>
      <c r="AL783" s="184"/>
      <c r="AM783" s="184"/>
      <c r="AN783" s="184"/>
      <c r="AO783" s="184"/>
      <c r="AP783" s="184"/>
      <c r="AQ783" s="184"/>
      <c r="AR783" s="184"/>
      <c r="AS783" s="186"/>
      <c r="AT783" s="187"/>
      <c r="AU783" s="187"/>
      <c r="AV783" s="187"/>
      <c r="AW783" s="224"/>
      <c r="AX783" s="184"/>
      <c r="AY783" s="184"/>
      <c r="AZ783" s="184"/>
      <c r="BA783" s="184"/>
      <c r="BB783" s="184"/>
    </row>
    <row r="784" spans="1:54" s="163" customFormat="1" ht="16.5" customHeight="1">
      <c r="A784" s="180"/>
      <c r="B784" s="181"/>
      <c r="C784" s="182"/>
      <c r="D784" s="182"/>
      <c r="E784" s="183"/>
      <c r="F784" s="183"/>
      <c r="G784" s="183"/>
      <c r="H784" s="184"/>
      <c r="I784" s="184"/>
      <c r="J784" s="184"/>
      <c r="K784" s="184"/>
      <c r="L784" s="184"/>
      <c r="M784" s="184"/>
      <c r="N784" s="184"/>
      <c r="O784" s="184"/>
      <c r="Q784" s="184"/>
      <c r="R784" s="185"/>
      <c r="S784" s="185"/>
      <c r="U784" s="184"/>
      <c r="V784" s="184"/>
      <c r="W784" s="184"/>
      <c r="X784" s="184"/>
      <c r="Y784" s="184"/>
      <c r="Z784" s="184"/>
      <c r="AA784" s="184"/>
      <c r="AB784" s="184"/>
      <c r="AC784" s="184"/>
      <c r="AD784" s="184"/>
      <c r="AE784" s="184"/>
      <c r="AF784" s="184"/>
      <c r="AG784" s="184"/>
      <c r="AH784" s="184"/>
      <c r="AI784" s="184"/>
      <c r="AJ784" s="184"/>
      <c r="AK784" s="184"/>
      <c r="AL784" s="184"/>
      <c r="AM784" s="184"/>
      <c r="AN784" s="184"/>
      <c r="AO784" s="184"/>
      <c r="AP784" s="184"/>
      <c r="AQ784" s="184"/>
      <c r="AR784" s="184"/>
      <c r="AS784" s="186"/>
      <c r="AT784" s="187"/>
      <c r="AU784" s="187"/>
      <c r="AV784" s="187"/>
      <c r="AW784" s="224"/>
      <c r="AX784" s="184"/>
      <c r="AY784" s="184"/>
      <c r="AZ784" s="184"/>
      <c r="BA784" s="184"/>
      <c r="BB784" s="184"/>
    </row>
    <row r="785" spans="1:54" s="163" customFormat="1" ht="16.5" customHeight="1">
      <c r="A785" s="180"/>
      <c r="B785" s="181"/>
      <c r="C785" s="182"/>
      <c r="D785" s="182"/>
      <c r="E785" s="183"/>
      <c r="F785" s="183"/>
      <c r="G785" s="183"/>
      <c r="H785" s="184"/>
      <c r="I785" s="184"/>
      <c r="J785" s="184"/>
      <c r="K785" s="184"/>
      <c r="L785" s="184"/>
      <c r="M785" s="184"/>
      <c r="N785" s="184"/>
      <c r="O785" s="184"/>
      <c r="Q785" s="184"/>
      <c r="R785" s="185"/>
      <c r="S785" s="185"/>
      <c r="U785" s="184"/>
      <c r="V785" s="184"/>
      <c r="W785" s="184"/>
      <c r="X785" s="184"/>
      <c r="Y785" s="184"/>
      <c r="Z785" s="184"/>
      <c r="AA785" s="184"/>
      <c r="AB785" s="184"/>
      <c r="AC785" s="184"/>
      <c r="AD785" s="184"/>
      <c r="AE785" s="184"/>
      <c r="AF785" s="184"/>
      <c r="AG785" s="184"/>
      <c r="AH785" s="184"/>
      <c r="AI785" s="184"/>
      <c r="AJ785" s="184"/>
      <c r="AK785" s="184"/>
      <c r="AL785" s="184"/>
      <c r="AM785" s="184"/>
      <c r="AN785" s="184"/>
      <c r="AO785" s="184"/>
      <c r="AP785" s="184"/>
      <c r="AQ785" s="184"/>
      <c r="AR785" s="184"/>
      <c r="AS785" s="186"/>
      <c r="AT785" s="187"/>
      <c r="AU785" s="187"/>
      <c r="AV785" s="187"/>
      <c r="AW785" s="224"/>
      <c r="AX785" s="184"/>
      <c r="AY785" s="184"/>
      <c r="AZ785" s="184"/>
      <c r="BA785" s="184"/>
      <c r="BB785" s="184"/>
    </row>
    <row r="786" spans="1:54" s="163" customFormat="1" ht="16.5" customHeight="1">
      <c r="A786" s="180"/>
      <c r="B786" s="181"/>
      <c r="C786" s="182"/>
      <c r="D786" s="182"/>
      <c r="E786" s="183"/>
      <c r="F786" s="183"/>
      <c r="G786" s="183"/>
      <c r="H786" s="184"/>
      <c r="I786" s="184"/>
      <c r="J786" s="184"/>
      <c r="K786" s="184"/>
      <c r="L786" s="184"/>
      <c r="M786" s="184"/>
      <c r="N786" s="184"/>
      <c r="O786" s="184"/>
      <c r="Q786" s="184"/>
      <c r="R786" s="185"/>
      <c r="S786" s="185"/>
      <c r="U786" s="184"/>
      <c r="V786" s="184"/>
      <c r="W786" s="184"/>
      <c r="X786" s="184"/>
      <c r="Y786" s="184"/>
      <c r="Z786" s="184"/>
      <c r="AA786" s="184"/>
      <c r="AB786" s="184"/>
      <c r="AC786" s="184"/>
      <c r="AD786" s="184"/>
      <c r="AE786" s="184"/>
      <c r="AF786" s="184"/>
      <c r="AG786" s="184"/>
      <c r="AH786" s="184"/>
      <c r="AI786" s="184"/>
      <c r="AJ786" s="184"/>
      <c r="AK786" s="184"/>
      <c r="AL786" s="184"/>
      <c r="AM786" s="184"/>
      <c r="AN786" s="184"/>
      <c r="AO786" s="184"/>
      <c r="AP786" s="184"/>
      <c r="AQ786" s="184"/>
      <c r="AR786" s="184"/>
      <c r="AS786" s="186"/>
      <c r="AT786" s="187"/>
      <c r="AU786" s="187"/>
      <c r="AV786" s="187"/>
      <c r="AW786" s="224"/>
      <c r="AX786" s="184"/>
      <c r="AY786" s="184"/>
      <c r="AZ786" s="184"/>
      <c r="BA786" s="184"/>
      <c r="BB786" s="184"/>
    </row>
    <row r="787" spans="1:54" s="163" customFormat="1" ht="16.5" customHeight="1">
      <c r="A787" s="180"/>
      <c r="B787" s="181"/>
      <c r="C787" s="182"/>
      <c r="D787" s="182"/>
      <c r="E787" s="183"/>
      <c r="F787" s="183"/>
      <c r="G787" s="183"/>
      <c r="H787" s="184"/>
      <c r="I787" s="184"/>
      <c r="J787" s="184"/>
      <c r="K787" s="184"/>
      <c r="L787" s="184"/>
      <c r="M787" s="184"/>
      <c r="N787" s="184"/>
      <c r="O787" s="184"/>
      <c r="Q787" s="184"/>
      <c r="R787" s="185"/>
      <c r="S787" s="185"/>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c r="AP787" s="184"/>
      <c r="AQ787" s="184"/>
      <c r="AR787" s="184"/>
      <c r="AS787" s="186"/>
      <c r="AT787" s="187"/>
      <c r="AU787" s="187"/>
      <c r="AV787" s="187"/>
      <c r="AW787" s="224"/>
      <c r="AX787" s="184"/>
      <c r="AY787" s="184"/>
      <c r="AZ787" s="184"/>
      <c r="BA787" s="184"/>
      <c r="BB787" s="184"/>
    </row>
    <row r="788" spans="1:54" s="163" customFormat="1" ht="16.5" customHeight="1">
      <c r="A788" s="180"/>
      <c r="B788" s="181"/>
      <c r="C788" s="182"/>
      <c r="D788" s="182"/>
      <c r="E788" s="183"/>
      <c r="F788" s="183"/>
      <c r="G788" s="183"/>
      <c r="H788" s="184"/>
      <c r="I788" s="184"/>
      <c r="J788" s="184"/>
      <c r="K788" s="184"/>
      <c r="L788" s="184"/>
      <c r="M788" s="184"/>
      <c r="N788" s="184"/>
      <c r="O788" s="184"/>
      <c r="Q788" s="184"/>
      <c r="R788" s="185"/>
      <c r="S788" s="185"/>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c r="AP788" s="184"/>
      <c r="AQ788" s="184"/>
      <c r="AR788" s="184"/>
      <c r="AS788" s="186"/>
      <c r="AT788" s="187"/>
      <c r="AU788" s="187"/>
      <c r="AV788" s="187"/>
      <c r="AW788" s="224"/>
      <c r="AX788" s="184"/>
      <c r="AY788" s="184"/>
      <c r="AZ788" s="184"/>
      <c r="BA788" s="184"/>
      <c r="BB788" s="184"/>
    </row>
    <row r="789" spans="1:54" s="163" customFormat="1" ht="16.5" customHeight="1">
      <c r="A789" s="180"/>
      <c r="B789" s="181"/>
      <c r="C789" s="182"/>
      <c r="D789" s="182"/>
      <c r="E789" s="183"/>
      <c r="F789" s="183"/>
      <c r="G789" s="183"/>
      <c r="H789" s="184"/>
      <c r="I789" s="184"/>
      <c r="J789" s="184"/>
      <c r="K789" s="184"/>
      <c r="L789" s="184"/>
      <c r="M789" s="184"/>
      <c r="N789" s="184"/>
      <c r="O789" s="184"/>
      <c r="Q789" s="184"/>
      <c r="R789" s="185"/>
      <c r="S789" s="185"/>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c r="AP789" s="184"/>
      <c r="AQ789" s="184"/>
      <c r="AR789" s="184"/>
      <c r="AS789" s="186"/>
      <c r="AT789" s="187"/>
      <c r="AU789" s="187"/>
      <c r="AV789" s="187"/>
      <c r="AW789" s="224"/>
      <c r="AX789" s="184"/>
      <c r="AY789" s="184"/>
      <c r="AZ789" s="184"/>
      <c r="BA789" s="184"/>
      <c r="BB789" s="184"/>
    </row>
    <row r="790" spans="1:54" s="163" customFormat="1" ht="16.5" customHeight="1">
      <c r="A790" s="180"/>
      <c r="B790" s="181"/>
      <c r="C790" s="182"/>
      <c r="D790" s="182"/>
      <c r="E790" s="183"/>
      <c r="F790" s="183"/>
      <c r="G790" s="183"/>
      <c r="H790" s="184"/>
      <c r="I790" s="184"/>
      <c r="J790" s="184"/>
      <c r="K790" s="184"/>
      <c r="L790" s="184"/>
      <c r="M790" s="184"/>
      <c r="N790" s="184"/>
      <c r="O790" s="184"/>
      <c r="Q790" s="184"/>
      <c r="R790" s="185"/>
      <c r="S790" s="185"/>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c r="AP790" s="184"/>
      <c r="AQ790" s="184"/>
      <c r="AR790" s="184"/>
      <c r="AS790" s="186"/>
      <c r="AT790" s="187"/>
      <c r="AU790" s="187"/>
      <c r="AV790" s="187"/>
      <c r="AW790" s="224"/>
      <c r="AX790" s="184"/>
      <c r="AY790" s="184"/>
      <c r="AZ790" s="184"/>
      <c r="BA790" s="184"/>
      <c r="BB790" s="184"/>
    </row>
    <row r="791" spans="1:54" s="163" customFormat="1" ht="16.5" customHeight="1">
      <c r="A791" s="180"/>
      <c r="B791" s="181"/>
      <c r="C791" s="182"/>
      <c r="D791" s="182"/>
      <c r="E791" s="183"/>
      <c r="F791" s="183"/>
      <c r="G791" s="183"/>
      <c r="H791" s="184"/>
      <c r="I791" s="184"/>
      <c r="J791" s="184"/>
      <c r="K791" s="184"/>
      <c r="L791" s="184"/>
      <c r="M791" s="184"/>
      <c r="N791" s="184"/>
      <c r="O791" s="184"/>
      <c r="Q791" s="184"/>
      <c r="R791" s="185"/>
      <c r="S791" s="185"/>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c r="AP791" s="184"/>
      <c r="AQ791" s="184"/>
      <c r="AR791" s="184"/>
      <c r="AS791" s="186"/>
      <c r="AT791" s="187"/>
      <c r="AU791" s="187"/>
      <c r="AV791" s="187"/>
      <c r="AW791" s="224"/>
      <c r="AX791" s="184"/>
      <c r="AY791" s="184"/>
      <c r="AZ791" s="184"/>
      <c r="BA791" s="184"/>
      <c r="BB791" s="184"/>
    </row>
    <row r="792" spans="1:54" s="163" customFormat="1" ht="16.5" customHeight="1">
      <c r="A792" s="180"/>
      <c r="B792" s="181"/>
      <c r="C792" s="182"/>
      <c r="D792" s="182"/>
      <c r="E792" s="183"/>
      <c r="F792" s="183"/>
      <c r="G792" s="183"/>
      <c r="H792" s="184"/>
      <c r="I792" s="184"/>
      <c r="J792" s="184"/>
      <c r="K792" s="184"/>
      <c r="L792" s="184"/>
      <c r="M792" s="184"/>
      <c r="N792" s="184"/>
      <c r="O792" s="184"/>
      <c r="Q792" s="184"/>
      <c r="R792" s="185"/>
      <c r="S792" s="185"/>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6"/>
      <c r="AT792" s="187"/>
      <c r="AU792" s="187"/>
      <c r="AV792" s="187"/>
      <c r="AW792" s="224"/>
      <c r="AX792" s="184"/>
      <c r="AY792" s="184"/>
      <c r="AZ792" s="184"/>
      <c r="BA792" s="184"/>
      <c r="BB792" s="184"/>
    </row>
    <row r="793" spans="1:54" s="163" customFormat="1" ht="16.5" customHeight="1">
      <c r="A793" s="180"/>
      <c r="B793" s="181"/>
      <c r="C793" s="182"/>
      <c r="D793" s="182"/>
      <c r="E793" s="183"/>
      <c r="F793" s="183"/>
      <c r="G793" s="183"/>
      <c r="H793" s="184"/>
      <c r="I793" s="184"/>
      <c r="J793" s="184"/>
      <c r="K793" s="184"/>
      <c r="L793" s="184"/>
      <c r="M793" s="184"/>
      <c r="N793" s="184"/>
      <c r="O793" s="184"/>
      <c r="Q793" s="184"/>
      <c r="R793" s="185"/>
      <c r="S793" s="185"/>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c r="AP793" s="184"/>
      <c r="AQ793" s="184"/>
      <c r="AR793" s="184"/>
      <c r="AS793" s="186"/>
      <c r="AT793" s="187"/>
      <c r="AU793" s="187"/>
      <c r="AV793" s="187"/>
      <c r="AW793" s="224"/>
      <c r="AX793" s="184"/>
      <c r="AY793" s="184"/>
      <c r="AZ793" s="184"/>
      <c r="BA793" s="184"/>
      <c r="BB793" s="184"/>
    </row>
    <row r="794" spans="1:54" s="163" customFormat="1" ht="16.5" customHeight="1">
      <c r="A794" s="180"/>
      <c r="B794" s="181"/>
      <c r="C794" s="182"/>
      <c r="D794" s="182"/>
      <c r="E794" s="183"/>
      <c r="F794" s="183"/>
      <c r="G794" s="183"/>
      <c r="H794" s="184"/>
      <c r="I794" s="184"/>
      <c r="J794" s="184"/>
      <c r="K794" s="184"/>
      <c r="L794" s="184"/>
      <c r="M794" s="184"/>
      <c r="N794" s="184"/>
      <c r="O794" s="184"/>
      <c r="Q794" s="184"/>
      <c r="R794" s="185"/>
      <c r="S794" s="185"/>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c r="AP794" s="184"/>
      <c r="AQ794" s="184"/>
      <c r="AR794" s="184"/>
      <c r="AS794" s="186"/>
      <c r="AT794" s="187"/>
      <c r="AU794" s="187"/>
      <c r="AV794" s="187"/>
      <c r="AW794" s="224"/>
      <c r="AX794" s="184"/>
      <c r="AY794" s="184"/>
      <c r="AZ794" s="184"/>
      <c r="BA794" s="184"/>
      <c r="BB794" s="184"/>
    </row>
    <row r="795" spans="1:54" s="163" customFormat="1" ht="16.5" customHeight="1">
      <c r="A795" s="180"/>
      <c r="B795" s="181"/>
      <c r="C795" s="182"/>
      <c r="D795" s="182"/>
      <c r="E795" s="183"/>
      <c r="F795" s="183"/>
      <c r="G795" s="183"/>
      <c r="H795" s="184"/>
      <c r="I795" s="184"/>
      <c r="J795" s="184"/>
      <c r="K795" s="184"/>
      <c r="L795" s="184"/>
      <c r="M795" s="184"/>
      <c r="N795" s="184"/>
      <c r="O795" s="184"/>
      <c r="Q795" s="184"/>
      <c r="R795" s="185"/>
      <c r="S795" s="185"/>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c r="AP795" s="184"/>
      <c r="AQ795" s="184"/>
      <c r="AR795" s="184"/>
      <c r="AS795" s="186"/>
      <c r="AT795" s="187"/>
      <c r="AU795" s="187"/>
      <c r="AV795" s="187"/>
      <c r="AW795" s="224"/>
      <c r="AX795" s="184"/>
      <c r="AY795" s="184"/>
      <c r="AZ795" s="184"/>
      <c r="BA795" s="184"/>
      <c r="BB795" s="184"/>
    </row>
    <row r="796" spans="1:54" s="163" customFormat="1" ht="16.5" customHeight="1">
      <c r="A796" s="180"/>
      <c r="B796" s="181"/>
      <c r="C796" s="182"/>
      <c r="D796" s="182"/>
      <c r="E796" s="183"/>
      <c r="F796" s="183"/>
      <c r="G796" s="183"/>
      <c r="H796" s="184"/>
      <c r="I796" s="184"/>
      <c r="J796" s="184"/>
      <c r="K796" s="184"/>
      <c r="L796" s="184"/>
      <c r="M796" s="184"/>
      <c r="N796" s="184"/>
      <c r="O796" s="184"/>
      <c r="Q796" s="184"/>
      <c r="R796" s="185"/>
      <c r="S796" s="185"/>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c r="AP796" s="184"/>
      <c r="AQ796" s="184"/>
      <c r="AR796" s="184"/>
      <c r="AS796" s="186"/>
      <c r="AT796" s="187"/>
      <c r="AU796" s="187"/>
      <c r="AV796" s="187"/>
      <c r="AW796" s="224"/>
      <c r="AX796" s="184"/>
      <c r="AY796" s="184"/>
      <c r="AZ796" s="184"/>
      <c r="BA796" s="184"/>
      <c r="BB796" s="184"/>
    </row>
    <row r="797" spans="1:54" s="163" customFormat="1" ht="16.5" customHeight="1">
      <c r="A797" s="180"/>
      <c r="B797" s="181"/>
      <c r="C797" s="182"/>
      <c r="D797" s="182"/>
      <c r="E797" s="183"/>
      <c r="F797" s="183"/>
      <c r="G797" s="183"/>
      <c r="H797" s="184"/>
      <c r="I797" s="184"/>
      <c r="J797" s="184"/>
      <c r="K797" s="184"/>
      <c r="L797" s="184"/>
      <c r="M797" s="184"/>
      <c r="N797" s="184"/>
      <c r="O797" s="184"/>
      <c r="Q797" s="184"/>
      <c r="R797" s="185"/>
      <c r="S797" s="185"/>
      <c r="U797" s="184"/>
      <c r="V797" s="184"/>
      <c r="W797" s="184"/>
      <c r="X797" s="184"/>
      <c r="Y797" s="184"/>
      <c r="Z797" s="184"/>
      <c r="AA797" s="184"/>
      <c r="AB797" s="184"/>
      <c r="AC797" s="184"/>
      <c r="AD797" s="184"/>
      <c r="AE797" s="184"/>
      <c r="AF797" s="184"/>
      <c r="AG797" s="184"/>
      <c r="AH797" s="184"/>
      <c r="AI797" s="184"/>
      <c r="AJ797" s="184"/>
      <c r="AK797" s="184"/>
      <c r="AL797" s="184"/>
      <c r="AM797" s="184"/>
      <c r="AN797" s="184"/>
      <c r="AO797" s="184"/>
      <c r="AP797" s="184"/>
      <c r="AQ797" s="184"/>
      <c r="AR797" s="184"/>
      <c r="AS797" s="186"/>
      <c r="AT797" s="187"/>
      <c r="AU797" s="187"/>
      <c r="AV797" s="187"/>
      <c r="AW797" s="224"/>
      <c r="AX797" s="184"/>
      <c r="AY797" s="184"/>
      <c r="AZ797" s="184"/>
      <c r="BA797" s="184"/>
      <c r="BB797" s="184"/>
    </row>
    <row r="798" spans="1:54" s="163" customFormat="1" ht="16.5" customHeight="1">
      <c r="A798" s="180"/>
      <c r="B798" s="181"/>
      <c r="C798" s="182"/>
      <c r="D798" s="182"/>
      <c r="E798" s="183"/>
      <c r="F798" s="183"/>
      <c r="G798" s="183"/>
      <c r="H798" s="184"/>
      <c r="I798" s="184"/>
      <c r="J798" s="184"/>
      <c r="K798" s="184"/>
      <c r="L798" s="184"/>
      <c r="M798" s="184"/>
      <c r="N798" s="184"/>
      <c r="O798" s="184"/>
      <c r="Q798" s="184"/>
      <c r="R798" s="185"/>
      <c r="S798" s="185"/>
      <c r="U798" s="184"/>
      <c r="V798" s="184"/>
      <c r="W798" s="184"/>
      <c r="X798" s="184"/>
      <c r="Y798" s="184"/>
      <c r="Z798" s="184"/>
      <c r="AA798" s="184"/>
      <c r="AB798" s="184"/>
      <c r="AC798" s="184"/>
      <c r="AD798" s="184"/>
      <c r="AE798" s="184"/>
      <c r="AF798" s="184"/>
      <c r="AG798" s="184"/>
      <c r="AH798" s="184"/>
      <c r="AI798" s="184"/>
      <c r="AJ798" s="184"/>
      <c r="AK798" s="184"/>
      <c r="AL798" s="184"/>
      <c r="AM798" s="184"/>
      <c r="AN798" s="184"/>
      <c r="AO798" s="184"/>
      <c r="AP798" s="184"/>
      <c r="AQ798" s="184"/>
      <c r="AR798" s="184"/>
      <c r="AS798" s="186"/>
      <c r="AT798" s="187"/>
      <c r="AU798" s="187"/>
      <c r="AV798" s="187"/>
      <c r="AW798" s="224"/>
      <c r="AX798" s="184"/>
      <c r="AY798" s="184"/>
      <c r="AZ798" s="184"/>
      <c r="BA798" s="184"/>
      <c r="BB798" s="184"/>
    </row>
    <row r="799" spans="1:54" s="163" customFormat="1" ht="16.5" customHeight="1">
      <c r="A799" s="180"/>
      <c r="B799" s="181"/>
      <c r="C799" s="182"/>
      <c r="D799" s="182"/>
      <c r="E799" s="183"/>
      <c r="F799" s="183"/>
      <c r="G799" s="183"/>
      <c r="H799" s="184"/>
      <c r="I799" s="184"/>
      <c r="J799" s="184"/>
      <c r="K799" s="184"/>
      <c r="L799" s="184"/>
      <c r="M799" s="184"/>
      <c r="N799" s="184"/>
      <c r="O799" s="184"/>
      <c r="Q799" s="184"/>
      <c r="R799" s="185"/>
      <c r="S799" s="185"/>
      <c r="U799" s="184"/>
      <c r="V799" s="184"/>
      <c r="W799" s="184"/>
      <c r="X799" s="184"/>
      <c r="Y799" s="184"/>
      <c r="Z799" s="184"/>
      <c r="AA799" s="184"/>
      <c r="AB799" s="184"/>
      <c r="AC799" s="184"/>
      <c r="AD799" s="184"/>
      <c r="AE799" s="184"/>
      <c r="AF799" s="184"/>
      <c r="AG799" s="184"/>
      <c r="AH799" s="184"/>
      <c r="AI799" s="184"/>
      <c r="AJ799" s="184"/>
      <c r="AK799" s="184"/>
      <c r="AL799" s="184"/>
      <c r="AM799" s="184"/>
      <c r="AN799" s="184"/>
      <c r="AO799" s="184"/>
      <c r="AP799" s="184"/>
      <c r="AQ799" s="184"/>
      <c r="AR799" s="184"/>
      <c r="AS799" s="186"/>
      <c r="AT799" s="187"/>
      <c r="AU799" s="187"/>
      <c r="AV799" s="187"/>
      <c r="AW799" s="224"/>
      <c r="AX799" s="184"/>
      <c r="AY799" s="184"/>
      <c r="AZ799" s="184"/>
      <c r="BA799" s="184"/>
      <c r="BB799" s="184"/>
    </row>
    <row r="800" spans="1:54" s="163" customFormat="1" ht="16.5" customHeight="1">
      <c r="A800" s="180"/>
      <c r="B800" s="181"/>
      <c r="C800" s="182"/>
      <c r="D800" s="182"/>
      <c r="E800" s="183"/>
      <c r="F800" s="183"/>
      <c r="G800" s="183"/>
      <c r="H800" s="184"/>
      <c r="I800" s="184"/>
      <c r="J800" s="184"/>
      <c r="K800" s="184"/>
      <c r="L800" s="184"/>
      <c r="M800" s="184"/>
      <c r="N800" s="184"/>
      <c r="O800" s="184"/>
      <c r="Q800" s="184"/>
      <c r="R800" s="185"/>
      <c r="S800" s="185"/>
      <c r="U800" s="184"/>
      <c r="V800" s="184"/>
      <c r="W800" s="184"/>
      <c r="X800" s="184"/>
      <c r="Y800" s="184"/>
      <c r="Z800" s="184"/>
      <c r="AA800" s="184"/>
      <c r="AB800" s="184"/>
      <c r="AC800" s="184"/>
      <c r="AD800" s="184"/>
      <c r="AE800" s="184"/>
      <c r="AF800" s="184"/>
      <c r="AG800" s="184"/>
      <c r="AH800" s="184"/>
      <c r="AI800" s="184"/>
      <c r="AJ800" s="184"/>
      <c r="AK800" s="184"/>
      <c r="AL800" s="184"/>
      <c r="AM800" s="184"/>
      <c r="AN800" s="184"/>
      <c r="AO800" s="184"/>
      <c r="AP800" s="184"/>
      <c r="AQ800" s="184"/>
      <c r="AR800" s="184"/>
      <c r="AS800" s="186"/>
      <c r="AT800" s="187"/>
      <c r="AU800" s="187"/>
      <c r="AV800" s="187"/>
      <c r="AW800" s="224"/>
      <c r="AX800" s="184"/>
      <c r="AY800" s="184"/>
      <c r="AZ800" s="184"/>
      <c r="BA800" s="184"/>
      <c r="BB800" s="184"/>
    </row>
    <row r="801" spans="1:54" s="163" customFormat="1" ht="16.5" customHeight="1">
      <c r="A801" s="180"/>
      <c r="B801" s="181"/>
      <c r="C801" s="182"/>
      <c r="D801" s="182"/>
      <c r="E801" s="183"/>
      <c r="F801" s="183"/>
      <c r="G801" s="183"/>
      <c r="H801" s="184"/>
      <c r="I801" s="184"/>
      <c r="J801" s="184"/>
      <c r="K801" s="184"/>
      <c r="L801" s="184"/>
      <c r="M801" s="184"/>
      <c r="N801" s="184"/>
      <c r="O801" s="184"/>
      <c r="Q801" s="184"/>
      <c r="R801" s="185"/>
      <c r="S801" s="185"/>
      <c r="U801" s="184"/>
      <c r="V801" s="184"/>
      <c r="W801" s="184"/>
      <c r="X801" s="184"/>
      <c r="Y801" s="184"/>
      <c r="Z801" s="184"/>
      <c r="AA801" s="184"/>
      <c r="AB801" s="184"/>
      <c r="AC801" s="184"/>
      <c r="AD801" s="184"/>
      <c r="AE801" s="184"/>
      <c r="AF801" s="184"/>
      <c r="AG801" s="184"/>
      <c r="AH801" s="184"/>
      <c r="AI801" s="184"/>
      <c r="AJ801" s="184"/>
      <c r="AK801" s="184"/>
      <c r="AL801" s="184"/>
      <c r="AM801" s="184"/>
      <c r="AN801" s="184"/>
      <c r="AO801" s="184"/>
      <c r="AP801" s="184"/>
      <c r="AQ801" s="184"/>
      <c r="AR801" s="184"/>
      <c r="AS801" s="186"/>
      <c r="AT801" s="187"/>
      <c r="AU801" s="187"/>
      <c r="AV801" s="187"/>
      <c r="AW801" s="224"/>
      <c r="AX801" s="184"/>
      <c r="AY801" s="184"/>
      <c r="AZ801" s="184"/>
      <c r="BA801" s="184"/>
      <c r="BB801" s="184"/>
    </row>
    <row r="802" spans="1:54" s="163" customFormat="1" ht="16.5" customHeight="1">
      <c r="A802" s="180"/>
      <c r="B802" s="181"/>
      <c r="C802" s="182"/>
      <c r="D802" s="182"/>
      <c r="E802" s="183"/>
      <c r="F802" s="183"/>
      <c r="G802" s="183"/>
      <c r="H802" s="184"/>
      <c r="I802" s="184"/>
      <c r="J802" s="184"/>
      <c r="K802" s="184"/>
      <c r="L802" s="184"/>
      <c r="M802" s="184"/>
      <c r="N802" s="184"/>
      <c r="O802" s="184"/>
      <c r="Q802" s="184"/>
      <c r="R802" s="185"/>
      <c r="S802" s="185"/>
      <c r="U802" s="184"/>
      <c r="V802" s="184"/>
      <c r="W802" s="184"/>
      <c r="X802" s="184"/>
      <c r="Y802" s="184"/>
      <c r="Z802" s="184"/>
      <c r="AA802" s="184"/>
      <c r="AB802" s="184"/>
      <c r="AC802" s="184"/>
      <c r="AD802" s="184"/>
      <c r="AE802" s="184"/>
      <c r="AF802" s="184"/>
      <c r="AG802" s="184"/>
      <c r="AH802" s="184"/>
      <c r="AI802" s="184"/>
      <c r="AJ802" s="184"/>
      <c r="AK802" s="184"/>
      <c r="AL802" s="184"/>
      <c r="AM802" s="184"/>
      <c r="AN802" s="184"/>
      <c r="AO802" s="184"/>
      <c r="AP802" s="184"/>
      <c r="AQ802" s="184"/>
      <c r="AR802" s="184"/>
      <c r="AS802" s="186"/>
      <c r="AT802" s="187"/>
      <c r="AU802" s="187"/>
      <c r="AV802" s="187"/>
      <c r="AW802" s="224"/>
      <c r="AX802" s="184"/>
      <c r="AY802" s="184"/>
      <c r="AZ802" s="184"/>
      <c r="BA802" s="184"/>
      <c r="BB802" s="184"/>
    </row>
    <row r="803" spans="1:54" s="163" customFormat="1" ht="16.5" customHeight="1">
      <c r="A803" s="180"/>
      <c r="B803" s="181"/>
      <c r="C803" s="182"/>
      <c r="D803" s="182"/>
      <c r="E803" s="183"/>
      <c r="F803" s="183"/>
      <c r="G803" s="183"/>
      <c r="H803" s="184"/>
      <c r="I803" s="184"/>
      <c r="J803" s="184"/>
      <c r="K803" s="184"/>
      <c r="L803" s="184"/>
      <c r="M803" s="184"/>
      <c r="N803" s="184"/>
      <c r="O803" s="184"/>
      <c r="Q803" s="184"/>
      <c r="R803" s="185"/>
      <c r="S803" s="185"/>
      <c r="U803" s="184"/>
      <c r="V803" s="184"/>
      <c r="W803" s="184"/>
      <c r="X803" s="184"/>
      <c r="Y803" s="184"/>
      <c r="Z803" s="184"/>
      <c r="AA803" s="184"/>
      <c r="AB803" s="184"/>
      <c r="AC803" s="184"/>
      <c r="AD803" s="184"/>
      <c r="AE803" s="184"/>
      <c r="AF803" s="184"/>
      <c r="AG803" s="184"/>
      <c r="AH803" s="184"/>
      <c r="AI803" s="184"/>
      <c r="AJ803" s="184"/>
      <c r="AK803" s="184"/>
      <c r="AL803" s="184"/>
      <c r="AM803" s="184"/>
      <c r="AN803" s="184"/>
      <c r="AO803" s="184"/>
      <c r="AP803" s="184"/>
      <c r="AQ803" s="184"/>
      <c r="AR803" s="184"/>
      <c r="AS803" s="186"/>
      <c r="AT803" s="187"/>
      <c r="AU803" s="187"/>
      <c r="AV803" s="187"/>
      <c r="AW803" s="224"/>
      <c r="AX803" s="184"/>
      <c r="AY803" s="184"/>
      <c r="AZ803" s="184"/>
      <c r="BA803" s="184"/>
      <c r="BB803" s="184"/>
    </row>
    <row r="804" spans="1:54" s="163" customFormat="1" ht="16.5" customHeight="1">
      <c r="A804" s="180"/>
      <c r="B804" s="181"/>
      <c r="C804" s="182"/>
      <c r="D804" s="182"/>
      <c r="E804" s="183"/>
      <c r="F804" s="183"/>
      <c r="G804" s="183"/>
      <c r="H804" s="184"/>
      <c r="I804" s="184"/>
      <c r="J804" s="184"/>
      <c r="K804" s="184"/>
      <c r="L804" s="184"/>
      <c r="M804" s="184"/>
      <c r="N804" s="184"/>
      <c r="O804" s="184"/>
      <c r="Q804" s="184"/>
      <c r="R804" s="185"/>
      <c r="S804" s="185"/>
      <c r="U804" s="184"/>
      <c r="V804" s="184"/>
      <c r="W804" s="184"/>
      <c r="X804" s="184"/>
      <c r="Y804" s="184"/>
      <c r="Z804" s="184"/>
      <c r="AA804" s="184"/>
      <c r="AB804" s="184"/>
      <c r="AC804" s="184"/>
      <c r="AD804" s="184"/>
      <c r="AE804" s="184"/>
      <c r="AF804" s="184"/>
      <c r="AG804" s="184"/>
      <c r="AH804" s="184"/>
      <c r="AI804" s="184"/>
      <c r="AJ804" s="184"/>
      <c r="AK804" s="184"/>
      <c r="AL804" s="184"/>
      <c r="AM804" s="184"/>
      <c r="AN804" s="184"/>
      <c r="AO804" s="184"/>
      <c r="AP804" s="184"/>
      <c r="AQ804" s="184"/>
      <c r="AR804" s="184"/>
      <c r="AS804" s="186"/>
      <c r="AT804" s="187"/>
      <c r="AU804" s="187"/>
      <c r="AV804" s="187"/>
      <c r="AW804" s="224"/>
      <c r="AX804" s="184"/>
      <c r="AY804" s="184"/>
      <c r="AZ804" s="184"/>
      <c r="BA804" s="184"/>
      <c r="BB804" s="184"/>
    </row>
    <row r="805" spans="1:54" s="163" customFormat="1" ht="16.5" customHeight="1">
      <c r="A805" s="180"/>
      <c r="B805" s="181"/>
      <c r="C805" s="182"/>
      <c r="D805" s="182"/>
      <c r="E805" s="183"/>
      <c r="F805" s="183"/>
      <c r="G805" s="183"/>
      <c r="H805" s="184"/>
      <c r="I805" s="184"/>
      <c r="J805" s="184"/>
      <c r="K805" s="184"/>
      <c r="L805" s="184"/>
      <c r="M805" s="184"/>
      <c r="N805" s="184"/>
      <c r="O805" s="184"/>
      <c r="Q805" s="184"/>
      <c r="R805" s="185"/>
      <c r="S805" s="185"/>
      <c r="U805" s="184"/>
      <c r="V805" s="184"/>
      <c r="W805" s="184"/>
      <c r="X805" s="184"/>
      <c r="Y805" s="184"/>
      <c r="Z805" s="184"/>
      <c r="AA805" s="184"/>
      <c r="AB805" s="184"/>
      <c r="AC805" s="184"/>
      <c r="AD805" s="184"/>
      <c r="AE805" s="184"/>
      <c r="AF805" s="184"/>
      <c r="AG805" s="184"/>
      <c r="AH805" s="184"/>
      <c r="AI805" s="184"/>
      <c r="AJ805" s="184"/>
      <c r="AK805" s="184"/>
      <c r="AL805" s="184"/>
      <c r="AM805" s="184"/>
      <c r="AN805" s="184"/>
      <c r="AO805" s="184"/>
      <c r="AP805" s="184"/>
      <c r="AQ805" s="184"/>
      <c r="AR805" s="184"/>
      <c r="AS805" s="186"/>
      <c r="AT805" s="187"/>
      <c r="AU805" s="187"/>
      <c r="AV805" s="187"/>
      <c r="AW805" s="224"/>
      <c r="AX805" s="184"/>
      <c r="AY805" s="184"/>
      <c r="AZ805" s="184"/>
      <c r="BA805" s="184"/>
      <c r="BB805" s="184"/>
    </row>
    <row r="806" spans="1:54" s="163" customFormat="1" ht="16.5" customHeight="1">
      <c r="A806" s="180"/>
      <c r="B806" s="181"/>
      <c r="C806" s="182"/>
      <c r="D806" s="182"/>
      <c r="E806" s="183"/>
      <c r="F806" s="183"/>
      <c r="G806" s="183"/>
      <c r="H806" s="184"/>
      <c r="I806" s="184"/>
      <c r="J806" s="184"/>
      <c r="K806" s="184"/>
      <c r="L806" s="184"/>
      <c r="M806" s="184"/>
      <c r="N806" s="184"/>
      <c r="O806" s="184"/>
      <c r="Q806" s="184"/>
      <c r="R806" s="185"/>
      <c r="S806" s="185"/>
      <c r="U806" s="184"/>
      <c r="V806" s="184"/>
      <c r="W806" s="184"/>
      <c r="X806" s="184"/>
      <c r="Y806" s="184"/>
      <c r="Z806" s="184"/>
      <c r="AA806" s="184"/>
      <c r="AB806" s="184"/>
      <c r="AC806" s="184"/>
      <c r="AD806" s="184"/>
      <c r="AE806" s="184"/>
      <c r="AF806" s="184"/>
      <c r="AG806" s="184"/>
      <c r="AH806" s="184"/>
      <c r="AI806" s="184"/>
      <c r="AJ806" s="184"/>
      <c r="AK806" s="184"/>
      <c r="AL806" s="184"/>
      <c r="AM806" s="184"/>
      <c r="AN806" s="184"/>
      <c r="AO806" s="184"/>
      <c r="AP806" s="184"/>
      <c r="AQ806" s="184"/>
      <c r="AR806" s="184"/>
      <c r="AS806" s="186"/>
      <c r="AT806" s="187"/>
      <c r="AU806" s="187"/>
      <c r="AV806" s="187"/>
      <c r="AW806" s="224"/>
      <c r="AX806" s="184"/>
      <c r="AY806" s="184"/>
      <c r="AZ806" s="184"/>
      <c r="BA806" s="184"/>
      <c r="BB806" s="184"/>
    </row>
    <row r="807" spans="1:54" s="163" customFormat="1" ht="16.5" customHeight="1">
      <c r="A807" s="180"/>
      <c r="B807" s="181"/>
      <c r="C807" s="182"/>
      <c r="D807" s="182"/>
      <c r="E807" s="183"/>
      <c r="F807" s="183"/>
      <c r="G807" s="183"/>
      <c r="H807" s="184"/>
      <c r="I807" s="184"/>
      <c r="J807" s="184"/>
      <c r="K807" s="184"/>
      <c r="L807" s="184"/>
      <c r="M807" s="184"/>
      <c r="N807" s="184"/>
      <c r="O807" s="184"/>
      <c r="Q807" s="184"/>
      <c r="R807" s="185"/>
      <c r="S807" s="185"/>
      <c r="U807" s="184"/>
      <c r="V807" s="184"/>
      <c r="W807" s="184"/>
      <c r="X807" s="184"/>
      <c r="Y807" s="184"/>
      <c r="Z807" s="184"/>
      <c r="AA807" s="184"/>
      <c r="AB807" s="184"/>
      <c r="AC807" s="184"/>
      <c r="AD807" s="184"/>
      <c r="AE807" s="184"/>
      <c r="AF807" s="184"/>
      <c r="AG807" s="184"/>
      <c r="AH807" s="184"/>
      <c r="AI807" s="184"/>
      <c r="AJ807" s="184"/>
      <c r="AK807" s="184"/>
      <c r="AL807" s="184"/>
      <c r="AM807" s="184"/>
      <c r="AN807" s="184"/>
      <c r="AO807" s="184"/>
      <c r="AP807" s="184"/>
      <c r="AQ807" s="184"/>
      <c r="AR807" s="184"/>
      <c r="AS807" s="186"/>
      <c r="AT807" s="187"/>
      <c r="AU807" s="187"/>
      <c r="AV807" s="187"/>
      <c r="AW807" s="224"/>
      <c r="AX807" s="184"/>
      <c r="AY807" s="184"/>
      <c r="AZ807" s="184"/>
      <c r="BA807" s="184"/>
      <c r="BB807" s="184"/>
    </row>
    <row r="808" spans="1:54" s="163" customFormat="1" ht="16.5" customHeight="1">
      <c r="A808" s="180"/>
      <c r="B808" s="181"/>
      <c r="C808" s="182"/>
      <c r="D808" s="182"/>
      <c r="E808" s="183"/>
      <c r="F808" s="183"/>
      <c r="G808" s="183"/>
      <c r="H808" s="184"/>
      <c r="I808" s="184"/>
      <c r="J808" s="184"/>
      <c r="K808" s="184"/>
      <c r="L808" s="184"/>
      <c r="M808" s="184"/>
      <c r="N808" s="184"/>
      <c r="O808" s="184"/>
      <c r="Q808" s="184"/>
      <c r="R808" s="185"/>
      <c r="S808" s="185"/>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c r="AP808" s="184"/>
      <c r="AQ808" s="184"/>
      <c r="AR808" s="184"/>
      <c r="AS808" s="186"/>
      <c r="AT808" s="187"/>
      <c r="AU808" s="187"/>
      <c r="AV808" s="187"/>
      <c r="AW808" s="224"/>
      <c r="AX808" s="184"/>
      <c r="AY808" s="184"/>
      <c r="AZ808" s="184"/>
      <c r="BA808" s="184"/>
      <c r="BB808" s="184"/>
    </row>
    <row r="809" spans="1:54" s="163" customFormat="1" ht="16.5" customHeight="1">
      <c r="A809" s="180"/>
      <c r="B809" s="181"/>
      <c r="C809" s="182"/>
      <c r="D809" s="182"/>
      <c r="E809" s="183"/>
      <c r="F809" s="183"/>
      <c r="G809" s="183"/>
      <c r="H809" s="184"/>
      <c r="I809" s="184"/>
      <c r="J809" s="184"/>
      <c r="K809" s="184"/>
      <c r="L809" s="184"/>
      <c r="M809" s="184"/>
      <c r="N809" s="184"/>
      <c r="O809" s="184"/>
      <c r="Q809" s="184"/>
      <c r="R809" s="185"/>
      <c r="S809" s="185"/>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c r="AP809" s="184"/>
      <c r="AQ809" s="184"/>
      <c r="AR809" s="184"/>
      <c r="AS809" s="186"/>
      <c r="AT809" s="187"/>
      <c r="AU809" s="187"/>
      <c r="AV809" s="187"/>
      <c r="AW809" s="224"/>
      <c r="AX809" s="184"/>
      <c r="AY809" s="184"/>
      <c r="AZ809" s="184"/>
      <c r="BA809" s="184"/>
      <c r="BB809" s="184"/>
    </row>
    <row r="810" spans="1:54" s="163" customFormat="1" ht="16.5" customHeight="1">
      <c r="A810" s="180"/>
      <c r="B810" s="181"/>
      <c r="C810" s="182"/>
      <c r="D810" s="182"/>
      <c r="E810" s="183"/>
      <c r="F810" s="183"/>
      <c r="G810" s="183"/>
      <c r="H810" s="184"/>
      <c r="I810" s="184"/>
      <c r="J810" s="184"/>
      <c r="K810" s="184"/>
      <c r="L810" s="184"/>
      <c r="M810" s="184"/>
      <c r="N810" s="184"/>
      <c r="O810" s="184"/>
      <c r="Q810" s="184"/>
      <c r="R810" s="185"/>
      <c r="S810" s="185"/>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c r="AP810" s="184"/>
      <c r="AQ810" s="184"/>
      <c r="AR810" s="184"/>
      <c r="AS810" s="186"/>
      <c r="AT810" s="187"/>
      <c r="AU810" s="187"/>
      <c r="AV810" s="187"/>
      <c r="AW810" s="224"/>
      <c r="AX810" s="184"/>
      <c r="AY810" s="184"/>
      <c r="AZ810" s="184"/>
      <c r="BA810" s="184"/>
      <c r="BB810" s="184"/>
    </row>
    <row r="811" spans="1:54" s="163" customFormat="1" ht="16.5" customHeight="1">
      <c r="A811" s="180"/>
      <c r="B811" s="181"/>
      <c r="C811" s="182"/>
      <c r="D811" s="182"/>
      <c r="E811" s="183"/>
      <c r="F811" s="183"/>
      <c r="G811" s="183"/>
      <c r="H811" s="184"/>
      <c r="I811" s="184"/>
      <c r="J811" s="184"/>
      <c r="K811" s="184"/>
      <c r="L811" s="184"/>
      <c r="M811" s="184"/>
      <c r="N811" s="184"/>
      <c r="O811" s="184"/>
      <c r="Q811" s="184"/>
      <c r="R811" s="185"/>
      <c r="S811" s="185"/>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c r="AP811" s="184"/>
      <c r="AQ811" s="184"/>
      <c r="AR811" s="184"/>
      <c r="AS811" s="186"/>
      <c r="AT811" s="187"/>
      <c r="AU811" s="187"/>
      <c r="AV811" s="187"/>
      <c r="AW811" s="224"/>
      <c r="AX811" s="184"/>
      <c r="AY811" s="184"/>
      <c r="AZ811" s="184"/>
      <c r="BA811" s="184"/>
      <c r="BB811" s="184"/>
    </row>
    <row r="812" spans="1:54" s="163" customFormat="1" ht="16.5" customHeight="1">
      <c r="A812" s="180"/>
      <c r="B812" s="181"/>
      <c r="C812" s="182"/>
      <c r="D812" s="182"/>
      <c r="E812" s="183"/>
      <c r="F812" s="183"/>
      <c r="G812" s="183"/>
      <c r="H812" s="184"/>
      <c r="I812" s="184"/>
      <c r="J812" s="184"/>
      <c r="K812" s="184"/>
      <c r="L812" s="184"/>
      <c r="M812" s="184"/>
      <c r="N812" s="184"/>
      <c r="O812" s="184"/>
      <c r="Q812" s="184"/>
      <c r="R812" s="185"/>
      <c r="S812" s="185"/>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c r="AP812" s="184"/>
      <c r="AQ812" s="184"/>
      <c r="AR812" s="184"/>
      <c r="AS812" s="186"/>
      <c r="AT812" s="187"/>
      <c r="AU812" s="187"/>
      <c r="AV812" s="187"/>
      <c r="AW812" s="224"/>
      <c r="AX812" s="184"/>
      <c r="AY812" s="184"/>
      <c r="AZ812" s="184"/>
      <c r="BA812" s="184"/>
      <c r="BB812" s="184"/>
    </row>
    <row r="813" spans="1:54" s="163" customFormat="1" ht="16.5" customHeight="1">
      <c r="A813" s="180"/>
      <c r="B813" s="181"/>
      <c r="C813" s="182"/>
      <c r="D813" s="182"/>
      <c r="E813" s="183"/>
      <c r="F813" s="183"/>
      <c r="G813" s="183"/>
      <c r="H813" s="184"/>
      <c r="I813" s="184"/>
      <c r="J813" s="184"/>
      <c r="K813" s="184"/>
      <c r="L813" s="184"/>
      <c r="M813" s="184"/>
      <c r="N813" s="184"/>
      <c r="O813" s="184"/>
      <c r="Q813" s="184"/>
      <c r="R813" s="185"/>
      <c r="S813" s="185"/>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c r="AP813" s="184"/>
      <c r="AQ813" s="184"/>
      <c r="AR813" s="184"/>
      <c r="AS813" s="186"/>
      <c r="AT813" s="187"/>
      <c r="AU813" s="187"/>
      <c r="AV813" s="187"/>
      <c r="AW813" s="224"/>
      <c r="AX813" s="184"/>
      <c r="AY813" s="184"/>
      <c r="AZ813" s="184"/>
      <c r="BA813" s="184"/>
      <c r="BB813" s="184"/>
    </row>
    <row r="814" spans="1:54" s="163" customFormat="1" ht="16.5" customHeight="1">
      <c r="A814" s="180"/>
      <c r="B814" s="181"/>
      <c r="C814" s="182"/>
      <c r="D814" s="182"/>
      <c r="E814" s="183"/>
      <c r="F814" s="183"/>
      <c r="G814" s="183"/>
      <c r="H814" s="184"/>
      <c r="I814" s="184"/>
      <c r="J814" s="184"/>
      <c r="K814" s="184"/>
      <c r="L814" s="184"/>
      <c r="M814" s="184"/>
      <c r="N814" s="184"/>
      <c r="O814" s="184"/>
      <c r="Q814" s="184"/>
      <c r="R814" s="185"/>
      <c r="S814" s="185"/>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c r="AP814" s="184"/>
      <c r="AQ814" s="184"/>
      <c r="AR814" s="184"/>
      <c r="AS814" s="186"/>
      <c r="AT814" s="187"/>
      <c r="AU814" s="187"/>
      <c r="AV814" s="187"/>
      <c r="AW814" s="224"/>
      <c r="AX814" s="184"/>
      <c r="AY814" s="184"/>
      <c r="AZ814" s="184"/>
      <c r="BA814" s="184"/>
      <c r="BB814" s="184"/>
    </row>
    <row r="815" spans="1:54" s="163" customFormat="1" ht="16.5" customHeight="1">
      <c r="A815" s="180"/>
      <c r="B815" s="181"/>
      <c r="C815" s="182"/>
      <c r="D815" s="182"/>
      <c r="E815" s="183"/>
      <c r="F815" s="183"/>
      <c r="G815" s="183"/>
      <c r="H815" s="184"/>
      <c r="I815" s="184"/>
      <c r="J815" s="184"/>
      <c r="K815" s="184"/>
      <c r="L815" s="184"/>
      <c r="M815" s="184"/>
      <c r="N815" s="184"/>
      <c r="O815" s="184"/>
      <c r="Q815" s="184"/>
      <c r="R815" s="185"/>
      <c r="S815" s="185"/>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c r="AP815" s="184"/>
      <c r="AQ815" s="184"/>
      <c r="AR815" s="184"/>
      <c r="AS815" s="186"/>
      <c r="AT815" s="187"/>
      <c r="AU815" s="187"/>
      <c r="AV815" s="187"/>
      <c r="AW815" s="224"/>
      <c r="AX815" s="184"/>
      <c r="AY815" s="184"/>
      <c r="AZ815" s="184"/>
      <c r="BA815" s="184"/>
      <c r="BB815" s="184"/>
    </row>
    <row r="816" spans="1:54" s="163" customFormat="1" ht="16.5" customHeight="1">
      <c r="A816" s="180"/>
      <c r="B816" s="181"/>
      <c r="C816" s="182"/>
      <c r="D816" s="182"/>
      <c r="E816" s="183"/>
      <c r="F816" s="183"/>
      <c r="G816" s="183"/>
      <c r="H816" s="184"/>
      <c r="I816" s="184"/>
      <c r="J816" s="184"/>
      <c r="K816" s="184"/>
      <c r="L816" s="184"/>
      <c r="M816" s="184"/>
      <c r="N816" s="184"/>
      <c r="O816" s="184"/>
      <c r="Q816" s="184"/>
      <c r="R816" s="185"/>
      <c r="S816" s="185"/>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c r="AP816" s="184"/>
      <c r="AQ816" s="184"/>
      <c r="AR816" s="184"/>
      <c r="AS816" s="186"/>
      <c r="AT816" s="187"/>
      <c r="AU816" s="187"/>
      <c r="AV816" s="187"/>
      <c r="AW816" s="224"/>
      <c r="AX816" s="184"/>
      <c r="AY816" s="184"/>
      <c r="AZ816" s="184"/>
      <c r="BA816" s="184"/>
      <c r="BB816" s="184"/>
    </row>
    <row r="817" spans="1:54" s="163" customFormat="1" ht="16.5" customHeight="1">
      <c r="A817" s="180"/>
      <c r="B817" s="181"/>
      <c r="C817" s="182"/>
      <c r="D817" s="182"/>
      <c r="E817" s="183"/>
      <c r="F817" s="183"/>
      <c r="G817" s="183"/>
      <c r="H817" s="184"/>
      <c r="I817" s="184"/>
      <c r="J817" s="184"/>
      <c r="K817" s="184"/>
      <c r="L817" s="184"/>
      <c r="M817" s="184"/>
      <c r="N817" s="184"/>
      <c r="O817" s="184"/>
      <c r="Q817" s="184"/>
      <c r="R817" s="185"/>
      <c r="S817" s="185"/>
      <c r="U817" s="184"/>
      <c r="V817" s="184"/>
      <c r="W817" s="184"/>
      <c r="X817" s="184"/>
      <c r="Y817" s="184"/>
      <c r="Z817" s="184"/>
      <c r="AA817" s="184"/>
      <c r="AB817" s="184"/>
      <c r="AC817" s="184"/>
      <c r="AD817" s="184"/>
      <c r="AE817" s="184"/>
      <c r="AF817" s="184"/>
      <c r="AG817" s="184"/>
      <c r="AH817" s="184"/>
      <c r="AI817" s="184"/>
      <c r="AJ817" s="184"/>
      <c r="AK817" s="184"/>
      <c r="AL817" s="184"/>
      <c r="AM817" s="184"/>
      <c r="AN817" s="184"/>
      <c r="AO817" s="184"/>
      <c r="AP817" s="184"/>
      <c r="AQ817" s="184"/>
      <c r="AR817" s="184"/>
      <c r="AS817" s="186"/>
      <c r="AT817" s="187"/>
      <c r="AU817" s="187"/>
      <c r="AV817" s="187"/>
      <c r="AW817" s="224"/>
      <c r="AX817" s="184"/>
      <c r="AY817" s="184"/>
      <c r="AZ817" s="184"/>
      <c r="BA817" s="184"/>
      <c r="BB817" s="184"/>
    </row>
    <row r="818" spans="1:54" s="163" customFormat="1" ht="16.5" customHeight="1">
      <c r="A818" s="180"/>
      <c r="B818" s="181"/>
      <c r="C818" s="182"/>
      <c r="D818" s="182"/>
      <c r="E818" s="183"/>
      <c r="F818" s="183"/>
      <c r="G818" s="183"/>
      <c r="H818" s="184"/>
      <c r="I818" s="184"/>
      <c r="J818" s="184"/>
      <c r="K818" s="184"/>
      <c r="L818" s="184"/>
      <c r="M818" s="184"/>
      <c r="N818" s="184"/>
      <c r="O818" s="184"/>
      <c r="Q818" s="184"/>
      <c r="R818" s="185"/>
      <c r="S818" s="185"/>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c r="AP818" s="184"/>
      <c r="AQ818" s="184"/>
      <c r="AR818" s="184"/>
      <c r="AS818" s="186"/>
      <c r="AT818" s="187"/>
      <c r="AU818" s="187"/>
      <c r="AV818" s="187"/>
      <c r="AW818" s="224"/>
      <c r="AX818" s="184"/>
      <c r="AY818" s="184"/>
      <c r="AZ818" s="184"/>
      <c r="BA818" s="184"/>
      <c r="BB818" s="184"/>
    </row>
    <row r="819" spans="1:54" s="163" customFormat="1" ht="16.5" customHeight="1">
      <c r="A819" s="180"/>
      <c r="B819" s="181"/>
      <c r="C819" s="182"/>
      <c r="D819" s="182"/>
      <c r="E819" s="183"/>
      <c r="F819" s="183"/>
      <c r="G819" s="183"/>
      <c r="H819" s="184"/>
      <c r="I819" s="184"/>
      <c r="J819" s="184"/>
      <c r="K819" s="184"/>
      <c r="L819" s="184"/>
      <c r="M819" s="184"/>
      <c r="N819" s="184"/>
      <c r="O819" s="184"/>
      <c r="Q819" s="184"/>
      <c r="R819" s="185"/>
      <c r="S819" s="185"/>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c r="AP819" s="184"/>
      <c r="AQ819" s="184"/>
      <c r="AR819" s="184"/>
      <c r="AS819" s="186"/>
      <c r="AT819" s="187"/>
      <c r="AU819" s="187"/>
      <c r="AV819" s="187"/>
      <c r="AW819" s="224"/>
      <c r="AX819" s="184"/>
      <c r="AY819" s="184"/>
      <c r="AZ819" s="184"/>
      <c r="BA819" s="184"/>
      <c r="BB819" s="184"/>
    </row>
    <row r="820" spans="1:54" s="163" customFormat="1" ht="16.5" customHeight="1">
      <c r="A820" s="180"/>
      <c r="B820" s="181"/>
      <c r="C820" s="182"/>
      <c r="D820" s="182"/>
      <c r="E820" s="183"/>
      <c r="F820" s="183"/>
      <c r="G820" s="183"/>
      <c r="H820" s="184"/>
      <c r="I820" s="184"/>
      <c r="J820" s="184"/>
      <c r="K820" s="184"/>
      <c r="L820" s="184"/>
      <c r="M820" s="184"/>
      <c r="N820" s="184"/>
      <c r="O820" s="184"/>
      <c r="Q820" s="184"/>
      <c r="R820" s="185"/>
      <c r="S820" s="185"/>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c r="AP820" s="184"/>
      <c r="AQ820" s="184"/>
      <c r="AR820" s="184"/>
      <c r="AS820" s="186"/>
      <c r="AT820" s="187"/>
      <c r="AU820" s="187"/>
      <c r="AV820" s="187"/>
      <c r="AW820" s="224"/>
      <c r="AX820" s="184"/>
      <c r="AY820" s="184"/>
      <c r="AZ820" s="184"/>
      <c r="BA820" s="184"/>
      <c r="BB820" s="184"/>
    </row>
    <row r="821" spans="1:54" s="163" customFormat="1" ht="16.5" customHeight="1">
      <c r="A821" s="180"/>
      <c r="B821" s="181"/>
      <c r="C821" s="182"/>
      <c r="D821" s="182"/>
      <c r="E821" s="183"/>
      <c r="F821" s="183"/>
      <c r="G821" s="183"/>
      <c r="H821" s="184"/>
      <c r="I821" s="184"/>
      <c r="J821" s="184"/>
      <c r="K821" s="184"/>
      <c r="L821" s="184"/>
      <c r="M821" s="184"/>
      <c r="N821" s="184"/>
      <c r="O821" s="184"/>
      <c r="Q821" s="184"/>
      <c r="R821" s="185"/>
      <c r="S821" s="185"/>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c r="AP821" s="184"/>
      <c r="AQ821" s="184"/>
      <c r="AR821" s="184"/>
      <c r="AS821" s="186"/>
      <c r="AT821" s="187"/>
      <c r="AU821" s="187"/>
      <c r="AV821" s="187"/>
      <c r="AW821" s="224"/>
      <c r="AX821" s="184"/>
      <c r="AY821" s="184"/>
      <c r="AZ821" s="184"/>
      <c r="BA821" s="184"/>
      <c r="BB821" s="184"/>
    </row>
    <row r="822" spans="1:54" s="163" customFormat="1" ht="16.5" customHeight="1">
      <c r="A822" s="180"/>
      <c r="B822" s="181"/>
      <c r="C822" s="182"/>
      <c r="D822" s="182"/>
      <c r="E822" s="183"/>
      <c r="F822" s="183"/>
      <c r="G822" s="183"/>
      <c r="H822" s="184"/>
      <c r="I822" s="184"/>
      <c r="J822" s="184"/>
      <c r="K822" s="184"/>
      <c r="L822" s="184"/>
      <c r="M822" s="184"/>
      <c r="N822" s="184"/>
      <c r="O822" s="184"/>
      <c r="Q822" s="184"/>
      <c r="R822" s="185"/>
      <c r="S822" s="185"/>
      <c r="U822" s="184"/>
      <c r="V822" s="184"/>
      <c r="W822" s="184"/>
      <c r="X822" s="184"/>
      <c r="Y822" s="184"/>
      <c r="Z822" s="184"/>
      <c r="AA822" s="184"/>
      <c r="AB822" s="184"/>
      <c r="AC822" s="184"/>
      <c r="AD822" s="184"/>
      <c r="AE822" s="184"/>
      <c r="AF822" s="184"/>
      <c r="AG822" s="184"/>
      <c r="AH822" s="184"/>
      <c r="AI822" s="184"/>
      <c r="AJ822" s="184"/>
      <c r="AK822" s="184"/>
      <c r="AL822" s="184"/>
      <c r="AM822" s="184"/>
      <c r="AN822" s="184"/>
      <c r="AO822" s="184"/>
      <c r="AP822" s="184"/>
      <c r="AQ822" s="184"/>
      <c r="AR822" s="184"/>
      <c r="AS822" s="186"/>
      <c r="AT822" s="187"/>
      <c r="AU822" s="187"/>
      <c r="AV822" s="187"/>
      <c r="AW822" s="224"/>
      <c r="AX822" s="184"/>
      <c r="AY822" s="184"/>
      <c r="AZ822" s="184"/>
      <c r="BA822" s="184"/>
      <c r="BB822" s="184"/>
    </row>
    <row r="823" spans="1:54" s="163" customFormat="1" ht="16.5" customHeight="1">
      <c r="A823" s="180"/>
      <c r="B823" s="181"/>
      <c r="C823" s="182"/>
      <c r="D823" s="182"/>
      <c r="E823" s="183"/>
      <c r="F823" s="183"/>
      <c r="G823" s="183"/>
      <c r="H823" s="184"/>
      <c r="I823" s="184"/>
      <c r="J823" s="184"/>
      <c r="K823" s="184"/>
      <c r="L823" s="184"/>
      <c r="M823" s="184"/>
      <c r="N823" s="184"/>
      <c r="O823" s="184"/>
      <c r="Q823" s="184"/>
      <c r="R823" s="185"/>
      <c r="S823" s="185"/>
      <c r="U823" s="184"/>
      <c r="V823" s="184"/>
      <c r="W823" s="184"/>
      <c r="X823" s="184"/>
      <c r="Y823" s="184"/>
      <c r="Z823" s="184"/>
      <c r="AA823" s="184"/>
      <c r="AB823" s="184"/>
      <c r="AC823" s="184"/>
      <c r="AD823" s="184"/>
      <c r="AE823" s="184"/>
      <c r="AF823" s="184"/>
      <c r="AG823" s="184"/>
      <c r="AH823" s="184"/>
      <c r="AI823" s="184"/>
      <c r="AJ823" s="184"/>
      <c r="AK823" s="184"/>
      <c r="AL823" s="184"/>
      <c r="AM823" s="184"/>
      <c r="AN823" s="184"/>
      <c r="AO823" s="184"/>
      <c r="AP823" s="184"/>
      <c r="AQ823" s="184"/>
      <c r="AR823" s="184"/>
      <c r="AS823" s="186"/>
      <c r="AT823" s="187"/>
      <c r="AU823" s="187"/>
      <c r="AV823" s="187"/>
      <c r="AW823" s="224"/>
      <c r="AX823" s="184"/>
      <c r="AY823" s="184"/>
      <c r="AZ823" s="184"/>
      <c r="BA823" s="184"/>
      <c r="BB823" s="184"/>
    </row>
    <row r="824" spans="1:54" s="163" customFormat="1" ht="16.5" customHeight="1">
      <c r="A824" s="180"/>
      <c r="B824" s="181"/>
      <c r="C824" s="182"/>
      <c r="D824" s="182"/>
      <c r="E824" s="183"/>
      <c r="F824" s="183"/>
      <c r="G824" s="183"/>
      <c r="H824" s="184"/>
      <c r="I824" s="184"/>
      <c r="J824" s="184"/>
      <c r="K824" s="184"/>
      <c r="L824" s="184"/>
      <c r="M824" s="184"/>
      <c r="N824" s="184"/>
      <c r="O824" s="184"/>
      <c r="Q824" s="184"/>
      <c r="R824" s="185"/>
      <c r="S824" s="185"/>
      <c r="U824" s="184"/>
      <c r="V824" s="184"/>
      <c r="W824" s="184"/>
      <c r="X824" s="184"/>
      <c r="Y824" s="184"/>
      <c r="Z824" s="184"/>
      <c r="AA824" s="184"/>
      <c r="AB824" s="184"/>
      <c r="AC824" s="184"/>
      <c r="AD824" s="184"/>
      <c r="AE824" s="184"/>
      <c r="AF824" s="184"/>
      <c r="AG824" s="184"/>
      <c r="AH824" s="184"/>
      <c r="AI824" s="184"/>
      <c r="AJ824" s="184"/>
      <c r="AK824" s="184"/>
      <c r="AL824" s="184"/>
      <c r="AM824" s="184"/>
      <c r="AN824" s="184"/>
      <c r="AO824" s="184"/>
      <c r="AP824" s="184"/>
      <c r="AQ824" s="184"/>
      <c r="AR824" s="184"/>
      <c r="AS824" s="186"/>
      <c r="AT824" s="187"/>
      <c r="AU824" s="187"/>
      <c r="AV824" s="187"/>
      <c r="AW824" s="224"/>
      <c r="AX824" s="184"/>
      <c r="AY824" s="184"/>
      <c r="AZ824" s="184"/>
      <c r="BA824" s="184"/>
      <c r="BB824" s="184"/>
    </row>
    <row r="825" spans="1:54" s="163" customFormat="1" ht="16.5" customHeight="1">
      <c r="A825" s="180"/>
      <c r="B825" s="181"/>
      <c r="C825" s="182"/>
      <c r="D825" s="182"/>
      <c r="E825" s="183"/>
      <c r="F825" s="183"/>
      <c r="G825" s="183"/>
      <c r="H825" s="184"/>
      <c r="I825" s="184"/>
      <c r="J825" s="184"/>
      <c r="K825" s="184"/>
      <c r="L825" s="184"/>
      <c r="M825" s="184"/>
      <c r="N825" s="184"/>
      <c r="O825" s="184"/>
      <c r="Q825" s="184"/>
      <c r="R825" s="185"/>
      <c r="S825" s="185"/>
      <c r="U825" s="184"/>
      <c r="V825" s="184"/>
      <c r="W825" s="184"/>
      <c r="X825" s="184"/>
      <c r="Y825" s="184"/>
      <c r="Z825" s="184"/>
      <c r="AA825" s="184"/>
      <c r="AB825" s="184"/>
      <c r="AC825" s="184"/>
      <c r="AD825" s="184"/>
      <c r="AE825" s="184"/>
      <c r="AF825" s="184"/>
      <c r="AG825" s="184"/>
      <c r="AH825" s="184"/>
      <c r="AI825" s="184"/>
      <c r="AJ825" s="184"/>
      <c r="AK825" s="184"/>
      <c r="AL825" s="184"/>
      <c r="AM825" s="184"/>
      <c r="AN825" s="184"/>
      <c r="AO825" s="184"/>
      <c r="AP825" s="184"/>
      <c r="AQ825" s="184"/>
      <c r="AR825" s="184"/>
      <c r="AS825" s="186"/>
      <c r="AT825" s="187"/>
      <c r="AU825" s="187"/>
      <c r="AV825" s="187"/>
      <c r="AW825" s="224"/>
      <c r="AX825" s="184"/>
      <c r="AY825" s="184"/>
      <c r="AZ825" s="184"/>
      <c r="BA825" s="184"/>
      <c r="BB825" s="184"/>
    </row>
    <row r="826" spans="1:54" s="163" customFormat="1" ht="16.5" customHeight="1">
      <c r="A826" s="180"/>
      <c r="B826" s="181"/>
      <c r="C826" s="182"/>
      <c r="D826" s="182"/>
      <c r="E826" s="183"/>
      <c r="F826" s="183"/>
      <c r="G826" s="183"/>
      <c r="H826" s="184"/>
      <c r="I826" s="184"/>
      <c r="J826" s="184"/>
      <c r="K826" s="184"/>
      <c r="L826" s="184"/>
      <c r="M826" s="184"/>
      <c r="N826" s="184"/>
      <c r="O826" s="184"/>
      <c r="Q826" s="184"/>
      <c r="R826" s="185"/>
      <c r="S826" s="185"/>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c r="AP826" s="184"/>
      <c r="AQ826" s="184"/>
      <c r="AR826" s="184"/>
      <c r="AS826" s="186"/>
      <c r="AT826" s="187"/>
      <c r="AU826" s="187"/>
      <c r="AV826" s="187"/>
      <c r="AW826" s="224"/>
      <c r="AX826" s="184"/>
      <c r="AY826" s="184"/>
      <c r="AZ826" s="184"/>
      <c r="BA826" s="184"/>
      <c r="BB826" s="184"/>
    </row>
    <row r="827" spans="1:54" s="163" customFormat="1" ht="16.5" customHeight="1">
      <c r="A827" s="180"/>
      <c r="B827" s="181"/>
      <c r="C827" s="182"/>
      <c r="D827" s="182"/>
      <c r="E827" s="183"/>
      <c r="F827" s="183"/>
      <c r="G827" s="183"/>
      <c r="H827" s="184"/>
      <c r="I827" s="184"/>
      <c r="J827" s="184"/>
      <c r="K827" s="184"/>
      <c r="L827" s="184"/>
      <c r="M827" s="184"/>
      <c r="N827" s="184"/>
      <c r="O827" s="184"/>
      <c r="Q827" s="184"/>
      <c r="R827" s="185"/>
      <c r="S827" s="185"/>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c r="AP827" s="184"/>
      <c r="AQ827" s="184"/>
      <c r="AR827" s="184"/>
      <c r="AS827" s="186"/>
      <c r="AT827" s="187"/>
      <c r="AU827" s="187"/>
      <c r="AV827" s="187"/>
      <c r="AW827" s="224"/>
      <c r="AX827" s="184"/>
      <c r="AY827" s="184"/>
      <c r="AZ827" s="184"/>
      <c r="BA827" s="184"/>
      <c r="BB827" s="184"/>
    </row>
    <row r="828" spans="1:54" s="163" customFormat="1" ht="16.5" customHeight="1">
      <c r="A828" s="180"/>
      <c r="B828" s="181"/>
      <c r="C828" s="182"/>
      <c r="D828" s="182"/>
      <c r="E828" s="183"/>
      <c r="F828" s="183"/>
      <c r="G828" s="183"/>
      <c r="H828" s="184"/>
      <c r="I828" s="184"/>
      <c r="J828" s="184"/>
      <c r="K828" s="184"/>
      <c r="L828" s="184"/>
      <c r="M828" s="184"/>
      <c r="N828" s="184"/>
      <c r="O828" s="184"/>
      <c r="Q828" s="184"/>
      <c r="R828" s="185"/>
      <c r="S828" s="185"/>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c r="AP828" s="184"/>
      <c r="AQ828" s="184"/>
      <c r="AR828" s="184"/>
      <c r="AS828" s="186"/>
      <c r="AT828" s="187"/>
      <c r="AU828" s="187"/>
      <c r="AV828" s="187"/>
      <c r="AW828" s="224"/>
      <c r="AX828" s="184"/>
      <c r="AY828" s="184"/>
      <c r="AZ828" s="184"/>
      <c r="BA828" s="184"/>
      <c r="BB828" s="184"/>
    </row>
    <row r="829" spans="1:54" s="163" customFormat="1" ht="16.5" customHeight="1">
      <c r="A829" s="180"/>
      <c r="B829" s="181"/>
      <c r="C829" s="182"/>
      <c r="D829" s="182"/>
      <c r="E829" s="183"/>
      <c r="F829" s="183"/>
      <c r="G829" s="183"/>
      <c r="H829" s="184"/>
      <c r="I829" s="184"/>
      <c r="J829" s="184"/>
      <c r="K829" s="184"/>
      <c r="L829" s="184"/>
      <c r="M829" s="184"/>
      <c r="N829" s="184"/>
      <c r="O829" s="184"/>
      <c r="Q829" s="184"/>
      <c r="R829" s="185"/>
      <c r="S829" s="185"/>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c r="AP829" s="184"/>
      <c r="AQ829" s="184"/>
      <c r="AR829" s="184"/>
      <c r="AS829" s="186"/>
      <c r="AT829" s="187"/>
      <c r="AU829" s="187"/>
      <c r="AV829" s="187"/>
      <c r="AW829" s="224"/>
      <c r="AX829" s="184"/>
      <c r="AY829" s="184"/>
      <c r="AZ829" s="184"/>
      <c r="BA829" s="184"/>
      <c r="BB829" s="184"/>
    </row>
    <row r="830" spans="1:54" s="163" customFormat="1" ht="16.5" customHeight="1">
      <c r="A830" s="180"/>
      <c r="B830" s="181"/>
      <c r="C830" s="182"/>
      <c r="D830" s="182"/>
      <c r="E830" s="183"/>
      <c r="F830" s="183"/>
      <c r="G830" s="183"/>
      <c r="H830" s="184"/>
      <c r="I830" s="184"/>
      <c r="J830" s="184"/>
      <c r="K830" s="184"/>
      <c r="L830" s="184"/>
      <c r="M830" s="184"/>
      <c r="N830" s="184"/>
      <c r="O830" s="184"/>
      <c r="Q830" s="184"/>
      <c r="R830" s="185"/>
      <c r="S830" s="185"/>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c r="AP830" s="184"/>
      <c r="AQ830" s="184"/>
      <c r="AR830" s="184"/>
      <c r="AS830" s="186"/>
      <c r="AT830" s="187"/>
      <c r="AU830" s="187"/>
      <c r="AV830" s="187"/>
      <c r="AW830" s="224"/>
      <c r="AX830" s="184"/>
      <c r="AY830" s="184"/>
      <c r="AZ830" s="184"/>
      <c r="BA830" s="184"/>
      <c r="BB830" s="184"/>
    </row>
    <row r="831" spans="1:54" s="163" customFormat="1" ht="16.5" customHeight="1">
      <c r="A831" s="180"/>
      <c r="B831" s="181"/>
      <c r="C831" s="182"/>
      <c r="D831" s="182"/>
      <c r="E831" s="183"/>
      <c r="F831" s="183"/>
      <c r="G831" s="183"/>
      <c r="H831" s="184"/>
      <c r="I831" s="184"/>
      <c r="J831" s="184"/>
      <c r="K831" s="184"/>
      <c r="L831" s="184"/>
      <c r="M831" s="184"/>
      <c r="N831" s="184"/>
      <c r="O831" s="184"/>
      <c r="Q831" s="184"/>
      <c r="R831" s="185"/>
      <c r="S831" s="185"/>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c r="AP831" s="184"/>
      <c r="AQ831" s="184"/>
      <c r="AR831" s="184"/>
      <c r="AS831" s="186"/>
      <c r="AT831" s="187"/>
      <c r="AU831" s="187"/>
      <c r="AV831" s="187"/>
      <c r="AW831" s="224"/>
      <c r="AX831" s="184"/>
      <c r="AY831" s="184"/>
      <c r="AZ831" s="184"/>
      <c r="BA831" s="184"/>
      <c r="BB831" s="184"/>
    </row>
    <row r="832" spans="1:54" s="163" customFormat="1" ht="16.5" customHeight="1">
      <c r="A832" s="180"/>
      <c r="B832" s="181"/>
      <c r="C832" s="182"/>
      <c r="D832" s="182"/>
      <c r="E832" s="183"/>
      <c r="F832" s="183"/>
      <c r="G832" s="183"/>
      <c r="H832" s="184"/>
      <c r="I832" s="184"/>
      <c r="J832" s="184"/>
      <c r="K832" s="184"/>
      <c r="L832" s="184"/>
      <c r="M832" s="184"/>
      <c r="N832" s="184"/>
      <c r="O832" s="184"/>
      <c r="Q832" s="184"/>
      <c r="R832" s="185"/>
      <c r="S832" s="185"/>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c r="AP832" s="184"/>
      <c r="AQ832" s="184"/>
      <c r="AR832" s="184"/>
      <c r="AS832" s="186"/>
      <c r="AT832" s="187"/>
      <c r="AU832" s="187"/>
      <c r="AV832" s="187"/>
      <c r="AW832" s="224"/>
      <c r="AX832" s="184"/>
      <c r="AY832" s="184"/>
      <c r="AZ832" s="184"/>
      <c r="BA832" s="184"/>
      <c r="BB832" s="184"/>
    </row>
    <row r="833" spans="1:54" s="163" customFormat="1" ht="16.5" customHeight="1">
      <c r="A833" s="180"/>
      <c r="B833" s="181"/>
      <c r="C833" s="182"/>
      <c r="D833" s="182"/>
      <c r="E833" s="183"/>
      <c r="F833" s="183"/>
      <c r="G833" s="183"/>
      <c r="H833" s="184"/>
      <c r="I833" s="184"/>
      <c r="J833" s="184"/>
      <c r="K833" s="184"/>
      <c r="L833" s="184"/>
      <c r="M833" s="184"/>
      <c r="N833" s="184"/>
      <c r="O833" s="184"/>
      <c r="Q833" s="184"/>
      <c r="R833" s="185"/>
      <c r="S833" s="185"/>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c r="AP833" s="184"/>
      <c r="AQ833" s="184"/>
      <c r="AR833" s="184"/>
      <c r="AS833" s="186"/>
      <c r="AT833" s="187"/>
      <c r="AU833" s="187"/>
      <c r="AV833" s="187"/>
      <c r="AW833" s="224"/>
      <c r="AX833" s="184"/>
      <c r="AY833" s="184"/>
      <c r="AZ833" s="184"/>
      <c r="BA833" s="184"/>
      <c r="BB833" s="184"/>
    </row>
    <row r="834" spans="1:54" s="163" customFormat="1" ht="16.5" customHeight="1">
      <c r="A834" s="180"/>
      <c r="B834" s="181"/>
      <c r="C834" s="182"/>
      <c r="D834" s="182"/>
      <c r="E834" s="183"/>
      <c r="F834" s="183"/>
      <c r="G834" s="183"/>
      <c r="H834" s="184"/>
      <c r="I834" s="184"/>
      <c r="J834" s="184"/>
      <c r="K834" s="184"/>
      <c r="L834" s="184"/>
      <c r="M834" s="184"/>
      <c r="N834" s="184"/>
      <c r="O834" s="184"/>
      <c r="Q834" s="184"/>
      <c r="R834" s="185"/>
      <c r="S834" s="185"/>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c r="AP834" s="184"/>
      <c r="AQ834" s="184"/>
      <c r="AR834" s="184"/>
      <c r="AS834" s="186"/>
      <c r="AT834" s="187"/>
      <c r="AU834" s="187"/>
      <c r="AV834" s="187"/>
      <c r="AW834" s="224"/>
      <c r="AX834" s="184"/>
      <c r="AY834" s="184"/>
      <c r="AZ834" s="184"/>
      <c r="BA834" s="184"/>
      <c r="BB834" s="184"/>
    </row>
    <row r="835" spans="1:54" s="163" customFormat="1" ht="16.5" customHeight="1">
      <c r="A835" s="180"/>
      <c r="B835" s="181"/>
      <c r="C835" s="182"/>
      <c r="D835" s="182"/>
      <c r="E835" s="183"/>
      <c r="F835" s="183"/>
      <c r="G835" s="183"/>
      <c r="H835" s="184"/>
      <c r="I835" s="184"/>
      <c r="J835" s="184"/>
      <c r="K835" s="184"/>
      <c r="L835" s="184"/>
      <c r="M835" s="184"/>
      <c r="N835" s="184"/>
      <c r="O835" s="184"/>
      <c r="Q835" s="184"/>
      <c r="R835" s="185"/>
      <c r="S835" s="185"/>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c r="AP835" s="184"/>
      <c r="AQ835" s="184"/>
      <c r="AR835" s="184"/>
      <c r="AS835" s="186"/>
      <c r="AT835" s="187"/>
      <c r="AU835" s="187"/>
      <c r="AV835" s="187"/>
      <c r="AW835" s="224"/>
      <c r="AX835" s="184"/>
      <c r="AY835" s="184"/>
      <c r="AZ835" s="184"/>
      <c r="BA835" s="184"/>
      <c r="BB835" s="184"/>
    </row>
    <row r="836" spans="1:54" s="163" customFormat="1" ht="16.5" customHeight="1">
      <c r="A836" s="180"/>
      <c r="B836" s="181"/>
      <c r="C836" s="182"/>
      <c r="D836" s="182"/>
      <c r="E836" s="183"/>
      <c r="F836" s="183"/>
      <c r="G836" s="183"/>
      <c r="H836" s="184"/>
      <c r="I836" s="184"/>
      <c r="J836" s="184"/>
      <c r="K836" s="184"/>
      <c r="L836" s="184"/>
      <c r="M836" s="184"/>
      <c r="N836" s="184"/>
      <c r="O836" s="184"/>
      <c r="Q836" s="184"/>
      <c r="R836" s="185"/>
      <c r="S836" s="185"/>
      <c r="U836" s="184"/>
      <c r="V836" s="184"/>
      <c r="W836" s="184"/>
      <c r="X836" s="184"/>
      <c r="Y836" s="184"/>
      <c r="Z836" s="184"/>
      <c r="AA836" s="184"/>
      <c r="AB836" s="184"/>
      <c r="AC836" s="184"/>
      <c r="AD836" s="184"/>
      <c r="AE836" s="184"/>
      <c r="AF836" s="184"/>
      <c r="AG836" s="184"/>
      <c r="AH836" s="184"/>
      <c r="AI836" s="184"/>
      <c r="AJ836" s="184"/>
      <c r="AK836" s="184"/>
      <c r="AL836" s="184"/>
      <c r="AM836" s="184"/>
      <c r="AN836" s="184"/>
      <c r="AO836" s="184"/>
      <c r="AP836" s="184"/>
      <c r="AQ836" s="184"/>
      <c r="AR836" s="184"/>
      <c r="AS836" s="186"/>
      <c r="AT836" s="187"/>
      <c r="AU836" s="187"/>
      <c r="AV836" s="187"/>
      <c r="AW836" s="224"/>
      <c r="AX836" s="184"/>
      <c r="AY836" s="184"/>
      <c r="AZ836" s="184"/>
      <c r="BA836" s="184"/>
      <c r="BB836" s="184"/>
    </row>
    <row r="837" spans="1:54" s="163" customFormat="1" ht="16.5" customHeight="1">
      <c r="A837" s="180"/>
      <c r="B837" s="181"/>
      <c r="C837" s="182"/>
      <c r="D837" s="182"/>
      <c r="E837" s="183"/>
      <c r="F837" s="183"/>
      <c r="G837" s="183"/>
      <c r="H837" s="184"/>
      <c r="I837" s="184"/>
      <c r="J837" s="184"/>
      <c r="K837" s="184"/>
      <c r="L837" s="184"/>
      <c r="M837" s="184"/>
      <c r="N837" s="184"/>
      <c r="O837" s="184"/>
      <c r="Q837" s="184"/>
      <c r="R837" s="185"/>
      <c r="S837" s="185"/>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c r="AP837" s="184"/>
      <c r="AQ837" s="184"/>
      <c r="AR837" s="184"/>
      <c r="AS837" s="186"/>
      <c r="AT837" s="187"/>
      <c r="AU837" s="187"/>
      <c r="AV837" s="187"/>
      <c r="AW837" s="224"/>
      <c r="AX837" s="184"/>
      <c r="AY837" s="184"/>
      <c r="AZ837" s="184"/>
      <c r="BA837" s="184"/>
      <c r="BB837" s="184"/>
    </row>
    <row r="838" spans="1:54" s="163" customFormat="1" ht="16.5" customHeight="1">
      <c r="A838" s="180"/>
      <c r="B838" s="181"/>
      <c r="C838" s="182"/>
      <c r="D838" s="182"/>
      <c r="E838" s="183"/>
      <c r="F838" s="183"/>
      <c r="G838" s="183"/>
      <c r="H838" s="184"/>
      <c r="I838" s="184"/>
      <c r="J838" s="184"/>
      <c r="K838" s="184"/>
      <c r="L838" s="184"/>
      <c r="M838" s="184"/>
      <c r="N838" s="184"/>
      <c r="O838" s="184"/>
      <c r="Q838" s="184"/>
      <c r="R838" s="185"/>
      <c r="S838" s="185"/>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c r="AP838" s="184"/>
      <c r="AQ838" s="184"/>
      <c r="AR838" s="184"/>
      <c r="AS838" s="186"/>
      <c r="AT838" s="187"/>
      <c r="AU838" s="187"/>
      <c r="AV838" s="187"/>
      <c r="AW838" s="224"/>
      <c r="AX838" s="184"/>
      <c r="AY838" s="184"/>
      <c r="AZ838" s="184"/>
      <c r="BA838" s="184"/>
      <c r="BB838" s="184"/>
    </row>
    <row r="839" spans="1:54" s="163" customFormat="1" ht="16.5" customHeight="1">
      <c r="A839" s="180"/>
      <c r="B839" s="181"/>
      <c r="C839" s="182"/>
      <c r="D839" s="182"/>
      <c r="E839" s="183"/>
      <c r="F839" s="183"/>
      <c r="G839" s="183"/>
      <c r="H839" s="184"/>
      <c r="I839" s="184"/>
      <c r="J839" s="184"/>
      <c r="K839" s="184"/>
      <c r="L839" s="184"/>
      <c r="M839" s="184"/>
      <c r="N839" s="184"/>
      <c r="O839" s="184"/>
      <c r="Q839" s="184"/>
      <c r="R839" s="185"/>
      <c r="S839" s="185"/>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c r="AP839" s="184"/>
      <c r="AQ839" s="184"/>
      <c r="AR839" s="184"/>
      <c r="AS839" s="186"/>
      <c r="AT839" s="187"/>
      <c r="AU839" s="187"/>
      <c r="AV839" s="187"/>
      <c r="AW839" s="224"/>
      <c r="AX839" s="184"/>
      <c r="AY839" s="184"/>
      <c r="AZ839" s="184"/>
      <c r="BA839" s="184"/>
      <c r="BB839" s="184"/>
    </row>
    <row r="840" spans="1:54" s="163" customFormat="1" ht="16.5" customHeight="1">
      <c r="A840" s="180"/>
      <c r="B840" s="181"/>
      <c r="C840" s="182"/>
      <c r="D840" s="182"/>
      <c r="E840" s="183"/>
      <c r="F840" s="183"/>
      <c r="G840" s="183"/>
      <c r="H840" s="184"/>
      <c r="I840" s="184"/>
      <c r="J840" s="184"/>
      <c r="K840" s="184"/>
      <c r="L840" s="184"/>
      <c r="M840" s="184"/>
      <c r="N840" s="184"/>
      <c r="O840" s="184"/>
      <c r="Q840" s="184"/>
      <c r="R840" s="185"/>
      <c r="S840" s="185"/>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c r="AP840" s="184"/>
      <c r="AQ840" s="184"/>
      <c r="AR840" s="184"/>
      <c r="AS840" s="186"/>
      <c r="AT840" s="187"/>
      <c r="AU840" s="187"/>
      <c r="AV840" s="187"/>
      <c r="AW840" s="224"/>
      <c r="AX840" s="184"/>
      <c r="AY840" s="184"/>
      <c r="AZ840" s="184"/>
      <c r="BA840" s="184"/>
      <c r="BB840" s="184"/>
    </row>
    <row r="841" spans="1:54" s="163" customFormat="1" ht="16.5" customHeight="1">
      <c r="A841" s="180"/>
      <c r="B841" s="181"/>
      <c r="C841" s="182"/>
      <c r="D841" s="182"/>
      <c r="E841" s="183"/>
      <c r="F841" s="183"/>
      <c r="G841" s="183"/>
      <c r="H841" s="184"/>
      <c r="I841" s="184"/>
      <c r="J841" s="184"/>
      <c r="K841" s="184"/>
      <c r="L841" s="184"/>
      <c r="M841" s="184"/>
      <c r="N841" s="184"/>
      <c r="O841" s="184"/>
      <c r="Q841" s="184"/>
      <c r="R841" s="185"/>
      <c r="S841" s="185"/>
      <c r="U841" s="184"/>
      <c r="V841" s="184"/>
      <c r="W841" s="184"/>
      <c r="X841" s="184"/>
      <c r="Y841" s="184"/>
      <c r="Z841" s="184"/>
      <c r="AA841" s="184"/>
      <c r="AB841" s="184"/>
      <c r="AC841" s="184"/>
      <c r="AD841" s="184"/>
      <c r="AE841" s="184"/>
      <c r="AF841" s="184"/>
      <c r="AG841" s="184"/>
      <c r="AH841" s="184"/>
      <c r="AI841" s="184"/>
      <c r="AJ841" s="184"/>
      <c r="AK841" s="184"/>
      <c r="AL841" s="184"/>
      <c r="AM841" s="184"/>
      <c r="AN841" s="184"/>
      <c r="AO841" s="184"/>
      <c r="AP841" s="184"/>
      <c r="AQ841" s="184"/>
      <c r="AR841" s="184"/>
      <c r="AS841" s="186"/>
      <c r="AT841" s="187"/>
      <c r="AU841" s="187"/>
      <c r="AV841" s="187"/>
      <c r="AW841" s="224"/>
      <c r="AX841" s="184"/>
      <c r="AY841" s="184"/>
      <c r="AZ841" s="184"/>
      <c r="BA841" s="184"/>
      <c r="BB841" s="184"/>
    </row>
    <row r="842" spans="1:54" s="163" customFormat="1" ht="16.5" customHeight="1">
      <c r="A842" s="180"/>
      <c r="B842" s="181"/>
      <c r="C842" s="182"/>
      <c r="D842" s="182"/>
      <c r="E842" s="183"/>
      <c r="F842" s="183"/>
      <c r="G842" s="183"/>
      <c r="H842" s="184"/>
      <c r="I842" s="184"/>
      <c r="J842" s="184"/>
      <c r="K842" s="184"/>
      <c r="L842" s="184"/>
      <c r="M842" s="184"/>
      <c r="N842" s="184"/>
      <c r="O842" s="184"/>
      <c r="Q842" s="184"/>
      <c r="R842" s="185"/>
      <c r="S842" s="185"/>
      <c r="U842" s="184"/>
      <c r="V842" s="184"/>
      <c r="W842" s="184"/>
      <c r="X842" s="184"/>
      <c r="Y842" s="184"/>
      <c r="Z842" s="184"/>
      <c r="AA842" s="184"/>
      <c r="AB842" s="184"/>
      <c r="AC842" s="184"/>
      <c r="AD842" s="184"/>
      <c r="AE842" s="184"/>
      <c r="AF842" s="184"/>
      <c r="AG842" s="184"/>
      <c r="AH842" s="184"/>
      <c r="AI842" s="184"/>
      <c r="AJ842" s="184"/>
      <c r="AK842" s="184"/>
      <c r="AL842" s="184"/>
      <c r="AM842" s="184"/>
      <c r="AN842" s="184"/>
      <c r="AO842" s="184"/>
      <c r="AP842" s="184"/>
      <c r="AQ842" s="184"/>
      <c r="AR842" s="184"/>
      <c r="AS842" s="186"/>
      <c r="AT842" s="187"/>
      <c r="AU842" s="187"/>
      <c r="AV842" s="187"/>
      <c r="AW842" s="224"/>
      <c r="AX842" s="184"/>
      <c r="AY842" s="184"/>
      <c r="AZ842" s="184"/>
      <c r="BA842" s="184"/>
      <c r="BB842" s="184"/>
    </row>
    <row r="843" spans="1:54" s="163" customFormat="1" ht="16.5" customHeight="1">
      <c r="A843" s="180"/>
      <c r="B843" s="181"/>
      <c r="C843" s="182"/>
      <c r="D843" s="182"/>
      <c r="E843" s="183"/>
      <c r="F843" s="183"/>
      <c r="G843" s="183"/>
      <c r="H843" s="184"/>
      <c r="I843" s="184"/>
      <c r="J843" s="184"/>
      <c r="K843" s="184"/>
      <c r="L843" s="184"/>
      <c r="M843" s="184"/>
      <c r="N843" s="184"/>
      <c r="O843" s="184"/>
      <c r="Q843" s="184"/>
      <c r="R843" s="185"/>
      <c r="S843" s="185"/>
      <c r="U843" s="184"/>
      <c r="V843" s="184"/>
      <c r="W843" s="184"/>
      <c r="X843" s="184"/>
      <c r="Y843" s="184"/>
      <c r="Z843" s="184"/>
      <c r="AA843" s="184"/>
      <c r="AB843" s="184"/>
      <c r="AC843" s="184"/>
      <c r="AD843" s="184"/>
      <c r="AE843" s="184"/>
      <c r="AF843" s="184"/>
      <c r="AG843" s="184"/>
      <c r="AH843" s="184"/>
      <c r="AI843" s="184"/>
      <c r="AJ843" s="184"/>
      <c r="AK843" s="184"/>
      <c r="AL843" s="184"/>
      <c r="AM843" s="184"/>
      <c r="AN843" s="184"/>
      <c r="AO843" s="184"/>
      <c r="AP843" s="184"/>
      <c r="AQ843" s="184"/>
      <c r="AR843" s="184"/>
      <c r="AS843" s="186"/>
      <c r="AT843" s="187"/>
      <c r="AU843" s="187"/>
      <c r="AV843" s="187"/>
      <c r="AW843" s="224"/>
      <c r="AX843" s="184"/>
      <c r="AY843" s="184"/>
      <c r="AZ843" s="184"/>
      <c r="BA843" s="184"/>
      <c r="BB843" s="184"/>
    </row>
    <row r="844" spans="1:54" s="163" customFormat="1" ht="16.5" customHeight="1">
      <c r="A844" s="180"/>
      <c r="B844" s="181"/>
      <c r="C844" s="182"/>
      <c r="D844" s="182"/>
      <c r="E844" s="183"/>
      <c r="F844" s="183"/>
      <c r="G844" s="183"/>
      <c r="H844" s="184"/>
      <c r="I844" s="184"/>
      <c r="J844" s="184"/>
      <c r="K844" s="184"/>
      <c r="L844" s="184"/>
      <c r="M844" s="184"/>
      <c r="N844" s="184"/>
      <c r="O844" s="184"/>
      <c r="Q844" s="184"/>
      <c r="R844" s="185"/>
      <c r="S844" s="185"/>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c r="AP844" s="184"/>
      <c r="AQ844" s="184"/>
      <c r="AR844" s="184"/>
      <c r="AS844" s="186"/>
      <c r="AT844" s="187"/>
      <c r="AU844" s="187"/>
      <c r="AV844" s="187"/>
      <c r="AW844" s="224"/>
      <c r="AX844" s="184"/>
      <c r="AY844" s="184"/>
      <c r="AZ844" s="184"/>
      <c r="BA844" s="184"/>
      <c r="BB844" s="184"/>
    </row>
    <row r="845" spans="1:54" s="163" customFormat="1" ht="16.5" customHeight="1">
      <c r="A845" s="180"/>
      <c r="B845" s="181"/>
      <c r="C845" s="182"/>
      <c r="D845" s="182"/>
      <c r="E845" s="183"/>
      <c r="F845" s="183"/>
      <c r="G845" s="183"/>
      <c r="H845" s="184"/>
      <c r="I845" s="184"/>
      <c r="J845" s="184"/>
      <c r="K845" s="184"/>
      <c r="L845" s="184"/>
      <c r="M845" s="184"/>
      <c r="N845" s="184"/>
      <c r="O845" s="184"/>
      <c r="Q845" s="184"/>
      <c r="R845" s="185"/>
      <c r="S845" s="185"/>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c r="AP845" s="184"/>
      <c r="AQ845" s="184"/>
      <c r="AR845" s="184"/>
      <c r="AS845" s="186"/>
      <c r="AT845" s="187"/>
      <c r="AU845" s="187"/>
      <c r="AV845" s="187"/>
      <c r="AW845" s="224"/>
      <c r="AX845" s="184"/>
      <c r="AY845" s="184"/>
      <c r="AZ845" s="184"/>
      <c r="BA845" s="184"/>
      <c r="BB845" s="184"/>
    </row>
    <row r="846" spans="1:54" s="163" customFormat="1" ht="16.5" customHeight="1">
      <c r="A846" s="180"/>
      <c r="B846" s="181"/>
      <c r="C846" s="182"/>
      <c r="D846" s="182"/>
      <c r="E846" s="183"/>
      <c r="F846" s="183"/>
      <c r="G846" s="183"/>
      <c r="H846" s="184"/>
      <c r="I846" s="184"/>
      <c r="J846" s="184"/>
      <c r="K846" s="184"/>
      <c r="L846" s="184"/>
      <c r="M846" s="184"/>
      <c r="N846" s="184"/>
      <c r="O846" s="184"/>
      <c r="Q846" s="184"/>
      <c r="R846" s="185"/>
      <c r="S846" s="185"/>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c r="AP846" s="184"/>
      <c r="AQ846" s="184"/>
      <c r="AR846" s="184"/>
      <c r="AS846" s="186"/>
      <c r="AT846" s="187"/>
      <c r="AU846" s="187"/>
      <c r="AV846" s="187"/>
      <c r="AW846" s="224"/>
      <c r="AX846" s="184"/>
      <c r="AY846" s="184"/>
      <c r="AZ846" s="184"/>
      <c r="BA846" s="184"/>
      <c r="BB846" s="184"/>
    </row>
    <row r="847" spans="1:54" s="163" customFormat="1" ht="16.5" customHeight="1">
      <c r="A847" s="180"/>
      <c r="B847" s="181"/>
      <c r="C847" s="182"/>
      <c r="D847" s="182"/>
      <c r="E847" s="183"/>
      <c r="F847" s="183"/>
      <c r="G847" s="183"/>
      <c r="H847" s="184"/>
      <c r="I847" s="184"/>
      <c r="J847" s="184"/>
      <c r="K847" s="184"/>
      <c r="L847" s="184"/>
      <c r="M847" s="184"/>
      <c r="N847" s="184"/>
      <c r="O847" s="184"/>
      <c r="Q847" s="184"/>
      <c r="R847" s="185"/>
      <c r="S847" s="185"/>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c r="AP847" s="184"/>
      <c r="AQ847" s="184"/>
      <c r="AR847" s="184"/>
      <c r="AS847" s="186"/>
      <c r="AT847" s="187"/>
      <c r="AU847" s="187"/>
      <c r="AV847" s="187"/>
      <c r="AW847" s="224"/>
      <c r="AX847" s="184"/>
      <c r="AY847" s="184"/>
      <c r="AZ847" s="184"/>
      <c r="BA847" s="184"/>
      <c r="BB847" s="184"/>
    </row>
    <row r="848" spans="1:54" s="163" customFormat="1" ht="16.5" customHeight="1">
      <c r="A848" s="180"/>
      <c r="B848" s="181"/>
      <c r="C848" s="182"/>
      <c r="D848" s="182"/>
      <c r="E848" s="183"/>
      <c r="F848" s="183"/>
      <c r="G848" s="183"/>
      <c r="H848" s="184"/>
      <c r="I848" s="184"/>
      <c r="J848" s="184"/>
      <c r="K848" s="184"/>
      <c r="L848" s="184"/>
      <c r="M848" s="184"/>
      <c r="N848" s="184"/>
      <c r="O848" s="184"/>
      <c r="Q848" s="184"/>
      <c r="R848" s="185"/>
      <c r="S848" s="185"/>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c r="AP848" s="184"/>
      <c r="AQ848" s="184"/>
      <c r="AR848" s="184"/>
      <c r="AS848" s="186"/>
      <c r="AT848" s="187"/>
      <c r="AU848" s="187"/>
      <c r="AV848" s="187"/>
      <c r="AW848" s="224"/>
      <c r="AX848" s="184"/>
      <c r="AY848" s="184"/>
      <c r="AZ848" s="184"/>
      <c r="BA848" s="184"/>
      <c r="BB848" s="184"/>
    </row>
    <row r="849" spans="1:54" s="163" customFormat="1" ht="16.5" customHeight="1">
      <c r="A849" s="180"/>
      <c r="B849" s="181"/>
      <c r="C849" s="182"/>
      <c r="D849" s="182"/>
      <c r="E849" s="183"/>
      <c r="F849" s="183"/>
      <c r="G849" s="183"/>
      <c r="H849" s="184"/>
      <c r="I849" s="184"/>
      <c r="J849" s="184"/>
      <c r="K849" s="184"/>
      <c r="L849" s="184"/>
      <c r="M849" s="184"/>
      <c r="N849" s="184"/>
      <c r="O849" s="184"/>
      <c r="Q849" s="184"/>
      <c r="R849" s="185"/>
      <c r="S849" s="185"/>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c r="AP849" s="184"/>
      <c r="AQ849" s="184"/>
      <c r="AR849" s="184"/>
      <c r="AS849" s="186"/>
      <c r="AT849" s="187"/>
      <c r="AU849" s="187"/>
      <c r="AV849" s="187"/>
      <c r="AW849" s="224"/>
      <c r="AX849" s="184"/>
      <c r="AY849" s="184"/>
      <c r="AZ849" s="184"/>
      <c r="BA849" s="184"/>
      <c r="BB849" s="184"/>
    </row>
    <row r="850" spans="1:54" s="163" customFormat="1" ht="16.5" customHeight="1">
      <c r="A850" s="180"/>
      <c r="B850" s="181"/>
      <c r="C850" s="182"/>
      <c r="D850" s="182"/>
      <c r="E850" s="183"/>
      <c r="F850" s="183"/>
      <c r="G850" s="183"/>
      <c r="H850" s="184"/>
      <c r="I850" s="184"/>
      <c r="J850" s="184"/>
      <c r="K850" s="184"/>
      <c r="L850" s="184"/>
      <c r="M850" s="184"/>
      <c r="N850" s="184"/>
      <c r="O850" s="184"/>
      <c r="Q850" s="184"/>
      <c r="R850" s="185"/>
      <c r="S850" s="185"/>
      <c r="U850" s="184"/>
      <c r="V850" s="184"/>
      <c r="W850" s="184"/>
      <c r="X850" s="184"/>
      <c r="Y850" s="184"/>
      <c r="Z850" s="184"/>
      <c r="AA850" s="184"/>
      <c r="AB850" s="184"/>
      <c r="AC850" s="184"/>
      <c r="AD850" s="184"/>
      <c r="AE850" s="184"/>
      <c r="AF850" s="184"/>
      <c r="AG850" s="184"/>
      <c r="AH850" s="184"/>
      <c r="AI850" s="184"/>
      <c r="AJ850" s="184"/>
      <c r="AK850" s="184"/>
      <c r="AL850" s="184"/>
      <c r="AM850" s="184"/>
      <c r="AN850" s="184"/>
      <c r="AO850" s="184"/>
      <c r="AP850" s="184"/>
      <c r="AQ850" s="184"/>
      <c r="AR850" s="184"/>
      <c r="AS850" s="186"/>
      <c r="AT850" s="187"/>
      <c r="AU850" s="187"/>
      <c r="AV850" s="187"/>
      <c r="AW850" s="224"/>
      <c r="AX850" s="184"/>
      <c r="AY850" s="184"/>
      <c r="AZ850" s="184"/>
      <c r="BA850" s="184"/>
      <c r="BB850" s="184"/>
    </row>
    <row r="851" spans="1:54" s="163" customFormat="1" ht="16.5" customHeight="1">
      <c r="A851" s="180"/>
      <c r="B851" s="181"/>
      <c r="C851" s="182"/>
      <c r="D851" s="182"/>
      <c r="E851" s="183"/>
      <c r="F851" s="183"/>
      <c r="G851" s="183"/>
      <c r="H851" s="184"/>
      <c r="I851" s="184"/>
      <c r="J851" s="184"/>
      <c r="K851" s="184"/>
      <c r="L851" s="184"/>
      <c r="M851" s="184"/>
      <c r="N851" s="184"/>
      <c r="O851" s="184"/>
      <c r="Q851" s="184"/>
      <c r="R851" s="185"/>
      <c r="S851" s="185"/>
      <c r="U851" s="184"/>
      <c r="V851" s="184"/>
      <c r="W851" s="184"/>
      <c r="X851" s="184"/>
      <c r="Y851" s="184"/>
      <c r="Z851" s="184"/>
      <c r="AA851" s="184"/>
      <c r="AB851" s="184"/>
      <c r="AC851" s="184"/>
      <c r="AD851" s="184"/>
      <c r="AE851" s="184"/>
      <c r="AF851" s="184"/>
      <c r="AG851" s="184"/>
      <c r="AH851" s="184"/>
      <c r="AI851" s="184"/>
      <c r="AJ851" s="184"/>
      <c r="AK851" s="184"/>
      <c r="AL851" s="184"/>
      <c r="AM851" s="184"/>
      <c r="AN851" s="184"/>
      <c r="AO851" s="184"/>
      <c r="AP851" s="184"/>
      <c r="AQ851" s="184"/>
      <c r="AR851" s="184"/>
      <c r="AS851" s="186"/>
      <c r="AT851" s="187"/>
      <c r="AU851" s="187"/>
      <c r="AV851" s="187"/>
      <c r="AW851" s="224"/>
      <c r="AX851" s="184"/>
      <c r="AY851" s="184"/>
      <c r="AZ851" s="184"/>
      <c r="BA851" s="184"/>
      <c r="BB851" s="184"/>
    </row>
    <row r="852" spans="1:54" s="163" customFormat="1" ht="16.5" customHeight="1">
      <c r="A852" s="180"/>
      <c r="B852" s="181"/>
      <c r="C852" s="182"/>
      <c r="D852" s="182"/>
      <c r="E852" s="183"/>
      <c r="F852" s="183"/>
      <c r="G852" s="183"/>
      <c r="H852" s="184"/>
      <c r="I852" s="184"/>
      <c r="J852" s="184"/>
      <c r="K852" s="184"/>
      <c r="L852" s="184"/>
      <c r="M852" s="184"/>
      <c r="N852" s="184"/>
      <c r="O852" s="184"/>
      <c r="Q852" s="184"/>
      <c r="R852" s="185"/>
      <c r="S852" s="185"/>
      <c r="U852" s="184"/>
      <c r="V852" s="184"/>
      <c r="W852" s="184"/>
      <c r="X852" s="184"/>
      <c r="Y852" s="184"/>
      <c r="Z852" s="184"/>
      <c r="AA852" s="184"/>
      <c r="AB852" s="184"/>
      <c r="AC852" s="184"/>
      <c r="AD852" s="184"/>
      <c r="AE852" s="184"/>
      <c r="AF852" s="184"/>
      <c r="AG852" s="184"/>
      <c r="AH852" s="184"/>
      <c r="AI852" s="184"/>
      <c r="AJ852" s="184"/>
      <c r="AK852" s="184"/>
      <c r="AL852" s="184"/>
      <c r="AM852" s="184"/>
      <c r="AN852" s="184"/>
      <c r="AO852" s="184"/>
      <c r="AP852" s="184"/>
      <c r="AQ852" s="184"/>
      <c r="AR852" s="184"/>
      <c r="AS852" s="186"/>
      <c r="AT852" s="187"/>
      <c r="AU852" s="187"/>
      <c r="AV852" s="187"/>
      <c r="AW852" s="224"/>
      <c r="AX852" s="184"/>
      <c r="AY852" s="184"/>
      <c r="AZ852" s="184"/>
      <c r="BA852" s="184"/>
      <c r="BB852" s="184"/>
    </row>
    <row r="853" spans="1:54" s="163" customFormat="1" ht="16.5" customHeight="1">
      <c r="A853" s="180"/>
      <c r="B853" s="181"/>
      <c r="C853" s="182"/>
      <c r="D853" s="182"/>
      <c r="E853" s="183"/>
      <c r="F853" s="183"/>
      <c r="G853" s="183"/>
      <c r="H853" s="184"/>
      <c r="I853" s="184"/>
      <c r="J853" s="184"/>
      <c r="K853" s="184"/>
      <c r="L853" s="184"/>
      <c r="M853" s="184"/>
      <c r="N853" s="184"/>
      <c r="O853" s="184"/>
      <c r="Q853" s="184"/>
      <c r="R853" s="185"/>
      <c r="S853" s="185"/>
      <c r="U853" s="184"/>
      <c r="V853" s="184"/>
      <c r="W853" s="184"/>
      <c r="X853" s="184"/>
      <c r="Y853" s="184"/>
      <c r="Z853" s="184"/>
      <c r="AA853" s="184"/>
      <c r="AB853" s="184"/>
      <c r="AC853" s="184"/>
      <c r="AD853" s="184"/>
      <c r="AE853" s="184"/>
      <c r="AF853" s="184"/>
      <c r="AG853" s="184"/>
      <c r="AH853" s="184"/>
      <c r="AI853" s="184"/>
      <c r="AJ853" s="184"/>
      <c r="AK853" s="184"/>
      <c r="AL853" s="184"/>
      <c r="AM853" s="184"/>
      <c r="AN853" s="184"/>
      <c r="AO853" s="184"/>
      <c r="AP853" s="184"/>
      <c r="AQ853" s="184"/>
      <c r="AR853" s="184"/>
      <c r="AS853" s="186"/>
      <c r="AT853" s="187"/>
      <c r="AU853" s="187"/>
      <c r="AV853" s="187"/>
      <c r="AW853" s="224"/>
      <c r="AX853" s="184"/>
      <c r="AY853" s="184"/>
      <c r="AZ853" s="184"/>
      <c r="BA853" s="184"/>
      <c r="BB853" s="184"/>
    </row>
    <row r="854" spans="1:54" s="163" customFormat="1" ht="16.5" customHeight="1">
      <c r="A854" s="180"/>
      <c r="B854" s="181"/>
      <c r="C854" s="182"/>
      <c r="D854" s="182"/>
      <c r="E854" s="183"/>
      <c r="F854" s="183"/>
      <c r="G854" s="183"/>
      <c r="H854" s="184"/>
      <c r="I854" s="184"/>
      <c r="J854" s="184"/>
      <c r="K854" s="184"/>
      <c r="L854" s="184"/>
      <c r="M854" s="184"/>
      <c r="N854" s="184"/>
      <c r="O854" s="184"/>
      <c r="Q854" s="184"/>
      <c r="R854" s="185"/>
      <c r="S854" s="185"/>
      <c r="U854" s="184"/>
      <c r="V854" s="184"/>
      <c r="W854" s="184"/>
      <c r="X854" s="184"/>
      <c r="Y854" s="184"/>
      <c r="Z854" s="184"/>
      <c r="AA854" s="184"/>
      <c r="AB854" s="184"/>
      <c r="AC854" s="184"/>
      <c r="AD854" s="184"/>
      <c r="AE854" s="184"/>
      <c r="AF854" s="184"/>
      <c r="AG854" s="184"/>
      <c r="AH854" s="184"/>
      <c r="AI854" s="184"/>
      <c r="AJ854" s="184"/>
      <c r="AK854" s="184"/>
      <c r="AL854" s="184"/>
      <c r="AM854" s="184"/>
      <c r="AN854" s="184"/>
      <c r="AO854" s="184"/>
      <c r="AP854" s="184"/>
      <c r="AQ854" s="184"/>
      <c r="AR854" s="184"/>
      <c r="AS854" s="186"/>
      <c r="AT854" s="187"/>
      <c r="AU854" s="187"/>
      <c r="AV854" s="187"/>
      <c r="AW854" s="224"/>
      <c r="AX854" s="184"/>
      <c r="AY854" s="184"/>
      <c r="AZ854" s="184"/>
      <c r="BA854" s="184"/>
      <c r="BB854" s="184"/>
    </row>
    <row r="855" spans="1:54" s="163" customFormat="1" ht="16.5" customHeight="1">
      <c r="A855" s="180"/>
      <c r="B855" s="181"/>
      <c r="C855" s="182"/>
      <c r="D855" s="182"/>
      <c r="E855" s="183"/>
      <c r="F855" s="183"/>
      <c r="G855" s="183"/>
      <c r="H855" s="184"/>
      <c r="I855" s="184"/>
      <c r="J855" s="184"/>
      <c r="K855" s="184"/>
      <c r="L855" s="184"/>
      <c r="M855" s="184"/>
      <c r="N855" s="184"/>
      <c r="O855" s="184"/>
      <c r="Q855" s="184"/>
      <c r="R855" s="185"/>
      <c r="S855" s="185"/>
      <c r="U855" s="184"/>
      <c r="V855" s="184"/>
      <c r="W855" s="184"/>
      <c r="X855" s="184"/>
      <c r="Y855" s="184"/>
      <c r="Z855" s="184"/>
      <c r="AA855" s="184"/>
      <c r="AB855" s="184"/>
      <c r="AC855" s="184"/>
      <c r="AD855" s="184"/>
      <c r="AE855" s="184"/>
      <c r="AF855" s="184"/>
      <c r="AG855" s="184"/>
      <c r="AH855" s="184"/>
      <c r="AI855" s="184"/>
      <c r="AJ855" s="184"/>
      <c r="AK855" s="184"/>
      <c r="AL855" s="184"/>
      <c r="AM855" s="184"/>
      <c r="AN855" s="184"/>
      <c r="AO855" s="184"/>
      <c r="AP855" s="184"/>
      <c r="AQ855" s="184"/>
      <c r="AR855" s="184"/>
      <c r="AS855" s="186"/>
      <c r="AT855" s="187"/>
      <c r="AU855" s="187"/>
      <c r="AV855" s="187"/>
      <c r="AW855" s="224"/>
      <c r="AX855" s="184"/>
      <c r="AY855" s="184"/>
      <c r="AZ855" s="184"/>
      <c r="BA855" s="184"/>
      <c r="BB855" s="184"/>
    </row>
    <row r="856" spans="1:54" s="163" customFormat="1" ht="16.5" customHeight="1">
      <c r="A856" s="180"/>
      <c r="B856" s="181"/>
      <c r="C856" s="182"/>
      <c r="D856" s="182"/>
      <c r="E856" s="183"/>
      <c r="F856" s="183"/>
      <c r="G856" s="183"/>
      <c r="H856" s="184"/>
      <c r="I856" s="184"/>
      <c r="J856" s="184"/>
      <c r="K856" s="184"/>
      <c r="L856" s="184"/>
      <c r="M856" s="184"/>
      <c r="N856" s="184"/>
      <c r="O856" s="184"/>
      <c r="Q856" s="184"/>
      <c r="R856" s="185"/>
      <c r="S856" s="185"/>
      <c r="U856" s="184"/>
      <c r="V856" s="184"/>
      <c r="W856" s="184"/>
      <c r="X856" s="184"/>
      <c r="Y856" s="184"/>
      <c r="Z856" s="184"/>
      <c r="AA856" s="184"/>
      <c r="AB856" s="184"/>
      <c r="AC856" s="184"/>
      <c r="AD856" s="184"/>
      <c r="AE856" s="184"/>
      <c r="AF856" s="184"/>
      <c r="AG856" s="184"/>
      <c r="AH856" s="184"/>
      <c r="AI856" s="184"/>
      <c r="AJ856" s="184"/>
      <c r="AK856" s="184"/>
      <c r="AL856" s="184"/>
      <c r="AM856" s="184"/>
      <c r="AN856" s="184"/>
      <c r="AO856" s="184"/>
      <c r="AP856" s="184"/>
      <c r="AQ856" s="184"/>
      <c r="AR856" s="184"/>
      <c r="AS856" s="186"/>
      <c r="AT856" s="187"/>
      <c r="AU856" s="187"/>
      <c r="AV856" s="187"/>
      <c r="AW856" s="224"/>
      <c r="AX856" s="184"/>
      <c r="AY856" s="184"/>
      <c r="AZ856" s="184"/>
      <c r="BA856" s="184"/>
      <c r="BB856" s="184"/>
    </row>
    <row r="857" spans="1:54" s="163" customFormat="1" ht="16.5" customHeight="1">
      <c r="A857" s="180"/>
      <c r="B857" s="181"/>
      <c r="C857" s="182"/>
      <c r="D857" s="182"/>
      <c r="E857" s="183"/>
      <c r="F857" s="183"/>
      <c r="G857" s="183"/>
      <c r="H857" s="184"/>
      <c r="I857" s="184"/>
      <c r="J857" s="184"/>
      <c r="K857" s="184"/>
      <c r="L857" s="184"/>
      <c r="M857" s="184"/>
      <c r="N857" s="184"/>
      <c r="O857" s="184"/>
      <c r="Q857" s="184"/>
      <c r="R857" s="185"/>
      <c r="S857" s="185"/>
      <c r="U857" s="184"/>
      <c r="V857" s="184"/>
      <c r="W857" s="184"/>
      <c r="X857" s="184"/>
      <c r="Y857" s="184"/>
      <c r="Z857" s="184"/>
      <c r="AA857" s="184"/>
      <c r="AB857" s="184"/>
      <c r="AC857" s="184"/>
      <c r="AD857" s="184"/>
      <c r="AE857" s="184"/>
      <c r="AF857" s="184"/>
      <c r="AG857" s="184"/>
      <c r="AH857" s="184"/>
      <c r="AI857" s="184"/>
      <c r="AJ857" s="184"/>
      <c r="AK857" s="184"/>
      <c r="AL857" s="184"/>
      <c r="AM857" s="184"/>
      <c r="AN857" s="184"/>
      <c r="AO857" s="184"/>
      <c r="AP857" s="184"/>
      <c r="AQ857" s="184"/>
      <c r="AR857" s="184"/>
      <c r="AS857" s="186"/>
      <c r="AT857" s="187"/>
      <c r="AU857" s="187"/>
      <c r="AV857" s="187"/>
      <c r="AW857" s="224"/>
      <c r="AX857" s="184"/>
      <c r="AY857" s="184"/>
      <c r="AZ857" s="184"/>
      <c r="BA857" s="184"/>
      <c r="BB857" s="184"/>
    </row>
    <row r="858" spans="1:54" s="163" customFormat="1" ht="16.5" customHeight="1">
      <c r="A858" s="180"/>
      <c r="B858" s="181"/>
      <c r="C858" s="182"/>
      <c r="D858" s="182"/>
      <c r="E858" s="183"/>
      <c r="F858" s="183"/>
      <c r="G858" s="183"/>
      <c r="H858" s="184"/>
      <c r="I858" s="184"/>
      <c r="J858" s="184"/>
      <c r="K858" s="184"/>
      <c r="L858" s="184"/>
      <c r="M858" s="184"/>
      <c r="N858" s="184"/>
      <c r="O858" s="184"/>
      <c r="Q858" s="184"/>
      <c r="R858" s="185"/>
      <c r="S858" s="185"/>
      <c r="U858" s="184"/>
      <c r="V858" s="184"/>
      <c r="W858" s="184"/>
      <c r="X858" s="184"/>
      <c r="Y858" s="184"/>
      <c r="Z858" s="184"/>
      <c r="AA858" s="184"/>
      <c r="AB858" s="184"/>
      <c r="AC858" s="184"/>
      <c r="AD858" s="184"/>
      <c r="AE858" s="184"/>
      <c r="AF858" s="184"/>
      <c r="AG858" s="184"/>
      <c r="AH858" s="184"/>
      <c r="AI858" s="184"/>
      <c r="AJ858" s="184"/>
      <c r="AK858" s="184"/>
      <c r="AL858" s="184"/>
      <c r="AM858" s="184"/>
      <c r="AN858" s="184"/>
      <c r="AO858" s="184"/>
      <c r="AP858" s="184"/>
      <c r="AQ858" s="184"/>
      <c r="AR858" s="184"/>
      <c r="AS858" s="186"/>
      <c r="AT858" s="187"/>
      <c r="AU858" s="187"/>
      <c r="AV858" s="187"/>
      <c r="AW858" s="224"/>
      <c r="AX858" s="184"/>
      <c r="AY858" s="184"/>
      <c r="AZ858" s="184"/>
      <c r="BA858" s="184"/>
      <c r="BB858" s="184"/>
    </row>
    <row r="859" spans="1:54" s="163" customFormat="1" ht="16.5" customHeight="1">
      <c r="A859" s="180"/>
      <c r="B859" s="181"/>
      <c r="C859" s="182"/>
      <c r="D859" s="182"/>
      <c r="E859" s="183"/>
      <c r="F859" s="183"/>
      <c r="G859" s="183"/>
      <c r="H859" s="184"/>
      <c r="I859" s="184"/>
      <c r="J859" s="184"/>
      <c r="K859" s="184"/>
      <c r="L859" s="184"/>
      <c r="M859" s="184"/>
      <c r="N859" s="184"/>
      <c r="O859" s="184"/>
      <c r="Q859" s="184"/>
      <c r="R859" s="185"/>
      <c r="S859" s="185"/>
      <c r="U859" s="184"/>
      <c r="V859" s="184"/>
      <c r="W859" s="184"/>
      <c r="X859" s="184"/>
      <c r="Y859" s="184"/>
      <c r="Z859" s="184"/>
      <c r="AA859" s="184"/>
      <c r="AB859" s="184"/>
      <c r="AC859" s="184"/>
      <c r="AD859" s="184"/>
      <c r="AE859" s="184"/>
      <c r="AF859" s="184"/>
      <c r="AG859" s="184"/>
      <c r="AH859" s="184"/>
      <c r="AI859" s="184"/>
      <c r="AJ859" s="184"/>
      <c r="AK859" s="184"/>
      <c r="AL859" s="184"/>
      <c r="AM859" s="184"/>
      <c r="AN859" s="184"/>
      <c r="AO859" s="184"/>
      <c r="AP859" s="184"/>
      <c r="AQ859" s="184"/>
      <c r="AR859" s="184"/>
      <c r="AS859" s="186"/>
      <c r="AT859" s="187"/>
      <c r="AU859" s="187"/>
      <c r="AV859" s="187"/>
      <c r="AW859" s="224"/>
      <c r="AX859" s="184"/>
      <c r="AY859" s="184"/>
      <c r="AZ859" s="184"/>
      <c r="BA859" s="184"/>
      <c r="BB859" s="184"/>
    </row>
    <row r="860" spans="1:54" s="163" customFormat="1" ht="16.5" customHeight="1">
      <c r="A860" s="180"/>
      <c r="B860" s="181"/>
      <c r="C860" s="182"/>
      <c r="D860" s="182"/>
      <c r="E860" s="183"/>
      <c r="F860" s="183"/>
      <c r="G860" s="183"/>
      <c r="H860" s="184"/>
      <c r="I860" s="184"/>
      <c r="J860" s="184"/>
      <c r="K860" s="184"/>
      <c r="L860" s="184"/>
      <c r="M860" s="184"/>
      <c r="N860" s="184"/>
      <c r="O860" s="184"/>
      <c r="Q860" s="184"/>
      <c r="R860" s="185"/>
      <c r="S860" s="185"/>
      <c r="U860" s="184"/>
      <c r="V860" s="184"/>
      <c r="W860" s="184"/>
      <c r="X860" s="184"/>
      <c r="Y860" s="184"/>
      <c r="Z860" s="184"/>
      <c r="AA860" s="184"/>
      <c r="AB860" s="184"/>
      <c r="AC860" s="184"/>
      <c r="AD860" s="184"/>
      <c r="AE860" s="184"/>
      <c r="AF860" s="184"/>
      <c r="AG860" s="184"/>
      <c r="AH860" s="184"/>
      <c r="AI860" s="184"/>
      <c r="AJ860" s="184"/>
      <c r="AK860" s="184"/>
      <c r="AL860" s="184"/>
      <c r="AM860" s="184"/>
      <c r="AN860" s="184"/>
      <c r="AO860" s="184"/>
      <c r="AP860" s="184"/>
      <c r="AQ860" s="184"/>
      <c r="AR860" s="184"/>
      <c r="AS860" s="186"/>
      <c r="AT860" s="187"/>
      <c r="AU860" s="187"/>
      <c r="AV860" s="187"/>
      <c r="AW860" s="224"/>
      <c r="AX860" s="184"/>
      <c r="AY860" s="184"/>
      <c r="AZ860" s="184"/>
      <c r="BA860" s="184"/>
      <c r="BB860" s="184"/>
    </row>
    <row r="861" spans="1:54" s="163" customFormat="1" ht="16.5" customHeight="1">
      <c r="A861" s="180"/>
      <c r="B861" s="181"/>
      <c r="C861" s="182"/>
      <c r="D861" s="182"/>
      <c r="E861" s="183"/>
      <c r="F861" s="183"/>
      <c r="G861" s="183"/>
      <c r="H861" s="184"/>
      <c r="I861" s="184"/>
      <c r="J861" s="184"/>
      <c r="K861" s="184"/>
      <c r="L861" s="184"/>
      <c r="M861" s="184"/>
      <c r="N861" s="184"/>
      <c r="O861" s="184"/>
      <c r="Q861" s="184"/>
      <c r="R861" s="185"/>
      <c r="S861" s="185"/>
      <c r="U861" s="184"/>
      <c r="V861" s="184"/>
      <c r="W861" s="184"/>
      <c r="X861" s="184"/>
      <c r="Y861" s="184"/>
      <c r="Z861" s="184"/>
      <c r="AA861" s="184"/>
      <c r="AB861" s="184"/>
      <c r="AC861" s="184"/>
      <c r="AD861" s="184"/>
      <c r="AE861" s="184"/>
      <c r="AF861" s="184"/>
      <c r="AG861" s="184"/>
      <c r="AH861" s="184"/>
      <c r="AI861" s="184"/>
      <c r="AJ861" s="184"/>
      <c r="AK861" s="184"/>
      <c r="AL861" s="184"/>
      <c r="AM861" s="184"/>
      <c r="AN861" s="184"/>
      <c r="AO861" s="184"/>
      <c r="AP861" s="184"/>
      <c r="AQ861" s="184"/>
      <c r="AR861" s="184"/>
      <c r="AS861" s="186"/>
      <c r="AT861" s="187"/>
      <c r="AU861" s="187"/>
      <c r="AV861" s="187"/>
      <c r="AW861" s="224"/>
      <c r="AX861" s="184"/>
      <c r="AY861" s="184"/>
      <c r="AZ861" s="184"/>
      <c r="BA861" s="184"/>
      <c r="BB861" s="184"/>
    </row>
    <row r="862" spans="1:54" s="163" customFormat="1" ht="16.5" customHeight="1">
      <c r="A862" s="180"/>
      <c r="B862" s="181"/>
      <c r="C862" s="182"/>
      <c r="D862" s="182"/>
      <c r="E862" s="183"/>
      <c r="F862" s="183"/>
      <c r="G862" s="183"/>
      <c r="H862" s="184"/>
      <c r="I862" s="184"/>
      <c r="J862" s="184"/>
      <c r="K862" s="184"/>
      <c r="L862" s="184"/>
      <c r="M862" s="184"/>
      <c r="N862" s="184"/>
      <c r="O862" s="184"/>
      <c r="Q862" s="184"/>
      <c r="R862" s="185"/>
      <c r="S862" s="185"/>
      <c r="U862" s="184"/>
      <c r="V862" s="184"/>
      <c r="W862" s="184"/>
      <c r="X862" s="184"/>
      <c r="Y862" s="184"/>
      <c r="Z862" s="184"/>
      <c r="AA862" s="184"/>
      <c r="AB862" s="184"/>
      <c r="AC862" s="184"/>
      <c r="AD862" s="184"/>
      <c r="AE862" s="184"/>
      <c r="AF862" s="184"/>
      <c r="AG862" s="184"/>
      <c r="AH862" s="184"/>
      <c r="AI862" s="184"/>
      <c r="AJ862" s="184"/>
      <c r="AK862" s="184"/>
      <c r="AL862" s="184"/>
      <c r="AM862" s="184"/>
      <c r="AN862" s="184"/>
      <c r="AO862" s="184"/>
      <c r="AP862" s="184"/>
      <c r="AQ862" s="184"/>
      <c r="AR862" s="184"/>
      <c r="AS862" s="186"/>
      <c r="AT862" s="187"/>
      <c r="AU862" s="187"/>
      <c r="AV862" s="187"/>
      <c r="AW862" s="224"/>
      <c r="AX862" s="184"/>
      <c r="AY862" s="184"/>
      <c r="AZ862" s="184"/>
      <c r="BA862" s="184"/>
      <c r="BB862" s="184"/>
    </row>
    <row r="863" spans="1:54" s="163" customFormat="1" ht="16.5" customHeight="1">
      <c r="A863" s="180"/>
      <c r="B863" s="181"/>
      <c r="C863" s="182"/>
      <c r="D863" s="182"/>
      <c r="E863" s="183"/>
      <c r="F863" s="183"/>
      <c r="G863" s="183"/>
      <c r="H863" s="184"/>
      <c r="I863" s="184"/>
      <c r="J863" s="184"/>
      <c r="K863" s="184"/>
      <c r="L863" s="184"/>
      <c r="M863" s="184"/>
      <c r="N863" s="184"/>
      <c r="O863" s="184"/>
      <c r="Q863" s="184"/>
      <c r="R863" s="185"/>
      <c r="S863" s="185"/>
      <c r="U863" s="184"/>
      <c r="V863" s="184"/>
      <c r="W863" s="184"/>
      <c r="X863" s="184"/>
      <c r="Y863" s="184"/>
      <c r="Z863" s="184"/>
      <c r="AA863" s="184"/>
      <c r="AB863" s="184"/>
      <c r="AC863" s="184"/>
      <c r="AD863" s="184"/>
      <c r="AE863" s="184"/>
      <c r="AF863" s="184"/>
      <c r="AG863" s="184"/>
      <c r="AH863" s="184"/>
      <c r="AI863" s="184"/>
      <c r="AJ863" s="184"/>
      <c r="AK863" s="184"/>
      <c r="AL863" s="184"/>
      <c r="AM863" s="184"/>
      <c r="AN863" s="184"/>
      <c r="AO863" s="184"/>
      <c r="AP863" s="184"/>
      <c r="AQ863" s="184"/>
      <c r="AR863" s="184"/>
      <c r="AS863" s="186"/>
      <c r="AT863" s="187"/>
      <c r="AU863" s="187"/>
      <c r="AV863" s="187"/>
      <c r="AW863" s="224"/>
      <c r="AX863" s="184"/>
      <c r="AY863" s="184"/>
      <c r="AZ863" s="184"/>
      <c r="BA863" s="184"/>
      <c r="BB863" s="184"/>
    </row>
    <row r="864" spans="1:54" s="163" customFormat="1" ht="16.5" customHeight="1">
      <c r="A864" s="180"/>
      <c r="B864" s="181"/>
      <c r="C864" s="182"/>
      <c r="D864" s="182"/>
      <c r="E864" s="183"/>
      <c r="F864" s="183"/>
      <c r="G864" s="183"/>
      <c r="H864" s="184"/>
      <c r="I864" s="184"/>
      <c r="J864" s="184"/>
      <c r="K864" s="184"/>
      <c r="L864" s="184"/>
      <c r="M864" s="184"/>
      <c r="N864" s="184"/>
      <c r="O864" s="184"/>
      <c r="Q864" s="184"/>
      <c r="R864" s="185"/>
      <c r="S864" s="185"/>
      <c r="U864" s="184"/>
      <c r="V864" s="184"/>
      <c r="W864" s="184"/>
      <c r="X864" s="184"/>
      <c r="Y864" s="184"/>
      <c r="Z864" s="184"/>
      <c r="AA864" s="184"/>
      <c r="AB864" s="184"/>
      <c r="AC864" s="184"/>
      <c r="AD864" s="184"/>
      <c r="AE864" s="184"/>
      <c r="AF864" s="184"/>
      <c r="AG864" s="184"/>
      <c r="AH864" s="184"/>
      <c r="AI864" s="184"/>
      <c r="AJ864" s="184"/>
      <c r="AK864" s="184"/>
      <c r="AL864" s="184"/>
      <c r="AM864" s="184"/>
      <c r="AN864" s="184"/>
      <c r="AO864" s="184"/>
      <c r="AP864" s="184"/>
      <c r="AQ864" s="184"/>
      <c r="AR864" s="184"/>
      <c r="AS864" s="186"/>
      <c r="AT864" s="187"/>
      <c r="AU864" s="187"/>
      <c r="AV864" s="187"/>
      <c r="AW864" s="224"/>
      <c r="AX864" s="184"/>
      <c r="AY864" s="184"/>
      <c r="AZ864" s="184"/>
      <c r="BA864" s="184"/>
      <c r="BB864" s="184"/>
    </row>
    <row r="865" spans="1:54" s="163" customFormat="1" ht="16.5" customHeight="1">
      <c r="A865" s="180"/>
      <c r="B865" s="181"/>
      <c r="C865" s="182"/>
      <c r="D865" s="182"/>
      <c r="E865" s="183"/>
      <c r="F865" s="183"/>
      <c r="G865" s="183"/>
      <c r="H865" s="184"/>
      <c r="I865" s="184"/>
      <c r="J865" s="184"/>
      <c r="K865" s="184"/>
      <c r="L865" s="184"/>
      <c r="M865" s="184"/>
      <c r="N865" s="184"/>
      <c r="O865" s="184"/>
      <c r="Q865" s="184"/>
      <c r="R865" s="185"/>
      <c r="S865" s="185"/>
      <c r="U865" s="184"/>
      <c r="V865" s="184"/>
      <c r="W865" s="184"/>
      <c r="X865" s="184"/>
      <c r="Y865" s="184"/>
      <c r="Z865" s="184"/>
      <c r="AA865" s="184"/>
      <c r="AB865" s="184"/>
      <c r="AC865" s="184"/>
      <c r="AD865" s="184"/>
      <c r="AE865" s="184"/>
      <c r="AF865" s="184"/>
      <c r="AG865" s="184"/>
      <c r="AH865" s="184"/>
      <c r="AI865" s="184"/>
      <c r="AJ865" s="184"/>
      <c r="AK865" s="184"/>
      <c r="AL865" s="184"/>
      <c r="AM865" s="184"/>
      <c r="AN865" s="184"/>
      <c r="AO865" s="184"/>
      <c r="AP865" s="184"/>
      <c r="AQ865" s="184"/>
      <c r="AR865" s="184"/>
      <c r="AS865" s="186"/>
      <c r="AT865" s="187"/>
      <c r="AU865" s="187"/>
      <c r="AV865" s="187"/>
      <c r="AW865" s="224"/>
      <c r="AX865" s="184"/>
      <c r="AY865" s="184"/>
      <c r="AZ865" s="184"/>
      <c r="BA865" s="184"/>
      <c r="BB865" s="184"/>
    </row>
    <row r="866" spans="1:54" s="163" customFormat="1" ht="16.5" customHeight="1">
      <c r="A866" s="180"/>
      <c r="B866" s="181"/>
      <c r="C866" s="182"/>
      <c r="D866" s="182"/>
      <c r="E866" s="183"/>
      <c r="F866" s="183"/>
      <c r="G866" s="183"/>
      <c r="H866" s="184"/>
      <c r="I866" s="184"/>
      <c r="J866" s="184"/>
      <c r="K866" s="184"/>
      <c r="L866" s="184"/>
      <c r="M866" s="184"/>
      <c r="N866" s="184"/>
      <c r="O866" s="184"/>
      <c r="Q866" s="184"/>
      <c r="R866" s="185"/>
      <c r="S866" s="185"/>
      <c r="U866" s="184"/>
      <c r="V866" s="184"/>
      <c r="W866" s="184"/>
      <c r="X866" s="184"/>
      <c r="Y866" s="184"/>
      <c r="Z866" s="184"/>
      <c r="AA866" s="184"/>
      <c r="AB866" s="184"/>
      <c r="AC866" s="184"/>
      <c r="AD866" s="184"/>
      <c r="AE866" s="184"/>
      <c r="AF866" s="184"/>
      <c r="AG866" s="184"/>
      <c r="AH866" s="184"/>
      <c r="AI866" s="184"/>
      <c r="AJ866" s="184"/>
      <c r="AK866" s="184"/>
      <c r="AL866" s="184"/>
      <c r="AM866" s="184"/>
      <c r="AN866" s="184"/>
      <c r="AO866" s="184"/>
      <c r="AP866" s="184"/>
      <c r="AQ866" s="184"/>
      <c r="AR866" s="184"/>
      <c r="AS866" s="186"/>
      <c r="AT866" s="187"/>
      <c r="AU866" s="187"/>
      <c r="AV866" s="187"/>
      <c r="AW866" s="224"/>
      <c r="AX866" s="184"/>
      <c r="AY866" s="184"/>
      <c r="AZ866" s="184"/>
      <c r="BA866" s="184"/>
      <c r="BB866" s="184"/>
    </row>
    <row r="867" spans="1:54" s="163" customFormat="1" ht="16.5" customHeight="1">
      <c r="A867" s="180"/>
      <c r="B867" s="181"/>
      <c r="C867" s="182"/>
      <c r="D867" s="182"/>
      <c r="E867" s="183"/>
      <c r="F867" s="183"/>
      <c r="G867" s="183"/>
      <c r="H867" s="184"/>
      <c r="I867" s="184"/>
      <c r="J867" s="184"/>
      <c r="K867" s="184"/>
      <c r="L867" s="184"/>
      <c r="M867" s="184"/>
      <c r="N867" s="184"/>
      <c r="O867" s="184"/>
      <c r="Q867" s="184"/>
      <c r="R867" s="185"/>
      <c r="S867" s="185"/>
      <c r="U867" s="184"/>
      <c r="V867" s="184"/>
      <c r="W867" s="184"/>
      <c r="X867" s="184"/>
      <c r="Y867" s="184"/>
      <c r="Z867" s="184"/>
      <c r="AA867" s="184"/>
      <c r="AB867" s="184"/>
      <c r="AC867" s="184"/>
      <c r="AD867" s="184"/>
      <c r="AE867" s="184"/>
      <c r="AF867" s="184"/>
      <c r="AG867" s="184"/>
      <c r="AH867" s="184"/>
      <c r="AI867" s="184"/>
      <c r="AJ867" s="184"/>
      <c r="AK867" s="184"/>
      <c r="AL867" s="184"/>
      <c r="AM867" s="184"/>
      <c r="AN867" s="184"/>
      <c r="AO867" s="184"/>
      <c r="AP867" s="184"/>
      <c r="AQ867" s="184"/>
      <c r="AR867" s="184"/>
      <c r="AS867" s="186"/>
      <c r="AT867" s="187"/>
      <c r="AU867" s="187"/>
      <c r="AV867" s="187"/>
      <c r="AW867" s="224"/>
      <c r="AX867" s="184"/>
      <c r="AY867" s="184"/>
      <c r="AZ867" s="184"/>
      <c r="BA867" s="184"/>
      <c r="BB867" s="184"/>
    </row>
    <row r="868" spans="1:54" s="163" customFormat="1" ht="16.5" customHeight="1">
      <c r="A868" s="180"/>
      <c r="B868" s="181"/>
      <c r="C868" s="182"/>
      <c r="D868" s="182"/>
      <c r="E868" s="183"/>
      <c r="F868" s="183"/>
      <c r="G868" s="183"/>
      <c r="H868" s="184"/>
      <c r="I868" s="184"/>
      <c r="J868" s="184"/>
      <c r="K868" s="184"/>
      <c r="L868" s="184"/>
      <c r="M868" s="184"/>
      <c r="N868" s="184"/>
      <c r="O868" s="184"/>
      <c r="Q868" s="184"/>
      <c r="R868" s="185"/>
      <c r="S868" s="185"/>
      <c r="U868" s="184"/>
      <c r="V868" s="184"/>
      <c r="W868" s="184"/>
      <c r="X868" s="184"/>
      <c r="Y868" s="184"/>
      <c r="Z868" s="184"/>
      <c r="AA868" s="184"/>
      <c r="AB868" s="184"/>
      <c r="AC868" s="184"/>
      <c r="AD868" s="184"/>
      <c r="AE868" s="184"/>
      <c r="AF868" s="184"/>
      <c r="AG868" s="184"/>
      <c r="AH868" s="184"/>
      <c r="AI868" s="184"/>
      <c r="AJ868" s="184"/>
      <c r="AK868" s="184"/>
      <c r="AL868" s="184"/>
      <c r="AM868" s="184"/>
      <c r="AN868" s="184"/>
      <c r="AO868" s="184"/>
      <c r="AP868" s="184"/>
      <c r="AQ868" s="184"/>
      <c r="AR868" s="184"/>
      <c r="AS868" s="186"/>
      <c r="AT868" s="187"/>
      <c r="AU868" s="187"/>
      <c r="AV868" s="187"/>
      <c r="AW868" s="224"/>
      <c r="AX868" s="184"/>
      <c r="AY868" s="184"/>
      <c r="AZ868" s="184"/>
      <c r="BA868" s="184"/>
      <c r="BB868" s="184"/>
    </row>
    <row r="869" spans="1:54" s="163" customFormat="1" ht="16.5" customHeight="1">
      <c r="A869" s="180"/>
      <c r="B869" s="181"/>
      <c r="C869" s="182"/>
      <c r="D869" s="182"/>
      <c r="E869" s="183"/>
      <c r="F869" s="183"/>
      <c r="G869" s="183"/>
      <c r="H869" s="184"/>
      <c r="I869" s="184"/>
      <c r="J869" s="184"/>
      <c r="K869" s="184"/>
      <c r="L869" s="184"/>
      <c r="M869" s="184"/>
      <c r="N869" s="184"/>
      <c r="O869" s="184"/>
      <c r="Q869" s="184"/>
      <c r="R869" s="185"/>
      <c r="S869" s="185"/>
      <c r="U869" s="184"/>
      <c r="V869" s="184"/>
      <c r="W869" s="184"/>
      <c r="X869" s="184"/>
      <c r="Y869" s="184"/>
      <c r="Z869" s="184"/>
      <c r="AA869" s="184"/>
      <c r="AB869" s="184"/>
      <c r="AC869" s="184"/>
      <c r="AD869" s="184"/>
      <c r="AE869" s="184"/>
      <c r="AF869" s="184"/>
      <c r="AG869" s="184"/>
      <c r="AH869" s="184"/>
      <c r="AI869" s="184"/>
      <c r="AJ869" s="184"/>
      <c r="AK869" s="184"/>
      <c r="AL869" s="184"/>
      <c r="AM869" s="184"/>
      <c r="AN869" s="184"/>
      <c r="AO869" s="184"/>
      <c r="AP869" s="184"/>
      <c r="AQ869" s="184"/>
      <c r="AR869" s="184"/>
      <c r="AS869" s="186"/>
      <c r="AT869" s="187"/>
      <c r="AU869" s="187"/>
      <c r="AV869" s="187"/>
      <c r="AW869" s="224"/>
      <c r="AX869" s="184"/>
      <c r="AY869" s="184"/>
      <c r="AZ869" s="184"/>
      <c r="BA869" s="184"/>
      <c r="BB869" s="184"/>
    </row>
  </sheetData>
  <autoFilter ref="A3:BB270" xr:uid="{00000000-0009-0000-0000-000005000000}"/>
  <phoneticPr fontId="5"/>
  <conditionalFormatting sqref="E113">
    <cfRule type="duplicateValues" dxfId="6" priority="2"/>
  </conditionalFormatting>
  <conditionalFormatting sqref="E266:E270">
    <cfRule type="duplicateValues" dxfId="5" priority="1"/>
  </conditionalFormatting>
  <conditionalFormatting sqref="E271:E1048576 E1:E112 E114:E265">
    <cfRule type="duplicateValues" dxfId="4" priority="3"/>
  </conditionalFormatting>
  <pageMargins left="0.70866141732283472" right="0.70866141732283472" top="0.74803149606299213" bottom="0.74803149606299213" header="0.31496062992125984" footer="0.31496062992125984"/>
  <pageSetup paperSize="8" scale="84" fitToWidth="2" fitToHeight="0" orientation="landscape" r:id="rId1"/>
  <headerFooter>
    <oddHeader>&amp;L&amp;A&amp;R&amp;F</oddHeader>
    <oddFooter>&amp;R&amp;P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2D050"/>
    <pageSetUpPr fitToPage="1"/>
  </sheetPr>
  <dimension ref="A1:BB869"/>
  <sheetViews>
    <sheetView topLeftCell="F1" workbookViewId="0">
      <selection activeCell="O32" sqref="O32"/>
    </sheetView>
    <sheetView workbookViewId="1"/>
  </sheetViews>
  <sheetFormatPr defaultColWidth="9" defaultRowHeight="11.25"/>
  <cols>
    <col min="1" max="1" width="5.5" style="7" customWidth="1"/>
    <col min="2" max="2" width="3.875" style="42" customWidth="1"/>
    <col min="3" max="4" width="4.125" style="8" customWidth="1"/>
    <col min="5" max="5" width="13.875" style="9" customWidth="1"/>
    <col min="6" max="6" width="7.375" style="9" customWidth="1"/>
    <col min="7" max="7" width="22.875" style="9" customWidth="1"/>
    <col min="8" max="11" width="6.75" style="11" customWidth="1"/>
    <col min="12" max="15" width="6.875" style="11" customWidth="1"/>
    <col min="16" max="16" width="6.375" style="15" customWidth="1"/>
    <col min="17" max="17" width="7.5" style="11" customWidth="1"/>
    <col min="18" max="19" width="6.125" style="12" customWidth="1"/>
    <col min="20" max="20" width="8.75" style="15" customWidth="1"/>
    <col min="21" max="22" width="6.875" style="11" customWidth="1"/>
    <col min="23" max="23" width="7.5" style="11" customWidth="1"/>
    <col min="24" max="24" width="6.875" style="11" customWidth="1"/>
    <col min="25" max="37" width="7.5" style="11" customWidth="1"/>
    <col min="38" max="38" width="14.375" style="13" customWidth="1"/>
    <col min="39" max="41" width="14.375" style="14" customWidth="1"/>
    <col min="42" max="16384" width="9" style="15"/>
  </cols>
  <sheetData>
    <row r="1" spans="1:41" s="6" customFormat="1" ht="13.5">
      <c r="A1" s="47" t="s">
        <v>1803</v>
      </c>
      <c r="B1" s="48"/>
      <c r="C1" s="49"/>
      <c r="D1" s="49"/>
      <c r="E1" s="50"/>
      <c r="F1" s="50"/>
      <c r="G1" s="50"/>
      <c r="H1" s="51" t="s">
        <v>2561</v>
      </c>
      <c r="I1" s="52"/>
      <c r="J1" s="52"/>
      <c r="K1" s="53"/>
      <c r="L1" s="52" t="s">
        <v>2562</v>
      </c>
      <c r="M1" s="52"/>
      <c r="N1" s="52"/>
      <c r="O1" s="52"/>
      <c r="P1" s="59"/>
      <c r="Q1" s="54"/>
      <c r="R1" s="55"/>
      <c r="S1" s="60"/>
      <c r="T1" s="54"/>
      <c r="U1" s="52"/>
      <c r="V1" s="52"/>
      <c r="W1" s="54"/>
      <c r="X1" s="53"/>
      <c r="Y1" s="52" t="s">
        <v>2563</v>
      </c>
      <c r="Z1" s="52"/>
      <c r="AA1" s="52"/>
      <c r="AB1" s="52"/>
      <c r="AC1" s="53"/>
      <c r="AD1" s="52" t="s">
        <v>2564</v>
      </c>
      <c r="AE1" s="52"/>
      <c r="AF1" s="52"/>
      <c r="AG1" s="52"/>
      <c r="AH1" s="52"/>
      <c r="AI1" s="52"/>
      <c r="AJ1" s="52"/>
      <c r="AK1" s="53"/>
      <c r="AL1" s="56" t="s">
        <v>1804</v>
      </c>
      <c r="AM1" s="57"/>
      <c r="AN1" s="57"/>
      <c r="AO1" s="58"/>
    </row>
    <row r="2" spans="1:41" s="90" customFormat="1" ht="16.5" customHeight="1">
      <c r="A2" s="76"/>
      <c r="B2" s="77"/>
      <c r="C2" s="78"/>
      <c r="D2" s="78"/>
      <c r="E2" s="79"/>
      <c r="F2" s="79"/>
      <c r="G2" s="79"/>
      <c r="H2" s="80" t="s">
        <v>1820</v>
      </c>
      <c r="I2" s="81" t="s">
        <v>1821</v>
      </c>
      <c r="J2" s="81" t="s">
        <v>1822</v>
      </c>
      <c r="K2" s="82" t="s">
        <v>1823</v>
      </c>
      <c r="L2" s="81" t="s">
        <v>1824</v>
      </c>
      <c r="M2" s="81" t="s">
        <v>1825</v>
      </c>
      <c r="N2" s="81" t="s">
        <v>1826</v>
      </c>
      <c r="O2" s="81" t="s">
        <v>1827</v>
      </c>
      <c r="P2" s="83" t="s">
        <v>1819</v>
      </c>
      <c r="Q2" s="84"/>
      <c r="R2" s="85"/>
      <c r="S2" s="86"/>
      <c r="T2" s="84" t="s">
        <v>1828</v>
      </c>
      <c r="U2" s="81" t="s">
        <v>1829</v>
      </c>
      <c r="V2" s="81" t="s">
        <v>1830</v>
      </c>
      <c r="W2" s="84" t="s">
        <v>1831</v>
      </c>
      <c r="X2" s="82" t="s">
        <v>1832</v>
      </c>
      <c r="Y2" s="81" t="s">
        <v>1833</v>
      </c>
      <c r="Z2" s="81" t="s">
        <v>1834</v>
      </c>
      <c r="AA2" s="81" t="s">
        <v>1835</v>
      </c>
      <c r="AB2" s="84" t="s">
        <v>1836</v>
      </c>
      <c r="AC2" s="82" t="s">
        <v>1837</v>
      </c>
      <c r="AD2" s="81" t="s">
        <v>1838</v>
      </c>
      <c r="AE2" s="81" t="s">
        <v>1839</v>
      </c>
      <c r="AF2" s="81" t="s">
        <v>1840</v>
      </c>
      <c r="AG2" s="81" t="s">
        <v>1841</v>
      </c>
      <c r="AH2" s="84" t="s">
        <v>1842</v>
      </c>
      <c r="AI2" s="81" t="s">
        <v>1843</v>
      </c>
      <c r="AJ2" s="81" t="s">
        <v>1844</v>
      </c>
      <c r="AK2" s="82" t="s">
        <v>1845</v>
      </c>
      <c r="AL2" s="87"/>
      <c r="AM2" s="88"/>
      <c r="AN2" s="88"/>
      <c r="AO2" s="89"/>
    </row>
    <row r="3" spans="1:41" s="103" customFormat="1" ht="16.5" customHeight="1">
      <c r="A3" s="91" t="s">
        <v>1805</v>
      </c>
      <c r="B3" s="92" t="s">
        <v>0</v>
      </c>
      <c r="C3" s="93" t="s">
        <v>1</v>
      </c>
      <c r="D3" s="93" t="s">
        <v>2417</v>
      </c>
      <c r="E3" s="94" t="s">
        <v>2414</v>
      </c>
      <c r="F3" s="94" t="s">
        <v>1806</v>
      </c>
      <c r="G3" s="95" t="s">
        <v>1807</v>
      </c>
      <c r="H3" s="91" t="s">
        <v>2391</v>
      </c>
      <c r="I3" s="96" t="s">
        <v>2392</v>
      </c>
      <c r="J3" s="96" t="s">
        <v>2393</v>
      </c>
      <c r="K3" s="97" t="s">
        <v>2394</v>
      </c>
      <c r="L3" s="96" t="s">
        <v>2406</v>
      </c>
      <c r="M3" s="96" t="s">
        <v>2398</v>
      </c>
      <c r="N3" s="96" t="s">
        <v>2399</v>
      </c>
      <c r="O3" s="96" t="s">
        <v>2397</v>
      </c>
      <c r="P3" s="96" t="s">
        <v>1818</v>
      </c>
      <c r="Q3" s="96" t="s">
        <v>1817</v>
      </c>
      <c r="R3" s="98" t="s">
        <v>1815</v>
      </c>
      <c r="S3" s="98" t="s">
        <v>1816</v>
      </c>
      <c r="T3" s="96" t="s">
        <v>2395</v>
      </c>
      <c r="U3" s="96" t="s">
        <v>2400</v>
      </c>
      <c r="V3" s="99" t="s">
        <v>2401</v>
      </c>
      <c r="W3" s="96" t="s">
        <v>2405</v>
      </c>
      <c r="X3" s="97" t="s">
        <v>2394</v>
      </c>
      <c r="Y3" s="96" t="s">
        <v>2407</v>
      </c>
      <c r="Z3" s="96" t="s">
        <v>2392</v>
      </c>
      <c r="AA3" s="99" t="s">
        <v>2393</v>
      </c>
      <c r="AB3" s="96" t="s">
        <v>2402</v>
      </c>
      <c r="AC3" s="97" t="s">
        <v>2394</v>
      </c>
      <c r="AD3" s="96" t="s">
        <v>2406</v>
      </c>
      <c r="AE3" s="96" t="s">
        <v>2398</v>
      </c>
      <c r="AF3" s="96" t="s">
        <v>2399</v>
      </c>
      <c r="AG3" s="99" t="s">
        <v>2397</v>
      </c>
      <c r="AH3" s="96" t="s">
        <v>2395</v>
      </c>
      <c r="AI3" s="96" t="s">
        <v>2400</v>
      </c>
      <c r="AJ3" s="96" t="s">
        <v>2401</v>
      </c>
      <c r="AK3" s="97" t="s">
        <v>2394</v>
      </c>
      <c r="AL3" s="100" t="s">
        <v>1808</v>
      </c>
      <c r="AM3" s="101" t="s">
        <v>1809</v>
      </c>
      <c r="AN3" s="101" t="s">
        <v>1810</v>
      </c>
      <c r="AO3" s="102" t="s">
        <v>1811</v>
      </c>
    </row>
    <row r="4" spans="1:41" s="121" customFormat="1" ht="16.5" customHeight="1">
      <c r="A4" s="104" t="s">
        <v>2107</v>
      </c>
      <c r="B4" s="105" t="s">
        <v>51</v>
      </c>
      <c r="C4" s="106" t="s">
        <v>52</v>
      </c>
      <c r="D4" s="107" t="s">
        <v>2415</v>
      </c>
      <c r="E4" s="108" t="s">
        <v>53</v>
      </c>
      <c r="F4" s="71" t="s">
        <v>54</v>
      </c>
      <c r="G4" s="109" t="s">
        <v>55</v>
      </c>
      <c r="H4" s="110">
        <v>2265</v>
      </c>
      <c r="I4" s="111">
        <v>14138</v>
      </c>
      <c r="J4" s="112">
        <v>8276</v>
      </c>
      <c r="K4" s="113">
        <f>SUBTOTAL(9,H4:J4)</f>
        <v>24679</v>
      </c>
      <c r="L4" s="111">
        <v>70055</v>
      </c>
      <c r="M4" s="111">
        <v>97170</v>
      </c>
      <c r="N4" s="112">
        <v>0</v>
      </c>
      <c r="O4" s="111">
        <v>11967</v>
      </c>
      <c r="P4" s="114">
        <v>10</v>
      </c>
      <c r="Q4" s="111">
        <v>8509</v>
      </c>
      <c r="R4" s="115">
        <v>17970</v>
      </c>
      <c r="S4" s="115">
        <v>2053</v>
      </c>
      <c r="T4" s="111">
        <f t="shared" ref="T4:T67" si="0">ROUND(P4*Q4,0)+R4+S4</f>
        <v>105113</v>
      </c>
      <c r="U4" s="112">
        <v>37093</v>
      </c>
      <c r="V4" s="116">
        <v>0</v>
      </c>
      <c r="W4" s="111">
        <v>0</v>
      </c>
      <c r="X4" s="113">
        <f>SUBTOTAL(9,L4:O4,T4:W4)</f>
        <v>321398</v>
      </c>
      <c r="Y4" s="111">
        <v>0</v>
      </c>
      <c r="Z4" s="111">
        <v>0</v>
      </c>
      <c r="AA4" s="116">
        <v>0</v>
      </c>
      <c r="AB4" s="111">
        <v>16525</v>
      </c>
      <c r="AC4" s="113">
        <f>SUBTOTAL(9,Y4:AB4)</f>
        <v>16525</v>
      </c>
      <c r="AD4" s="111">
        <v>0</v>
      </c>
      <c r="AE4" s="111">
        <v>14</v>
      </c>
      <c r="AF4" s="112">
        <v>0</v>
      </c>
      <c r="AG4" s="117">
        <v>720</v>
      </c>
      <c r="AH4" s="111">
        <v>0</v>
      </c>
      <c r="AI4" s="112">
        <v>961</v>
      </c>
      <c r="AJ4" s="112">
        <v>14207</v>
      </c>
      <c r="AK4" s="113">
        <f>SUBTOTAL(9,AD4:AJ4)</f>
        <v>15902</v>
      </c>
      <c r="AL4" s="118"/>
      <c r="AM4" s="119"/>
      <c r="AN4" s="119"/>
      <c r="AO4" s="120"/>
    </row>
    <row r="5" spans="1:41" s="121" customFormat="1" ht="16.5" customHeight="1">
      <c r="A5" s="104" t="s">
        <v>2107</v>
      </c>
      <c r="B5" s="105" t="s">
        <v>75</v>
      </c>
      <c r="C5" s="106" t="s">
        <v>76</v>
      </c>
      <c r="D5" s="106" t="s">
        <v>2415</v>
      </c>
      <c r="E5" s="71" t="s">
        <v>77</v>
      </c>
      <c r="F5" s="71" t="s">
        <v>78</v>
      </c>
      <c r="G5" s="109" t="s">
        <v>79</v>
      </c>
      <c r="H5" s="110"/>
      <c r="I5" s="112">
        <v>1474</v>
      </c>
      <c r="J5" s="112"/>
      <c r="K5" s="113">
        <f t="shared" ref="K5:K68" si="1">SUBTOTAL(9,H5:J5)</f>
        <v>1474</v>
      </c>
      <c r="L5" s="112"/>
      <c r="M5" s="111"/>
      <c r="N5" s="112"/>
      <c r="O5" s="112"/>
      <c r="P5" s="114">
        <v>2</v>
      </c>
      <c r="Q5" s="111">
        <v>8509</v>
      </c>
      <c r="R5" s="115">
        <v>2761</v>
      </c>
      <c r="S5" s="112"/>
      <c r="T5" s="111">
        <f t="shared" si="0"/>
        <v>19779</v>
      </c>
      <c r="U5" s="112">
        <v>841</v>
      </c>
      <c r="V5" s="116"/>
      <c r="W5" s="111"/>
      <c r="X5" s="113">
        <f t="shared" ref="X5:X68" si="2">SUBTOTAL(9,L5:O5,T5:W5)</f>
        <v>20620</v>
      </c>
      <c r="Y5" s="111"/>
      <c r="Z5" s="111"/>
      <c r="AA5" s="116"/>
      <c r="AB5" s="111"/>
      <c r="AC5" s="113">
        <f t="shared" ref="AC5:AC68" si="3">SUBTOTAL(9,Y5:AB5)</f>
        <v>0</v>
      </c>
      <c r="AD5" s="111"/>
      <c r="AE5" s="111"/>
      <c r="AF5" s="112"/>
      <c r="AG5" s="117"/>
      <c r="AH5" s="111"/>
      <c r="AI5" s="112"/>
      <c r="AJ5" s="112"/>
      <c r="AK5" s="113">
        <f t="shared" ref="AK5:AK68" si="4">SUBTOTAL(9,AD5:AJ5)</f>
        <v>0</v>
      </c>
      <c r="AL5" s="118" t="s">
        <v>1855</v>
      </c>
      <c r="AM5" s="119" t="s">
        <v>1856</v>
      </c>
      <c r="AN5" s="119"/>
      <c r="AO5" s="120"/>
    </row>
    <row r="6" spans="1:41" s="121" customFormat="1" ht="16.5" customHeight="1">
      <c r="A6" s="104" t="s">
        <v>2107</v>
      </c>
      <c r="B6" s="105" t="s">
        <v>88</v>
      </c>
      <c r="C6" s="106" t="s">
        <v>89</v>
      </c>
      <c r="D6" s="106" t="s">
        <v>2415</v>
      </c>
      <c r="E6" s="71" t="s">
        <v>90</v>
      </c>
      <c r="F6" s="71" t="s">
        <v>78</v>
      </c>
      <c r="G6" s="109" t="s">
        <v>79</v>
      </c>
      <c r="H6" s="110"/>
      <c r="I6" s="112">
        <v>4034</v>
      </c>
      <c r="J6" s="112"/>
      <c r="K6" s="113">
        <f t="shared" si="1"/>
        <v>4034</v>
      </c>
      <c r="L6" s="112"/>
      <c r="M6" s="112"/>
      <c r="N6" s="112"/>
      <c r="O6" s="112"/>
      <c r="P6" s="114">
        <v>2</v>
      </c>
      <c r="Q6" s="111">
        <v>8509</v>
      </c>
      <c r="R6" s="115">
        <v>4637</v>
      </c>
      <c r="S6" s="112"/>
      <c r="T6" s="111">
        <f t="shared" si="0"/>
        <v>21655</v>
      </c>
      <c r="U6" s="112">
        <v>2695</v>
      </c>
      <c r="V6" s="116"/>
      <c r="W6" s="111"/>
      <c r="X6" s="113">
        <f t="shared" si="2"/>
        <v>24350</v>
      </c>
      <c r="Y6" s="111"/>
      <c r="Z6" s="111"/>
      <c r="AA6" s="116"/>
      <c r="AB6" s="111"/>
      <c r="AC6" s="113">
        <f t="shared" si="3"/>
        <v>0</v>
      </c>
      <c r="AD6" s="111"/>
      <c r="AE6" s="111"/>
      <c r="AF6" s="112"/>
      <c r="AG6" s="117"/>
      <c r="AH6" s="111"/>
      <c r="AI6" s="112"/>
      <c r="AJ6" s="112"/>
      <c r="AK6" s="113">
        <f t="shared" si="4"/>
        <v>0</v>
      </c>
      <c r="AL6" s="118" t="s">
        <v>1857</v>
      </c>
      <c r="AM6" s="119" t="s">
        <v>1853</v>
      </c>
      <c r="AN6" s="119"/>
      <c r="AO6" s="120"/>
    </row>
    <row r="7" spans="1:41" s="121" customFormat="1" ht="16.5" customHeight="1">
      <c r="A7" s="104" t="s">
        <v>2107</v>
      </c>
      <c r="B7" s="105" t="s">
        <v>96</v>
      </c>
      <c r="C7" s="106" t="s">
        <v>97</v>
      </c>
      <c r="D7" s="106" t="s">
        <v>2415</v>
      </c>
      <c r="E7" s="71" t="s">
        <v>98</v>
      </c>
      <c r="F7" s="71" t="s">
        <v>78</v>
      </c>
      <c r="G7" s="109" t="s">
        <v>79</v>
      </c>
      <c r="H7" s="110"/>
      <c r="I7" s="112">
        <v>2927</v>
      </c>
      <c r="J7" s="112"/>
      <c r="K7" s="113">
        <f t="shared" si="1"/>
        <v>2927</v>
      </c>
      <c r="L7" s="111"/>
      <c r="M7" s="111"/>
      <c r="N7" s="112"/>
      <c r="O7" s="111"/>
      <c r="P7" s="114">
        <v>2</v>
      </c>
      <c r="Q7" s="111">
        <v>8509</v>
      </c>
      <c r="R7" s="115">
        <v>4095</v>
      </c>
      <c r="S7" s="112"/>
      <c r="T7" s="111">
        <f t="shared" si="0"/>
        <v>21113</v>
      </c>
      <c r="U7" s="112">
        <v>1870</v>
      </c>
      <c r="V7" s="116"/>
      <c r="W7" s="111"/>
      <c r="X7" s="113">
        <f t="shared" si="2"/>
        <v>22983</v>
      </c>
      <c r="Y7" s="111"/>
      <c r="Z7" s="111"/>
      <c r="AA7" s="116"/>
      <c r="AB7" s="111"/>
      <c r="AC7" s="113">
        <f t="shared" si="3"/>
        <v>0</v>
      </c>
      <c r="AD7" s="111"/>
      <c r="AE7" s="111"/>
      <c r="AF7" s="112"/>
      <c r="AG7" s="117"/>
      <c r="AH7" s="111"/>
      <c r="AI7" s="112"/>
      <c r="AJ7" s="112"/>
      <c r="AK7" s="113">
        <f t="shared" si="4"/>
        <v>0</v>
      </c>
      <c r="AL7" s="118" t="s">
        <v>1857</v>
      </c>
      <c r="AM7" s="119" t="s">
        <v>1854</v>
      </c>
      <c r="AN7" s="119"/>
      <c r="AO7" s="120"/>
    </row>
    <row r="8" spans="1:41" s="121" customFormat="1" ht="16.5" customHeight="1">
      <c r="A8" s="104" t="s">
        <v>2134</v>
      </c>
      <c r="B8" s="105" t="s">
        <v>102</v>
      </c>
      <c r="C8" s="106" t="s">
        <v>103</v>
      </c>
      <c r="D8" s="106" t="s">
        <v>2415</v>
      </c>
      <c r="E8" s="71" t="s">
        <v>104</v>
      </c>
      <c r="F8" s="71" t="s">
        <v>78</v>
      </c>
      <c r="G8" s="109" t="s">
        <v>79</v>
      </c>
      <c r="H8" s="110"/>
      <c r="I8" s="112">
        <v>3324</v>
      </c>
      <c r="J8" s="112"/>
      <c r="K8" s="113">
        <f t="shared" si="1"/>
        <v>3324</v>
      </c>
      <c r="L8" s="112"/>
      <c r="M8" s="111"/>
      <c r="N8" s="112"/>
      <c r="O8" s="112"/>
      <c r="P8" s="114">
        <v>1</v>
      </c>
      <c r="Q8" s="111">
        <v>8509</v>
      </c>
      <c r="R8" s="115">
        <v>5980</v>
      </c>
      <c r="S8" s="112"/>
      <c r="T8" s="111">
        <f t="shared" si="0"/>
        <v>14489</v>
      </c>
      <c r="U8" s="112">
        <v>2033</v>
      </c>
      <c r="V8" s="116"/>
      <c r="W8" s="111"/>
      <c r="X8" s="113">
        <f t="shared" si="2"/>
        <v>16522</v>
      </c>
      <c r="Y8" s="111"/>
      <c r="Z8" s="111"/>
      <c r="AA8" s="116"/>
      <c r="AB8" s="111"/>
      <c r="AC8" s="113">
        <f t="shared" si="3"/>
        <v>0</v>
      </c>
      <c r="AD8" s="111"/>
      <c r="AE8" s="111"/>
      <c r="AF8" s="112"/>
      <c r="AG8" s="117"/>
      <c r="AH8" s="111"/>
      <c r="AI8" s="112"/>
      <c r="AJ8" s="112"/>
      <c r="AK8" s="113">
        <f t="shared" si="4"/>
        <v>0</v>
      </c>
      <c r="AL8" s="118" t="s">
        <v>1857</v>
      </c>
      <c r="AM8" s="119" t="s">
        <v>1852</v>
      </c>
      <c r="AN8" s="119"/>
      <c r="AO8" s="120"/>
    </row>
    <row r="9" spans="1:41" s="121" customFormat="1" ht="16.5" customHeight="1">
      <c r="A9" s="104" t="s">
        <v>2134</v>
      </c>
      <c r="B9" s="105" t="s">
        <v>113</v>
      </c>
      <c r="C9" s="106" t="s">
        <v>114</v>
      </c>
      <c r="D9" s="106" t="s">
        <v>2415</v>
      </c>
      <c r="E9" s="71" t="s">
        <v>115</v>
      </c>
      <c r="F9" s="71" t="s">
        <v>78</v>
      </c>
      <c r="G9" s="109" t="s">
        <v>79</v>
      </c>
      <c r="H9" s="110"/>
      <c r="I9" s="112">
        <v>2344</v>
      </c>
      <c r="J9" s="112"/>
      <c r="K9" s="113">
        <f t="shared" si="1"/>
        <v>2344</v>
      </c>
      <c r="L9" s="112"/>
      <c r="M9" s="111"/>
      <c r="N9" s="112"/>
      <c r="O9" s="112"/>
      <c r="P9" s="114">
        <v>1</v>
      </c>
      <c r="Q9" s="111">
        <v>8509</v>
      </c>
      <c r="R9" s="115">
        <v>5227</v>
      </c>
      <c r="S9" s="112"/>
      <c r="T9" s="111">
        <f t="shared" si="0"/>
        <v>13736</v>
      </c>
      <c r="U9" s="112">
        <v>1486</v>
      </c>
      <c r="V9" s="116"/>
      <c r="W9" s="111"/>
      <c r="X9" s="113">
        <f t="shared" si="2"/>
        <v>15222</v>
      </c>
      <c r="Y9" s="111"/>
      <c r="Z9" s="111"/>
      <c r="AA9" s="116"/>
      <c r="AB9" s="111"/>
      <c r="AC9" s="113">
        <f t="shared" si="3"/>
        <v>0</v>
      </c>
      <c r="AD9" s="111"/>
      <c r="AE9" s="111"/>
      <c r="AF9" s="112"/>
      <c r="AG9" s="117"/>
      <c r="AH9" s="111"/>
      <c r="AI9" s="112"/>
      <c r="AJ9" s="112"/>
      <c r="AK9" s="113">
        <f t="shared" si="4"/>
        <v>0</v>
      </c>
      <c r="AL9" s="118" t="s">
        <v>1857</v>
      </c>
      <c r="AM9" s="119" t="s">
        <v>1852</v>
      </c>
      <c r="AN9" s="119"/>
      <c r="AO9" s="120"/>
    </row>
    <row r="10" spans="1:41" s="121" customFormat="1" ht="16.5" customHeight="1">
      <c r="A10" s="104" t="s">
        <v>2134</v>
      </c>
      <c r="B10" s="105" t="s">
        <v>122</v>
      </c>
      <c r="C10" s="106" t="s">
        <v>123</v>
      </c>
      <c r="D10" s="106" t="s">
        <v>2415</v>
      </c>
      <c r="E10" s="71" t="s">
        <v>124</v>
      </c>
      <c r="F10" s="71" t="s">
        <v>78</v>
      </c>
      <c r="G10" s="109" t="s">
        <v>125</v>
      </c>
      <c r="H10" s="110"/>
      <c r="I10" s="111"/>
      <c r="J10" s="112"/>
      <c r="K10" s="113">
        <f t="shared" si="1"/>
        <v>0</v>
      </c>
      <c r="L10" s="112"/>
      <c r="M10" s="111">
        <v>3071</v>
      </c>
      <c r="N10" s="112"/>
      <c r="O10" s="112"/>
      <c r="P10" s="114">
        <v>6</v>
      </c>
      <c r="Q10" s="111">
        <v>8509</v>
      </c>
      <c r="R10" s="115">
        <v>13747</v>
      </c>
      <c r="S10" s="115">
        <v>1943</v>
      </c>
      <c r="T10" s="111">
        <f t="shared" si="0"/>
        <v>66744</v>
      </c>
      <c r="U10" s="112">
        <v>7412</v>
      </c>
      <c r="V10" s="116"/>
      <c r="W10" s="111"/>
      <c r="X10" s="113">
        <f t="shared" si="2"/>
        <v>77227</v>
      </c>
      <c r="Y10" s="111"/>
      <c r="Z10" s="111"/>
      <c r="AA10" s="116"/>
      <c r="AB10" s="111"/>
      <c r="AC10" s="113">
        <f t="shared" si="3"/>
        <v>0</v>
      </c>
      <c r="AD10" s="111"/>
      <c r="AE10" s="111"/>
      <c r="AF10" s="112"/>
      <c r="AG10" s="117"/>
      <c r="AH10" s="111"/>
      <c r="AI10" s="112"/>
      <c r="AJ10" s="112"/>
      <c r="AK10" s="113">
        <f t="shared" si="4"/>
        <v>0</v>
      </c>
      <c r="AL10" s="118"/>
      <c r="AM10" s="119"/>
      <c r="AN10" s="119"/>
      <c r="AO10" s="120"/>
    </row>
    <row r="11" spans="1:41" s="121" customFormat="1" ht="16.5" customHeight="1">
      <c r="A11" s="104" t="s">
        <v>2134</v>
      </c>
      <c r="B11" s="105" t="s">
        <v>136</v>
      </c>
      <c r="C11" s="106" t="s">
        <v>137</v>
      </c>
      <c r="D11" s="106" t="s">
        <v>2415</v>
      </c>
      <c r="E11" s="71" t="s">
        <v>138</v>
      </c>
      <c r="F11" s="71" t="s">
        <v>139</v>
      </c>
      <c r="G11" s="109" t="s">
        <v>140</v>
      </c>
      <c r="H11" s="110"/>
      <c r="I11" s="111"/>
      <c r="J11" s="112">
        <v>2125</v>
      </c>
      <c r="K11" s="113">
        <f t="shared" si="1"/>
        <v>2125</v>
      </c>
      <c r="L11" s="111">
        <v>4366</v>
      </c>
      <c r="M11" s="111">
        <v>2423</v>
      </c>
      <c r="N11" s="112"/>
      <c r="O11" s="111">
        <v>216</v>
      </c>
      <c r="P11" s="114">
        <v>24.4</v>
      </c>
      <c r="Q11" s="111">
        <v>8509</v>
      </c>
      <c r="R11" s="115">
        <v>3256</v>
      </c>
      <c r="S11" s="115">
        <v>27106</v>
      </c>
      <c r="T11" s="111">
        <f t="shared" si="0"/>
        <v>237982</v>
      </c>
      <c r="U11" s="112">
        <v>1114465</v>
      </c>
      <c r="V11" s="116">
        <v>12741</v>
      </c>
      <c r="W11" s="111"/>
      <c r="X11" s="113">
        <f t="shared" si="2"/>
        <v>1372193</v>
      </c>
      <c r="Y11" s="111"/>
      <c r="Z11" s="111"/>
      <c r="AA11" s="116"/>
      <c r="AB11" s="111"/>
      <c r="AC11" s="113">
        <f t="shared" si="3"/>
        <v>0</v>
      </c>
      <c r="AD11" s="111"/>
      <c r="AE11" s="111"/>
      <c r="AF11" s="112"/>
      <c r="AG11" s="117"/>
      <c r="AH11" s="111"/>
      <c r="AI11" s="112"/>
      <c r="AJ11" s="112"/>
      <c r="AK11" s="113">
        <f t="shared" si="4"/>
        <v>0</v>
      </c>
      <c r="AL11" s="118"/>
      <c r="AM11" s="119"/>
      <c r="AN11" s="119"/>
      <c r="AO11" s="120"/>
    </row>
    <row r="12" spans="1:41" s="121" customFormat="1" ht="16.5" customHeight="1">
      <c r="A12" s="104" t="s">
        <v>2134</v>
      </c>
      <c r="B12" s="105" t="s">
        <v>146</v>
      </c>
      <c r="C12" s="106" t="s">
        <v>2141</v>
      </c>
      <c r="D12" s="106" t="s">
        <v>2415</v>
      </c>
      <c r="E12" s="71" t="s">
        <v>2151</v>
      </c>
      <c r="F12" s="71" t="s">
        <v>2144</v>
      </c>
      <c r="G12" s="109" t="s">
        <v>2273</v>
      </c>
      <c r="H12" s="110">
        <v>1466</v>
      </c>
      <c r="I12" s="111"/>
      <c r="J12" s="112"/>
      <c r="K12" s="113">
        <f t="shared" si="1"/>
        <v>1466</v>
      </c>
      <c r="L12" s="111"/>
      <c r="M12" s="111"/>
      <c r="N12" s="112"/>
      <c r="O12" s="111"/>
      <c r="P12" s="114"/>
      <c r="Q12" s="111">
        <v>8509</v>
      </c>
      <c r="R12" s="115"/>
      <c r="S12" s="115"/>
      <c r="T12" s="111">
        <f t="shared" si="0"/>
        <v>0</v>
      </c>
      <c r="U12" s="112"/>
      <c r="V12" s="116"/>
      <c r="W12" s="111">
        <v>10690</v>
      </c>
      <c r="X12" s="113">
        <f t="shared" si="2"/>
        <v>10690</v>
      </c>
      <c r="Y12" s="111">
        <v>0</v>
      </c>
      <c r="Z12" s="111">
        <v>14894</v>
      </c>
      <c r="AA12" s="116">
        <v>0</v>
      </c>
      <c r="AB12" s="111">
        <v>10690</v>
      </c>
      <c r="AC12" s="113">
        <f t="shared" si="3"/>
        <v>25584</v>
      </c>
      <c r="AD12" s="111">
        <v>517</v>
      </c>
      <c r="AE12" s="111">
        <v>347</v>
      </c>
      <c r="AF12" s="112">
        <v>0</v>
      </c>
      <c r="AG12" s="117">
        <v>41</v>
      </c>
      <c r="AH12" s="111">
        <v>19782</v>
      </c>
      <c r="AI12" s="112">
        <v>4864</v>
      </c>
      <c r="AJ12" s="112">
        <v>0</v>
      </c>
      <c r="AK12" s="113">
        <f t="shared" si="4"/>
        <v>25551</v>
      </c>
      <c r="AL12" s="118"/>
      <c r="AM12" s="119"/>
      <c r="AN12" s="119"/>
      <c r="AO12" s="120"/>
    </row>
    <row r="13" spans="1:41" s="121" customFormat="1" ht="16.5" customHeight="1">
      <c r="A13" s="104" t="s">
        <v>2134</v>
      </c>
      <c r="B13" s="105" t="s">
        <v>153</v>
      </c>
      <c r="C13" s="106" t="s">
        <v>2156</v>
      </c>
      <c r="D13" s="106" t="s">
        <v>2415</v>
      </c>
      <c r="E13" s="71" t="s">
        <v>2163</v>
      </c>
      <c r="F13" s="71" t="s">
        <v>2085</v>
      </c>
      <c r="G13" s="109" t="s">
        <v>2157</v>
      </c>
      <c r="H13" s="110"/>
      <c r="I13" s="111"/>
      <c r="J13" s="112"/>
      <c r="K13" s="113">
        <f t="shared" si="1"/>
        <v>0</v>
      </c>
      <c r="L13" s="111"/>
      <c r="M13" s="111"/>
      <c r="N13" s="112"/>
      <c r="O13" s="111"/>
      <c r="P13" s="114"/>
      <c r="Q13" s="111">
        <v>8509</v>
      </c>
      <c r="R13" s="115"/>
      <c r="S13" s="115"/>
      <c r="T13" s="111">
        <f t="shared" si="0"/>
        <v>0</v>
      </c>
      <c r="U13" s="112"/>
      <c r="V13" s="116"/>
      <c r="W13" s="111"/>
      <c r="X13" s="113">
        <f t="shared" si="2"/>
        <v>0</v>
      </c>
      <c r="Y13" s="111"/>
      <c r="Z13" s="111"/>
      <c r="AA13" s="116"/>
      <c r="AB13" s="111"/>
      <c r="AC13" s="113">
        <f t="shared" si="3"/>
        <v>0</v>
      </c>
      <c r="AD13" s="111"/>
      <c r="AE13" s="111"/>
      <c r="AF13" s="112"/>
      <c r="AG13" s="117"/>
      <c r="AH13" s="111"/>
      <c r="AI13" s="112"/>
      <c r="AJ13" s="112"/>
      <c r="AK13" s="113">
        <f t="shared" si="4"/>
        <v>0</v>
      </c>
      <c r="AL13" s="118"/>
      <c r="AM13" s="119"/>
      <c r="AN13" s="119"/>
      <c r="AO13" s="120"/>
    </row>
    <row r="14" spans="1:41" s="121" customFormat="1" ht="16.5" customHeight="1">
      <c r="A14" s="104" t="s">
        <v>2134</v>
      </c>
      <c r="B14" s="105" t="s">
        <v>167</v>
      </c>
      <c r="C14" s="106" t="s">
        <v>2118</v>
      </c>
      <c r="D14" s="106" t="s">
        <v>2415</v>
      </c>
      <c r="E14" s="71" t="s">
        <v>2428</v>
      </c>
      <c r="F14" s="71" t="s">
        <v>78</v>
      </c>
      <c r="G14" s="109" t="s">
        <v>147</v>
      </c>
      <c r="H14" s="110"/>
      <c r="I14" s="111"/>
      <c r="J14" s="112"/>
      <c r="K14" s="113">
        <f t="shared" si="1"/>
        <v>0</v>
      </c>
      <c r="L14" s="112"/>
      <c r="M14" s="112"/>
      <c r="N14" s="112"/>
      <c r="O14" s="111"/>
      <c r="P14" s="122"/>
      <c r="Q14" s="111">
        <v>8509</v>
      </c>
      <c r="R14" s="112"/>
      <c r="S14" s="112"/>
      <c r="T14" s="111">
        <f t="shared" si="0"/>
        <v>0</v>
      </c>
      <c r="U14" s="112"/>
      <c r="V14" s="116"/>
      <c r="W14" s="111"/>
      <c r="X14" s="113">
        <f t="shared" si="2"/>
        <v>0</v>
      </c>
      <c r="Y14" s="111"/>
      <c r="Z14" s="111"/>
      <c r="AA14" s="116"/>
      <c r="AB14" s="111"/>
      <c r="AC14" s="113">
        <f t="shared" si="3"/>
        <v>0</v>
      </c>
      <c r="AD14" s="111"/>
      <c r="AE14" s="111"/>
      <c r="AF14" s="112"/>
      <c r="AG14" s="117"/>
      <c r="AH14" s="111"/>
      <c r="AI14" s="112"/>
      <c r="AJ14" s="112"/>
      <c r="AK14" s="113">
        <f t="shared" si="4"/>
        <v>0</v>
      </c>
      <c r="AL14" s="118"/>
      <c r="AM14" s="119"/>
      <c r="AN14" s="119"/>
      <c r="AO14" s="120"/>
    </row>
    <row r="15" spans="1:41" s="121" customFormat="1" ht="16.5" customHeight="1">
      <c r="A15" s="104" t="s">
        <v>2134</v>
      </c>
      <c r="B15" s="105" t="s">
        <v>177</v>
      </c>
      <c r="C15" s="106" t="s">
        <v>154</v>
      </c>
      <c r="D15" s="106" t="s">
        <v>2415</v>
      </c>
      <c r="E15" s="71" t="s">
        <v>155</v>
      </c>
      <c r="F15" s="71" t="s">
        <v>78</v>
      </c>
      <c r="G15" s="109" t="s">
        <v>156</v>
      </c>
      <c r="H15" s="110">
        <v>80</v>
      </c>
      <c r="I15" s="111">
        <v>146</v>
      </c>
      <c r="J15" s="112">
        <v>104</v>
      </c>
      <c r="K15" s="113">
        <f t="shared" si="1"/>
        <v>330</v>
      </c>
      <c r="L15" s="111">
        <v>1985</v>
      </c>
      <c r="M15" s="111">
        <v>24759</v>
      </c>
      <c r="N15" s="112">
        <v>0</v>
      </c>
      <c r="O15" s="111">
        <v>2213</v>
      </c>
      <c r="P15" s="114">
        <v>5.38</v>
      </c>
      <c r="Q15" s="111">
        <v>8509</v>
      </c>
      <c r="R15" s="115">
        <v>7886</v>
      </c>
      <c r="S15" s="115">
        <v>9191</v>
      </c>
      <c r="T15" s="111">
        <f t="shared" si="0"/>
        <v>62855</v>
      </c>
      <c r="U15" s="112">
        <v>8328</v>
      </c>
      <c r="V15" s="116">
        <v>2872</v>
      </c>
      <c r="W15" s="112"/>
      <c r="X15" s="113">
        <f t="shared" si="2"/>
        <v>103012</v>
      </c>
      <c r="Y15" s="111"/>
      <c r="Z15" s="111"/>
      <c r="AA15" s="116"/>
      <c r="AB15" s="111"/>
      <c r="AC15" s="113">
        <f t="shared" si="3"/>
        <v>0</v>
      </c>
      <c r="AD15" s="111"/>
      <c r="AE15" s="111"/>
      <c r="AF15" s="112"/>
      <c r="AG15" s="117"/>
      <c r="AH15" s="111"/>
      <c r="AI15" s="112"/>
      <c r="AJ15" s="112"/>
      <c r="AK15" s="113">
        <f t="shared" si="4"/>
        <v>0</v>
      </c>
      <c r="AL15" s="118"/>
      <c r="AM15" s="119"/>
      <c r="AN15" s="119"/>
      <c r="AO15" s="120"/>
    </row>
    <row r="16" spans="1:41" s="121" customFormat="1" ht="16.5" customHeight="1">
      <c r="A16" s="104" t="s">
        <v>2134</v>
      </c>
      <c r="B16" s="105" t="s">
        <v>185</v>
      </c>
      <c r="C16" s="106" t="s">
        <v>168</v>
      </c>
      <c r="D16" s="106" t="s">
        <v>2415</v>
      </c>
      <c r="E16" s="71" t="s">
        <v>169</v>
      </c>
      <c r="F16" s="71" t="s">
        <v>170</v>
      </c>
      <c r="G16" s="109" t="s">
        <v>171</v>
      </c>
      <c r="H16" s="110">
        <v>6</v>
      </c>
      <c r="I16" s="111">
        <v>16</v>
      </c>
      <c r="J16" s="112">
        <v>49</v>
      </c>
      <c r="K16" s="113">
        <f t="shared" si="1"/>
        <v>71</v>
      </c>
      <c r="L16" s="111">
        <v>4451</v>
      </c>
      <c r="M16" s="111">
        <v>5189</v>
      </c>
      <c r="N16" s="112">
        <v>0</v>
      </c>
      <c r="O16" s="111">
        <v>990</v>
      </c>
      <c r="P16" s="114">
        <v>8</v>
      </c>
      <c r="Q16" s="111">
        <v>8509</v>
      </c>
      <c r="R16" s="115">
        <v>36301</v>
      </c>
      <c r="S16" s="115">
        <v>4010</v>
      </c>
      <c r="T16" s="111">
        <f t="shared" si="0"/>
        <v>108383</v>
      </c>
      <c r="U16" s="112">
        <v>60738</v>
      </c>
      <c r="V16" s="116">
        <v>0</v>
      </c>
      <c r="W16" s="111"/>
      <c r="X16" s="113">
        <f t="shared" si="2"/>
        <v>179751</v>
      </c>
      <c r="Y16" s="111"/>
      <c r="Z16" s="111"/>
      <c r="AA16" s="116"/>
      <c r="AB16" s="111"/>
      <c r="AC16" s="113">
        <f t="shared" si="3"/>
        <v>0</v>
      </c>
      <c r="AD16" s="111"/>
      <c r="AE16" s="111"/>
      <c r="AF16" s="112"/>
      <c r="AG16" s="117"/>
      <c r="AH16" s="111"/>
      <c r="AI16" s="112"/>
      <c r="AJ16" s="112"/>
      <c r="AK16" s="113">
        <f t="shared" si="4"/>
        <v>0</v>
      </c>
      <c r="AL16" s="118"/>
      <c r="AM16" s="119"/>
      <c r="AN16" s="119"/>
      <c r="AO16" s="120"/>
    </row>
    <row r="17" spans="1:41" s="121" customFormat="1" ht="16.5" customHeight="1">
      <c r="A17" s="104" t="s">
        <v>2134</v>
      </c>
      <c r="B17" s="105" t="s">
        <v>195</v>
      </c>
      <c r="C17" s="106" t="s">
        <v>2135</v>
      </c>
      <c r="D17" s="106" t="s">
        <v>2415</v>
      </c>
      <c r="E17" s="71" t="s">
        <v>2152</v>
      </c>
      <c r="F17" s="71" t="s">
        <v>2085</v>
      </c>
      <c r="G17" s="109" t="s">
        <v>2153</v>
      </c>
      <c r="H17" s="110"/>
      <c r="I17" s="111"/>
      <c r="J17" s="112"/>
      <c r="K17" s="113">
        <f t="shared" si="1"/>
        <v>0</v>
      </c>
      <c r="L17" s="111"/>
      <c r="M17" s="111"/>
      <c r="N17" s="112"/>
      <c r="O17" s="111"/>
      <c r="P17" s="114"/>
      <c r="Q17" s="111">
        <v>8509</v>
      </c>
      <c r="R17" s="115"/>
      <c r="S17" s="115"/>
      <c r="T17" s="111">
        <f t="shared" si="0"/>
        <v>0</v>
      </c>
      <c r="U17" s="112"/>
      <c r="V17" s="116"/>
      <c r="W17" s="111"/>
      <c r="X17" s="113">
        <f t="shared" si="2"/>
        <v>0</v>
      </c>
      <c r="Y17" s="111"/>
      <c r="Z17" s="111"/>
      <c r="AA17" s="116"/>
      <c r="AB17" s="111"/>
      <c r="AC17" s="113">
        <f t="shared" si="3"/>
        <v>0</v>
      </c>
      <c r="AD17" s="111"/>
      <c r="AE17" s="111"/>
      <c r="AF17" s="112"/>
      <c r="AG17" s="117"/>
      <c r="AH17" s="111"/>
      <c r="AI17" s="112"/>
      <c r="AJ17" s="112"/>
      <c r="AK17" s="113">
        <f t="shared" si="4"/>
        <v>0</v>
      </c>
      <c r="AL17" s="118"/>
      <c r="AM17" s="119"/>
      <c r="AN17" s="119"/>
      <c r="AO17" s="120"/>
    </row>
    <row r="18" spans="1:41" s="121" customFormat="1" ht="16.5" customHeight="1">
      <c r="A18" s="104" t="s">
        <v>2134</v>
      </c>
      <c r="B18" s="105" t="s">
        <v>203</v>
      </c>
      <c r="C18" s="106" t="s">
        <v>2230</v>
      </c>
      <c r="D18" s="106" t="s">
        <v>2415</v>
      </c>
      <c r="E18" s="71" t="s">
        <v>2231</v>
      </c>
      <c r="F18" s="71" t="s">
        <v>2085</v>
      </c>
      <c r="G18" s="109" t="s">
        <v>171</v>
      </c>
      <c r="H18" s="110"/>
      <c r="I18" s="111"/>
      <c r="J18" s="112"/>
      <c r="K18" s="113">
        <f t="shared" si="1"/>
        <v>0</v>
      </c>
      <c r="L18" s="111"/>
      <c r="M18" s="111"/>
      <c r="N18" s="112"/>
      <c r="O18" s="111"/>
      <c r="P18" s="114"/>
      <c r="Q18" s="111">
        <v>8509</v>
      </c>
      <c r="R18" s="115"/>
      <c r="S18" s="115"/>
      <c r="T18" s="111">
        <f t="shared" si="0"/>
        <v>0</v>
      </c>
      <c r="U18" s="112"/>
      <c r="V18" s="116"/>
      <c r="W18" s="111"/>
      <c r="X18" s="113">
        <f t="shared" si="2"/>
        <v>0</v>
      </c>
      <c r="Y18" s="111"/>
      <c r="Z18" s="111"/>
      <c r="AA18" s="116"/>
      <c r="AB18" s="111"/>
      <c r="AC18" s="113">
        <f t="shared" si="3"/>
        <v>0</v>
      </c>
      <c r="AD18" s="111"/>
      <c r="AE18" s="111"/>
      <c r="AF18" s="112"/>
      <c r="AG18" s="117"/>
      <c r="AH18" s="111"/>
      <c r="AI18" s="112"/>
      <c r="AJ18" s="112"/>
      <c r="AK18" s="113">
        <f t="shared" si="4"/>
        <v>0</v>
      </c>
      <c r="AL18" s="118"/>
      <c r="AM18" s="119"/>
      <c r="AN18" s="119"/>
      <c r="AO18" s="120"/>
    </row>
    <row r="19" spans="1:41" s="121" customFormat="1" ht="16.5" customHeight="1">
      <c r="A19" s="104" t="s">
        <v>2134</v>
      </c>
      <c r="B19" s="105" t="s">
        <v>209</v>
      </c>
      <c r="C19" s="106" t="s">
        <v>178</v>
      </c>
      <c r="D19" s="106" t="s">
        <v>2415</v>
      </c>
      <c r="E19" s="71" t="s">
        <v>179</v>
      </c>
      <c r="F19" s="71" t="s">
        <v>78</v>
      </c>
      <c r="G19" s="109" t="s">
        <v>180</v>
      </c>
      <c r="H19" s="110"/>
      <c r="I19" s="112"/>
      <c r="J19" s="112"/>
      <c r="K19" s="113">
        <f t="shared" si="1"/>
        <v>0</v>
      </c>
      <c r="L19" s="112"/>
      <c r="M19" s="111"/>
      <c r="N19" s="112"/>
      <c r="O19" s="111"/>
      <c r="P19" s="114">
        <v>0.9</v>
      </c>
      <c r="Q19" s="111">
        <v>8509</v>
      </c>
      <c r="R19" s="112"/>
      <c r="S19" s="112"/>
      <c r="T19" s="111">
        <f t="shared" si="0"/>
        <v>7658</v>
      </c>
      <c r="U19" s="112">
        <v>105.474</v>
      </c>
      <c r="V19" s="116">
        <v>3841.9720000000002</v>
      </c>
      <c r="W19" s="111">
        <v>1873.63</v>
      </c>
      <c r="X19" s="113">
        <f t="shared" si="2"/>
        <v>13479.076000000001</v>
      </c>
      <c r="Y19" s="111">
        <v>56.11</v>
      </c>
      <c r="Z19" s="111">
        <v>0</v>
      </c>
      <c r="AA19" s="116">
        <v>0</v>
      </c>
      <c r="AB19" s="111">
        <v>1873.63</v>
      </c>
      <c r="AC19" s="113">
        <f t="shared" si="3"/>
        <v>1929.74</v>
      </c>
      <c r="AD19" s="111">
        <v>163.327</v>
      </c>
      <c r="AE19" s="111">
        <v>12.96</v>
      </c>
      <c r="AF19" s="112">
        <v>0</v>
      </c>
      <c r="AG19" s="117">
        <v>29.63</v>
      </c>
      <c r="AH19" s="111">
        <v>1396.171</v>
      </c>
      <c r="AI19" s="112">
        <v>432.755</v>
      </c>
      <c r="AJ19" s="112">
        <v>0</v>
      </c>
      <c r="AK19" s="113">
        <f t="shared" si="4"/>
        <v>2034.8429999999998</v>
      </c>
      <c r="AL19" s="118"/>
      <c r="AM19" s="119"/>
      <c r="AN19" s="119"/>
      <c r="AO19" s="120"/>
    </row>
    <row r="20" spans="1:41" s="121" customFormat="1" ht="16.5" customHeight="1">
      <c r="A20" s="104" t="s">
        <v>2134</v>
      </c>
      <c r="B20" s="105" t="s">
        <v>213</v>
      </c>
      <c r="C20" s="106" t="s">
        <v>186</v>
      </c>
      <c r="D20" s="106" t="s">
        <v>2415</v>
      </c>
      <c r="E20" s="71" t="s">
        <v>2057</v>
      </c>
      <c r="F20" s="71" t="s">
        <v>187</v>
      </c>
      <c r="G20" s="109" t="s">
        <v>2058</v>
      </c>
      <c r="H20" s="123"/>
      <c r="I20" s="124"/>
      <c r="J20" s="124"/>
      <c r="K20" s="113">
        <f t="shared" si="1"/>
        <v>0</v>
      </c>
      <c r="L20" s="111">
        <v>6444</v>
      </c>
      <c r="M20" s="111">
        <v>3046</v>
      </c>
      <c r="N20" s="112"/>
      <c r="O20" s="111">
        <v>1076</v>
      </c>
      <c r="P20" s="114">
        <v>2.4</v>
      </c>
      <c r="Q20" s="111">
        <v>8509</v>
      </c>
      <c r="R20" s="124"/>
      <c r="S20" s="124"/>
      <c r="T20" s="111">
        <f t="shared" si="0"/>
        <v>20422</v>
      </c>
      <c r="U20" s="112">
        <v>1294</v>
      </c>
      <c r="V20" s="116"/>
      <c r="W20" s="112"/>
      <c r="X20" s="113">
        <f t="shared" si="2"/>
        <v>32282</v>
      </c>
      <c r="Y20" s="125"/>
      <c r="Z20" s="125"/>
      <c r="AA20" s="126"/>
      <c r="AB20" s="125"/>
      <c r="AC20" s="113">
        <f t="shared" si="3"/>
        <v>0</v>
      </c>
      <c r="AD20" s="111"/>
      <c r="AE20" s="111"/>
      <c r="AF20" s="112"/>
      <c r="AG20" s="117"/>
      <c r="AH20" s="111"/>
      <c r="AI20" s="112"/>
      <c r="AJ20" s="112"/>
      <c r="AK20" s="113">
        <f t="shared" si="4"/>
        <v>0</v>
      </c>
      <c r="AL20" s="127"/>
      <c r="AM20" s="128"/>
      <c r="AN20" s="128"/>
      <c r="AO20" s="129"/>
    </row>
    <row r="21" spans="1:41" s="121" customFormat="1" ht="16.5" customHeight="1">
      <c r="A21" s="104" t="s">
        <v>2134</v>
      </c>
      <c r="B21" s="105" t="s">
        <v>218</v>
      </c>
      <c r="C21" s="106" t="s">
        <v>196</v>
      </c>
      <c r="D21" s="106" t="s">
        <v>2415</v>
      </c>
      <c r="E21" s="71" t="s">
        <v>197</v>
      </c>
      <c r="F21" s="71" t="s">
        <v>187</v>
      </c>
      <c r="G21" s="109" t="s">
        <v>2058</v>
      </c>
      <c r="H21" s="123"/>
      <c r="I21" s="124"/>
      <c r="J21" s="124"/>
      <c r="K21" s="113">
        <f t="shared" si="1"/>
        <v>0</v>
      </c>
      <c r="L21" s="111">
        <v>3422</v>
      </c>
      <c r="M21" s="111">
        <v>760</v>
      </c>
      <c r="N21" s="112"/>
      <c r="O21" s="111">
        <v>542</v>
      </c>
      <c r="P21" s="114"/>
      <c r="Q21" s="111">
        <v>8509</v>
      </c>
      <c r="R21" s="124"/>
      <c r="S21" s="124"/>
      <c r="T21" s="111">
        <f t="shared" si="0"/>
        <v>0</v>
      </c>
      <c r="U21" s="112">
        <v>1208</v>
      </c>
      <c r="V21" s="116"/>
      <c r="W21" s="112"/>
      <c r="X21" s="113">
        <f t="shared" si="2"/>
        <v>5932</v>
      </c>
      <c r="Y21" s="125"/>
      <c r="Z21" s="125"/>
      <c r="AA21" s="126"/>
      <c r="AB21" s="125"/>
      <c r="AC21" s="113">
        <f t="shared" si="3"/>
        <v>0</v>
      </c>
      <c r="AD21" s="111"/>
      <c r="AE21" s="111"/>
      <c r="AF21" s="112"/>
      <c r="AG21" s="117"/>
      <c r="AH21" s="111"/>
      <c r="AI21" s="112"/>
      <c r="AJ21" s="112"/>
      <c r="AK21" s="113">
        <f t="shared" si="4"/>
        <v>0</v>
      </c>
      <c r="AL21" s="127"/>
      <c r="AM21" s="128"/>
      <c r="AN21" s="128"/>
      <c r="AO21" s="129"/>
    </row>
    <row r="22" spans="1:41" s="121" customFormat="1" ht="16.5" customHeight="1">
      <c r="A22" s="104" t="s">
        <v>2134</v>
      </c>
      <c r="B22" s="105" t="s">
        <v>223</v>
      </c>
      <c r="C22" s="106" t="s">
        <v>210</v>
      </c>
      <c r="D22" s="106" t="s">
        <v>2415</v>
      </c>
      <c r="E22" s="71" t="s">
        <v>211</v>
      </c>
      <c r="F22" s="71" t="s">
        <v>187</v>
      </c>
      <c r="G22" s="109" t="s">
        <v>2058</v>
      </c>
      <c r="H22" s="130"/>
      <c r="I22" s="124"/>
      <c r="J22" s="124"/>
      <c r="K22" s="113">
        <f t="shared" si="1"/>
        <v>0</v>
      </c>
      <c r="L22" s="111">
        <v>1297</v>
      </c>
      <c r="M22" s="111">
        <v>31</v>
      </c>
      <c r="N22" s="112"/>
      <c r="O22" s="111">
        <v>66</v>
      </c>
      <c r="P22" s="114"/>
      <c r="Q22" s="111">
        <v>8509</v>
      </c>
      <c r="R22" s="124"/>
      <c r="S22" s="124"/>
      <c r="T22" s="111">
        <f t="shared" si="0"/>
        <v>0</v>
      </c>
      <c r="U22" s="112">
        <v>371</v>
      </c>
      <c r="V22" s="116"/>
      <c r="W22" s="112"/>
      <c r="X22" s="113">
        <f t="shared" si="2"/>
        <v>1765</v>
      </c>
      <c r="Y22" s="125"/>
      <c r="Z22" s="125"/>
      <c r="AA22" s="126"/>
      <c r="AB22" s="125"/>
      <c r="AC22" s="113">
        <f t="shared" si="3"/>
        <v>0</v>
      </c>
      <c r="AD22" s="111"/>
      <c r="AE22" s="111"/>
      <c r="AF22" s="112"/>
      <c r="AG22" s="117"/>
      <c r="AH22" s="111"/>
      <c r="AI22" s="112"/>
      <c r="AJ22" s="112"/>
      <c r="AK22" s="113">
        <f t="shared" si="4"/>
        <v>0</v>
      </c>
      <c r="AL22" s="127"/>
      <c r="AM22" s="128"/>
      <c r="AN22" s="128"/>
      <c r="AO22" s="129"/>
    </row>
    <row r="23" spans="1:41" s="121" customFormat="1" ht="16.5" customHeight="1">
      <c r="A23" s="104" t="s">
        <v>2134</v>
      </c>
      <c r="B23" s="105" t="s">
        <v>231</v>
      </c>
      <c r="C23" s="106" t="s">
        <v>214</v>
      </c>
      <c r="D23" s="106" t="s">
        <v>2415</v>
      </c>
      <c r="E23" s="71" t="s">
        <v>215</v>
      </c>
      <c r="F23" s="71" t="s">
        <v>187</v>
      </c>
      <c r="G23" s="109" t="s">
        <v>2058</v>
      </c>
      <c r="H23" s="130"/>
      <c r="I23" s="124"/>
      <c r="J23" s="124"/>
      <c r="K23" s="113">
        <f t="shared" si="1"/>
        <v>0</v>
      </c>
      <c r="L23" s="111">
        <v>1531</v>
      </c>
      <c r="M23" s="111">
        <v>78</v>
      </c>
      <c r="N23" s="112"/>
      <c r="O23" s="111">
        <v>91</v>
      </c>
      <c r="P23" s="114"/>
      <c r="Q23" s="111">
        <v>8509</v>
      </c>
      <c r="R23" s="124"/>
      <c r="S23" s="124"/>
      <c r="T23" s="111">
        <f t="shared" si="0"/>
        <v>0</v>
      </c>
      <c r="U23" s="112">
        <v>556</v>
      </c>
      <c r="V23" s="116"/>
      <c r="W23" s="112"/>
      <c r="X23" s="113">
        <f t="shared" si="2"/>
        <v>2256</v>
      </c>
      <c r="Y23" s="125"/>
      <c r="Z23" s="125"/>
      <c r="AA23" s="126"/>
      <c r="AB23" s="125"/>
      <c r="AC23" s="113">
        <f t="shared" si="3"/>
        <v>0</v>
      </c>
      <c r="AD23" s="111"/>
      <c r="AE23" s="111"/>
      <c r="AF23" s="112"/>
      <c r="AG23" s="117"/>
      <c r="AH23" s="111"/>
      <c r="AI23" s="112"/>
      <c r="AJ23" s="112"/>
      <c r="AK23" s="113">
        <f t="shared" si="4"/>
        <v>0</v>
      </c>
      <c r="AL23" s="127"/>
      <c r="AM23" s="128"/>
      <c r="AN23" s="128"/>
      <c r="AO23" s="129"/>
    </row>
    <row r="24" spans="1:41" s="121" customFormat="1" ht="16.5" customHeight="1">
      <c r="A24" s="104" t="s">
        <v>2134</v>
      </c>
      <c r="B24" s="105" t="s">
        <v>236</v>
      </c>
      <c r="C24" s="106" t="s">
        <v>204</v>
      </c>
      <c r="D24" s="106" t="s">
        <v>2415</v>
      </c>
      <c r="E24" s="71" t="s">
        <v>205</v>
      </c>
      <c r="F24" s="71" t="s">
        <v>187</v>
      </c>
      <c r="G24" s="109" t="s">
        <v>2058</v>
      </c>
      <c r="H24" s="130"/>
      <c r="I24" s="124"/>
      <c r="J24" s="124"/>
      <c r="K24" s="113">
        <f t="shared" si="1"/>
        <v>0</v>
      </c>
      <c r="L24" s="111">
        <v>1125</v>
      </c>
      <c r="M24" s="111">
        <v>31</v>
      </c>
      <c r="N24" s="112"/>
      <c r="O24" s="111">
        <v>216</v>
      </c>
      <c r="P24" s="114"/>
      <c r="Q24" s="111">
        <v>8509</v>
      </c>
      <c r="R24" s="124"/>
      <c r="S24" s="124"/>
      <c r="T24" s="111">
        <f t="shared" si="0"/>
        <v>0</v>
      </c>
      <c r="U24" s="112">
        <v>316</v>
      </c>
      <c r="V24" s="116"/>
      <c r="W24" s="112"/>
      <c r="X24" s="113">
        <f t="shared" si="2"/>
        <v>1688</v>
      </c>
      <c r="Y24" s="125"/>
      <c r="Z24" s="125"/>
      <c r="AA24" s="126"/>
      <c r="AB24" s="125"/>
      <c r="AC24" s="113">
        <f t="shared" si="3"/>
        <v>0</v>
      </c>
      <c r="AD24" s="111"/>
      <c r="AE24" s="111"/>
      <c r="AF24" s="112"/>
      <c r="AG24" s="117"/>
      <c r="AH24" s="111"/>
      <c r="AI24" s="112"/>
      <c r="AJ24" s="112"/>
      <c r="AK24" s="113">
        <f t="shared" si="4"/>
        <v>0</v>
      </c>
      <c r="AL24" s="127"/>
      <c r="AM24" s="128"/>
      <c r="AN24" s="128"/>
      <c r="AO24" s="129"/>
    </row>
    <row r="25" spans="1:41" s="121" customFormat="1" ht="16.5" customHeight="1">
      <c r="A25" s="104" t="s">
        <v>2134</v>
      </c>
      <c r="B25" s="105" t="s">
        <v>241</v>
      </c>
      <c r="C25" s="106" t="s">
        <v>219</v>
      </c>
      <c r="D25" s="106" t="s">
        <v>2415</v>
      </c>
      <c r="E25" s="71" t="s">
        <v>220</v>
      </c>
      <c r="F25" s="71" t="s">
        <v>187</v>
      </c>
      <c r="G25" s="109" t="s">
        <v>2058</v>
      </c>
      <c r="H25" s="130"/>
      <c r="I25" s="124"/>
      <c r="J25" s="124"/>
      <c r="K25" s="113">
        <f t="shared" si="1"/>
        <v>0</v>
      </c>
      <c r="L25" s="111">
        <v>1608</v>
      </c>
      <c r="M25" s="111">
        <v>97</v>
      </c>
      <c r="N25" s="112"/>
      <c r="O25" s="111">
        <v>407</v>
      </c>
      <c r="P25" s="114"/>
      <c r="Q25" s="111">
        <v>8509</v>
      </c>
      <c r="R25" s="124"/>
      <c r="S25" s="124"/>
      <c r="T25" s="111">
        <f t="shared" si="0"/>
        <v>0</v>
      </c>
      <c r="U25" s="112">
        <v>505</v>
      </c>
      <c r="V25" s="116"/>
      <c r="W25" s="112"/>
      <c r="X25" s="113">
        <f t="shared" si="2"/>
        <v>2617</v>
      </c>
      <c r="Y25" s="125"/>
      <c r="Z25" s="125"/>
      <c r="AA25" s="126"/>
      <c r="AB25" s="125"/>
      <c r="AC25" s="113">
        <f t="shared" si="3"/>
        <v>0</v>
      </c>
      <c r="AD25" s="111"/>
      <c r="AE25" s="111"/>
      <c r="AF25" s="112"/>
      <c r="AG25" s="117"/>
      <c r="AH25" s="111"/>
      <c r="AI25" s="112"/>
      <c r="AJ25" s="112"/>
      <c r="AK25" s="113">
        <f t="shared" si="4"/>
        <v>0</v>
      </c>
      <c r="AL25" s="127"/>
      <c r="AM25" s="128"/>
      <c r="AN25" s="128"/>
      <c r="AO25" s="129"/>
    </row>
    <row r="26" spans="1:41" s="121" customFormat="1" ht="16.5" customHeight="1">
      <c r="A26" s="104" t="s">
        <v>2134</v>
      </c>
      <c r="B26" s="105" t="s">
        <v>246</v>
      </c>
      <c r="C26" s="106" t="s">
        <v>224</v>
      </c>
      <c r="D26" s="106" t="s">
        <v>2415</v>
      </c>
      <c r="E26" s="71" t="s">
        <v>225</v>
      </c>
      <c r="F26" s="71" t="s">
        <v>187</v>
      </c>
      <c r="G26" s="109" t="s">
        <v>2058</v>
      </c>
      <c r="H26" s="130"/>
      <c r="I26" s="124"/>
      <c r="J26" s="124"/>
      <c r="K26" s="113">
        <f t="shared" si="1"/>
        <v>0</v>
      </c>
      <c r="L26" s="111">
        <v>46</v>
      </c>
      <c r="M26" s="112"/>
      <c r="N26" s="112"/>
      <c r="O26" s="112"/>
      <c r="P26" s="114"/>
      <c r="Q26" s="111">
        <v>8509</v>
      </c>
      <c r="R26" s="124"/>
      <c r="S26" s="124"/>
      <c r="T26" s="111">
        <f t="shared" si="0"/>
        <v>0</v>
      </c>
      <c r="U26" s="112"/>
      <c r="V26" s="116"/>
      <c r="W26" s="112"/>
      <c r="X26" s="113">
        <f t="shared" si="2"/>
        <v>46</v>
      </c>
      <c r="Y26" s="125"/>
      <c r="Z26" s="125"/>
      <c r="AA26" s="126"/>
      <c r="AB26" s="125"/>
      <c r="AC26" s="113">
        <f t="shared" si="3"/>
        <v>0</v>
      </c>
      <c r="AD26" s="111"/>
      <c r="AE26" s="111"/>
      <c r="AF26" s="112"/>
      <c r="AG26" s="117"/>
      <c r="AH26" s="111"/>
      <c r="AI26" s="112"/>
      <c r="AJ26" s="112"/>
      <c r="AK26" s="113">
        <f t="shared" si="4"/>
        <v>0</v>
      </c>
      <c r="AL26" s="127"/>
      <c r="AM26" s="128"/>
      <c r="AN26" s="128"/>
      <c r="AO26" s="129"/>
    </row>
    <row r="27" spans="1:41" s="121" customFormat="1" ht="16.5" customHeight="1">
      <c r="A27" s="104" t="s">
        <v>2134</v>
      </c>
      <c r="B27" s="105" t="s">
        <v>253</v>
      </c>
      <c r="C27" s="106" t="s">
        <v>247</v>
      </c>
      <c r="D27" s="106" t="s">
        <v>2415</v>
      </c>
      <c r="E27" s="71" t="s">
        <v>248</v>
      </c>
      <c r="F27" s="71" t="s">
        <v>187</v>
      </c>
      <c r="G27" s="109" t="s">
        <v>2058</v>
      </c>
      <c r="H27" s="130"/>
      <c r="I27" s="124"/>
      <c r="J27" s="124"/>
      <c r="K27" s="113">
        <f t="shared" si="1"/>
        <v>0</v>
      </c>
      <c r="L27" s="112"/>
      <c r="M27" s="112"/>
      <c r="N27" s="112"/>
      <c r="O27" s="112"/>
      <c r="P27" s="114"/>
      <c r="Q27" s="111">
        <v>8509</v>
      </c>
      <c r="R27" s="124"/>
      <c r="S27" s="124"/>
      <c r="T27" s="111">
        <f t="shared" si="0"/>
        <v>0</v>
      </c>
      <c r="U27" s="112"/>
      <c r="V27" s="116"/>
      <c r="W27" s="112"/>
      <c r="X27" s="113">
        <f t="shared" si="2"/>
        <v>0</v>
      </c>
      <c r="Y27" s="125"/>
      <c r="Z27" s="125"/>
      <c r="AA27" s="126"/>
      <c r="AB27" s="125"/>
      <c r="AC27" s="113">
        <f t="shared" si="3"/>
        <v>0</v>
      </c>
      <c r="AD27" s="111"/>
      <c r="AE27" s="111"/>
      <c r="AF27" s="112"/>
      <c r="AG27" s="117"/>
      <c r="AH27" s="111"/>
      <c r="AI27" s="112"/>
      <c r="AJ27" s="112"/>
      <c r="AK27" s="113">
        <f t="shared" si="4"/>
        <v>0</v>
      </c>
      <c r="AL27" s="127"/>
      <c r="AM27" s="128"/>
      <c r="AN27" s="128"/>
      <c r="AO27" s="129"/>
    </row>
    <row r="28" spans="1:41" s="121" customFormat="1" ht="16.5" customHeight="1">
      <c r="A28" s="104" t="s">
        <v>2134</v>
      </c>
      <c r="B28" s="105" t="s">
        <v>259</v>
      </c>
      <c r="C28" s="106" t="s">
        <v>254</v>
      </c>
      <c r="D28" s="106" t="s">
        <v>2415</v>
      </c>
      <c r="E28" s="71" t="s">
        <v>255</v>
      </c>
      <c r="F28" s="71" t="s">
        <v>187</v>
      </c>
      <c r="G28" s="109" t="s">
        <v>2058</v>
      </c>
      <c r="H28" s="130"/>
      <c r="I28" s="124"/>
      <c r="J28" s="124"/>
      <c r="K28" s="113">
        <f t="shared" si="1"/>
        <v>0</v>
      </c>
      <c r="L28" s="111">
        <v>32</v>
      </c>
      <c r="M28" s="112"/>
      <c r="N28" s="112"/>
      <c r="O28" s="111"/>
      <c r="P28" s="114"/>
      <c r="Q28" s="111">
        <v>8509</v>
      </c>
      <c r="R28" s="124"/>
      <c r="S28" s="124"/>
      <c r="T28" s="111">
        <f t="shared" si="0"/>
        <v>0</v>
      </c>
      <c r="U28" s="112"/>
      <c r="V28" s="116"/>
      <c r="W28" s="112"/>
      <c r="X28" s="113">
        <f t="shared" si="2"/>
        <v>32</v>
      </c>
      <c r="Y28" s="125"/>
      <c r="Z28" s="125"/>
      <c r="AA28" s="126"/>
      <c r="AB28" s="125"/>
      <c r="AC28" s="113">
        <f t="shared" si="3"/>
        <v>0</v>
      </c>
      <c r="AD28" s="111"/>
      <c r="AE28" s="111"/>
      <c r="AF28" s="112"/>
      <c r="AG28" s="117"/>
      <c r="AH28" s="111"/>
      <c r="AI28" s="112"/>
      <c r="AJ28" s="112"/>
      <c r="AK28" s="113">
        <f t="shared" si="4"/>
        <v>0</v>
      </c>
      <c r="AL28" s="127"/>
      <c r="AM28" s="128"/>
      <c r="AN28" s="128"/>
      <c r="AO28" s="129"/>
    </row>
    <row r="29" spans="1:41" s="121" customFormat="1" ht="16.5" customHeight="1">
      <c r="A29" s="104" t="s">
        <v>2134</v>
      </c>
      <c r="B29" s="105" t="s">
        <v>272</v>
      </c>
      <c r="C29" s="106" t="s">
        <v>237</v>
      </c>
      <c r="D29" s="106" t="s">
        <v>2415</v>
      </c>
      <c r="E29" s="71" t="s">
        <v>238</v>
      </c>
      <c r="F29" s="71" t="s">
        <v>187</v>
      </c>
      <c r="G29" s="109" t="s">
        <v>2058</v>
      </c>
      <c r="H29" s="130"/>
      <c r="I29" s="124"/>
      <c r="J29" s="124"/>
      <c r="K29" s="113">
        <f t="shared" si="1"/>
        <v>0</v>
      </c>
      <c r="L29" s="111">
        <v>43</v>
      </c>
      <c r="M29" s="112"/>
      <c r="N29" s="112"/>
      <c r="O29" s="112">
        <v>70</v>
      </c>
      <c r="P29" s="114"/>
      <c r="Q29" s="111">
        <v>8509</v>
      </c>
      <c r="R29" s="124"/>
      <c r="S29" s="124"/>
      <c r="T29" s="111">
        <f t="shared" si="0"/>
        <v>0</v>
      </c>
      <c r="U29" s="112"/>
      <c r="V29" s="116"/>
      <c r="W29" s="112"/>
      <c r="X29" s="113">
        <f t="shared" si="2"/>
        <v>113</v>
      </c>
      <c r="Y29" s="125"/>
      <c r="Z29" s="125"/>
      <c r="AA29" s="126"/>
      <c r="AB29" s="125"/>
      <c r="AC29" s="113">
        <f t="shared" si="3"/>
        <v>0</v>
      </c>
      <c r="AD29" s="111"/>
      <c r="AE29" s="111"/>
      <c r="AF29" s="112"/>
      <c r="AG29" s="117"/>
      <c r="AH29" s="111"/>
      <c r="AI29" s="112"/>
      <c r="AJ29" s="112"/>
      <c r="AK29" s="113">
        <f t="shared" si="4"/>
        <v>0</v>
      </c>
      <c r="AL29" s="127"/>
      <c r="AM29" s="128"/>
      <c r="AN29" s="128"/>
      <c r="AO29" s="129"/>
    </row>
    <row r="30" spans="1:41" s="121" customFormat="1" ht="16.5" customHeight="1">
      <c r="A30" s="104" t="s">
        <v>2134</v>
      </c>
      <c r="B30" s="105" t="s">
        <v>277</v>
      </c>
      <c r="C30" s="106" t="s">
        <v>232</v>
      </c>
      <c r="D30" s="106" t="s">
        <v>2415</v>
      </c>
      <c r="E30" s="71" t="s">
        <v>233</v>
      </c>
      <c r="F30" s="71" t="s">
        <v>187</v>
      </c>
      <c r="G30" s="109" t="s">
        <v>2058</v>
      </c>
      <c r="H30" s="130"/>
      <c r="I30" s="124"/>
      <c r="J30" s="124"/>
      <c r="K30" s="113">
        <f t="shared" si="1"/>
        <v>0</v>
      </c>
      <c r="L30" s="111">
        <v>43</v>
      </c>
      <c r="M30" s="112"/>
      <c r="N30" s="112"/>
      <c r="O30" s="112">
        <v>257</v>
      </c>
      <c r="P30" s="114"/>
      <c r="Q30" s="111">
        <v>8509</v>
      </c>
      <c r="R30" s="124"/>
      <c r="S30" s="124"/>
      <c r="T30" s="111">
        <f t="shared" si="0"/>
        <v>0</v>
      </c>
      <c r="U30" s="112"/>
      <c r="V30" s="116"/>
      <c r="W30" s="112"/>
      <c r="X30" s="113">
        <f t="shared" si="2"/>
        <v>300</v>
      </c>
      <c r="Y30" s="125"/>
      <c r="Z30" s="125"/>
      <c r="AA30" s="126"/>
      <c r="AB30" s="125"/>
      <c r="AC30" s="113">
        <f t="shared" si="3"/>
        <v>0</v>
      </c>
      <c r="AD30" s="111"/>
      <c r="AE30" s="111"/>
      <c r="AF30" s="112"/>
      <c r="AG30" s="117"/>
      <c r="AH30" s="111"/>
      <c r="AI30" s="112"/>
      <c r="AJ30" s="112"/>
      <c r="AK30" s="113">
        <f t="shared" si="4"/>
        <v>0</v>
      </c>
      <c r="AL30" s="127"/>
      <c r="AM30" s="128"/>
      <c r="AN30" s="128"/>
      <c r="AO30" s="129"/>
    </row>
    <row r="31" spans="1:41" s="121" customFormat="1" ht="16.5" customHeight="1">
      <c r="A31" s="104" t="s">
        <v>2134</v>
      </c>
      <c r="B31" s="105" t="s">
        <v>282</v>
      </c>
      <c r="C31" s="106" t="s">
        <v>242</v>
      </c>
      <c r="D31" s="106" t="s">
        <v>2415</v>
      </c>
      <c r="E31" s="71" t="s">
        <v>243</v>
      </c>
      <c r="F31" s="71" t="s">
        <v>187</v>
      </c>
      <c r="G31" s="109" t="s">
        <v>2058</v>
      </c>
      <c r="H31" s="130"/>
      <c r="I31" s="124"/>
      <c r="J31" s="124"/>
      <c r="K31" s="113">
        <f t="shared" si="1"/>
        <v>0</v>
      </c>
      <c r="L31" s="111">
        <v>38</v>
      </c>
      <c r="M31" s="112"/>
      <c r="N31" s="112"/>
      <c r="O31" s="112"/>
      <c r="P31" s="114"/>
      <c r="Q31" s="111">
        <v>8509</v>
      </c>
      <c r="R31" s="124"/>
      <c r="S31" s="124"/>
      <c r="T31" s="111">
        <f t="shared" si="0"/>
        <v>0</v>
      </c>
      <c r="U31" s="112"/>
      <c r="V31" s="116"/>
      <c r="W31" s="112"/>
      <c r="X31" s="113">
        <f t="shared" si="2"/>
        <v>38</v>
      </c>
      <c r="Y31" s="125"/>
      <c r="Z31" s="125"/>
      <c r="AA31" s="126"/>
      <c r="AB31" s="125"/>
      <c r="AC31" s="113">
        <f t="shared" si="3"/>
        <v>0</v>
      </c>
      <c r="AD31" s="111"/>
      <c r="AE31" s="111"/>
      <c r="AF31" s="112"/>
      <c r="AG31" s="117"/>
      <c r="AH31" s="111"/>
      <c r="AI31" s="112"/>
      <c r="AJ31" s="112"/>
      <c r="AK31" s="113">
        <f t="shared" si="4"/>
        <v>0</v>
      </c>
      <c r="AL31" s="127"/>
      <c r="AM31" s="128"/>
      <c r="AN31" s="128"/>
      <c r="AO31" s="129"/>
    </row>
    <row r="32" spans="1:41" s="121" customFormat="1" ht="16.5" customHeight="1">
      <c r="A32" s="104" t="s">
        <v>2134</v>
      </c>
      <c r="B32" s="105" t="s">
        <v>289</v>
      </c>
      <c r="C32" s="107" t="s">
        <v>260</v>
      </c>
      <c r="D32" s="106" t="s">
        <v>2415</v>
      </c>
      <c r="E32" s="131" t="s">
        <v>261</v>
      </c>
      <c r="F32" s="131" t="s">
        <v>78</v>
      </c>
      <c r="G32" s="132" t="s">
        <v>180</v>
      </c>
      <c r="H32" s="133">
        <v>0</v>
      </c>
      <c r="I32" s="134">
        <v>0</v>
      </c>
      <c r="J32" s="134">
        <v>0</v>
      </c>
      <c r="K32" s="113">
        <f t="shared" si="1"/>
        <v>0</v>
      </c>
      <c r="L32" s="135">
        <v>0.23448099999999999</v>
      </c>
      <c r="M32" s="135">
        <v>2.2518999999999997E-2</v>
      </c>
      <c r="N32" s="134">
        <v>0</v>
      </c>
      <c r="O32" s="135">
        <v>0</v>
      </c>
      <c r="P32" s="136">
        <v>3.2000000000000001E-2</v>
      </c>
      <c r="Q32" s="111">
        <v>8509</v>
      </c>
      <c r="R32" s="134"/>
      <c r="S32" s="134"/>
      <c r="T32" s="111">
        <f t="shared" si="0"/>
        <v>272</v>
      </c>
      <c r="U32" s="134">
        <v>0</v>
      </c>
      <c r="V32" s="137">
        <v>2.4493999999999998E-2</v>
      </c>
      <c r="W32" s="135">
        <v>99.311000000000007</v>
      </c>
      <c r="X32" s="113">
        <f t="shared" si="2"/>
        <v>371.59249399999999</v>
      </c>
      <c r="Y32" s="135">
        <v>0</v>
      </c>
      <c r="Z32" s="135">
        <v>0</v>
      </c>
      <c r="AA32" s="137">
        <v>3.9999999999999998E-6</v>
      </c>
      <c r="AB32" s="135">
        <v>9.931100000000001E-2</v>
      </c>
      <c r="AC32" s="113">
        <f t="shared" si="3"/>
        <v>9.9315000000000014E-2</v>
      </c>
      <c r="AD32" s="135">
        <v>0</v>
      </c>
      <c r="AE32" s="135">
        <v>0</v>
      </c>
      <c r="AF32" s="134">
        <v>0</v>
      </c>
      <c r="AG32" s="138">
        <v>0</v>
      </c>
      <c r="AH32" s="135">
        <v>0</v>
      </c>
      <c r="AI32" s="134">
        <v>0.01</v>
      </c>
      <c r="AJ32" s="134">
        <v>8.4915000000000004E-2</v>
      </c>
      <c r="AK32" s="113">
        <f t="shared" si="4"/>
        <v>9.4914999999999999E-2</v>
      </c>
      <c r="AL32" s="139"/>
      <c r="AM32" s="140"/>
      <c r="AN32" s="140"/>
      <c r="AO32" s="141"/>
    </row>
    <row r="33" spans="1:41" s="121" customFormat="1" ht="16.5" customHeight="1">
      <c r="A33" s="104" t="s">
        <v>2134</v>
      </c>
      <c r="B33" s="105" t="s">
        <v>294</v>
      </c>
      <c r="C33" s="106" t="s">
        <v>273</v>
      </c>
      <c r="D33" s="106" t="s">
        <v>2415</v>
      </c>
      <c r="E33" s="71" t="s">
        <v>274</v>
      </c>
      <c r="F33" s="71" t="s">
        <v>78</v>
      </c>
      <c r="G33" s="109" t="s">
        <v>180</v>
      </c>
      <c r="H33" s="110">
        <v>0</v>
      </c>
      <c r="I33" s="112">
        <v>0</v>
      </c>
      <c r="J33" s="112">
        <v>68.2</v>
      </c>
      <c r="K33" s="113">
        <f t="shared" si="1"/>
        <v>68.2</v>
      </c>
      <c r="L33" s="111">
        <v>0.26603500000000002</v>
      </c>
      <c r="M33" s="111">
        <v>2.2518999999999997E-2</v>
      </c>
      <c r="N33" s="112">
        <v>0</v>
      </c>
      <c r="O33" s="111">
        <v>2.86E-2</v>
      </c>
      <c r="P33" s="142">
        <v>3.2000000000000001E-2</v>
      </c>
      <c r="Q33" s="111">
        <v>8509</v>
      </c>
      <c r="R33" s="112"/>
      <c r="S33" s="112"/>
      <c r="T33" s="111">
        <f t="shared" si="0"/>
        <v>272</v>
      </c>
      <c r="U33" s="112">
        <v>0.47849999999999998</v>
      </c>
      <c r="V33" s="116">
        <v>1.8013999999999999E-2</v>
      </c>
      <c r="W33" s="111">
        <v>99.311000000000007</v>
      </c>
      <c r="X33" s="113">
        <f t="shared" si="2"/>
        <v>372.12466800000004</v>
      </c>
      <c r="Y33" s="111">
        <v>0</v>
      </c>
      <c r="Z33" s="111">
        <v>0</v>
      </c>
      <c r="AA33" s="116">
        <v>0.15669999999999998</v>
      </c>
      <c r="AB33" s="111">
        <v>9.931100000000001E-2</v>
      </c>
      <c r="AC33" s="113">
        <f t="shared" si="3"/>
        <v>0.25601099999999999</v>
      </c>
      <c r="AD33" s="111">
        <v>0</v>
      </c>
      <c r="AE33" s="111">
        <v>4.7862000000000002E-2</v>
      </c>
      <c r="AF33" s="112">
        <v>0</v>
      </c>
      <c r="AG33" s="117">
        <v>0</v>
      </c>
      <c r="AH33" s="111">
        <v>2.9899999999999999E-2</v>
      </c>
      <c r="AI33" s="112">
        <v>4.0000000000000001E-3</v>
      </c>
      <c r="AJ33" s="112">
        <v>0.29816300000000001</v>
      </c>
      <c r="AK33" s="113">
        <f t="shared" si="4"/>
        <v>0.37992500000000001</v>
      </c>
      <c r="AL33" s="118"/>
      <c r="AM33" s="119"/>
      <c r="AN33" s="119"/>
      <c r="AO33" s="120"/>
    </row>
    <row r="34" spans="1:41" s="121" customFormat="1" ht="16.5" customHeight="1">
      <c r="A34" s="104" t="s">
        <v>2134</v>
      </c>
      <c r="B34" s="105" t="s">
        <v>297</v>
      </c>
      <c r="C34" s="106" t="s">
        <v>278</v>
      </c>
      <c r="D34" s="106" t="s">
        <v>2415</v>
      </c>
      <c r="E34" s="71" t="s">
        <v>279</v>
      </c>
      <c r="F34" s="71" t="s">
        <v>78</v>
      </c>
      <c r="G34" s="109" t="s">
        <v>180</v>
      </c>
      <c r="H34" s="110">
        <v>0</v>
      </c>
      <c r="I34" s="112">
        <v>0</v>
      </c>
      <c r="J34" s="112">
        <v>123</v>
      </c>
      <c r="K34" s="113">
        <f t="shared" si="1"/>
        <v>123</v>
      </c>
      <c r="L34" s="111">
        <v>0.507911</v>
      </c>
      <c r="M34" s="111">
        <v>2.2519999999999998E-2</v>
      </c>
      <c r="N34" s="112">
        <v>0</v>
      </c>
      <c r="O34" s="111">
        <v>0.37839999999999996</v>
      </c>
      <c r="P34" s="142">
        <v>3.2000000000000001E-2</v>
      </c>
      <c r="Q34" s="111">
        <v>8509</v>
      </c>
      <c r="R34" s="112"/>
      <c r="S34" s="112"/>
      <c r="T34" s="111">
        <f t="shared" si="0"/>
        <v>272</v>
      </c>
      <c r="U34" s="112">
        <v>1.9910000000000001</v>
      </c>
      <c r="V34" s="116">
        <v>1.8013999999999999E-2</v>
      </c>
      <c r="W34" s="111">
        <v>99.311000000000007</v>
      </c>
      <c r="X34" s="113">
        <f t="shared" si="2"/>
        <v>374.22884499999998</v>
      </c>
      <c r="Y34" s="111">
        <v>0</v>
      </c>
      <c r="Z34" s="111">
        <v>0</v>
      </c>
      <c r="AA34" s="116">
        <v>0.23530299999999998</v>
      </c>
      <c r="AB34" s="111">
        <v>9.931100000000001E-2</v>
      </c>
      <c r="AC34" s="113">
        <f t="shared" si="3"/>
        <v>0.33461399999999997</v>
      </c>
      <c r="AD34" s="111">
        <v>0</v>
      </c>
      <c r="AE34" s="111">
        <v>0.21284899999999998</v>
      </c>
      <c r="AF34" s="112">
        <v>0</v>
      </c>
      <c r="AG34" s="117">
        <v>0</v>
      </c>
      <c r="AH34" s="111">
        <v>6.5000000000000002E-2</v>
      </c>
      <c r="AI34" s="112">
        <v>0.01</v>
      </c>
      <c r="AJ34" s="112">
        <v>0.119452</v>
      </c>
      <c r="AK34" s="113">
        <f t="shared" si="4"/>
        <v>0.40730100000000002</v>
      </c>
      <c r="AL34" s="118"/>
      <c r="AM34" s="119"/>
      <c r="AN34" s="119"/>
      <c r="AO34" s="120"/>
    </row>
    <row r="35" spans="1:41" s="121" customFormat="1" ht="16.5" customHeight="1">
      <c r="A35" s="104" t="s">
        <v>2134</v>
      </c>
      <c r="B35" s="105" t="s">
        <v>301</v>
      </c>
      <c r="C35" s="106" t="s">
        <v>283</v>
      </c>
      <c r="D35" s="106" t="s">
        <v>2415</v>
      </c>
      <c r="E35" s="71" t="s">
        <v>284</v>
      </c>
      <c r="F35" s="71" t="s">
        <v>78</v>
      </c>
      <c r="G35" s="109" t="s">
        <v>180</v>
      </c>
      <c r="H35" s="110">
        <v>0</v>
      </c>
      <c r="I35" s="112">
        <v>0</v>
      </c>
      <c r="J35" s="112">
        <v>0</v>
      </c>
      <c r="K35" s="113">
        <f t="shared" si="1"/>
        <v>0</v>
      </c>
      <c r="L35" s="111">
        <v>0.16363</v>
      </c>
      <c r="M35" s="111">
        <v>2.2518999999999997E-2</v>
      </c>
      <c r="N35" s="112">
        <v>0</v>
      </c>
      <c r="O35" s="111">
        <v>7.0956000000000005E-2</v>
      </c>
      <c r="P35" s="142">
        <v>3.2000000000000001E-2</v>
      </c>
      <c r="Q35" s="111">
        <v>8509</v>
      </c>
      <c r="R35" s="112"/>
      <c r="S35" s="112"/>
      <c r="T35" s="111">
        <f t="shared" si="0"/>
        <v>272</v>
      </c>
      <c r="U35" s="112">
        <v>0.70399999999999996</v>
      </c>
      <c r="V35" s="116">
        <v>2.4493999999999998E-2</v>
      </c>
      <c r="W35" s="111">
        <v>99.311000000000007</v>
      </c>
      <c r="X35" s="113">
        <f t="shared" si="2"/>
        <v>372.29659900000001</v>
      </c>
      <c r="Y35" s="111">
        <v>0</v>
      </c>
      <c r="Z35" s="111">
        <v>0</v>
      </c>
      <c r="AA35" s="116">
        <v>1.9999999999999999E-6</v>
      </c>
      <c r="AB35" s="111">
        <v>9.931100000000001E-2</v>
      </c>
      <c r="AC35" s="113">
        <f t="shared" si="3"/>
        <v>9.9313000000000012E-2</v>
      </c>
      <c r="AD35" s="111">
        <v>0</v>
      </c>
      <c r="AE35" s="111">
        <v>0</v>
      </c>
      <c r="AF35" s="112">
        <v>0</v>
      </c>
      <c r="AG35" s="117">
        <v>0</v>
      </c>
      <c r="AH35" s="111">
        <v>0</v>
      </c>
      <c r="AI35" s="112">
        <v>4.0000000000000001E-3</v>
      </c>
      <c r="AJ35" s="112">
        <v>9.6818000000000001E-2</v>
      </c>
      <c r="AK35" s="113">
        <f t="shared" si="4"/>
        <v>0.100818</v>
      </c>
      <c r="AL35" s="118"/>
      <c r="AM35" s="119"/>
      <c r="AN35" s="119"/>
      <c r="AO35" s="120"/>
    </row>
    <row r="36" spans="1:41" s="121" customFormat="1" ht="16.5" customHeight="1">
      <c r="A36" s="104" t="s">
        <v>2134</v>
      </c>
      <c r="B36" s="105" t="s">
        <v>310</v>
      </c>
      <c r="C36" s="106" t="s">
        <v>290</v>
      </c>
      <c r="D36" s="106" t="s">
        <v>2415</v>
      </c>
      <c r="E36" s="71" t="s">
        <v>291</v>
      </c>
      <c r="F36" s="71" t="s">
        <v>78</v>
      </c>
      <c r="G36" s="109" t="s">
        <v>180</v>
      </c>
      <c r="H36" s="110">
        <v>0</v>
      </c>
      <c r="I36" s="112">
        <v>0</v>
      </c>
      <c r="J36" s="112">
        <v>260</v>
      </c>
      <c r="K36" s="113">
        <f t="shared" si="1"/>
        <v>260</v>
      </c>
      <c r="L36" s="111">
        <v>0.67352200000000007</v>
      </c>
      <c r="M36" s="111">
        <v>2.2519999999999998E-2</v>
      </c>
      <c r="N36" s="112">
        <v>1.4543550000000001</v>
      </c>
      <c r="O36" s="111">
        <v>0.38536000000000004</v>
      </c>
      <c r="P36" s="142">
        <v>3.2000000000000001E-2</v>
      </c>
      <c r="Q36" s="111">
        <v>8509</v>
      </c>
      <c r="R36" s="112"/>
      <c r="S36" s="112"/>
      <c r="T36" s="111">
        <f t="shared" si="0"/>
        <v>272</v>
      </c>
      <c r="U36" s="112">
        <v>0</v>
      </c>
      <c r="V36" s="116">
        <v>1.8013999999999999E-2</v>
      </c>
      <c r="W36" s="111">
        <v>99.311000000000007</v>
      </c>
      <c r="X36" s="113">
        <f t="shared" si="2"/>
        <v>373.86477100000002</v>
      </c>
      <c r="Y36" s="111">
        <v>0</v>
      </c>
      <c r="Z36" s="111">
        <v>0</v>
      </c>
      <c r="AA36" s="116">
        <v>0.52230600000000005</v>
      </c>
      <c r="AB36" s="111">
        <v>9.931100000000001E-2</v>
      </c>
      <c r="AC36" s="113">
        <f t="shared" si="3"/>
        <v>0.62161700000000009</v>
      </c>
      <c r="AD36" s="111">
        <v>0</v>
      </c>
      <c r="AE36" s="111">
        <v>0.14285499999999998</v>
      </c>
      <c r="AF36" s="112">
        <v>0</v>
      </c>
      <c r="AG36" s="117">
        <v>0</v>
      </c>
      <c r="AH36" s="111">
        <v>0.20200000000000001</v>
      </c>
      <c r="AI36" s="112">
        <v>0.01</v>
      </c>
      <c r="AJ36" s="112">
        <v>0.17908299999999999</v>
      </c>
      <c r="AK36" s="113">
        <f t="shared" si="4"/>
        <v>0.53393800000000002</v>
      </c>
      <c r="AL36" s="118"/>
      <c r="AM36" s="119"/>
      <c r="AN36" s="119"/>
      <c r="AO36" s="120"/>
    </row>
    <row r="37" spans="1:41" s="121" customFormat="1" ht="16.5" customHeight="1">
      <c r="A37" s="104" t="s">
        <v>2134</v>
      </c>
      <c r="B37" s="105" t="s">
        <v>317</v>
      </c>
      <c r="C37" s="106" t="s">
        <v>295</v>
      </c>
      <c r="D37" s="106" t="s">
        <v>2415</v>
      </c>
      <c r="E37" s="71" t="s">
        <v>296</v>
      </c>
      <c r="F37" s="71" t="s">
        <v>78</v>
      </c>
      <c r="G37" s="109" t="s">
        <v>180</v>
      </c>
      <c r="H37" s="110">
        <v>0</v>
      </c>
      <c r="I37" s="112">
        <v>0</v>
      </c>
      <c r="J37" s="112">
        <v>294.89999999999998</v>
      </c>
      <c r="K37" s="113">
        <f t="shared" si="1"/>
        <v>294.89999999999998</v>
      </c>
      <c r="L37" s="111">
        <v>0.58724900000000002</v>
      </c>
      <c r="M37" s="111">
        <v>2.2518999999999997E-2</v>
      </c>
      <c r="N37" s="112">
        <v>0</v>
      </c>
      <c r="O37" s="111">
        <v>4.07E-2</v>
      </c>
      <c r="P37" s="142">
        <v>3.2000000000000001E-2</v>
      </c>
      <c r="Q37" s="111">
        <v>8509</v>
      </c>
      <c r="R37" s="112"/>
      <c r="S37" s="112"/>
      <c r="T37" s="111">
        <f t="shared" si="0"/>
        <v>272</v>
      </c>
      <c r="U37" s="112">
        <v>0</v>
      </c>
      <c r="V37" s="116">
        <v>3.0973000000000001E-2</v>
      </c>
      <c r="W37" s="111">
        <v>99.311000000000007</v>
      </c>
      <c r="X37" s="113">
        <f t="shared" si="2"/>
        <v>371.99244099999999</v>
      </c>
      <c r="Y37" s="111">
        <v>0</v>
      </c>
      <c r="Z37" s="111">
        <v>0</v>
      </c>
      <c r="AA37" s="116">
        <v>0.55571000000000004</v>
      </c>
      <c r="AB37" s="111">
        <v>9.931100000000001E-2</v>
      </c>
      <c r="AC37" s="113">
        <f t="shared" si="3"/>
        <v>0.65502100000000008</v>
      </c>
      <c r="AD37" s="111">
        <v>0</v>
      </c>
      <c r="AE37" s="111">
        <v>6.3625000000000001E-2</v>
      </c>
      <c r="AF37" s="112">
        <v>0</v>
      </c>
      <c r="AG37" s="117">
        <v>0</v>
      </c>
      <c r="AH37" s="111">
        <v>0.22450000000000001</v>
      </c>
      <c r="AI37" s="112">
        <v>0.01</v>
      </c>
      <c r="AJ37" s="112">
        <v>1.1305239999999999</v>
      </c>
      <c r="AK37" s="113">
        <f t="shared" si="4"/>
        <v>1.4286489999999998</v>
      </c>
      <c r="AL37" s="118"/>
      <c r="AM37" s="119"/>
      <c r="AN37" s="119"/>
      <c r="AO37" s="120"/>
    </row>
    <row r="38" spans="1:41" s="121" customFormat="1" ht="16.5" customHeight="1">
      <c r="A38" s="104" t="s">
        <v>2134</v>
      </c>
      <c r="B38" s="105" t="s">
        <v>322</v>
      </c>
      <c r="C38" s="106" t="s">
        <v>298</v>
      </c>
      <c r="D38" s="106" t="s">
        <v>2415</v>
      </c>
      <c r="E38" s="71" t="s">
        <v>2165</v>
      </c>
      <c r="F38" s="71" t="s">
        <v>78</v>
      </c>
      <c r="G38" s="109" t="s">
        <v>180</v>
      </c>
      <c r="H38" s="110">
        <v>0</v>
      </c>
      <c r="I38" s="112">
        <v>0</v>
      </c>
      <c r="J38" s="112">
        <v>65.599999999999994</v>
      </c>
      <c r="K38" s="113">
        <f t="shared" si="1"/>
        <v>65.599999999999994</v>
      </c>
      <c r="L38" s="111">
        <v>0.26260300000000003</v>
      </c>
      <c r="M38" s="111">
        <v>2.2518999999999997E-2</v>
      </c>
      <c r="N38" s="112">
        <v>0</v>
      </c>
      <c r="O38" s="111">
        <v>6.93E-2</v>
      </c>
      <c r="P38" s="142">
        <v>3.2000000000000001E-2</v>
      </c>
      <c r="Q38" s="111">
        <v>8509</v>
      </c>
      <c r="R38" s="112"/>
      <c r="S38" s="112"/>
      <c r="T38" s="111">
        <f t="shared" si="0"/>
        <v>272</v>
      </c>
      <c r="U38" s="112">
        <v>0</v>
      </c>
      <c r="V38" s="116">
        <v>1.8013000000000001E-2</v>
      </c>
      <c r="W38" s="111">
        <v>99.311000000000007</v>
      </c>
      <c r="X38" s="113">
        <f t="shared" si="2"/>
        <v>371.68343500000003</v>
      </c>
      <c r="Y38" s="111">
        <v>0</v>
      </c>
      <c r="Z38" s="111">
        <v>0</v>
      </c>
      <c r="AA38" s="116">
        <v>0</v>
      </c>
      <c r="AB38" s="111">
        <v>9.931100000000001E-2</v>
      </c>
      <c r="AC38" s="113">
        <f t="shared" si="3"/>
        <v>9.931100000000001E-2</v>
      </c>
      <c r="AD38" s="111">
        <v>0</v>
      </c>
      <c r="AE38" s="111">
        <v>0</v>
      </c>
      <c r="AF38" s="112">
        <v>0</v>
      </c>
      <c r="AG38" s="117">
        <v>0</v>
      </c>
      <c r="AH38" s="111">
        <v>0</v>
      </c>
      <c r="AI38" s="112">
        <v>0</v>
      </c>
      <c r="AJ38" s="112">
        <v>0</v>
      </c>
      <c r="AK38" s="113">
        <f t="shared" si="4"/>
        <v>0</v>
      </c>
      <c r="AL38" s="118"/>
      <c r="AM38" s="119"/>
      <c r="AN38" s="119"/>
      <c r="AO38" s="120"/>
    </row>
    <row r="39" spans="1:41" s="121" customFormat="1" ht="16.5" customHeight="1">
      <c r="A39" s="104" t="s">
        <v>2134</v>
      </c>
      <c r="B39" s="105" t="s">
        <v>326</v>
      </c>
      <c r="C39" s="106" t="s">
        <v>302</v>
      </c>
      <c r="D39" s="106" t="s">
        <v>2415</v>
      </c>
      <c r="E39" s="71" t="s">
        <v>303</v>
      </c>
      <c r="F39" s="71" t="s">
        <v>78</v>
      </c>
      <c r="G39" s="109" t="s">
        <v>304</v>
      </c>
      <c r="H39" s="143">
        <v>0</v>
      </c>
      <c r="I39" s="112">
        <v>0</v>
      </c>
      <c r="J39" s="112">
        <v>0</v>
      </c>
      <c r="K39" s="113">
        <f t="shared" si="1"/>
        <v>0</v>
      </c>
      <c r="L39" s="111">
        <v>2.062E-3</v>
      </c>
      <c r="M39" s="111">
        <v>1.093E-3</v>
      </c>
      <c r="N39" s="112">
        <v>0</v>
      </c>
      <c r="O39" s="111">
        <v>1.5999999999999999E-5</v>
      </c>
      <c r="P39" s="142"/>
      <c r="Q39" s="111">
        <v>8509</v>
      </c>
      <c r="R39" s="112"/>
      <c r="S39" s="112"/>
      <c r="T39" s="111">
        <f t="shared" si="0"/>
        <v>0</v>
      </c>
      <c r="U39" s="112">
        <v>7.7000000000000001E-5</v>
      </c>
      <c r="V39" s="116">
        <v>0</v>
      </c>
      <c r="W39" s="112">
        <v>0</v>
      </c>
      <c r="X39" s="113">
        <f t="shared" si="2"/>
        <v>3.2479999999999996E-3</v>
      </c>
      <c r="Y39" s="111">
        <v>0</v>
      </c>
      <c r="Z39" s="111">
        <v>0</v>
      </c>
      <c r="AA39" s="116">
        <v>0</v>
      </c>
      <c r="AB39" s="111">
        <v>0</v>
      </c>
      <c r="AC39" s="113">
        <f t="shared" si="3"/>
        <v>0</v>
      </c>
      <c r="AD39" s="111">
        <v>0</v>
      </c>
      <c r="AE39" s="111">
        <v>0</v>
      </c>
      <c r="AF39" s="112">
        <v>0</v>
      </c>
      <c r="AG39" s="117">
        <v>0</v>
      </c>
      <c r="AH39" s="111">
        <v>0</v>
      </c>
      <c r="AI39" s="112">
        <v>0</v>
      </c>
      <c r="AJ39" s="112">
        <v>0</v>
      </c>
      <c r="AK39" s="113">
        <f t="shared" si="4"/>
        <v>0</v>
      </c>
      <c r="AL39" s="118"/>
      <c r="AM39" s="119"/>
      <c r="AN39" s="119"/>
      <c r="AO39" s="120"/>
    </row>
    <row r="40" spans="1:41" s="121" customFormat="1" ht="16.5" customHeight="1">
      <c r="A40" s="104" t="s">
        <v>2134</v>
      </c>
      <c r="B40" s="105" t="s">
        <v>329</v>
      </c>
      <c r="C40" s="106" t="s">
        <v>311</v>
      </c>
      <c r="D40" s="106" t="s">
        <v>2415</v>
      </c>
      <c r="E40" s="71" t="s">
        <v>312</v>
      </c>
      <c r="F40" s="71" t="s">
        <v>78</v>
      </c>
      <c r="G40" s="109" t="s">
        <v>180</v>
      </c>
      <c r="H40" s="110">
        <v>0</v>
      </c>
      <c r="I40" s="112">
        <v>0</v>
      </c>
      <c r="J40" s="112">
        <v>179.8</v>
      </c>
      <c r="K40" s="113">
        <f t="shared" si="1"/>
        <v>179.8</v>
      </c>
      <c r="L40" s="111">
        <v>0.63363400000000003</v>
      </c>
      <c r="M40" s="111">
        <v>2.2519999999999998E-2</v>
      </c>
      <c r="N40" s="115">
        <v>1.7406700000000002</v>
      </c>
      <c r="O40" s="111">
        <v>0.1628</v>
      </c>
      <c r="P40" s="142">
        <v>3.2000000000000001E-2</v>
      </c>
      <c r="Q40" s="111">
        <v>8509</v>
      </c>
      <c r="R40" s="112"/>
      <c r="S40" s="112"/>
      <c r="T40" s="111">
        <f t="shared" si="0"/>
        <v>272</v>
      </c>
      <c r="U40" s="115">
        <v>0</v>
      </c>
      <c r="V40" s="144">
        <v>4.0239999999999998E-3</v>
      </c>
      <c r="W40" s="111">
        <v>99.311000000000007</v>
      </c>
      <c r="X40" s="113">
        <f t="shared" si="2"/>
        <v>373.87464799999998</v>
      </c>
      <c r="Y40" s="111">
        <v>0</v>
      </c>
      <c r="Z40" s="111">
        <v>0</v>
      </c>
      <c r="AA40" s="116">
        <v>0.59600199999999992</v>
      </c>
      <c r="AB40" s="111">
        <v>9.931100000000001E-2</v>
      </c>
      <c r="AC40" s="113">
        <f t="shared" si="3"/>
        <v>0.69531299999999996</v>
      </c>
      <c r="AD40" s="111">
        <v>0</v>
      </c>
      <c r="AE40" s="111">
        <v>0.178672</v>
      </c>
      <c r="AF40" s="112">
        <v>0</v>
      </c>
      <c r="AG40" s="117">
        <v>4.3799999999999999E-2</v>
      </c>
      <c r="AH40" s="111">
        <v>0.41160000000000002</v>
      </c>
      <c r="AI40" s="112">
        <v>0.01</v>
      </c>
      <c r="AJ40" s="112">
        <v>7.5221999999999997E-2</v>
      </c>
      <c r="AK40" s="113">
        <f t="shared" si="4"/>
        <v>0.71929399999999999</v>
      </c>
      <c r="AL40" s="118"/>
      <c r="AM40" s="119"/>
      <c r="AN40" s="119"/>
      <c r="AO40" s="120"/>
    </row>
    <row r="41" spans="1:41" s="121" customFormat="1" ht="16.5" customHeight="1">
      <c r="A41" s="104" t="s">
        <v>2134</v>
      </c>
      <c r="B41" s="105" t="s">
        <v>334</v>
      </c>
      <c r="C41" s="106" t="s">
        <v>318</v>
      </c>
      <c r="D41" s="106" t="s">
        <v>2415</v>
      </c>
      <c r="E41" s="71" t="s">
        <v>319</v>
      </c>
      <c r="F41" s="71" t="s">
        <v>78</v>
      </c>
      <c r="G41" s="109" t="s">
        <v>180</v>
      </c>
      <c r="H41" s="110">
        <v>0</v>
      </c>
      <c r="I41" s="112">
        <v>0</v>
      </c>
      <c r="J41" s="112">
        <v>15.4</v>
      </c>
      <c r="K41" s="113">
        <f t="shared" si="1"/>
        <v>15.4</v>
      </c>
      <c r="L41" s="111">
        <v>0.24645900000000001</v>
      </c>
      <c r="M41" s="111">
        <v>2.2518999999999997E-2</v>
      </c>
      <c r="N41" s="115">
        <v>0</v>
      </c>
      <c r="O41" s="111">
        <v>0.23103000000000001</v>
      </c>
      <c r="P41" s="142">
        <v>3.2000000000000001E-2</v>
      </c>
      <c r="Q41" s="111">
        <v>8509</v>
      </c>
      <c r="R41" s="112"/>
      <c r="S41" s="112"/>
      <c r="T41" s="111">
        <f t="shared" si="0"/>
        <v>272</v>
      </c>
      <c r="U41" s="115">
        <v>0</v>
      </c>
      <c r="V41" s="144">
        <v>1.9039999999999998E-2</v>
      </c>
      <c r="W41" s="111">
        <v>99.311000000000007</v>
      </c>
      <c r="X41" s="113">
        <f t="shared" si="2"/>
        <v>371.83004800000003</v>
      </c>
      <c r="Y41" s="111">
        <v>0</v>
      </c>
      <c r="Z41" s="111">
        <v>0</v>
      </c>
      <c r="AA41" s="116">
        <v>6.8208000000000005E-2</v>
      </c>
      <c r="AB41" s="111">
        <v>9.931100000000001E-2</v>
      </c>
      <c r="AC41" s="113">
        <f t="shared" si="3"/>
        <v>0.16751900000000003</v>
      </c>
      <c r="AD41" s="111">
        <v>0</v>
      </c>
      <c r="AE41" s="111">
        <v>4.0540999999999994E-2</v>
      </c>
      <c r="AF41" s="112">
        <v>0</v>
      </c>
      <c r="AG41" s="117">
        <v>0</v>
      </c>
      <c r="AH41" s="111">
        <v>0.03</v>
      </c>
      <c r="AI41" s="112">
        <v>4.0000000000000001E-3</v>
      </c>
      <c r="AJ41" s="112">
        <v>1.1594E-2</v>
      </c>
      <c r="AK41" s="113">
        <f t="shared" si="4"/>
        <v>8.6134999999999989E-2</v>
      </c>
      <c r="AL41" s="118"/>
      <c r="AM41" s="119"/>
      <c r="AN41" s="119"/>
      <c r="AO41" s="120"/>
    </row>
    <row r="42" spans="1:41" s="121" customFormat="1" ht="16.5" customHeight="1">
      <c r="A42" s="104" t="s">
        <v>2134</v>
      </c>
      <c r="B42" s="105" t="s">
        <v>340</v>
      </c>
      <c r="C42" s="106" t="s">
        <v>323</v>
      </c>
      <c r="D42" s="106" t="s">
        <v>2415</v>
      </c>
      <c r="E42" s="71" t="s">
        <v>2166</v>
      </c>
      <c r="F42" s="71" t="s">
        <v>78</v>
      </c>
      <c r="G42" s="109" t="s">
        <v>180</v>
      </c>
      <c r="H42" s="110">
        <v>0</v>
      </c>
      <c r="I42" s="112">
        <v>0</v>
      </c>
      <c r="J42" s="112">
        <v>27.4</v>
      </c>
      <c r="K42" s="113">
        <f t="shared" si="1"/>
        <v>27.4</v>
      </c>
      <c r="L42" s="111">
        <v>0.193218</v>
      </c>
      <c r="M42" s="111">
        <v>2.2518999999999997E-2</v>
      </c>
      <c r="N42" s="115">
        <v>0</v>
      </c>
      <c r="O42" s="111">
        <v>0</v>
      </c>
      <c r="P42" s="142">
        <v>3.2000000000000001E-2</v>
      </c>
      <c r="Q42" s="111">
        <v>8509</v>
      </c>
      <c r="R42" s="112"/>
      <c r="S42" s="112"/>
      <c r="T42" s="111">
        <f t="shared" si="0"/>
        <v>272</v>
      </c>
      <c r="U42" s="115">
        <v>0</v>
      </c>
      <c r="V42" s="144">
        <v>1.8013999999999999E-2</v>
      </c>
      <c r="W42" s="111">
        <v>99.311000000000007</v>
      </c>
      <c r="X42" s="113">
        <f t="shared" si="2"/>
        <v>371.54475100000002</v>
      </c>
      <c r="Y42" s="111">
        <v>0</v>
      </c>
      <c r="Z42" s="111">
        <v>0</v>
      </c>
      <c r="AA42" s="116">
        <v>1.8699999999999998E-2</v>
      </c>
      <c r="AB42" s="111">
        <v>9.931100000000001E-2</v>
      </c>
      <c r="AC42" s="113">
        <f t="shared" si="3"/>
        <v>0.118011</v>
      </c>
      <c r="AD42" s="111">
        <v>0</v>
      </c>
      <c r="AE42" s="111">
        <v>7.8283000000000005E-2</v>
      </c>
      <c r="AF42" s="112">
        <v>0</v>
      </c>
      <c r="AG42" s="117">
        <v>0</v>
      </c>
      <c r="AH42" s="111">
        <v>0.01</v>
      </c>
      <c r="AI42" s="112">
        <v>0.01</v>
      </c>
      <c r="AJ42" s="112">
        <v>2.8856000000000003E-2</v>
      </c>
      <c r="AK42" s="113">
        <f t="shared" si="4"/>
        <v>0.127139</v>
      </c>
      <c r="AL42" s="118"/>
      <c r="AM42" s="119"/>
      <c r="AN42" s="119"/>
      <c r="AO42" s="120"/>
    </row>
    <row r="43" spans="1:41" s="121" customFormat="1" ht="16.5" customHeight="1">
      <c r="A43" s="104" t="s">
        <v>2134</v>
      </c>
      <c r="B43" s="105" t="s">
        <v>346</v>
      </c>
      <c r="C43" s="106" t="s">
        <v>327</v>
      </c>
      <c r="D43" s="106" t="s">
        <v>2415</v>
      </c>
      <c r="E43" s="71" t="s">
        <v>108</v>
      </c>
      <c r="F43" s="71" t="s">
        <v>78</v>
      </c>
      <c r="G43" s="109" t="s">
        <v>180</v>
      </c>
      <c r="H43" s="110">
        <v>0</v>
      </c>
      <c r="I43" s="112">
        <v>0</v>
      </c>
      <c r="J43" s="112">
        <v>52</v>
      </c>
      <c r="K43" s="113">
        <f t="shared" si="1"/>
        <v>52</v>
      </c>
      <c r="L43" s="112">
        <v>0.80111900000000003</v>
      </c>
      <c r="M43" s="111">
        <v>0.64601999999999993</v>
      </c>
      <c r="N43" s="112">
        <v>1.7426780000000002</v>
      </c>
      <c r="O43" s="111">
        <v>7.7239999999999989E-2</v>
      </c>
      <c r="P43" s="142">
        <v>3.2000000000000001E-2</v>
      </c>
      <c r="Q43" s="111">
        <v>8509</v>
      </c>
      <c r="R43" s="112"/>
      <c r="S43" s="112">
        <v>1718</v>
      </c>
      <c r="T43" s="111">
        <f t="shared" si="0"/>
        <v>1990</v>
      </c>
      <c r="U43" s="115">
        <v>0</v>
      </c>
      <c r="V43" s="144">
        <v>6.4978999999999995E-2</v>
      </c>
      <c r="W43" s="111">
        <v>0</v>
      </c>
      <c r="X43" s="113">
        <f t="shared" si="2"/>
        <v>1993.332036</v>
      </c>
      <c r="Y43" s="111">
        <v>0</v>
      </c>
      <c r="Z43" s="111">
        <v>0</v>
      </c>
      <c r="AA43" s="116">
        <v>0</v>
      </c>
      <c r="AB43" s="111">
        <v>0</v>
      </c>
      <c r="AC43" s="113">
        <f t="shared" si="3"/>
        <v>0</v>
      </c>
      <c r="AD43" s="111">
        <v>0</v>
      </c>
      <c r="AE43" s="111">
        <v>0</v>
      </c>
      <c r="AF43" s="112">
        <v>0</v>
      </c>
      <c r="AG43" s="117">
        <v>0</v>
      </c>
      <c r="AH43" s="111">
        <v>0</v>
      </c>
      <c r="AI43" s="112">
        <v>0</v>
      </c>
      <c r="AJ43" s="112">
        <v>0</v>
      </c>
      <c r="AK43" s="113">
        <f t="shared" si="4"/>
        <v>0</v>
      </c>
      <c r="AL43" s="118"/>
      <c r="AM43" s="119"/>
      <c r="AN43" s="119"/>
      <c r="AO43" s="120"/>
    </row>
    <row r="44" spans="1:41" s="121" customFormat="1" ht="16.5" customHeight="1">
      <c r="A44" s="104" t="s">
        <v>2134</v>
      </c>
      <c r="B44" s="105" t="s">
        <v>352</v>
      </c>
      <c r="C44" s="106" t="s">
        <v>330</v>
      </c>
      <c r="D44" s="106" t="s">
        <v>2415</v>
      </c>
      <c r="E44" s="71" t="s">
        <v>331</v>
      </c>
      <c r="F44" s="71" t="s">
        <v>78</v>
      </c>
      <c r="G44" s="109" t="s">
        <v>180</v>
      </c>
      <c r="H44" s="110">
        <v>0</v>
      </c>
      <c r="I44" s="112">
        <v>0</v>
      </c>
      <c r="J44" s="112">
        <v>0</v>
      </c>
      <c r="K44" s="113">
        <f t="shared" si="1"/>
        <v>0</v>
      </c>
      <c r="L44" s="111">
        <v>0.22755099999999998</v>
      </c>
      <c r="M44" s="111">
        <v>2.2518999999999997E-2</v>
      </c>
      <c r="N44" s="115">
        <v>0</v>
      </c>
      <c r="O44" s="111">
        <v>1.6500000000000001E-2</v>
      </c>
      <c r="P44" s="142">
        <v>3.2000000000000001E-2</v>
      </c>
      <c r="Q44" s="111">
        <v>8509</v>
      </c>
      <c r="R44" s="112"/>
      <c r="S44" s="112"/>
      <c r="T44" s="111">
        <f t="shared" si="0"/>
        <v>272</v>
      </c>
      <c r="U44" s="115">
        <v>0.57750000000000001</v>
      </c>
      <c r="V44" s="144">
        <v>3.0974000000000002E-2</v>
      </c>
      <c r="W44" s="111">
        <v>99.311000000000007</v>
      </c>
      <c r="X44" s="113">
        <f t="shared" si="2"/>
        <v>372.18604400000004</v>
      </c>
      <c r="Y44" s="111">
        <v>0</v>
      </c>
      <c r="Z44" s="111">
        <v>0</v>
      </c>
      <c r="AA44" s="116">
        <v>4.1E-5</v>
      </c>
      <c r="AB44" s="111">
        <v>9.931100000000001E-2</v>
      </c>
      <c r="AC44" s="113">
        <f t="shared" si="3"/>
        <v>9.935200000000001E-2</v>
      </c>
      <c r="AD44" s="111">
        <v>0</v>
      </c>
      <c r="AE44" s="111">
        <v>9.931100000000001E-2</v>
      </c>
      <c r="AF44" s="112">
        <v>0</v>
      </c>
      <c r="AG44" s="117">
        <v>0</v>
      </c>
      <c r="AH44" s="111">
        <v>0</v>
      </c>
      <c r="AI44" s="112">
        <v>0</v>
      </c>
      <c r="AJ44" s="112">
        <v>0</v>
      </c>
      <c r="AK44" s="113">
        <f t="shared" si="4"/>
        <v>9.931100000000001E-2</v>
      </c>
      <c r="AL44" s="118"/>
      <c r="AM44" s="119"/>
      <c r="AN44" s="119"/>
      <c r="AO44" s="120"/>
    </row>
    <row r="45" spans="1:41" s="121" customFormat="1" ht="16.5" customHeight="1">
      <c r="A45" s="104" t="s">
        <v>2134</v>
      </c>
      <c r="B45" s="105" t="s">
        <v>359</v>
      </c>
      <c r="C45" s="106" t="s">
        <v>335</v>
      </c>
      <c r="D45" s="106" t="s">
        <v>2415</v>
      </c>
      <c r="E45" s="71" t="s">
        <v>336</v>
      </c>
      <c r="F45" s="71" t="s">
        <v>78</v>
      </c>
      <c r="G45" s="109" t="s">
        <v>180</v>
      </c>
      <c r="H45" s="110">
        <v>0</v>
      </c>
      <c r="I45" s="112">
        <v>0</v>
      </c>
      <c r="J45" s="112">
        <v>31.2</v>
      </c>
      <c r="K45" s="113">
        <f t="shared" si="1"/>
        <v>31.2</v>
      </c>
      <c r="L45" s="111">
        <v>0.50920299999999996</v>
      </c>
      <c r="M45" s="111">
        <v>2.2519999999999998E-2</v>
      </c>
      <c r="N45" s="115">
        <v>0</v>
      </c>
      <c r="O45" s="111">
        <v>0.43339999999999995</v>
      </c>
      <c r="P45" s="142">
        <v>3.2000000000000001E-2</v>
      </c>
      <c r="Q45" s="111">
        <v>8509</v>
      </c>
      <c r="R45" s="112"/>
      <c r="S45" s="112"/>
      <c r="T45" s="111">
        <f t="shared" si="0"/>
        <v>272</v>
      </c>
      <c r="U45" s="115">
        <v>2.706</v>
      </c>
      <c r="V45" s="144">
        <v>2.4493999999999998E-2</v>
      </c>
      <c r="W45" s="111">
        <v>99.311000000000007</v>
      </c>
      <c r="X45" s="113">
        <f t="shared" si="2"/>
        <v>375.00661700000001</v>
      </c>
      <c r="Y45" s="111">
        <v>0</v>
      </c>
      <c r="Z45" s="111">
        <v>0</v>
      </c>
      <c r="AA45" s="116">
        <v>0.123375</v>
      </c>
      <c r="AB45" s="111">
        <v>9.931100000000001E-2</v>
      </c>
      <c r="AC45" s="113">
        <f t="shared" si="3"/>
        <v>0.222686</v>
      </c>
      <c r="AD45" s="111">
        <v>0</v>
      </c>
      <c r="AE45" s="111">
        <v>0.166016</v>
      </c>
      <c r="AF45" s="112">
        <v>0</v>
      </c>
      <c r="AG45" s="117">
        <v>0</v>
      </c>
      <c r="AH45" s="111">
        <v>0.12</v>
      </c>
      <c r="AI45" s="112">
        <v>0.01</v>
      </c>
      <c r="AJ45" s="112">
        <v>6.3310000000000007E-3</v>
      </c>
      <c r="AK45" s="113">
        <f t="shared" si="4"/>
        <v>0.30234699999999998</v>
      </c>
      <c r="AL45" s="118"/>
      <c r="AM45" s="119"/>
      <c r="AN45" s="119"/>
      <c r="AO45" s="120"/>
    </row>
    <row r="46" spans="1:41" s="121" customFormat="1" ht="16.5" customHeight="1">
      <c r="A46" s="104" t="s">
        <v>2134</v>
      </c>
      <c r="B46" s="105" t="s">
        <v>365</v>
      </c>
      <c r="C46" s="106" t="s">
        <v>341</v>
      </c>
      <c r="D46" s="106" t="s">
        <v>2415</v>
      </c>
      <c r="E46" s="71" t="s">
        <v>342</v>
      </c>
      <c r="F46" s="71" t="s">
        <v>78</v>
      </c>
      <c r="G46" s="109" t="s">
        <v>180</v>
      </c>
      <c r="H46" s="110">
        <v>0</v>
      </c>
      <c r="I46" s="112">
        <v>0</v>
      </c>
      <c r="J46" s="112">
        <v>69.8</v>
      </c>
      <c r="K46" s="113">
        <f t="shared" si="1"/>
        <v>69.8</v>
      </c>
      <c r="L46" s="111">
        <v>0.52990599999999999</v>
      </c>
      <c r="M46" s="111">
        <v>2.2519999999999998E-2</v>
      </c>
      <c r="N46" s="115">
        <v>0</v>
      </c>
      <c r="O46" s="111">
        <v>0.47078900000000001</v>
      </c>
      <c r="P46" s="142">
        <v>3.2000000000000001E-2</v>
      </c>
      <c r="Q46" s="111">
        <v>8509</v>
      </c>
      <c r="R46" s="112"/>
      <c r="S46" s="112"/>
      <c r="T46" s="111">
        <f t="shared" si="0"/>
        <v>272</v>
      </c>
      <c r="U46" s="115">
        <v>0</v>
      </c>
      <c r="V46" s="144">
        <v>4.5944000000000006E-2</v>
      </c>
      <c r="W46" s="111">
        <v>99.311000000000007</v>
      </c>
      <c r="X46" s="113">
        <f t="shared" si="2"/>
        <v>372.38015900000005</v>
      </c>
      <c r="Y46" s="111">
        <v>0</v>
      </c>
      <c r="Z46" s="111">
        <v>0</v>
      </c>
      <c r="AA46" s="116">
        <v>7.5903999999999999E-2</v>
      </c>
      <c r="AB46" s="111">
        <v>9.931100000000001E-2</v>
      </c>
      <c r="AC46" s="113">
        <f t="shared" si="3"/>
        <v>0.17521500000000001</v>
      </c>
      <c r="AD46" s="111">
        <v>0</v>
      </c>
      <c r="AE46" s="111">
        <v>7.4942999999999996E-2</v>
      </c>
      <c r="AF46" s="112">
        <v>0</v>
      </c>
      <c r="AG46" s="117">
        <v>0</v>
      </c>
      <c r="AH46" s="111">
        <v>0.108</v>
      </c>
      <c r="AI46" s="112">
        <v>4.3299999999999996E-3</v>
      </c>
      <c r="AJ46" s="112">
        <v>1.0711E-2</v>
      </c>
      <c r="AK46" s="113">
        <f t="shared" si="4"/>
        <v>0.19798399999999999</v>
      </c>
      <c r="AL46" s="118"/>
      <c r="AM46" s="119"/>
      <c r="AN46" s="119"/>
      <c r="AO46" s="120"/>
    </row>
    <row r="47" spans="1:41" s="121" customFormat="1" ht="16.5" customHeight="1">
      <c r="A47" s="104" t="s">
        <v>2134</v>
      </c>
      <c r="B47" s="105" t="s">
        <v>372</v>
      </c>
      <c r="C47" s="106" t="s">
        <v>347</v>
      </c>
      <c r="D47" s="106" t="s">
        <v>2415</v>
      </c>
      <c r="E47" s="71" t="s">
        <v>348</v>
      </c>
      <c r="F47" s="71" t="s">
        <v>78</v>
      </c>
      <c r="G47" s="109" t="s">
        <v>180</v>
      </c>
      <c r="H47" s="110">
        <v>0</v>
      </c>
      <c r="I47" s="112">
        <v>0</v>
      </c>
      <c r="J47" s="112">
        <v>142.19999999999999</v>
      </c>
      <c r="K47" s="113">
        <f t="shared" si="1"/>
        <v>142.19999999999999</v>
      </c>
      <c r="L47" s="111">
        <v>0.18132699999999999</v>
      </c>
      <c r="M47" s="111">
        <v>2.2518999999999997E-2</v>
      </c>
      <c r="N47" s="115">
        <v>0</v>
      </c>
      <c r="O47" s="111">
        <v>8.1639999999999994E-3</v>
      </c>
      <c r="P47" s="142">
        <v>3.2000000000000001E-2</v>
      </c>
      <c r="Q47" s="111">
        <v>8509</v>
      </c>
      <c r="R47" s="112"/>
      <c r="S47" s="112"/>
      <c r="T47" s="111">
        <f t="shared" si="0"/>
        <v>272</v>
      </c>
      <c r="U47" s="115">
        <v>0</v>
      </c>
      <c r="V47" s="144">
        <v>2.4493999999999998E-2</v>
      </c>
      <c r="W47" s="111">
        <v>99.311000000000007</v>
      </c>
      <c r="X47" s="113">
        <f t="shared" si="2"/>
        <v>371.547504</v>
      </c>
      <c r="Y47" s="111">
        <v>0</v>
      </c>
      <c r="Z47" s="111">
        <v>0</v>
      </c>
      <c r="AA47" s="116">
        <v>0.23700399999999999</v>
      </c>
      <c r="AB47" s="111">
        <v>9.931100000000001E-2</v>
      </c>
      <c r="AC47" s="113">
        <f t="shared" si="3"/>
        <v>0.33631500000000003</v>
      </c>
      <c r="AD47" s="111">
        <v>0</v>
      </c>
      <c r="AE47" s="111">
        <v>0.108072</v>
      </c>
      <c r="AF47" s="112">
        <v>0</v>
      </c>
      <c r="AG47" s="117">
        <v>0</v>
      </c>
      <c r="AH47" s="111">
        <v>0.15</v>
      </c>
      <c r="AI47" s="112">
        <v>0.01</v>
      </c>
      <c r="AJ47" s="112">
        <v>2.5400000000000002E-3</v>
      </c>
      <c r="AK47" s="113">
        <f t="shared" si="4"/>
        <v>0.27061199999999996</v>
      </c>
      <c r="AL47" s="118"/>
      <c r="AM47" s="119"/>
      <c r="AN47" s="119"/>
      <c r="AO47" s="120"/>
    </row>
    <row r="48" spans="1:41" s="121" customFormat="1" ht="16.5" customHeight="1">
      <c r="A48" s="104" t="s">
        <v>2134</v>
      </c>
      <c r="B48" s="105" t="s">
        <v>379</v>
      </c>
      <c r="C48" s="106" t="s">
        <v>353</v>
      </c>
      <c r="D48" s="106" t="s">
        <v>2415</v>
      </c>
      <c r="E48" s="71" t="s">
        <v>354</v>
      </c>
      <c r="F48" s="71" t="s">
        <v>78</v>
      </c>
      <c r="G48" s="109" t="s">
        <v>180</v>
      </c>
      <c r="H48" s="110">
        <v>0</v>
      </c>
      <c r="I48" s="112">
        <v>0</v>
      </c>
      <c r="J48" s="112">
        <v>107.2</v>
      </c>
      <c r="K48" s="113">
        <f t="shared" si="1"/>
        <v>107.2</v>
      </c>
      <c r="L48" s="111">
        <v>0.256301</v>
      </c>
      <c r="M48" s="111">
        <v>2.2518999999999997E-2</v>
      </c>
      <c r="N48" s="115">
        <v>0</v>
      </c>
      <c r="O48" s="111">
        <v>0</v>
      </c>
      <c r="P48" s="142">
        <v>3.2000000000000001E-2</v>
      </c>
      <c r="Q48" s="111">
        <v>8509</v>
      </c>
      <c r="R48" s="112"/>
      <c r="S48" s="112"/>
      <c r="T48" s="111">
        <f t="shared" si="0"/>
        <v>272</v>
      </c>
      <c r="U48" s="115">
        <v>0</v>
      </c>
      <c r="V48" s="144">
        <v>1.8013000000000001E-2</v>
      </c>
      <c r="W48" s="111">
        <v>99.311000000000007</v>
      </c>
      <c r="X48" s="113">
        <f t="shared" si="2"/>
        <v>371.60783300000003</v>
      </c>
      <c r="Y48" s="111">
        <v>0</v>
      </c>
      <c r="Z48" s="111">
        <v>0</v>
      </c>
      <c r="AA48" s="116">
        <v>1.9199999999999998E-2</v>
      </c>
      <c r="AB48" s="111">
        <v>9.931100000000001E-2</v>
      </c>
      <c r="AC48" s="113">
        <f t="shared" si="3"/>
        <v>0.11851100000000001</v>
      </c>
      <c r="AD48" s="111">
        <v>0</v>
      </c>
      <c r="AE48" s="111">
        <v>0</v>
      </c>
      <c r="AF48" s="112">
        <v>0</v>
      </c>
      <c r="AG48" s="117">
        <v>0</v>
      </c>
      <c r="AH48" s="111">
        <v>0</v>
      </c>
      <c r="AI48" s="112">
        <v>0.01</v>
      </c>
      <c r="AJ48" s="112">
        <v>0.103809</v>
      </c>
      <c r="AK48" s="113">
        <f t="shared" si="4"/>
        <v>0.11380899999999999</v>
      </c>
      <c r="AL48" s="118"/>
      <c r="AM48" s="119"/>
      <c r="AN48" s="119"/>
      <c r="AO48" s="120"/>
    </row>
    <row r="49" spans="1:41" s="121" customFormat="1" ht="16.5" customHeight="1">
      <c r="A49" s="104" t="s">
        <v>2134</v>
      </c>
      <c r="B49" s="105" t="s">
        <v>385</v>
      </c>
      <c r="C49" s="106" t="s">
        <v>360</v>
      </c>
      <c r="D49" s="106" t="s">
        <v>2415</v>
      </c>
      <c r="E49" s="71" t="s">
        <v>361</v>
      </c>
      <c r="F49" s="71" t="s">
        <v>78</v>
      </c>
      <c r="G49" s="109" t="s">
        <v>180</v>
      </c>
      <c r="H49" s="110">
        <v>0</v>
      </c>
      <c r="I49" s="112">
        <v>0</v>
      </c>
      <c r="J49" s="112">
        <v>71.599999999999994</v>
      </c>
      <c r="K49" s="113">
        <f t="shared" si="1"/>
        <v>71.599999999999994</v>
      </c>
      <c r="L49" s="111">
        <v>0</v>
      </c>
      <c r="M49" s="111">
        <v>0</v>
      </c>
      <c r="N49" s="115">
        <v>0</v>
      </c>
      <c r="O49" s="111">
        <v>0.10184</v>
      </c>
      <c r="P49" s="142"/>
      <c r="Q49" s="111">
        <v>8509</v>
      </c>
      <c r="R49" s="112"/>
      <c r="S49" s="112"/>
      <c r="T49" s="111">
        <f t="shared" si="0"/>
        <v>0</v>
      </c>
      <c r="U49" s="115">
        <v>0</v>
      </c>
      <c r="V49" s="144">
        <v>0</v>
      </c>
      <c r="W49" s="111">
        <v>16561.883000000002</v>
      </c>
      <c r="X49" s="113">
        <f t="shared" si="2"/>
        <v>16561.984840000001</v>
      </c>
      <c r="Y49" s="111">
        <v>0</v>
      </c>
      <c r="Z49" s="111">
        <v>0</v>
      </c>
      <c r="AA49" s="116">
        <v>0</v>
      </c>
      <c r="AB49" s="111">
        <v>16.561883000000002</v>
      </c>
      <c r="AC49" s="113">
        <f t="shared" si="3"/>
        <v>16.561883000000002</v>
      </c>
      <c r="AD49" s="111">
        <v>2.5601280000000002</v>
      </c>
      <c r="AE49" s="111">
        <v>1.475398</v>
      </c>
      <c r="AF49" s="112">
        <v>0</v>
      </c>
      <c r="AG49" s="117">
        <v>4.9894000000000001E-2</v>
      </c>
      <c r="AH49" s="111">
        <v>11.148001000000001</v>
      </c>
      <c r="AI49" s="112">
        <v>0.44653799999999999</v>
      </c>
      <c r="AJ49" s="112">
        <v>0.68290200000000001</v>
      </c>
      <c r="AK49" s="113">
        <f t="shared" si="4"/>
        <v>16.362860999999999</v>
      </c>
      <c r="AL49" s="118"/>
      <c r="AM49" s="119"/>
      <c r="AN49" s="119"/>
      <c r="AO49" s="120"/>
    </row>
    <row r="50" spans="1:41" s="121" customFormat="1" ht="16.5" customHeight="1">
      <c r="A50" s="104" t="s">
        <v>2134</v>
      </c>
      <c r="B50" s="105" t="s">
        <v>392</v>
      </c>
      <c r="C50" s="106" t="s">
        <v>366</v>
      </c>
      <c r="D50" s="106" t="s">
        <v>2415</v>
      </c>
      <c r="E50" s="71" t="s">
        <v>367</v>
      </c>
      <c r="F50" s="71" t="s">
        <v>78</v>
      </c>
      <c r="G50" s="109" t="s">
        <v>180</v>
      </c>
      <c r="H50" s="110">
        <v>0</v>
      </c>
      <c r="I50" s="112">
        <v>0</v>
      </c>
      <c r="J50" s="112">
        <v>1.8</v>
      </c>
      <c r="K50" s="113">
        <f t="shared" si="1"/>
        <v>1.8</v>
      </c>
      <c r="L50" s="111">
        <v>0.32792399999999999</v>
      </c>
      <c r="M50" s="111">
        <v>2.2518999999999997E-2</v>
      </c>
      <c r="N50" s="115">
        <v>0</v>
      </c>
      <c r="O50" s="111">
        <v>5.5E-2</v>
      </c>
      <c r="P50" s="142">
        <v>3.2000000000000001E-2</v>
      </c>
      <c r="Q50" s="111">
        <v>8509</v>
      </c>
      <c r="R50" s="112"/>
      <c r="S50" s="112"/>
      <c r="T50" s="111">
        <f t="shared" si="0"/>
        <v>272</v>
      </c>
      <c r="U50" s="115">
        <v>0</v>
      </c>
      <c r="V50" s="144">
        <v>1.8013999999999999E-2</v>
      </c>
      <c r="W50" s="111">
        <v>99.311000000000007</v>
      </c>
      <c r="X50" s="113">
        <f t="shared" si="2"/>
        <v>371.73445700000002</v>
      </c>
      <c r="Y50" s="111">
        <v>0</v>
      </c>
      <c r="Z50" s="111">
        <v>0</v>
      </c>
      <c r="AA50" s="116">
        <v>1.4E-3</v>
      </c>
      <c r="AB50" s="111">
        <v>9.931100000000001E-2</v>
      </c>
      <c r="AC50" s="113">
        <f t="shared" si="3"/>
        <v>0.10071100000000001</v>
      </c>
      <c r="AD50" s="111">
        <v>0</v>
      </c>
      <c r="AE50" s="111">
        <v>0.03</v>
      </c>
      <c r="AF50" s="112">
        <v>0</v>
      </c>
      <c r="AG50" s="117">
        <v>0</v>
      </c>
      <c r="AH50" s="111">
        <v>0</v>
      </c>
      <c r="AI50" s="112">
        <v>4.0000000000000001E-3</v>
      </c>
      <c r="AJ50" s="112">
        <v>6.5408000000000008E-2</v>
      </c>
      <c r="AK50" s="113">
        <f t="shared" si="4"/>
        <v>9.940800000000001E-2</v>
      </c>
      <c r="AL50" s="118"/>
      <c r="AM50" s="119"/>
      <c r="AN50" s="119"/>
      <c r="AO50" s="120"/>
    </row>
    <row r="51" spans="1:41" s="121" customFormat="1" ht="16.5" customHeight="1">
      <c r="A51" s="104" t="s">
        <v>2134</v>
      </c>
      <c r="B51" s="105" t="s">
        <v>399</v>
      </c>
      <c r="C51" s="106" t="s">
        <v>373</v>
      </c>
      <c r="D51" s="106" t="s">
        <v>2415</v>
      </c>
      <c r="E51" s="71" t="s">
        <v>374</v>
      </c>
      <c r="F51" s="71" t="s">
        <v>78</v>
      </c>
      <c r="G51" s="109" t="s">
        <v>180</v>
      </c>
      <c r="H51" s="110">
        <v>0</v>
      </c>
      <c r="I51" s="112">
        <v>0</v>
      </c>
      <c r="J51" s="112">
        <v>0.2</v>
      </c>
      <c r="K51" s="113">
        <f t="shared" si="1"/>
        <v>0.2</v>
      </c>
      <c r="L51" s="111">
        <v>0.33175399999999999</v>
      </c>
      <c r="M51" s="111">
        <v>0.22134399999999999</v>
      </c>
      <c r="N51" s="115">
        <v>0</v>
      </c>
      <c r="O51" s="111">
        <v>8.3159999999999998E-2</v>
      </c>
      <c r="P51" s="142">
        <v>3.2000000000000001E-2</v>
      </c>
      <c r="Q51" s="111">
        <v>8509</v>
      </c>
      <c r="R51" s="112"/>
      <c r="S51" s="112"/>
      <c r="T51" s="111">
        <f t="shared" si="0"/>
        <v>272</v>
      </c>
      <c r="U51" s="115">
        <v>0</v>
      </c>
      <c r="V51" s="144">
        <v>3.7454000000000001E-2</v>
      </c>
      <c r="W51" s="111">
        <v>99.311000000000007</v>
      </c>
      <c r="X51" s="113">
        <f t="shared" si="2"/>
        <v>371.98471200000006</v>
      </c>
      <c r="Y51" s="111">
        <v>0</v>
      </c>
      <c r="Z51" s="111">
        <v>0</v>
      </c>
      <c r="AA51" s="116">
        <v>0</v>
      </c>
      <c r="AB51" s="111">
        <v>9.931100000000001E-2</v>
      </c>
      <c r="AC51" s="113">
        <f t="shared" si="3"/>
        <v>9.931100000000001E-2</v>
      </c>
      <c r="AD51" s="111">
        <v>0</v>
      </c>
      <c r="AE51" s="111">
        <v>0</v>
      </c>
      <c r="AF51" s="112">
        <v>0</v>
      </c>
      <c r="AG51" s="117">
        <v>0</v>
      </c>
      <c r="AH51" s="111">
        <v>0</v>
      </c>
      <c r="AI51" s="112">
        <v>0</v>
      </c>
      <c r="AJ51" s="112">
        <v>0</v>
      </c>
      <c r="AK51" s="113">
        <f t="shared" si="4"/>
        <v>0</v>
      </c>
      <c r="AL51" s="118"/>
      <c r="AM51" s="119"/>
      <c r="AN51" s="119"/>
      <c r="AO51" s="120"/>
    </row>
    <row r="52" spans="1:41" s="121" customFormat="1" ht="16.5" customHeight="1">
      <c r="A52" s="104" t="s">
        <v>2134</v>
      </c>
      <c r="B52" s="105" t="s">
        <v>405</v>
      </c>
      <c r="C52" s="106" t="s">
        <v>380</v>
      </c>
      <c r="D52" s="106" t="s">
        <v>2415</v>
      </c>
      <c r="E52" s="71" t="s">
        <v>381</v>
      </c>
      <c r="F52" s="71" t="s">
        <v>78</v>
      </c>
      <c r="G52" s="109" t="s">
        <v>180</v>
      </c>
      <c r="H52" s="110">
        <v>0</v>
      </c>
      <c r="I52" s="112">
        <v>0</v>
      </c>
      <c r="J52" s="112">
        <v>11.047000000000001</v>
      </c>
      <c r="K52" s="113">
        <f t="shared" si="1"/>
        <v>11.047000000000001</v>
      </c>
      <c r="L52" s="111">
        <v>0.26159699999999997</v>
      </c>
      <c r="M52" s="111">
        <v>2.2518999999999997E-2</v>
      </c>
      <c r="N52" s="115">
        <v>0</v>
      </c>
      <c r="O52" s="111">
        <v>0</v>
      </c>
      <c r="P52" s="142">
        <v>3.2000000000000001E-2</v>
      </c>
      <c r="Q52" s="111">
        <v>8509</v>
      </c>
      <c r="R52" s="112"/>
      <c r="S52" s="112"/>
      <c r="T52" s="111">
        <f t="shared" si="0"/>
        <v>272</v>
      </c>
      <c r="U52" s="115">
        <v>0</v>
      </c>
      <c r="V52" s="144">
        <v>2.4493999999999998E-2</v>
      </c>
      <c r="W52" s="111">
        <v>99.311000000000007</v>
      </c>
      <c r="X52" s="113">
        <f t="shared" si="2"/>
        <v>371.61960999999997</v>
      </c>
      <c r="Y52" s="111">
        <v>0</v>
      </c>
      <c r="Z52" s="111">
        <v>0</v>
      </c>
      <c r="AA52" s="116">
        <v>0.68900300000000003</v>
      </c>
      <c r="AB52" s="111">
        <v>9.931100000000001E-2</v>
      </c>
      <c r="AC52" s="113">
        <f t="shared" si="3"/>
        <v>0.78831400000000007</v>
      </c>
      <c r="AD52" s="111">
        <v>0</v>
      </c>
      <c r="AE52" s="111">
        <v>0</v>
      </c>
      <c r="AF52" s="112">
        <v>0</v>
      </c>
      <c r="AG52" s="117">
        <v>0</v>
      </c>
      <c r="AH52" s="111">
        <v>0.66</v>
      </c>
      <c r="AI52" s="112">
        <v>4.0000000000000001E-3</v>
      </c>
      <c r="AJ52" s="112">
        <v>0.12431399999999999</v>
      </c>
      <c r="AK52" s="113">
        <f t="shared" si="4"/>
        <v>0.78831400000000007</v>
      </c>
      <c r="AL52" s="118"/>
      <c r="AM52" s="119"/>
      <c r="AN52" s="119"/>
      <c r="AO52" s="120"/>
    </row>
    <row r="53" spans="1:41" s="121" customFormat="1" ht="16.5" customHeight="1">
      <c r="A53" s="104" t="s">
        <v>2134</v>
      </c>
      <c r="B53" s="105" t="s">
        <v>410</v>
      </c>
      <c r="C53" s="106" t="s">
        <v>386</v>
      </c>
      <c r="D53" s="106" t="s">
        <v>2415</v>
      </c>
      <c r="E53" s="71" t="s">
        <v>387</v>
      </c>
      <c r="F53" s="71" t="s">
        <v>78</v>
      </c>
      <c r="G53" s="109" t="s">
        <v>180</v>
      </c>
      <c r="H53" s="110">
        <v>0</v>
      </c>
      <c r="I53" s="112">
        <v>0</v>
      </c>
      <c r="J53" s="112">
        <v>1509.1</v>
      </c>
      <c r="K53" s="113">
        <f t="shared" si="1"/>
        <v>1509.1</v>
      </c>
      <c r="L53" s="111">
        <v>0.52562900000000001</v>
      </c>
      <c r="M53" s="111">
        <v>2.2519999999999998E-2</v>
      </c>
      <c r="N53" s="115">
        <v>0</v>
      </c>
      <c r="O53" s="111">
        <v>4.8399999999999999E-2</v>
      </c>
      <c r="P53" s="142">
        <v>3.2000000000000001E-2</v>
      </c>
      <c r="Q53" s="111">
        <v>8509</v>
      </c>
      <c r="R53" s="112"/>
      <c r="S53" s="112"/>
      <c r="T53" s="111">
        <f t="shared" si="0"/>
        <v>272</v>
      </c>
      <c r="U53" s="115">
        <v>0</v>
      </c>
      <c r="V53" s="144">
        <v>3.7454000000000001E-2</v>
      </c>
      <c r="W53" s="111">
        <v>99.311000000000007</v>
      </c>
      <c r="X53" s="113">
        <f t="shared" si="2"/>
        <v>371.94500300000004</v>
      </c>
      <c r="Y53" s="111">
        <v>0</v>
      </c>
      <c r="Z53" s="111">
        <v>0</v>
      </c>
      <c r="AA53" s="116">
        <v>6.0090000000000005E-3</v>
      </c>
      <c r="AB53" s="111">
        <v>9.931100000000001E-2</v>
      </c>
      <c r="AC53" s="113">
        <f t="shared" si="3"/>
        <v>0.10532000000000001</v>
      </c>
      <c r="AD53" s="111">
        <v>0</v>
      </c>
      <c r="AE53" s="111">
        <v>4.8000000000000001E-2</v>
      </c>
      <c r="AF53" s="112">
        <v>0</v>
      </c>
      <c r="AG53" s="117">
        <v>0</v>
      </c>
      <c r="AH53" s="111">
        <v>0</v>
      </c>
      <c r="AI53" s="112">
        <v>4.0000000000000001E-3</v>
      </c>
      <c r="AJ53" s="112">
        <v>2.9611999999999999E-2</v>
      </c>
      <c r="AK53" s="113">
        <f t="shared" si="4"/>
        <v>8.1612000000000004E-2</v>
      </c>
      <c r="AL53" s="118"/>
      <c r="AM53" s="119"/>
      <c r="AN53" s="119"/>
      <c r="AO53" s="120"/>
    </row>
    <row r="54" spans="1:41" s="121" customFormat="1" ht="16.5" customHeight="1">
      <c r="A54" s="104" t="s">
        <v>2134</v>
      </c>
      <c r="B54" s="105" t="s">
        <v>416</v>
      </c>
      <c r="C54" s="106" t="s">
        <v>393</v>
      </c>
      <c r="D54" s="106" t="s">
        <v>2415</v>
      </c>
      <c r="E54" s="71" t="s">
        <v>394</v>
      </c>
      <c r="F54" s="71" t="s">
        <v>78</v>
      </c>
      <c r="G54" s="109" t="s">
        <v>180</v>
      </c>
      <c r="H54" s="110">
        <v>0</v>
      </c>
      <c r="I54" s="112">
        <v>0</v>
      </c>
      <c r="J54" s="112">
        <v>935.39800000000002</v>
      </c>
      <c r="K54" s="113">
        <f t="shared" si="1"/>
        <v>935.39800000000002</v>
      </c>
      <c r="L54" s="111">
        <v>0.41559500000000005</v>
      </c>
      <c r="M54" s="111">
        <v>2.2519999999999998E-2</v>
      </c>
      <c r="N54" s="115">
        <v>0</v>
      </c>
      <c r="O54" s="111">
        <v>0.20548</v>
      </c>
      <c r="P54" s="142">
        <v>3.2000000000000001E-2</v>
      </c>
      <c r="Q54" s="111">
        <v>8509</v>
      </c>
      <c r="R54" s="112"/>
      <c r="S54" s="112"/>
      <c r="T54" s="111">
        <f t="shared" si="0"/>
        <v>272</v>
      </c>
      <c r="U54" s="115">
        <v>0</v>
      </c>
      <c r="V54" s="144">
        <v>1.8013999999999999E-2</v>
      </c>
      <c r="W54" s="111">
        <v>99.311000000000007</v>
      </c>
      <c r="X54" s="113">
        <f t="shared" si="2"/>
        <v>371.97260900000003</v>
      </c>
      <c r="Y54" s="111">
        <v>0</v>
      </c>
      <c r="Z54" s="111">
        <v>0</v>
      </c>
      <c r="AA54" s="116">
        <v>0.11540099999999999</v>
      </c>
      <c r="AB54" s="111">
        <v>9.931100000000001E-2</v>
      </c>
      <c r="AC54" s="113">
        <f t="shared" si="3"/>
        <v>0.21471200000000001</v>
      </c>
      <c r="AD54" s="111">
        <v>2.8000000000000001E-2</v>
      </c>
      <c r="AE54" s="111">
        <v>0.05</v>
      </c>
      <c r="AF54" s="112">
        <v>0</v>
      </c>
      <c r="AG54" s="117">
        <v>0</v>
      </c>
      <c r="AH54" s="111">
        <v>5.5E-2</v>
      </c>
      <c r="AI54" s="112">
        <v>0.01</v>
      </c>
      <c r="AJ54" s="112">
        <v>2.9790000000000001E-2</v>
      </c>
      <c r="AK54" s="113">
        <f t="shared" si="4"/>
        <v>0.17279000000000003</v>
      </c>
      <c r="AL54" s="118"/>
      <c r="AM54" s="119"/>
      <c r="AN54" s="119"/>
      <c r="AO54" s="120"/>
    </row>
    <row r="55" spans="1:41" s="121" customFormat="1" ht="16.5" customHeight="1">
      <c r="A55" s="104" t="s">
        <v>2134</v>
      </c>
      <c r="B55" s="105" t="s">
        <v>423</v>
      </c>
      <c r="C55" s="106" t="s">
        <v>400</v>
      </c>
      <c r="D55" s="106" t="s">
        <v>2415</v>
      </c>
      <c r="E55" s="71" t="s">
        <v>401</v>
      </c>
      <c r="F55" s="71" t="s">
        <v>78</v>
      </c>
      <c r="G55" s="109" t="s">
        <v>180</v>
      </c>
      <c r="H55" s="110">
        <v>0</v>
      </c>
      <c r="I55" s="112">
        <v>0</v>
      </c>
      <c r="J55" s="112">
        <v>0</v>
      </c>
      <c r="K55" s="113">
        <f t="shared" si="1"/>
        <v>0</v>
      </c>
      <c r="L55" s="111">
        <v>0.14428299999999999</v>
      </c>
      <c r="M55" s="111">
        <v>2.2518999999999997E-2</v>
      </c>
      <c r="N55" s="115">
        <v>0</v>
      </c>
      <c r="O55" s="111">
        <v>0.1123</v>
      </c>
      <c r="P55" s="142">
        <v>3.2000000000000001E-2</v>
      </c>
      <c r="Q55" s="111">
        <v>8509</v>
      </c>
      <c r="R55" s="112"/>
      <c r="S55" s="112"/>
      <c r="T55" s="111">
        <f t="shared" si="0"/>
        <v>272</v>
      </c>
      <c r="U55" s="115">
        <v>0</v>
      </c>
      <c r="V55" s="144">
        <v>1.8013999999999999E-2</v>
      </c>
      <c r="W55" s="111">
        <v>99.311000000000007</v>
      </c>
      <c r="X55" s="113">
        <f t="shared" si="2"/>
        <v>371.608116</v>
      </c>
      <c r="Y55" s="111">
        <v>0</v>
      </c>
      <c r="Z55" s="111">
        <v>0</v>
      </c>
      <c r="AA55" s="116">
        <v>5.0000000000000004E-6</v>
      </c>
      <c r="AB55" s="111">
        <v>9.931100000000001E-2</v>
      </c>
      <c r="AC55" s="113">
        <f t="shared" si="3"/>
        <v>9.9316000000000015E-2</v>
      </c>
      <c r="AD55" s="111">
        <v>0</v>
      </c>
      <c r="AE55" s="111">
        <v>0</v>
      </c>
      <c r="AF55" s="112">
        <v>0</v>
      </c>
      <c r="AG55" s="117">
        <v>0</v>
      </c>
      <c r="AH55" s="111">
        <v>5.1999999999999998E-2</v>
      </c>
      <c r="AI55" s="112">
        <v>0</v>
      </c>
      <c r="AJ55" s="112">
        <v>2.921E-2</v>
      </c>
      <c r="AK55" s="113">
        <f t="shared" si="4"/>
        <v>8.1210000000000004E-2</v>
      </c>
      <c r="AL55" s="118"/>
      <c r="AM55" s="119"/>
      <c r="AN55" s="119"/>
      <c r="AO55" s="120"/>
    </row>
    <row r="56" spans="1:41" s="121" customFormat="1" ht="16.5" customHeight="1">
      <c r="A56" s="104" t="s">
        <v>2134</v>
      </c>
      <c r="B56" s="105" t="s">
        <v>429</v>
      </c>
      <c r="C56" s="106" t="s">
        <v>406</v>
      </c>
      <c r="D56" s="106" t="s">
        <v>2415</v>
      </c>
      <c r="E56" s="71" t="s">
        <v>407</v>
      </c>
      <c r="F56" s="71" t="s">
        <v>78</v>
      </c>
      <c r="G56" s="109" t="s">
        <v>180</v>
      </c>
      <c r="H56" s="110">
        <v>0</v>
      </c>
      <c r="I56" s="112">
        <v>0</v>
      </c>
      <c r="J56" s="112">
        <v>0</v>
      </c>
      <c r="K56" s="113">
        <f t="shared" si="1"/>
        <v>0</v>
      </c>
      <c r="L56" s="111">
        <v>0.13769200000000001</v>
      </c>
      <c r="M56" s="111">
        <v>2.2518999999999997E-2</v>
      </c>
      <c r="N56" s="115">
        <v>0</v>
      </c>
      <c r="O56" s="111">
        <v>0.17599999999999999</v>
      </c>
      <c r="P56" s="142">
        <v>3.2000000000000001E-2</v>
      </c>
      <c r="Q56" s="111">
        <v>8509</v>
      </c>
      <c r="R56" s="112"/>
      <c r="S56" s="112"/>
      <c r="T56" s="111">
        <f t="shared" si="0"/>
        <v>272</v>
      </c>
      <c r="U56" s="115">
        <v>0.71755199999999997</v>
      </c>
      <c r="V56" s="144">
        <v>1.8013999999999999E-2</v>
      </c>
      <c r="W56" s="111">
        <v>99.311000000000007</v>
      </c>
      <c r="X56" s="113">
        <f t="shared" si="2"/>
        <v>372.38277700000003</v>
      </c>
      <c r="Y56" s="111">
        <v>0</v>
      </c>
      <c r="Z56" s="111">
        <v>0</v>
      </c>
      <c r="AA56" s="116">
        <v>0</v>
      </c>
      <c r="AB56" s="111">
        <v>9.931100000000001E-2</v>
      </c>
      <c r="AC56" s="113">
        <f t="shared" si="3"/>
        <v>9.931100000000001E-2</v>
      </c>
      <c r="AD56" s="111">
        <v>0</v>
      </c>
      <c r="AE56" s="111">
        <v>8.0999999999999996E-3</v>
      </c>
      <c r="AF56" s="112">
        <v>0</v>
      </c>
      <c r="AG56" s="117">
        <v>0</v>
      </c>
      <c r="AH56" s="111">
        <v>0</v>
      </c>
      <c r="AI56" s="112">
        <v>0</v>
      </c>
      <c r="AJ56" s="112">
        <v>3.5299999999999998E-2</v>
      </c>
      <c r="AK56" s="113">
        <f t="shared" si="4"/>
        <v>4.3399999999999994E-2</v>
      </c>
      <c r="AL56" s="118"/>
      <c r="AM56" s="119"/>
      <c r="AN56" s="119"/>
      <c r="AO56" s="120"/>
    </row>
    <row r="57" spans="1:41" s="121" customFormat="1" ht="16.5" customHeight="1">
      <c r="A57" s="104" t="s">
        <v>2134</v>
      </c>
      <c r="B57" s="105" t="s">
        <v>438</v>
      </c>
      <c r="C57" s="106" t="s">
        <v>411</v>
      </c>
      <c r="D57" s="106" t="s">
        <v>2415</v>
      </c>
      <c r="E57" s="71" t="s">
        <v>412</v>
      </c>
      <c r="F57" s="71" t="s">
        <v>78</v>
      </c>
      <c r="G57" s="109" t="s">
        <v>180</v>
      </c>
      <c r="H57" s="110">
        <v>0</v>
      </c>
      <c r="I57" s="112">
        <v>0</v>
      </c>
      <c r="J57" s="112">
        <v>0</v>
      </c>
      <c r="K57" s="113">
        <f t="shared" si="1"/>
        <v>0</v>
      </c>
      <c r="L57" s="111">
        <v>0.23448099999999999</v>
      </c>
      <c r="M57" s="111">
        <v>2.2518999999999997E-2</v>
      </c>
      <c r="N57" s="115">
        <v>0</v>
      </c>
      <c r="O57" s="111">
        <v>0</v>
      </c>
      <c r="P57" s="142">
        <v>3.2000000000000001E-2</v>
      </c>
      <c r="Q57" s="111">
        <v>8509</v>
      </c>
      <c r="R57" s="112"/>
      <c r="S57" s="112"/>
      <c r="T57" s="111">
        <f t="shared" si="0"/>
        <v>272</v>
      </c>
      <c r="U57" s="115">
        <v>0</v>
      </c>
      <c r="V57" s="144">
        <v>2.4493999999999998E-2</v>
      </c>
      <c r="W57" s="111">
        <v>99.311000000000007</v>
      </c>
      <c r="X57" s="113">
        <f t="shared" si="2"/>
        <v>371.59249399999999</v>
      </c>
      <c r="Y57" s="111">
        <v>0</v>
      </c>
      <c r="Z57" s="111">
        <v>0</v>
      </c>
      <c r="AA57" s="116">
        <v>0</v>
      </c>
      <c r="AB57" s="111">
        <v>9.931100000000001E-2</v>
      </c>
      <c r="AC57" s="113">
        <f t="shared" si="3"/>
        <v>9.931100000000001E-2</v>
      </c>
      <c r="AD57" s="111">
        <v>0</v>
      </c>
      <c r="AE57" s="111">
        <v>0</v>
      </c>
      <c r="AF57" s="112">
        <v>0</v>
      </c>
      <c r="AG57" s="117">
        <v>0</v>
      </c>
      <c r="AH57" s="111">
        <v>0</v>
      </c>
      <c r="AI57" s="112">
        <v>4.0000000000000001E-3</v>
      </c>
      <c r="AJ57" s="112">
        <v>4.4143000000000002E-2</v>
      </c>
      <c r="AK57" s="113">
        <f t="shared" si="4"/>
        <v>4.8143000000000005E-2</v>
      </c>
      <c r="AL57" s="118"/>
      <c r="AM57" s="119"/>
      <c r="AN57" s="119"/>
      <c r="AO57" s="120"/>
    </row>
    <row r="58" spans="1:41" s="121" customFormat="1" ht="16.5" customHeight="1">
      <c r="A58" s="104" t="s">
        <v>2134</v>
      </c>
      <c r="B58" s="105" t="s">
        <v>446</v>
      </c>
      <c r="C58" s="106" t="s">
        <v>417</v>
      </c>
      <c r="D58" s="106" t="s">
        <v>2415</v>
      </c>
      <c r="E58" s="71" t="s">
        <v>418</v>
      </c>
      <c r="F58" s="71" t="s">
        <v>78</v>
      </c>
      <c r="G58" s="109" t="s">
        <v>180</v>
      </c>
      <c r="H58" s="110">
        <v>0</v>
      </c>
      <c r="I58" s="112">
        <v>0</v>
      </c>
      <c r="J58" s="112">
        <v>0.6</v>
      </c>
      <c r="K58" s="113">
        <f t="shared" si="1"/>
        <v>0.6</v>
      </c>
      <c r="L58" s="111">
        <v>0.23381800000000003</v>
      </c>
      <c r="M58" s="111">
        <v>2.2518999999999997E-2</v>
      </c>
      <c r="N58" s="115">
        <v>0</v>
      </c>
      <c r="O58" s="111">
        <v>0.28050000000000003</v>
      </c>
      <c r="P58" s="142">
        <v>3.2000000000000001E-2</v>
      </c>
      <c r="Q58" s="111">
        <v>8509</v>
      </c>
      <c r="R58" s="112"/>
      <c r="S58" s="112"/>
      <c r="T58" s="111">
        <f t="shared" si="0"/>
        <v>272</v>
      </c>
      <c r="U58" s="115">
        <v>0</v>
      </c>
      <c r="V58" s="144">
        <v>3.0114000000000002E-2</v>
      </c>
      <c r="W58" s="111">
        <v>99.311000000000007</v>
      </c>
      <c r="X58" s="113">
        <f t="shared" si="2"/>
        <v>371.87795100000005</v>
      </c>
      <c r="Y58" s="111">
        <v>0</v>
      </c>
      <c r="Z58" s="111">
        <v>0</v>
      </c>
      <c r="AA58" s="116">
        <v>3.6001999999999999E-2</v>
      </c>
      <c r="AB58" s="111">
        <v>9.931100000000001E-2</v>
      </c>
      <c r="AC58" s="113">
        <f t="shared" si="3"/>
        <v>0.13531300000000002</v>
      </c>
      <c r="AD58" s="111">
        <v>0</v>
      </c>
      <c r="AE58" s="111">
        <v>9.1975000000000001E-2</v>
      </c>
      <c r="AF58" s="112">
        <v>0</v>
      </c>
      <c r="AG58" s="117">
        <v>0</v>
      </c>
      <c r="AH58" s="111">
        <v>0</v>
      </c>
      <c r="AI58" s="112">
        <v>4.0000000000000001E-3</v>
      </c>
      <c r="AJ58" s="112">
        <v>7.1811000000000014E-2</v>
      </c>
      <c r="AK58" s="113">
        <f t="shared" si="4"/>
        <v>0.16778600000000002</v>
      </c>
      <c r="AL58" s="118"/>
      <c r="AM58" s="119"/>
      <c r="AN58" s="119"/>
      <c r="AO58" s="120"/>
    </row>
    <row r="59" spans="1:41" s="121" customFormat="1" ht="16.5" customHeight="1">
      <c r="A59" s="104" t="s">
        <v>2134</v>
      </c>
      <c r="B59" s="105" t="s">
        <v>452</v>
      </c>
      <c r="C59" s="106" t="s">
        <v>424</v>
      </c>
      <c r="D59" s="106" t="s">
        <v>2415</v>
      </c>
      <c r="E59" s="71" t="s">
        <v>425</v>
      </c>
      <c r="F59" s="71" t="s">
        <v>78</v>
      </c>
      <c r="G59" s="109" t="s">
        <v>180</v>
      </c>
      <c r="H59" s="110">
        <v>0</v>
      </c>
      <c r="I59" s="112">
        <v>0</v>
      </c>
      <c r="J59" s="112">
        <v>57.4</v>
      </c>
      <c r="K59" s="113">
        <f t="shared" si="1"/>
        <v>57.4</v>
      </c>
      <c r="L59" s="111">
        <v>0.20926499999999998</v>
      </c>
      <c r="M59" s="111">
        <v>2.2518999999999997E-2</v>
      </c>
      <c r="N59" s="115">
        <v>0</v>
      </c>
      <c r="O59" s="111">
        <v>0</v>
      </c>
      <c r="P59" s="142">
        <v>3.2000000000000001E-2</v>
      </c>
      <c r="Q59" s="111">
        <v>8509</v>
      </c>
      <c r="R59" s="112"/>
      <c r="S59" s="112"/>
      <c r="T59" s="111">
        <f t="shared" si="0"/>
        <v>272</v>
      </c>
      <c r="U59" s="115">
        <v>0</v>
      </c>
      <c r="V59" s="144">
        <v>1.8013000000000001E-2</v>
      </c>
      <c r="W59" s="111">
        <v>99.311000000000007</v>
      </c>
      <c r="X59" s="113">
        <f t="shared" si="2"/>
        <v>371.56079699999998</v>
      </c>
      <c r="Y59" s="111">
        <v>0</v>
      </c>
      <c r="Z59" s="111">
        <v>0</v>
      </c>
      <c r="AA59" s="116">
        <v>8.3201999999999998E-2</v>
      </c>
      <c r="AB59" s="111">
        <v>9.931100000000001E-2</v>
      </c>
      <c r="AC59" s="113">
        <f t="shared" si="3"/>
        <v>0.18251300000000001</v>
      </c>
      <c r="AD59" s="111">
        <v>0</v>
      </c>
      <c r="AE59" s="111">
        <v>3.7378000000000002E-2</v>
      </c>
      <c r="AF59" s="112">
        <v>0</v>
      </c>
      <c r="AG59" s="117">
        <v>0</v>
      </c>
      <c r="AH59" s="111">
        <v>0.13400000000000001</v>
      </c>
      <c r="AI59" s="112">
        <v>0</v>
      </c>
      <c r="AJ59" s="112">
        <v>0</v>
      </c>
      <c r="AK59" s="113">
        <f t="shared" si="4"/>
        <v>0.171378</v>
      </c>
      <c r="AL59" s="118"/>
      <c r="AM59" s="119"/>
      <c r="AN59" s="119"/>
      <c r="AO59" s="120"/>
    </row>
    <row r="60" spans="1:41" s="121" customFormat="1" ht="16.5" customHeight="1">
      <c r="A60" s="104" t="s">
        <v>2134</v>
      </c>
      <c r="B60" s="105" t="s">
        <v>453</v>
      </c>
      <c r="C60" s="106" t="s">
        <v>430</v>
      </c>
      <c r="D60" s="106" t="s">
        <v>2415</v>
      </c>
      <c r="E60" s="71" t="s">
        <v>431</v>
      </c>
      <c r="F60" s="71" t="s">
        <v>78</v>
      </c>
      <c r="G60" s="109" t="s">
        <v>180</v>
      </c>
      <c r="H60" s="110">
        <v>0</v>
      </c>
      <c r="I60" s="112">
        <v>0</v>
      </c>
      <c r="J60" s="112">
        <v>77.5</v>
      </c>
      <c r="K60" s="113">
        <f t="shared" si="1"/>
        <v>77.5</v>
      </c>
      <c r="L60" s="111">
        <v>0.11855</v>
      </c>
      <c r="M60" s="111">
        <v>3.8807000000000001E-2</v>
      </c>
      <c r="N60" s="115">
        <v>0</v>
      </c>
      <c r="O60" s="111">
        <v>7.2359999999999994E-2</v>
      </c>
      <c r="P60" s="142">
        <v>3.2000000000000001E-2</v>
      </c>
      <c r="Q60" s="111">
        <v>8509</v>
      </c>
      <c r="R60" s="112"/>
      <c r="S60" s="112"/>
      <c r="T60" s="111">
        <f t="shared" si="0"/>
        <v>272</v>
      </c>
      <c r="U60" s="115">
        <v>10.157088</v>
      </c>
      <c r="V60" s="144">
        <v>2.4493999999999998E-2</v>
      </c>
      <c r="W60" s="111">
        <v>99.311000000000007</v>
      </c>
      <c r="X60" s="113">
        <f t="shared" si="2"/>
        <v>381.72229900000002</v>
      </c>
      <c r="Y60" s="111">
        <v>0</v>
      </c>
      <c r="Z60" s="111">
        <v>0</v>
      </c>
      <c r="AA60" s="116">
        <v>0.133602</v>
      </c>
      <c r="AB60" s="111">
        <v>9.931100000000001E-2</v>
      </c>
      <c r="AC60" s="113">
        <f t="shared" si="3"/>
        <v>0.23291300000000001</v>
      </c>
      <c r="AD60" s="111">
        <v>0</v>
      </c>
      <c r="AE60" s="111">
        <v>2.75E-2</v>
      </c>
      <c r="AF60" s="112">
        <v>0</v>
      </c>
      <c r="AG60" s="117">
        <v>0</v>
      </c>
      <c r="AH60" s="111">
        <v>0.115</v>
      </c>
      <c r="AI60" s="112">
        <v>0</v>
      </c>
      <c r="AJ60" s="112">
        <v>0</v>
      </c>
      <c r="AK60" s="113">
        <f t="shared" si="4"/>
        <v>0.14250000000000002</v>
      </c>
      <c r="AL60" s="118"/>
      <c r="AM60" s="119"/>
      <c r="AN60" s="119"/>
      <c r="AO60" s="120"/>
    </row>
    <row r="61" spans="1:41" s="121" customFormat="1" ht="16.5" customHeight="1">
      <c r="A61" s="104" t="s">
        <v>2134</v>
      </c>
      <c r="B61" s="105" t="s">
        <v>460</v>
      </c>
      <c r="C61" s="106" t="s">
        <v>439</v>
      </c>
      <c r="D61" s="106" t="s">
        <v>2415</v>
      </c>
      <c r="E61" s="71" t="s">
        <v>440</v>
      </c>
      <c r="F61" s="71" t="s">
        <v>78</v>
      </c>
      <c r="G61" s="109" t="s">
        <v>180</v>
      </c>
      <c r="H61" s="110">
        <v>0</v>
      </c>
      <c r="I61" s="112">
        <v>0</v>
      </c>
      <c r="J61" s="112">
        <v>13.9</v>
      </c>
      <c r="K61" s="113">
        <f t="shared" si="1"/>
        <v>13.9</v>
      </c>
      <c r="L61" s="111">
        <v>0</v>
      </c>
      <c r="M61" s="111">
        <v>0.89386500000000002</v>
      </c>
      <c r="N61" s="115">
        <v>0</v>
      </c>
      <c r="O61" s="111">
        <v>0.50246000000000002</v>
      </c>
      <c r="P61" s="142">
        <v>3.2000000000000001E-2</v>
      </c>
      <c r="Q61" s="111">
        <v>8509</v>
      </c>
      <c r="R61" s="112"/>
      <c r="S61" s="112"/>
      <c r="T61" s="111">
        <f t="shared" si="0"/>
        <v>272</v>
      </c>
      <c r="U61" s="115">
        <v>11.204912</v>
      </c>
      <c r="V61" s="144">
        <v>2.4492999999999997E-2</v>
      </c>
      <c r="W61" s="111">
        <v>99.311000000000007</v>
      </c>
      <c r="X61" s="113">
        <f t="shared" si="2"/>
        <v>383.93673000000001</v>
      </c>
      <c r="Y61" s="111">
        <v>0</v>
      </c>
      <c r="Z61" s="111">
        <v>0</v>
      </c>
      <c r="AA61" s="116">
        <v>3.9E-2</v>
      </c>
      <c r="AB61" s="111">
        <v>9.931100000000001E-2</v>
      </c>
      <c r="AC61" s="113">
        <f t="shared" si="3"/>
        <v>0.13831100000000002</v>
      </c>
      <c r="AD61" s="111">
        <v>0</v>
      </c>
      <c r="AE61" s="111">
        <v>0</v>
      </c>
      <c r="AF61" s="112">
        <v>0</v>
      </c>
      <c r="AG61" s="117">
        <v>0</v>
      </c>
      <c r="AH61" s="111">
        <v>0.09</v>
      </c>
      <c r="AI61" s="112">
        <v>0</v>
      </c>
      <c r="AJ61" s="112">
        <v>0</v>
      </c>
      <c r="AK61" s="113">
        <f t="shared" si="4"/>
        <v>0.09</v>
      </c>
      <c r="AL61" s="118"/>
      <c r="AM61" s="119"/>
      <c r="AN61" s="119"/>
      <c r="AO61" s="120"/>
    </row>
    <row r="62" spans="1:41" s="121" customFormat="1" ht="16.5" customHeight="1">
      <c r="A62" s="104" t="s">
        <v>2134</v>
      </c>
      <c r="B62" s="105" t="s">
        <v>466</v>
      </c>
      <c r="C62" s="106" t="s">
        <v>447</v>
      </c>
      <c r="D62" s="106" t="s">
        <v>2415</v>
      </c>
      <c r="E62" s="71" t="s">
        <v>252</v>
      </c>
      <c r="F62" s="71" t="s">
        <v>78</v>
      </c>
      <c r="G62" s="109" t="s">
        <v>180</v>
      </c>
      <c r="H62" s="110">
        <v>0</v>
      </c>
      <c r="I62" s="112">
        <v>0</v>
      </c>
      <c r="J62" s="112">
        <v>40.299999999999997</v>
      </c>
      <c r="K62" s="113">
        <f t="shared" si="1"/>
        <v>40.299999999999997</v>
      </c>
      <c r="L62" s="111">
        <v>0.62239700000000009</v>
      </c>
      <c r="M62" s="111">
        <v>2.2520999999999999E-2</v>
      </c>
      <c r="N62" s="115">
        <v>0</v>
      </c>
      <c r="O62" s="111">
        <v>0.15790000000000001</v>
      </c>
      <c r="P62" s="142">
        <v>3.2000000000000001E-2</v>
      </c>
      <c r="Q62" s="111">
        <v>8509</v>
      </c>
      <c r="R62" s="112"/>
      <c r="S62" s="112"/>
      <c r="T62" s="111">
        <f t="shared" si="0"/>
        <v>272</v>
      </c>
      <c r="U62" s="115">
        <v>0</v>
      </c>
      <c r="V62" s="144">
        <v>1.8013999999999999E-2</v>
      </c>
      <c r="W62" s="111">
        <v>99.311000000000007</v>
      </c>
      <c r="X62" s="113">
        <f t="shared" si="2"/>
        <v>372.13183200000003</v>
      </c>
      <c r="Y62" s="111">
        <v>0</v>
      </c>
      <c r="Z62" s="111">
        <v>0</v>
      </c>
      <c r="AA62" s="116">
        <v>0.112</v>
      </c>
      <c r="AB62" s="111">
        <v>9.931100000000001E-2</v>
      </c>
      <c r="AC62" s="113">
        <f t="shared" si="3"/>
        <v>0.21131100000000003</v>
      </c>
      <c r="AD62" s="111">
        <v>0</v>
      </c>
      <c r="AE62" s="111">
        <v>9.931100000000001E-2</v>
      </c>
      <c r="AF62" s="112">
        <v>0</v>
      </c>
      <c r="AG62" s="117">
        <v>0</v>
      </c>
      <c r="AH62" s="111">
        <v>0</v>
      </c>
      <c r="AI62" s="112">
        <v>4.0000000000000001E-3</v>
      </c>
      <c r="AJ62" s="112">
        <v>2.0695000000000002E-2</v>
      </c>
      <c r="AK62" s="113">
        <f t="shared" si="4"/>
        <v>0.12400600000000002</v>
      </c>
      <c r="AL62" s="118"/>
      <c r="AM62" s="119"/>
      <c r="AN62" s="119"/>
      <c r="AO62" s="120"/>
    </row>
    <row r="63" spans="1:41" s="121" customFormat="1" ht="16.5" customHeight="1">
      <c r="A63" s="104" t="s">
        <v>2134</v>
      </c>
      <c r="B63" s="105" t="s">
        <v>56</v>
      </c>
      <c r="C63" s="106" t="s">
        <v>454</v>
      </c>
      <c r="D63" s="106" t="s">
        <v>2415</v>
      </c>
      <c r="E63" s="71" t="s">
        <v>455</v>
      </c>
      <c r="F63" s="71" t="s">
        <v>78</v>
      </c>
      <c r="G63" s="109" t="s">
        <v>180</v>
      </c>
      <c r="H63" s="110">
        <v>0</v>
      </c>
      <c r="I63" s="112">
        <v>0</v>
      </c>
      <c r="J63" s="112">
        <v>92.415999999999997</v>
      </c>
      <c r="K63" s="113">
        <f t="shared" si="1"/>
        <v>92.415999999999997</v>
      </c>
      <c r="L63" s="111">
        <v>0.262152</v>
      </c>
      <c r="M63" s="111">
        <v>2.2518999999999997E-2</v>
      </c>
      <c r="N63" s="115">
        <v>0</v>
      </c>
      <c r="O63" s="111">
        <v>0</v>
      </c>
      <c r="P63" s="142">
        <v>3.2000000000000001E-2</v>
      </c>
      <c r="Q63" s="111">
        <v>8509</v>
      </c>
      <c r="R63" s="112"/>
      <c r="S63" s="112"/>
      <c r="T63" s="111">
        <f t="shared" si="0"/>
        <v>272</v>
      </c>
      <c r="U63" s="115">
        <v>3.0794899999999998</v>
      </c>
      <c r="V63" s="144">
        <v>1.8013000000000001E-2</v>
      </c>
      <c r="W63" s="111">
        <v>99.311000000000007</v>
      </c>
      <c r="X63" s="113">
        <f t="shared" si="2"/>
        <v>374.693174</v>
      </c>
      <c r="Y63" s="111">
        <v>0</v>
      </c>
      <c r="Z63" s="111">
        <v>0</v>
      </c>
      <c r="AA63" s="116">
        <v>0</v>
      </c>
      <c r="AB63" s="111">
        <v>9.931100000000001E-2</v>
      </c>
      <c r="AC63" s="113">
        <f t="shared" si="3"/>
        <v>9.931100000000001E-2</v>
      </c>
      <c r="AD63" s="111">
        <v>0</v>
      </c>
      <c r="AE63" s="111">
        <v>0.06</v>
      </c>
      <c r="AF63" s="112">
        <v>0</v>
      </c>
      <c r="AG63" s="117">
        <v>0</v>
      </c>
      <c r="AH63" s="111">
        <v>0</v>
      </c>
      <c r="AI63" s="112">
        <v>4.0000000000000001E-3</v>
      </c>
      <c r="AJ63" s="112">
        <v>4.0438000000000002E-2</v>
      </c>
      <c r="AK63" s="113">
        <f t="shared" si="4"/>
        <v>0.104438</v>
      </c>
      <c r="AL63" s="118"/>
      <c r="AM63" s="119"/>
      <c r="AN63" s="119"/>
      <c r="AO63" s="120"/>
    </row>
    <row r="64" spans="1:41" s="121" customFormat="1" ht="16.5" customHeight="1">
      <c r="A64" s="104" t="s">
        <v>2134</v>
      </c>
      <c r="B64" s="105" t="s">
        <v>475</v>
      </c>
      <c r="C64" s="106" t="s">
        <v>461</v>
      </c>
      <c r="D64" s="106" t="s">
        <v>2415</v>
      </c>
      <c r="E64" s="71" t="s">
        <v>462</v>
      </c>
      <c r="F64" s="71" t="s">
        <v>78</v>
      </c>
      <c r="G64" s="109" t="s">
        <v>180</v>
      </c>
      <c r="H64" s="110">
        <v>0</v>
      </c>
      <c r="I64" s="112">
        <v>0</v>
      </c>
      <c r="J64" s="112">
        <v>22.2</v>
      </c>
      <c r="K64" s="113">
        <f t="shared" si="1"/>
        <v>22.2</v>
      </c>
      <c r="L64" s="111">
        <v>0.13852300000000001</v>
      </c>
      <c r="M64" s="111">
        <v>2.2518999999999997E-2</v>
      </c>
      <c r="N64" s="115">
        <v>0</v>
      </c>
      <c r="O64" s="111">
        <v>6.966E-2</v>
      </c>
      <c r="P64" s="142">
        <v>3.2000000000000001E-2</v>
      </c>
      <c r="Q64" s="111">
        <v>8509</v>
      </c>
      <c r="R64" s="112"/>
      <c r="S64" s="112"/>
      <c r="T64" s="111">
        <f t="shared" si="0"/>
        <v>272</v>
      </c>
      <c r="U64" s="115">
        <v>0</v>
      </c>
      <c r="V64" s="144">
        <v>1.8013999999999999E-2</v>
      </c>
      <c r="W64" s="111">
        <v>99.311000000000007</v>
      </c>
      <c r="X64" s="113">
        <f t="shared" si="2"/>
        <v>371.55971599999998</v>
      </c>
      <c r="Y64" s="111">
        <v>0</v>
      </c>
      <c r="Z64" s="111">
        <v>0</v>
      </c>
      <c r="AA64" s="116">
        <v>3.4506999999999996E-2</v>
      </c>
      <c r="AB64" s="111">
        <v>9.931100000000001E-2</v>
      </c>
      <c r="AC64" s="113">
        <f t="shared" si="3"/>
        <v>0.13381799999999999</v>
      </c>
      <c r="AD64" s="111">
        <v>0</v>
      </c>
      <c r="AE64" s="111">
        <v>7.0000000000000007E-2</v>
      </c>
      <c r="AF64" s="112">
        <v>0</v>
      </c>
      <c r="AG64" s="117">
        <v>0</v>
      </c>
      <c r="AH64" s="111">
        <v>0.1</v>
      </c>
      <c r="AI64" s="112">
        <v>0.01</v>
      </c>
      <c r="AJ64" s="112">
        <v>5.3700000000000004E-4</v>
      </c>
      <c r="AK64" s="113">
        <f t="shared" si="4"/>
        <v>0.18053700000000003</v>
      </c>
      <c r="AL64" s="118"/>
      <c r="AM64" s="119"/>
      <c r="AN64" s="119"/>
      <c r="AO64" s="120"/>
    </row>
    <row r="65" spans="1:41" s="121" customFormat="1" ht="16.5" customHeight="1">
      <c r="A65" s="104" t="s">
        <v>2134</v>
      </c>
      <c r="B65" s="105" t="s">
        <v>481</v>
      </c>
      <c r="C65" s="106" t="s">
        <v>467</v>
      </c>
      <c r="D65" s="106" t="s">
        <v>2415</v>
      </c>
      <c r="E65" s="71" t="s">
        <v>468</v>
      </c>
      <c r="F65" s="71" t="s">
        <v>78</v>
      </c>
      <c r="G65" s="109" t="s">
        <v>180</v>
      </c>
      <c r="H65" s="110">
        <v>0</v>
      </c>
      <c r="I65" s="112">
        <v>0</v>
      </c>
      <c r="J65" s="112">
        <v>7.2</v>
      </c>
      <c r="K65" s="113">
        <f t="shared" si="1"/>
        <v>7.2</v>
      </c>
      <c r="L65" s="111">
        <v>0.17321700000000001</v>
      </c>
      <c r="M65" s="111">
        <v>2.2518999999999997E-2</v>
      </c>
      <c r="N65" s="115">
        <v>0</v>
      </c>
      <c r="O65" s="111">
        <v>1.4039999999999999E-2</v>
      </c>
      <c r="P65" s="142">
        <v>3.2000000000000001E-2</v>
      </c>
      <c r="Q65" s="111">
        <v>8509</v>
      </c>
      <c r="R65" s="112"/>
      <c r="S65" s="112"/>
      <c r="T65" s="111">
        <f t="shared" si="0"/>
        <v>272</v>
      </c>
      <c r="U65" s="115">
        <v>0</v>
      </c>
      <c r="V65" s="144">
        <v>2.4493999999999998E-2</v>
      </c>
      <c r="W65" s="111">
        <v>99.311000000000007</v>
      </c>
      <c r="X65" s="113">
        <f t="shared" si="2"/>
        <v>371.54526999999996</v>
      </c>
      <c r="Y65" s="111">
        <v>0</v>
      </c>
      <c r="Z65" s="111">
        <v>0</v>
      </c>
      <c r="AA65" s="116">
        <v>1.1800000000000001E-2</v>
      </c>
      <c r="AB65" s="111">
        <v>9.931100000000001E-2</v>
      </c>
      <c r="AC65" s="113">
        <f t="shared" si="3"/>
        <v>0.11111100000000002</v>
      </c>
      <c r="AD65" s="111">
        <v>6.7999999999999996E-3</v>
      </c>
      <c r="AE65" s="111">
        <v>3.3000000000000002E-2</v>
      </c>
      <c r="AF65" s="112">
        <v>0</v>
      </c>
      <c r="AG65" s="117">
        <v>0</v>
      </c>
      <c r="AH65" s="111">
        <v>0.01</v>
      </c>
      <c r="AI65" s="112">
        <v>4.0000000000000001E-3</v>
      </c>
      <c r="AJ65" s="112">
        <v>5.1463999999999996E-2</v>
      </c>
      <c r="AK65" s="113">
        <f t="shared" si="4"/>
        <v>0.105264</v>
      </c>
      <c r="AL65" s="118"/>
      <c r="AM65" s="119"/>
      <c r="AN65" s="119"/>
      <c r="AO65" s="120"/>
    </row>
    <row r="66" spans="1:41" s="121" customFormat="1" ht="16.5" customHeight="1">
      <c r="A66" s="104" t="s">
        <v>2134</v>
      </c>
      <c r="B66" s="105" t="s">
        <v>486</v>
      </c>
      <c r="C66" s="106" t="s">
        <v>471</v>
      </c>
      <c r="D66" s="106" t="s">
        <v>2415</v>
      </c>
      <c r="E66" s="71" t="s">
        <v>472</v>
      </c>
      <c r="F66" s="71" t="s">
        <v>78</v>
      </c>
      <c r="G66" s="109" t="s">
        <v>180</v>
      </c>
      <c r="H66" s="110">
        <v>0</v>
      </c>
      <c r="I66" s="112">
        <v>0</v>
      </c>
      <c r="J66" s="112">
        <v>0</v>
      </c>
      <c r="K66" s="113">
        <f t="shared" si="1"/>
        <v>0</v>
      </c>
      <c r="L66" s="111">
        <v>0.64722299999999999</v>
      </c>
      <c r="M66" s="111">
        <v>0.19946700000000001</v>
      </c>
      <c r="N66" s="115">
        <v>0</v>
      </c>
      <c r="O66" s="111">
        <v>0</v>
      </c>
      <c r="P66" s="142">
        <v>3.2000000000000001E-2</v>
      </c>
      <c r="Q66" s="111">
        <v>8509</v>
      </c>
      <c r="R66" s="112"/>
      <c r="S66" s="112"/>
      <c r="T66" s="111">
        <f t="shared" si="0"/>
        <v>272</v>
      </c>
      <c r="U66" s="115">
        <v>0</v>
      </c>
      <c r="V66" s="144">
        <v>1.8013000000000001E-2</v>
      </c>
      <c r="W66" s="111">
        <v>198.62200000000001</v>
      </c>
      <c r="X66" s="113">
        <f t="shared" si="2"/>
        <v>471.48670300000003</v>
      </c>
      <c r="Y66" s="111">
        <v>0</v>
      </c>
      <c r="Z66" s="111">
        <v>0</v>
      </c>
      <c r="AA66" s="116">
        <v>0.45050000000000001</v>
      </c>
      <c r="AB66" s="111">
        <v>0.19862200000000002</v>
      </c>
      <c r="AC66" s="113">
        <f t="shared" si="3"/>
        <v>0.64912199999999998</v>
      </c>
      <c r="AD66" s="111">
        <v>0</v>
      </c>
      <c r="AE66" s="111">
        <v>0.123984</v>
      </c>
      <c r="AF66" s="112">
        <v>0</v>
      </c>
      <c r="AG66" s="117">
        <v>0</v>
      </c>
      <c r="AH66" s="111">
        <v>0.35</v>
      </c>
      <c r="AI66" s="112">
        <v>0.01</v>
      </c>
      <c r="AJ66" s="112">
        <v>0.16279199999999999</v>
      </c>
      <c r="AK66" s="113">
        <f t="shared" si="4"/>
        <v>0.64677600000000002</v>
      </c>
      <c r="AL66" s="118"/>
      <c r="AM66" s="119"/>
      <c r="AN66" s="119"/>
      <c r="AO66" s="120"/>
    </row>
    <row r="67" spans="1:41" s="121" customFormat="1" ht="16.5" customHeight="1">
      <c r="A67" s="104" t="s">
        <v>2134</v>
      </c>
      <c r="B67" s="105" t="s">
        <v>492</v>
      </c>
      <c r="C67" s="106" t="s">
        <v>476</v>
      </c>
      <c r="D67" s="106" t="s">
        <v>2415</v>
      </c>
      <c r="E67" s="71" t="s">
        <v>477</v>
      </c>
      <c r="F67" s="71" t="s">
        <v>78</v>
      </c>
      <c r="G67" s="109" t="s">
        <v>180</v>
      </c>
      <c r="H67" s="110">
        <v>0</v>
      </c>
      <c r="I67" s="112">
        <v>0</v>
      </c>
      <c r="J67" s="112">
        <v>83.465000000000003</v>
      </c>
      <c r="K67" s="113">
        <f t="shared" si="1"/>
        <v>83.465000000000003</v>
      </c>
      <c r="L67" s="111">
        <v>0.42124</v>
      </c>
      <c r="M67" s="111">
        <v>2.2518999999999997E-2</v>
      </c>
      <c r="N67" s="115">
        <v>0</v>
      </c>
      <c r="O67" s="111">
        <v>2.0899999999999998E-2</v>
      </c>
      <c r="P67" s="142">
        <v>3.2000000000000001E-2</v>
      </c>
      <c r="Q67" s="111">
        <v>8509</v>
      </c>
      <c r="R67" s="112"/>
      <c r="S67" s="112"/>
      <c r="T67" s="111">
        <f t="shared" si="0"/>
        <v>272</v>
      </c>
      <c r="U67" s="115">
        <v>0</v>
      </c>
      <c r="V67" s="144">
        <v>1.8013999999999999E-2</v>
      </c>
      <c r="W67" s="111">
        <v>99.311000000000007</v>
      </c>
      <c r="X67" s="113">
        <f t="shared" si="2"/>
        <v>371.79367300000001</v>
      </c>
      <c r="Y67" s="111">
        <v>0</v>
      </c>
      <c r="Z67" s="111">
        <v>0</v>
      </c>
      <c r="AA67" s="116">
        <v>5.5702000000000002E-2</v>
      </c>
      <c r="AB67" s="111">
        <v>9.931100000000001E-2</v>
      </c>
      <c r="AC67" s="113">
        <f t="shared" si="3"/>
        <v>0.15501300000000001</v>
      </c>
      <c r="AD67" s="111">
        <v>0</v>
      </c>
      <c r="AE67" s="111">
        <v>3.9369000000000001E-2</v>
      </c>
      <c r="AF67" s="112">
        <v>0</v>
      </c>
      <c r="AG67" s="117">
        <v>0</v>
      </c>
      <c r="AH67" s="111">
        <v>4.8000000000000001E-2</v>
      </c>
      <c r="AI67" s="112">
        <v>1.2999999999999999E-2</v>
      </c>
      <c r="AJ67" s="112">
        <v>5.8910999999999998E-2</v>
      </c>
      <c r="AK67" s="113">
        <f t="shared" si="4"/>
        <v>0.15928</v>
      </c>
      <c r="AL67" s="118"/>
      <c r="AM67" s="119"/>
      <c r="AN67" s="119"/>
      <c r="AO67" s="120"/>
    </row>
    <row r="68" spans="1:41" s="121" customFormat="1" ht="16.5" customHeight="1">
      <c r="A68" s="104" t="s">
        <v>2134</v>
      </c>
      <c r="B68" s="105" t="s">
        <v>499</v>
      </c>
      <c r="C68" s="106" t="s">
        <v>482</v>
      </c>
      <c r="D68" s="106" t="s">
        <v>2415</v>
      </c>
      <c r="E68" s="71" t="s">
        <v>483</v>
      </c>
      <c r="F68" s="71" t="s">
        <v>78</v>
      </c>
      <c r="G68" s="109" t="s">
        <v>180</v>
      </c>
      <c r="H68" s="110">
        <v>0</v>
      </c>
      <c r="I68" s="112">
        <v>0</v>
      </c>
      <c r="J68" s="112">
        <v>0</v>
      </c>
      <c r="K68" s="113">
        <f t="shared" si="1"/>
        <v>0</v>
      </c>
      <c r="L68" s="111">
        <v>0.13323199999999999</v>
      </c>
      <c r="M68" s="111">
        <v>2.2518999999999997E-2</v>
      </c>
      <c r="N68" s="115">
        <v>0</v>
      </c>
      <c r="O68" s="111">
        <v>0</v>
      </c>
      <c r="P68" s="142">
        <v>3.2000000000000001E-2</v>
      </c>
      <c r="Q68" s="111">
        <v>8509</v>
      </c>
      <c r="R68" s="112"/>
      <c r="S68" s="112"/>
      <c r="T68" s="111">
        <f t="shared" ref="T68:T131" si="5">ROUND(P68*Q68,0)+R68+S68</f>
        <v>272</v>
      </c>
      <c r="U68" s="115">
        <v>0</v>
      </c>
      <c r="V68" s="144">
        <v>1.8013999999999999E-2</v>
      </c>
      <c r="W68" s="111">
        <v>99.311000000000007</v>
      </c>
      <c r="X68" s="113">
        <f t="shared" si="2"/>
        <v>371.48476500000004</v>
      </c>
      <c r="Y68" s="111">
        <v>0</v>
      </c>
      <c r="Z68" s="111">
        <v>0</v>
      </c>
      <c r="AA68" s="116">
        <v>1.9999999999999999E-6</v>
      </c>
      <c r="AB68" s="111">
        <v>9.931100000000001E-2</v>
      </c>
      <c r="AC68" s="113">
        <f t="shared" si="3"/>
        <v>9.9313000000000012E-2</v>
      </c>
      <c r="AD68" s="111">
        <v>0</v>
      </c>
      <c r="AE68" s="111">
        <v>2.0279999999999999E-2</v>
      </c>
      <c r="AF68" s="112">
        <v>0</v>
      </c>
      <c r="AG68" s="117">
        <v>0</v>
      </c>
      <c r="AH68" s="111">
        <v>0.01</v>
      </c>
      <c r="AI68" s="112">
        <v>0</v>
      </c>
      <c r="AJ68" s="112">
        <v>4.2119999999999998E-2</v>
      </c>
      <c r="AK68" s="113">
        <f t="shared" si="4"/>
        <v>7.2399999999999992E-2</v>
      </c>
      <c r="AL68" s="118"/>
      <c r="AM68" s="119"/>
      <c r="AN68" s="119"/>
      <c r="AO68" s="120"/>
    </row>
    <row r="69" spans="1:41" s="121" customFormat="1" ht="16.5" customHeight="1">
      <c r="A69" s="104" t="s">
        <v>2134</v>
      </c>
      <c r="B69" s="105" t="s">
        <v>505</v>
      </c>
      <c r="C69" s="106" t="s">
        <v>487</v>
      </c>
      <c r="D69" s="106" t="s">
        <v>2415</v>
      </c>
      <c r="E69" s="71" t="s">
        <v>488</v>
      </c>
      <c r="F69" s="71" t="s">
        <v>78</v>
      </c>
      <c r="G69" s="109" t="s">
        <v>180</v>
      </c>
      <c r="H69" s="110">
        <v>0</v>
      </c>
      <c r="I69" s="112">
        <v>0</v>
      </c>
      <c r="J69" s="112">
        <v>0</v>
      </c>
      <c r="K69" s="113">
        <f t="shared" ref="K69:K132" si="6">SUBTOTAL(9,H69:J69)</f>
        <v>0</v>
      </c>
      <c r="L69" s="111">
        <v>0.40437599999999996</v>
      </c>
      <c r="M69" s="111">
        <v>2.2519999999999998E-2</v>
      </c>
      <c r="N69" s="115">
        <v>0</v>
      </c>
      <c r="O69" s="111">
        <v>5.8599999999999999E-2</v>
      </c>
      <c r="P69" s="142">
        <v>3.2000000000000001E-2</v>
      </c>
      <c r="Q69" s="111">
        <v>8509</v>
      </c>
      <c r="R69" s="112"/>
      <c r="S69" s="112"/>
      <c r="T69" s="111">
        <f t="shared" si="5"/>
        <v>272</v>
      </c>
      <c r="U69" s="115">
        <v>0</v>
      </c>
      <c r="V69" s="144">
        <v>2.4493999999999998E-2</v>
      </c>
      <c r="W69" s="111">
        <v>99.311000000000007</v>
      </c>
      <c r="X69" s="113">
        <f t="shared" ref="X69:X132" si="7">SUBTOTAL(9,L69:O69,T69:W69)</f>
        <v>371.82099000000005</v>
      </c>
      <c r="Y69" s="111">
        <v>0</v>
      </c>
      <c r="Z69" s="111">
        <v>0</v>
      </c>
      <c r="AA69" s="116">
        <v>0.27000200000000002</v>
      </c>
      <c r="AB69" s="111">
        <v>9.931100000000001E-2</v>
      </c>
      <c r="AC69" s="113">
        <f t="shared" ref="AC69:AC132" si="8">SUBTOTAL(9,Y69:AB69)</f>
        <v>0.369313</v>
      </c>
      <c r="AD69" s="111">
        <v>0</v>
      </c>
      <c r="AE69" s="111">
        <v>0.15</v>
      </c>
      <c r="AF69" s="112">
        <v>0</v>
      </c>
      <c r="AG69" s="117">
        <v>0</v>
      </c>
      <c r="AH69" s="111">
        <v>0</v>
      </c>
      <c r="AI69" s="112">
        <v>0</v>
      </c>
      <c r="AJ69" s="112">
        <v>0.20583099999999999</v>
      </c>
      <c r="AK69" s="113">
        <f t="shared" ref="AK69:AK132" si="9">SUBTOTAL(9,AD69:AJ69)</f>
        <v>0.35583100000000001</v>
      </c>
      <c r="AL69" s="118"/>
      <c r="AM69" s="119"/>
      <c r="AN69" s="119"/>
      <c r="AO69" s="120"/>
    </row>
    <row r="70" spans="1:41" s="121" customFormat="1" ht="16.5" customHeight="1">
      <c r="A70" s="104" t="s">
        <v>2134</v>
      </c>
      <c r="B70" s="105" t="s">
        <v>513</v>
      </c>
      <c r="C70" s="106" t="s">
        <v>493</v>
      </c>
      <c r="D70" s="106" t="s">
        <v>2415</v>
      </c>
      <c r="E70" s="71" t="s">
        <v>494</v>
      </c>
      <c r="F70" s="71" t="s">
        <v>78</v>
      </c>
      <c r="G70" s="109" t="s">
        <v>180</v>
      </c>
      <c r="H70" s="110">
        <v>0</v>
      </c>
      <c r="I70" s="112">
        <v>0</v>
      </c>
      <c r="J70" s="112">
        <v>0</v>
      </c>
      <c r="K70" s="113">
        <f t="shared" si="6"/>
        <v>0</v>
      </c>
      <c r="L70" s="111">
        <v>0.74953700000000001</v>
      </c>
      <c r="M70" s="111">
        <v>2.2519999999999998E-2</v>
      </c>
      <c r="N70" s="115">
        <v>0</v>
      </c>
      <c r="O70" s="111">
        <v>2.1600000000000001E-2</v>
      </c>
      <c r="P70" s="142">
        <v>3.2000000000000001E-2</v>
      </c>
      <c r="Q70" s="111">
        <v>8509</v>
      </c>
      <c r="R70" s="112"/>
      <c r="S70" s="112"/>
      <c r="T70" s="111">
        <f t="shared" si="5"/>
        <v>272</v>
      </c>
      <c r="U70" s="115">
        <v>0</v>
      </c>
      <c r="V70" s="144">
        <v>1.8013999999999999E-2</v>
      </c>
      <c r="W70" s="111">
        <v>99.311000000000007</v>
      </c>
      <c r="X70" s="113">
        <f t="shared" si="7"/>
        <v>372.12267099999997</v>
      </c>
      <c r="Y70" s="111">
        <v>0</v>
      </c>
      <c r="Z70" s="111">
        <v>0</v>
      </c>
      <c r="AA70" s="116">
        <v>3.3000000000000002E-2</v>
      </c>
      <c r="AB70" s="111">
        <v>9.931100000000001E-2</v>
      </c>
      <c r="AC70" s="113">
        <f t="shared" si="8"/>
        <v>0.13231100000000001</v>
      </c>
      <c r="AD70" s="111">
        <v>0</v>
      </c>
      <c r="AE70" s="111">
        <v>5.1999999999999998E-2</v>
      </c>
      <c r="AF70" s="112">
        <v>0</v>
      </c>
      <c r="AG70" s="117">
        <v>0</v>
      </c>
      <c r="AH70" s="111">
        <v>9.0999999999999998E-2</v>
      </c>
      <c r="AI70" s="112">
        <v>4.0000000000000001E-3</v>
      </c>
      <c r="AJ70" s="112">
        <v>4.0207E-2</v>
      </c>
      <c r="AK70" s="113">
        <f t="shared" si="9"/>
        <v>0.18720699999999998</v>
      </c>
      <c r="AL70" s="118"/>
      <c r="AM70" s="119"/>
      <c r="AN70" s="119"/>
      <c r="AO70" s="120"/>
    </row>
    <row r="71" spans="1:41" s="121" customFormat="1" ht="16.5" customHeight="1">
      <c r="A71" s="104" t="s">
        <v>2134</v>
      </c>
      <c r="B71" s="105" t="s">
        <v>518</v>
      </c>
      <c r="C71" s="106" t="s">
        <v>500</v>
      </c>
      <c r="D71" s="106" t="s">
        <v>2415</v>
      </c>
      <c r="E71" s="71" t="s">
        <v>501</v>
      </c>
      <c r="F71" s="71" t="s">
        <v>78</v>
      </c>
      <c r="G71" s="109" t="s">
        <v>180</v>
      </c>
      <c r="H71" s="110">
        <v>0</v>
      </c>
      <c r="I71" s="112">
        <v>0</v>
      </c>
      <c r="J71" s="112">
        <v>43.4</v>
      </c>
      <c r="K71" s="113">
        <f t="shared" si="6"/>
        <v>43.4</v>
      </c>
      <c r="L71" s="111">
        <v>0.237098</v>
      </c>
      <c r="M71" s="111">
        <v>2.2518999999999997E-2</v>
      </c>
      <c r="N71" s="115">
        <v>0</v>
      </c>
      <c r="O71" s="111">
        <v>3.5639999999999998E-2</v>
      </c>
      <c r="P71" s="142">
        <v>3.2000000000000001E-2</v>
      </c>
      <c r="Q71" s="111">
        <v>8509</v>
      </c>
      <c r="R71" s="112"/>
      <c r="S71" s="112"/>
      <c r="T71" s="111">
        <f t="shared" si="5"/>
        <v>272</v>
      </c>
      <c r="U71" s="115">
        <v>0</v>
      </c>
      <c r="V71" s="144">
        <v>2.4493999999999998E-2</v>
      </c>
      <c r="W71" s="111">
        <v>99.311000000000007</v>
      </c>
      <c r="X71" s="113">
        <f t="shared" si="7"/>
        <v>371.63075100000003</v>
      </c>
      <c r="Y71" s="111">
        <v>0</v>
      </c>
      <c r="Z71" s="111">
        <v>0</v>
      </c>
      <c r="AA71" s="116">
        <v>0.11159999999999999</v>
      </c>
      <c r="AB71" s="111">
        <v>9.931100000000001E-2</v>
      </c>
      <c r="AC71" s="113">
        <f t="shared" si="8"/>
        <v>0.21091100000000002</v>
      </c>
      <c r="AD71" s="111">
        <v>0</v>
      </c>
      <c r="AE71" s="111">
        <v>0.06</v>
      </c>
      <c r="AF71" s="112">
        <v>0</v>
      </c>
      <c r="AG71" s="117">
        <v>1.5564E-2</v>
      </c>
      <c r="AH71" s="111">
        <v>8.4000000000000005E-2</v>
      </c>
      <c r="AI71" s="112">
        <v>0.01</v>
      </c>
      <c r="AJ71" s="112">
        <v>9.5334000000000002E-2</v>
      </c>
      <c r="AK71" s="113">
        <f t="shared" si="9"/>
        <v>0.26489799999999997</v>
      </c>
      <c r="AL71" s="118"/>
      <c r="AM71" s="119"/>
      <c r="AN71" s="119"/>
      <c r="AO71" s="120"/>
    </row>
    <row r="72" spans="1:41" s="121" customFormat="1" ht="16.5" customHeight="1">
      <c r="A72" s="104" t="s">
        <v>2134</v>
      </c>
      <c r="B72" s="105" t="s">
        <v>523</v>
      </c>
      <c r="C72" s="106" t="s">
        <v>506</v>
      </c>
      <c r="D72" s="106" t="s">
        <v>2415</v>
      </c>
      <c r="E72" s="71" t="s">
        <v>507</v>
      </c>
      <c r="F72" s="71" t="s">
        <v>78</v>
      </c>
      <c r="G72" s="109" t="s">
        <v>180</v>
      </c>
      <c r="H72" s="110">
        <v>0</v>
      </c>
      <c r="I72" s="112">
        <v>0</v>
      </c>
      <c r="J72" s="112">
        <v>101.15</v>
      </c>
      <c r="K72" s="113">
        <f t="shared" si="6"/>
        <v>101.15</v>
      </c>
      <c r="L72" s="111">
        <v>0.363898</v>
      </c>
      <c r="M72" s="111">
        <v>4.2176000000000005E-2</v>
      </c>
      <c r="N72" s="115">
        <v>0</v>
      </c>
      <c r="O72" s="111">
        <v>0.12204000000000001</v>
      </c>
      <c r="P72" s="142">
        <v>3.2000000000000001E-2</v>
      </c>
      <c r="Q72" s="111">
        <v>8509</v>
      </c>
      <c r="R72" s="112"/>
      <c r="S72" s="112"/>
      <c r="T72" s="111">
        <f t="shared" si="5"/>
        <v>272</v>
      </c>
      <c r="U72" s="115">
        <v>0</v>
      </c>
      <c r="V72" s="144">
        <v>3.9386999999999998E-2</v>
      </c>
      <c r="W72" s="111">
        <v>99.311000000000007</v>
      </c>
      <c r="X72" s="113">
        <f t="shared" si="7"/>
        <v>371.87850100000003</v>
      </c>
      <c r="Y72" s="111">
        <v>0</v>
      </c>
      <c r="Z72" s="111">
        <v>0</v>
      </c>
      <c r="AA72" s="116">
        <v>0.24470599999999998</v>
      </c>
      <c r="AB72" s="111">
        <v>9.931100000000001E-2</v>
      </c>
      <c r="AC72" s="113">
        <f t="shared" si="8"/>
        <v>0.34401700000000002</v>
      </c>
      <c r="AD72" s="111">
        <v>0</v>
      </c>
      <c r="AE72" s="111">
        <v>7.3533000000000001E-2</v>
      </c>
      <c r="AF72" s="112">
        <v>0</v>
      </c>
      <c r="AG72" s="117">
        <v>0.13958999999999999</v>
      </c>
      <c r="AH72" s="111">
        <v>0.112</v>
      </c>
      <c r="AI72" s="112">
        <v>1.7000000000000001E-2</v>
      </c>
      <c r="AJ72" s="112">
        <v>3.2358999999999999E-2</v>
      </c>
      <c r="AK72" s="113">
        <f t="shared" si="9"/>
        <v>0.37448199999999998</v>
      </c>
      <c r="AL72" s="118"/>
      <c r="AM72" s="119"/>
      <c r="AN72" s="119"/>
      <c r="AO72" s="120"/>
    </row>
    <row r="73" spans="1:41" s="121" customFormat="1" ht="16.5" customHeight="1">
      <c r="A73" s="104" t="s">
        <v>2134</v>
      </c>
      <c r="B73" s="105" t="s">
        <v>526</v>
      </c>
      <c r="C73" s="106" t="s">
        <v>514</v>
      </c>
      <c r="D73" s="106" t="s">
        <v>2415</v>
      </c>
      <c r="E73" s="71" t="s">
        <v>515</v>
      </c>
      <c r="F73" s="71" t="s">
        <v>78</v>
      </c>
      <c r="G73" s="109" t="s">
        <v>180</v>
      </c>
      <c r="H73" s="110">
        <v>0</v>
      </c>
      <c r="I73" s="112">
        <v>0</v>
      </c>
      <c r="J73" s="112">
        <v>51</v>
      </c>
      <c r="K73" s="113">
        <f t="shared" si="6"/>
        <v>51</v>
      </c>
      <c r="L73" s="111">
        <v>0.30580799999999997</v>
      </c>
      <c r="M73" s="111">
        <v>2.2519999999999998E-2</v>
      </c>
      <c r="N73" s="115">
        <v>0</v>
      </c>
      <c r="O73" s="111">
        <v>1.2659999999999999E-2</v>
      </c>
      <c r="P73" s="142">
        <v>3.2000000000000001E-2</v>
      </c>
      <c r="Q73" s="111">
        <v>8509</v>
      </c>
      <c r="R73" s="112"/>
      <c r="S73" s="112"/>
      <c r="T73" s="111">
        <f t="shared" si="5"/>
        <v>272</v>
      </c>
      <c r="U73" s="115">
        <v>5.72051</v>
      </c>
      <c r="V73" s="144">
        <v>1.6984000000000003E-2</v>
      </c>
      <c r="W73" s="111">
        <v>99.311000000000007</v>
      </c>
      <c r="X73" s="113">
        <f t="shared" si="7"/>
        <v>377.38948199999993</v>
      </c>
      <c r="Y73" s="111">
        <v>0</v>
      </c>
      <c r="Z73" s="111">
        <v>0</v>
      </c>
      <c r="AA73" s="116">
        <v>9.5311999999999994E-2</v>
      </c>
      <c r="AB73" s="111">
        <v>9.931100000000001E-2</v>
      </c>
      <c r="AC73" s="113">
        <f t="shared" si="8"/>
        <v>0.19462299999999999</v>
      </c>
      <c r="AD73" s="111">
        <v>0</v>
      </c>
      <c r="AE73" s="111">
        <v>4.6524999999999997E-2</v>
      </c>
      <c r="AF73" s="112">
        <v>0</v>
      </c>
      <c r="AG73" s="117">
        <v>0</v>
      </c>
      <c r="AH73" s="111">
        <v>0</v>
      </c>
      <c r="AI73" s="112">
        <v>0.01</v>
      </c>
      <c r="AJ73" s="112">
        <v>9.0833999999999998E-2</v>
      </c>
      <c r="AK73" s="113">
        <f t="shared" si="9"/>
        <v>0.14735899999999999</v>
      </c>
      <c r="AL73" s="118"/>
      <c r="AM73" s="119"/>
      <c r="AN73" s="119"/>
      <c r="AO73" s="120"/>
    </row>
    <row r="74" spans="1:41" s="121" customFormat="1" ht="16.5" customHeight="1">
      <c r="A74" s="104" t="s">
        <v>2134</v>
      </c>
      <c r="B74" s="105" t="s">
        <v>528</v>
      </c>
      <c r="C74" s="106" t="s">
        <v>519</v>
      </c>
      <c r="D74" s="106" t="s">
        <v>2415</v>
      </c>
      <c r="E74" s="71" t="s">
        <v>520</v>
      </c>
      <c r="F74" s="71" t="s">
        <v>78</v>
      </c>
      <c r="G74" s="109" t="s">
        <v>180</v>
      </c>
      <c r="H74" s="110">
        <v>0</v>
      </c>
      <c r="I74" s="112">
        <v>0</v>
      </c>
      <c r="J74" s="112">
        <v>123.6</v>
      </c>
      <c r="K74" s="113">
        <f t="shared" si="6"/>
        <v>123.6</v>
      </c>
      <c r="L74" s="111">
        <v>0.30687700000000001</v>
      </c>
      <c r="M74" s="111">
        <v>2.2518999999999997E-2</v>
      </c>
      <c r="N74" s="115">
        <v>0</v>
      </c>
      <c r="O74" s="111">
        <v>0.56320000000000003</v>
      </c>
      <c r="P74" s="142">
        <v>3.2000000000000001E-2</v>
      </c>
      <c r="Q74" s="111">
        <v>8509</v>
      </c>
      <c r="R74" s="112"/>
      <c r="S74" s="112"/>
      <c r="T74" s="111">
        <f t="shared" si="5"/>
        <v>272</v>
      </c>
      <c r="U74" s="115">
        <v>0</v>
      </c>
      <c r="V74" s="144">
        <v>1.8013999999999999E-2</v>
      </c>
      <c r="W74" s="111">
        <v>99.311000000000007</v>
      </c>
      <c r="X74" s="113">
        <f t="shared" si="7"/>
        <v>372.22161000000006</v>
      </c>
      <c r="Y74" s="111">
        <v>0</v>
      </c>
      <c r="Z74" s="111">
        <v>0</v>
      </c>
      <c r="AA74" s="116">
        <v>0.22500000000000001</v>
      </c>
      <c r="AB74" s="111">
        <v>9.931100000000001E-2</v>
      </c>
      <c r="AC74" s="113">
        <f t="shared" si="8"/>
        <v>0.32431100000000002</v>
      </c>
      <c r="AD74" s="111">
        <v>0</v>
      </c>
      <c r="AE74" s="111">
        <v>0.15954400000000002</v>
      </c>
      <c r="AF74" s="112">
        <v>0</v>
      </c>
      <c r="AG74" s="117">
        <v>3.1939999999999998E-3</v>
      </c>
      <c r="AH74" s="111">
        <v>9.931100000000001E-2</v>
      </c>
      <c r="AI74" s="112">
        <v>0.01</v>
      </c>
      <c r="AJ74" s="112">
        <v>6.9398000000000001E-2</v>
      </c>
      <c r="AK74" s="113">
        <f t="shared" si="9"/>
        <v>0.34144700000000006</v>
      </c>
      <c r="AL74" s="118"/>
      <c r="AM74" s="119"/>
      <c r="AN74" s="119"/>
      <c r="AO74" s="120"/>
    </row>
    <row r="75" spans="1:41" s="121" customFormat="1" ht="16.5" customHeight="1">
      <c r="A75" s="104" t="s">
        <v>2134</v>
      </c>
      <c r="B75" s="105" t="s">
        <v>1966</v>
      </c>
      <c r="C75" s="106" t="s">
        <v>527</v>
      </c>
      <c r="D75" s="106" t="s">
        <v>2415</v>
      </c>
      <c r="E75" s="71" t="s">
        <v>2588</v>
      </c>
      <c r="F75" s="71" t="s">
        <v>78</v>
      </c>
      <c r="G75" s="109" t="s">
        <v>180</v>
      </c>
      <c r="H75" s="110">
        <v>0</v>
      </c>
      <c r="I75" s="112">
        <v>0</v>
      </c>
      <c r="J75" s="112">
        <v>0</v>
      </c>
      <c r="K75" s="113">
        <f t="shared" si="6"/>
        <v>0</v>
      </c>
      <c r="L75" s="111">
        <v>0.242811</v>
      </c>
      <c r="M75" s="111">
        <v>2.2518999999999997E-2</v>
      </c>
      <c r="N75" s="115">
        <v>0</v>
      </c>
      <c r="O75" s="111">
        <v>1.2960000000000001E-2</v>
      </c>
      <c r="P75" s="142">
        <v>3.2000000000000001E-2</v>
      </c>
      <c r="Q75" s="111">
        <v>8509</v>
      </c>
      <c r="R75" s="112"/>
      <c r="S75" s="112"/>
      <c r="T75" s="111">
        <f t="shared" si="5"/>
        <v>272</v>
      </c>
      <c r="U75" s="115">
        <v>0</v>
      </c>
      <c r="V75" s="144">
        <v>1.8013999999999999E-2</v>
      </c>
      <c r="W75" s="111">
        <v>99.311000000000007</v>
      </c>
      <c r="X75" s="113">
        <f t="shared" si="7"/>
        <v>371.607304</v>
      </c>
      <c r="Y75" s="111">
        <v>0</v>
      </c>
      <c r="Z75" s="111">
        <v>0</v>
      </c>
      <c r="AA75" s="116">
        <v>0</v>
      </c>
      <c r="AB75" s="111">
        <v>9.931100000000001E-2</v>
      </c>
      <c r="AC75" s="113">
        <f t="shared" si="8"/>
        <v>9.931100000000001E-2</v>
      </c>
      <c r="AD75" s="111">
        <v>0</v>
      </c>
      <c r="AE75" s="111">
        <v>1.537E-3</v>
      </c>
      <c r="AF75" s="112">
        <v>0</v>
      </c>
      <c r="AG75" s="117">
        <v>0</v>
      </c>
      <c r="AH75" s="111">
        <v>6.0999999999999999E-2</v>
      </c>
      <c r="AI75" s="112">
        <v>0</v>
      </c>
      <c r="AJ75" s="112">
        <v>1.5112E-2</v>
      </c>
      <c r="AK75" s="113">
        <f t="shared" si="9"/>
        <v>7.7648999999999996E-2</v>
      </c>
      <c r="AL75" s="118"/>
      <c r="AM75" s="119"/>
      <c r="AN75" s="119"/>
      <c r="AO75" s="120"/>
    </row>
    <row r="76" spans="1:41" s="121" customFormat="1" ht="16.5" customHeight="1">
      <c r="A76" s="104" t="s">
        <v>2134</v>
      </c>
      <c r="B76" s="105" t="s">
        <v>539</v>
      </c>
      <c r="C76" s="106" t="s">
        <v>529</v>
      </c>
      <c r="D76" s="106" t="s">
        <v>2415</v>
      </c>
      <c r="E76" s="71" t="s">
        <v>530</v>
      </c>
      <c r="F76" s="71" t="s">
        <v>78</v>
      </c>
      <c r="G76" s="109" t="s">
        <v>180</v>
      </c>
      <c r="H76" s="110">
        <v>0</v>
      </c>
      <c r="I76" s="112">
        <v>0</v>
      </c>
      <c r="J76" s="112">
        <v>140.05000000000001</v>
      </c>
      <c r="K76" s="113">
        <f t="shared" si="6"/>
        <v>140.05000000000001</v>
      </c>
      <c r="L76" s="111">
        <v>0.36154000000000003</v>
      </c>
      <c r="M76" s="111">
        <v>0.119869</v>
      </c>
      <c r="N76" s="115">
        <v>0</v>
      </c>
      <c r="O76" s="111">
        <v>0</v>
      </c>
      <c r="P76" s="142">
        <v>3.2000000000000001E-2</v>
      </c>
      <c r="Q76" s="111">
        <v>8509</v>
      </c>
      <c r="R76" s="112"/>
      <c r="S76" s="112"/>
      <c r="T76" s="111">
        <f t="shared" si="5"/>
        <v>272</v>
      </c>
      <c r="U76" s="115">
        <v>2.0350000000000001</v>
      </c>
      <c r="V76" s="144">
        <v>1.8013999999999999E-2</v>
      </c>
      <c r="W76" s="111">
        <v>99.311000000000007</v>
      </c>
      <c r="X76" s="113">
        <f t="shared" si="7"/>
        <v>373.84542299999998</v>
      </c>
      <c r="Y76" s="111">
        <v>0</v>
      </c>
      <c r="Z76" s="111">
        <v>0</v>
      </c>
      <c r="AA76" s="116">
        <v>0.42360500000000001</v>
      </c>
      <c r="AB76" s="111">
        <v>9.931100000000001E-2</v>
      </c>
      <c r="AC76" s="113">
        <f t="shared" si="8"/>
        <v>0.52291600000000005</v>
      </c>
      <c r="AD76" s="111">
        <v>0</v>
      </c>
      <c r="AE76" s="111">
        <v>0.03</v>
      </c>
      <c r="AF76" s="112">
        <v>0</v>
      </c>
      <c r="AG76" s="117">
        <v>0</v>
      </c>
      <c r="AH76" s="111">
        <v>2.5000000000000001E-2</v>
      </c>
      <c r="AI76" s="112">
        <v>0.01</v>
      </c>
      <c r="AJ76" s="112">
        <v>0.48998200000000003</v>
      </c>
      <c r="AK76" s="113">
        <f t="shared" si="9"/>
        <v>0.55498200000000009</v>
      </c>
      <c r="AL76" s="118"/>
      <c r="AM76" s="119"/>
      <c r="AN76" s="119"/>
      <c r="AO76" s="120"/>
    </row>
    <row r="77" spans="1:41" s="121" customFormat="1" ht="16.5" customHeight="1">
      <c r="A77" s="104" t="s">
        <v>2134</v>
      </c>
      <c r="B77" s="105" t="s">
        <v>544</v>
      </c>
      <c r="C77" s="106" t="s">
        <v>534</v>
      </c>
      <c r="D77" s="106" t="s">
        <v>2415</v>
      </c>
      <c r="E77" s="71" t="s">
        <v>535</v>
      </c>
      <c r="F77" s="71" t="s">
        <v>78</v>
      </c>
      <c r="G77" s="109" t="s">
        <v>180</v>
      </c>
      <c r="H77" s="110">
        <v>0</v>
      </c>
      <c r="I77" s="112">
        <v>0</v>
      </c>
      <c r="J77" s="112">
        <v>24.8</v>
      </c>
      <c r="K77" s="113">
        <f t="shared" si="6"/>
        <v>24.8</v>
      </c>
      <c r="L77" s="111">
        <v>0.42149300000000001</v>
      </c>
      <c r="M77" s="111">
        <v>2.2518999999999997E-2</v>
      </c>
      <c r="N77" s="115">
        <v>0</v>
      </c>
      <c r="O77" s="111">
        <v>8.2500000000000004E-2</v>
      </c>
      <c r="P77" s="142">
        <v>3.2000000000000001E-2</v>
      </c>
      <c r="Q77" s="111">
        <v>8509</v>
      </c>
      <c r="R77" s="112"/>
      <c r="S77" s="112"/>
      <c r="T77" s="111">
        <f t="shared" si="5"/>
        <v>272</v>
      </c>
      <c r="U77" s="115">
        <v>0</v>
      </c>
      <c r="V77" s="144">
        <v>1.8013999999999999E-2</v>
      </c>
      <c r="W77" s="111">
        <v>99.311000000000007</v>
      </c>
      <c r="X77" s="113">
        <f t="shared" si="7"/>
        <v>371.85552600000005</v>
      </c>
      <c r="Y77" s="111">
        <v>0</v>
      </c>
      <c r="Z77" s="111">
        <v>0</v>
      </c>
      <c r="AA77" s="116">
        <v>3.7749999999999999E-2</v>
      </c>
      <c r="AB77" s="111">
        <v>9.931100000000001E-2</v>
      </c>
      <c r="AC77" s="113">
        <f t="shared" si="8"/>
        <v>0.13706100000000002</v>
      </c>
      <c r="AD77" s="111">
        <v>0</v>
      </c>
      <c r="AE77" s="111">
        <v>5.3009999999999995E-2</v>
      </c>
      <c r="AF77" s="112">
        <v>0</v>
      </c>
      <c r="AG77" s="117">
        <v>0</v>
      </c>
      <c r="AH77" s="111">
        <v>4.8000000000000001E-2</v>
      </c>
      <c r="AI77" s="112">
        <v>0.01</v>
      </c>
      <c r="AJ77" s="112">
        <v>2.4990999999999999E-2</v>
      </c>
      <c r="AK77" s="113">
        <f t="shared" si="9"/>
        <v>0.13600099999999998</v>
      </c>
      <c r="AL77" s="118"/>
      <c r="AM77" s="119"/>
      <c r="AN77" s="119"/>
      <c r="AO77" s="120"/>
    </row>
    <row r="78" spans="1:41" s="121" customFormat="1" ht="16.5" customHeight="1">
      <c r="A78" s="104" t="s">
        <v>2134</v>
      </c>
      <c r="B78" s="105" t="s">
        <v>551</v>
      </c>
      <c r="C78" s="106" t="s">
        <v>540</v>
      </c>
      <c r="D78" s="106" t="s">
        <v>2415</v>
      </c>
      <c r="E78" s="71" t="s">
        <v>541</v>
      </c>
      <c r="F78" s="71" t="s">
        <v>78</v>
      </c>
      <c r="G78" s="109" t="s">
        <v>180</v>
      </c>
      <c r="H78" s="110">
        <v>0</v>
      </c>
      <c r="I78" s="112">
        <v>0</v>
      </c>
      <c r="J78" s="112">
        <v>24.4</v>
      </c>
      <c r="K78" s="113">
        <f t="shared" si="6"/>
        <v>24.4</v>
      </c>
      <c r="L78" s="111">
        <v>0.17278399999999999</v>
      </c>
      <c r="M78" s="111">
        <v>3.4398999999999999E-2</v>
      </c>
      <c r="N78" s="115">
        <v>0</v>
      </c>
      <c r="O78" s="111">
        <v>4.3200000000000002E-2</v>
      </c>
      <c r="P78" s="142">
        <v>3.2000000000000001E-2</v>
      </c>
      <c r="Q78" s="111">
        <v>8509</v>
      </c>
      <c r="R78" s="112"/>
      <c r="S78" s="112"/>
      <c r="T78" s="111">
        <f t="shared" si="5"/>
        <v>272</v>
      </c>
      <c r="U78" s="115">
        <v>0</v>
      </c>
      <c r="V78" s="144">
        <v>1.8013999999999999E-2</v>
      </c>
      <c r="W78" s="111">
        <v>99.311000000000007</v>
      </c>
      <c r="X78" s="113">
        <f t="shared" si="7"/>
        <v>371.57939699999997</v>
      </c>
      <c r="Y78" s="111">
        <v>0</v>
      </c>
      <c r="Z78" s="111">
        <v>0</v>
      </c>
      <c r="AA78" s="116">
        <v>6.0100000000000001E-2</v>
      </c>
      <c r="AB78" s="111">
        <v>9.931100000000001E-2</v>
      </c>
      <c r="AC78" s="113">
        <f t="shared" si="8"/>
        <v>0.15941100000000002</v>
      </c>
      <c r="AD78" s="111">
        <v>0</v>
      </c>
      <c r="AE78" s="111">
        <v>1.3166000000000001E-2</v>
      </c>
      <c r="AF78" s="112">
        <v>0</v>
      </c>
      <c r="AG78" s="117">
        <v>0</v>
      </c>
      <c r="AH78" s="111">
        <v>7.3999999999999996E-2</v>
      </c>
      <c r="AI78" s="112">
        <v>4.0000000000000001E-3</v>
      </c>
      <c r="AJ78" s="112">
        <v>3.2518999999999999E-2</v>
      </c>
      <c r="AK78" s="113">
        <f t="shared" si="9"/>
        <v>0.12368499999999999</v>
      </c>
      <c r="AL78" s="118"/>
      <c r="AM78" s="119"/>
      <c r="AN78" s="119"/>
      <c r="AO78" s="120"/>
    </row>
    <row r="79" spans="1:41" s="121" customFormat="1" ht="16.5" customHeight="1">
      <c r="A79" s="104" t="s">
        <v>2134</v>
      </c>
      <c r="B79" s="105" t="s">
        <v>556</v>
      </c>
      <c r="C79" s="106" t="s">
        <v>545</v>
      </c>
      <c r="D79" s="106" t="s">
        <v>2415</v>
      </c>
      <c r="E79" s="71" t="s">
        <v>546</v>
      </c>
      <c r="F79" s="71" t="s">
        <v>78</v>
      </c>
      <c r="G79" s="109" t="s">
        <v>180</v>
      </c>
      <c r="H79" s="110">
        <v>0</v>
      </c>
      <c r="I79" s="112">
        <v>0</v>
      </c>
      <c r="J79" s="112">
        <v>446.8</v>
      </c>
      <c r="K79" s="113">
        <f t="shared" si="6"/>
        <v>446.8</v>
      </c>
      <c r="L79" s="111">
        <v>0.55294600000000005</v>
      </c>
      <c r="M79" s="111">
        <v>2.2518999999999997E-2</v>
      </c>
      <c r="N79" s="115">
        <v>0</v>
      </c>
      <c r="O79" s="111">
        <v>4.5840000000000006E-2</v>
      </c>
      <c r="P79" s="142">
        <v>3.2000000000000001E-2</v>
      </c>
      <c r="Q79" s="111">
        <v>8509</v>
      </c>
      <c r="R79" s="112"/>
      <c r="S79" s="112"/>
      <c r="T79" s="111">
        <f t="shared" si="5"/>
        <v>272</v>
      </c>
      <c r="U79" s="115">
        <v>0</v>
      </c>
      <c r="V79" s="144">
        <v>3.7454000000000001E-2</v>
      </c>
      <c r="W79" s="111">
        <v>99.311000000000007</v>
      </c>
      <c r="X79" s="113">
        <f t="shared" si="7"/>
        <v>371.96975900000007</v>
      </c>
      <c r="Y79" s="111">
        <v>0</v>
      </c>
      <c r="Z79" s="111">
        <v>0</v>
      </c>
      <c r="AA79" s="116">
        <v>1.014016</v>
      </c>
      <c r="AB79" s="111">
        <v>9.931100000000001E-2</v>
      </c>
      <c r="AC79" s="113">
        <f t="shared" si="8"/>
        <v>1.113327</v>
      </c>
      <c r="AD79" s="111">
        <v>0</v>
      </c>
      <c r="AE79" s="111">
        <v>0.25714900000000002</v>
      </c>
      <c r="AF79" s="112">
        <v>0</v>
      </c>
      <c r="AG79" s="117">
        <v>0</v>
      </c>
      <c r="AH79" s="111">
        <v>0.78</v>
      </c>
      <c r="AI79" s="112">
        <v>0.01</v>
      </c>
      <c r="AJ79" s="112">
        <v>0.229043</v>
      </c>
      <c r="AK79" s="113">
        <f t="shared" si="9"/>
        <v>1.276192</v>
      </c>
      <c r="AL79" s="118"/>
      <c r="AM79" s="119"/>
      <c r="AN79" s="119"/>
      <c r="AO79" s="120"/>
    </row>
    <row r="80" spans="1:41" s="121" customFormat="1" ht="16.5" customHeight="1">
      <c r="A80" s="104" t="s">
        <v>2134</v>
      </c>
      <c r="B80" s="105" t="s">
        <v>562</v>
      </c>
      <c r="C80" s="106" t="s">
        <v>552</v>
      </c>
      <c r="D80" s="106" t="s">
        <v>2415</v>
      </c>
      <c r="E80" s="71" t="s">
        <v>553</v>
      </c>
      <c r="F80" s="71" t="s">
        <v>78</v>
      </c>
      <c r="G80" s="109" t="s">
        <v>180</v>
      </c>
      <c r="H80" s="110">
        <v>0</v>
      </c>
      <c r="I80" s="112">
        <v>0</v>
      </c>
      <c r="J80" s="112">
        <v>61</v>
      </c>
      <c r="K80" s="113">
        <f t="shared" si="6"/>
        <v>61</v>
      </c>
      <c r="L80" s="111">
        <v>0.20912899999999998</v>
      </c>
      <c r="M80" s="111">
        <v>2.2518999999999997E-2</v>
      </c>
      <c r="N80" s="115">
        <v>0</v>
      </c>
      <c r="O80" s="111">
        <v>0.1452</v>
      </c>
      <c r="P80" s="142">
        <v>3.2000000000000001E-2</v>
      </c>
      <c r="Q80" s="111">
        <v>8509</v>
      </c>
      <c r="R80" s="112"/>
      <c r="S80" s="112"/>
      <c r="T80" s="111">
        <f t="shared" si="5"/>
        <v>272</v>
      </c>
      <c r="U80" s="115">
        <v>0</v>
      </c>
      <c r="V80" s="144">
        <v>2.4493999999999998E-2</v>
      </c>
      <c r="W80" s="111">
        <v>99.311000000000007</v>
      </c>
      <c r="X80" s="113">
        <f t="shared" si="7"/>
        <v>371.71234200000004</v>
      </c>
      <c r="Y80" s="111">
        <v>0</v>
      </c>
      <c r="Z80" s="111">
        <v>0</v>
      </c>
      <c r="AA80" s="116">
        <v>0.16200000000000001</v>
      </c>
      <c r="AB80" s="111">
        <v>9.931100000000001E-2</v>
      </c>
      <c r="AC80" s="113">
        <f t="shared" si="8"/>
        <v>0.26131100000000002</v>
      </c>
      <c r="AD80" s="111">
        <v>0</v>
      </c>
      <c r="AE80" s="111">
        <v>1.0199999999999999E-2</v>
      </c>
      <c r="AF80" s="112">
        <v>0</v>
      </c>
      <c r="AG80" s="117">
        <v>0</v>
      </c>
      <c r="AH80" s="111">
        <v>0.05</v>
      </c>
      <c r="AI80" s="112">
        <v>0.01</v>
      </c>
      <c r="AJ80" s="112">
        <v>0.12375499999999999</v>
      </c>
      <c r="AK80" s="113">
        <f t="shared" si="9"/>
        <v>0.19395499999999999</v>
      </c>
      <c r="AL80" s="118"/>
      <c r="AM80" s="119"/>
      <c r="AN80" s="119"/>
      <c r="AO80" s="120"/>
    </row>
    <row r="81" spans="1:41" s="121" customFormat="1" ht="16.5" customHeight="1">
      <c r="A81" s="104" t="s">
        <v>2134</v>
      </c>
      <c r="B81" s="105" t="s">
        <v>568</v>
      </c>
      <c r="C81" s="106" t="s">
        <v>557</v>
      </c>
      <c r="D81" s="106" t="s">
        <v>2415</v>
      </c>
      <c r="E81" s="71" t="s">
        <v>558</v>
      </c>
      <c r="F81" s="71" t="s">
        <v>78</v>
      </c>
      <c r="G81" s="109" t="s">
        <v>180</v>
      </c>
      <c r="H81" s="110">
        <v>0</v>
      </c>
      <c r="I81" s="112">
        <v>0</v>
      </c>
      <c r="J81" s="112">
        <v>175.85</v>
      </c>
      <c r="K81" s="113">
        <f t="shared" si="6"/>
        <v>175.85</v>
      </c>
      <c r="L81" s="111">
        <v>0.24624199999999999</v>
      </c>
      <c r="M81" s="111">
        <v>2.2518999999999997E-2</v>
      </c>
      <c r="N81" s="115">
        <v>0.62367799999999995</v>
      </c>
      <c r="O81" s="111">
        <v>2.1600000000000001E-2</v>
      </c>
      <c r="P81" s="142">
        <v>3.2000000000000001E-2</v>
      </c>
      <c r="Q81" s="111">
        <v>8509</v>
      </c>
      <c r="R81" s="112"/>
      <c r="S81" s="112"/>
      <c r="T81" s="111">
        <f t="shared" si="5"/>
        <v>272</v>
      </c>
      <c r="U81" s="115">
        <v>0</v>
      </c>
      <c r="V81" s="144">
        <v>3.2932000000000003E-2</v>
      </c>
      <c r="W81" s="111">
        <v>99.311000000000007</v>
      </c>
      <c r="X81" s="113">
        <f t="shared" si="7"/>
        <v>372.257971</v>
      </c>
      <c r="Y81" s="111">
        <v>0</v>
      </c>
      <c r="Z81" s="111">
        <v>0</v>
      </c>
      <c r="AA81" s="116">
        <v>0.137904</v>
      </c>
      <c r="AB81" s="111">
        <v>9.931100000000001E-2</v>
      </c>
      <c r="AC81" s="113">
        <f t="shared" si="8"/>
        <v>0.23721500000000001</v>
      </c>
      <c r="AD81" s="111">
        <v>0</v>
      </c>
      <c r="AE81" s="111">
        <v>3.6863999999999994E-2</v>
      </c>
      <c r="AF81" s="112">
        <v>0</v>
      </c>
      <c r="AG81" s="117">
        <v>0</v>
      </c>
      <c r="AH81" s="111">
        <v>9.931100000000001E-2</v>
      </c>
      <c r="AI81" s="112">
        <v>0</v>
      </c>
      <c r="AJ81" s="112">
        <v>5.1576000000000004E-2</v>
      </c>
      <c r="AK81" s="113">
        <f t="shared" si="9"/>
        <v>0.187751</v>
      </c>
      <c r="AL81" s="118"/>
      <c r="AM81" s="119"/>
      <c r="AN81" s="119"/>
      <c r="AO81" s="120"/>
    </row>
    <row r="82" spans="1:41" s="121" customFormat="1" ht="16.5" customHeight="1">
      <c r="A82" s="104" t="s">
        <v>2134</v>
      </c>
      <c r="B82" s="105" t="s">
        <v>574</v>
      </c>
      <c r="C82" s="106" t="s">
        <v>563</v>
      </c>
      <c r="D82" s="106" t="s">
        <v>2415</v>
      </c>
      <c r="E82" s="71" t="s">
        <v>564</v>
      </c>
      <c r="F82" s="71" t="s">
        <v>78</v>
      </c>
      <c r="G82" s="109" t="s">
        <v>180</v>
      </c>
      <c r="H82" s="110">
        <v>0</v>
      </c>
      <c r="I82" s="112">
        <v>0</v>
      </c>
      <c r="J82" s="112">
        <v>46.6</v>
      </c>
      <c r="K82" s="113">
        <f t="shared" si="6"/>
        <v>46.6</v>
      </c>
      <c r="L82" s="111">
        <v>0.29635300000000003</v>
      </c>
      <c r="M82" s="111">
        <v>2.2518999999999997E-2</v>
      </c>
      <c r="N82" s="115">
        <v>0</v>
      </c>
      <c r="O82" s="111">
        <v>0</v>
      </c>
      <c r="P82" s="142">
        <v>3.2000000000000001E-2</v>
      </c>
      <c r="Q82" s="111">
        <v>8509</v>
      </c>
      <c r="R82" s="112"/>
      <c r="S82" s="112"/>
      <c r="T82" s="111">
        <f t="shared" si="5"/>
        <v>272</v>
      </c>
      <c r="U82" s="115">
        <v>0</v>
      </c>
      <c r="V82" s="144">
        <v>1.8013999999999999E-2</v>
      </c>
      <c r="W82" s="111">
        <v>99.311000000000007</v>
      </c>
      <c r="X82" s="113">
        <f t="shared" si="7"/>
        <v>371.64788599999997</v>
      </c>
      <c r="Y82" s="111">
        <v>0</v>
      </c>
      <c r="Z82" s="111">
        <v>0</v>
      </c>
      <c r="AA82" s="116">
        <v>3.3030999999999998E-2</v>
      </c>
      <c r="AB82" s="111">
        <v>9.931100000000001E-2</v>
      </c>
      <c r="AC82" s="113">
        <f t="shared" si="8"/>
        <v>0.13234200000000002</v>
      </c>
      <c r="AD82" s="111">
        <v>0</v>
      </c>
      <c r="AE82" s="111">
        <v>0</v>
      </c>
      <c r="AF82" s="112">
        <v>0</v>
      </c>
      <c r="AG82" s="117">
        <v>2.9950000000000003E-3</v>
      </c>
      <c r="AH82" s="111">
        <v>5.5200000000000006E-2</v>
      </c>
      <c r="AI82" s="112">
        <v>0.01</v>
      </c>
      <c r="AJ82" s="112">
        <v>4.5219999999999996E-2</v>
      </c>
      <c r="AK82" s="113">
        <f t="shared" si="9"/>
        <v>0.113415</v>
      </c>
      <c r="AL82" s="118"/>
      <c r="AM82" s="119"/>
      <c r="AN82" s="119"/>
      <c r="AO82" s="120"/>
    </row>
    <row r="83" spans="1:41" s="121" customFormat="1" ht="16.5" customHeight="1">
      <c r="A83" s="104" t="s">
        <v>2134</v>
      </c>
      <c r="B83" s="105" t="s">
        <v>580</v>
      </c>
      <c r="C83" s="106" t="s">
        <v>569</v>
      </c>
      <c r="D83" s="106" t="s">
        <v>2415</v>
      </c>
      <c r="E83" s="71" t="s">
        <v>570</v>
      </c>
      <c r="F83" s="71" t="s">
        <v>78</v>
      </c>
      <c r="G83" s="109" t="s">
        <v>180</v>
      </c>
      <c r="H83" s="110">
        <v>0</v>
      </c>
      <c r="I83" s="112">
        <v>0</v>
      </c>
      <c r="J83" s="112">
        <v>30.3</v>
      </c>
      <c r="K83" s="113">
        <f t="shared" si="6"/>
        <v>30.3</v>
      </c>
      <c r="L83" s="111">
        <v>0.27847899999999998</v>
      </c>
      <c r="M83" s="111">
        <v>2.2518999999999997E-2</v>
      </c>
      <c r="N83" s="115">
        <v>0</v>
      </c>
      <c r="O83" s="111">
        <v>7.6999999999999999E-2</v>
      </c>
      <c r="P83" s="142">
        <v>3.2000000000000001E-2</v>
      </c>
      <c r="Q83" s="111">
        <v>8509</v>
      </c>
      <c r="R83" s="112"/>
      <c r="S83" s="112"/>
      <c r="T83" s="111">
        <f t="shared" si="5"/>
        <v>272</v>
      </c>
      <c r="U83" s="115">
        <v>0.42899999999999999</v>
      </c>
      <c r="V83" s="144">
        <v>2.4493999999999998E-2</v>
      </c>
      <c r="W83" s="111">
        <v>99.311000000000007</v>
      </c>
      <c r="X83" s="113">
        <f t="shared" si="7"/>
        <v>372.14249199999995</v>
      </c>
      <c r="Y83" s="111">
        <v>0</v>
      </c>
      <c r="Z83" s="111">
        <v>0</v>
      </c>
      <c r="AA83" s="116">
        <v>4.0503999999999998E-2</v>
      </c>
      <c r="AB83" s="111">
        <v>9.931100000000001E-2</v>
      </c>
      <c r="AC83" s="113">
        <f t="shared" si="8"/>
        <v>0.13981500000000002</v>
      </c>
      <c r="AD83" s="111">
        <v>0</v>
      </c>
      <c r="AE83" s="111">
        <v>4.5789999999999997E-2</v>
      </c>
      <c r="AF83" s="112">
        <v>0</v>
      </c>
      <c r="AG83" s="117">
        <v>0</v>
      </c>
      <c r="AH83" s="111">
        <v>3.5999999999999997E-2</v>
      </c>
      <c r="AI83" s="112">
        <v>0</v>
      </c>
      <c r="AJ83" s="112">
        <v>1.6191000000000001E-2</v>
      </c>
      <c r="AK83" s="113">
        <f t="shared" si="9"/>
        <v>9.7980999999999999E-2</v>
      </c>
      <c r="AL83" s="118"/>
      <c r="AM83" s="119"/>
      <c r="AN83" s="119"/>
      <c r="AO83" s="120"/>
    </row>
    <row r="84" spans="1:41" s="121" customFormat="1" ht="16.5" customHeight="1">
      <c r="A84" s="104" t="s">
        <v>2134</v>
      </c>
      <c r="B84" s="105" t="s">
        <v>586</v>
      </c>
      <c r="C84" s="106" t="s">
        <v>575</v>
      </c>
      <c r="D84" s="106" t="s">
        <v>2415</v>
      </c>
      <c r="E84" s="71" t="s">
        <v>119</v>
      </c>
      <c r="F84" s="71" t="s">
        <v>78</v>
      </c>
      <c r="G84" s="109" t="s">
        <v>180</v>
      </c>
      <c r="H84" s="110">
        <v>0</v>
      </c>
      <c r="I84" s="112">
        <v>0</v>
      </c>
      <c r="J84" s="112">
        <v>104.1</v>
      </c>
      <c r="K84" s="113">
        <f t="shared" si="6"/>
        <v>104.1</v>
      </c>
      <c r="L84" s="112">
        <v>0.42170600000000003</v>
      </c>
      <c r="M84" s="111">
        <v>5.8049999999999997E-2</v>
      </c>
      <c r="N84" s="115">
        <v>0</v>
      </c>
      <c r="O84" s="111">
        <v>5.3859999999999998E-2</v>
      </c>
      <c r="P84" s="142">
        <v>3.2000000000000001E-2</v>
      </c>
      <c r="Q84" s="111">
        <v>8509</v>
      </c>
      <c r="R84" s="112"/>
      <c r="S84" s="112"/>
      <c r="T84" s="111">
        <f t="shared" si="5"/>
        <v>272</v>
      </c>
      <c r="U84" s="115">
        <v>0</v>
      </c>
      <c r="V84" s="144">
        <v>2.4493999999999998E-2</v>
      </c>
      <c r="W84" s="111">
        <v>99.311000000000007</v>
      </c>
      <c r="X84" s="113">
        <f t="shared" si="7"/>
        <v>371.86910999999998</v>
      </c>
      <c r="Y84" s="111">
        <v>0</v>
      </c>
      <c r="Z84" s="111">
        <v>0</v>
      </c>
      <c r="AA84" s="116">
        <v>0.188004</v>
      </c>
      <c r="AB84" s="111">
        <v>9.931100000000001E-2</v>
      </c>
      <c r="AC84" s="113">
        <f t="shared" si="8"/>
        <v>0.28731499999999999</v>
      </c>
      <c r="AD84" s="111">
        <v>0</v>
      </c>
      <c r="AE84" s="111">
        <v>0.13161600000000001</v>
      </c>
      <c r="AF84" s="112">
        <v>0</v>
      </c>
      <c r="AG84" s="117">
        <v>0</v>
      </c>
      <c r="AH84" s="111">
        <v>0.14000000000000001</v>
      </c>
      <c r="AI84" s="112">
        <v>4.0000000000000001E-3</v>
      </c>
      <c r="AJ84" s="112">
        <v>0.126221</v>
      </c>
      <c r="AK84" s="113">
        <f t="shared" si="9"/>
        <v>0.401837</v>
      </c>
      <c r="AL84" s="118"/>
      <c r="AM84" s="119"/>
      <c r="AN84" s="119"/>
      <c r="AO84" s="120"/>
    </row>
    <row r="85" spans="1:41" s="121" customFormat="1" ht="16.5" customHeight="1">
      <c r="A85" s="104" t="s">
        <v>2134</v>
      </c>
      <c r="B85" s="105" t="s">
        <v>591</v>
      </c>
      <c r="C85" s="106" t="s">
        <v>581</v>
      </c>
      <c r="D85" s="106" t="s">
        <v>2415</v>
      </c>
      <c r="E85" s="71" t="s">
        <v>582</v>
      </c>
      <c r="F85" s="71" t="s">
        <v>78</v>
      </c>
      <c r="G85" s="109" t="s">
        <v>180</v>
      </c>
      <c r="H85" s="110">
        <v>0</v>
      </c>
      <c r="I85" s="112">
        <v>0</v>
      </c>
      <c r="J85" s="112">
        <v>81.900000000000006</v>
      </c>
      <c r="K85" s="113">
        <f t="shared" si="6"/>
        <v>81.900000000000006</v>
      </c>
      <c r="L85" s="111">
        <v>0.30776500000000001</v>
      </c>
      <c r="M85" s="111">
        <v>2.2518999999999997E-2</v>
      </c>
      <c r="N85" s="115">
        <v>0</v>
      </c>
      <c r="O85" s="111">
        <v>2.7E-2</v>
      </c>
      <c r="P85" s="142">
        <v>3.2000000000000001E-2</v>
      </c>
      <c r="Q85" s="111">
        <v>8509</v>
      </c>
      <c r="R85" s="112"/>
      <c r="S85" s="112"/>
      <c r="T85" s="111">
        <f t="shared" si="5"/>
        <v>272</v>
      </c>
      <c r="U85" s="115">
        <v>0</v>
      </c>
      <c r="V85" s="144">
        <v>1.8013000000000001E-2</v>
      </c>
      <c r="W85" s="111">
        <v>99.311000000000007</v>
      </c>
      <c r="X85" s="113">
        <f t="shared" si="7"/>
        <v>371.68629699999997</v>
      </c>
      <c r="Y85" s="111">
        <v>0</v>
      </c>
      <c r="Z85" s="111">
        <v>0</v>
      </c>
      <c r="AA85" s="116">
        <v>0.121</v>
      </c>
      <c r="AB85" s="111">
        <v>9.931100000000001E-2</v>
      </c>
      <c r="AC85" s="113">
        <f t="shared" si="8"/>
        <v>0.22031100000000001</v>
      </c>
      <c r="AD85" s="111">
        <v>0</v>
      </c>
      <c r="AE85" s="111">
        <v>3.8880000000000005E-2</v>
      </c>
      <c r="AF85" s="112">
        <v>0</v>
      </c>
      <c r="AG85" s="117">
        <v>0</v>
      </c>
      <c r="AH85" s="111">
        <v>0.13400000000000001</v>
      </c>
      <c r="AI85" s="112">
        <v>4.0000000000000001E-3</v>
      </c>
      <c r="AJ85" s="112">
        <v>2.8999999999999998E-3</v>
      </c>
      <c r="AK85" s="113">
        <f t="shared" si="9"/>
        <v>0.17978</v>
      </c>
      <c r="AL85" s="118"/>
      <c r="AM85" s="119"/>
      <c r="AN85" s="119"/>
      <c r="AO85" s="120"/>
    </row>
    <row r="86" spans="1:41" s="121" customFormat="1" ht="16.5" customHeight="1">
      <c r="A86" s="104" t="s">
        <v>2134</v>
      </c>
      <c r="B86" s="105" t="s">
        <v>597</v>
      </c>
      <c r="C86" s="106" t="s">
        <v>587</v>
      </c>
      <c r="D86" s="106" t="s">
        <v>2415</v>
      </c>
      <c r="E86" s="71" t="s">
        <v>588</v>
      </c>
      <c r="F86" s="71" t="s">
        <v>78</v>
      </c>
      <c r="G86" s="109" t="s">
        <v>180</v>
      </c>
      <c r="H86" s="110">
        <v>0</v>
      </c>
      <c r="I86" s="112">
        <v>0</v>
      </c>
      <c r="J86" s="112">
        <v>13.7</v>
      </c>
      <c r="K86" s="113">
        <f t="shared" si="6"/>
        <v>13.7</v>
      </c>
      <c r="L86" s="111">
        <v>0.146783</v>
      </c>
      <c r="M86" s="111">
        <v>2.2518999999999997E-2</v>
      </c>
      <c r="N86" s="115">
        <v>0</v>
      </c>
      <c r="O86" s="111">
        <v>0.31227999999999995</v>
      </c>
      <c r="P86" s="142">
        <v>3.2000000000000001E-2</v>
      </c>
      <c r="Q86" s="111">
        <v>8509</v>
      </c>
      <c r="R86" s="112"/>
      <c r="S86" s="112"/>
      <c r="T86" s="111">
        <f t="shared" si="5"/>
        <v>272</v>
      </c>
      <c r="U86" s="115">
        <v>0</v>
      </c>
      <c r="V86" s="144">
        <v>1.8013999999999999E-2</v>
      </c>
      <c r="W86" s="111">
        <v>99.311000000000007</v>
      </c>
      <c r="X86" s="113">
        <f t="shared" si="7"/>
        <v>371.81059600000003</v>
      </c>
      <c r="Y86" s="111">
        <v>0</v>
      </c>
      <c r="Z86" s="111">
        <v>0</v>
      </c>
      <c r="AA86" s="116">
        <v>2.0001999999999999E-2</v>
      </c>
      <c r="AB86" s="111">
        <v>9.931100000000001E-2</v>
      </c>
      <c r="AC86" s="113">
        <f t="shared" si="8"/>
        <v>0.119313</v>
      </c>
      <c r="AD86" s="111">
        <v>0</v>
      </c>
      <c r="AE86" s="111">
        <v>2.3199999999999998E-2</v>
      </c>
      <c r="AF86" s="112">
        <v>0</v>
      </c>
      <c r="AG86" s="117">
        <v>0</v>
      </c>
      <c r="AH86" s="111">
        <v>0.03</v>
      </c>
      <c r="AI86" s="112">
        <v>4.0000000000000001E-3</v>
      </c>
      <c r="AJ86" s="112">
        <v>1.9814000000000002E-2</v>
      </c>
      <c r="AK86" s="113">
        <f t="shared" si="9"/>
        <v>7.7013999999999999E-2</v>
      </c>
      <c r="AL86" s="118"/>
      <c r="AM86" s="119"/>
      <c r="AN86" s="119"/>
      <c r="AO86" s="120"/>
    </row>
    <row r="87" spans="1:41" s="121" customFormat="1" ht="16.5" customHeight="1">
      <c r="A87" s="104" t="s">
        <v>2134</v>
      </c>
      <c r="B87" s="105" t="s">
        <v>600</v>
      </c>
      <c r="C87" s="106" t="s">
        <v>592</v>
      </c>
      <c r="D87" s="106" t="s">
        <v>2415</v>
      </c>
      <c r="E87" s="71" t="s">
        <v>593</v>
      </c>
      <c r="F87" s="71" t="s">
        <v>78</v>
      </c>
      <c r="G87" s="109" t="s">
        <v>180</v>
      </c>
      <c r="H87" s="110">
        <v>0</v>
      </c>
      <c r="I87" s="112">
        <v>0</v>
      </c>
      <c r="J87" s="112">
        <v>3.8</v>
      </c>
      <c r="K87" s="113">
        <f t="shared" si="6"/>
        <v>3.8</v>
      </c>
      <c r="L87" s="111">
        <v>0.23074</v>
      </c>
      <c r="M87" s="111">
        <v>2.2518999999999997E-2</v>
      </c>
      <c r="N87" s="115">
        <v>0.71742600000000001</v>
      </c>
      <c r="O87" s="111">
        <v>0</v>
      </c>
      <c r="P87" s="142">
        <v>3.2000000000000001E-2</v>
      </c>
      <c r="Q87" s="111">
        <v>8509</v>
      </c>
      <c r="R87" s="112"/>
      <c r="S87" s="112"/>
      <c r="T87" s="111">
        <f t="shared" si="5"/>
        <v>272</v>
      </c>
      <c r="U87" s="115">
        <v>0</v>
      </c>
      <c r="V87" s="144">
        <v>2.4493999999999998E-2</v>
      </c>
      <c r="W87" s="111">
        <v>99.311000000000007</v>
      </c>
      <c r="X87" s="113">
        <f t="shared" si="7"/>
        <v>372.30617900000004</v>
      </c>
      <c r="Y87" s="111">
        <v>0</v>
      </c>
      <c r="Z87" s="111">
        <v>0</v>
      </c>
      <c r="AA87" s="116">
        <v>6.502E-3</v>
      </c>
      <c r="AB87" s="111">
        <v>9.931100000000001E-2</v>
      </c>
      <c r="AC87" s="113">
        <f t="shared" si="8"/>
        <v>0.105813</v>
      </c>
      <c r="AD87" s="111">
        <v>0</v>
      </c>
      <c r="AE87" s="111">
        <v>0</v>
      </c>
      <c r="AF87" s="112">
        <v>0</v>
      </c>
      <c r="AG87" s="117">
        <v>0</v>
      </c>
      <c r="AH87" s="111">
        <v>6.5000000000000002E-2</v>
      </c>
      <c r="AI87" s="112">
        <v>0.01</v>
      </c>
      <c r="AJ87" s="112">
        <v>1.256E-2</v>
      </c>
      <c r="AK87" s="113">
        <f t="shared" si="9"/>
        <v>8.7559999999999999E-2</v>
      </c>
      <c r="AL87" s="118"/>
      <c r="AM87" s="119"/>
      <c r="AN87" s="119"/>
      <c r="AO87" s="120"/>
    </row>
    <row r="88" spans="1:41" s="121" customFormat="1" ht="16.5" customHeight="1">
      <c r="A88" s="104" t="s">
        <v>2134</v>
      </c>
      <c r="B88" s="105" t="s">
        <v>605</v>
      </c>
      <c r="C88" s="106" t="s">
        <v>598</v>
      </c>
      <c r="D88" s="106" t="s">
        <v>2415</v>
      </c>
      <c r="E88" s="71" t="s">
        <v>163</v>
      </c>
      <c r="F88" s="71" t="s">
        <v>78</v>
      </c>
      <c r="G88" s="109" t="s">
        <v>156</v>
      </c>
      <c r="H88" s="110">
        <v>0</v>
      </c>
      <c r="I88" s="112">
        <v>0</v>
      </c>
      <c r="J88" s="112">
        <v>0</v>
      </c>
      <c r="K88" s="113">
        <f t="shared" si="6"/>
        <v>0</v>
      </c>
      <c r="L88" s="111">
        <v>0</v>
      </c>
      <c r="M88" s="111">
        <v>0</v>
      </c>
      <c r="N88" s="115">
        <v>0</v>
      </c>
      <c r="O88" s="111">
        <v>0</v>
      </c>
      <c r="P88" s="114"/>
      <c r="Q88" s="111">
        <v>8509</v>
      </c>
      <c r="R88" s="112"/>
      <c r="S88" s="112"/>
      <c r="T88" s="111">
        <f t="shared" si="5"/>
        <v>0</v>
      </c>
      <c r="U88" s="115">
        <v>0</v>
      </c>
      <c r="V88" s="144">
        <v>0</v>
      </c>
      <c r="W88" s="111">
        <v>0</v>
      </c>
      <c r="X88" s="113">
        <f t="shared" si="7"/>
        <v>0</v>
      </c>
      <c r="Y88" s="111">
        <v>0</v>
      </c>
      <c r="Z88" s="111">
        <v>0</v>
      </c>
      <c r="AA88" s="116">
        <v>0</v>
      </c>
      <c r="AB88" s="111">
        <v>0</v>
      </c>
      <c r="AC88" s="113">
        <f t="shared" si="8"/>
        <v>0</v>
      </c>
      <c r="AD88" s="111">
        <v>0</v>
      </c>
      <c r="AE88" s="111">
        <v>0</v>
      </c>
      <c r="AF88" s="112">
        <v>0</v>
      </c>
      <c r="AG88" s="117">
        <v>0</v>
      </c>
      <c r="AH88" s="111">
        <v>0</v>
      </c>
      <c r="AI88" s="112">
        <v>0</v>
      </c>
      <c r="AJ88" s="112">
        <v>0</v>
      </c>
      <c r="AK88" s="113">
        <f t="shared" si="9"/>
        <v>0</v>
      </c>
      <c r="AL88" s="118"/>
      <c r="AM88" s="119"/>
      <c r="AN88" s="119"/>
      <c r="AO88" s="120"/>
    </row>
    <row r="89" spans="1:41" s="121" customFormat="1" ht="16.5" customHeight="1">
      <c r="A89" s="104" t="s">
        <v>2134</v>
      </c>
      <c r="B89" s="105" t="s">
        <v>611</v>
      </c>
      <c r="C89" s="106" t="s">
        <v>601</v>
      </c>
      <c r="D89" s="106" t="s">
        <v>2415</v>
      </c>
      <c r="E89" s="71" t="s">
        <v>602</v>
      </c>
      <c r="F89" s="71" t="s">
        <v>78</v>
      </c>
      <c r="G89" s="109" t="s">
        <v>180</v>
      </c>
      <c r="H89" s="110">
        <v>0</v>
      </c>
      <c r="I89" s="112">
        <v>0</v>
      </c>
      <c r="J89" s="112">
        <v>58.75</v>
      </c>
      <c r="K89" s="113">
        <f t="shared" si="6"/>
        <v>58.75</v>
      </c>
      <c r="L89" s="111">
        <v>0.208458</v>
      </c>
      <c r="M89" s="111">
        <v>2.2518999999999997E-2</v>
      </c>
      <c r="N89" s="115">
        <v>0</v>
      </c>
      <c r="O89" s="111">
        <v>0</v>
      </c>
      <c r="P89" s="142">
        <v>3.2000000000000001E-2</v>
      </c>
      <c r="Q89" s="111">
        <v>8509</v>
      </c>
      <c r="R89" s="112"/>
      <c r="S89" s="112"/>
      <c r="T89" s="111">
        <f t="shared" si="5"/>
        <v>272</v>
      </c>
      <c r="U89" s="115">
        <v>0</v>
      </c>
      <c r="V89" s="144">
        <v>2.4493999999999998E-2</v>
      </c>
      <c r="W89" s="111">
        <v>99.311000000000007</v>
      </c>
      <c r="X89" s="113">
        <f t="shared" si="7"/>
        <v>371.56647099999998</v>
      </c>
      <c r="Y89" s="111">
        <v>0</v>
      </c>
      <c r="Z89" s="111">
        <v>0</v>
      </c>
      <c r="AA89" s="116">
        <v>0.14990299999999998</v>
      </c>
      <c r="AB89" s="111">
        <v>9.931100000000001E-2</v>
      </c>
      <c r="AC89" s="113">
        <f t="shared" si="8"/>
        <v>0.24921399999999999</v>
      </c>
      <c r="AD89" s="111">
        <v>0</v>
      </c>
      <c r="AE89" s="111">
        <v>3.2400000000000001E-4</v>
      </c>
      <c r="AF89" s="112">
        <v>0</v>
      </c>
      <c r="AG89" s="117">
        <v>2E-3</v>
      </c>
      <c r="AH89" s="111">
        <v>0.18</v>
      </c>
      <c r="AI89" s="112">
        <v>0.01</v>
      </c>
      <c r="AJ89" s="112">
        <v>5.1267E-2</v>
      </c>
      <c r="AK89" s="113">
        <f t="shared" si="9"/>
        <v>0.243591</v>
      </c>
      <c r="AL89" s="118"/>
      <c r="AM89" s="119"/>
      <c r="AN89" s="119"/>
      <c r="AO89" s="120"/>
    </row>
    <row r="90" spans="1:41" s="121" customFormat="1" ht="16.5" customHeight="1">
      <c r="A90" s="104" t="s">
        <v>2134</v>
      </c>
      <c r="B90" s="105" t="s">
        <v>618</v>
      </c>
      <c r="C90" s="106" t="s">
        <v>606</v>
      </c>
      <c r="D90" s="106" t="s">
        <v>2415</v>
      </c>
      <c r="E90" s="71" t="s">
        <v>607</v>
      </c>
      <c r="F90" s="71" t="s">
        <v>78</v>
      </c>
      <c r="G90" s="109" t="s">
        <v>180</v>
      </c>
      <c r="H90" s="110">
        <v>0</v>
      </c>
      <c r="I90" s="112">
        <v>0</v>
      </c>
      <c r="J90" s="112">
        <v>316.89999999999998</v>
      </c>
      <c r="K90" s="113">
        <f t="shared" si="6"/>
        <v>316.89999999999998</v>
      </c>
      <c r="L90" s="111">
        <v>0.5608200000000001</v>
      </c>
      <c r="M90" s="111">
        <v>2.2519999999999998E-2</v>
      </c>
      <c r="N90" s="115">
        <v>0</v>
      </c>
      <c r="O90" s="111">
        <v>3.0800000000000001E-2</v>
      </c>
      <c r="P90" s="142">
        <v>3.2000000000000001E-2</v>
      </c>
      <c r="Q90" s="111">
        <v>8509</v>
      </c>
      <c r="R90" s="112"/>
      <c r="S90" s="112"/>
      <c r="T90" s="111">
        <f t="shared" si="5"/>
        <v>272</v>
      </c>
      <c r="U90" s="115">
        <v>0</v>
      </c>
      <c r="V90" s="144">
        <v>2.6481000000000001E-2</v>
      </c>
      <c r="W90" s="111">
        <v>99.311000000000007</v>
      </c>
      <c r="X90" s="113">
        <f t="shared" si="7"/>
        <v>371.95162100000005</v>
      </c>
      <c r="Y90" s="111">
        <v>0</v>
      </c>
      <c r="Z90" s="111">
        <v>0</v>
      </c>
      <c r="AA90" s="116">
        <v>0.45631499999999997</v>
      </c>
      <c r="AB90" s="111">
        <v>9.931100000000001E-2</v>
      </c>
      <c r="AC90" s="113">
        <f t="shared" si="8"/>
        <v>0.55562599999999995</v>
      </c>
      <c r="AD90" s="111">
        <v>0</v>
      </c>
      <c r="AE90" s="111">
        <v>0.145983</v>
      </c>
      <c r="AF90" s="112">
        <v>0</v>
      </c>
      <c r="AG90" s="117">
        <v>3.7223999999999993E-2</v>
      </c>
      <c r="AH90" s="111">
        <v>4.5999999999999999E-2</v>
      </c>
      <c r="AI90" s="112">
        <v>0</v>
      </c>
      <c r="AJ90" s="112">
        <v>2.4306000000000001E-2</v>
      </c>
      <c r="AK90" s="113">
        <f t="shared" si="9"/>
        <v>0.25351299999999999</v>
      </c>
      <c r="AL90" s="118"/>
      <c r="AM90" s="119"/>
      <c r="AN90" s="119"/>
      <c r="AO90" s="120"/>
    </row>
    <row r="91" spans="1:41" s="121" customFormat="1" ht="16.5" customHeight="1">
      <c r="A91" s="104" t="s">
        <v>2134</v>
      </c>
      <c r="B91" s="105" t="s">
        <v>621</v>
      </c>
      <c r="C91" s="106" t="s">
        <v>612</v>
      </c>
      <c r="D91" s="106" t="s">
        <v>2415</v>
      </c>
      <c r="E91" s="71" t="s">
        <v>613</v>
      </c>
      <c r="F91" s="71" t="s">
        <v>78</v>
      </c>
      <c r="G91" s="109" t="s">
        <v>180</v>
      </c>
      <c r="H91" s="110">
        <v>0</v>
      </c>
      <c r="I91" s="112">
        <v>0</v>
      </c>
      <c r="J91" s="112">
        <v>172.9</v>
      </c>
      <c r="K91" s="113">
        <f t="shared" si="6"/>
        <v>172.9</v>
      </c>
      <c r="L91" s="111">
        <v>0.65345699999999995</v>
      </c>
      <c r="M91" s="111">
        <v>2.2519999999999998E-2</v>
      </c>
      <c r="N91" s="115">
        <v>0</v>
      </c>
      <c r="O91" s="111">
        <v>0.71653999999999995</v>
      </c>
      <c r="P91" s="142">
        <v>3.2000000000000001E-2</v>
      </c>
      <c r="Q91" s="111">
        <v>8509</v>
      </c>
      <c r="R91" s="112"/>
      <c r="S91" s="112"/>
      <c r="T91" s="111">
        <f t="shared" si="5"/>
        <v>272</v>
      </c>
      <c r="U91" s="115">
        <v>0</v>
      </c>
      <c r="V91" s="144">
        <v>7.6090000000000003E-3</v>
      </c>
      <c r="W91" s="111">
        <v>99.311000000000007</v>
      </c>
      <c r="X91" s="113">
        <f t="shared" si="7"/>
        <v>372.71112600000004</v>
      </c>
      <c r="Y91" s="111">
        <v>0</v>
      </c>
      <c r="Z91" s="111">
        <v>0</v>
      </c>
      <c r="AA91" s="116">
        <v>0.26710400000000001</v>
      </c>
      <c r="AB91" s="111">
        <v>9.931100000000001E-2</v>
      </c>
      <c r="AC91" s="113">
        <f t="shared" si="8"/>
        <v>0.36641500000000005</v>
      </c>
      <c r="AD91" s="111">
        <v>0</v>
      </c>
      <c r="AE91" s="111">
        <v>5.0970000000000008E-3</v>
      </c>
      <c r="AF91" s="112">
        <v>0</v>
      </c>
      <c r="AG91" s="117">
        <v>0</v>
      </c>
      <c r="AH91" s="111">
        <v>0.245</v>
      </c>
      <c r="AI91" s="112">
        <v>0.01</v>
      </c>
      <c r="AJ91" s="112">
        <v>5.9518000000000001E-2</v>
      </c>
      <c r="AK91" s="113">
        <f t="shared" si="9"/>
        <v>0.31961500000000004</v>
      </c>
      <c r="AL91" s="118"/>
      <c r="AM91" s="119"/>
      <c r="AN91" s="119"/>
      <c r="AO91" s="120"/>
    </row>
    <row r="92" spans="1:41" s="121" customFormat="1" ht="16.5" customHeight="1">
      <c r="A92" s="104" t="s">
        <v>2134</v>
      </c>
      <c r="B92" s="105" t="s">
        <v>624</v>
      </c>
      <c r="C92" s="106" t="s">
        <v>619</v>
      </c>
      <c r="D92" s="106" t="s">
        <v>2415</v>
      </c>
      <c r="E92" s="71" t="s">
        <v>620</v>
      </c>
      <c r="F92" s="71" t="s">
        <v>78</v>
      </c>
      <c r="G92" s="109" t="s">
        <v>180</v>
      </c>
      <c r="H92" s="110">
        <v>0</v>
      </c>
      <c r="I92" s="112">
        <v>0</v>
      </c>
      <c r="J92" s="112">
        <v>94.924999999999997</v>
      </c>
      <c r="K92" s="113">
        <f t="shared" si="6"/>
        <v>94.924999999999997</v>
      </c>
      <c r="L92" s="111">
        <v>0.57447199999999998</v>
      </c>
      <c r="M92" s="111">
        <v>2.2518999999999997E-2</v>
      </c>
      <c r="N92" s="115">
        <v>0</v>
      </c>
      <c r="O92" s="111">
        <v>0.108</v>
      </c>
      <c r="P92" s="142">
        <v>3.2000000000000001E-2</v>
      </c>
      <c r="Q92" s="111">
        <v>8509</v>
      </c>
      <c r="R92" s="112"/>
      <c r="S92" s="112"/>
      <c r="T92" s="111">
        <f t="shared" si="5"/>
        <v>272</v>
      </c>
      <c r="U92" s="115">
        <v>3.476</v>
      </c>
      <c r="V92" s="144">
        <v>4.3934000000000001E-2</v>
      </c>
      <c r="W92" s="111">
        <v>99.311000000000007</v>
      </c>
      <c r="X92" s="113">
        <f t="shared" si="7"/>
        <v>375.53592500000002</v>
      </c>
      <c r="Y92" s="111">
        <v>0</v>
      </c>
      <c r="Z92" s="111">
        <v>0</v>
      </c>
      <c r="AA92" s="116">
        <v>0.361954</v>
      </c>
      <c r="AB92" s="111">
        <v>9.931100000000001E-2</v>
      </c>
      <c r="AC92" s="113">
        <f t="shared" si="8"/>
        <v>0.46126500000000004</v>
      </c>
      <c r="AD92" s="111">
        <v>0</v>
      </c>
      <c r="AE92" s="111">
        <v>0.14077199999999998</v>
      </c>
      <c r="AF92" s="112">
        <v>0</v>
      </c>
      <c r="AG92" s="117">
        <v>0</v>
      </c>
      <c r="AH92" s="111">
        <v>0.18</v>
      </c>
      <c r="AI92" s="112">
        <v>4.0000000000000001E-3</v>
      </c>
      <c r="AJ92" s="112">
        <v>0.19321199999999999</v>
      </c>
      <c r="AK92" s="113">
        <f t="shared" si="9"/>
        <v>0.517984</v>
      </c>
      <c r="AL92" s="118"/>
      <c r="AM92" s="119"/>
      <c r="AN92" s="119"/>
      <c r="AO92" s="120"/>
    </row>
    <row r="93" spans="1:41" s="121" customFormat="1" ht="16.5" customHeight="1">
      <c r="A93" s="104" t="s">
        <v>2134</v>
      </c>
      <c r="B93" s="105" t="s">
        <v>627</v>
      </c>
      <c r="C93" s="106" t="s">
        <v>622</v>
      </c>
      <c r="D93" s="106" t="s">
        <v>2415</v>
      </c>
      <c r="E93" s="71" t="s">
        <v>623</v>
      </c>
      <c r="F93" s="71" t="s">
        <v>78</v>
      </c>
      <c r="G93" s="109" t="s">
        <v>180</v>
      </c>
      <c r="H93" s="110">
        <v>0</v>
      </c>
      <c r="I93" s="112">
        <v>0</v>
      </c>
      <c r="J93" s="112">
        <v>70.2</v>
      </c>
      <c r="K93" s="113">
        <f t="shared" si="6"/>
        <v>70.2</v>
      </c>
      <c r="L93" s="111">
        <v>0.180863</v>
      </c>
      <c r="M93" s="111">
        <v>2.2518999999999997E-2</v>
      </c>
      <c r="N93" s="115">
        <v>0</v>
      </c>
      <c r="O93" s="111">
        <v>6.4799999999999996E-2</v>
      </c>
      <c r="P93" s="142">
        <v>3.2000000000000001E-2</v>
      </c>
      <c r="Q93" s="111">
        <v>8509</v>
      </c>
      <c r="R93" s="112"/>
      <c r="S93" s="112"/>
      <c r="T93" s="111">
        <f t="shared" si="5"/>
        <v>272</v>
      </c>
      <c r="U93" s="115">
        <v>0</v>
      </c>
      <c r="V93" s="144">
        <v>3.0974000000000002E-2</v>
      </c>
      <c r="W93" s="111">
        <v>99.311000000000007</v>
      </c>
      <c r="X93" s="113">
        <f t="shared" si="7"/>
        <v>371.61015600000007</v>
      </c>
      <c r="Y93" s="111">
        <v>0</v>
      </c>
      <c r="Z93" s="111">
        <v>0</v>
      </c>
      <c r="AA93" s="116">
        <v>9.0606999999999993E-2</v>
      </c>
      <c r="AB93" s="111">
        <v>9.931100000000001E-2</v>
      </c>
      <c r="AC93" s="113">
        <f t="shared" si="8"/>
        <v>0.189918</v>
      </c>
      <c r="AD93" s="111">
        <v>0</v>
      </c>
      <c r="AE93" s="111">
        <v>3.1819E-2</v>
      </c>
      <c r="AF93" s="112">
        <v>0</v>
      </c>
      <c r="AG93" s="117">
        <v>0</v>
      </c>
      <c r="AH93" s="111">
        <v>0</v>
      </c>
      <c r="AI93" s="112">
        <v>4.0000000000000001E-3</v>
      </c>
      <c r="AJ93" s="112">
        <v>1.6018999999999999E-2</v>
      </c>
      <c r="AK93" s="113">
        <f t="shared" si="9"/>
        <v>5.1838000000000002E-2</v>
      </c>
      <c r="AL93" s="118"/>
      <c r="AM93" s="119"/>
      <c r="AN93" s="119"/>
      <c r="AO93" s="120"/>
    </row>
    <row r="94" spans="1:41" s="121" customFormat="1" ht="16.5" customHeight="1">
      <c r="A94" s="104" t="s">
        <v>2134</v>
      </c>
      <c r="B94" s="105" t="s">
        <v>634</v>
      </c>
      <c r="C94" s="106" t="s">
        <v>625</v>
      </c>
      <c r="D94" s="106" t="s">
        <v>2415</v>
      </c>
      <c r="E94" s="71" t="s">
        <v>626</v>
      </c>
      <c r="F94" s="71" t="s">
        <v>78</v>
      </c>
      <c r="G94" s="109" t="s">
        <v>180</v>
      </c>
      <c r="H94" s="110">
        <v>0</v>
      </c>
      <c r="I94" s="112">
        <v>0</v>
      </c>
      <c r="J94" s="112">
        <v>118.1</v>
      </c>
      <c r="K94" s="113">
        <f t="shared" si="6"/>
        <v>118.1</v>
      </c>
      <c r="L94" s="111">
        <v>0.35558100000000004</v>
      </c>
      <c r="M94" s="111">
        <v>2.2518999999999997E-2</v>
      </c>
      <c r="N94" s="115">
        <v>0</v>
      </c>
      <c r="O94" s="111">
        <v>0</v>
      </c>
      <c r="P94" s="142">
        <v>3.2000000000000001E-2</v>
      </c>
      <c r="Q94" s="111">
        <v>8509</v>
      </c>
      <c r="R94" s="112"/>
      <c r="S94" s="112"/>
      <c r="T94" s="111">
        <f t="shared" si="5"/>
        <v>272</v>
      </c>
      <c r="U94" s="115">
        <v>0.66</v>
      </c>
      <c r="V94" s="144">
        <v>2.4493999999999998E-2</v>
      </c>
      <c r="W94" s="111">
        <v>99.311000000000007</v>
      </c>
      <c r="X94" s="113">
        <f t="shared" si="7"/>
        <v>372.37359400000003</v>
      </c>
      <c r="Y94" s="111">
        <v>0</v>
      </c>
      <c r="Z94" s="111">
        <v>0</v>
      </c>
      <c r="AA94" s="116">
        <v>9.6602999999999994E-2</v>
      </c>
      <c r="AB94" s="111">
        <v>9.931100000000001E-2</v>
      </c>
      <c r="AC94" s="113">
        <f t="shared" si="8"/>
        <v>0.195914</v>
      </c>
      <c r="AD94" s="111">
        <v>0</v>
      </c>
      <c r="AE94" s="111">
        <v>8.2160999999999998E-2</v>
      </c>
      <c r="AF94" s="112">
        <v>0</v>
      </c>
      <c r="AG94" s="117">
        <v>0</v>
      </c>
      <c r="AH94" s="111">
        <v>5.8000000000000003E-2</v>
      </c>
      <c r="AI94" s="112">
        <v>0</v>
      </c>
      <c r="AJ94" s="112">
        <v>3.0405999999999999E-2</v>
      </c>
      <c r="AK94" s="113">
        <f t="shared" si="9"/>
        <v>0.170567</v>
      </c>
      <c r="AL94" s="118"/>
      <c r="AM94" s="119"/>
      <c r="AN94" s="119"/>
      <c r="AO94" s="120"/>
    </row>
    <row r="95" spans="1:41" s="121" customFormat="1" ht="16.5" customHeight="1">
      <c r="A95" s="104" t="s">
        <v>2134</v>
      </c>
      <c r="B95" s="105" t="s">
        <v>639</v>
      </c>
      <c r="C95" s="106" t="s">
        <v>628</v>
      </c>
      <c r="D95" s="106" t="s">
        <v>2415</v>
      </c>
      <c r="E95" s="71" t="s">
        <v>629</v>
      </c>
      <c r="F95" s="71" t="s">
        <v>78</v>
      </c>
      <c r="G95" s="109" t="s">
        <v>180</v>
      </c>
      <c r="H95" s="110">
        <v>0</v>
      </c>
      <c r="I95" s="112">
        <v>0</v>
      </c>
      <c r="J95" s="112">
        <v>0</v>
      </c>
      <c r="K95" s="113">
        <f t="shared" si="6"/>
        <v>0</v>
      </c>
      <c r="L95" s="111">
        <v>0.28773899999999997</v>
      </c>
      <c r="M95" s="111">
        <v>2.2518999999999997E-2</v>
      </c>
      <c r="N95" s="115">
        <v>0</v>
      </c>
      <c r="O95" s="111">
        <v>0</v>
      </c>
      <c r="P95" s="142">
        <v>3.2000000000000001E-2</v>
      </c>
      <c r="Q95" s="111">
        <v>8509</v>
      </c>
      <c r="R95" s="112"/>
      <c r="S95" s="112"/>
      <c r="T95" s="111">
        <f t="shared" si="5"/>
        <v>272</v>
      </c>
      <c r="U95" s="115">
        <v>1.4850000000000001</v>
      </c>
      <c r="V95" s="144">
        <v>1.8013999999999999E-2</v>
      </c>
      <c r="W95" s="111">
        <v>99.311000000000007</v>
      </c>
      <c r="X95" s="113">
        <f t="shared" si="7"/>
        <v>373.12427200000002</v>
      </c>
      <c r="Y95" s="111">
        <v>0</v>
      </c>
      <c r="Z95" s="111">
        <v>0</v>
      </c>
      <c r="AA95" s="116">
        <v>0</v>
      </c>
      <c r="AB95" s="111">
        <v>9.931100000000001E-2</v>
      </c>
      <c r="AC95" s="113">
        <f t="shared" si="8"/>
        <v>9.931100000000001E-2</v>
      </c>
      <c r="AD95" s="111">
        <v>0</v>
      </c>
      <c r="AE95" s="111">
        <v>0.1</v>
      </c>
      <c r="AF95" s="112">
        <v>0</v>
      </c>
      <c r="AG95" s="117">
        <v>0</v>
      </c>
      <c r="AH95" s="111">
        <v>3.2000000000000001E-2</v>
      </c>
      <c r="AI95" s="112">
        <v>0.01</v>
      </c>
      <c r="AJ95" s="112">
        <v>3.6511000000000002E-2</v>
      </c>
      <c r="AK95" s="113">
        <f t="shared" si="9"/>
        <v>0.17851100000000003</v>
      </c>
      <c r="AL95" s="118"/>
      <c r="AM95" s="119"/>
      <c r="AN95" s="119"/>
      <c r="AO95" s="120"/>
    </row>
    <row r="96" spans="1:41" s="121" customFormat="1" ht="16.5" customHeight="1">
      <c r="A96" s="104" t="s">
        <v>2134</v>
      </c>
      <c r="B96" s="105" t="s">
        <v>645</v>
      </c>
      <c r="C96" s="106" t="s">
        <v>635</v>
      </c>
      <c r="D96" s="106" t="s">
        <v>2415</v>
      </c>
      <c r="E96" s="71" t="s">
        <v>636</v>
      </c>
      <c r="F96" s="71" t="s">
        <v>78</v>
      </c>
      <c r="G96" s="109" t="s">
        <v>180</v>
      </c>
      <c r="H96" s="110">
        <v>0</v>
      </c>
      <c r="I96" s="112">
        <v>0</v>
      </c>
      <c r="J96" s="112">
        <v>49.14</v>
      </c>
      <c r="K96" s="113">
        <f t="shared" si="6"/>
        <v>49.14</v>
      </c>
      <c r="L96" s="111">
        <v>0.77316300000000004</v>
      </c>
      <c r="M96" s="111">
        <v>2.2518999999999997E-2</v>
      </c>
      <c r="N96" s="115">
        <v>0</v>
      </c>
      <c r="O96" s="111">
        <v>0.18919999999999998</v>
      </c>
      <c r="P96" s="142">
        <v>3.2000000000000001E-2</v>
      </c>
      <c r="Q96" s="111">
        <v>8509</v>
      </c>
      <c r="R96" s="112"/>
      <c r="S96" s="112"/>
      <c r="T96" s="111">
        <f t="shared" si="5"/>
        <v>272</v>
      </c>
      <c r="U96" s="115">
        <v>0</v>
      </c>
      <c r="V96" s="144">
        <v>1.8013999999999999E-2</v>
      </c>
      <c r="W96" s="111">
        <v>99.311000000000007</v>
      </c>
      <c r="X96" s="113">
        <f t="shared" si="7"/>
        <v>372.313896</v>
      </c>
      <c r="Y96" s="111">
        <v>0</v>
      </c>
      <c r="Z96" s="111">
        <v>0</v>
      </c>
      <c r="AA96" s="116">
        <v>0.37500099999999997</v>
      </c>
      <c r="AB96" s="111">
        <v>9.931100000000001E-2</v>
      </c>
      <c r="AC96" s="113">
        <f t="shared" si="8"/>
        <v>0.47431199999999996</v>
      </c>
      <c r="AD96" s="111">
        <v>0</v>
      </c>
      <c r="AE96" s="111">
        <v>0.18</v>
      </c>
      <c r="AF96" s="112">
        <v>0</v>
      </c>
      <c r="AG96" s="117">
        <v>0</v>
      </c>
      <c r="AH96" s="111">
        <v>0.2</v>
      </c>
      <c r="AI96" s="112">
        <v>0.01</v>
      </c>
      <c r="AJ96" s="112">
        <v>0.10233</v>
      </c>
      <c r="AK96" s="113">
        <f t="shared" si="9"/>
        <v>0.49233000000000005</v>
      </c>
      <c r="AL96" s="118"/>
      <c r="AM96" s="119"/>
      <c r="AN96" s="119"/>
      <c r="AO96" s="120"/>
    </row>
    <row r="97" spans="1:41" s="121" customFormat="1" ht="16.5" customHeight="1">
      <c r="A97" s="104" t="s">
        <v>2134</v>
      </c>
      <c r="B97" s="105" t="s">
        <v>652</v>
      </c>
      <c r="C97" s="106" t="s">
        <v>640</v>
      </c>
      <c r="D97" s="106" t="s">
        <v>2415</v>
      </c>
      <c r="E97" s="71" t="s">
        <v>641</v>
      </c>
      <c r="F97" s="71" t="s">
        <v>78</v>
      </c>
      <c r="G97" s="109" t="s">
        <v>180</v>
      </c>
      <c r="H97" s="110">
        <v>0</v>
      </c>
      <c r="I97" s="112">
        <v>0</v>
      </c>
      <c r="J97" s="112">
        <v>0</v>
      </c>
      <c r="K97" s="113">
        <f t="shared" si="6"/>
        <v>0</v>
      </c>
      <c r="L97" s="111">
        <v>0.27685500000000002</v>
      </c>
      <c r="M97" s="111">
        <v>2.2518999999999997E-2</v>
      </c>
      <c r="N97" s="115">
        <v>0</v>
      </c>
      <c r="O97" s="111">
        <v>8.4891999999999995E-2</v>
      </c>
      <c r="P97" s="142">
        <v>3.2000000000000001E-2</v>
      </c>
      <c r="Q97" s="111">
        <v>8509</v>
      </c>
      <c r="R97" s="112"/>
      <c r="S97" s="112"/>
      <c r="T97" s="111">
        <f t="shared" si="5"/>
        <v>272</v>
      </c>
      <c r="U97" s="115">
        <v>0.80300000000000005</v>
      </c>
      <c r="V97" s="144">
        <v>2.4493999999999998E-2</v>
      </c>
      <c r="W97" s="111">
        <v>99.311000000000007</v>
      </c>
      <c r="X97" s="113">
        <f t="shared" si="7"/>
        <v>372.52276000000006</v>
      </c>
      <c r="Y97" s="111">
        <v>0</v>
      </c>
      <c r="Z97" s="111">
        <v>0</v>
      </c>
      <c r="AA97" s="116">
        <v>8.2505999999999996E-2</v>
      </c>
      <c r="AB97" s="111">
        <v>9.931100000000001E-2</v>
      </c>
      <c r="AC97" s="113">
        <f t="shared" si="8"/>
        <v>0.18181700000000001</v>
      </c>
      <c r="AD97" s="111">
        <v>0</v>
      </c>
      <c r="AE97" s="111">
        <v>2.5000000000000001E-2</v>
      </c>
      <c r="AF97" s="112">
        <v>0</v>
      </c>
      <c r="AG97" s="117">
        <v>0</v>
      </c>
      <c r="AH97" s="111">
        <v>7.8E-2</v>
      </c>
      <c r="AI97" s="112">
        <v>0.01</v>
      </c>
      <c r="AJ97" s="112">
        <v>7.6609999999999994E-3</v>
      </c>
      <c r="AK97" s="113">
        <f t="shared" si="9"/>
        <v>0.120661</v>
      </c>
      <c r="AL97" s="118"/>
      <c r="AM97" s="119"/>
      <c r="AN97" s="119"/>
      <c r="AO97" s="120"/>
    </row>
    <row r="98" spans="1:41" s="121" customFormat="1" ht="16.5" customHeight="1">
      <c r="A98" s="104" t="s">
        <v>2134</v>
      </c>
      <c r="B98" s="105" t="s">
        <v>658</v>
      </c>
      <c r="C98" s="106" t="s">
        <v>646</v>
      </c>
      <c r="D98" s="106" t="s">
        <v>2415</v>
      </c>
      <c r="E98" s="71" t="s">
        <v>647</v>
      </c>
      <c r="F98" s="71" t="s">
        <v>78</v>
      </c>
      <c r="G98" s="109" t="s">
        <v>180</v>
      </c>
      <c r="H98" s="110">
        <v>0</v>
      </c>
      <c r="I98" s="112">
        <v>0</v>
      </c>
      <c r="J98" s="112">
        <v>3.4</v>
      </c>
      <c r="K98" s="113">
        <f t="shared" si="6"/>
        <v>3.4</v>
      </c>
      <c r="L98" s="111">
        <v>0.60838599999999998</v>
      </c>
      <c r="M98" s="111">
        <v>2.2519999999999998E-2</v>
      </c>
      <c r="N98" s="115">
        <v>0</v>
      </c>
      <c r="O98" s="111">
        <v>0.26783999999999997</v>
      </c>
      <c r="P98" s="142">
        <v>3.2000000000000001E-2</v>
      </c>
      <c r="Q98" s="111">
        <v>8509</v>
      </c>
      <c r="R98" s="112"/>
      <c r="S98" s="112"/>
      <c r="T98" s="111">
        <f t="shared" si="5"/>
        <v>272</v>
      </c>
      <c r="U98" s="115">
        <v>27.632000000000001</v>
      </c>
      <c r="V98" s="144">
        <v>2.6091999999999997E-2</v>
      </c>
      <c r="W98" s="111">
        <v>99.311000000000007</v>
      </c>
      <c r="X98" s="113">
        <f t="shared" si="7"/>
        <v>399.86783800000001</v>
      </c>
      <c r="Y98" s="111">
        <v>0</v>
      </c>
      <c r="Z98" s="111">
        <v>0</v>
      </c>
      <c r="AA98" s="116">
        <v>2.0004000000000001E-2</v>
      </c>
      <c r="AB98" s="111">
        <v>9.931100000000001E-2</v>
      </c>
      <c r="AC98" s="113">
        <f t="shared" si="8"/>
        <v>0.119315</v>
      </c>
      <c r="AD98" s="111">
        <v>0</v>
      </c>
      <c r="AE98" s="111">
        <v>0</v>
      </c>
      <c r="AF98" s="112">
        <v>0</v>
      </c>
      <c r="AG98" s="117">
        <v>0</v>
      </c>
      <c r="AH98" s="111">
        <v>0.09</v>
      </c>
      <c r="AI98" s="112">
        <v>0</v>
      </c>
      <c r="AJ98" s="112">
        <v>1.0936999999999999E-2</v>
      </c>
      <c r="AK98" s="113">
        <f t="shared" si="9"/>
        <v>0.100937</v>
      </c>
      <c r="AL98" s="118"/>
      <c r="AM98" s="119"/>
      <c r="AN98" s="119"/>
      <c r="AO98" s="120"/>
    </row>
    <row r="99" spans="1:41" s="121" customFormat="1" ht="16.5" customHeight="1">
      <c r="A99" s="104" t="s">
        <v>2134</v>
      </c>
      <c r="B99" s="105" t="s">
        <v>666</v>
      </c>
      <c r="C99" s="106" t="s">
        <v>653</v>
      </c>
      <c r="D99" s="106" t="s">
        <v>2415</v>
      </c>
      <c r="E99" s="71" t="s">
        <v>654</v>
      </c>
      <c r="F99" s="71" t="s">
        <v>78</v>
      </c>
      <c r="G99" s="109" t="s">
        <v>180</v>
      </c>
      <c r="H99" s="110">
        <v>0</v>
      </c>
      <c r="I99" s="112">
        <v>0</v>
      </c>
      <c r="J99" s="112">
        <v>31</v>
      </c>
      <c r="K99" s="113">
        <f t="shared" si="6"/>
        <v>31</v>
      </c>
      <c r="L99" s="111">
        <v>0.27493099999999998</v>
      </c>
      <c r="M99" s="111">
        <v>2.2518999999999997E-2</v>
      </c>
      <c r="N99" s="115">
        <v>0</v>
      </c>
      <c r="O99" s="111">
        <v>0</v>
      </c>
      <c r="P99" s="142">
        <v>3.2000000000000001E-2</v>
      </c>
      <c r="Q99" s="111">
        <v>8509</v>
      </c>
      <c r="R99" s="112"/>
      <c r="S99" s="112"/>
      <c r="T99" s="111">
        <f t="shared" si="5"/>
        <v>272</v>
      </c>
      <c r="U99" s="115">
        <v>0</v>
      </c>
      <c r="V99" s="144">
        <v>1.8013000000000001E-2</v>
      </c>
      <c r="W99" s="111">
        <v>99.311000000000007</v>
      </c>
      <c r="X99" s="113">
        <f t="shared" si="7"/>
        <v>371.62646300000006</v>
      </c>
      <c r="Y99" s="111">
        <v>0</v>
      </c>
      <c r="Z99" s="111">
        <v>0</v>
      </c>
      <c r="AA99" s="116">
        <v>5.6002000000000003E-2</v>
      </c>
      <c r="AB99" s="111">
        <v>9.931100000000001E-2</v>
      </c>
      <c r="AC99" s="113">
        <f t="shared" si="8"/>
        <v>0.15531300000000001</v>
      </c>
      <c r="AD99" s="111">
        <v>0</v>
      </c>
      <c r="AE99" s="111">
        <v>0</v>
      </c>
      <c r="AF99" s="112">
        <v>0</v>
      </c>
      <c r="AG99" s="117">
        <v>3.8880000000000005E-2</v>
      </c>
      <c r="AH99" s="111">
        <v>7.0999999999999994E-2</v>
      </c>
      <c r="AI99" s="112">
        <v>4.0000000000000001E-3</v>
      </c>
      <c r="AJ99" s="112">
        <v>2.8854999999999999E-2</v>
      </c>
      <c r="AK99" s="113">
        <f t="shared" si="9"/>
        <v>0.142735</v>
      </c>
      <c r="AL99" s="118"/>
      <c r="AM99" s="119"/>
      <c r="AN99" s="119"/>
      <c r="AO99" s="120"/>
    </row>
    <row r="100" spans="1:41" s="121" customFormat="1" ht="16.5" customHeight="1">
      <c r="A100" s="104" t="s">
        <v>2134</v>
      </c>
      <c r="B100" s="105" t="s">
        <v>667</v>
      </c>
      <c r="C100" s="106" t="s">
        <v>659</v>
      </c>
      <c r="D100" s="106" t="s">
        <v>2415</v>
      </c>
      <c r="E100" s="71" t="s">
        <v>660</v>
      </c>
      <c r="F100" s="71" t="s">
        <v>78</v>
      </c>
      <c r="G100" s="109" t="s">
        <v>180</v>
      </c>
      <c r="H100" s="110">
        <v>0</v>
      </c>
      <c r="I100" s="112">
        <v>0</v>
      </c>
      <c r="J100" s="112">
        <v>0</v>
      </c>
      <c r="K100" s="113">
        <f t="shared" si="6"/>
        <v>0</v>
      </c>
      <c r="L100" s="111">
        <v>0.67554999999999998</v>
      </c>
      <c r="M100" s="111">
        <v>2.2518999999999997E-2</v>
      </c>
      <c r="N100" s="115">
        <v>0</v>
      </c>
      <c r="O100" s="111">
        <v>1.2441</v>
      </c>
      <c r="P100" s="142">
        <v>3.2000000000000001E-2</v>
      </c>
      <c r="Q100" s="111">
        <v>8509</v>
      </c>
      <c r="R100" s="112"/>
      <c r="S100" s="112"/>
      <c r="T100" s="111">
        <f t="shared" si="5"/>
        <v>272</v>
      </c>
      <c r="U100" s="115">
        <v>0</v>
      </c>
      <c r="V100" s="144">
        <v>1.8013999999999999E-2</v>
      </c>
      <c r="W100" s="111">
        <v>99.311000000000007</v>
      </c>
      <c r="X100" s="113">
        <f t="shared" si="7"/>
        <v>373.27118299999995</v>
      </c>
      <c r="Y100" s="111">
        <v>0</v>
      </c>
      <c r="Z100" s="111">
        <v>0</v>
      </c>
      <c r="AA100" s="116">
        <v>0</v>
      </c>
      <c r="AB100" s="111">
        <v>9.931100000000001E-2</v>
      </c>
      <c r="AC100" s="113">
        <f t="shared" si="8"/>
        <v>9.931100000000001E-2</v>
      </c>
      <c r="AD100" s="111">
        <v>0</v>
      </c>
      <c r="AE100" s="111">
        <v>0.09</v>
      </c>
      <c r="AF100" s="112">
        <v>0</v>
      </c>
      <c r="AG100" s="117">
        <v>0</v>
      </c>
      <c r="AH100" s="111">
        <v>0</v>
      </c>
      <c r="AI100" s="112">
        <v>0</v>
      </c>
      <c r="AJ100" s="112">
        <v>3.4103000000000001E-2</v>
      </c>
      <c r="AK100" s="113">
        <f t="shared" si="9"/>
        <v>0.12410299999999999</v>
      </c>
      <c r="AL100" s="118"/>
      <c r="AM100" s="119"/>
      <c r="AN100" s="119"/>
      <c r="AO100" s="120"/>
    </row>
    <row r="101" spans="1:41" s="121" customFormat="1" ht="16.5" customHeight="1">
      <c r="A101" s="104" t="s">
        <v>2134</v>
      </c>
      <c r="B101" s="105" t="s">
        <v>672</v>
      </c>
      <c r="C101" s="106" t="s">
        <v>668</v>
      </c>
      <c r="D101" s="106" t="s">
        <v>2415</v>
      </c>
      <c r="E101" s="71" t="s">
        <v>669</v>
      </c>
      <c r="F101" s="71" t="s">
        <v>78</v>
      </c>
      <c r="G101" s="109" t="s">
        <v>180</v>
      </c>
      <c r="H101" s="110">
        <v>0</v>
      </c>
      <c r="I101" s="112">
        <v>0</v>
      </c>
      <c r="J101" s="112">
        <v>0</v>
      </c>
      <c r="K101" s="113">
        <f t="shared" si="6"/>
        <v>0</v>
      </c>
      <c r="L101" s="111">
        <v>0.17184200000000002</v>
      </c>
      <c r="M101" s="111">
        <v>2.2518999999999997E-2</v>
      </c>
      <c r="N101" s="115">
        <v>0</v>
      </c>
      <c r="O101" s="111">
        <v>1.2960000000000001E-2</v>
      </c>
      <c r="P101" s="142">
        <v>3.2000000000000001E-2</v>
      </c>
      <c r="Q101" s="111">
        <v>8509</v>
      </c>
      <c r="R101" s="112"/>
      <c r="S101" s="112"/>
      <c r="T101" s="111">
        <f t="shared" si="5"/>
        <v>272</v>
      </c>
      <c r="U101" s="115">
        <v>0</v>
      </c>
      <c r="V101" s="144">
        <v>2.4493999999999998E-2</v>
      </c>
      <c r="W101" s="111">
        <v>99.311000000000007</v>
      </c>
      <c r="X101" s="113">
        <f t="shared" si="7"/>
        <v>371.54281500000002</v>
      </c>
      <c r="Y101" s="111">
        <v>0</v>
      </c>
      <c r="Z101" s="111">
        <v>0</v>
      </c>
      <c r="AA101" s="116">
        <v>0</v>
      </c>
      <c r="AB101" s="111">
        <v>9.931100000000001E-2</v>
      </c>
      <c r="AC101" s="113">
        <f t="shared" si="8"/>
        <v>9.931100000000001E-2</v>
      </c>
      <c r="AD101" s="111">
        <v>0</v>
      </c>
      <c r="AE101" s="111">
        <v>0</v>
      </c>
      <c r="AF101" s="112">
        <v>0</v>
      </c>
      <c r="AG101" s="117">
        <v>0</v>
      </c>
      <c r="AH101" s="111">
        <v>7.1999999999999995E-2</v>
      </c>
      <c r="AI101" s="112">
        <v>4.0000000000000001E-3</v>
      </c>
      <c r="AJ101" s="112">
        <v>6.7382999999999998E-2</v>
      </c>
      <c r="AK101" s="113">
        <f t="shared" si="9"/>
        <v>0.14338299999999998</v>
      </c>
      <c r="AL101" s="118"/>
      <c r="AM101" s="119"/>
      <c r="AN101" s="119"/>
      <c r="AO101" s="120"/>
    </row>
    <row r="102" spans="1:41" s="121" customFormat="1" ht="16.5" customHeight="1">
      <c r="A102" s="104" t="s">
        <v>2134</v>
      </c>
      <c r="B102" s="105" t="s">
        <v>676</v>
      </c>
      <c r="C102" s="106" t="s">
        <v>673</v>
      </c>
      <c r="D102" s="106" t="s">
        <v>2415</v>
      </c>
      <c r="E102" s="71" t="s">
        <v>674</v>
      </c>
      <c r="F102" s="71" t="s">
        <v>78</v>
      </c>
      <c r="G102" s="109" t="s">
        <v>180</v>
      </c>
      <c r="H102" s="110">
        <v>0</v>
      </c>
      <c r="I102" s="112">
        <v>0</v>
      </c>
      <c r="J102" s="112">
        <v>6.4</v>
      </c>
      <c r="K102" s="113">
        <f t="shared" si="6"/>
        <v>6.4</v>
      </c>
      <c r="L102" s="111">
        <v>0.16658600000000001</v>
      </c>
      <c r="M102" s="111">
        <v>2.2518999999999997E-2</v>
      </c>
      <c r="N102" s="115">
        <v>0</v>
      </c>
      <c r="O102" s="111">
        <v>6.7099999999999993E-2</v>
      </c>
      <c r="P102" s="142">
        <v>3.2000000000000001E-2</v>
      </c>
      <c r="Q102" s="111">
        <v>8509</v>
      </c>
      <c r="R102" s="112"/>
      <c r="S102" s="112"/>
      <c r="T102" s="111">
        <f t="shared" si="5"/>
        <v>272</v>
      </c>
      <c r="U102" s="115">
        <v>0</v>
      </c>
      <c r="V102" s="144">
        <v>1.8013999999999999E-2</v>
      </c>
      <c r="W102" s="111">
        <v>99.311000000000007</v>
      </c>
      <c r="X102" s="113">
        <f t="shared" si="7"/>
        <v>371.58521900000005</v>
      </c>
      <c r="Y102" s="111">
        <v>0</v>
      </c>
      <c r="Z102" s="111">
        <v>0</v>
      </c>
      <c r="AA102" s="116">
        <v>8.0000000000000002E-3</v>
      </c>
      <c r="AB102" s="111">
        <v>9.931100000000001E-2</v>
      </c>
      <c r="AC102" s="113">
        <f t="shared" si="8"/>
        <v>0.10731100000000002</v>
      </c>
      <c r="AD102" s="111">
        <v>0</v>
      </c>
      <c r="AE102" s="111">
        <v>0.05</v>
      </c>
      <c r="AF102" s="112">
        <v>0</v>
      </c>
      <c r="AG102" s="117">
        <v>0</v>
      </c>
      <c r="AH102" s="111">
        <v>0.04</v>
      </c>
      <c r="AI102" s="112">
        <v>4.0000000000000001E-3</v>
      </c>
      <c r="AJ102" s="112">
        <v>6.9169999999999995E-3</v>
      </c>
      <c r="AK102" s="113">
        <f t="shared" si="9"/>
        <v>0.10091700000000001</v>
      </c>
      <c r="AL102" s="118"/>
      <c r="AM102" s="119"/>
      <c r="AN102" s="119"/>
      <c r="AO102" s="120"/>
    </row>
    <row r="103" spans="1:41" s="121" customFormat="1" ht="16.5" customHeight="1">
      <c r="A103" s="104" t="s">
        <v>2134</v>
      </c>
      <c r="B103" s="105" t="s">
        <v>111</v>
      </c>
      <c r="C103" s="106" t="s">
        <v>677</v>
      </c>
      <c r="D103" s="106" t="s">
        <v>2415</v>
      </c>
      <c r="E103" s="71" t="s">
        <v>678</v>
      </c>
      <c r="F103" s="71" t="s">
        <v>78</v>
      </c>
      <c r="G103" s="109" t="s">
        <v>180</v>
      </c>
      <c r="H103" s="110">
        <v>0</v>
      </c>
      <c r="I103" s="112">
        <v>0</v>
      </c>
      <c r="J103" s="112">
        <v>0</v>
      </c>
      <c r="K103" s="113">
        <f t="shared" si="6"/>
        <v>0</v>
      </c>
      <c r="L103" s="111">
        <v>0.14985599999999999</v>
      </c>
      <c r="M103" s="111">
        <v>2.2518999999999997E-2</v>
      </c>
      <c r="N103" s="115">
        <v>0</v>
      </c>
      <c r="O103" s="111">
        <v>0</v>
      </c>
      <c r="P103" s="142">
        <v>3.2000000000000001E-2</v>
      </c>
      <c r="Q103" s="111">
        <v>8509</v>
      </c>
      <c r="R103" s="112"/>
      <c r="S103" s="112"/>
      <c r="T103" s="111">
        <f t="shared" si="5"/>
        <v>272</v>
      </c>
      <c r="U103" s="115">
        <v>0</v>
      </c>
      <c r="V103" s="144">
        <v>1.8013000000000001E-2</v>
      </c>
      <c r="W103" s="111">
        <v>99.311000000000007</v>
      </c>
      <c r="X103" s="113">
        <f t="shared" si="7"/>
        <v>371.50138800000002</v>
      </c>
      <c r="Y103" s="111">
        <v>0</v>
      </c>
      <c r="Z103" s="111">
        <v>0</v>
      </c>
      <c r="AA103" s="116">
        <v>1.54E-2</v>
      </c>
      <c r="AB103" s="111">
        <v>9.931100000000001E-2</v>
      </c>
      <c r="AC103" s="113">
        <f t="shared" si="8"/>
        <v>0.11471100000000001</v>
      </c>
      <c r="AD103" s="111">
        <v>0</v>
      </c>
      <c r="AE103" s="111">
        <v>1.3701000000000001E-2</v>
      </c>
      <c r="AF103" s="112">
        <v>0</v>
      </c>
      <c r="AG103" s="117">
        <v>0</v>
      </c>
      <c r="AH103" s="111">
        <v>9.6000000000000002E-2</v>
      </c>
      <c r="AI103" s="112">
        <v>4.0000000000000001E-3</v>
      </c>
      <c r="AJ103" s="112">
        <v>1.3299E-2</v>
      </c>
      <c r="AK103" s="113">
        <f t="shared" si="9"/>
        <v>0.127</v>
      </c>
      <c r="AL103" s="118"/>
      <c r="AM103" s="119"/>
      <c r="AN103" s="119"/>
      <c r="AO103" s="120"/>
    </row>
    <row r="104" spans="1:41" s="121" customFormat="1" ht="16.5" customHeight="1">
      <c r="A104" s="104" t="s">
        <v>2134</v>
      </c>
      <c r="B104" s="105" t="s">
        <v>1966</v>
      </c>
      <c r="C104" s="106" t="s">
        <v>2408</v>
      </c>
      <c r="D104" s="106" t="s">
        <v>2415</v>
      </c>
      <c r="E104" s="71" t="s">
        <v>2154</v>
      </c>
      <c r="F104" s="71" t="s">
        <v>170</v>
      </c>
      <c r="G104" s="109" t="s">
        <v>683</v>
      </c>
      <c r="H104" s="110">
        <v>2635.4250000000002</v>
      </c>
      <c r="I104" s="111">
        <v>836.75</v>
      </c>
      <c r="J104" s="112">
        <v>106.76</v>
      </c>
      <c r="K104" s="113">
        <f t="shared" si="6"/>
        <v>3578.9350000000004</v>
      </c>
      <c r="L104" s="111">
        <v>469.23899999999998</v>
      </c>
      <c r="M104" s="111">
        <v>8171.433</v>
      </c>
      <c r="N104" s="112">
        <v>0</v>
      </c>
      <c r="O104" s="111">
        <v>889.64</v>
      </c>
      <c r="P104" s="114">
        <v>6</v>
      </c>
      <c r="Q104" s="111">
        <v>8509</v>
      </c>
      <c r="R104" s="115">
        <v>15116</v>
      </c>
      <c r="S104" s="115"/>
      <c r="T104" s="111">
        <f t="shared" si="5"/>
        <v>66170</v>
      </c>
      <c r="U104" s="112">
        <v>22736.278999999999</v>
      </c>
      <c r="V104" s="116">
        <v>0</v>
      </c>
      <c r="W104" s="111"/>
      <c r="X104" s="113">
        <f t="shared" si="7"/>
        <v>98436.591</v>
      </c>
      <c r="Y104" s="111">
        <v>0</v>
      </c>
      <c r="Z104" s="111">
        <v>0</v>
      </c>
      <c r="AA104" s="116">
        <v>0</v>
      </c>
      <c r="AB104" s="111">
        <v>0</v>
      </c>
      <c r="AC104" s="113">
        <f t="shared" si="8"/>
        <v>0</v>
      </c>
      <c r="AD104" s="111">
        <v>0</v>
      </c>
      <c r="AE104" s="111">
        <v>0</v>
      </c>
      <c r="AF104" s="112">
        <v>0</v>
      </c>
      <c r="AG104" s="117">
        <v>0</v>
      </c>
      <c r="AH104" s="111">
        <v>0</v>
      </c>
      <c r="AI104" s="112">
        <v>0</v>
      </c>
      <c r="AJ104" s="112">
        <v>0</v>
      </c>
      <c r="AK104" s="113">
        <f t="shared" si="9"/>
        <v>0</v>
      </c>
      <c r="AL104" s="118"/>
      <c r="AM104" s="119"/>
      <c r="AN104" s="119"/>
      <c r="AO104" s="120"/>
    </row>
    <row r="105" spans="1:41" s="121" customFormat="1" ht="16.5" customHeight="1">
      <c r="A105" s="104" t="s">
        <v>2134</v>
      </c>
      <c r="B105" s="105" t="s">
        <v>699</v>
      </c>
      <c r="C105" s="106" t="s">
        <v>690</v>
      </c>
      <c r="D105" s="106" t="s">
        <v>2415</v>
      </c>
      <c r="E105" s="71" t="s">
        <v>691</v>
      </c>
      <c r="F105" s="71" t="s">
        <v>170</v>
      </c>
      <c r="G105" s="109" t="s">
        <v>692</v>
      </c>
      <c r="H105" s="110"/>
      <c r="I105" s="112"/>
      <c r="J105" s="112">
        <v>150</v>
      </c>
      <c r="K105" s="113">
        <f t="shared" si="6"/>
        <v>150</v>
      </c>
      <c r="L105" s="115"/>
      <c r="M105" s="115"/>
      <c r="N105" s="115"/>
      <c r="O105" s="115"/>
      <c r="P105" s="122">
        <v>0.39</v>
      </c>
      <c r="Q105" s="111">
        <v>8509</v>
      </c>
      <c r="R105" s="112"/>
      <c r="S105" s="112"/>
      <c r="T105" s="111">
        <f t="shared" si="5"/>
        <v>3319</v>
      </c>
      <c r="U105" s="112">
        <v>3858</v>
      </c>
      <c r="V105" s="144"/>
      <c r="W105" s="111">
        <v>123389</v>
      </c>
      <c r="X105" s="113">
        <f t="shared" si="7"/>
        <v>130566</v>
      </c>
      <c r="Y105" s="111">
        <v>44073</v>
      </c>
      <c r="Z105" s="111">
        <v>14712</v>
      </c>
      <c r="AA105" s="116">
        <v>114</v>
      </c>
      <c r="AB105" s="111">
        <v>123389</v>
      </c>
      <c r="AC105" s="113">
        <f t="shared" si="8"/>
        <v>182288</v>
      </c>
      <c r="AD105" s="111">
        <v>23744</v>
      </c>
      <c r="AE105" s="111">
        <v>27177</v>
      </c>
      <c r="AF105" s="112"/>
      <c r="AG105" s="117">
        <v>5650</v>
      </c>
      <c r="AH105" s="111">
        <v>43031</v>
      </c>
      <c r="AI105" s="112">
        <v>80357</v>
      </c>
      <c r="AJ105" s="112">
        <v>4165</v>
      </c>
      <c r="AK105" s="113">
        <f t="shared" si="9"/>
        <v>184124</v>
      </c>
      <c r="AL105" s="118"/>
      <c r="AM105" s="119"/>
      <c r="AN105" s="119"/>
      <c r="AO105" s="120"/>
    </row>
    <row r="106" spans="1:41" s="121" customFormat="1" ht="16.5" customHeight="1">
      <c r="A106" s="104" t="s">
        <v>2134</v>
      </c>
      <c r="B106" s="105" t="s">
        <v>705</v>
      </c>
      <c r="C106" s="106" t="s">
        <v>700</v>
      </c>
      <c r="D106" s="106" t="s">
        <v>2415</v>
      </c>
      <c r="E106" s="71" t="s">
        <v>701</v>
      </c>
      <c r="F106" s="71" t="s">
        <v>170</v>
      </c>
      <c r="G106" s="109" t="s">
        <v>692</v>
      </c>
      <c r="H106" s="110">
        <v>8011</v>
      </c>
      <c r="I106" s="112"/>
      <c r="J106" s="112">
        <v>616</v>
      </c>
      <c r="K106" s="113">
        <f t="shared" si="6"/>
        <v>8627</v>
      </c>
      <c r="L106" s="115"/>
      <c r="M106" s="115"/>
      <c r="N106" s="115"/>
      <c r="O106" s="115">
        <v>1249</v>
      </c>
      <c r="P106" s="122">
        <v>0.39</v>
      </c>
      <c r="Q106" s="111">
        <v>8509</v>
      </c>
      <c r="R106" s="112"/>
      <c r="S106" s="112"/>
      <c r="T106" s="111">
        <f t="shared" si="5"/>
        <v>3319</v>
      </c>
      <c r="U106" s="112">
        <v>405</v>
      </c>
      <c r="V106" s="144"/>
      <c r="W106" s="111">
        <v>64952</v>
      </c>
      <c r="X106" s="113">
        <f t="shared" si="7"/>
        <v>69925</v>
      </c>
      <c r="Y106" s="111"/>
      <c r="Z106" s="111">
        <v>10254</v>
      </c>
      <c r="AA106" s="116">
        <v>96</v>
      </c>
      <c r="AB106" s="111">
        <v>64952</v>
      </c>
      <c r="AC106" s="113">
        <f t="shared" si="8"/>
        <v>75302</v>
      </c>
      <c r="AD106" s="111">
        <v>8880</v>
      </c>
      <c r="AE106" s="111">
        <v>14154</v>
      </c>
      <c r="AF106" s="112"/>
      <c r="AG106" s="117">
        <v>2267</v>
      </c>
      <c r="AH106" s="111">
        <v>33412</v>
      </c>
      <c r="AI106" s="112">
        <v>8326</v>
      </c>
      <c r="AJ106" s="112">
        <v>4440</v>
      </c>
      <c r="AK106" s="113">
        <f t="shared" si="9"/>
        <v>71479</v>
      </c>
      <c r="AL106" s="118"/>
      <c r="AM106" s="119"/>
      <c r="AN106" s="119"/>
      <c r="AO106" s="120"/>
    </row>
    <row r="107" spans="1:41" s="121" customFormat="1" ht="16.5" customHeight="1">
      <c r="A107" s="104" t="s">
        <v>2107</v>
      </c>
      <c r="B107" s="105" t="s">
        <v>715</v>
      </c>
      <c r="C107" s="106" t="s">
        <v>706</v>
      </c>
      <c r="D107" s="106" t="s">
        <v>2415</v>
      </c>
      <c r="E107" s="71" t="s">
        <v>707</v>
      </c>
      <c r="F107" s="71" t="s">
        <v>708</v>
      </c>
      <c r="G107" s="109" t="s">
        <v>709</v>
      </c>
      <c r="H107" s="110">
        <v>8734</v>
      </c>
      <c r="I107" s="111">
        <v>0</v>
      </c>
      <c r="J107" s="112">
        <v>0</v>
      </c>
      <c r="K107" s="113">
        <f t="shared" si="6"/>
        <v>8734</v>
      </c>
      <c r="L107" s="111">
        <v>0</v>
      </c>
      <c r="M107" s="111">
        <f>(6125211+185900)/1000</f>
        <v>6311.1109999999999</v>
      </c>
      <c r="N107" s="112">
        <v>0</v>
      </c>
      <c r="O107" s="111">
        <v>69</v>
      </c>
      <c r="P107" s="122">
        <v>0.7</v>
      </c>
      <c r="Q107" s="111">
        <v>8509</v>
      </c>
      <c r="R107" s="115">
        <v>0</v>
      </c>
      <c r="S107" s="115">
        <v>0</v>
      </c>
      <c r="T107" s="111">
        <f t="shared" si="5"/>
        <v>5956</v>
      </c>
      <c r="U107" s="112">
        <v>0</v>
      </c>
      <c r="V107" s="116">
        <f>(88548+137208+280938)/1000</f>
        <v>506.69400000000002</v>
      </c>
      <c r="W107" s="111">
        <v>48154</v>
      </c>
      <c r="X107" s="113">
        <f t="shared" si="7"/>
        <v>60996.805</v>
      </c>
      <c r="Y107" s="111">
        <v>0</v>
      </c>
      <c r="Z107" s="111">
        <v>358</v>
      </c>
      <c r="AA107" s="116">
        <v>25</v>
      </c>
      <c r="AB107" s="111">
        <f>(43815132+4339000)/1000</f>
        <v>48154.131999999998</v>
      </c>
      <c r="AC107" s="113">
        <f t="shared" si="8"/>
        <v>48537.131999999998</v>
      </c>
      <c r="AD107" s="111">
        <v>7586</v>
      </c>
      <c r="AE107" s="111">
        <v>7060</v>
      </c>
      <c r="AF107" s="112">
        <v>0</v>
      </c>
      <c r="AG107" s="117">
        <v>250</v>
      </c>
      <c r="AH107" s="111">
        <f>(22220709+3536100)/1000</f>
        <v>25756.809000000001</v>
      </c>
      <c r="AI107" s="112">
        <v>747</v>
      </c>
      <c r="AJ107" s="112">
        <f>(3346879+232251)/1000</f>
        <v>3579.13</v>
      </c>
      <c r="AK107" s="113">
        <f t="shared" si="9"/>
        <v>44978.938999999998</v>
      </c>
      <c r="AL107" s="118"/>
      <c r="AM107" s="119"/>
      <c r="AN107" s="119"/>
      <c r="AO107" s="120"/>
    </row>
    <row r="108" spans="1:41" s="121" customFormat="1" ht="16.5" customHeight="1">
      <c r="A108" s="104" t="s">
        <v>2134</v>
      </c>
      <c r="B108" s="105" t="s">
        <v>719</v>
      </c>
      <c r="C108" s="106" t="s">
        <v>716</v>
      </c>
      <c r="D108" s="106" t="s">
        <v>2415</v>
      </c>
      <c r="E108" s="71" t="s">
        <v>2327</v>
      </c>
      <c r="F108" s="71" t="s">
        <v>708</v>
      </c>
      <c r="G108" s="109" t="s">
        <v>709</v>
      </c>
      <c r="H108" s="110">
        <f>4511+1416</f>
        <v>5927</v>
      </c>
      <c r="I108" s="111">
        <f>102+20599</f>
        <v>20701</v>
      </c>
      <c r="J108" s="112">
        <v>74</v>
      </c>
      <c r="K108" s="113">
        <f t="shared" si="6"/>
        <v>26702</v>
      </c>
      <c r="L108" s="111"/>
      <c r="M108" s="111"/>
      <c r="N108" s="112"/>
      <c r="O108" s="111">
        <v>129</v>
      </c>
      <c r="P108" s="122">
        <v>0.31</v>
      </c>
      <c r="Q108" s="111">
        <v>8509</v>
      </c>
      <c r="R108" s="115"/>
      <c r="S108" s="115"/>
      <c r="T108" s="111">
        <f t="shared" si="5"/>
        <v>2638</v>
      </c>
      <c r="U108" s="112">
        <f>72+67+41</f>
        <v>180</v>
      </c>
      <c r="V108" s="116">
        <f>453+91+1760+237+151470+137</f>
        <v>154148</v>
      </c>
      <c r="W108" s="111">
        <v>41862</v>
      </c>
      <c r="X108" s="113">
        <f t="shared" si="7"/>
        <v>198957</v>
      </c>
      <c r="Y108" s="111">
        <v>0</v>
      </c>
      <c r="Z108" s="111">
        <v>14</v>
      </c>
      <c r="AA108" s="116">
        <f>156+138</f>
        <v>294</v>
      </c>
      <c r="AB108" s="111">
        <v>41862</v>
      </c>
      <c r="AC108" s="113">
        <f t="shared" si="8"/>
        <v>42170</v>
      </c>
      <c r="AD108" s="111">
        <f>1930+415+561</f>
        <v>2906</v>
      </c>
      <c r="AE108" s="111">
        <f>3334+2387+591+106+1030</f>
        <v>7448</v>
      </c>
      <c r="AF108" s="112">
        <v>0</v>
      </c>
      <c r="AG108" s="117">
        <v>352</v>
      </c>
      <c r="AH108" s="111">
        <v>20683</v>
      </c>
      <c r="AI108" s="112">
        <v>7055</v>
      </c>
      <c r="AJ108" s="112">
        <f>63+383+6+728+1672</f>
        <v>2852</v>
      </c>
      <c r="AK108" s="113">
        <f t="shared" si="9"/>
        <v>41296</v>
      </c>
      <c r="AL108" s="118"/>
      <c r="AM108" s="119"/>
      <c r="AN108" s="119"/>
      <c r="AO108" s="120"/>
    </row>
    <row r="109" spans="1:41" s="121" customFormat="1" ht="16.5" customHeight="1">
      <c r="A109" s="104" t="s">
        <v>2134</v>
      </c>
      <c r="B109" s="105" t="s">
        <v>728</v>
      </c>
      <c r="C109" s="106" t="s">
        <v>720</v>
      </c>
      <c r="D109" s="106" t="s">
        <v>2415</v>
      </c>
      <c r="E109" s="71" t="s">
        <v>1994</v>
      </c>
      <c r="F109" s="71" t="s">
        <v>708</v>
      </c>
      <c r="G109" s="109" t="s">
        <v>721</v>
      </c>
      <c r="H109" s="110">
        <v>840</v>
      </c>
      <c r="I109" s="112">
        <v>432</v>
      </c>
      <c r="J109" s="112">
        <v>261</v>
      </c>
      <c r="K109" s="113">
        <f t="shared" si="6"/>
        <v>1533</v>
      </c>
      <c r="L109" s="115">
        <v>0</v>
      </c>
      <c r="M109" s="115">
        <v>1427</v>
      </c>
      <c r="N109" s="115">
        <v>0</v>
      </c>
      <c r="O109" s="111">
        <v>2936</v>
      </c>
      <c r="P109" s="145">
        <v>0.22</v>
      </c>
      <c r="Q109" s="111">
        <v>8509</v>
      </c>
      <c r="R109" s="112"/>
      <c r="S109" s="112"/>
      <c r="T109" s="111">
        <f t="shared" si="5"/>
        <v>1872</v>
      </c>
      <c r="U109" s="112">
        <v>0</v>
      </c>
      <c r="V109" s="144">
        <v>1852</v>
      </c>
      <c r="W109" s="111">
        <v>163981</v>
      </c>
      <c r="X109" s="113">
        <f t="shared" si="7"/>
        <v>172068</v>
      </c>
      <c r="Y109" s="111">
        <v>42095</v>
      </c>
      <c r="Z109" s="111">
        <v>24156</v>
      </c>
      <c r="AA109" s="116">
        <v>0</v>
      </c>
      <c r="AB109" s="111">
        <v>163981</v>
      </c>
      <c r="AC109" s="113">
        <f t="shared" si="8"/>
        <v>230232</v>
      </c>
      <c r="AD109" s="111">
        <v>37177</v>
      </c>
      <c r="AE109" s="111">
        <v>104920</v>
      </c>
      <c r="AF109" s="112">
        <v>0</v>
      </c>
      <c r="AG109" s="117">
        <v>2485</v>
      </c>
      <c r="AH109" s="111">
        <v>49849</v>
      </c>
      <c r="AI109" s="112">
        <v>31226</v>
      </c>
      <c r="AJ109" s="112">
        <v>3100</v>
      </c>
      <c r="AK109" s="113">
        <f t="shared" si="9"/>
        <v>228757</v>
      </c>
      <c r="AL109" s="118"/>
      <c r="AM109" s="119"/>
      <c r="AN109" s="119"/>
      <c r="AO109" s="120"/>
    </row>
    <row r="110" spans="1:41" s="121" customFormat="1" ht="16.5" customHeight="1">
      <c r="A110" s="104" t="s">
        <v>2134</v>
      </c>
      <c r="B110" s="105" t="s">
        <v>735</v>
      </c>
      <c r="C110" s="106" t="s">
        <v>729</v>
      </c>
      <c r="D110" s="106" t="s">
        <v>2415</v>
      </c>
      <c r="E110" s="71" t="s">
        <v>1996</v>
      </c>
      <c r="F110" s="71" t="s">
        <v>708</v>
      </c>
      <c r="G110" s="109" t="s">
        <v>721</v>
      </c>
      <c r="H110" s="110">
        <v>2481</v>
      </c>
      <c r="I110" s="112">
        <v>0</v>
      </c>
      <c r="J110" s="112">
        <v>492</v>
      </c>
      <c r="K110" s="113">
        <f t="shared" si="6"/>
        <v>2973</v>
      </c>
      <c r="L110" s="115">
        <v>0</v>
      </c>
      <c r="M110" s="115">
        <v>0</v>
      </c>
      <c r="N110" s="115">
        <v>0</v>
      </c>
      <c r="O110" s="111">
        <v>1647</v>
      </c>
      <c r="P110" s="145">
        <v>0.22</v>
      </c>
      <c r="Q110" s="111">
        <v>8509</v>
      </c>
      <c r="R110" s="112"/>
      <c r="S110" s="112"/>
      <c r="T110" s="111">
        <f t="shared" si="5"/>
        <v>1872</v>
      </c>
      <c r="U110" s="112">
        <v>0</v>
      </c>
      <c r="V110" s="144">
        <v>580</v>
      </c>
      <c r="W110" s="111">
        <v>80120</v>
      </c>
      <c r="X110" s="113">
        <f t="shared" si="7"/>
        <v>84219</v>
      </c>
      <c r="Y110" s="111">
        <v>23521</v>
      </c>
      <c r="Z110" s="111">
        <v>9471</v>
      </c>
      <c r="AA110" s="116">
        <v>0</v>
      </c>
      <c r="AB110" s="111">
        <v>80120</v>
      </c>
      <c r="AC110" s="113">
        <f t="shared" si="8"/>
        <v>113112</v>
      </c>
      <c r="AD110" s="111">
        <v>11606</v>
      </c>
      <c r="AE110" s="111">
        <v>27767</v>
      </c>
      <c r="AF110" s="112">
        <v>0</v>
      </c>
      <c r="AG110" s="117">
        <v>2090</v>
      </c>
      <c r="AH110" s="111">
        <v>46919</v>
      </c>
      <c r="AI110" s="112">
        <v>18868</v>
      </c>
      <c r="AJ110" s="112">
        <v>1184</v>
      </c>
      <c r="AK110" s="113">
        <f t="shared" si="9"/>
        <v>108434</v>
      </c>
      <c r="AL110" s="118"/>
      <c r="AM110" s="119"/>
      <c r="AN110" s="119"/>
      <c r="AO110" s="120"/>
    </row>
    <row r="111" spans="1:41" s="121" customFormat="1" ht="16.5" customHeight="1">
      <c r="A111" s="104" t="s">
        <v>2134</v>
      </c>
      <c r="B111" s="105" t="s">
        <v>742</v>
      </c>
      <c r="C111" s="106" t="s">
        <v>736</v>
      </c>
      <c r="D111" s="106" t="s">
        <v>2415</v>
      </c>
      <c r="E111" s="71" t="s">
        <v>1998</v>
      </c>
      <c r="F111" s="71" t="s">
        <v>708</v>
      </c>
      <c r="G111" s="109" t="s">
        <v>721</v>
      </c>
      <c r="H111" s="110">
        <v>1807</v>
      </c>
      <c r="I111" s="112">
        <v>0</v>
      </c>
      <c r="J111" s="112">
        <v>1</v>
      </c>
      <c r="K111" s="113">
        <f t="shared" si="6"/>
        <v>1808</v>
      </c>
      <c r="L111" s="115">
        <v>0</v>
      </c>
      <c r="M111" s="115">
        <v>0</v>
      </c>
      <c r="N111" s="115">
        <v>0</v>
      </c>
      <c r="O111" s="111">
        <v>2484</v>
      </c>
      <c r="P111" s="145">
        <v>0.22</v>
      </c>
      <c r="Q111" s="111">
        <v>8509</v>
      </c>
      <c r="R111" s="112"/>
      <c r="S111" s="112"/>
      <c r="T111" s="111">
        <f t="shared" si="5"/>
        <v>1872</v>
      </c>
      <c r="U111" s="112">
        <v>0</v>
      </c>
      <c r="V111" s="144">
        <v>481</v>
      </c>
      <c r="W111" s="111">
        <v>89465</v>
      </c>
      <c r="X111" s="113">
        <f t="shared" si="7"/>
        <v>94302</v>
      </c>
      <c r="Y111" s="111">
        <v>7789</v>
      </c>
      <c r="Z111" s="111">
        <v>10389</v>
      </c>
      <c r="AA111" s="116">
        <v>14641</v>
      </c>
      <c r="AB111" s="111">
        <v>89465</v>
      </c>
      <c r="AC111" s="113">
        <f t="shared" si="8"/>
        <v>122284</v>
      </c>
      <c r="AD111" s="111">
        <v>12229</v>
      </c>
      <c r="AE111" s="111">
        <v>22079</v>
      </c>
      <c r="AF111" s="112">
        <v>0</v>
      </c>
      <c r="AG111" s="117">
        <v>2327</v>
      </c>
      <c r="AH111" s="111">
        <v>44785</v>
      </c>
      <c r="AI111" s="112">
        <v>31201</v>
      </c>
      <c r="AJ111" s="112">
        <v>6662</v>
      </c>
      <c r="AK111" s="113">
        <f t="shared" si="9"/>
        <v>119283</v>
      </c>
      <c r="AL111" s="118"/>
      <c r="AM111" s="119"/>
      <c r="AN111" s="119"/>
      <c r="AO111" s="120"/>
    </row>
    <row r="112" spans="1:41" s="121" customFormat="1" ht="16.5" customHeight="1">
      <c r="A112" s="104" t="s">
        <v>2134</v>
      </c>
      <c r="B112" s="105" t="s">
        <v>1966</v>
      </c>
      <c r="C112" s="106" t="s">
        <v>743</v>
      </c>
      <c r="D112" s="106" t="s">
        <v>2415</v>
      </c>
      <c r="E112" s="71" t="s">
        <v>744</v>
      </c>
      <c r="F112" s="71" t="s">
        <v>170</v>
      </c>
      <c r="G112" s="109" t="s">
        <v>745</v>
      </c>
      <c r="H112" s="143"/>
      <c r="I112" s="111">
        <v>37</v>
      </c>
      <c r="J112" s="112">
        <v>455</v>
      </c>
      <c r="K112" s="113">
        <f t="shared" si="6"/>
        <v>492</v>
      </c>
      <c r="L112" s="111">
        <v>133</v>
      </c>
      <c r="M112" s="111">
        <v>1130</v>
      </c>
      <c r="N112" s="112">
        <v>9469</v>
      </c>
      <c r="O112" s="111">
        <v>1100</v>
      </c>
      <c r="P112" s="114">
        <v>5</v>
      </c>
      <c r="Q112" s="111">
        <v>8509</v>
      </c>
      <c r="R112" s="115">
        <v>2695</v>
      </c>
      <c r="S112" s="115">
        <v>10064</v>
      </c>
      <c r="T112" s="111">
        <f t="shared" si="5"/>
        <v>55304</v>
      </c>
      <c r="U112" s="113">
        <f>SUBTOTAL(9,W112,T112:T112)</f>
        <v>55304</v>
      </c>
      <c r="V112" s="144"/>
      <c r="W112" s="112"/>
      <c r="X112" s="113">
        <f t="shared" si="7"/>
        <v>67136</v>
      </c>
      <c r="Y112" s="111"/>
      <c r="Z112" s="111"/>
      <c r="AA112" s="116"/>
      <c r="AB112" s="111"/>
      <c r="AC112" s="113">
        <f t="shared" si="8"/>
        <v>0</v>
      </c>
      <c r="AD112" s="111"/>
      <c r="AE112" s="111"/>
      <c r="AF112" s="112"/>
      <c r="AG112" s="117"/>
      <c r="AH112" s="111"/>
      <c r="AI112" s="112"/>
      <c r="AJ112" s="112"/>
      <c r="AK112" s="113">
        <f t="shared" si="9"/>
        <v>0</v>
      </c>
      <c r="AL112" s="118"/>
      <c r="AM112" s="119"/>
      <c r="AN112" s="119"/>
      <c r="AO112" s="120"/>
    </row>
    <row r="113" spans="1:41" s="121" customFormat="1" ht="16.5" customHeight="1">
      <c r="A113" s="104" t="s">
        <v>2134</v>
      </c>
      <c r="B113" s="105" t="s">
        <v>752</v>
      </c>
      <c r="C113" s="106" t="s">
        <v>749</v>
      </c>
      <c r="D113" s="106" t="s">
        <v>2415</v>
      </c>
      <c r="E113" s="71" t="s">
        <v>2369</v>
      </c>
      <c r="F113" s="71" t="s">
        <v>170</v>
      </c>
      <c r="G113" s="109" t="s">
        <v>2155</v>
      </c>
      <c r="H113" s="143"/>
      <c r="I113" s="112"/>
      <c r="J113" s="112"/>
      <c r="K113" s="113">
        <f t="shared" si="6"/>
        <v>0</v>
      </c>
      <c r="L113" s="111"/>
      <c r="M113" s="111"/>
      <c r="N113" s="115"/>
      <c r="O113" s="111"/>
      <c r="P113" s="114"/>
      <c r="Q113" s="111">
        <v>8509</v>
      </c>
      <c r="R113" s="112"/>
      <c r="S113" s="112"/>
      <c r="T113" s="111">
        <f t="shared" si="5"/>
        <v>0</v>
      </c>
      <c r="U113" s="115"/>
      <c r="V113" s="144"/>
      <c r="W113" s="112"/>
      <c r="X113" s="113">
        <f t="shared" si="7"/>
        <v>0</v>
      </c>
      <c r="Y113" s="111"/>
      <c r="Z113" s="111"/>
      <c r="AA113" s="116"/>
      <c r="AB113" s="111"/>
      <c r="AC113" s="113">
        <f t="shared" si="8"/>
        <v>0</v>
      </c>
      <c r="AD113" s="111"/>
      <c r="AE113" s="111"/>
      <c r="AF113" s="112"/>
      <c r="AG113" s="117"/>
      <c r="AH113" s="111"/>
      <c r="AI113" s="112"/>
      <c r="AJ113" s="112"/>
      <c r="AK113" s="113">
        <f t="shared" si="9"/>
        <v>0</v>
      </c>
      <c r="AL113" s="118"/>
      <c r="AM113" s="119"/>
      <c r="AN113" s="119"/>
      <c r="AO113" s="120"/>
    </row>
    <row r="114" spans="1:41" s="121" customFormat="1" ht="16.5" customHeight="1">
      <c r="A114" s="104" t="s">
        <v>2134</v>
      </c>
      <c r="B114" s="105" t="s">
        <v>760</v>
      </c>
      <c r="C114" s="106" t="s">
        <v>2075</v>
      </c>
      <c r="D114" s="106" t="s">
        <v>2415</v>
      </c>
      <c r="E114" s="71" t="s">
        <v>2072</v>
      </c>
      <c r="F114" s="71" t="s">
        <v>2085</v>
      </c>
      <c r="G114" s="109" t="s">
        <v>2155</v>
      </c>
      <c r="H114" s="143">
        <v>0</v>
      </c>
      <c r="I114" s="112">
        <v>0</v>
      </c>
      <c r="J114" s="112">
        <v>0</v>
      </c>
      <c r="K114" s="113">
        <f t="shared" si="6"/>
        <v>0</v>
      </c>
      <c r="L114" s="111">
        <v>64</v>
      </c>
      <c r="M114" s="111">
        <v>1228</v>
      </c>
      <c r="N114" s="115">
        <v>0</v>
      </c>
      <c r="O114" s="111">
        <v>0</v>
      </c>
      <c r="P114" s="114">
        <v>4</v>
      </c>
      <c r="Q114" s="111">
        <v>8509</v>
      </c>
      <c r="R114" s="112">
        <v>0</v>
      </c>
      <c r="S114" s="112">
        <v>9764</v>
      </c>
      <c r="T114" s="111">
        <f t="shared" si="5"/>
        <v>43800</v>
      </c>
      <c r="U114" s="115">
        <v>345804</v>
      </c>
      <c r="V114" s="144">
        <v>0</v>
      </c>
      <c r="W114" s="112"/>
      <c r="X114" s="113">
        <f t="shared" si="7"/>
        <v>390896</v>
      </c>
      <c r="Y114" s="111"/>
      <c r="Z114" s="111"/>
      <c r="AA114" s="116"/>
      <c r="AB114" s="111"/>
      <c r="AC114" s="113">
        <f t="shared" si="8"/>
        <v>0</v>
      </c>
      <c r="AD114" s="111"/>
      <c r="AE114" s="111"/>
      <c r="AF114" s="112"/>
      <c r="AG114" s="117"/>
      <c r="AH114" s="111"/>
      <c r="AI114" s="112"/>
      <c r="AJ114" s="112"/>
      <c r="AK114" s="113">
        <f t="shared" si="9"/>
        <v>0</v>
      </c>
      <c r="AL114" s="118"/>
      <c r="AM114" s="119"/>
      <c r="AN114" s="119"/>
      <c r="AO114" s="120"/>
    </row>
    <row r="115" spans="1:41" s="121" customFormat="1" ht="16.5" customHeight="1">
      <c r="A115" s="104" t="s">
        <v>2134</v>
      </c>
      <c r="B115" s="105" t="s">
        <v>768</v>
      </c>
      <c r="C115" s="106" t="s">
        <v>753</v>
      </c>
      <c r="D115" s="106" t="s">
        <v>2415</v>
      </c>
      <c r="E115" s="71" t="s">
        <v>754</v>
      </c>
      <c r="F115" s="71" t="s">
        <v>78</v>
      </c>
      <c r="G115" s="109" t="s">
        <v>755</v>
      </c>
      <c r="H115" s="110">
        <v>340</v>
      </c>
      <c r="I115" s="111">
        <v>0</v>
      </c>
      <c r="J115" s="112">
        <v>42</v>
      </c>
      <c r="K115" s="113">
        <f t="shared" si="6"/>
        <v>382</v>
      </c>
      <c r="L115" s="115">
        <v>0</v>
      </c>
      <c r="M115" s="115">
        <v>0</v>
      </c>
      <c r="N115" s="115">
        <v>0</v>
      </c>
      <c r="O115" s="115">
        <v>0</v>
      </c>
      <c r="P115" s="122">
        <v>0.45</v>
      </c>
      <c r="Q115" s="111">
        <v>8509</v>
      </c>
      <c r="R115" s="112">
        <v>0</v>
      </c>
      <c r="S115" s="112">
        <v>0</v>
      </c>
      <c r="T115" s="111">
        <f t="shared" si="5"/>
        <v>3829</v>
      </c>
      <c r="U115" s="115">
        <v>103</v>
      </c>
      <c r="V115" s="144">
        <v>0</v>
      </c>
      <c r="W115" s="111">
        <v>109017</v>
      </c>
      <c r="X115" s="113">
        <f t="shared" si="7"/>
        <v>112949</v>
      </c>
      <c r="Y115" s="111">
        <v>27424</v>
      </c>
      <c r="Z115" s="111">
        <v>304</v>
      </c>
      <c r="AA115" s="116">
        <v>0</v>
      </c>
      <c r="AB115" s="111">
        <v>109017</v>
      </c>
      <c r="AC115" s="113">
        <f t="shared" si="8"/>
        <v>136745</v>
      </c>
      <c r="AD115" s="111">
        <v>8338</v>
      </c>
      <c r="AE115" s="111">
        <v>12972</v>
      </c>
      <c r="AF115" s="112">
        <v>0</v>
      </c>
      <c r="AG115" s="117">
        <v>4138</v>
      </c>
      <c r="AH115" s="111">
        <v>79539</v>
      </c>
      <c r="AI115" s="112">
        <v>24346</v>
      </c>
      <c r="AJ115" s="112">
        <v>7252</v>
      </c>
      <c r="AK115" s="113">
        <f t="shared" si="9"/>
        <v>136585</v>
      </c>
      <c r="AL115" s="118"/>
      <c r="AM115" s="119"/>
      <c r="AN115" s="119"/>
      <c r="AO115" s="120"/>
    </row>
    <row r="116" spans="1:41" s="121" customFormat="1" ht="16.5" customHeight="1">
      <c r="A116" s="104" t="s">
        <v>2134</v>
      </c>
      <c r="B116" s="105" t="s">
        <v>777</v>
      </c>
      <c r="C116" s="106" t="s">
        <v>761</v>
      </c>
      <c r="D116" s="106" t="s">
        <v>2415</v>
      </c>
      <c r="E116" s="71" t="s">
        <v>762</v>
      </c>
      <c r="F116" s="71" t="s">
        <v>78</v>
      </c>
      <c r="G116" s="109" t="s">
        <v>755</v>
      </c>
      <c r="H116" s="110">
        <f>14+325</f>
        <v>339</v>
      </c>
      <c r="I116" s="111">
        <v>0</v>
      </c>
      <c r="J116" s="112">
        <v>33</v>
      </c>
      <c r="K116" s="113">
        <f t="shared" si="6"/>
        <v>372</v>
      </c>
      <c r="L116" s="115">
        <v>0</v>
      </c>
      <c r="M116" s="115">
        <v>0</v>
      </c>
      <c r="N116" s="115">
        <v>0</v>
      </c>
      <c r="O116" s="115">
        <v>0</v>
      </c>
      <c r="P116" s="122">
        <v>0.4</v>
      </c>
      <c r="Q116" s="111">
        <v>8509</v>
      </c>
      <c r="R116" s="112">
        <v>0</v>
      </c>
      <c r="S116" s="112">
        <v>0</v>
      </c>
      <c r="T116" s="111">
        <f t="shared" si="5"/>
        <v>3404</v>
      </c>
      <c r="U116" s="115">
        <v>0</v>
      </c>
      <c r="V116" s="144">
        <v>0</v>
      </c>
      <c r="W116" s="111">
        <v>18813</v>
      </c>
      <c r="X116" s="113">
        <f t="shared" si="7"/>
        <v>22217</v>
      </c>
      <c r="Y116" s="111">
        <v>2</v>
      </c>
      <c r="Z116" s="111">
        <v>436</v>
      </c>
      <c r="AA116" s="116">
        <v>0</v>
      </c>
      <c r="AB116" s="111">
        <v>18813</v>
      </c>
      <c r="AC116" s="113">
        <f t="shared" si="8"/>
        <v>19251</v>
      </c>
      <c r="AD116" s="111">
        <v>1309</v>
      </c>
      <c r="AE116" s="111">
        <v>425</v>
      </c>
      <c r="AF116" s="112">
        <v>0</v>
      </c>
      <c r="AG116" s="117">
        <v>400</v>
      </c>
      <c r="AH116" s="111">
        <v>11737</v>
      </c>
      <c r="AI116" s="112">
        <v>1840</v>
      </c>
      <c r="AJ116" s="112">
        <v>3389</v>
      </c>
      <c r="AK116" s="113">
        <f t="shared" si="9"/>
        <v>19100</v>
      </c>
      <c r="AL116" s="146"/>
      <c r="AM116" s="119"/>
      <c r="AN116" s="119"/>
      <c r="AO116" s="120"/>
    </row>
    <row r="117" spans="1:41" s="121" customFormat="1" ht="16.5" customHeight="1">
      <c r="A117" s="104" t="s">
        <v>2134</v>
      </c>
      <c r="B117" s="105" t="s">
        <v>785</v>
      </c>
      <c r="C117" s="106" t="s">
        <v>769</v>
      </c>
      <c r="D117" s="106" t="s">
        <v>2415</v>
      </c>
      <c r="E117" s="71" t="s">
        <v>770</v>
      </c>
      <c r="F117" s="71" t="s">
        <v>2085</v>
      </c>
      <c r="G117" s="109" t="s">
        <v>2129</v>
      </c>
      <c r="H117" s="110">
        <f>(16177+8930880)/1000</f>
        <v>8947.0570000000007</v>
      </c>
      <c r="I117" s="111">
        <f>(323540+862600)/1000</f>
        <v>1186.1400000000001</v>
      </c>
      <c r="J117" s="112">
        <v>0</v>
      </c>
      <c r="K117" s="113">
        <f t="shared" si="6"/>
        <v>10133.197</v>
      </c>
      <c r="L117" s="111">
        <v>5160</v>
      </c>
      <c r="M117" s="111">
        <v>5826</v>
      </c>
      <c r="N117" s="112">
        <v>0</v>
      </c>
      <c r="O117" s="111">
        <v>1557</v>
      </c>
      <c r="P117" s="114">
        <v>4</v>
      </c>
      <c r="Q117" s="111">
        <v>8509</v>
      </c>
      <c r="R117" s="115">
        <v>3236</v>
      </c>
      <c r="S117" s="115">
        <v>9973</v>
      </c>
      <c r="T117" s="111">
        <f t="shared" si="5"/>
        <v>47245</v>
      </c>
      <c r="U117" s="112">
        <v>9350</v>
      </c>
      <c r="V117" s="116">
        <v>0</v>
      </c>
      <c r="W117" s="112">
        <v>0</v>
      </c>
      <c r="X117" s="113">
        <f t="shared" si="7"/>
        <v>69138</v>
      </c>
      <c r="Y117" s="111"/>
      <c r="Z117" s="111"/>
      <c r="AA117" s="116"/>
      <c r="AB117" s="111"/>
      <c r="AC117" s="113">
        <f t="shared" si="8"/>
        <v>0</v>
      </c>
      <c r="AD117" s="111"/>
      <c r="AE117" s="111"/>
      <c r="AF117" s="112"/>
      <c r="AG117" s="117"/>
      <c r="AH117" s="111"/>
      <c r="AI117" s="112"/>
      <c r="AJ117" s="112"/>
      <c r="AK117" s="113">
        <f t="shared" si="9"/>
        <v>0</v>
      </c>
      <c r="AL117" s="147"/>
      <c r="AM117" s="148"/>
      <c r="AN117" s="148"/>
      <c r="AO117" s="149"/>
    </row>
    <row r="118" spans="1:41" s="121" customFormat="1" ht="16.5" customHeight="1">
      <c r="A118" s="104" t="s">
        <v>2134</v>
      </c>
      <c r="B118" s="105" t="s">
        <v>790</v>
      </c>
      <c r="C118" s="106" t="s">
        <v>778</v>
      </c>
      <c r="D118" s="106" t="s">
        <v>2415</v>
      </c>
      <c r="E118" s="71" t="s">
        <v>779</v>
      </c>
      <c r="F118" s="71" t="s">
        <v>708</v>
      </c>
      <c r="G118" s="109" t="s">
        <v>780</v>
      </c>
      <c r="H118" s="110">
        <v>239</v>
      </c>
      <c r="I118" s="111"/>
      <c r="J118" s="112">
        <v>4338</v>
      </c>
      <c r="K118" s="113">
        <f t="shared" si="6"/>
        <v>4577</v>
      </c>
      <c r="L118" s="115"/>
      <c r="M118" s="115"/>
      <c r="N118" s="112">
        <v>270</v>
      </c>
      <c r="O118" s="115"/>
      <c r="P118" s="122">
        <v>0.65</v>
      </c>
      <c r="Q118" s="111">
        <v>8509</v>
      </c>
      <c r="R118" s="112"/>
      <c r="S118" s="112"/>
      <c r="T118" s="111">
        <f t="shared" si="5"/>
        <v>5531</v>
      </c>
      <c r="U118" s="112"/>
      <c r="V118" s="144">
        <v>325</v>
      </c>
      <c r="W118" s="111">
        <v>16329</v>
      </c>
      <c r="X118" s="113">
        <f t="shared" si="7"/>
        <v>22455</v>
      </c>
      <c r="Y118" s="111"/>
      <c r="Z118" s="111"/>
      <c r="AA118" s="116"/>
      <c r="AB118" s="111">
        <v>16329</v>
      </c>
      <c r="AC118" s="113">
        <f t="shared" si="8"/>
        <v>16329</v>
      </c>
      <c r="AD118" s="111">
        <v>2191</v>
      </c>
      <c r="AE118" s="111">
        <v>1745</v>
      </c>
      <c r="AF118" s="112"/>
      <c r="AG118" s="117">
        <v>816</v>
      </c>
      <c r="AH118" s="111">
        <v>8545</v>
      </c>
      <c r="AI118" s="112">
        <v>963</v>
      </c>
      <c r="AJ118" s="112">
        <v>47</v>
      </c>
      <c r="AK118" s="113">
        <f t="shared" si="9"/>
        <v>14307</v>
      </c>
      <c r="AL118" s="118"/>
      <c r="AM118" s="119"/>
      <c r="AN118" s="119"/>
      <c r="AO118" s="120"/>
    </row>
    <row r="119" spans="1:41" s="121" customFormat="1" ht="16.5" customHeight="1">
      <c r="A119" s="104" t="s">
        <v>2134</v>
      </c>
      <c r="B119" s="105" t="s">
        <v>1966</v>
      </c>
      <c r="C119" s="106" t="s">
        <v>786</v>
      </c>
      <c r="D119" s="106" t="s">
        <v>2415</v>
      </c>
      <c r="E119" s="71" t="s">
        <v>787</v>
      </c>
      <c r="F119" s="71" t="s">
        <v>708</v>
      </c>
      <c r="G119" s="109" t="s">
        <v>721</v>
      </c>
      <c r="H119" s="110">
        <v>0</v>
      </c>
      <c r="I119" s="111">
        <v>0</v>
      </c>
      <c r="J119" s="112">
        <v>0</v>
      </c>
      <c r="K119" s="113">
        <f t="shared" si="6"/>
        <v>0</v>
      </c>
      <c r="L119" s="115">
        <v>0</v>
      </c>
      <c r="M119" s="115">
        <v>188</v>
      </c>
      <c r="N119" s="115">
        <v>0</v>
      </c>
      <c r="O119" s="111">
        <v>0</v>
      </c>
      <c r="P119" s="145">
        <v>0.18</v>
      </c>
      <c r="Q119" s="111">
        <v>8509</v>
      </c>
      <c r="R119" s="112"/>
      <c r="S119" s="112"/>
      <c r="T119" s="111">
        <f t="shared" si="5"/>
        <v>1532</v>
      </c>
      <c r="U119" s="112">
        <v>0</v>
      </c>
      <c r="V119" s="144">
        <v>490</v>
      </c>
      <c r="W119" s="111">
        <v>71365</v>
      </c>
      <c r="X119" s="113">
        <f t="shared" si="7"/>
        <v>73575</v>
      </c>
      <c r="Y119" s="111">
        <v>16645</v>
      </c>
      <c r="Z119" s="111">
        <v>9521</v>
      </c>
      <c r="AA119" s="116">
        <v>0</v>
      </c>
      <c r="AB119" s="111">
        <v>71365</v>
      </c>
      <c r="AC119" s="113">
        <f t="shared" si="8"/>
        <v>97531</v>
      </c>
      <c r="AD119" s="111">
        <v>7309</v>
      </c>
      <c r="AE119" s="111">
        <v>7251</v>
      </c>
      <c r="AF119" s="112">
        <v>0</v>
      </c>
      <c r="AG119" s="117">
        <v>1066</v>
      </c>
      <c r="AH119" s="111">
        <v>34791</v>
      </c>
      <c r="AI119" s="112">
        <v>42572</v>
      </c>
      <c r="AJ119" s="112">
        <v>1316</v>
      </c>
      <c r="AK119" s="113">
        <f t="shared" si="9"/>
        <v>94305</v>
      </c>
      <c r="AL119" s="118"/>
      <c r="AM119" s="119"/>
      <c r="AN119" s="119"/>
      <c r="AO119" s="120"/>
    </row>
    <row r="120" spans="1:41" s="121" customFormat="1" ht="16.5" customHeight="1">
      <c r="A120" s="104" t="s">
        <v>2134</v>
      </c>
      <c r="B120" s="105" t="s">
        <v>1966</v>
      </c>
      <c r="C120" s="106" t="s">
        <v>791</v>
      </c>
      <c r="D120" s="106" t="s">
        <v>2415</v>
      </c>
      <c r="E120" s="71" t="s">
        <v>792</v>
      </c>
      <c r="F120" s="71" t="s">
        <v>708</v>
      </c>
      <c r="G120" s="109" t="s">
        <v>721</v>
      </c>
      <c r="H120" s="143">
        <v>0</v>
      </c>
      <c r="I120" s="112">
        <v>0</v>
      </c>
      <c r="J120" s="112">
        <v>0</v>
      </c>
      <c r="K120" s="113">
        <f t="shared" si="6"/>
        <v>0</v>
      </c>
      <c r="L120" s="115">
        <v>0</v>
      </c>
      <c r="M120" s="115">
        <v>0</v>
      </c>
      <c r="N120" s="115">
        <v>0</v>
      </c>
      <c r="O120" s="115">
        <v>0</v>
      </c>
      <c r="P120" s="145">
        <v>0.22</v>
      </c>
      <c r="Q120" s="111">
        <v>8509</v>
      </c>
      <c r="R120" s="112"/>
      <c r="S120" s="112"/>
      <c r="T120" s="111">
        <f t="shared" si="5"/>
        <v>1872</v>
      </c>
      <c r="U120" s="115">
        <v>51075</v>
      </c>
      <c r="V120" s="116">
        <v>0</v>
      </c>
      <c r="W120" s="112">
        <v>0</v>
      </c>
      <c r="X120" s="113">
        <f t="shared" si="7"/>
        <v>52947</v>
      </c>
      <c r="Y120" s="111"/>
      <c r="Z120" s="111"/>
      <c r="AA120" s="116"/>
      <c r="AB120" s="111"/>
      <c r="AC120" s="113">
        <f t="shared" si="8"/>
        <v>0</v>
      </c>
      <c r="AD120" s="111"/>
      <c r="AE120" s="111"/>
      <c r="AF120" s="112"/>
      <c r="AG120" s="117"/>
      <c r="AH120" s="111"/>
      <c r="AI120" s="112"/>
      <c r="AJ120" s="112"/>
      <c r="AK120" s="113">
        <f t="shared" si="9"/>
        <v>0</v>
      </c>
      <c r="AL120" s="118"/>
      <c r="AM120" s="119"/>
      <c r="AN120" s="119"/>
      <c r="AO120" s="120"/>
    </row>
    <row r="121" spans="1:41" s="121" customFormat="1" ht="16.5" customHeight="1">
      <c r="A121" s="104" t="s">
        <v>2134</v>
      </c>
      <c r="B121" s="105" t="s">
        <v>1966</v>
      </c>
      <c r="C121" s="106" t="s">
        <v>794</v>
      </c>
      <c r="D121" s="106" t="s">
        <v>2415</v>
      </c>
      <c r="E121" s="71" t="s">
        <v>788</v>
      </c>
      <c r="F121" s="71" t="s">
        <v>708</v>
      </c>
      <c r="G121" s="109" t="s">
        <v>721</v>
      </c>
      <c r="H121" s="110">
        <v>0</v>
      </c>
      <c r="I121" s="111">
        <v>0</v>
      </c>
      <c r="J121" s="112">
        <v>0</v>
      </c>
      <c r="K121" s="113">
        <f t="shared" si="6"/>
        <v>0</v>
      </c>
      <c r="L121" s="115">
        <v>0</v>
      </c>
      <c r="M121" s="115">
        <v>0</v>
      </c>
      <c r="N121" s="115">
        <v>0</v>
      </c>
      <c r="O121" s="111">
        <v>0</v>
      </c>
      <c r="P121" s="145">
        <v>0.18</v>
      </c>
      <c r="Q121" s="111">
        <v>8509</v>
      </c>
      <c r="R121" s="112"/>
      <c r="S121" s="112"/>
      <c r="T121" s="111">
        <f t="shared" si="5"/>
        <v>1532</v>
      </c>
      <c r="U121" s="115">
        <v>0</v>
      </c>
      <c r="V121" s="144">
        <v>17</v>
      </c>
      <c r="W121" s="111">
        <v>51237</v>
      </c>
      <c r="X121" s="113">
        <f t="shared" si="7"/>
        <v>52786</v>
      </c>
      <c r="Y121" s="111">
        <v>255</v>
      </c>
      <c r="Z121" s="111">
        <v>14033</v>
      </c>
      <c r="AA121" s="116">
        <v>1077</v>
      </c>
      <c r="AB121" s="111">
        <v>51237</v>
      </c>
      <c r="AC121" s="113">
        <f t="shared" si="8"/>
        <v>66602</v>
      </c>
      <c r="AD121" s="111">
        <v>3317</v>
      </c>
      <c r="AE121" s="111">
        <v>3548</v>
      </c>
      <c r="AF121" s="112">
        <v>0</v>
      </c>
      <c r="AG121" s="117">
        <v>231</v>
      </c>
      <c r="AH121" s="111">
        <v>42895</v>
      </c>
      <c r="AI121" s="112">
        <v>17858</v>
      </c>
      <c r="AJ121" s="112">
        <v>202</v>
      </c>
      <c r="AK121" s="113">
        <f t="shared" si="9"/>
        <v>68051</v>
      </c>
      <c r="AL121" s="118"/>
      <c r="AM121" s="119"/>
      <c r="AN121" s="119"/>
      <c r="AO121" s="120"/>
    </row>
    <row r="122" spans="1:41" s="121" customFormat="1" ht="16.5" customHeight="1">
      <c r="A122" s="104" t="s">
        <v>2134</v>
      </c>
      <c r="B122" s="105" t="s">
        <v>1966</v>
      </c>
      <c r="C122" s="106" t="s">
        <v>796</v>
      </c>
      <c r="D122" s="106" t="s">
        <v>2415</v>
      </c>
      <c r="E122" s="71" t="s">
        <v>797</v>
      </c>
      <c r="F122" s="71" t="s">
        <v>708</v>
      </c>
      <c r="G122" s="109" t="s">
        <v>721</v>
      </c>
      <c r="H122" s="110">
        <v>0</v>
      </c>
      <c r="I122" s="111">
        <v>0</v>
      </c>
      <c r="J122" s="112">
        <v>0</v>
      </c>
      <c r="K122" s="113">
        <f t="shared" si="6"/>
        <v>0</v>
      </c>
      <c r="L122" s="115">
        <v>0</v>
      </c>
      <c r="M122" s="115">
        <v>0</v>
      </c>
      <c r="N122" s="115">
        <v>0</v>
      </c>
      <c r="O122" s="111">
        <v>0</v>
      </c>
      <c r="P122" s="145">
        <v>0.18</v>
      </c>
      <c r="Q122" s="111">
        <v>8509</v>
      </c>
      <c r="R122" s="112"/>
      <c r="S122" s="112"/>
      <c r="T122" s="111">
        <f t="shared" si="5"/>
        <v>1532</v>
      </c>
      <c r="U122" s="115">
        <v>0</v>
      </c>
      <c r="V122" s="144">
        <v>0</v>
      </c>
      <c r="W122" s="111">
        <v>17844</v>
      </c>
      <c r="X122" s="113">
        <f t="shared" si="7"/>
        <v>19376</v>
      </c>
      <c r="Y122" s="111">
        <v>313</v>
      </c>
      <c r="Z122" s="111">
        <v>32</v>
      </c>
      <c r="AA122" s="116">
        <v>0</v>
      </c>
      <c r="AB122" s="111">
        <v>17844</v>
      </c>
      <c r="AC122" s="113">
        <f t="shared" si="8"/>
        <v>18189</v>
      </c>
      <c r="AD122" s="111">
        <v>2323</v>
      </c>
      <c r="AE122" s="111">
        <v>7161</v>
      </c>
      <c r="AF122" s="112">
        <v>0</v>
      </c>
      <c r="AG122" s="117">
        <v>122</v>
      </c>
      <c r="AH122" s="111">
        <v>8507</v>
      </c>
      <c r="AI122" s="112">
        <v>0</v>
      </c>
      <c r="AJ122" s="112">
        <v>368</v>
      </c>
      <c r="AK122" s="113">
        <f t="shared" si="9"/>
        <v>18481</v>
      </c>
      <c r="AL122" s="118"/>
      <c r="AM122" s="119"/>
      <c r="AN122" s="119"/>
      <c r="AO122" s="120"/>
    </row>
    <row r="123" spans="1:41" s="121" customFormat="1" ht="16.5" customHeight="1">
      <c r="A123" s="104" t="s">
        <v>2134</v>
      </c>
      <c r="B123" s="105" t="s">
        <v>793</v>
      </c>
      <c r="C123" s="106" t="s">
        <v>800</v>
      </c>
      <c r="D123" s="106" t="s">
        <v>2415</v>
      </c>
      <c r="E123" s="71" t="s">
        <v>801</v>
      </c>
      <c r="F123" s="71" t="s">
        <v>170</v>
      </c>
      <c r="G123" s="109" t="s">
        <v>802</v>
      </c>
      <c r="H123" s="110">
        <v>11507</v>
      </c>
      <c r="I123" s="111">
        <v>12</v>
      </c>
      <c r="J123" s="112">
        <v>162</v>
      </c>
      <c r="K123" s="113">
        <f t="shared" si="6"/>
        <v>11681</v>
      </c>
      <c r="L123" s="111">
        <v>10165</v>
      </c>
      <c r="M123" s="111">
        <v>31144</v>
      </c>
      <c r="N123" s="112"/>
      <c r="O123" s="111">
        <v>11098</v>
      </c>
      <c r="P123" s="114">
        <v>11</v>
      </c>
      <c r="Q123" s="111">
        <v>8509</v>
      </c>
      <c r="R123" s="115">
        <v>38546</v>
      </c>
      <c r="S123" s="115">
        <v>21664</v>
      </c>
      <c r="T123" s="111">
        <f t="shared" si="5"/>
        <v>153809</v>
      </c>
      <c r="U123" s="112">
        <v>32158</v>
      </c>
      <c r="V123" s="116">
        <v>19474</v>
      </c>
      <c r="W123" s="112"/>
      <c r="X123" s="113">
        <f t="shared" si="7"/>
        <v>257848</v>
      </c>
      <c r="Y123" s="111"/>
      <c r="Z123" s="111"/>
      <c r="AA123" s="116"/>
      <c r="AB123" s="111"/>
      <c r="AC123" s="113">
        <f t="shared" si="8"/>
        <v>0</v>
      </c>
      <c r="AD123" s="111"/>
      <c r="AE123" s="111"/>
      <c r="AF123" s="112"/>
      <c r="AG123" s="117"/>
      <c r="AH123" s="111"/>
      <c r="AI123" s="112"/>
      <c r="AJ123" s="112"/>
      <c r="AK123" s="113">
        <f t="shared" si="9"/>
        <v>0</v>
      </c>
      <c r="AL123" s="118"/>
      <c r="AM123" s="119"/>
      <c r="AN123" s="119"/>
      <c r="AO123" s="120"/>
    </row>
    <row r="124" spans="1:41" s="121" customFormat="1" ht="16.5" customHeight="1">
      <c r="A124" s="104" t="s">
        <v>2134</v>
      </c>
      <c r="B124" s="105" t="s">
        <v>795</v>
      </c>
      <c r="C124" s="106" t="s">
        <v>812</v>
      </c>
      <c r="D124" s="106" t="s">
        <v>2415</v>
      </c>
      <c r="E124" s="71" t="s">
        <v>813</v>
      </c>
      <c r="F124" s="71" t="s">
        <v>170</v>
      </c>
      <c r="G124" s="109" t="s">
        <v>802</v>
      </c>
      <c r="H124" s="110"/>
      <c r="I124" s="111"/>
      <c r="J124" s="112"/>
      <c r="K124" s="113">
        <f t="shared" si="6"/>
        <v>0</v>
      </c>
      <c r="L124" s="111"/>
      <c r="M124" s="111"/>
      <c r="N124" s="112"/>
      <c r="O124" s="111"/>
      <c r="P124" s="122">
        <v>0.21</v>
      </c>
      <c r="Q124" s="111">
        <v>8509</v>
      </c>
      <c r="R124" s="112"/>
      <c r="S124" s="112"/>
      <c r="T124" s="111">
        <f t="shared" si="5"/>
        <v>1787</v>
      </c>
      <c r="U124" s="112"/>
      <c r="V124" s="116"/>
      <c r="W124" s="111">
        <v>34188</v>
      </c>
      <c r="X124" s="113">
        <f t="shared" si="7"/>
        <v>35975</v>
      </c>
      <c r="Y124" s="111"/>
      <c r="Z124" s="111"/>
      <c r="AA124" s="116">
        <v>17</v>
      </c>
      <c r="AB124" s="111">
        <v>34188</v>
      </c>
      <c r="AC124" s="113">
        <f t="shared" si="8"/>
        <v>34205</v>
      </c>
      <c r="AD124" s="111"/>
      <c r="AE124" s="111"/>
      <c r="AF124" s="112"/>
      <c r="AG124" s="117">
        <v>150</v>
      </c>
      <c r="AH124" s="111">
        <v>33508</v>
      </c>
      <c r="AI124" s="112">
        <v>1652</v>
      </c>
      <c r="AJ124" s="112"/>
      <c r="AK124" s="113">
        <f t="shared" si="9"/>
        <v>35310</v>
      </c>
      <c r="AL124" s="118"/>
      <c r="AM124" s="119"/>
      <c r="AN124" s="119"/>
      <c r="AO124" s="120"/>
    </row>
    <row r="125" spans="1:41" s="121" customFormat="1" ht="16.5" customHeight="1">
      <c r="A125" s="104" t="s">
        <v>2134</v>
      </c>
      <c r="B125" s="105" t="s">
        <v>799</v>
      </c>
      <c r="C125" s="106" t="s">
        <v>818</v>
      </c>
      <c r="D125" s="106" t="s">
        <v>2415</v>
      </c>
      <c r="E125" s="71" t="s">
        <v>819</v>
      </c>
      <c r="F125" s="71" t="s">
        <v>170</v>
      </c>
      <c r="G125" s="109" t="s">
        <v>802</v>
      </c>
      <c r="H125" s="110"/>
      <c r="I125" s="111"/>
      <c r="J125" s="112"/>
      <c r="K125" s="113">
        <f t="shared" si="6"/>
        <v>0</v>
      </c>
      <c r="L125" s="111"/>
      <c r="M125" s="115"/>
      <c r="N125" s="115"/>
      <c r="O125" s="115"/>
      <c r="P125" s="122">
        <v>0.19</v>
      </c>
      <c r="Q125" s="111">
        <v>8509</v>
      </c>
      <c r="R125" s="112"/>
      <c r="S125" s="112"/>
      <c r="T125" s="111">
        <f t="shared" si="5"/>
        <v>1617</v>
      </c>
      <c r="U125" s="115"/>
      <c r="V125" s="116"/>
      <c r="W125" s="111">
        <v>27603</v>
      </c>
      <c r="X125" s="113">
        <f t="shared" si="7"/>
        <v>29220</v>
      </c>
      <c r="Y125" s="111"/>
      <c r="Z125" s="111"/>
      <c r="AA125" s="116">
        <v>12</v>
      </c>
      <c r="AB125" s="111">
        <v>27603</v>
      </c>
      <c r="AC125" s="113">
        <f t="shared" si="8"/>
        <v>27615</v>
      </c>
      <c r="AD125" s="111"/>
      <c r="AE125" s="111"/>
      <c r="AF125" s="112"/>
      <c r="AG125" s="117">
        <v>83</v>
      </c>
      <c r="AH125" s="111">
        <v>25866</v>
      </c>
      <c r="AI125" s="112">
        <v>1660</v>
      </c>
      <c r="AJ125" s="112"/>
      <c r="AK125" s="113">
        <f t="shared" si="9"/>
        <v>27609</v>
      </c>
      <c r="AL125" s="118"/>
      <c r="AM125" s="119"/>
      <c r="AN125" s="119"/>
      <c r="AO125" s="120"/>
    </row>
    <row r="126" spans="1:41" s="121" customFormat="1" ht="16.5" customHeight="1">
      <c r="A126" s="104" t="s">
        <v>2134</v>
      </c>
      <c r="B126" s="105" t="s">
        <v>811</v>
      </c>
      <c r="C126" s="106" t="s">
        <v>822</v>
      </c>
      <c r="D126" s="106" t="s">
        <v>2415</v>
      </c>
      <c r="E126" s="71" t="s">
        <v>823</v>
      </c>
      <c r="F126" s="71" t="s">
        <v>170</v>
      </c>
      <c r="G126" s="109" t="s">
        <v>802</v>
      </c>
      <c r="H126" s="110"/>
      <c r="I126" s="111"/>
      <c r="J126" s="112"/>
      <c r="K126" s="113">
        <f t="shared" si="6"/>
        <v>0</v>
      </c>
      <c r="L126" s="111"/>
      <c r="M126" s="111"/>
      <c r="N126" s="112">
        <v>3761</v>
      </c>
      <c r="O126" s="111"/>
      <c r="P126" s="114"/>
      <c r="Q126" s="111">
        <v>8509</v>
      </c>
      <c r="R126" s="115">
        <v>8566</v>
      </c>
      <c r="S126" s="115">
        <v>3333</v>
      </c>
      <c r="T126" s="111">
        <f t="shared" si="5"/>
        <v>11899</v>
      </c>
      <c r="U126" s="112"/>
      <c r="V126" s="116"/>
      <c r="W126" s="112"/>
      <c r="X126" s="113">
        <f t="shared" si="7"/>
        <v>15660</v>
      </c>
      <c r="Y126" s="111"/>
      <c r="Z126" s="111"/>
      <c r="AA126" s="116"/>
      <c r="AB126" s="111"/>
      <c r="AC126" s="113">
        <f t="shared" si="8"/>
        <v>0</v>
      </c>
      <c r="AD126" s="111"/>
      <c r="AE126" s="111"/>
      <c r="AF126" s="112"/>
      <c r="AG126" s="117"/>
      <c r="AH126" s="111"/>
      <c r="AI126" s="112"/>
      <c r="AJ126" s="112"/>
      <c r="AK126" s="113">
        <f t="shared" si="9"/>
        <v>0</v>
      </c>
      <c r="AL126" s="118"/>
      <c r="AM126" s="119"/>
      <c r="AN126" s="119"/>
      <c r="AO126" s="120"/>
    </row>
    <row r="127" spans="1:41" s="121" customFormat="1" ht="16.5" customHeight="1">
      <c r="A127" s="104" t="s">
        <v>2134</v>
      </c>
      <c r="B127" s="105" t="s">
        <v>817</v>
      </c>
      <c r="C127" s="106" t="s">
        <v>830</v>
      </c>
      <c r="D127" s="106" t="s">
        <v>2415</v>
      </c>
      <c r="E127" s="71" t="s">
        <v>831</v>
      </c>
      <c r="F127" s="71" t="s">
        <v>170</v>
      </c>
      <c r="G127" s="109" t="s">
        <v>802</v>
      </c>
      <c r="H127" s="110"/>
      <c r="I127" s="111"/>
      <c r="J127" s="112"/>
      <c r="K127" s="113">
        <f t="shared" si="6"/>
        <v>0</v>
      </c>
      <c r="L127" s="111"/>
      <c r="M127" s="111"/>
      <c r="N127" s="112"/>
      <c r="O127" s="111"/>
      <c r="P127" s="122">
        <v>0.2</v>
      </c>
      <c r="Q127" s="111">
        <v>8509</v>
      </c>
      <c r="R127" s="112"/>
      <c r="S127" s="112"/>
      <c r="T127" s="111">
        <f t="shared" si="5"/>
        <v>1702</v>
      </c>
      <c r="U127" s="112"/>
      <c r="V127" s="116"/>
      <c r="W127" s="111">
        <v>9849</v>
      </c>
      <c r="X127" s="113">
        <f t="shared" si="7"/>
        <v>11551</v>
      </c>
      <c r="Y127" s="111"/>
      <c r="Z127" s="111"/>
      <c r="AA127" s="116"/>
      <c r="AB127" s="111">
        <v>9849</v>
      </c>
      <c r="AC127" s="113">
        <f t="shared" si="8"/>
        <v>9849</v>
      </c>
      <c r="AD127" s="111">
        <v>212</v>
      </c>
      <c r="AE127" s="111"/>
      <c r="AF127" s="112"/>
      <c r="AG127" s="117"/>
      <c r="AH127" s="111">
        <v>8600</v>
      </c>
      <c r="AI127" s="112">
        <v>163</v>
      </c>
      <c r="AJ127" s="112"/>
      <c r="AK127" s="113">
        <f t="shared" si="9"/>
        <v>8975</v>
      </c>
      <c r="AL127" s="118"/>
      <c r="AM127" s="119"/>
      <c r="AN127" s="119"/>
      <c r="AO127" s="120"/>
    </row>
    <row r="128" spans="1:41" s="121" customFormat="1" ht="16.5" customHeight="1">
      <c r="A128" s="104" t="s">
        <v>2134</v>
      </c>
      <c r="B128" s="105" t="s">
        <v>821</v>
      </c>
      <c r="C128" s="106" t="s">
        <v>834</v>
      </c>
      <c r="D128" s="106" t="s">
        <v>2415</v>
      </c>
      <c r="E128" s="71" t="s">
        <v>835</v>
      </c>
      <c r="F128" s="71" t="s">
        <v>170</v>
      </c>
      <c r="G128" s="109" t="s">
        <v>2187</v>
      </c>
      <c r="H128" s="110">
        <v>464</v>
      </c>
      <c r="I128" s="111"/>
      <c r="J128" s="112">
        <v>164</v>
      </c>
      <c r="K128" s="113">
        <f t="shared" si="6"/>
        <v>628</v>
      </c>
      <c r="L128" s="111">
        <v>11051</v>
      </c>
      <c r="M128" s="111">
        <v>4325</v>
      </c>
      <c r="N128" s="112"/>
      <c r="O128" s="111">
        <v>3842</v>
      </c>
      <c r="P128" s="114">
        <v>1</v>
      </c>
      <c r="Q128" s="111">
        <v>8509</v>
      </c>
      <c r="R128" s="115">
        <v>1757</v>
      </c>
      <c r="S128" s="115">
        <v>11947</v>
      </c>
      <c r="T128" s="111">
        <f t="shared" si="5"/>
        <v>22213</v>
      </c>
      <c r="U128" s="112">
        <v>17599</v>
      </c>
      <c r="V128" s="116">
        <v>89</v>
      </c>
      <c r="W128" s="111"/>
      <c r="X128" s="113">
        <f t="shared" si="7"/>
        <v>59119</v>
      </c>
      <c r="Y128" s="111"/>
      <c r="Z128" s="111"/>
      <c r="AA128" s="116"/>
      <c r="AB128" s="111"/>
      <c r="AC128" s="113">
        <f t="shared" si="8"/>
        <v>0</v>
      </c>
      <c r="AD128" s="111"/>
      <c r="AE128" s="111"/>
      <c r="AF128" s="112"/>
      <c r="AG128" s="117"/>
      <c r="AH128" s="111"/>
      <c r="AI128" s="112"/>
      <c r="AJ128" s="112"/>
      <c r="AK128" s="113">
        <f t="shared" si="9"/>
        <v>0</v>
      </c>
      <c r="AL128" s="118"/>
      <c r="AM128" s="119"/>
      <c r="AN128" s="119"/>
      <c r="AO128" s="120"/>
    </row>
    <row r="129" spans="1:41" s="121" customFormat="1" ht="16.5" customHeight="1">
      <c r="A129" s="104" t="s">
        <v>2134</v>
      </c>
      <c r="B129" s="105" t="s">
        <v>829</v>
      </c>
      <c r="C129" s="106" t="s">
        <v>850</v>
      </c>
      <c r="D129" s="106" t="s">
        <v>2415</v>
      </c>
      <c r="E129" s="71" t="s">
        <v>851</v>
      </c>
      <c r="F129" s="71" t="s">
        <v>170</v>
      </c>
      <c r="G129" s="109" t="s">
        <v>2187</v>
      </c>
      <c r="H129" s="110">
        <v>326</v>
      </c>
      <c r="I129" s="111"/>
      <c r="J129" s="112">
        <v>25</v>
      </c>
      <c r="K129" s="113">
        <f t="shared" si="6"/>
        <v>351</v>
      </c>
      <c r="L129" s="111">
        <v>7556</v>
      </c>
      <c r="M129" s="111">
        <v>3917</v>
      </c>
      <c r="N129" s="112"/>
      <c r="O129" s="111">
        <v>6105</v>
      </c>
      <c r="P129" s="114">
        <v>1</v>
      </c>
      <c r="Q129" s="111">
        <v>8509</v>
      </c>
      <c r="R129" s="115">
        <v>1685</v>
      </c>
      <c r="S129" s="115">
        <v>5987</v>
      </c>
      <c r="T129" s="111">
        <f t="shared" si="5"/>
        <v>16181</v>
      </c>
      <c r="U129" s="112">
        <v>14690</v>
      </c>
      <c r="V129" s="116">
        <v>86</v>
      </c>
      <c r="W129" s="111"/>
      <c r="X129" s="113">
        <f t="shared" si="7"/>
        <v>48535</v>
      </c>
      <c r="Y129" s="111"/>
      <c r="Z129" s="111"/>
      <c r="AA129" s="116"/>
      <c r="AB129" s="111"/>
      <c r="AC129" s="113">
        <f t="shared" si="8"/>
        <v>0</v>
      </c>
      <c r="AD129" s="111"/>
      <c r="AE129" s="111"/>
      <c r="AF129" s="112"/>
      <c r="AG129" s="117"/>
      <c r="AH129" s="111"/>
      <c r="AI129" s="112"/>
      <c r="AJ129" s="112"/>
      <c r="AK129" s="113">
        <f t="shared" si="9"/>
        <v>0</v>
      </c>
      <c r="AL129" s="118"/>
      <c r="AM129" s="119"/>
      <c r="AN129" s="119"/>
      <c r="AO129" s="120"/>
    </row>
    <row r="130" spans="1:41" s="121" customFormat="1" ht="16.5" customHeight="1">
      <c r="A130" s="104" t="s">
        <v>2134</v>
      </c>
      <c r="B130" s="105" t="s">
        <v>833</v>
      </c>
      <c r="C130" s="106" t="s">
        <v>856</v>
      </c>
      <c r="D130" s="106" t="s">
        <v>2415</v>
      </c>
      <c r="E130" s="71" t="s">
        <v>857</v>
      </c>
      <c r="F130" s="71" t="s">
        <v>170</v>
      </c>
      <c r="G130" s="109" t="s">
        <v>2187</v>
      </c>
      <c r="H130" s="110">
        <v>468</v>
      </c>
      <c r="I130" s="111"/>
      <c r="J130" s="112">
        <v>107</v>
      </c>
      <c r="K130" s="113">
        <f t="shared" si="6"/>
        <v>575</v>
      </c>
      <c r="L130" s="111">
        <v>7001</v>
      </c>
      <c r="M130" s="111">
        <v>3816</v>
      </c>
      <c r="N130" s="112"/>
      <c r="O130" s="111">
        <v>3149</v>
      </c>
      <c r="P130" s="114">
        <v>1</v>
      </c>
      <c r="Q130" s="111">
        <v>8509</v>
      </c>
      <c r="R130" s="115">
        <v>1685</v>
      </c>
      <c r="S130" s="115">
        <v>8142</v>
      </c>
      <c r="T130" s="111">
        <f t="shared" si="5"/>
        <v>18336</v>
      </c>
      <c r="U130" s="112">
        <v>16859</v>
      </c>
      <c r="V130" s="116">
        <v>79</v>
      </c>
      <c r="W130" s="111"/>
      <c r="X130" s="113">
        <f t="shared" si="7"/>
        <v>49240</v>
      </c>
      <c r="Y130" s="111"/>
      <c r="Z130" s="111"/>
      <c r="AA130" s="116"/>
      <c r="AB130" s="111"/>
      <c r="AC130" s="113">
        <f t="shared" si="8"/>
        <v>0</v>
      </c>
      <c r="AD130" s="111"/>
      <c r="AE130" s="111"/>
      <c r="AF130" s="112"/>
      <c r="AG130" s="117"/>
      <c r="AH130" s="111"/>
      <c r="AI130" s="112"/>
      <c r="AJ130" s="112"/>
      <c r="AK130" s="113">
        <f t="shared" si="9"/>
        <v>0</v>
      </c>
      <c r="AL130" s="118"/>
      <c r="AM130" s="119"/>
      <c r="AN130" s="119"/>
      <c r="AO130" s="120"/>
    </row>
    <row r="131" spans="1:41" s="121" customFormat="1" ht="16.5" customHeight="1">
      <c r="A131" s="104" t="s">
        <v>2134</v>
      </c>
      <c r="B131" s="105" t="s">
        <v>849</v>
      </c>
      <c r="C131" s="106" t="s">
        <v>864</v>
      </c>
      <c r="D131" s="106" t="s">
        <v>2415</v>
      </c>
      <c r="E131" s="71" t="s">
        <v>865</v>
      </c>
      <c r="F131" s="71" t="s">
        <v>170</v>
      </c>
      <c r="G131" s="109" t="s">
        <v>2187</v>
      </c>
      <c r="H131" s="110">
        <v>75</v>
      </c>
      <c r="I131" s="111"/>
      <c r="J131" s="112">
        <v>41</v>
      </c>
      <c r="K131" s="113">
        <f t="shared" si="6"/>
        <v>116</v>
      </c>
      <c r="L131" s="111">
        <v>10629</v>
      </c>
      <c r="M131" s="111">
        <v>3385</v>
      </c>
      <c r="N131" s="112"/>
      <c r="O131" s="111">
        <v>2293</v>
      </c>
      <c r="P131" s="114">
        <v>1</v>
      </c>
      <c r="Q131" s="111">
        <v>8509</v>
      </c>
      <c r="R131" s="115">
        <v>1880</v>
      </c>
      <c r="S131" s="115">
        <v>4205</v>
      </c>
      <c r="T131" s="111">
        <f t="shared" si="5"/>
        <v>14594</v>
      </c>
      <c r="U131" s="112">
        <v>10342</v>
      </c>
      <c r="V131" s="116">
        <v>89</v>
      </c>
      <c r="W131" s="111"/>
      <c r="X131" s="113">
        <f t="shared" si="7"/>
        <v>41332</v>
      </c>
      <c r="Y131" s="111"/>
      <c r="Z131" s="111"/>
      <c r="AA131" s="116"/>
      <c r="AB131" s="111"/>
      <c r="AC131" s="113">
        <f t="shared" si="8"/>
        <v>0</v>
      </c>
      <c r="AD131" s="111"/>
      <c r="AE131" s="111"/>
      <c r="AF131" s="112"/>
      <c r="AG131" s="117"/>
      <c r="AH131" s="111"/>
      <c r="AI131" s="112"/>
      <c r="AJ131" s="112"/>
      <c r="AK131" s="113">
        <f t="shared" si="9"/>
        <v>0</v>
      </c>
      <c r="AL131" s="118"/>
      <c r="AM131" s="119"/>
      <c r="AN131" s="119"/>
      <c r="AO131" s="120"/>
    </row>
    <row r="132" spans="1:41" s="121" customFormat="1" ht="16.5" customHeight="1">
      <c r="A132" s="104" t="s">
        <v>2134</v>
      </c>
      <c r="B132" s="105" t="s">
        <v>855</v>
      </c>
      <c r="C132" s="106" t="s">
        <v>870</v>
      </c>
      <c r="D132" s="106" t="s">
        <v>2415</v>
      </c>
      <c r="E132" s="71" t="s">
        <v>871</v>
      </c>
      <c r="F132" s="71" t="s">
        <v>170</v>
      </c>
      <c r="G132" s="109" t="s">
        <v>2187</v>
      </c>
      <c r="H132" s="110">
        <v>315</v>
      </c>
      <c r="I132" s="111"/>
      <c r="J132" s="112">
        <v>58</v>
      </c>
      <c r="K132" s="113">
        <f t="shared" si="6"/>
        <v>373</v>
      </c>
      <c r="L132" s="111">
        <v>9220</v>
      </c>
      <c r="M132" s="111">
        <v>3261</v>
      </c>
      <c r="N132" s="112"/>
      <c r="O132" s="111">
        <v>3561</v>
      </c>
      <c r="P132" s="114">
        <v>1</v>
      </c>
      <c r="Q132" s="111">
        <v>8509</v>
      </c>
      <c r="R132" s="115">
        <v>1589</v>
      </c>
      <c r="S132" s="115">
        <v>6369</v>
      </c>
      <c r="T132" s="111">
        <f t="shared" ref="T132:T195" si="10">ROUND(P132*Q132,0)+R132+S132</f>
        <v>16467</v>
      </c>
      <c r="U132" s="112">
        <v>14725</v>
      </c>
      <c r="V132" s="116">
        <v>89</v>
      </c>
      <c r="W132" s="111"/>
      <c r="X132" s="113">
        <f t="shared" si="7"/>
        <v>47323</v>
      </c>
      <c r="Y132" s="111"/>
      <c r="Z132" s="111"/>
      <c r="AA132" s="116"/>
      <c r="AB132" s="111"/>
      <c r="AC132" s="113">
        <f t="shared" si="8"/>
        <v>0</v>
      </c>
      <c r="AD132" s="111"/>
      <c r="AE132" s="111"/>
      <c r="AF132" s="112"/>
      <c r="AG132" s="117"/>
      <c r="AH132" s="111"/>
      <c r="AI132" s="112"/>
      <c r="AJ132" s="112"/>
      <c r="AK132" s="113">
        <f t="shared" si="9"/>
        <v>0</v>
      </c>
      <c r="AL132" s="118"/>
      <c r="AM132" s="119"/>
      <c r="AN132" s="119"/>
      <c r="AO132" s="120"/>
    </row>
    <row r="133" spans="1:41" s="121" customFormat="1" ht="16.5" customHeight="1">
      <c r="A133" s="104" t="s">
        <v>2134</v>
      </c>
      <c r="B133" s="105" t="s">
        <v>863</v>
      </c>
      <c r="C133" s="106" t="s">
        <v>877</v>
      </c>
      <c r="D133" s="106" t="s">
        <v>2415</v>
      </c>
      <c r="E133" s="71" t="s">
        <v>878</v>
      </c>
      <c r="F133" s="71" t="s">
        <v>170</v>
      </c>
      <c r="G133" s="109" t="s">
        <v>2187</v>
      </c>
      <c r="H133" s="110">
        <v>270</v>
      </c>
      <c r="I133" s="111"/>
      <c r="J133" s="112">
        <v>81</v>
      </c>
      <c r="K133" s="113">
        <f t="shared" ref="K133:K196" si="11">SUBTOTAL(9,H133:J133)</f>
        <v>351</v>
      </c>
      <c r="L133" s="111">
        <v>9877</v>
      </c>
      <c r="M133" s="111">
        <v>3406</v>
      </c>
      <c r="N133" s="112"/>
      <c r="O133" s="111">
        <v>3168</v>
      </c>
      <c r="P133" s="114"/>
      <c r="Q133" s="111">
        <v>8509</v>
      </c>
      <c r="R133" s="115">
        <v>5772</v>
      </c>
      <c r="S133" s="115">
        <v>7908</v>
      </c>
      <c r="T133" s="111">
        <f t="shared" si="10"/>
        <v>13680</v>
      </c>
      <c r="U133" s="112">
        <v>14513</v>
      </c>
      <c r="V133" s="116">
        <v>51</v>
      </c>
      <c r="W133" s="111"/>
      <c r="X133" s="113">
        <f t="shared" ref="X133:X196" si="12">SUBTOTAL(9,L133:O133,T133:W133)</f>
        <v>44695</v>
      </c>
      <c r="Y133" s="111"/>
      <c r="Z133" s="111"/>
      <c r="AA133" s="116"/>
      <c r="AB133" s="111"/>
      <c r="AC133" s="113">
        <f t="shared" ref="AC133:AC196" si="13">SUBTOTAL(9,Y133:AB133)</f>
        <v>0</v>
      </c>
      <c r="AD133" s="111"/>
      <c r="AE133" s="111"/>
      <c r="AF133" s="112"/>
      <c r="AG133" s="117"/>
      <c r="AH133" s="111"/>
      <c r="AI133" s="112"/>
      <c r="AJ133" s="112"/>
      <c r="AK133" s="113">
        <f t="shared" ref="AK133:AK196" si="14">SUBTOTAL(9,AD133:AJ133)</f>
        <v>0</v>
      </c>
      <c r="AL133" s="118"/>
      <c r="AM133" s="119"/>
      <c r="AN133" s="119"/>
      <c r="AO133" s="120"/>
    </row>
    <row r="134" spans="1:41" s="121" customFormat="1" ht="16.5" customHeight="1">
      <c r="A134" s="104" t="s">
        <v>2134</v>
      </c>
      <c r="B134" s="105" t="s">
        <v>869</v>
      </c>
      <c r="C134" s="106" t="s">
        <v>883</v>
      </c>
      <c r="D134" s="106" t="s">
        <v>2415</v>
      </c>
      <c r="E134" s="71" t="s">
        <v>884</v>
      </c>
      <c r="F134" s="71" t="s">
        <v>170</v>
      </c>
      <c r="G134" s="109" t="s">
        <v>2187</v>
      </c>
      <c r="H134" s="110">
        <v>263</v>
      </c>
      <c r="I134" s="111"/>
      <c r="J134" s="112">
        <v>27</v>
      </c>
      <c r="K134" s="113">
        <f t="shared" si="11"/>
        <v>290</v>
      </c>
      <c r="L134" s="111">
        <v>9674</v>
      </c>
      <c r="M134" s="111">
        <v>3653</v>
      </c>
      <c r="N134" s="112"/>
      <c r="O134" s="111">
        <v>4228</v>
      </c>
      <c r="P134" s="114">
        <v>1</v>
      </c>
      <c r="Q134" s="111">
        <v>8509</v>
      </c>
      <c r="R134" s="115">
        <v>1691</v>
      </c>
      <c r="S134" s="115">
        <v>8012</v>
      </c>
      <c r="T134" s="111">
        <f t="shared" si="10"/>
        <v>18212</v>
      </c>
      <c r="U134" s="112">
        <v>15033</v>
      </c>
      <c r="V134" s="116">
        <v>90</v>
      </c>
      <c r="W134" s="111"/>
      <c r="X134" s="113">
        <f t="shared" si="12"/>
        <v>50890</v>
      </c>
      <c r="Y134" s="111"/>
      <c r="Z134" s="111"/>
      <c r="AA134" s="116"/>
      <c r="AB134" s="111"/>
      <c r="AC134" s="113">
        <f t="shared" si="13"/>
        <v>0</v>
      </c>
      <c r="AD134" s="111"/>
      <c r="AE134" s="111"/>
      <c r="AF134" s="112"/>
      <c r="AG134" s="117"/>
      <c r="AH134" s="111"/>
      <c r="AI134" s="112"/>
      <c r="AJ134" s="112"/>
      <c r="AK134" s="113">
        <f t="shared" si="14"/>
        <v>0</v>
      </c>
      <c r="AL134" s="118"/>
      <c r="AM134" s="119"/>
      <c r="AN134" s="119"/>
      <c r="AO134" s="120"/>
    </row>
    <row r="135" spans="1:41" s="121" customFormat="1" ht="16.5" customHeight="1">
      <c r="A135" s="104" t="s">
        <v>2134</v>
      </c>
      <c r="B135" s="105" t="s">
        <v>876</v>
      </c>
      <c r="C135" s="106" t="s">
        <v>889</v>
      </c>
      <c r="D135" s="106" t="s">
        <v>2415</v>
      </c>
      <c r="E135" s="71" t="s">
        <v>890</v>
      </c>
      <c r="F135" s="71" t="s">
        <v>170</v>
      </c>
      <c r="G135" s="109" t="s">
        <v>2187</v>
      </c>
      <c r="H135" s="110">
        <v>333</v>
      </c>
      <c r="I135" s="111"/>
      <c r="J135" s="112">
        <v>53</v>
      </c>
      <c r="K135" s="113">
        <f t="shared" si="11"/>
        <v>386</v>
      </c>
      <c r="L135" s="111">
        <v>7450</v>
      </c>
      <c r="M135" s="111">
        <v>4154</v>
      </c>
      <c r="N135" s="112"/>
      <c r="O135" s="111">
        <v>2329</v>
      </c>
      <c r="P135" s="114">
        <v>1</v>
      </c>
      <c r="Q135" s="111">
        <v>8509</v>
      </c>
      <c r="R135" s="115">
        <v>1662</v>
      </c>
      <c r="S135" s="115">
        <v>4567</v>
      </c>
      <c r="T135" s="111">
        <f t="shared" si="10"/>
        <v>14738</v>
      </c>
      <c r="U135" s="112">
        <v>14675</v>
      </c>
      <c r="V135" s="116">
        <v>89</v>
      </c>
      <c r="W135" s="111"/>
      <c r="X135" s="113">
        <f t="shared" si="12"/>
        <v>43435</v>
      </c>
      <c r="Y135" s="111"/>
      <c r="Z135" s="111"/>
      <c r="AA135" s="116"/>
      <c r="AB135" s="111"/>
      <c r="AC135" s="113">
        <f t="shared" si="13"/>
        <v>0</v>
      </c>
      <c r="AD135" s="111"/>
      <c r="AE135" s="111"/>
      <c r="AF135" s="112"/>
      <c r="AG135" s="117"/>
      <c r="AH135" s="111"/>
      <c r="AI135" s="112"/>
      <c r="AJ135" s="112"/>
      <c r="AK135" s="113">
        <f t="shared" si="14"/>
        <v>0</v>
      </c>
      <c r="AL135" s="118"/>
      <c r="AM135" s="119"/>
      <c r="AN135" s="119"/>
      <c r="AO135" s="120"/>
    </row>
    <row r="136" spans="1:41" s="121" customFormat="1" ht="16.5" customHeight="1">
      <c r="A136" s="104" t="s">
        <v>2134</v>
      </c>
      <c r="B136" s="105" t="s">
        <v>882</v>
      </c>
      <c r="C136" s="106" t="s">
        <v>896</v>
      </c>
      <c r="D136" s="106" t="s">
        <v>2415</v>
      </c>
      <c r="E136" s="71" t="s">
        <v>897</v>
      </c>
      <c r="F136" s="71" t="s">
        <v>170</v>
      </c>
      <c r="G136" s="109" t="s">
        <v>2187</v>
      </c>
      <c r="H136" s="110">
        <v>237</v>
      </c>
      <c r="I136" s="111"/>
      <c r="J136" s="112">
        <v>71</v>
      </c>
      <c r="K136" s="113">
        <f t="shared" si="11"/>
        <v>308</v>
      </c>
      <c r="L136" s="111">
        <v>9001</v>
      </c>
      <c r="M136" s="111">
        <v>3824</v>
      </c>
      <c r="N136" s="112"/>
      <c r="O136" s="111">
        <v>2211</v>
      </c>
      <c r="P136" s="114"/>
      <c r="Q136" s="111">
        <v>8509</v>
      </c>
      <c r="R136" s="115">
        <v>1618</v>
      </c>
      <c r="S136" s="115">
        <v>6096</v>
      </c>
      <c r="T136" s="111">
        <f t="shared" si="10"/>
        <v>7714</v>
      </c>
      <c r="U136" s="112">
        <v>13289</v>
      </c>
      <c r="V136" s="116">
        <v>79</v>
      </c>
      <c r="W136" s="111"/>
      <c r="X136" s="113">
        <f t="shared" si="12"/>
        <v>36118</v>
      </c>
      <c r="Y136" s="111"/>
      <c r="Z136" s="111"/>
      <c r="AA136" s="116"/>
      <c r="AB136" s="111"/>
      <c r="AC136" s="113">
        <f t="shared" si="13"/>
        <v>0</v>
      </c>
      <c r="AD136" s="111"/>
      <c r="AE136" s="111"/>
      <c r="AF136" s="112"/>
      <c r="AG136" s="117"/>
      <c r="AH136" s="111"/>
      <c r="AI136" s="112"/>
      <c r="AJ136" s="112"/>
      <c r="AK136" s="113">
        <f t="shared" si="14"/>
        <v>0</v>
      </c>
      <c r="AL136" s="118"/>
      <c r="AM136" s="119"/>
      <c r="AN136" s="119"/>
      <c r="AO136" s="120"/>
    </row>
    <row r="137" spans="1:41" s="121" customFormat="1" ht="16.5" customHeight="1">
      <c r="A137" s="104" t="s">
        <v>2134</v>
      </c>
      <c r="B137" s="105" t="s">
        <v>888</v>
      </c>
      <c r="C137" s="106" t="s">
        <v>901</v>
      </c>
      <c r="D137" s="106" t="s">
        <v>2415</v>
      </c>
      <c r="E137" s="71" t="s">
        <v>902</v>
      </c>
      <c r="F137" s="71" t="s">
        <v>170</v>
      </c>
      <c r="G137" s="109" t="s">
        <v>2187</v>
      </c>
      <c r="H137" s="110">
        <v>312</v>
      </c>
      <c r="I137" s="111"/>
      <c r="J137" s="112">
        <v>25</v>
      </c>
      <c r="K137" s="113">
        <f t="shared" si="11"/>
        <v>337</v>
      </c>
      <c r="L137" s="111">
        <v>6204</v>
      </c>
      <c r="M137" s="111">
        <v>3813</v>
      </c>
      <c r="N137" s="112"/>
      <c r="O137" s="111">
        <v>1661</v>
      </c>
      <c r="P137" s="114">
        <v>1</v>
      </c>
      <c r="Q137" s="111">
        <v>8509</v>
      </c>
      <c r="R137" s="115">
        <v>1729</v>
      </c>
      <c r="S137" s="115">
        <v>6043</v>
      </c>
      <c r="T137" s="111">
        <f t="shared" si="10"/>
        <v>16281</v>
      </c>
      <c r="U137" s="112">
        <v>14388</v>
      </c>
      <c r="V137" s="116">
        <v>54</v>
      </c>
      <c r="W137" s="111"/>
      <c r="X137" s="113">
        <f t="shared" si="12"/>
        <v>42401</v>
      </c>
      <c r="Y137" s="111"/>
      <c r="Z137" s="111"/>
      <c r="AA137" s="116"/>
      <c r="AB137" s="111"/>
      <c r="AC137" s="113">
        <f t="shared" si="13"/>
        <v>0</v>
      </c>
      <c r="AD137" s="111"/>
      <c r="AE137" s="111"/>
      <c r="AF137" s="112"/>
      <c r="AG137" s="117"/>
      <c r="AH137" s="111"/>
      <c r="AI137" s="112"/>
      <c r="AJ137" s="112"/>
      <c r="AK137" s="113">
        <f t="shared" si="14"/>
        <v>0</v>
      </c>
      <c r="AL137" s="118"/>
      <c r="AM137" s="119"/>
      <c r="AN137" s="119"/>
      <c r="AO137" s="120"/>
    </row>
    <row r="138" spans="1:41" s="121" customFormat="1" ht="16.5" customHeight="1">
      <c r="A138" s="104" t="s">
        <v>2134</v>
      </c>
      <c r="B138" s="105" t="s">
        <v>895</v>
      </c>
      <c r="C138" s="106" t="s">
        <v>906</v>
      </c>
      <c r="D138" s="106" t="s">
        <v>2415</v>
      </c>
      <c r="E138" s="71" t="s">
        <v>907</v>
      </c>
      <c r="F138" s="71" t="s">
        <v>170</v>
      </c>
      <c r="G138" s="109" t="s">
        <v>2187</v>
      </c>
      <c r="H138" s="110">
        <v>121</v>
      </c>
      <c r="I138" s="111"/>
      <c r="J138" s="112">
        <v>34</v>
      </c>
      <c r="K138" s="113">
        <f t="shared" si="11"/>
        <v>155</v>
      </c>
      <c r="L138" s="111">
        <v>8093</v>
      </c>
      <c r="M138" s="111">
        <v>3140</v>
      </c>
      <c r="N138" s="112"/>
      <c r="O138" s="111">
        <v>2657</v>
      </c>
      <c r="P138" s="114"/>
      <c r="Q138" s="111">
        <v>8509</v>
      </c>
      <c r="R138" s="115">
        <v>1644</v>
      </c>
      <c r="S138" s="115">
        <v>6157</v>
      </c>
      <c r="T138" s="111">
        <f t="shared" si="10"/>
        <v>7801</v>
      </c>
      <c r="U138" s="112">
        <v>11265</v>
      </c>
      <c r="V138" s="116">
        <v>90</v>
      </c>
      <c r="W138" s="111"/>
      <c r="X138" s="113">
        <f t="shared" si="12"/>
        <v>33046</v>
      </c>
      <c r="Y138" s="111"/>
      <c r="Z138" s="111"/>
      <c r="AA138" s="116"/>
      <c r="AB138" s="111"/>
      <c r="AC138" s="113">
        <f t="shared" si="13"/>
        <v>0</v>
      </c>
      <c r="AD138" s="111"/>
      <c r="AE138" s="111"/>
      <c r="AF138" s="112"/>
      <c r="AG138" s="117"/>
      <c r="AH138" s="111"/>
      <c r="AI138" s="112"/>
      <c r="AJ138" s="112"/>
      <c r="AK138" s="113">
        <f t="shared" si="14"/>
        <v>0</v>
      </c>
      <c r="AL138" s="118"/>
      <c r="AM138" s="119"/>
      <c r="AN138" s="119"/>
      <c r="AO138" s="120"/>
    </row>
    <row r="139" spans="1:41" s="121" customFormat="1" ht="16.5" customHeight="1">
      <c r="A139" s="104" t="s">
        <v>2134</v>
      </c>
      <c r="B139" s="105" t="s">
        <v>900</v>
      </c>
      <c r="C139" s="106" t="s">
        <v>911</v>
      </c>
      <c r="D139" s="106" t="s">
        <v>2415</v>
      </c>
      <c r="E139" s="71" t="s">
        <v>912</v>
      </c>
      <c r="F139" s="71" t="s">
        <v>170</v>
      </c>
      <c r="G139" s="109" t="s">
        <v>2187</v>
      </c>
      <c r="H139" s="110">
        <v>235</v>
      </c>
      <c r="I139" s="111"/>
      <c r="J139" s="112">
        <v>118</v>
      </c>
      <c r="K139" s="113">
        <f t="shared" si="11"/>
        <v>353</v>
      </c>
      <c r="L139" s="111">
        <v>9066</v>
      </c>
      <c r="M139" s="111">
        <v>3184</v>
      </c>
      <c r="N139" s="112"/>
      <c r="O139" s="111">
        <v>4089</v>
      </c>
      <c r="P139" s="114">
        <v>1</v>
      </c>
      <c r="Q139" s="111">
        <v>8509</v>
      </c>
      <c r="R139" s="115">
        <v>3539</v>
      </c>
      <c r="S139" s="115">
        <v>5766</v>
      </c>
      <c r="T139" s="111">
        <f t="shared" si="10"/>
        <v>17814</v>
      </c>
      <c r="U139" s="112">
        <v>13112</v>
      </c>
      <c r="V139" s="116">
        <v>91</v>
      </c>
      <c r="W139" s="111"/>
      <c r="X139" s="113">
        <f t="shared" si="12"/>
        <v>47356</v>
      </c>
      <c r="Y139" s="111"/>
      <c r="Z139" s="111"/>
      <c r="AA139" s="116"/>
      <c r="AB139" s="111"/>
      <c r="AC139" s="113">
        <f t="shared" si="13"/>
        <v>0</v>
      </c>
      <c r="AD139" s="111"/>
      <c r="AE139" s="111"/>
      <c r="AF139" s="112"/>
      <c r="AG139" s="117"/>
      <c r="AH139" s="111"/>
      <c r="AI139" s="112"/>
      <c r="AJ139" s="112"/>
      <c r="AK139" s="113">
        <f t="shared" si="14"/>
        <v>0</v>
      </c>
      <c r="AL139" s="118"/>
      <c r="AM139" s="119"/>
      <c r="AN139" s="119"/>
      <c r="AO139" s="120"/>
    </row>
    <row r="140" spans="1:41" s="121" customFormat="1" ht="16.5" customHeight="1">
      <c r="A140" s="104" t="s">
        <v>2134</v>
      </c>
      <c r="B140" s="105" t="s">
        <v>905</v>
      </c>
      <c r="C140" s="106" t="s">
        <v>916</v>
      </c>
      <c r="D140" s="106" t="s">
        <v>2415</v>
      </c>
      <c r="E140" s="71" t="s">
        <v>917</v>
      </c>
      <c r="F140" s="71" t="s">
        <v>170</v>
      </c>
      <c r="G140" s="109" t="s">
        <v>2187</v>
      </c>
      <c r="H140" s="110">
        <v>146</v>
      </c>
      <c r="I140" s="111"/>
      <c r="J140" s="112">
        <v>130</v>
      </c>
      <c r="K140" s="113">
        <f t="shared" si="11"/>
        <v>276</v>
      </c>
      <c r="L140" s="111">
        <v>9702</v>
      </c>
      <c r="M140" s="111">
        <v>4213</v>
      </c>
      <c r="N140" s="112"/>
      <c r="O140" s="111">
        <v>2980</v>
      </c>
      <c r="P140" s="114">
        <v>1</v>
      </c>
      <c r="Q140" s="111">
        <v>8509</v>
      </c>
      <c r="R140" s="115">
        <v>1640</v>
      </c>
      <c r="S140" s="115">
        <v>4080</v>
      </c>
      <c r="T140" s="111">
        <f t="shared" si="10"/>
        <v>14229</v>
      </c>
      <c r="U140" s="112">
        <v>12091</v>
      </c>
      <c r="V140" s="116">
        <v>90</v>
      </c>
      <c r="W140" s="111"/>
      <c r="X140" s="113">
        <f t="shared" si="12"/>
        <v>43305</v>
      </c>
      <c r="Y140" s="111"/>
      <c r="Z140" s="111"/>
      <c r="AA140" s="116"/>
      <c r="AB140" s="111"/>
      <c r="AC140" s="113">
        <f t="shared" si="13"/>
        <v>0</v>
      </c>
      <c r="AD140" s="111"/>
      <c r="AE140" s="111"/>
      <c r="AF140" s="112"/>
      <c r="AG140" s="117"/>
      <c r="AH140" s="111"/>
      <c r="AI140" s="112"/>
      <c r="AJ140" s="112"/>
      <c r="AK140" s="113">
        <f t="shared" si="14"/>
        <v>0</v>
      </c>
      <c r="AL140" s="118"/>
      <c r="AM140" s="119"/>
      <c r="AN140" s="119"/>
      <c r="AO140" s="120"/>
    </row>
    <row r="141" spans="1:41" s="121" customFormat="1" ht="16.5" customHeight="1">
      <c r="A141" s="104" t="s">
        <v>2134</v>
      </c>
      <c r="B141" s="105" t="s">
        <v>910</v>
      </c>
      <c r="C141" s="106" t="s">
        <v>921</v>
      </c>
      <c r="D141" s="106" t="s">
        <v>2415</v>
      </c>
      <c r="E141" s="71" t="s">
        <v>922</v>
      </c>
      <c r="F141" s="71" t="s">
        <v>170</v>
      </c>
      <c r="G141" s="109" t="s">
        <v>2187</v>
      </c>
      <c r="H141" s="110">
        <v>160</v>
      </c>
      <c r="I141" s="111"/>
      <c r="J141" s="112">
        <v>28</v>
      </c>
      <c r="K141" s="113">
        <f t="shared" si="11"/>
        <v>188</v>
      </c>
      <c r="L141" s="111">
        <v>6677</v>
      </c>
      <c r="M141" s="111">
        <v>3252</v>
      </c>
      <c r="N141" s="112"/>
      <c r="O141" s="111">
        <v>2502</v>
      </c>
      <c r="P141" s="114">
        <v>1</v>
      </c>
      <c r="Q141" s="111">
        <v>8509</v>
      </c>
      <c r="R141" s="115">
        <v>1685</v>
      </c>
      <c r="S141" s="115">
        <v>5901</v>
      </c>
      <c r="T141" s="111">
        <f t="shared" si="10"/>
        <v>16095</v>
      </c>
      <c r="U141" s="112">
        <v>11455</v>
      </c>
      <c r="V141" s="116">
        <v>78</v>
      </c>
      <c r="W141" s="111"/>
      <c r="X141" s="113">
        <f t="shared" si="12"/>
        <v>40059</v>
      </c>
      <c r="Y141" s="111"/>
      <c r="Z141" s="111"/>
      <c r="AA141" s="116"/>
      <c r="AB141" s="111"/>
      <c r="AC141" s="113">
        <f t="shared" si="13"/>
        <v>0</v>
      </c>
      <c r="AD141" s="111"/>
      <c r="AE141" s="111"/>
      <c r="AF141" s="112"/>
      <c r="AG141" s="117"/>
      <c r="AH141" s="111"/>
      <c r="AI141" s="112"/>
      <c r="AJ141" s="112"/>
      <c r="AK141" s="113">
        <f t="shared" si="14"/>
        <v>0</v>
      </c>
      <c r="AL141" s="118"/>
      <c r="AM141" s="119"/>
      <c r="AN141" s="119"/>
      <c r="AO141" s="120"/>
    </row>
    <row r="142" spans="1:41" s="121" customFormat="1" ht="16.5" customHeight="1">
      <c r="A142" s="104" t="s">
        <v>2134</v>
      </c>
      <c r="B142" s="105" t="s">
        <v>915</v>
      </c>
      <c r="C142" s="106" t="s">
        <v>926</v>
      </c>
      <c r="D142" s="106" t="s">
        <v>2415</v>
      </c>
      <c r="E142" s="71" t="s">
        <v>927</v>
      </c>
      <c r="F142" s="71" t="s">
        <v>170</v>
      </c>
      <c r="G142" s="109" t="s">
        <v>2187</v>
      </c>
      <c r="H142" s="110">
        <v>247</v>
      </c>
      <c r="I142" s="111"/>
      <c r="J142" s="112">
        <v>47</v>
      </c>
      <c r="K142" s="113">
        <f t="shared" si="11"/>
        <v>294</v>
      </c>
      <c r="L142" s="111">
        <v>7445</v>
      </c>
      <c r="M142" s="111">
        <v>3555</v>
      </c>
      <c r="N142" s="112"/>
      <c r="O142" s="111">
        <v>2312</v>
      </c>
      <c r="P142" s="114">
        <v>1</v>
      </c>
      <c r="Q142" s="111">
        <v>8509</v>
      </c>
      <c r="R142" s="115">
        <v>1619</v>
      </c>
      <c r="S142" s="115">
        <v>5756</v>
      </c>
      <c r="T142" s="111">
        <f t="shared" si="10"/>
        <v>15884</v>
      </c>
      <c r="U142" s="112">
        <v>13421</v>
      </c>
      <c r="V142" s="116">
        <v>73</v>
      </c>
      <c r="W142" s="111"/>
      <c r="X142" s="113">
        <f t="shared" si="12"/>
        <v>42690</v>
      </c>
      <c r="Y142" s="111"/>
      <c r="Z142" s="111"/>
      <c r="AA142" s="116"/>
      <c r="AB142" s="111"/>
      <c r="AC142" s="113">
        <f t="shared" si="13"/>
        <v>0</v>
      </c>
      <c r="AD142" s="111"/>
      <c r="AE142" s="111"/>
      <c r="AF142" s="112"/>
      <c r="AG142" s="117"/>
      <c r="AH142" s="111"/>
      <c r="AI142" s="112"/>
      <c r="AJ142" s="112"/>
      <c r="AK142" s="113">
        <f t="shared" si="14"/>
        <v>0</v>
      </c>
      <c r="AL142" s="118"/>
      <c r="AM142" s="119"/>
      <c r="AN142" s="119"/>
      <c r="AO142" s="120"/>
    </row>
    <row r="143" spans="1:41" s="121" customFormat="1" ht="16.5" customHeight="1">
      <c r="A143" s="104" t="s">
        <v>2134</v>
      </c>
      <c r="B143" s="105" t="s">
        <v>920</v>
      </c>
      <c r="C143" s="106" t="s">
        <v>931</v>
      </c>
      <c r="D143" s="106" t="s">
        <v>2415</v>
      </c>
      <c r="E143" s="71" t="s">
        <v>932</v>
      </c>
      <c r="F143" s="71" t="s">
        <v>170</v>
      </c>
      <c r="G143" s="109" t="s">
        <v>2187</v>
      </c>
      <c r="H143" s="110">
        <v>256</v>
      </c>
      <c r="I143" s="111"/>
      <c r="J143" s="112">
        <v>42</v>
      </c>
      <c r="K143" s="113">
        <f t="shared" si="11"/>
        <v>298</v>
      </c>
      <c r="L143" s="111">
        <v>9189</v>
      </c>
      <c r="M143" s="111">
        <v>3490</v>
      </c>
      <c r="N143" s="112"/>
      <c r="O143" s="111">
        <v>3252</v>
      </c>
      <c r="P143" s="114">
        <v>1</v>
      </c>
      <c r="Q143" s="111">
        <v>8509</v>
      </c>
      <c r="R143" s="115">
        <v>1769</v>
      </c>
      <c r="S143" s="115">
        <v>4321</v>
      </c>
      <c r="T143" s="111">
        <f t="shared" si="10"/>
        <v>14599</v>
      </c>
      <c r="U143" s="112">
        <v>14038</v>
      </c>
      <c r="V143" s="116">
        <v>90</v>
      </c>
      <c r="W143" s="111"/>
      <c r="X143" s="113">
        <f t="shared" si="12"/>
        <v>44658</v>
      </c>
      <c r="Y143" s="111"/>
      <c r="Z143" s="111"/>
      <c r="AA143" s="116"/>
      <c r="AB143" s="111"/>
      <c r="AC143" s="113">
        <f t="shared" si="13"/>
        <v>0</v>
      </c>
      <c r="AD143" s="111"/>
      <c r="AE143" s="111"/>
      <c r="AF143" s="112"/>
      <c r="AG143" s="117"/>
      <c r="AH143" s="111"/>
      <c r="AI143" s="112"/>
      <c r="AJ143" s="112"/>
      <c r="AK143" s="113">
        <f t="shared" si="14"/>
        <v>0</v>
      </c>
      <c r="AL143" s="118"/>
      <c r="AM143" s="119"/>
      <c r="AN143" s="119"/>
      <c r="AO143" s="120"/>
    </row>
    <row r="144" spans="1:41" s="121" customFormat="1" ht="16.5" customHeight="1">
      <c r="A144" s="104" t="s">
        <v>2134</v>
      </c>
      <c r="B144" s="105" t="s">
        <v>925</v>
      </c>
      <c r="C144" s="106" t="s">
        <v>936</v>
      </c>
      <c r="D144" s="106" t="s">
        <v>2415</v>
      </c>
      <c r="E144" s="71" t="s">
        <v>937</v>
      </c>
      <c r="F144" s="71" t="s">
        <v>170</v>
      </c>
      <c r="G144" s="109" t="s">
        <v>2187</v>
      </c>
      <c r="H144" s="110">
        <v>243</v>
      </c>
      <c r="I144" s="111"/>
      <c r="J144" s="112">
        <v>67</v>
      </c>
      <c r="K144" s="113">
        <f t="shared" si="11"/>
        <v>310</v>
      </c>
      <c r="L144" s="111">
        <v>10305</v>
      </c>
      <c r="M144" s="111">
        <v>3347</v>
      </c>
      <c r="N144" s="112"/>
      <c r="O144" s="111">
        <v>2460</v>
      </c>
      <c r="P144" s="114"/>
      <c r="Q144" s="111">
        <v>8509</v>
      </c>
      <c r="R144" s="115">
        <v>1622</v>
      </c>
      <c r="S144" s="115">
        <v>7770</v>
      </c>
      <c r="T144" s="111">
        <f t="shared" si="10"/>
        <v>9392</v>
      </c>
      <c r="U144" s="112">
        <v>13609</v>
      </c>
      <c r="V144" s="116">
        <v>89</v>
      </c>
      <c r="W144" s="111"/>
      <c r="X144" s="113">
        <f t="shared" si="12"/>
        <v>39202</v>
      </c>
      <c r="Y144" s="111"/>
      <c r="Z144" s="111"/>
      <c r="AA144" s="116"/>
      <c r="AB144" s="111"/>
      <c r="AC144" s="113">
        <f t="shared" si="13"/>
        <v>0</v>
      </c>
      <c r="AD144" s="111"/>
      <c r="AE144" s="111"/>
      <c r="AF144" s="112"/>
      <c r="AG144" s="117"/>
      <c r="AH144" s="111"/>
      <c r="AI144" s="112"/>
      <c r="AJ144" s="112"/>
      <c r="AK144" s="113">
        <f t="shared" si="14"/>
        <v>0</v>
      </c>
      <c r="AL144" s="118"/>
      <c r="AM144" s="119"/>
      <c r="AN144" s="119"/>
      <c r="AO144" s="120"/>
    </row>
    <row r="145" spans="1:41" s="121" customFormat="1" ht="16.5" customHeight="1">
      <c r="A145" s="104" t="s">
        <v>2134</v>
      </c>
      <c r="B145" s="105" t="s">
        <v>930</v>
      </c>
      <c r="C145" s="106" t="s">
        <v>941</v>
      </c>
      <c r="D145" s="106" t="s">
        <v>2415</v>
      </c>
      <c r="E145" s="71" t="s">
        <v>942</v>
      </c>
      <c r="F145" s="71" t="s">
        <v>2085</v>
      </c>
      <c r="G145" s="109" t="s">
        <v>2130</v>
      </c>
      <c r="H145" s="110">
        <f>2628*3+13</f>
        <v>7897</v>
      </c>
      <c r="I145" s="112">
        <v>0</v>
      </c>
      <c r="J145" s="112">
        <v>0</v>
      </c>
      <c r="K145" s="113">
        <f t="shared" si="11"/>
        <v>7897</v>
      </c>
      <c r="L145" s="111">
        <v>200</v>
      </c>
      <c r="M145" s="111">
        <f>26+2</f>
        <v>28</v>
      </c>
      <c r="N145" s="115">
        <v>0</v>
      </c>
      <c r="O145" s="111">
        <v>0</v>
      </c>
      <c r="P145" s="114">
        <v>0</v>
      </c>
      <c r="Q145" s="111">
        <v>8509</v>
      </c>
      <c r="R145" s="111">
        <v>0</v>
      </c>
      <c r="S145" s="115">
        <f>8*930+45</f>
        <v>7485</v>
      </c>
      <c r="T145" s="111">
        <f t="shared" si="10"/>
        <v>7485</v>
      </c>
      <c r="U145" s="112">
        <f>624*3+26</f>
        <v>1898</v>
      </c>
      <c r="V145" s="144">
        <v>0</v>
      </c>
      <c r="W145" s="112"/>
      <c r="X145" s="113">
        <f t="shared" si="12"/>
        <v>9611</v>
      </c>
      <c r="Y145" s="111"/>
      <c r="Z145" s="111"/>
      <c r="AA145" s="116"/>
      <c r="AB145" s="111"/>
      <c r="AC145" s="113">
        <f t="shared" si="13"/>
        <v>0</v>
      </c>
      <c r="AD145" s="111"/>
      <c r="AE145" s="111"/>
      <c r="AF145" s="112"/>
      <c r="AG145" s="117"/>
      <c r="AH145" s="111"/>
      <c r="AI145" s="112"/>
      <c r="AJ145" s="112"/>
      <c r="AK145" s="113">
        <f t="shared" si="14"/>
        <v>0</v>
      </c>
      <c r="AL145" s="118"/>
      <c r="AM145" s="119"/>
      <c r="AN145" s="119"/>
      <c r="AO145" s="120"/>
    </row>
    <row r="146" spans="1:41" s="121" customFormat="1" ht="16.5" customHeight="1">
      <c r="A146" s="104" t="s">
        <v>2134</v>
      </c>
      <c r="B146" s="105" t="s">
        <v>935</v>
      </c>
      <c r="C146" s="106" t="s">
        <v>949</v>
      </c>
      <c r="D146" s="106" t="s">
        <v>2415</v>
      </c>
      <c r="E146" s="71" t="s">
        <v>950</v>
      </c>
      <c r="F146" s="71" t="s">
        <v>2085</v>
      </c>
      <c r="G146" s="109" t="s">
        <v>2130</v>
      </c>
      <c r="H146" s="110">
        <f t="shared" ref="H146:H153" si="15">2628*2</f>
        <v>5256</v>
      </c>
      <c r="I146" s="112">
        <v>0</v>
      </c>
      <c r="J146" s="112">
        <v>0</v>
      </c>
      <c r="K146" s="113">
        <f t="shared" si="11"/>
        <v>5256</v>
      </c>
      <c r="L146" s="111">
        <v>200</v>
      </c>
      <c r="M146" s="115">
        <v>0</v>
      </c>
      <c r="N146" s="115">
        <v>0</v>
      </c>
      <c r="O146" s="111">
        <v>0</v>
      </c>
      <c r="P146" s="114">
        <v>0</v>
      </c>
      <c r="Q146" s="111">
        <v>8509</v>
      </c>
      <c r="R146" s="111">
        <v>0</v>
      </c>
      <c r="S146" s="115">
        <f>7*930</f>
        <v>6510</v>
      </c>
      <c r="T146" s="111">
        <f t="shared" si="10"/>
        <v>6510</v>
      </c>
      <c r="U146" s="112">
        <f>624*2</f>
        <v>1248</v>
      </c>
      <c r="V146" s="144">
        <v>0</v>
      </c>
      <c r="W146" s="112"/>
      <c r="X146" s="113">
        <f t="shared" si="12"/>
        <v>7958</v>
      </c>
      <c r="Y146" s="111"/>
      <c r="Z146" s="111"/>
      <c r="AA146" s="116"/>
      <c r="AB146" s="111"/>
      <c r="AC146" s="113">
        <f t="shared" si="13"/>
        <v>0</v>
      </c>
      <c r="AD146" s="111"/>
      <c r="AE146" s="111"/>
      <c r="AF146" s="112"/>
      <c r="AG146" s="117"/>
      <c r="AH146" s="111"/>
      <c r="AI146" s="112"/>
      <c r="AJ146" s="112"/>
      <c r="AK146" s="113">
        <f t="shared" si="14"/>
        <v>0</v>
      </c>
      <c r="AL146" s="118"/>
      <c r="AM146" s="119"/>
      <c r="AN146" s="119"/>
      <c r="AO146" s="120"/>
    </row>
    <row r="147" spans="1:41" s="121" customFormat="1" ht="16.5" customHeight="1">
      <c r="A147" s="104" t="s">
        <v>2134</v>
      </c>
      <c r="B147" s="105" t="s">
        <v>940</v>
      </c>
      <c r="C147" s="106" t="s">
        <v>952</v>
      </c>
      <c r="D147" s="106" t="s">
        <v>2415</v>
      </c>
      <c r="E147" s="71" t="s">
        <v>862</v>
      </c>
      <c r="F147" s="71" t="s">
        <v>2085</v>
      </c>
      <c r="G147" s="109" t="s">
        <v>2130</v>
      </c>
      <c r="H147" s="110">
        <f>2628*4</f>
        <v>10512</v>
      </c>
      <c r="I147" s="112">
        <v>0</v>
      </c>
      <c r="J147" s="112">
        <v>0</v>
      </c>
      <c r="K147" s="113">
        <f t="shared" si="11"/>
        <v>10512</v>
      </c>
      <c r="L147" s="111">
        <v>200</v>
      </c>
      <c r="M147" s="115">
        <v>0</v>
      </c>
      <c r="N147" s="115">
        <v>0</v>
      </c>
      <c r="O147" s="111">
        <v>58</v>
      </c>
      <c r="P147" s="114">
        <v>0</v>
      </c>
      <c r="Q147" s="111">
        <v>8509</v>
      </c>
      <c r="R147" s="111">
        <v>0</v>
      </c>
      <c r="S147" s="115">
        <f>11*930</f>
        <v>10230</v>
      </c>
      <c r="T147" s="111">
        <f t="shared" si="10"/>
        <v>10230</v>
      </c>
      <c r="U147" s="112">
        <f>624*4</f>
        <v>2496</v>
      </c>
      <c r="V147" s="144">
        <v>0</v>
      </c>
      <c r="W147" s="112"/>
      <c r="X147" s="113">
        <f t="shared" si="12"/>
        <v>12984</v>
      </c>
      <c r="Y147" s="111"/>
      <c r="Z147" s="111"/>
      <c r="AA147" s="116"/>
      <c r="AB147" s="111"/>
      <c r="AC147" s="113">
        <f t="shared" si="13"/>
        <v>0</v>
      </c>
      <c r="AD147" s="111"/>
      <c r="AE147" s="111"/>
      <c r="AF147" s="112"/>
      <c r="AG147" s="117"/>
      <c r="AH147" s="111"/>
      <c r="AI147" s="112"/>
      <c r="AJ147" s="112"/>
      <c r="AK147" s="113">
        <f t="shared" si="14"/>
        <v>0</v>
      </c>
      <c r="AL147" s="118"/>
      <c r="AM147" s="119"/>
      <c r="AN147" s="119"/>
      <c r="AO147" s="120"/>
    </row>
    <row r="148" spans="1:41" s="121" customFormat="1" ht="16.5" customHeight="1">
      <c r="A148" s="104" t="s">
        <v>2134</v>
      </c>
      <c r="B148" s="105" t="s">
        <v>948</v>
      </c>
      <c r="C148" s="106" t="s">
        <v>954</v>
      </c>
      <c r="D148" s="106" t="s">
        <v>2415</v>
      </c>
      <c r="E148" s="71" t="s">
        <v>868</v>
      </c>
      <c r="F148" s="71" t="s">
        <v>2085</v>
      </c>
      <c r="G148" s="109" t="s">
        <v>2130</v>
      </c>
      <c r="H148" s="110">
        <f t="shared" si="15"/>
        <v>5256</v>
      </c>
      <c r="I148" s="112">
        <v>0</v>
      </c>
      <c r="J148" s="112">
        <v>0</v>
      </c>
      <c r="K148" s="113">
        <f t="shared" si="11"/>
        <v>5256</v>
      </c>
      <c r="L148" s="111">
        <v>200</v>
      </c>
      <c r="M148" s="115">
        <v>0</v>
      </c>
      <c r="N148" s="115">
        <v>0</v>
      </c>
      <c r="O148" s="111">
        <v>0</v>
      </c>
      <c r="P148" s="114">
        <v>0</v>
      </c>
      <c r="Q148" s="111">
        <v>8509</v>
      </c>
      <c r="R148" s="111">
        <v>0</v>
      </c>
      <c r="S148" s="115">
        <f>4*930</f>
        <v>3720</v>
      </c>
      <c r="T148" s="111">
        <f t="shared" si="10"/>
        <v>3720</v>
      </c>
      <c r="U148" s="112">
        <f t="shared" ref="U148:U153" si="16">624*2</f>
        <v>1248</v>
      </c>
      <c r="V148" s="144">
        <v>0</v>
      </c>
      <c r="W148" s="112"/>
      <c r="X148" s="113">
        <f t="shared" si="12"/>
        <v>5168</v>
      </c>
      <c r="Y148" s="111"/>
      <c r="Z148" s="111"/>
      <c r="AA148" s="116"/>
      <c r="AB148" s="111"/>
      <c r="AC148" s="113">
        <f t="shared" si="13"/>
        <v>0</v>
      </c>
      <c r="AD148" s="111"/>
      <c r="AE148" s="111"/>
      <c r="AF148" s="112"/>
      <c r="AG148" s="117"/>
      <c r="AH148" s="111"/>
      <c r="AI148" s="112"/>
      <c r="AJ148" s="112"/>
      <c r="AK148" s="113">
        <f t="shared" si="14"/>
        <v>0</v>
      </c>
      <c r="AL148" s="118"/>
      <c r="AM148" s="119"/>
      <c r="AN148" s="119"/>
      <c r="AO148" s="120"/>
    </row>
    <row r="149" spans="1:41" s="121" customFormat="1" ht="16.5" customHeight="1">
      <c r="A149" s="104" t="s">
        <v>2134</v>
      </c>
      <c r="B149" s="105" t="s">
        <v>951</v>
      </c>
      <c r="C149" s="106" t="s">
        <v>956</v>
      </c>
      <c r="D149" s="106" t="s">
        <v>2415</v>
      </c>
      <c r="E149" s="71" t="s">
        <v>875</v>
      </c>
      <c r="F149" s="71" t="s">
        <v>2085</v>
      </c>
      <c r="G149" s="109" t="s">
        <v>2130</v>
      </c>
      <c r="H149" s="110">
        <f t="shared" si="15"/>
        <v>5256</v>
      </c>
      <c r="I149" s="112">
        <v>0</v>
      </c>
      <c r="J149" s="112">
        <v>0</v>
      </c>
      <c r="K149" s="113">
        <f t="shared" si="11"/>
        <v>5256</v>
      </c>
      <c r="L149" s="111">
        <v>200</v>
      </c>
      <c r="M149" s="115">
        <v>0</v>
      </c>
      <c r="N149" s="115">
        <v>0</v>
      </c>
      <c r="O149" s="111">
        <v>0</v>
      </c>
      <c r="P149" s="114">
        <v>0</v>
      </c>
      <c r="Q149" s="111">
        <v>8509</v>
      </c>
      <c r="R149" s="111">
        <v>0</v>
      </c>
      <c r="S149" s="115">
        <f>8*930</f>
        <v>7440</v>
      </c>
      <c r="T149" s="111">
        <f t="shared" si="10"/>
        <v>7440</v>
      </c>
      <c r="U149" s="112">
        <f t="shared" si="16"/>
        <v>1248</v>
      </c>
      <c r="V149" s="144">
        <v>0</v>
      </c>
      <c r="W149" s="112"/>
      <c r="X149" s="113">
        <f t="shared" si="12"/>
        <v>8888</v>
      </c>
      <c r="Y149" s="111"/>
      <c r="Z149" s="111"/>
      <c r="AA149" s="116"/>
      <c r="AB149" s="111"/>
      <c r="AC149" s="113">
        <f t="shared" si="13"/>
        <v>0</v>
      </c>
      <c r="AD149" s="111"/>
      <c r="AE149" s="111"/>
      <c r="AF149" s="112"/>
      <c r="AG149" s="117"/>
      <c r="AH149" s="111"/>
      <c r="AI149" s="112"/>
      <c r="AJ149" s="112"/>
      <c r="AK149" s="113">
        <f t="shared" si="14"/>
        <v>0</v>
      </c>
      <c r="AL149" s="118"/>
      <c r="AM149" s="119"/>
      <c r="AN149" s="119"/>
      <c r="AO149" s="120"/>
    </row>
    <row r="150" spans="1:41" s="121" customFormat="1" ht="16.5" customHeight="1">
      <c r="A150" s="104" t="s">
        <v>2134</v>
      </c>
      <c r="B150" s="105" t="s">
        <v>953</v>
      </c>
      <c r="C150" s="106" t="s">
        <v>958</v>
      </c>
      <c r="D150" s="106" t="s">
        <v>2415</v>
      </c>
      <c r="E150" s="71" t="s">
        <v>881</v>
      </c>
      <c r="F150" s="71" t="s">
        <v>2085</v>
      </c>
      <c r="G150" s="109" t="s">
        <v>2130</v>
      </c>
      <c r="H150" s="110">
        <f t="shared" si="15"/>
        <v>5256</v>
      </c>
      <c r="I150" s="112">
        <v>0</v>
      </c>
      <c r="J150" s="112">
        <v>0</v>
      </c>
      <c r="K150" s="113">
        <f t="shared" si="11"/>
        <v>5256</v>
      </c>
      <c r="L150" s="111">
        <v>200</v>
      </c>
      <c r="M150" s="115">
        <v>0</v>
      </c>
      <c r="N150" s="115">
        <v>0</v>
      </c>
      <c r="O150" s="111">
        <v>29</v>
      </c>
      <c r="P150" s="114">
        <v>0</v>
      </c>
      <c r="Q150" s="111">
        <v>8509</v>
      </c>
      <c r="R150" s="111">
        <v>0</v>
      </c>
      <c r="S150" s="115">
        <f>7*930</f>
        <v>6510</v>
      </c>
      <c r="T150" s="111">
        <f t="shared" si="10"/>
        <v>6510</v>
      </c>
      <c r="U150" s="112">
        <f t="shared" si="16"/>
        <v>1248</v>
      </c>
      <c r="V150" s="144">
        <v>0</v>
      </c>
      <c r="W150" s="112"/>
      <c r="X150" s="113">
        <f t="shared" si="12"/>
        <v>7987</v>
      </c>
      <c r="Y150" s="111"/>
      <c r="Z150" s="111"/>
      <c r="AA150" s="116"/>
      <c r="AB150" s="111"/>
      <c r="AC150" s="113">
        <f t="shared" si="13"/>
        <v>0</v>
      </c>
      <c r="AD150" s="111"/>
      <c r="AE150" s="111"/>
      <c r="AF150" s="112"/>
      <c r="AG150" s="117"/>
      <c r="AH150" s="111"/>
      <c r="AI150" s="112"/>
      <c r="AJ150" s="112"/>
      <c r="AK150" s="113">
        <f t="shared" si="14"/>
        <v>0</v>
      </c>
      <c r="AL150" s="118"/>
      <c r="AM150" s="119"/>
      <c r="AN150" s="119"/>
      <c r="AO150" s="120"/>
    </row>
    <row r="151" spans="1:41" s="121" customFormat="1" ht="16.5" customHeight="1">
      <c r="A151" s="104" t="s">
        <v>2134</v>
      </c>
      <c r="B151" s="105" t="s">
        <v>955</v>
      </c>
      <c r="C151" s="106" t="s">
        <v>960</v>
      </c>
      <c r="D151" s="106" t="s">
        <v>2415</v>
      </c>
      <c r="E151" s="71" t="s">
        <v>887</v>
      </c>
      <c r="F151" s="71" t="s">
        <v>2085</v>
      </c>
      <c r="G151" s="109" t="s">
        <v>2130</v>
      </c>
      <c r="H151" s="110">
        <f t="shared" si="15"/>
        <v>5256</v>
      </c>
      <c r="I151" s="112">
        <v>0</v>
      </c>
      <c r="J151" s="112">
        <v>0</v>
      </c>
      <c r="K151" s="113">
        <f t="shared" si="11"/>
        <v>5256</v>
      </c>
      <c r="L151" s="111">
        <v>200</v>
      </c>
      <c r="M151" s="115">
        <v>0</v>
      </c>
      <c r="N151" s="115">
        <v>0</v>
      </c>
      <c r="O151" s="111">
        <v>0</v>
      </c>
      <c r="P151" s="114">
        <v>0</v>
      </c>
      <c r="Q151" s="111">
        <v>8509</v>
      </c>
      <c r="R151" s="111">
        <v>0</v>
      </c>
      <c r="S151" s="115">
        <f>7*930</f>
        <v>6510</v>
      </c>
      <c r="T151" s="111">
        <f t="shared" si="10"/>
        <v>6510</v>
      </c>
      <c r="U151" s="112">
        <f t="shared" si="16"/>
        <v>1248</v>
      </c>
      <c r="V151" s="144">
        <v>0</v>
      </c>
      <c r="W151" s="112"/>
      <c r="X151" s="113">
        <f t="shared" si="12"/>
        <v>7958</v>
      </c>
      <c r="Y151" s="111"/>
      <c r="Z151" s="111"/>
      <c r="AA151" s="116"/>
      <c r="AB151" s="111"/>
      <c r="AC151" s="113">
        <f t="shared" si="13"/>
        <v>0</v>
      </c>
      <c r="AD151" s="111"/>
      <c r="AE151" s="111"/>
      <c r="AF151" s="112"/>
      <c r="AG151" s="117"/>
      <c r="AH151" s="111"/>
      <c r="AI151" s="112"/>
      <c r="AJ151" s="112"/>
      <c r="AK151" s="113">
        <f t="shared" si="14"/>
        <v>0</v>
      </c>
      <c r="AL151" s="118"/>
      <c r="AM151" s="119"/>
      <c r="AN151" s="119"/>
      <c r="AO151" s="120"/>
    </row>
    <row r="152" spans="1:41" s="121" customFormat="1" ht="16.5" customHeight="1">
      <c r="A152" s="104" t="s">
        <v>2134</v>
      </c>
      <c r="B152" s="105" t="s">
        <v>957</v>
      </c>
      <c r="C152" s="106" t="s">
        <v>962</v>
      </c>
      <c r="D152" s="106" t="s">
        <v>2415</v>
      </c>
      <c r="E152" s="71" t="s">
        <v>894</v>
      </c>
      <c r="F152" s="71" t="s">
        <v>2085</v>
      </c>
      <c r="G152" s="109" t="s">
        <v>2130</v>
      </c>
      <c r="H152" s="110">
        <f>2628*3</f>
        <v>7884</v>
      </c>
      <c r="I152" s="112">
        <v>0</v>
      </c>
      <c r="J152" s="112">
        <v>0</v>
      </c>
      <c r="K152" s="113">
        <f t="shared" si="11"/>
        <v>7884</v>
      </c>
      <c r="L152" s="111">
        <v>200</v>
      </c>
      <c r="M152" s="111">
        <v>17</v>
      </c>
      <c r="N152" s="115">
        <v>0</v>
      </c>
      <c r="O152" s="111">
        <v>0</v>
      </c>
      <c r="P152" s="114">
        <v>0</v>
      </c>
      <c r="Q152" s="111">
        <v>8509</v>
      </c>
      <c r="R152" s="111">
        <v>0</v>
      </c>
      <c r="S152" s="115">
        <f>6*930</f>
        <v>5580</v>
      </c>
      <c r="T152" s="111">
        <f t="shared" si="10"/>
        <v>5580</v>
      </c>
      <c r="U152" s="112">
        <f>624*3</f>
        <v>1872</v>
      </c>
      <c r="V152" s="144">
        <v>0</v>
      </c>
      <c r="W152" s="112"/>
      <c r="X152" s="113">
        <f t="shared" si="12"/>
        <v>7669</v>
      </c>
      <c r="Y152" s="111"/>
      <c r="Z152" s="111"/>
      <c r="AA152" s="116"/>
      <c r="AB152" s="111"/>
      <c r="AC152" s="113">
        <f t="shared" si="13"/>
        <v>0</v>
      </c>
      <c r="AD152" s="111"/>
      <c r="AE152" s="111"/>
      <c r="AF152" s="112"/>
      <c r="AG152" s="117"/>
      <c r="AH152" s="111"/>
      <c r="AI152" s="112"/>
      <c r="AJ152" s="112"/>
      <c r="AK152" s="113">
        <f t="shared" si="14"/>
        <v>0</v>
      </c>
      <c r="AL152" s="118"/>
      <c r="AM152" s="119"/>
      <c r="AN152" s="119"/>
      <c r="AO152" s="120"/>
    </row>
    <row r="153" spans="1:41" s="121" customFormat="1" ht="16.5" customHeight="1">
      <c r="A153" s="104" t="s">
        <v>2134</v>
      </c>
      <c r="B153" s="105" t="s">
        <v>959</v>
      </c>
      <c r="C153" s="106" t="s">
        <v>964</v>
      </c>
      <c r="D153" s="106" t="s">
        <v>2415</v>
      </c>
      <c r="E153" s="71" t="s">
        <v>899</v>
      </c>
      <c r="F153" s="71" t="s">
        <v>2085</v>
      </c>
      <c r="G153" s="109" t="s">
        <v>2130</v>
      </c>
      <c r="H153" s="110">
        <f t="shared" si="15"/>
        <v>5256</v>
      </c>
      <c r="I153" s="112">
        <v>0</v>
      </c>
      <c r="J153" s="112">
        <v>0</v>
      </c>
      <c r="K153" s="113">
        <f t="shared" si="11"/>
        <v>5256</v>
      </c>
      <c r="L153" s="111">
        <v>200</v>
      </c>
      <c r="M153" s="111">
        <v>21</v>
      </c>
      <c r="N153" s="115">
        <v>0</v>
      </c>
      <c r="O153" s="111">
        <v>87</v>
      </c>
      <c r="P153" s="114">
        <v>0</v>
      </c>
      <c r="Q153" s="111">
        <v>8509</v>
      </c>
      <c r="R153" s="111">
        <v>0</v>
      </c>
      <c r="S153" s="115">
        <f>4*930</f>
        <v>3720</v>
      </c>
      <c r="T153" s="111">
        <f t="shared" si="10"/>
        <v>3720</v>
      </c>
      <c r="U153" s="112">
        <f t="shared" si="16"/>
        <v>1248</v>
      </c>
      <c r="V153" s="144">
        <v>0</v>
      </c>
      <c r="W153" s="112"/>
      <c r="X153" s="113">
        <f t="shared" si="12"/>
        <v>5276</v>
      </c>
      <c r="Y153" s="111"/>
      <c r="Z153" s="111"/>
      <c r="AA153" s="116"/>
      <c r="AB153" s="111"/>
      <c r="AC153" s="113">
        <f t="shared" si="13"/>
        <v>0</v>
      </c>
      <c r="AD153" s="111"/>
      <c r="AE153" s="111"/>
      <c r="AF153" s="112"/>
      <c r="AG153" s="117"/>
      <c r="AH153" s="111"/>
      <c r="AI153" s="112"/>
      <c r="AJ153" s="112"/>
      <c r="AK153" s="113">
        <f t="shared" si="14"/>
        <v>0</v>
      </c>
      <c r="AL153" s="118"/>
      <c r="AM153" s="119"/>
      <c r="AN153" s="119"/>
      <c r="AO153" s="120"/>
    </row>
    <row r="154" spans="1:41" s="121" customFormat="1" ht="16.5" customHeight="1">
      <c r="A154" s="104" t="s">
        <v>2134</v>
      </c>
      <c r="B154" s="105" t="s">
        <v>961</v>
      </c>
      <c r="C154" s="106" t="s">
        <v>967</v>
      </c>
      <c r="D154" s="106" t="s">
        <v>2415</v>
      </c>
      <c r="E154" s="71" t="s">
        <v>904</v>
      </c>
      <c r="F154" s="71" t="s">
        <v>2085</v>
      </c>
      <c r="G154" s="109" t="s">
        <v>2130</v>
      </c>
      <c r="H154" s="110">
        <f>2628*3</f>
        <v>7884</v>
      </c>
      <c r="I154" s="112">
        <v>0</v>
      </c>
      <c r="J154" s="112">
        <v>0</v>
      </c>
      <c r="K154" s="113">
        <f t="shared" si="11"/>
        <v>7884</v>
      </c>
      <c r="L154" s="111">
        <v>200</v>
      </c>
      <c r="M154" s="115">
        <v>0</v>
      </c>
      <c r="N154" s="115">
        <v>0</v>
      </c>
      <c r="O154" s="111">
        <v>426</v>
      </c>
      <c r="P154" s="114">
        <v>0</v>
      </c>
      <c r="Q154" s="111">
        <v>8509</v>
      </c>
      <c r="R154" s="111">
        <v>0</v>
      </c>
      <c r="S154" s="115">
        <f>9*930</f>
        <v>8370</v>
      </c>
      <c r="T154" s="111">
        <f t="shared" si="10"/>
        <v>8370</v>
      </c>
      <c r="U154" s="112">
        <f>624*3</f>
        <v>1872</v>
      </c>
      <c r="V154" s="144">
        <v>0</v>
      </c>
      <c r="W154" s="112"/>
      <c r="X154" s="113">
        <f t="shared" si="12"/>
        <v>10868</v>
      </c>
      <c r="Y154" s="111"/>
      <c r="Z154" s="111"/>
      <c r="AA154" s="116"/>
      <c r="AB154" s="111"/>
      <c r="AC154" s="113">
        <f t="shared" si="13"/>
        <v>0</v>
      </c>
      <c r="AD154" s="111"/>
      <c r="AE154" s="111"/>
      <c r="AF154" s="112"/>
      <c r="AG154" s="117"/>
      <c r="AH154" s="111"/>
      <c r="AI154" s="112"/>
      <c r="AJ154" s="112"/>
      <c r="AK154" s="113">
        <f t="shared" si="14"/>
        <v>0</v>
      </c>
      <c r="AL154" s="118"/>
      <c r="AM154" s="119"/>
      <c r="AN154" s="119"/>
      <c r="AO154" s="120"/>
    </row>
    <row r="155" spans="1:41" s="121" customFormat="1" ht="16.5" customHeight="1">
      <c r="A155" s="104" t="s">
        <v>2134</v>
      </c>
      <c r="B155" s="105" t="s">
        <v>963</v>
      </c>
      <c r="C155" s="106" t="s">
        <v>969</v>
      </c>
      <c r="D155" s="106" t="s">
        <v>2415</v>
      </c>
      <c r="E155" s="71" t="s">
        <v>909</v>
      </c>
      <c r="F155" s="71" t="s">
        <v>2085</v>
      </c>
      <c r="G155" s="109" t="s">
        <v>2130</v>
      </c>
      <c r="H155" s="110">
        <f>2628*1</f>
        <v>2628</v>
      </c>
      <c r="I155" s="112">
        <v>0</v>
      </c>
      <c r="J155" s="112">
        <v>0</v>
      </c>
      <c r="K155" s="113">
        <f t="shared" si="11"/>
        <v>2628</v>
      </c>
      <c r="L155" s="111">
        <v>200</v>
      </c>
      <c r="M155" s="115">
        <v>0</v>
      </c>
      <c r="N155" s="115">
        <v>0</v>
      </c>
      <c r="O155" s="111">
        <v>0</v>
      </c>
      <c r="P155" s="114">
        <v>0</v>
      </c>
      <c r="Q155" s="111">
        <v>8509</v>
      </c>
      <c r="R155" s="111">
        <v>0</v>
      </c>
      <c r="S155" s="115">
        <f>4*930</f>
        <v>3720</v>
      </c>
      <c r="T155" s="111">
        <f t="shared" si="10"/>
        <v>3720</v>
      </c>
      <c r="U155" s="112">
        <f>624*1</f>
        <v>624</v>
      </c>
      <c r="V155" s="144">
        <v>0</v>
      </c>
      <c r="W155" s="112"/>
      <c r="X155" s="113">
        <f t="shared" si="12"/>
        <v>4544</v>
      </c>
      <c r="Y155" s="111"/>
      <c r="Z155" s="111"/>
      <c r="AA155" s="116"/>
      <c r="AB155" s="111"/>
      <c r="AC155" s="113">
        <f t="shared" si="13"/>
        <v>0</v>
      </c>
      <c r="AD155" s="111"/>
      <c r="AE155" s="111"/>
      <c r="AF155" s="112"/>
      <c r="AG155" s="117"/>
      <c r="AH155" s="111"/>
      <c r="AI155" s="112"/>
      <c r="AJ155" s="112"/>
      <c r="AK155" s="113">
        <f t="shared" si="14"/>
        <v>0</v>
      </c>
      <c r="AL155" s="118"/>
      <c r="AM155" s="119"/>
      <c r="AN155" s="119"/>
      <c r="AO155" s="120"/>
    </row>
    <row r="156" spans="1:41" s="121" customFormat="1" ht="16.5" customHeight="1">
      <c r="A156" s="104" t="s">
        <v>2134</v>
      </c>
      <c r="B156" s="105" t="s">
        <v>966</v>
      </c>
      <c r="C156" s="106" t="s">
        <v>972</v>
      </c>
      <c r="D156" s="106" t="s">
        <v>2415</v>
      </c>
      <c r="E156" s="71" t="s">
        <v>914</v>
      </c>
      <c r="F156" s="71" t="s">
        <v>2085</v>
      </c>
      <c r="G156" s="109" t="s">
        <v>2130</v>
      </c>
      <c r="H156" s="110">
        <f t="shared" ref="H156:H161" si="17">2628*2</f>
        <v>5256</v>
      </c>
      <c r="I156" s="112">
        <v>0</v>
      </c>
      <c r="J156" s="112">
        <v>0</v>
      </c>
      <c r="K156" s="113">
        <f t="shared" si="11"/>
        <v>5256</v>
      </c>
      <c r="L156" s="111">
        <v>200</v>
      </c>
      <c r="M156" s="115">
        <v>0</v>
      </c>
      <c r="N156" s="115">
        <v>0</v>
      </c>
      <c r="O156" s="111">
        <v>0</v>
      </c>
      <c r="P156" s="114">
        <v>0</v>
      </c>
      <c r="Q156" s="111">
        <v>8509</v>
      </c>
      <c r="R156" s="111">
        <v>0</v>
      </c>
      <c r="S156" s="115">
        <f>5*930</f>
        <v>4650</v>
      </c>
      <c r="T156" s="111">
        <f t="shared" si="10"/>
        <v>4650</v>
      </c>
      <c r="U156" s="112">
        <f t="shared" ref="U156:U161" si="18">624*2</f>
        <v>1248</v>
      </c>
      <c r="V156" s="144">
        <v>0</v>
      </c>
      <c r="W156" s="112"/>
      <c r="X156" s="113">
        <f t="shared" si="12"/>
        <v>6098</v>
      </c>
      <c r="Y156" s="111"/>
      <c r="Z156" s="111"/>
      <c r="AA156" s="116"/>
      <c r="AB156" s="111"/>
      <c r="AC156" s="113">
        <f t="shared" si="13"/>
        <v>0</v>
      </c>
      <c r="AD156" s="111"/>
      <c r="AE156" s="111"/>
      <c r="AF156" s="112"/>
      <c r="AG156" s="117"/>
      <c r="AH156" s="111"/>
      <c r="AI156" s="112"/>
      <c r="AJ156" s="112"/>
      <c r="AK156" s="113">
        <f t="shared" si="14"/>
        <v>0</v>
      </c>
      <c r="AL156" s="118"/>
      <c r="AM156" s="119"/>
      <c r="AN156" s="119"/>
      <c r="AO156" s="120"/>
    </row>
    <row r="157" spans="1:41" s="121" customFormat="1" ht="16.5" customHeight="1">
      <c r="A157" s="104" t="s">
        <v>2134</v>
      </c>
      <c r="B157" s="105" t="s">
        <v>325</v>
      </c>
      <c r="C157" s="106" t="s">
        <v>975</v>
      </c>
      <c r="D157" s="106" t="s">
        <v>2415</v>
      </c>
      <c r="E157" s="71" t="s">
        <v>919</v>
      </c>
      <c r="F157" s="71" t="s">
        <v>2085</v>
      </c>
      <c r="G157" s="109" t="s">
        <v>2130</v>
      </c>
      <c r="H157" s="110">
        <f t="shared" si="17"/>
        <v>5256</v>
      </c>
      <c r="I157" s="112">
        <v>0</v>
      </c>
      <c r="J157" s="112">
        <v>0</v>
      </c>
      <c r="K157" s="113">
        <f t="shared" si="11"/>
        <v>5256</v>
      </c>
      <c r="L157" s="111">
        <v>200</v>
      </c>
      <c r="M157" s="115">
        <v>0</v>
      </c>
      <c r="N157" s="115">
        <v>0</v>
      </c>
      <c r="O157" s="111">
        <v>448</v>
      </c>
      <c r="P157" s="114">
        <v>0</v>
      </c>
      <c r="Q157" s="111">
        <v>8509</v>
      </c>
      <c r="R157" s="111">
        <v>0</v>
      </c>
      <c r="S157" s="115">
        <f>5*930</f>
        <v>4650</v>
      </c>
      <c r="T157" s="111">
        <f t="shared" si="10"/>
        <v>4650</v>
      </c>
      <c r="U157" s="112">
        <f t="shared" si="18"/>
        <v>1248</v>
      </c>
      <c r="V157" s="144">
        <v>0</v>
      </c>
      <c r="W157" s="112"/>
      <c r="X157" s="113">
        <f t="shared" si="12"/>
        <v>6546</v>
      </c>
      <c r="Y157" s="111"/>
      <c r="Z157" s="111"/>
      <c r="AA157" s="116"/>
      <c r="AB157" s="111"/>
      <c r="AC157" s="113">
        <f t="shared" si="13"/>
        <v>0</v>
      </c>
      <c r="AD157" s="111"/>
      <c r="AE157" s="111"/>
      <c r="AF157" s="112"/>
      <c r="AG157" s="117"/>
      <c r="AH157" s="111"/>
      <c r="AI157" s="112"/>
      <c r="AJ157" s="112"/>
      <c r="AK157" s="113">
        <f t="shared" si="14"/>
        <v>0</v>
      </c>
      <c r="AL157" s="118"/>
      <c r="AM157" s="119"/>
      <c r="AN157" s="119"/>
      <c r="AO157" s="120"/>
    </row>
    <row r="158" spans="1:41" s="121" customFormat="1" ht="16.5" customHeight="1">
      <c r="A158" s="104" t="s">
        <v>2134</v>
      </c>
      <c r="B158" s="105" t="s">
        <v>971</v>
      </c>
      <c r="C158" s="106" t="s">
        <v>978</v>
      </c>
      <c r="D158" s="106" t="s">
        <v>2415</v>
      </c>
      <c r="E158" s="71" t="s">
        <v>924</v>
      </c>
      <c r="F158" s="71" t="s">
        <v>2085</v>
      </c>
      <c r="G158" s="109" t="s">
        <v>2130</v>
      </c>
      <c r="H158" s="110">
        <f>2628*1</f>
        <v>2628</v>
      </c>
      <c r="I158" s="112">
        <v>0</v>
      </c>
      <c r="J158" s="112">
        <v>0</v>
      </c>
      <c r="K158" s="113">
        <f t="shared" si="11"/>
        <v>2628</v>
      </c>
      <c r="L158" s="111">
        <v>200</v>
      </c>
      <c r="M158" s="115">
        <v>0</v>
      </c>
      <c r="N158" s="115">
        <v>0</v>
      </c>
      <c r="O158" s="111">
        <v>103</v>
      </c>
      <c r="P158" s="114">
        <v>0</v>
      </c>
      <c r="Q158" s="111">
        <v>8509</v>
      </c>
      <c r="R158" s="111">
        <v>0</v>
      </c>
      <c r="S158" s="115">
        <f>2*930</f>
        <v>1860</v>
      </c>
      <c r="T158" s="111">
        <f t="shared" si="10"/>
        <v>1860</v>
      </c>
      <c r="U158" s="112">
        <f>624*1</f>
        <v>624</v>
      </c>
      <c r="V158" s="144">
        <v>0</v>
      </c>
      <c r="W158" s="112"/>
      <c r="X158" s="113">
        <f t="shared" si="12"/>
        <v>2787</v>
      </c>
      <c r="Y158" s="111"/>
      <c r="Z158" s="111"/>
      <c r="AA158" s="116"/>
      <c r="AB158" s="111"/>
      <c r="AC158" s="113">
        <f t="shared" si="13"/>
        <v>0</v>
      </c>
      <c r="AD158" s="111"/>
      <c r="AE158" s="111"/>
      <c r="AF158" s="112"/>
      <c r="AG158" s="117"/>
      <c r="AH158" s="111"/>
      <c r="AI158" s="112"/>
      <c r="AJ158" s="112"/>
      <c r="AK158" s="113">
        <f t="shared" si="14"/>
        <v>0</v>
      </c>
      <c r="AL158" s="118"/>
      <c r="AM158" s="119"/>
      <c r="AN158" s="119"/>
      <c r="AO158" s="120"/>
    </row>
    <row r="159" spans="1:41" s="121" customFormat="1" ht="16.5" customHeight="1">
      <c r="A159" s="104" t="s">
        <v>2134</v>
      </c>
      <c r="B159" s="105" t="s">
        <v>974</v>
      </c>
      <c r="C159" s="106" t="s">
        <v>981</v>
      </c>
      <c r="D159" s="106" t="s">
        <v>2415</v>
      </c>
      <c r="E159" s="71" t="s">
        <v>929</v>
      </c>
      <c r="F159" s="71" t="s">
        <v>2085</v>
      </c>
      <c r="G159" s="109" t="s">
        <v>2130</v>
      </c>
      <c r="H159" s="110">
        <f t="shared" si="17"/>
        <v>5256</v>
      </c>
      <c r="I159" s="112">
        <v>0</v>
      </c>
      <c r="J159" s="112">
        <v>0</v>
      </c>
      <c r="K159" s="113">
        <f t="shared" si="11"/>
        <v>5256</v>
      </c>
      <c r="L159" s="111">
        <v>200</v>
      </c>
      <c r="M159" s="111">
        <v>21</v>
      </c>
      <c r="N159" s="115">
        <v>0</v>
      </c>
      <c r="O159" s="111">
        <v>0</v>
      </c>
      <c r="P159" s="114">
        <v>0</v>
      </c>
      <c r="Q159" s="111">
        <v>8509</v>
      </c>
      <c r="R159" s="111">
        <v>0</v>
      </c>
      <c r="S159" s="115">
        <f>6*930</f>
        <v>5580</v>
      </c>
      <c r="T159" s="111">
        <f t="shared" si="10"/>
        <v>5580</v>
      </c>
      <c r="U159" s="112">
        <f t="shared" si="18"/>
        <v>1248</v>
      </c>
      <c r="V159" s="144">
        <v>0</v>
      </c>
      <c r="W159" s="112"/>
      <c r="X159" s="113">
        <f t="shared" si="12"/>
        <v>7049</v>
      </c>
      <c r="Y159" s="111"/>
      <c r="Z159" s="111"/>
      <c r="AA159" s="116"/>
      <c r="AB159" s="111"/>
      <c r="AC159" s="113">
        <f t="shared" si="13"/>
        <v>0</v>
      </c>
      <c r="AD159" s="111"/>
      <c r="AE159" s="111"/>
      <c r="AF159" s="112"/>
      <c r="AG159" s="117"/>
      <c r="AH159" s="111"/>
      <c r="AI159" s="112"/>
      <c r="AJ159" s="112"/>
      <c r="AK159" s="113">
        <f t="shared" si="14"/>
        <v>0</v>
      </c>
      <c r="AL159" s="118"/>
      <c r="AM159" s="119"/>
      <c r="AN159" s="119"/>
      <c r="AO159" s="120"/>
    </row>
    <row r="160" spans="1:41" s="121" customFormat="1" ht="16.5" customHeight="1">
      <c r="A160" s="104" t="s">
        <v>2134</v>
      </c>
      <c r="B160" s="105" t="s">
        <v>977</v>
      </c>
      <c r="C160" s="106" t="s">
        <v>983</v>
      </c>
      <c r="D160" s="106" t="s">
        <v>2415</v>
      </c>
      <c r="E160" s="71" t="s">
        <v>934</v>
      </c>
      <c r="F160" s="71" t="s">
        <v>2085</v>
      </c>
      <c r="G160" s="109" t="s">
        <v>2130</v>
      </c>
      <c r="H160" s="110">
        <f t="shared" si="17"/>
        <v>5256</v>
      </c>
      <c r="I160" s="112">
        <v>0</v>
      </c>
      <c r="J160" s="112">
        <v>0</v>
      </c>
      <c r="K160" s="113">
        <f t="shared" si="11"/>
        <v>5256</v>
      </c>
      <c r="L160" s="111">
        <v>200</v>
      </c>
      <c r="M160" s="115">
        <v>0</v>
      </c>
      <c r="N160" s="115">
        <v>0</v>
      </c>
      <c r="O160" s="111">
        <v>0</v>
      </c>
      <c r="P160" s="114">
        <v>0</v>
      </c>
      <c r="Q160" s="111">
        <v>8509</v>
      </c>
      <c r="R160" s="111">
        <v>0</v>
      </c>
      <c r="S160" s="115">
        <f>5*930</f>
        <v>4650</v>
      </c>
      <c r="T160" s="111">
        <f t="shared" si="10"/>
        <v>4650</v>
      </c>
      <c r="U160" s="112">
        <f t="shared" si="18"/>
        <v>1248</v>
      </c>
      <c r="V160" s="144">
        <v>0</v>
      </c>
      <c r="W160" s="112"/>
      <c r="X160" s="113">
        <f t="shared" si="12"/>
        <v>6098</v>
      </c>
      <c r="Y160" s="111"/>
      <c r="Z160" s="111"/>
      <c r="AA160" s="116"/>
      <c r="AB160" s="111"/>
      <c r="AC160" s="113">
        <f t="shared" si="13"/>
        <v>0</v>
      </c>
      <c r="AD160" s="111"/>
      <c r="AE160" s="111"/>
      <c r="AF160" s="112"/>
      <c r="AG160" s="117"/>
      <c r="AH160" s="111"/>
      <c r="AI160" s="112"/>
      <c r="AJ160" s="112"/>
      <c r="AK160" s="113">
        <f t="shared" si="14"/>
        <v>0</v>
      </c>
      <c r="AL160" s="118"/>
      <c r="AM160" s="119"/>
      <c r="AN160" s="119"/>
      <c r="AO160" s="120"/>
    </row>
    <row r="161" spans="1:41" s="121" customFormat="1" ht="16.5" customHeight="1">
      <c r="A161" s="104" t="s">
        <v>2134</v>
      </c>
      <c r="B161" s="105" t="s">
        <v>980</v>
      </c>
      <c r="C161" s="106" t="s">
        <v>986</v>
      </c>
      <c r="D161" s="106" t="s">
        <v>2415</v>
      </c>
      <c r="E161" s="71" t="s">
        <v>939</v>
      </c>
      <c r="F161" s="71" t="s">
        <v>2085</v>
      </c>
      <c r="G161" s="109" t="s">
        <v>2130</v>
      </c>
      <c r="H161" s="110">
        <f t="shared" si="17"/>
        <v>5256</v>
      </c>
      <c r="I161" s="112">
        <v>0</v>
      </c>
      <c r="J161" s="112">
        <v>0</v>
      </c>
      <c r="K161" s="113">
        <f t="shared" si="11"/>
        <v>5256</v>
      </c>
      <c r="L161" s="111">
        <v>200</v>
      </c>
      <c r="M161" s="115">
        <v>0</v>
      </c>
      <c r="N161" s="115">
        <v>0</v>
      </c>
      <c r="O161" s="111">
        <v>29</v>
      </c>
      <c r="P161" s="114">
        <v>0</v>
      </c>
      <c r="Q161" s="111">
        <v>8509</v>
      </c>
      <c r="R161" s="111">
        <v>0</v>
      </c>
      <c r="S161" s="115">
        <f>6*930</f>
        <v>5580</v>
      </c>
      <c r="T161" s="111">
        <f t="shared" si="10"/>
        <v>5580</v>
      </c>
      <c r="U161" s="112">
        <f t="shared" si="18"/>
        <v>1248</v>
      </c>
      <c r="V161" s="144">
        <v>0</v>
      </c>
      <c r="W161" s="112"/>
      <c r="X161" s="113">
        <f t="shared" si="12"/>
        <v>7057</v>
      </c>
      <c r="Y161" s="111"/>
      <c r="Z161" s="111"/>
      <c r="AA161" s="116"/>
      <c r="AB161" s="111"/>
      <c r="AC161" s="113">
        <f t="shared" si="13"/>
        <v>0</v>
      </c>
      <c r="AD161" s="111"/>
      <c r="AE161" s="111"/>
      <c r="AF161" s="112"/>
      <c r="AG161" s="117"/>
      <c r="AH161" s="111"/>
      <c r="AI161" s="112"/>
      <c r="AJ161" s="112"/>
      <c r="AK161" s="113">
        <f t="shared" si="14"/>
        <v>0</v>
      </c>
      <c r="AL161" s="118"/>
      <c r="AM161" s="119"/>
      <c r="AN161" s="119"/>
      <c r="AO161" s="120"/>
    </row>
    <row r="162" spans="1:41" s="121" customFormat="1" ht="16.5" customHeight="1">
      <c r="A162" s="104" t="s">
        <v>2134</v>
      </c>
      <c r="B162" s="105" t="s">
        <v>982</v>
      </c>
      <c r="C162" s="106" t="s">
        <v>989</v>
      </c>
      <c r="D162" s="106" t="s">
        <v>2415</v>
      </c>
      <c r="E162" s="71" t="s">
        <v>990</v>
      </c>
      <c r="F162" s="71" t="s">
        <v>170</v>
      </c>
      <c r="G162" s="109" t="s">
        <v>2187</v>
      </c>
      <c r="H162" s="110">
        <v>268</v>
      </c>
      <c r="I162" s="111"/>
      <c r="J162" s="112">
        <v>88</v>
      </c>
      <c r="K162" s="113">
        <f t="shared" si="11"/>
        <v>356</v>
      </c>
      <c r="L162" s="111">
        <v>10146</v>
      </c>
      <c r="M162" s="111">
        <v>4020</v>
      </c>
      <c r="N162" s="112"/>
      <c r="O162" s="111">
        <v>4435</v>
      </c>
      <c r="P162" s="114">
        <v>1</v>
      </c>
      <c r="Q162" s="111">
        <v>8509</v>
      </c>
      <c r="R162" s="115">
        <v>1875</v>
      </c>
      <c r="S162" s="115">
        <v>4099</v>
      </c>
      <c r="T162" s="111">
        <f t="shared" si="10"/>
        <v>14483</v>
      </c>
      <c r="U162" s="112">
        <v>18798</v>
      </c>
      <c r="V162" s="116">
        <v>110</v>
      </c>
      <c r="W162" s="111"/>
      <c r="X162" s="113">
        <f t="shared" si="12"/>
        <v>51992</v>
      </c>
      <c r="Y162" s="111"/>
      <c r="Z162" s="111"/>
      <c r="AA162" s="116"/>
      <c r="AB162" s="111"/>
      <c r="AC162" s="113">
        <f t="shared" si="13"/>
        <v>0</v>
      </c>
      <c r="AD162" s="111"/>
      <c r="AE162" s="111"/>
      <c r="AF162" s="112"/>
      <c r="AG162" s="117"/>
      <c r="AH162" s="111"/>
      <c r="AI162" s="112"/>
      <c r="AJ162" s="112"/>
      <c r="AK162" s="113">
        <f t="shared" si="14"/>
        <v>0</v>
      </c>
      <c r="AL162" s="118"/>
      <c r="AM162" s="119"/>
      <c r="AN162" s="119"/>
      <c r="AO162" s="120"/>
    </row>
    <row r="163" spans="1:41" s="121" customFormat="1" ht="16.5" customHeight="1">
      <c r="A163" s="104" t="s">
        <v>2134</v>
      </c>
      <c r="B163" s="105" t="s">
        <v>985</v>
      </c>
      <c r="C163" s="106" t="s">
        <v>998</v>
      </c>
      <c r="D163" s="106" t="s">
        <v>2415</v>
      </c>
      <c r="E163" s="71" t="s">
        <v>999</v>
      </c>
      <c r="F163" s="71" t="s">
        <v>170</v>
      </c>
      <c r="G163" s="109" t="s">
        <v>2187</v>
      </c>
      <c r="H163" s="110">
        <v>202</v>
      </c>
      <c r="I163" s="111"/>
      <c r="J163" s="112">
        <v>46</v>
      </c>
      <c r="K163" s="113">
        <f t="shared" si="11"/>
        <v>248</v>
      </c>
      <c r="L163" s="111">
        <v>6241</v>
      </c>
      <c r="M163" s="111">
        <v>3428</v>
      </c>
      <c r="N163" s="112"/>
      <c r="O163" s="111">
        <v>839</v>
      </c>
      <c r="P163" s="114">
        <v>1</v>
      </c>
      <c r="Q163" s="111">
        <v>8509</v>
      </c>
      <c r="R163" s="115">
        <v>1685</v>
      </c>
      <c r="S163" s="115">
        <v>1022</v>
      </c>
      <c r="T163" s="111">
        <f t="shared" si="10"/>
        <v>11216</v>
      </c>
      <c r="U163" s="112">
        <v>16431</v>
      </c>
      <c r="V163" s="116">
        <v>98</v>
      </c>
      <c r="W163" s="111"/>
      <c r="X163" s="113">
        <f t="shared" si="12"/>
        <v>38253</v>
      </c>
      <c r="Y163" s="111"/>
      <c r="Z163" s="111"/>
      <c r="AA163" s="116"/>
      <c r="AB163" s="111"/>
      <c r="AC163" s="113">
        <f t="shared" si="13"/>
        <v>0</v>
      </c>
      <c r="AD163" s="111"/>
      <c r="AE163" s="111"/>
      <c r="AF163" s="112"/>
      <c r="AG163" s="117"/>
      <c r="AH163" s="111"/>
      <c r="AI163" s="112"/>
      <c r="AJ163" s="112"/>
      <c r="AK163" s="113">
        <f t="shared" si="14"/>
        <v>0</v>
      </c>
      <c r="AL163" s="118"/>
      <c r="AM163" s="119"/>
      <c r="AN163" s="119"/>
      <c r="AO163" s="120"/>
    </row>
    <row r="164" spans="1:41" s="121" customFormat="1" ht="16.5" customHeight="1">
      <c r="A164" s="104" t="s">
        <v>2134</v>
      </c>
      <c r="B164" s="105" t="s">
        <v>988</v>
      </c>
      <c r="C164" s="106" t="s">
        <v>1003</v>
      </c>
      <c r="D164" s="106" t="s">
        <v>2415</v>
      </c>
      <c r="E164" s="71" t="s">
        <v>1004</v>
      </c>
      <c r="F164" s="71" t="s">
        <v>170</v>
      </c>
      <c r="G164" s="109" t="s">
        <v>2187</v>
      </c>
      <c r="H164" s="110">
        <v>265</v>
      </c>
      <c r="I164" s="111"/>
      <c r="J164" s="112">
        <v>87</v>
      </c>
      <c r="K164" s="113">
        <f t="shared" si="11"/>
        <v>352</v>
      </c>
      <c r="L164" s="111">
        <v>8371</v>
      </c>
      <c r="M164" s="111">
        <v>5002</v>
      </c>
      <c r="N164" s="112"/>
      <c r="O164" s="111">
        <v>5823</v>
      </c>
      <c r="P164" s="114">
        <v>1</v>
      </c>
      <c r="Q164" s="111">
        <v>8509</v>
      </c>
      <c r="R164" s="115">
        <v>1825</v>
      </c>
      <c r="S164" s="115">
        <v>1717</v>
      </c>
      <c r="T164" s="111">
        <f t="shared" si="10"/>
        <v>12051</v>
      </c>
      <c r="U164" s="112">
        <v>18438</v>
      </c>
      <c r="V164" s="116">
        <v>110</v>
      </c>
      <c r="W164" s="111"/>
      <c r="X164" s="113">
        <f t="shared" si="12"/>
        <v>49795</v>
      </c>
      <c r="Y164" s="111"/>
      <c r="Z164" s="111"/>
      <c r="AA164" s="116"/>
      <c r="AB164" s="111"/>
      <c r="AC164" s="113">
        <f t="shared" si="13"/>
        <v>0</v>
      </c>
      <c r="AD164" s="111"/>
      <c r="AE164" s="111"/>
      <c r="AF164" s="112"/>
      <c r="AG164" s="117"/>
      <c r="AH164" s="111"/>
      <c r="AI164" s="112"/>
      <c r="AJ164" s="112"/>
      <c r="AK164" s="113">
        <f t="shared" si="14"/>
        <v>0</v>
      </c>
      <c r="AL164" s="118"/>
      <c r="AM164" s="119"/>
      <c r="AN164" s="119"/>
      <c r="AO164" s="120"/>
    </row>
    <row r="165" spans="1:41" s="121" customFormat="1" ht="16.5" customHeight="1">
      <c r="A165" s="104" t="s">
        <v>2134</v>
      </c>
      <c r="B165" s="105" t="s">
        <v>997</v>
      </c>
      <c r="C165" s="106" t="s">
        <v>1008</v>
      </c>
      <c r="D165" s="106" t="s">
        <v>2415</v>
      </c>
      <c r="E165" s="71" t="s">
        <v>1009</v>
      </c>
      <c r="F165" s="71" t="s">
        <v>170</v>
      </c>
      <c r="G165" s="109" t="s">
        <v>2187</v>
      </c>
      <c r="H165" s="110">
        <v>265</v>
      </c>
      <c r="I165" s="111"/>
      <c r="J165" s="112">
        <v>128</v>
      </c>
      <c r="K165" s="113">
        <f t="shared" si="11"/>
        <v>393</v>
      </c>
      <c r="L165" s="111">
        <v>9257</v>
      </c>
      <c r="M165" s="111">
        <v>3564</v>
      </c>
      <c r="N165" s="112"/>
      <c r="O165" s="111">
        <v>7158</v>
      </c>
      <c r="P165" s="114"/>
      <c r="Q165" s="111">
        <v>8509</v>
      </c>
      <c r="R165" s="115">
        <v>1840</v>
      </c>
      <c r="S165" s="115">
        <v>5413</v>
      </c>
      <c r="T165" s="111">
        <f t="shared" si="10"/>
        <v>7253</v>
      </c>
      <c r="U165" s="112">
        <v>19067</v>
      </c>
      <c r="V165" s="116">
        <v>109</v>
      </c>
      <c r="W165" s="111"/>
      <c r="X165" s="113">
        <f t="shared" si="12"/>
        <v>46408</v>
      </c>
      <c r="Y165" s="111"/>
      <c r="Z165" s="111"/>
      <c r="AA165" s="116"/>
      <c r="AB165" s="111"/>
      <c r="AC165" s="113">
        <f t="shared" si="13"/>
        <v>0</v>
      </c>
      <c r="AD165" s="111"/>
      <c r="AE165" s="111"/>
      <c r="AF165" s="112"/>
      <c r="AG165" s="117"/>
      <c r="AH165" s="111"/>
      <c r="AI165" s="112"/>
      <c r="AJ165" s="112"/>
      <c r="AK165" s="113">
        <f t="shared" si="14"/>
        <v>0</v>
      </c>
      <c r="AL165" s="118"/>
      <c r="AM165" s="119"/>
      <c r="AN165" s="119"/>
      <c r="AO165" s="120"/>
    </row>
    <row r="166" spans="1:41" s="121" customFormat="1" ht="16.5" customHeight="1">
      <c r="A166" s="104" t="s">
        <v>2134</v>
      </c>
      <c r="B166" s="105" t="s">
        <v>1002</v>
      </c>
      <c r="C166" s="106" t="s">
        <v>1013</v>
      </c>
      <c r="D166" s="106" t="s">
        <v>2415</v>
      </c>
      <c r="E166" s="71" t="s">
        <v>1014</v>
      </c>
      <c r="F166" s="71" t="s">
        <v>170</v>
      </c>
      <c r="G166" s="109" t="s">
        <v>2187</v>
      </c>
      <c r="H166" s="110">
        <v>314</v>
      </c>
      <c r="I166" s="111"/>
      <c r="J166" s="112">
        <v>69</v>
      </c>
      <c r="K166" s="113">
        <f t="shared" si="11"/>
        <v>383</v>
      </c>
      <c r="L166" s="111">
        <v>12357</v>
      </c>
      <c r="M166" s="111">
        <v>3974</v>
      </c>
      <c r="N166" s="112"/>
      <c r="O166" s="111">
        <v>2528</v>
      </c>
      <c r="P166" s="114">
        <v>1</v>
      </c>
      <c r="Q166" s="111">
        <v>8509</v>
      </c>
      <c r="R166" s="115">
        <v>4188</v>
      </c>
      <c r="S166" s="115">
        <v>3771</v>
      </c>
      <c r="T166" s="111">
        <f t="shared" si="10"/>
        <v>16468</v>
      </c>
      <c r="U166" s="112">
        <v>20726</v>
      </c>
      <c r="V166" s="116">
        <v>133</v>
      </c>
      <c r="W166" s="111"/>
      <c r="X166" s="113">
        <f t="shared" si="12"/>
        <v>56186</v>
      </c>
      <c r="Y166" s="111"/>
      <c r="Z166" s="111"/>
      <c r="AA166" s="116"/>
      <c r="AB166" s="111"/>
      <c r="AC166" s="113">
        <f t="shared" si="13"/>
        <v>0</v>
      </c>
      <c r="AD166" s="111"/>
      <c r="AE166" s="111"/>
      <c r="AF166" s="112"/>
      <c r="AG166" s="117"/>
      <c r="AH166" s="111"/>
      <c r="AI166" s="112"/>
      <c r="AJ166" s="112"/>
      <c r="AK166" s="113">
        <f t="shared" si="14"/>
        <v>0</v>
      </c>
      <c r="AL166" s="118"/>
      <c r="AM166" s="119"/>
      <c r="AN166" s="119"/>
      <c r="AO166" s="120"/>
    </row>
    <row r="167" spans="1:41" s="121" customFormat="1" ht="16.5" customHeight="1">
      <c r="A167" s="104" t="s">
        <v>2134</v>
      </c>
      <c r="B167" s="105" t="s">
        <v>1007</v>
      </c>
      <c r="C167" s="106" t="s">
        <v>1017</v>
      </c>
      <c r="D167" s="106" t="s">
        <v>2415</v>
      </c>
      <c r="E167" s="71" t="s">
        <v>1018</v>
      </c>
      <c r="F167" s="71" t="s">
        <v>170</v>
      </c>
      <c r="G167" s="109" t="s">
        <v>2187</v>
      </c>
      <c r="H167" s="110">
        <v>212</v>
      </c>
      <c r="I167" s="111"/>
      <c r="J167" s="112">
        <v>102</v>
      </c>
      <c r="K167" s="113">
        <f t="shared" si="11"/>
        <v>314</v>
      </c>
      <c r="L167" s="111">
        <v>9151</v>
      </c>
      <c r="M167" s="111">
        <v>4251</v>
      </c>
      <c r="N167" s="112">
        <v>6284</v>
      </c>
      <c r="O167" s="111">
        <v>3588</v>
      </c>
      <c r="P167" s="114">
        <v>1</v>
      </c>
      <c r="Q167" s="111">
        <v>8509</v>
      </c>
      <c r="R167" s="115">
        <v>5157</v>
      </c>
      <c r="S167" s="115">
        <v>3406</v>
      </c>
      <c r="T167" s="111">
        <f t="shared" si="10"/>
        <v>17072</v>
      </c>
      <c r="U167" s="112">
        <v>18116</v>
      </c>
      <c r="V167" s="116">
        <v>153</v>
      </c>
      <c r="W167" s="111"/>
      <c r="X167" s="113">
        <f t="shared" si="12"/>
        <v>58615</v>
      </c>
      <c r="Y167" s="111"/>
      <c r="Z167" s="111"/>
      <c r="AA167" s="116"/>
      <c r="AB167" s="111"/>
      <c r="AC167" s="113">
        <f t="shared" si="13"/>
        <v>0</v>
      </c>
      <c r="AD167" s="111"/>
      <c r="AE167" s="111"/>
      <c r="AF167" s="112"/>
      <c r="AG167" s="117"/>
      <c r="AH167" s="111"/>
      <c r="AI167" s="112"/>
      <c r="AJ167" s="112"/>
      <c r="AK167" s="113">
        <f t="shared" si="14"/>
        <v>0</v>
      </c>
      <c r="AL167" s="118"/>
      <c r="AM167" s="119"/>
      <c r="AN167" s="119"/>
      <c r="AO167" s="120"/>
    </row>
    <row r="168" spans="1:41" s="121" customFormat="1" ht="16.5" customHeight="1">
      <c r="A168" s="104" t="s">
        <v>2134</v>
      </c>
      <c r="B168" s="105" t="s">
        <v>1012</v>
      </c>
      <c r="C168" s="106" t="s">
        <v>1022</v>
      </c>
      <c r="D168" s="106" t="s">
        <v>2415</v>
      </c>
      <c r="E168" s="71" t="s">
        <v>1023</v>
      </c>
      <c r="F168" s="71" t="s">
        <v>170</v>
      </c>
      <c r="G168" s="109" t="s">
        <v>2187</v>
      </c>
      <c r="H168" s="110">
        <v>210</v>
      </c>
      <c r="I168" s="111"/>
      <c r="J168" s="112">
        <v>55</v>
      </c>
      <c r="K168" s="113">
        <f t="shared" si="11"/>
        <v>265</v>
      </c>
      <c r="L168" s="111">
        <v>11107</v>
      </c>
      <c r="M168" s="111">
        <v>3973</v>
      </c>
      <c r="N168" s="112"/>
      <c r="O168" s="111">
        <v>3408</v>
      </c>
      <c r="P168" s="114">
        <v>1</v>
      </c>
      <c r="Q168" s="111">
        <v>8509</v>
      </c>
      <c r="R168" s="115">
        <v>1863</v>
      </c>
      <c r="S168" s="115">
        <v>1790</v>
      </c>
      <c r="T168" s="111">
        <f t="shared" si="10"/>
        <v>12162</v>
      </c>
      <c r="U168" s="112">
        <v>17073</v>
      </c>
      <c r="V168" s="116">
        <v>36</v>
      </c>
      <c r="W168" s="111"/>
      <c r="X168" s="113">
        <f t="shared" si="12"/>
        <v>47759</v>
      </c>
      <c r="Y168" s="111"/>
      <c r="Z168" s="111"/>
      <c r="AA168" s="116"/>
      <c r="AB168" s="111"/>
      <c r="AC168" s="113">
        <f t="shared" si="13"/>
        <v>0</v>
      </c>
      <c r="AD168" s="111"/>
      <c r="AE168" s="111"/>
      <c r="AF168" s="112"/>
      <c r="AG168" s="117"/>
      <c r="AH168" s="111"/>
      <c r="AI168" s="112"/>
      <c r="AJ168" s="112"/>
      <c r="AK168" s="113">
        <f t="shared" si="14"/>
        <v>0</v>
      </c>
      <c r="AL168" s="118"/>
      <c r="AM168" s="119"/>
      <c r="AN168" s="119"/>
      <c r="AO168" s="120"/>
    </row>
    <row r="169" spans="1:41" s="121" customFormat="1" ht="16.5" customHeight="1">
      <c r="A169" s="104" t="s">
        <v>2134</v>
      </c>
      <c r="B169" s="105" t="s">
        <v>1016</v>
      </c>
      <c r="C169" s="106" t="s">
        <v>1026</v>
      </c>
      <c r="D169" s="106" t="s">
        <v>2415</v>
      </c>
      <c r="E169" s="71" t="s">
        <v>1027</v>
      </c>
      <c r="F169" s="71" t="s">
        <v>170</v>
      </c>
      <c r="G169" s="109" t="s">
        <v>2187</v>
      </c>
      <c r="H169" s="110">
        <v>160</v>
      </c>
      <c r="I169" s="111"/>
      <c r="J169" s="112">
        <v>69</v>
      </c>
      <c r="K169" s="113">
        <f t="shared" si="11"/>
        <v>229</v>
      </c>
      <c r="L169" s="111">
        <v>8983</v>
      </c>
      <c r="M169" s="111">
        <v>3349</v>
      </c>
      <c r="N169" s="112"/>
      <c r="O169" s="111">
        <v>2210</v>
      </c>
      <c r="P169" s="114">
        <v>1</v>
      </c>
      <c r="Q169" s="111">
        <v>8509</v>
      </c>
      <c r="R169" s="115">
        <v>1661</v>
      </c>
      <c r="S169" s="115">
        <v>1704</v>
      </c>
      <c r="T169" s="111">
        <f t="shared" si="10"/>
        <v>11874</v>
      </c>
      <c r="U169" s="112">
        <v>14956</v>
      </c>
      <c r="V169" s="116">
        <v>57</v>
      </c>
      <c r="W169" s="111"/>
      <c r="X169" s="113">
        <f t="shared" si="12"/>
        <v>41429</v>
      </c>
      <c r="Y169" s="111"/>
      <c r="Z169" s="111"/>
      <c r="AA169" s="116"/>
      <c r="AB169" s="111"/>
      <c r="AC169" s="113">
        <f t="shared" si="13"/>
        <v>0</v>
      </c>
      <c r="AD169" s="111"/>
      <c r="AE169" s="111"/>
      <c r="AF169" s="112"/>
      <c r="AG169" s="117"/>
      <c r="AH169" s="111"/>
      <c r="AI169" s="112"/>
      <c r="AJ169" s="112"/>
      <c r="AK169" s="113">
        <f t="shared" si="14"/>
        <v>0</v>
      </c>
      <c r="AL169" s="118"/>
      <c r="AM169" s="119"/>
      <c r="AN169" s="119"/>
      <c r="AO169" s="120"/>
    </row>
    <row r="170" spans="1:41" s="121" customFormat="1" ht="16.5" customHeight="1">
      <c r="A170" s="104" t="s">
        <v>2134</v>
      </c>
      <c r="B170" s="105" t="s">
        <v>1021</v>
      </c>
      <c r="C170" s="106" t="s">
        <v>1030</v>
      </c>
      <c r="D170" s="106" t="s">
        <v>2415</v>
      </c>
      <c r="E170" s="71" t="s">
        <v>1031</v>
      </c>
      <c r="F170" s="71" t="s">
        <v>170</v>
      </c>
      <c r="G170" s="109" t="s">
        <v>2187</v>
      </c>
      <c r="H170" s="110">
        <v>98317</v>
      </c>
      <c r="I170" s="111"/>
      <c r="J170" s="112">
        <v>256</v>
      </c>
      <c r="K170" s="113">
        <f t="shared" si="11"/>
        <v>98573</v>
      </c>
      <c r="L170" s="121">
        <v>13684</v>
      </c>
      <c r="M170" s="111">
        <v>1076</v>
      </c>
      <c r="N170" s="112"/>
      <c r="O170" s="111">
        <v>170</v>
      </c>
      <c r="P170" s="114">
        <v>56</v>
      </c>
      <c r="Q170" s="111">
        <v>8509</v>
      </c>
      <c r="R170" s="115">
        <v>62854</v>
      </c>
      <c r="S170" s="115">
        <v>10856</v>
      </c>
      <c r="T170" s="111">
        <f t="shared" si="10"/>
        <v>550214</v>
      </c>
      <c r="U170" s="112">
        <v>42383</v>
      </c>
      <c r="V170" s="116">
        <v>0</v>
      </c>
      <c r="W170" s="111"/>
      <c r="X170" s="113">
        <f t="shared" si="12"/>
        <v>607527</v>
      </c>
      <c r="Y170" s="111"/>
      <c r="Z170" s="111"/>
      <c r="AA170" s="116"/>
      <c r="AB170" s="111"/>
      <c r="AC170" s="113">
        <f t="shared" si="13"/>
        <v>0</v>
      </c>
      <c r="AD170" s="111"/>
      <c r="AE170" s="111"/>
      <c r="AF170" s="112"/>
      <c r="AG170" s="117"/>
      <c r="AH170" s="111"/>
      <c r="AI170" s="112"/>
      <c r="AJ170" s="112"/>
      <c r="AK170" s="113">
        <f t="shared" si="14"/>
        <v>0</v>
      </c>
      <c r="AL170" s="118"/>
      <c r="AM170" s="119"/>
      <c r="AN170" s="119"/>
      <c r="AO170" s="120"/>
    </row>
    <row r="171" spans="1:41" s="121" customFormat="1" ht="16.5" customHeight="1">
      <c r="A171" s="104" t="s">
        <v>2134</v>
      </c>
      <c r="B171" s="105" t="s">
        <v>1025</v>
      </c>
      <c r="C171" s="106" t="s">
        <v>1038</v>
      </c>
      <c r="D171" s="106" t="s">
        <v>2415</v>
      </c>
      <c r="E171" s="71" t="s">
        <v>1039</v>
      </c>
      <c r="F171" s="71" t="s">
        <v>170</v>
      </c>
      <c r="G171" s="109" t="s">
        <v>2187</v>
      </c>
      <c r="H171" s="110">
        <v>21</v>
      </c>
      <c r="I171" s="111"/>
      <c r="J171" s="112">
        <v>15</v>
      </c>
      <c r="K171" s="113">
        <f t="shared" si="11"/>
        <v>36</v>
      </c>
      <c r="L171" s="111">
        <v>4287</v>
      </c>
      <c r="M171" s="111">
        <v>10350</v>
      </c>
      <c r="N171" s="112"/>
      <c r="O171" s="111">
        <v>1238</v>
      </c>
      <c r="P171" s="114"/>
      <c r="Q171" s="111">
        <v>8509</v>
      </c>
      <c r="R171" s="115">
        <v>6641</v>
      </c>
      <c r="S171" s="115">
        <v>27932</v>
      </c>
      <c r="T171" s="111">
        <f t="shared" si="10"/>
        <v>34573</v>
      </c>
      <c r="U171" s="112">
        <v>26930</v>
      </c>
      <c r="V171" s="116">
        <v>8</v>
      </c>
      <c r="W171" s="111"/>
      <c r="X171" s="113">
        <f t="shared" si="12"/>
        <v>77386</v>
      </c>
      <c r="Y171" s="111"/>
      <c r="Z171" s="111"/>
      <c r="AA171" s="116"/>
      <c r="AB171" s="111"/>
      <c r="AC171" s="113">
        <f t="shared" si="13"/>
        <v>0</v>
      </c>
      <c r="AD171" s="111"/>
      <c r="AE171" s="111"/>
      <c r="AF171" s="112"/>
      <c r="AG171" s="117"/>
      <c r="AH171" s="111"/>
      <c r="AI171" s="112"/>
      <c r="AJ171" s="112"/>
      <c r="AK171" s="113">
        <f t="shared" si="14"/>
        <v>0</v>
      </c>
      <c r="AL171" s="118"/>
      <c r="AM171" s="119"/>
      <c r="AN171" s="119"/>
      <c r="AO171" s="120"/>
    </row>
    <row r="172" spans="1:41" s="121" customFormat="1" ht="16.5" customHeight="1">
      <c r="A172" s="104" t="s">
        <v>2134</v>
      </c>
      <c r="B172" s="105" t="s">
        <v>1029</v>
      </c>
      <c r="C172" s="106" t="s">
        <v>2076</v>
      </c>
      <c r="D172" s="106" t="s">
        <v>2415</v>
      </c>
      <c r="E172" s="71" t="s">
        <v>1045</v>
      </c>
      <c r="F172" s="71" t="s">
        <v>170</v>
      </c>
      <c r="G172" s="109" t="s">
        <v>1046</v>
      </c>
      <c r="H172" s="110"/>
      <c r="I172" s="111">
        <v>561</v>
      </c>
      <c r="J172" s="112"/>
      <c r="K172" s="113">
        <f t="shared" si="11"/>
        <v>561</v>
      </c>
      <c r="L172" s="111">
        <v>35053</v>
      </c>
      <c r="M172" s="111">
        <v>3124</v>
      </c>
      <c r="N172" s="112"/>
      <c r="O172" s="111">
        <v>7952</v>
      </c>
      <c r="P172" s="114">
        <v>9</v>
      </c>
      <c r="Q172" s="111">
        <v>8509</v>
      </c>
      <c r="R172" s="115">
        <v>76161</v>
      </c>
      <c r="S172" s="115">
        <v>43166</v>
      </c>
      <c r="T172" s="111">
        <f t="shared" si="10"/>
        <v>195908</v>
      </c>
      <c r="U172" s="112">
        <v>628610</v>
      </c>
      <c r="V172" s="116">
        <v>15519</v>
      </c>
      <c r="W172" s="111"/>
      <c r="X172" s="113">
        <f t="shared" si="12"/>
        <v>886166</v>
      </c>
      <c r="Y172" s="111"/>
      <c r="Z172" s="111"/>
      <c r="AA172" s="116"/>
      <c r="AB172" s="111"/>
      <c r="AC172" s="113">
        <f t="shared" si="13"/>
        <v>0</v>
      </c>
      <c r="AD172" s="111"/>
      <c r="AE172" s="111"/>
      <c r="AF172" s="112"/>
      <c r="AG172" s="117"/>
      <c r="AH172" s="111"/>
      <c r="AI172" s="112"/>
      <c r="AJ172" s="112"/>
      <c r="AK172" s="113">
        <f t="shared" si="14"/>
        <v>0</v>
      </c>
      <c r="AL172" s="118"/>
      <c r="AM172" s="119"/>
      <c r="AN172" s="119"/>
      <c r="AO172" s="120"/>
    </row>
    <row r="173" spans="1:41" s="121" customFormat="1" ht="16.5" customHeight="1">
      <c r="A173" s="104" t="s">
        <v>2134</v>
      </c>
      <c r="B173" s="105" t="s">
        <v>1037</v>
      </c>
      <c r="C173" s="106" t="s">
        <v>2138</v>
      </c>
      <c r="D173" s="106" t="s">
        <v>2415</v>
      </c>
      <c r="E173" s="71" t="s">
        <v>2133</v>
      </c>
      <c r="F173" s="71" t="s">
        <v>2085</v>
      </c>
      <c r="G173" s="109" t="s">
        <v>1046</v>
      </c>
      <c r="H173" s="110"/>
      <c r="I173" s="111">
        <v>335</v>
      </c>
      <c r="J173" s="112"/>
      <c r="K173" s="113">
        <f t="shared" si="11"/>
        <v>335</v>
      </c>
      <c r="L173" s="111">
        <v>17539</v>
      </c>
      <c r="M173" s="111">
        <v>15264</v>
      </c>
      <c r="N173" s="112"/>
      <c r="O173" s="111">
        <v>1239</v>
      </c>
      <c r="P173" s="114">
        <v>2</v>
      </c>
      <c r="Q173" s="111">
        <v>8509</v>
      </c>
      <c r="R173" s="115"/>
      <c r="S173" s="115">
        <v>1895</v>
      </c>
      <c r="T173" s="111">
        <f t="shared" si="10"/>
        <v>18913</v>
      </c>
      <c r="U173" s="112">
        <v>397717</v>
      </c>
      <c r="V173" s="116">
        <v>87</v>
      </c>
      <c r="W173" s="111"/>
      <c r="X173" s="113">
        <f t="shared" si="12"/>
        <v>450759</v>
      </c>
      <c r="Y173" s="111"/>
      <c r="Z173" s="111"/>
      <c r="AA173" s="116"/>
      <c r="AB173" s="111"/>
      <c r="AC173" s="113">
        <f t="shared" si="13"/>
        <v>0</v>
      </c>
      <c r="AD173" s="111"/>
      <c r="AE173" s="111"/>
      <c r="AF173" s="112"/>
      <c r="AG173" s="117"/>
      <c r="AH173" s="111"/>
      <c r="AI173" s="112"/>
      <c r="AJ173" s="112"/>
      <c r="AK173" s="113">
        <f t="shared" si="14"/>
        <v>0</v>
      </c>
      <c r="AL173" s="118"/>
      <c r="AM173" s="119"/>
      <c r="AN173" s="119"/>
      <c r="AO173" s="120"/>
    </row>
    <row r="174" spans="1:41" s="121" customFormat="1" ht="16.5" customHeight="1">
      <c r="A174" s="104" t="s">
        <v>2134</v>
      </c>
      <c r="B174" s="105" t="s">
        <v>1043</v>
      </c>
      <c r="C174" s="106" t="s">
        <v>1055</v>
      </c>
      <c r="D174" s="106" t="s">
        <v>2415</v>
      </c>
      <c r="E174" s="71" t="s">
        <v>1056</v>
      </c>
      <c r="F174" s="71" t="s">
        <v>2085</v>
      </c>
      <c r="G174" s="109" t="s">
        <v>2131</v>
      </c>
      <c r="H174" s="110">
        <v>37425</v>
      </c>
      <c r="I174" s="111">
        <v>83</v>
      </c>
      <c r="J174" s="112">
        <v>3179</v>
      </c>
      <c r="K174" s="113">
        <f t="shared" si="11"/>
        <v>40687</v>
      </c>
      <c r="L174" s="111">
        <v>6202</v>
      </c>
      <c r="M174" s="111">
        <v>1328</v>
      </c>
      <c r="N174" s="112"/>
      <c r="O174" s="111">
        <v>660</v>
      </c>
      <c r="P174" s="114">
        <v>22</v>
      </c>
      <c r="Q174" s="111">
        <v>8509</v>
      </c>
      <c r="R174" s="115">
        <v>1287</v>
      </c>
      <c r="S174" s="115">
        <v>62491</v>
      </c>
      <c r="T174" s="111">
        <f t="shared" si="10"/>
        <v>250976</v>
      </c>
      <c r="U174" s="112">
        <v>19192</v>
      </c>
      <c r="V174" s="144"/>
      <c r="W174" s="111"/>
      <c r="X174" s="113">
        <f t="shared" si="12"/>
        <v>278358</v>
      </c>
      <c r="Y174" s="111"/>
      <c r="Z174" s="111"/>
      <c r="AA174" s="116"/>
      <c r="AB174" s="111"/>
      <c r="AC174" s="113">
        <f t="shared" si="13"/>
        <v>0</v>
      </c>
      <c r="AD174" s="111"/>
      <c r="AE174" s="111"/>
      <c r="AF174" s="112"/>
      <c r="AG174" s="117"/>
      <c r="AH174" s="111"/>
      <c r="AI174" s="112"/>
      <c r="AJ174" s="112"/>
      <c r="AK174" s="113">
        <f t="shared" si="14"/>
        <v>0</v>
      </c>
      <c r="AL174" s="118"/>
      <c r="AM174" s="119"/>
      <c r="AN174" s="119"/>
      <c r="AO174" s="120"/>
    </row>
    <row r="175" spans="1:41" s="121" customFormat="1" ht="16.5" customHeight="1">
      <c r="A175" s="104" t="s">
        <v>2134</v>
      </c>
      <c r="B175" s="105" t="s">
        <v>1966</v>
      </c>
      <c r="C175" s="106" t="s">
        <v>1068</v>
      </c>
      <c r="D175" s="106" t="s">
        <v>2415</v>
      </c>
      <c r="E175" s="71" t="s">
        <v>1069</v>
      </c>
      <c r="F175" s="71" t="s">
        <v>2085</v>
      </c>
      <c r="G175" s="109" t="s">
        <v>2131</v>
      </c>
      <c r="H175" s="110">
        <v>34596</v>
      </c>
      <c r="I175" s="111">
        <v>86</v>
      </c>
      <c r="J175" s="112">
        <v>1835</v>
      </c>
      <c r="K175" s="113">
        <f t="shared" si="11"/>
        <v>36517</v>
      </c>
      <c r="L175" s="111">
        <v>3835</v>
      </c>
      <c r="M175" s="111">
        <v>1268</v>
      </c>
      <c r="N175" s="112"/>
      <c r="O175" s="111">
        <v>380</v>
      </c>
      <c r="P175" s="114">
        <v>18</v>
      </c>
      <c r="Q175" s="111">
        <v>8509</v>
      </c>
      <c r="R175" s="115">
        <v>6214</v>
      </c>
      <c r="S175" s="115">
        <v>47609</v>
      </c>
      <c r="T175" s="111">
        <f t="shared" si="10"/>
        <v>206985</v>
      </c>
      <c r="U175" s="112">
        <v>15018</v>
      </c>
      <c r="V175" s="144"/>
      <c r="W175" s="111"/>
      <c r="X175" s="113">
        <f t="shared" si="12"/>
        <v>227486</v>
      </c>
      <c r="Y175" s="111"/>
      <c r="Z175" s="111"/>
      <c r="AA175" s="116"/>
      <c r="AB175" s="111"/>
      <c r="AC175" s="113">
        <f t="shared" si="13"/>
        <v>0</v>
      </c>
      <c r="AD175" s="111"/>
      <c r="AE175" s="111"/>
      <c r="AF175" s="112"/>
      <c r="AG175" s="117"/>
      <c r="AH175" s="111"/>
      <c r="AI175" s="112"/>
      <c r="AJ175" s="112"/>
      <c r="AK175" s="113">
        <f t="shared" si="14"/>
        <v>0</v>
      </c>
      <c r="AL175" s="118"/>
      <c r="AM175" s="119"/>
      <c r="AN175" s="119"/>
      <c r="AO175" s="120"/>
    </row>
    <row r="176" spans="1:41" s="121" customFormat="1" ht="16.5" customHeight="1">
      <c r="A176" s="104" t="s">
        <v>2134</v>
      </c>
      <c r="B176" s="105" t="s">
        <v>1054</v>
      </c>
      <c r="C176" s="106" t="s">
        <v>1071</v>
      </c>
      <c r="D176" s="106" t="s">
        <v>2415</v>
      </c>
      <c r="E176" s="71" t="s">
        <v>1072</v>
      </c>
      <c r="F176" s="71" t="s">
        <v>2085</v>
      </c>
      <c r="G176" s="109" t="s">
        <v>2131</v>
      </c>
      <c r="H176" s="110">
        <v>22351</v>
      </c>
      <c r="I176" s="111">
        <v>90</v>
      </c>
      <c r="J176" s="112">
        <v>7437</v>
      </c>
      <c r="K176" s="113">
        <f t="shared" si="11"/>
        <v>29878</v>
      </c>
      <c r="L176" s="111">
        <v>4198</v>
      </c>
      <c r="M176" s="111">
        <v>2614</v>
      </c>
      <c r="N176" s="112"/>
      <c r="O176" s="111">
        <v>0</v>
      </c>
      <c r="P176" s="114">
        <v>18</v>
      </c>
      <c r="Q176" s="111">
        <v>8509</v>
      </c>
      <c r="R176" s="115">
        <v>13971</v>
      </c>
      <c r="S176" s="115">
        <v>58846</v>
      </c>
      <c r="T176" s="111">
        <f t="shared" si="10"/>
        <v>225979</v>
      </c>
      <c r="U176" s="112">
        <v>18931</v>
      </c>
      <c r="V176" s="144"/>
      <c r="W176" s="111"/>
      <c r="X176" s="113">
        <f t="shared" si="12"/>
        <v>251722</v>
      </c>
      <c r="Y176" s="111"/>
      <c r="Z176" s="111"/>
      <c r="AA176" s="116"/>
      <c r="AB176" s="111"/>
      <c r="AC176" s="113">
        <f t="shared" si="13"/>
        <v>0</v>
      </c>
      <c r="AD176" s="111"/>
      <c r="AE176" s="111"/>
      <c r="AF176" s="112"/>
      <c r="AG176" s="117"/>
      <c r="AH176" s="111"/>
      <c r="AI176" s="112"/>
      <c r="AJ176" s="112"/>
      <c r="AK176" s="113">
        <f t="shared" si="14"/>
        <v>0</v>
      </c>
      <c r="AL176" s="118"/>
      <c r="AM176" s="119"/>
      <c r="AN176" s="119"/>
      <c r="AO176" s="120"/>
    </row>
    <row r="177" spans="1:41" s="121" customFormat="1" ht="16.5" customHeight="1">
      <c r="A177" s="104" t="s">
        <v>2134</v>
      </c>
      <c r="B177" s="105" t="s">
        <v>1067</v>
      </c>
      <c r="C177" s="106" t="s">
        <v>1077</v>
      </c>
      <c r="D177" s="106" t="s">
        <v>2415</v>
      </c>
      <c r="E177" s="71" t="s">
        <v>1078</v>
      </c>
      <c r="F177" s="71" t="s">
        <v>2085</v>
      </c>
      <c r="G177" s="109" t="s">
        <v>2131</v>
      </c>
      <c r="H177" s="110">
        <v>30853</v>
      </c>
      <c r="I177" s="111">
        <v>94</v>
      </c>
      <c r="J177" s="112">
        <v>3930</v>
      </c>
      <c r="K177" s="113">
        <f t="shared" si="11"/>
        <v>34877</v>
      </c>
      <c r="L177" s="111">
        <v>4625</v>
      </c>
      <c r="M177" s="111">
        <v>1429</v>
      </c>
      <c r="N177" s="112"/>
      <c r="O177" s="111">
        <v>3092</v>
      </c>
      <c r="P177" s="114">
        <v>22</v>
      </c>
      <c r="Q177" s="111">
        <v>8509</v>
      </c>
      <c r="R177" s="115">
        <v>6391</v>
      </c>
      <c r="S177" s="115">
        <v>57526</v>
      </c>
      <c r="T177" s="111">
        <f t="shared" si="10"/>
        <v>251115</v>
      </c>
      <c r="U177" s="112">
        <v>24871</v>
      </c>
      <c r="V177" s="144"/>
      <c r="W177" s="111"/>
      <c r="X177" s="113">
        <f t="shared" si="12"/>
        <v>285132</v>
      </c>
      <c r="Y177" s="111"/>
      <c r="Z177" s="111"/>
      <c r="AA177" s="116"/>
      <c r="AB177" s="111"/>
      <c r="AC177" s="113">
        <f t="shared" si="13"/>
        <v>0</v>
      </c>
      <c r="AD177" s="111"/>
      <c r="AE177" s="111"/>
      <c r="AF177" s="112"/>
      <c r="AG177" s="117"/>
      <c r="AH177" s="111"/>
      <c r="AI177" s="112"/>
      <c r="AJ177" s="112"/>
      <c r="AK177" s="113">
        <f t="shared" si="14"/>
        <v>0</v>
      </c>
      <c r="AL177" s="118"/>
      <c r="AM177" s="119"/>
      <c r="AN177" s="119"/>
      <c r="AO177" s="120"/>
    </row>
    <row r="178" spans="1:41" s="121" customFormat="1" ht="16.5" customHeight="1">
      <c r="A178" s="104" t="s">
        <v>2134</v>
      </c>
      <c r="B178" s="105" t="s">
        <v>181</v>
      </c>
      <c r="C178" s="106" t="s">
        <v>1083</v>
      </c>
      <c r="D178" s="106" t="s">
        <v>2415</v>
      </c>
      <c r="E178" s="71" t="s">
        <v>1084</v>
      </c>
      <c r="F178" s="71" t="s">
        <v>2085</v>
      </c>
      <c r="G178" s="109" t="s">
        <v>2131</v>
      </c>
      <c r="H178" s="110">
        <v>20863</v>
      </c>
      <c r="I178" s="111">
        <v>80</v>
      </c>
      <c r="J178" s="112">
        <v>1574</v>
      </c>
      <c r="K178" s="113">
        <f t="shared" si="11"/>
        <v>22517</v>
      </c>
      <c r="L178" s="111">
        <v>2978</v>
      </c>
      <c r="M178" s="111">
        <v>1387</v>
      </c>
      <c r="N178" s="112"/>
      <c r="O178" s="111">
        <v>2365</v>
      </c>
      <c r="P178" s="114">
        <v>17</v>
      </c>
      <c r="Q178" s="111">
        <v>8509</v>
      </c>
      <c r="R178" s="115">
        <v>9552</v>
      </c>
      <c r="S178" s="115">
        <v>49957</v>
      </c>
      <c r="T178" s="111">
        <f t="shared" si="10"/>
        <v>204162</v>
      </c>
      <c r="U178" s="112">
        <v>12010</v>
      </c>
      <c r="V178" s="144"/>
      <c r="W178" s="111"/>
      <c r="X178" s="113">
        <f t="shared" si="12"/>
        <v>222902</v>
      </c>
      <c r="Y178" s="111"/>
      <c r="Z178" s="111"/>
      <c r="AA178" s="116"/>
      <c r="AB178" s="111"/>
      <c r="AC178" s="113">
        <f t="shared" si="13"/>
        <v>0</v>
      </c>
      <c r="AD178" s="111"/>
      <c r="AE178" s="111"/>
      <c r="AF178" s="112"/>
      <c r="AG178" s="117"/>
      <c r="AH178" s="111"/>
      <c r="AI178" s="112"/>
      <c r="AJ178" s="112"/>
      <c r="AK178" s="113">
        <f t="shared" si="14"/>
        <v>0</v>
      </c>
      <c r="AL178" s="118"/>
      <c r="AM178" s="119"/>
      <c r="AN178" s="119"/>
      <c r="AO178" s="120"/>
    </row>
    <row r="179" spans="1:41" s="121" customFormat="1" ht="16.5" customHeight="1">
      <c r="A179" s="104" t="s">
        <v>2134</v>
      </c>
      <c r="B179" s="105" t="s">
        <v>1076</v>
      </c>
      <c r="C179" s="106" t="s">
        <v>1088</v>
      </c>
      <c r="D179" s="106" t="s">
        <v>2415</v>
      </c>
      <c r="E179" s="71" t="s">
        <v>1089</v>
      </c>
      <c r="F179" s="71" t="s">
        <v>2085</v>
      </c>
      <c r="G179" s="109" t="s">
        <v>2131</v>
      </c>
      <c r="H179" s="110">
        <v>20692</v>
      </c>
      <c r="I179" s="111">
        <v>63</v>
      </c>
      <c r="J179" s="112">
        <v>4521</v>
      </c>
      <c r="K179" s="113">
        <f t="shared" si="11"/>
        <v>25276</v>
      </c>
      <c r="L179" s="111">
        <v>3460</v>
      </c>
      <c r="M179" s="111">
        <v>1972</v>
      </c>
      <c r="N179" s="112"/>
      <c r="O179" s="111">
        <v>352</v>
      </c>
      <c r="P179" s="114">
        <v>17</v>
      </c>
      <c r="Q179" s="111">
        <v>8509</v>
      </c>
      <c r="R179" s="115">
        <v>4194</v>
      </c>
      <c r="S179" s="115">
        <v>43650</v>
      </c>
      <c r="T179" s="111">
        <f t="shared" si="10"/>
        <v>192497</v>
      </c>
      <c r="U179" s="112">
        <v>17213</v>
      </c>
      <c r="V179" s="144"/>
      <c r="W179" s="111"/>
      <c r="X179" s="113">
        <f t="shared" si="12"/>
        <v>215494</v>
      </c>
      <c r="Y179" s="111"/>
      <c r="Z179" s="111"/>
      <c r="AA179" s="116"/>
      <c r="AB179" s="111"/>
      <c r="AC179" s="113">
        <f t="shared" si="13"/>
        <v>0</v>
      </c>
      <c r="AD179" s="111"/>
      <c r="AE179" s="111"/>
      <c r="AF179" s="112"/>
      <c r="AG179" s="117"/>
      <c r="AH179" s="111"/>
      <c r="AI179" s="112"/>
      <c r="AJ179" s="112"/>
      <c r="AK179" s="113">
        <f t="shared" si="14"/>
        <v>0</v>
      </c>
      <c r="AL179" s="118"/>
      <c r="AM179" s="119"/>
      <c r="AN179" s="119"/>
      <c r="AO179" s="120"/>
    </row>
    <row r="180" spans="1:41" s="121" customFormat="1" ht="16.5" customHeight="1">
      <c r="A180" s="104" t="s">
        <v>2134</v>
      </c>
      <c r="B180" s="105" t="s">
        <v>2546</v>
      </c>
      <c r="C180" s="106" t="s">
        <v>1092</v>
      </c>
      <c r="D180" s="106" t="s">
        <v>2415</v>
      </c>
      <c r="E180" s="71" t="s">
        <v>1093</v>
      </c>
      <c r="F180" s="71" t="s">
        <v>170</v>
      </c>
      <c r="G180" s="150" t="s">
        <v>2188</v>
      </c>
      <c r="H180" s="110">
        <f>1256+9</f>
        <v>1265</v>
      </c>
      <c r="I180" s="111"/>
      <c r="J180" s="112">
        <v>2</v>
      </c>
      <c r="K180" s="113">
        <f t="shared" si="11"/>
        <v>1267</v>
      </c>
      <c r="L180" s="111">
        <v>1014</v>
      </c>
      <c r="M180" s="111">
        <v>858</v>
      </c>
      <c r="N180" s="112"/>
      <c r="O180" s="111">
        <v>351</v>
      </c>
      <c r="P180" s="151">
        <v>3</v>
      </c>
      <c r="Q180" s="111">
        <v>8509</v>
      </c>
      <c r="R180" s="115">
        <v>8111</v>
      </c>
      <c r="S180" s="115">
        <v>1001</v>
      </c>
      <c r="T180" s="111">
        <f t="shared" si="10"/>
        <v>34639</v>
      </c>
      <c r="U180" s="112">
        <f>378+1204</f>
        <v>1582</v>
      </c>
      <c r="V180" s="117">
        <v>19</v>
      </c>
      <c r="W180" s="111"/>
      <c r="X180" s="113">
        <f t="shared" si="12"/>
        <v>38463</v>
      </c>
      <c r="Y180" s="111"/>
      <c r="Z180" s="111"/>
      <c r="AA180" s="116"/>
      <c r="AB180" s="111"/>
      <c r="AC180" s="113">
        <f t="shared" si="13"/>
        <v>0</v>
      </c>
      <c r="AD180" s="111"/>
      <c r="AE180" s="111"/>
      <c r="AF180" s="112"/>
      <c r="AG180" s="117"/>
      <c r="AH180" s="111"/>
      <c r="AI180" s="112"/>
      <c r="AJ180" s="112"/>
      <c r="AK180" s="113">
        <f t="shared" si="14"/>
        <v>0</v>
      </c>
      <c r="AL180" s="118"/>
      <c r="AM180" s="119"/>
      <c r="AN180" s="119"/>
      <c r="AO180" s="120"/>
    </row>
    <row r="181" spans="1:41" s="121" customFormat="1" ht="16.5" customHeight="1">
      <c r="A181" s="104" t="s">
        <v>2134</v>
      </c>
      <c r="B181" s="105" t="s">
        <v>1081</v>
      </c>
      <c r="C181" s="106" t="s">
        <v>1104</v>
      </c>
      <c r="D181" s="106" t="s">
        <v>2415</v>
      </c>
      <c r="E181" s="71" t="s">
        <v>1105</v>
      </c>
      <c r="F181" s="71" t="s">
        <v>170</v>
      </c>
      <c r="G181" s="150" t="s">
        <v>2188</v>
      </c>
      <c r="H181" s="110">
        <f>146+7</f>
        <v>153</v>
      </c>
      <c r="I181" s="111"/>
      <c r="J181" s="112"/>
      <c r="K181" s="113">
        <f t="shared" si="11"/>
        <v>153</v>
      </c>
      <c r="L181" s="111">
        <v>732</v>
      </c>
      <c r="M181" s="111">
        <v>753</v>
      </c>
      <c r="N181" s="112"/>
      <c r="O181" s="111">
        <v>1451</v>
      </c>
      <c r="P181" s="151">
        <v>5</v>
      </c>
      <c r="Q181" s="111">
        <v>8509</v>
      </c>
      <c r="R181" s="115">
        <v>5593</v>
      </c>
      <c r="S181" s="115"/>
      <c r="T181" s="111">
        <f t="shared" si="10"/>
        <v>48138</v>
      </c>
      <c r="U181" s="112">
        <f>378+1395</f>
        <v>1773</v>
      </c>
      <c r="V181" s="117">
        <v>19</v>
      </c>
      <c r="W181" s="111"/>
      <c r="X181" s="113">
        <f t="shared" si="12"/>
        <v>52866</v>
      </c>
      <c r="Y181" s="111"/>
      <c r="Z181" s="111"/>
      <c r="AA181" s="116"/>
      <c r="AB181" s="111"/>
      <c r="AC181" s="113">
        <f t="shared" si="13"/>
        <v>0</v>
      </c>
      <c r="AD181" s="111"/>
      <c r="AE181" s="111"/>
      <c r="AF181" s="112"/>
      <c r="AG181" s="117"/>
      <c r="AH181" s="111"/>
      <c r="AI181" s="112"/>
      <c r="AJ181" s="112"/>
      <c r="AK181" s="113">
        <f t="shared" si="14"/>
        <v>0</v>
      </c>
      <c r="AL181" s="118"/>
      <c r="AM181" s="119"/>
      <c r="AN181" s="119"/>
      <c r="AO181" s="120"/>
    </row>
    <row r="182" spans="1:41" s="121" customFormat="1" ht="16.5" customHeight="1">
      <c r="A182" s="104" t="s">
        <v>2134</v>
      </c>
      <c r="B182" s="105" t="s">
        <v>1082</v>
      </c>
      <c r="C182" s="106" t="s">
        <v>1108</v>
      </c>
      <c r="D182" s="106" t="s">
        <v>2415</v>
      </c>
      <c r="E182" s="71" t="s">
        <v>1109</v>
      </c>
      <c r="F182" s="71" t="s">
        <v>170</v>
      </c>
      <c r="G182" s="150" t="s">
        <v>2188</v>
      </c>
      <c r="H182" s="110">
        <v>4</v>
      </c>
      <c r="I182" s="111"/>
      <c r="J182" s="112"/>
      <c r="K182" s="113">
        <f t="shared" si="11"/>
        <v>4</v>
      </c>
      <c r="L182" s="111">
        <v>848</v>
      </c>
      <c r="M182" s="111">
        <v>533</v>
      </c>
      <c r="N182" s="112"/>
      <c r="O182" s="111">
        <v>17</v>
      </c>
      <c r="P182" s="151">
        <v>2</v>
      </c>
      <c r="Q182" s="111">
        <v>8509</v>
      </c>
      <c r="R182" s="115">
        <v>11467</v>
      </c>
      <c r="S182" s="115"/>
      <c r="T182" s="111">
        <f t="shared" si="10"/>
        <v>28485</v>
      </c>
      <c r="U182" s="112">
        <f>378+1007</f>
        <v>1385</v>
      </c>
      <c r="V182" s="117">
        <v>19</v>
      </c>
      <c r="W182" s="111"/>
      <c r="X182" s="113">
        <f t="shared" si="12"/>
        <v>31287</v>
      </c>
      <c r="Y182" s="111"/>
      <c r="Z182" s="111"/>
      <c r="AA182" s="116"/>
      <c r="AB182" s="111"/>
      <c r="AC182" s="113">
        <f t="shared" si="13"/>
        <v>0</v>
      </c>
      <c r="AD182" s="111"/>
      <c r="AE182" s="111"/>
      <c r="AF182" s="112"/>
      <c r="AG182" s="117"/>
      <c r="AH182" s="111"/>
      <c r="AI182" s="112"/>
      <c r="AJ182" s="112"/>
      <c r="AK182" s="113">
        <f t="shared" si="14"/>
        <v>0</v>
      </c>
      <c r="AL182" s="118"/>
      <c r="AM182" s="119"/>
      <c r="AN182" s="119"/>
      <c r="AO182" s="120"/>
    </row>
    <row r="183" spans="1:41" s="121" customFormat="1" ht="16.5" customHeight="1">
      <c r="A183" s="104" t="s">
        <v>2134</v>
      </c>
      <c r="B183" s="105" t="s">
        <v>1966</v>
      </c>
      <c r="C183" s="106" t="s">
        <v>1113</v>
      </c>
      <c r="D183" s="106" t="s">
        <v>2415</v>
      </c>
      <c r="E183" s="71" t="s">
        <v>1114</v>
      </c>
      <c r="F183" s="71" t="s">
        <v>170</v>
      </c>
      <c r="G183" s="150" t="s">
        <v>2188</v>
      </c>
      <c r="H183" s="110">
        <v>5</v>
      </c>
      <c r="I183" s="111"/>
      <c r="J183" s="112"/>
      <c r="K183" s="113">
        <f t="shared" si="11"/>
        <v>5</v>
      </c>
      <c r="L183" s="111">
        <v>935</v>
      </c>
      <c r="M183" s="111">
        <v>633</v>
      </c>
      <c r="N183" s="112"/>
      <c r="O183" s="111">
        <v>1613</v>
      </c>
      <c r="P183" s="151">
        <v>3</v>
      </c>
      <c r="Q183" s="111">
        <v>8509</v>
      </c>
      <c r="R183" s="115">
        <v>2505</v>
      </c>
      <c r="S183" s="115"/>
      <c r="T183" s="111">
        <f t="shared" si="10"/>
        <v>28032</v>
      </c>
      <c r="U183" s="112">
        <f>378+1105</f>
        <v>1483</v>
      </c>
      <c r="V183" s="117">
        <v>19</v>
      </c>
      <c r="W183" s="111"/>
      <c r="X183" s="113">
        <f t="shared" si="12"/>
        <v>32715</v>
      </c>
      <c r="Y183" s="111"/>
      <c r="Z183" s="111"/>
      <c r="AA183" s="116"/>
      <c r="AB183" s="111"/>
      <c r="AC183" s="113">
        <f t="shared" si="13"/>
        <v>0</v>
      </c>
      <c r="AD183" s="111"/>
      <c r="AE183" s="111"/>
      <c r="AF183" s="112"/>
      <c r="AG183" s="117"/>
      <c r="AH183" s="111"/>
      <c r="AI183" s="112"/>
      <c r="AJ183" s="112"/>
      <c r="AK183" s="113">
        <f t="shared" si="14"/>
        <v>0</v>
      </c>
      <c r="AL183" s="118"/>
      <c r="AM183" s="119"/>
      <c r="AN183" s="119"/>
      <c r="AO183" s="120"/>
    </row>
    <row r="184" spans="1:41" s="121" customFormat="1" ht="16.5" customHeight="1">
      <c r="A184" s="104" t="s">
        <v>2134</v>
      </c>
      <c r="B184" s="105" t="s">
        <v>1966</v>
      </c>
      <c r="C184" s="106" t="s">
        <v>1117</v>
      </c>
      <c r="D184" s="106" t="s">
        <v>2415</v>
      </c>
      <c r="E184" s="71" t="s">
        <v>1118</v>
      </c>
      <c r="F184" s="71" t="s">
        <v>170</v>
      </c>
      <c r="G184" s="150" t="s">
        <v>2188</v>
      </c>
      <c r="H184" s="110">
        <v>5</v>
      </c>
      <c r="I184" s="111"/>
      <c r="J184" s="112"/>
      <c r="K184" s="113">
        <f t="shared" si="11"/>
        <v>5</v>
      </c>
      <c r="L184" s="111">
        <v>1324</v>
      </c>
      <c r="M184" s="111">
        <v>642</v>
      </c>
      <c r="N184" s="112"/>
      <c r="O184" s="111">
        <v>2237</v>
      </c>
      <c r="P184" s="151">
        <v>3</v>
      </c>
      <c r="Q184" s="111">
        <v>8509</v>
      </c>
      <c r="R184" s="115">
        <v>5324</v>
      </c>
      <c r="S184" s="115"/>
      <c r="T184" s="111">
        <f t="shared" si="10"/>
        <v>30851</v>
      </c>
      <c r="U184" s="112">
        <f>378+1018</f>
        <v>1396</v>
      </c>
      <c r="V184" s="117">
        <v>19</v>
      </c>
      <c r="W184" s="111"/>
      <c r="X184" s="113">
        <f t="shared" si="12"/>
        <v>36469</v>
      </c>
      <c r="Y184" s="111"/>
      <c r="Z184" s="111"/>
      <c r="AA184" s="116"/>
      <c r="AB184" s="111"/>
      <c r="AC184" s="113">
        <f t="shared" si="13"/>
        <v>0</v>
      </c>
      <c r="AD184" s="111"/>
      <c r="AE184" s="111"/>
      <c r="AF184" s="112"/>
      <c r="AG184" s="117"/>
      <c r="AH184" s="111"/>
      <c r="AI184" s="112"/>
      <c r="AJ184" s="112"/>
      <c r="AK184" s="113">
        <f t="shared" si="14"/>
        <v>0</v>
      </c>
      <c r="AL184" s="118"/>
      <c r="AM184" s="119"/>
      <c r="AN184" s="119"/>
      <c r="AO184" s="120"/>
    </row>
    <row r="185" spans="1:41" s="121" customFormat="1" ht="16.5" customHeight="1">
      <c r="A185" s="104" t="s">
        <v>2134</v>
      </c>
      <c r="B185" s="105" t="s">
        <v>1087</v>
      </c>
      <c r="C185" s="106" t="s">
        <v>1121</v>
      </c>
      <c r="D185" s="106" t="s">
        <v>2415</v>
      </c>
      <c r="E185" s="71" t="s">
        <v>1122</v>
      </c>
      <c r="F185" s="71" t="s">
        <v>170</v>
      </c>
      <c r="G185" s="150" t="s">
        <v>2188</v>
      </c>
      <c r="H185" s="110">
        <f>1256+10</f>
        <v>1266</v>
      </c>
      <c r="I185" s="111"/>
      <c r="J185" s="112"/>
      <c r="K185" s="113">
        <f t="shared" si="11"/>
        <v>1266</v>
      </c>
      <c r="L185" s="111">
        <v>1301</v>
      </c>
      <c r="M185" s="111">
        <v>742</v>
      </c>
      <c r="N185" s="112"/>
      <c r="O185" s="111">
        <v>1643</v>
      </c>
      <c r="P185" s="151">
        <v>4</v>
      </c>
      <c r="Q185" s="111">
        <v>8509</v>
      </c>
      <c r="R185" s="115">
        <v>9002</v>
      </c>
      <c r="S185" s="115"/>
      <c r="T185" s="111">
        <f t="shared" si="10"/>
        <v>43038</v>
      </c>
      <c r="U185" s="112">
        <f>378+1117</f>
        <v>1495</v>
      </c>
      <c r="V185" s="117">
        <v>19</v>
      </c>
      <c r="W185" s="111"/>
      <c r="X185" s="113">
        <f t="shared" si="12"/>
        <v>48238</v>
      </c>
      <c r="Y185" s="111"/>
      <c r="Z185" s="111"/>
      <c r="AA185" s="116"/>
      <c r="AB185" s="111"/>
      <c r="AC185" s="113">
        <f t="shared" si="13"/>
        <v>0</v>
      </c>
      <c r="AD185" s="111"/>
      <c r="AE185" s="111"/>
      <c r="AF185" s="112"/>
      <c r="AG185" s="117"/>
      <c r="AH185" s="111"/>
      <c r="AI185" s="112"/>
      <c r="AJ185" s="112"/>
      <c r="AK185" s="113">
        <f t="shared" si="14"/>
        <v>0</v>
      </c>
      <c r="AL185" s="118"/>
      <c r="AM185" s="119"/>
      <c r="AN185" s="119"/>
      <c r="AO185" s="120"/>
    </row>
    <row r="186" spans="1:41" s="121" customFormat="1" ht="16.5" customHeight="1">
      <c r="A186" s="104" t="s">
        <v>2134</v>
      </c>
      <c r="B186" s="105" t="s">
        <v>1091</v>
      </c>
      <c r="C186" s="106" t="s">
        <v>1125</v>
      </c>
      <c r="D186" s="106" t="s">
        <v>2415</v>
      </c>
      <c r="E186" s="71" t="s">
        <v>1126</v>
      </c>
      <c r="F186" s="71" t="s">
        <v>170</v>
      </c>
      <c r="G186" s="150" t="s">
        <v>2188</v>
      </c>
      <c r="H186" s="110">
        <v>9</v>
      </c>
      <c r="I186" s="111"/>
      <c r="J186" s="112"/>
      <c r="K186" s="113">
        <f t="shared" si="11"/>
        <v>9</v>
      </c>
      <c r="L186" s="111">
        <v>1134</v>
      </c>
      <c r="M186" s="111">
        <v>1068</v>
      </c>
      <c r="N186" s="112"/>
      <c r="O186" s="111">
        <v>937</v>
      </c>
      <c r="P186" s="151">
        <v>4</v>
      </c>
      <c r="Q186" s="111">
        <v>8509</v>
      </c>
      <c r="R186" s="115">
        <v>9139</v>
      </c>
      <c r="S186" s="115"/>
      <c r="T186" s="111">
        <f t="shared" si="10"/>
        <v>43175</v>
      </c>
      <c r="U186" s="112">
        <f>378+1081</f>
        <v>1459</v>
      </c>
      <c r="V186" s="117">
        <v>19</v>
      </c>
      <c r="W186" s="111"/>
      <c r="X186" s="113">
        <f t="shared" si="12"/>
        <v>47792</v>
      </c>
      <c r="Y186" s="111"/>
      <c r="Z186" s="111"/>
      <c r="AA186" s="116"/>
      <c r="AB186" s="111"/>
      <c r="AC186" s="113">
        <f t="shared" si="13"/>
        <v>0</v>
      </c>
      <c r="AD186" s="111"/>
      <c r="AE186" s="111"/>
      <c r="AF186" s="112"/>
      <c r="AG186" s="117"/>
      <c r="AH186" s="111"/>
      <c r="AI186" s="112"/>
      <c r="AJ186" s="112"/>
      <c r="AK186" s="113">
        <f t="shared" si="14"/>
        <v>0</v>
      </c>
      <c r="AL186" s="118"/>
      <c r="AM186" s="119"/>
      <c r="AN186" s="119"/>
      <c r="AO186" s="120"/>
    </row>
    <row r="187" spans="1:41" s="121" customFormat="1" ht="16.5" customHeight="1">
      <c r="A187" s="104" t="s">
        <v>2134</v>
      </c>
      <c r="B187" s="105" t="s">
        <v>1100</v>
      </c>
      <c r="C187" s="106" t="s">
        <v>1129</v>
      </c>
      <c r="D187" s="106" t="s">
        <v>2415</v>
      </c>
      <c r="E187" s="71" t="s">
        <v>1130</v>
      </c>
      <c r="F187" s="71" t="s">
        <v>170</v>
      </c>
      <c r="G187" s="150" t="s">
        <v>2188</v>
      </c>
      <c r="H187" s="110">
        <v>8</v>
      </c>
      <c r="I187" s="111"/>
      <c r="J187" s="112">
        <v>29</v>
      </c>
      <c r="K187" s="113">
        <f t="shared" si="11"/>
        <v>37</v>
      </c>
      <c r="L187" s="111">
        <v>1064</v>
      </c>
      <c r="M187" s="111">
        <v>646</v>
      </c>
      <c r="N187" s="112"/>
      <c r="O187" s="111">
        <v>2390</v>
      </c>
      <c r="P187" s="151">
        <v>5</v>
      </c>
      <c r="Q187" s="111">
        <v>8509</v>
      </c>
      <c r="R187" s="115">
        <v>9435</v>
      </c>
      <c r="S187" s="115">
        <v>1143</v>
      </c>
      <c r="T187" s="111">
        <f t="shared" si="10"/>
        <v>53123</v>
      </c>
      <c r="U187" s="112">
        <f>378+1188</f>
        <v>1566</v>
      </c>
      <c r="V187" s="117">
        <v>19</v>
      </c>
      <c r="W187" s="111"/>
      <c r="X187" s="113">
        <f t="shared" si="12"/>
        <v>58808</v>
      </c>
      <c r="Y187" s="111"/>
      <c r="Z187" s="111"/>
      <c r="AA187" s="116"/>
      <c r="AB187" s="111"/>
      <c r="AC187" s="113">
        <f t="shared" si="13"/>
        <v>0</v>
      </c>
      <c r="AD187" s="111"/>
      <c r="AE187" s="111"/>
      <c r="AF187" s="112"/>
      <c r="AG187" s="117"/>
      <c r="AH187" s="111"/>
      <c r="AI187" s="112"/>
      <c r="AJ187" s="112"/>
      <c r="AK187" s="113">
        <f t="shared" si="14"/>
        <v>0</v>
      </c>
      <c r="AL187" s="118"/>
      <c r="AM187" s="119"/>
      <c r="AN187" s="119"/>
      <c r="AO187" s="120"/>
    </row>
    <row r="188" spans="1:41" s="121" customFormat="1" ht="16.5" customHeight="1">
      <c r="A188" s="104" t="s">
        <v>2134</v>
      </c>
      <c r="B188" s="105" t="s">
        <v>1101</v>
      </c>
      <c r="C188" s="152" t="s">
        <v>2094</v>
      </c>
      <c r="D188" s="106" t="s">
        <v>2415</v>
      </c>
      <c r="E188" s="153" t="s">
        <v>2140</v>
      </c>
      <c r="F188" s="71" t="s">
        <v>170</v>
      </c>
      <c r="G188" s="150" t="s">
        <v>2188</v>
      </c>
      <c r="H188" s="110"/>
      <c r="I188" s="111"/>
      <c r="J188" s="112"/>
      <c r="K188" s="113">
        <f t="shared" si="11"/>
        <v>0</v>
      </c>
      <c r="L188" s="111"/>
      <c r="M188" s="111"/>
      <c r="N188" s="112"/>
      <c r="O188" s="111"/>
      <c r="P188" s="114"/>
      <c r="Q188" s="111">
        <v>8509</v>
      </c>
      <c r="R188" s="115"/>
      <c r="S188" s="115"/>
      <c r="T188" s="111">
        <f t="shared" si="10"/>
        <v>0</v>
      </c>
      <c r="U188" s="112"/>
      <c r="V188" s="116"/>
      <c r="W188" s="111"/>
      <c r="X188" s="113">
        <f t="shared" si="12"/>
        <v>0</v>
      </c>
      <c r="Y188" s="111"/>
      <c r="Z188" s="111"/>
      <c r="AA188" s="116"/>
      <c r="AB188" s="111"/>
      <c r="AC188" s="113">
        <f t="shared" si="13"/>
        <v>0</v>
      </c>
      <c r="AD188" s="111"/>
      <c r="AE188" s="111"/>
      <c r="AF188" s="112"/>
      <c r="AG188" s="117"/>
      <c r="AH188" s="111"/>
      <c r="AI188" s="112"/>
      <c r="AJ188" s="112"/>
      <c r="AK188" s="113">
        <f t="shared" si="14"/>
        <v>0</v>
      </c>
      <c r="AL188" s="118"/>
      <c r="AM188" s="119"/>
      <c r="AN188" s="119"/>
      <c r="AO188" s="120"/>
    </row>
    <row r="189" spans="1:41" s="121" customFormat="1" ht="16.5" customHeight="1">
      <c r="A189" s="104" t="s">
        <v>2134</v>
      </c>
      <c r="B189" s="105" t="s">
        <v>1102</v>
      </c>
      <c r="C189" s="152" t="s">
        <v>2095</v>
      </c>
      <c r="D189" s="106" t="s">
        <v>2415</v>
      </c>
      <c r="E189" s="153" t="s">
        <v>2139</v>
      </c>
      <c r="F189" s="71" t="s">
        <v>170</v>
      </c>
      <c r="G189" s="150" t="s">
        <v>2188</v>
      </c>
      <c r="H189" s="110"/>
      <c r="I189" s="111"/>
      <c r="J189" s="112"/>
      <c r="K189" s="113">
        <f t="shared" si="11"/>
        <v>0</v>
      </c>
      <c r="L189" s="111"/>
      <c r="M189" s="111"/>
      <c r="N189" s="112"/>
      <c r="O189" s="111"/>
      <c r="P189" s="114"/>
      <c r="Q189" s="111">
        <v>8509</v>
      </c>
      <c r="R189" s="115"/>
      <c r="S189" s="115"/>
      <c r="T189" s="111">
        <f t="shared" si="10"/>
        <v>0</v>
      </c>
      <c r="U189" s="112"/>
      <c r="V189" s="116"/>
      <c r="W189" s="111"/>
      <c r="X189" s="113">
        <f t="shared" si="12"/>
        <v>0</v>
      </c>
      <c r="Y189" s="111"/>
      <c r="Z189" s="111"/>
      <c r="AA189" s="116"/>
      <c r="AB189" s="111"/>
      <c r="AC189" s="113">
        <f t="shared" si="13"/>
        <v>0</v>
      </c>
      <c r="AD189" s="111"/>
      <c r="AE189" s="111"/>
      <c r="AF189" s="112"/>
      <c r="AG189" s="117"/>
      <c r="AH189" s="111"/>
      <c r="AI189" s="112"/>
      <c r="AJ189" s="112"/>
      <c r="AK189" s="113">
        <f t="shared" si="14"/>
        <v>0</v>
      </c>
      <c r="AL189" s="118"/>
      <c r="AM189" s="119"/>
      <c r="AN189" s="119"/>
      <c r="AO189" s="120"/>
    </row>
    <row r="190" spans="1:41" s="121" customFormat="1" ht="16.5" customHeight="1">
      <c r="A190" s="104" t="s">
        <v>2134</v>
      </c>
      <c r="B190" s="105" t="s">
        <v>126</v>
      </c>
      <c r="C190" s="152" t="s">
        <v>2096</v>
      </c>
      <c r="D190" s="106" t="s">
        <v>2415</v>
      </c>
      <c r="E190" s="153" t="s">
        <v>2427</v>
      </c>
      <c r="F190" s="71" t="s">
        <v>170</v>
      </c>
      <c r="G190" s="150" t="s">
        <v>2188</v>
      </c>
      <c r="H190" s="110"/>
      <c r="I190" s="111"/>
      <c r="J190" s="112"/>
      <c r="K190" s="113">
        <f t="shared" si="11"/>
        <v>0</v>
      </c>
      <c r="L190" s="111"/>
      <c r="M190" s="111"/>
      <c r="N190" s="112"/>
      <c r="O190" s="111"/>
      <c r="P190" s="114"/>
      <c r="Q190" s="111">
        <v>8509</v>
      </c>
      <c r="R190" s="115"/>
      <c r="S190" s="115"/>
      <c r="T190" s="111">
        <f t="shared" si="10"/>
        <v>0</v>
      </c>
      <c r="U190" s="112"/>
      <c r="V190" s="116"/>
      <c r="W190" s="111"/>
      <c r="X190" s="113">
        <f t="shared" si="12"/>
        <v>0</v>
      </c>
      <c r="Y190" s="111"/>
      <c r="Z190" s="111"/>
      <c r="AA190" s="116"/>
      <c r="AB190" s="111"/>
      <c r="AC190" s="113">
        <f t="shared" si="13"/>
        <v>0</v>
      </c>
      <c r="AD190" s="111"/>
      <c r="AE190" s="111"/>
      <c r="AF190" s="112"/>
      <c r="AG190" s="117"/>
      <c r="AH190" s="111"/>
      <c r="AI190" s="112"/>
      <c r="AJ190" s="112"/>
      <c r="AK190" s="113">
        <f t="shared" si="14"/>
        <v>0</v>
      </c>
      <c r="AL190" s="118"/>
      <c r="AM190" s="119"/>
      <c r="AN190" s="119"/>
      <c r="AO190" s="120"/>
    </row>
    <row r="191" spans="1:41" s="121" customFormat="1" ht="16.5" customHeight="1">
      <c r="A191" s="104" t="s">
        <v>2134</v>
      </c>
      <c r="B191" s="105" t="s">
        <v>1103</v>
      </c>
      <c r="C191" s="106" t="s">
        <v>1133</v>
      </c>
      <c r="D191" s="106" t="s">
        <v>2415</v>
      </c>
      <c r="E191" s="71" t="s">
        <v>1134</v>
      </c>
      <c r="F191" s="71" t="s">
        <v>139</v>
      </c>
      <c r="G191" s="109" t="s">
        <v>1135</v>
      </c>
      <c r="H191" s="110">
        <v>0</v>
      </c>
      <c r="I191" s="112">
        <v>0</v>
      </c>
      <c r="J191" s="112">
        <v>0</v>
      </c>
      <c r="K191" s="113">
        <f t="shared" si="11"/>
        <v>0</v>
      </c>
      <c r="L191" s="115">
        <v>0</v>
      </c>
      <c r="M191" s="115">
        <v>0</v>
      </c>
      <c r="N191" s="115">
        <v>0</v>
      </c>
      <c r="O191" s="115">
        <v>0</v>
      </c>
      <c r="P191" s="122">
        <v>0.15</v>
      </c>
      <c r="Q191" s="111">
        <v>8509</v>
      </c>
      <c r="R191" s="112">
        <v>0</v>
      </c>
      <c r="S191" s="112">
        <v>0</v>
      </c>
      <c r="T191" s="111">
        <f t="shared" si="10"/>
        <v>1276</v>
      </c>
      <c r="U191" s="115">
        <v>0</v>
      </c>
      <c r="V191" s="144">
        <v>0</v>
      </c>
      <c r="W191" s="111">
        <v>29908</v>
      </c>
      <c r="X191" s="113">
        <f t="shared" si="12"/>
        <v>31184</v>
      </c>
      <c r="Y191" s="111">
        <v>0</v>
      </c>
      <c r="Z191" s="111">
        <v>0</v>
      </c>
      <c r="AA191" s="116">
        <v>0</v>
      </c>
      <c r="AB191" s="111">
        <v>29908</v>
      </c>
      <c r="AC191" s="113">
        <f t="shared" si="13"/>
        <v>29908</v>
      </c>
      <c r="AD191" s="111">
        <v>5497</v>
      </c>
      <c r="AE191" s="111">
        <v>8753</v>
      </c>
      <c r="AF191" s="112">
        <v>0</v>
      </c>
      <c r="AG191" s="117">
        <v>297</v>
      </c>
      <c r="AH191" s="111">
        <v>12247</v>
      </c>
      <c r="AI191" s="112">
        <v>2179</v>
      </c>
      <c r="AJ191" s="112">
        <v>114</v>
      </c>
      <c r="AK191" s="113">
        <f t="shared" si="14"/>
        <v>29087</v>
      </c>
      <c r="AL191" s="118"/>
      <c r="AM191" s="119"/>
      <c r="AN191" s="119"/>
      <c r="AO191" s="120"/>
    </row>
    <row r="192" spans="1:41" s="121" customFormat="1" ht="16.5" customHeight="1">
      <c r="A192" s="104" t="s">
        <v>2134</v>
      </c>
      <c r="B192" s="105" t="s">
        <v>80</v>
      </c>
      <c r="C192" s="106" t="s">
        <v>1146</v>
      </c>
      <c r="D192" s="106" t="s">
        <v>2415</v>
      </c>
      <c r="E192" s="71" t="s">
        <v>1147</v>
      </c>
      <c r="F192" s="71" t="s">
        <v>139</v>
      </c>
      <c r="G192" s="109" t="s">
        <v>1135</v>
      </c>
      <c r="H192" s="110">
        <v>0</v>
      </c>
      <c r="I192" s="112">
        <v>0</v>
      </c>
      <c r="J192" s="112">
        <v>0</v>
      </c>
      <c r="K192" s="113">
        <f t="shared" si="11"/>
        <v>0</v>
      </c>
      <c r="L192" s="115">
        <v>0</v>
      </c>
      <c r="M192" s="115">
        <v>0</v>
      </c>
      <c r="N192" s="115">
        <v>0</v>
      </c>
      <c r="O192" s="115">
        <v>407</v>
      </c>
      <c r="P192" s="122">
        <v>0.28000000000000003</v>
      </c>
      <c r="Q192" s="111">
        <v>8509</v>
      </c>
      <c r="R192" s="112">
        <v>0</v>
      </c>
      <c r="S192" s="112">
        <v>0</v>
      </c>
      <c r="T192" s="111">
        <f t="shared" si="10"/>
        <v>2383</v>
      </c>
      <c r="U192" s="115">
        <v>1224</v>
      </c>
      <c r="V192" s="144">
        <v>0</v>
      </c>
      <c r="W192" s="111">
        <v>54809</v>
      </c>
      <c r="X192" s="113">
        <f t="shared" si="12"/>
        <v>58823</v>
      </c>
      <c r="Y192" s="111">
        <v>352</v>
      </c>
      <c r="Z192" s="111">
        <v>1507</v>
      </c>
      <c r="AA192" s="116">
        <v>167</v>
      </c>
      <c r="AB192" s="111">
        <v>54809</v>
      </c>
      <c r="AC192" s="113">
        <f t="shared" si="13"/>
        <v>56835</v>
      </c>
      <c r="AD192" s="111">
        <v>8928</v>
      </c>
      <c r="AE192" s="111">
        <v>19249</v>
      </c>
      <c r="AF192" s="112">
        <v>0</v>
      </c>
      <c r="AG192" s="117">
        <v>1440</v>
      </c>
      <c r="AH192" s="111">
        <v>16702</v>
      </c>
      <c r="AI192" s="112">
        <v>5650</v>
      </c>
      <c r="AJ192" s="112">
        <v>3086</v>
      </c>
      <c r="AK192" s="113">
        <f t="shared" si="14"/>
        <v>55055</v>
      </c>
      <c r="AL192" s="118"/>
      <c r="AM192" s="119"/>
      <c r="AN192" s="119"/>
      <c r="AO192" s="120"/>
    </row>
    <row r="193" spans="1:41" s="121" customFormat="1" ht="16.5" customHeight="1">
      <c r="A193" s="104" t="s">
        <v>2134</v>
      </c>
      <c r="B193" s="105" t="s">
        <v>1107</v>
      </c>
      <c r="C193" s="106" t="s">
        <v>1156</v>
      </c>
      <c r="D193" s="106" t="s">
        <v>2415</v>
      </c>
      <c r="E193" s="71" t="s">
        <v>1157</v>
      </c>
      <c r="F193" s="71" t="s">
        <v>139</v>
      </c>
      <c r="G193" s="109" t="s">
        <v>1135</v>
      </c>
      <c r="H193" s="110">
        <v>0</v>
      </c>
      <c r="I193" s="112">
        <v>0</v>
      </c>
      <c r="J193" s="112">
        <v>0</v>
      </c>
      <c r="K193" s="113">
        <f t="shared" si="11"/>
        <v>0</v>
      </c>
      <c r="L193" s="115">
        <v>0</v>
      </c>
      <c r="M193" s="115">
        <v>0</v>
      </c>
      <c r="N193" s="115">
        <v>0</v>
      </c>
      <c r="O193" s="115">
        <v>1073</v>
      </c>
      <c r="P193" s="122">
        <v>0.2</v>
      </c>
      <c r="Q193" s="111">
        <v>8509</v>
      </c>
      <c r="R193" s="112">
        <v>0</v>
      </c>
      <c r="S193" s="112">
        <v>0</v>
      </c>
      <c r="T193" s="111">
        <f t="shared" si="10"/>
        <v>1702</v>
      </c>
      <c r="U193" s="115">
        <v>0</v>
      </c>
      <c r="V193" s="144">
        <v>0</v>
      </c>
      <c r="W193" s="111">
        <v>31266</v>
      </c>
      <c r="X193" s="113">
        <f t="shared" si="12"/>
        <v>34041</v>
      </c>
      <c r="Y193" s="111">
        <v>119</v>
      </c>
      <c r="Z193" s="111">
        <v>5854</v>
      </c>
      <c r="AA193" s="116">
        <v>295</v>
      </c>
      <c r="AB193" s="111">
        <v>31266</v>
      </c>
      <c r="AC193" s="113">
        <f t="shared" si="13"/>
        <v>37534</v>
      </c>
      <c r="AD193" s="111">
        <v>5038</v>
      </c>
      <c r="AE193" s="111">
        <v>2586</v>
      </c>
      <c r="AF193" s="112">
        <v>0</v>
      </c>
      <c r="AG193" s="117">
        <v>656</v>
      </c>
      <c r="AH193" s="111">
        <v>19469</v>
      </c>
      <c r="AI193" s="112">
        <v>9640</v>
      </c>
      <c r="AJ193" s="112">
        <v>143</v>
      </c>
      <c r="AK193" s="113">
        <f t="shared" si="14"/>
        <v>37532</v>
      </c>
      <c r="AL193" s="118"/>
      <c r="AM193" s="119"/>
      <c r="AN193" s="119"/>
      <c r="AO193" s="120"/>
    </row>
    <row r="194" spans="1:41" s="121" customFormat="1" ht="16.5" customHeight="1">
      <c r="A194" s="104" t="s">
        <v>2134</v>
      </c>
      <c r="B194" s="105" t="s">
        <v>1111</v>
      </c>
      <c r="C194" s="106" t="s">
        <v>1165</v>
      </c>
      <c r="D194" s="106" t="s">
        <v>2415</v>
      </c>
      <c r="E194" s="71" t="s">
        <v>1166</v>
      </c>
      <c r="F194" s="71" t="s">
        <v>139</v>
      </c>
      <c r="G194" s="109" t="s">
        <v>1135</v>
      </c>
      <c r="H194" s="110">
        <v>0</v>
      </c>
      <c r="I194" s="112">
        <v>0</v>
      </c>
      <c r="J194" s="112">
        <v>0</v>
      </c>
      <c r="K194" s="113">
        <f t="shared" si="11"/>
        <v>0</v>
      </c>
      <c r="L194" s="115">
        <v>0</v>
      </c>
      <c r="M194" s="115">
        <v>0</v>
      </c>
      <c r="N194" s="115">
        <v>0</v>
      </c>
      <c r="O194" s="111">
        <v>0</v>
      </c>
      <c r="P194" s="122">
        <v>0.04</v>
      </c>
      <c r="Q194" s="111">
        <v>8509</v>
      </c>
      <c r="R194" s="112">
        <v>0</v>
      </c>
      <c r="S194" s="112">
        <v>0</v>
      </c>
      <c r="T194" s="111">
        <f t="shared" si="10"/>
        <v>340</v>
      </c>
      <c r="U194" s="115">
        <v>0</v>
      </c>
      <c r="V194" s="144">
        <v>0</v>
      </c>
      <c r="W194" s="111">
        <v>100</v>
      </c>
      <c r="X194" s="113">
        <f t="shared" si="12"/>
        <v>440</v>
      </c>
      <c r="Y194" s="111">
        <v>0</v>
      </c>
      <c r="Z194" s="111">
        <v>0</v>
      </c>
      <c r="AA194" s="116">
        <v>0</v>
      </c>
      <c r="AB194" s="111">
        <v>100</v>
      </c>
      <c r="AC194" s="113">
        <f t="shared" si="13"/>
        <v>100</v>
      </c>
      <c r="AD194" s="111">
        <v>0</v>
      </c>
      <c r="AE194" s="111">
        <v>0</v>
      </c>
      <c r="AF194" s="112">
        <v>0</v>
      </c>
      <c r="AG194" s="117">
        <v>0</v>
      </c>
      <c r="AH194" s="111">
        <v>0</v>
      </c>
      <c r="AI194" s="112">
        <v>101</v>
      </c>
      <c r="AJ194" s="112">
        <v>0</v>
      </c>
      <c r="AK194" s="113">
        <f t="shared" si="14"/>
        <v>101</v>
      </c>
      <c r="AL194" s="118"/>
      <c r="AM194" s="119"/>
      <c r="AN194" s="119"/>
      <c r="AO194" s="120"/>
    </row>
    <row r="195" spans="1:41" s="121" customFormat="1" ht="16.5" customHeight="1">
      <c r="A195" s="104" t="s">
        <v>2134</v>
      </c>
      <c r="B195" s="105" t="s">
        <v>1112</v>
      </c>
      <c r="C195" s="106" t="s">
        <v>1171</v>
      </c>
      <c r="D195" s="106" t="s">
        <v>2415</v>
      </c>
      <c r="E195" s="71" t="s">
        <v>1172</v>
      </c>
      <c r="F195" s="71" t="s">
        <v>78</v>
      </c>
      <c r="G195" s="109" t="s">
        <v>156</v>
      </c>
      <c r="H195" s="110">
        <v>8356</v>
      </c>
      <c r="I195" s="112">
        <v>0</v>
      </c>
      <c r="J195" s="112">
        <v>0</v>
      </c>
      <c r="K195" s="113">
        <f t="shared" si="11"/>
        <v>8356</v>
      </c>
      <c r="L195" s="111">
        <v>8093</v>
      </c>
      <c r="M195" s="111">
        <v>3362</v>
      </c>
      <c r="N195" s="115">
        <v>0</v>
      </c>
      <c r="O195" s="111"/>
      <c r="P195" s="114">
        <v>0.62</v>
      </c>
      <c r="Q195" s="111">
        <v>8509</v>
      </c>
      <c r="R195" s="112"/>
      <c r="S195" s="115">
        <v>1951</v>
      </c>
      <c r="T195" s="111">
        <f t="shared" si="10"/>
        <v>7227</v>
      </c>
      <c r="U195" s="112">
        <v>401</v>
      </c>
      <c r="V195" s="144">
        <v>27742</v>
      </c>
      <c r="W195" s="112"/>
      <c r="X195" s="113">
        <f t="shared" si="12"/>
        <v>46825</v>
      </c>
      <c r="Y195" s="111"/>
      <c r="Z195" s="111"/>
      <c r="AA195" s="116"/>
      <c r="AB195" s="111"/>
      <c r="AC195" s="113">
        <f t="shared" si="13"/>
        <v>0</v>
      </c>
      <c r="AD195" s="111"/>
      <c r="AE195" s="111"/>
      <c r="AF195" s="112"/>
      <c r="AG195" s="117"/>
      <c r="AH195" s="111"/>
      <c r="AI195" s="112"/>
      <c r="AJ195" s="112"/>
      <c r="AK195" s="113">
        <f t="shared" si="14"/>
        <v>0</v>
      </c>
      <c r="AL195" s="118"/>
      <c r="AM195" s="119"/>
      <c r="AN195" s="119"/>
      <c r="AO195" s="120"/>
    </row>
    <row r="196" spans="1:41" s="121" customFormat="1" ht="16.5" customHeight="1">
      <c r="A196" s="104" t="s">
        <v>2134</v>
      </c>
      <c r="B196" s="105" t="s">
        <v>1116</v>
      </c>
      <c r="C196" s="106" t="s">
        <v>1178</v>
      </c>
      <c r="D196" s="106" t="s">
        <v>2415</v>
      </c>
      <c r="E196" s="71" t="s">
        <v>1179</v>
      </c>
      <c r="F196" s="71" t="s">
        <v>139</v>
      </c>
      <c r="G196" s="109" t="s">
        <v>1180</v>
      </c>
      <c r="H196" s="110">
        <v>242</v>
      </c>
      <c r="I196" s="112">
        <v>467</v>
      </c>
      <c r="J196" s="112">
        <v>0</v>
      </c>
      <c r="K196" s="113">
        <f t="shared" si="11"/>
        <v>709</v>
      </c>
      <c r="L196" s="115">
        <v>0</v>
      </c>
      <c r="M196" s="115">
        <v>0</v>
      </c>
      <c r="N196" s="115">
        <v>0</v>
      </c>
      <c r="O196" s="115">
        <v>725</v>
      </c>
      <c r="P196" s="114">
        <v>0.3</v>
      </c>
      <c r="Q196" s="111">
        <v>8509</v>
      </c>
      <c r="R196" s="112">
        <v>0</v>
      </c>
      <c r="S196" s="112">
        <v>0</v>
      </c>
      <c r="T196" s="111">
        <f t="shared" ref="T196:T256" si="19">ROUND(P196*Q196,0)+R196+S196</f>
        <v>2553</v>
      </c>
      <c r="U196" s="115">
        <v>246</v>
      </c>
      <c r="V196" s="144">
        <v>0</v>
      </c>
      <c r="W196" s="111">
        <v>56971</v>
      </c>
      <c r="X196" s="113">
        <f t="shared" si="12"/>
        <v>60495</v>
      </c>
      <c r="Y196" s="111">
        <v>775</v>
      </c>
      <c r="Z196" s="111">
        <v>419</v>
      </c>
      <c r="AA196" s="116">
        <v>10</v>
      </c>
      <c r="AB196" s="111">
        <v>56971</v>
      </c>
      <c r="AC196" s="113">
        <f t="shared" si="13"/>
        <v>58175</v>
      </c>
      <c r="AD196" s="111">
        <v>5957</v>
      </c>
      <c r="AE196" s="111">
        <v>15638</v>
      </c>
      <c r="AF196" s="112">
        <v>1169</v>
      </c>
      <c r="AG196" s="117">
        <v>330</v>
      </c>
      <c r="AH196" s="111">
        <v>26620</v>
      </c>
      <c r="AI196" s="112">
        <v>5711</v>
      </c>
      <c r="AJ196" s="112">
        <v>1126</v>
      </c>
      <c r="AK196" s="113">
        <f t="shared" si="14"/>
        <v>56551</v>
      </c>
      <c r="AL196" s="118"/>
      <c r="AM196" s="119"/>
      <c r="AN196" s="119"/>
      <c r="AO196" s="120"/>
    </row>
    <row r="197" spans="1:41" s="121" customFormat="1" ht="16.5" customHeight="1">
      <c r="A197" s="104" t="s">
        <v>2134</v>
      </c>
      <c r="B197" s="105" t="s">
        <v>1119</v>
      </c>
      <c r="C197" s="106" t="s">
        <v>1190</v>
      </c>
      <c r="D197" s="106" t="s">
        <v>2415</v>
      </c>
      <c r="E197" s="71" t="s">
        <v>1191</v>
      </c>
      <c r="F197" s="71" t="s">
        <v>139</v>
      </c>
      <c r="G197" s="109" t="s">
        <v>1180</v>
      </c>
      <c r="H197" s="110">
        <v>0</v>
      </c>
      <c r="I197" s="111">
        <v>85303</v>
      </c>
      <c r="J197" s="112">
        <v>0</v>
      </c>
      <c r="K197" s="113">
        <f t="shared" ref="K197:K256" si="20">SUBTOTAL(9,H197:J197)</f>
        <v>85303</v>
      </c>
      <c r="L197" s="115">
        <v>0</v>
      </c>
      <c r="M197" s="115">
        <v>0</v>
      </c>
      <c r="N197" s="115">
        <v>0</v>
      </c>
      <c r="O197" s="111">
        <v>12258</v>
      </c>
      <c r="P197" s="114">
        <v>0.22</v>
      </c>
      <c r="Q197" s="111">
        <v>8509</v>
      </c>
      <c r="R197" s="112">
        <v>0</v>
      </c>
      <c r="S197" s="112">
        <v>0</v>
      </c>
      <c r="T197" s="111">
        <f t="shared" si="19"/>
        <v>1872</v>
      </c>
      <c r="U197" s="112">
        <v>61</v>
      </c>
      <c r="V197" s="144">
        <v>0</v>
      </c>
      <c r="W197" s="111">
        <v>156295</v>
      </c>
      <c r="X197" s="113">
        <f t="shared" ref="X197:X256" si="21">SUBTOTAL(9,L197:O197,T197:W197)</f>
        <v>170486</v>
      </c>
      <c r="Y197" s="111">
        <v>4821</v>
      </c>
      <c r="Z197" s="111">
        <v>0</v>
      </c>
      <c r="AA197" s="116">
        <v>1</v>
      </c>
      <c r="AB197" s="111">
        <v>156295</v>
      </c>
      <c r="AC197" s="113">
        <f t="shared" ref="AC197:AC256" si="22">SUBTOTAL(9,Y197:AB197)</f>
        <v>161117</v>
      </c>
      <c r="AD197" s="111">
        <v>3957</v>
      </c>
      <c r="AE197" s="111">
        <v>10811</v>
      </c>
      <c r="AF197" s="112">
        <v>0</v>
      </c>
      <c r="AG197" s="117">
        <v>217</v>
      </c>
      <c r="AH197" s="111">
        <v>135391</v>
      </c>
      <c r="AI197" s="112">
        <v>8673</v>
      </c>
      <c r="AJ197" s="112">
        <v>1309</v>
      </c>
      <c r="AK197" s="113">
        <f t="shared" ref="AK197:AK256" si="23">SUBTOTAL(9,AD197:AJ197)</f>
        <v>160358</v>
      </c>
      <c r="AL197" s="118"/>
      <c r="AM197" s="119"/>
      <c r="AN197" s="119"/>
      <c r="AO197" s="120"/>
    </row>
    <row r="198" spans="1:41" s="121" customFormat="1" ht="16.5" customHeight="1">
      <c r="A198" s="104" t="s">
        <v>2134</v>
      </c>
      <c r="B198" s="105" t="s">
        <v>1120</v>
      </c>
      <c r="C198" s="106" t="s">
        <v>1199</v>
      </c>
      <c r="D198" s="106" t="s">
        <v>2415</v>
      </c>
      <c r="E198" s="71" t="s">
        <v>1200</v>
      </c>
      <c r="F198" s="71" t="s">
        <v>170</v>
      </c>
      <c r="G198" s="109" t="s">
        <v>2132</v>
      </c>
      <c r="H198" s="110">
        <v>176147</v>
      </c>
      <c r="I198" s="111">
        <v>161</v>
      </c>
      <c r="J198" s="112">
        <v>4573</v>
      </c>
      <c r="K198" s="113">
        <f t="shared" si="20"/>
        <v>180881</v>
      </c>
      <c r="L198" s="111">
        <v>3923</v>
      </c>
      <c r="M198" s="111">
        <v>7593</v>
      </c>
      <c r="N198" s="112">
        <v>0</v>
      </c>
      <c r="O198" s="111">
        <v>219</v>
      </c>
      <c r="P198" s="114">
        <v>27.25</v>
      </c>
      <c r="Q198" s="111">
        <v>8509</v>
      </c>
      <c r="R198" s="115">
        <v>64879</v>
      </c>
      <c r="S198" s="115">
        <v>53399</v>
      </c>
      <c r="T198" s="111">
        <f t="shared" si="19"/>
        <v>350148</v>
      </c>
      <c r="U198" s="112">
        <v>38129</v>
      </c>
      <c r="V198" s="116">
        <v>0</v>
      </c>
      <c r="W198" s="111"/>
      <c r="X198" s="113">
        <f>SUBTOTAL(9,L198:O198,T198:W198)</f>
        <v>400012</v>
      </c>
      <c r="Y198" s="111"/>
      <c r="Z198" s="111"/>
      <c r="AA198" s="116"/>
      <c r="AB198" s="111"/>
      <c r="AC198" s="113">
        <f t="shared" si="22"/>
        <v>0</v>
      </c>
      <c r="AD198" s="111"/>
      <c r="AE198" s="111"/>
      <c r="AF198" s="112"/>
      <c r="AG198" s="117"/>
      <c r="AH198" s="111"/>
      <c r="AI198" s="112"/>
      <c r="AJ198" s="112"/>
      <c r="AK198" s="113">
        <f t="shared" si="23"/>
        <v>0</v>
      </c>
      <c r="AL198" s="118"/>
      <c r="AM198" s="119"/>
      <c r="AN198" s="119"/>
      <c r="AO198" s="120"/>
    </row>
    <row r="199" spans="1:41" s="121" customFormat="1" ht="16.5" customHeight="1">
      <c r="A199" s="104" t="s">
        <v>2134</v>
      </c>
      <c r="B199" s="105" t="s">
        <v>1124</v>
      </c>
      <c r="C199" s="106" t="s">
        <v>1205</v>
      </c>
      <c r="D199" s="106" t="s">
        <v>2415</v>
      </c>
      <c r="E199" s="71" t="s">
        <v>1206</v>
      </c>
      <c r="F199" s="71" t="s">
        <v>708</v>
      </c>
      <c r="G199" s="109" t="s">
        <v>1207</v>
      </c>
      <c r="H199" s="110">
        <v>43707.826783025419</v>
      </c>
      <c r="I199" s="111"/>
      <c r="J199" s="112"/>
      <c r="K199" s="113">
        <f t="shared" si="20"/>
        <v>43707.826783025419</v>
      </c>
      <c r="L199" s="111">
        <v>0</v>
      </c>
      <c r="M199" s="111"/>
      <c r="N199" s="112"/>
      <c r="O199" s="111">
        <v>613</v>
      </c>
      <c r="P199" s="154">
        <v>0.41268950028074114</v>
      </c>
      <c r="Q199" s="111">
        <v>8509</v>
      </c>
      <c r="R199" s="112">
        <v>0</v>
      </c>
      <c r="S199" s="112">
        <v>222.38068500842223</v>
      </c>
      <c r="T199" s="111">
        <f t="shared" si="19"/>
        <v>3734.380685008422</v>
      </c>
      <c r="U199" s="112">
        <v>280.39303761931501</v>
      </c>
      <c r="V199" s="116"/>
      <c r="W199" s="111">
        <v>8524.488636363636</v>
      </c>
      <c r="X199" s="113">
        <f t="shared" si="21"/>
        <v>13152.262358991373</v>
      </c>
      <c r="Y199" s="111"/>
      <c r="Z199" s="111"/>
      <c r="AA199" s="116"/>
      <c r="AB199" s="111">
        <v>8513.0208333333321</v>
      </c>
      <c r="AC199" s="113">
        <f t="shared" si="22"/>
        <v>8513.0208333333321</v>
      </c>
      <c r="AD199" s="111">
        <v>40.435606060606055</v>
      </c>
      <c r="AE199" s="111">
        <v>1406.2310606060605</v>
      </c>
      <c r="AF199" s="112">
        <v>90.350378787878782</v>
      </c>
      <c r="AG199" s="117">
        <v>3888.778409090909</v>
      </c>
      <c r="AH199" s="111">
        <v>2338.6363636363635</v>
      </c>
      <c r="AI199" s="112">
        <v>549.39393939393938</v>
      </c>
      <c r="AJ199" s="112">
        <v>210.66287878787878</v>
      </c>
      <c r="AK199" s="113">
        <f t="shared" si="23"/>
        <v>8524.488636363636</v>
      </c>
      <c r="AL199" s="118"/>
      <c r="AM199" s="119"/>
      <c r="AN199" s="119"/>
      <c r="AO199" s="120"/>
    </row>
    <row r="200" spans="1:41" s="121" customFormat="1" ht="16.5" customHeight="1">
      <c r="A200" s="104" t="s">
        <v>2134</v>
      </c>
      <c r="B200" s="105" t="s">
        <v>1128</v>
      </c>
      <c r="C200" s="106" t="s">
        <v>1217</v>
      </c>
      <c r="D200" s="106" t="s">
        <v>2415</v>
      </c>
      <c r="E200" s="71" t="s">
        <v>1218</v>
      </c>
      <c r="F200" s="71" t="s">
        <v>708</v>
      </c>
      <c r="G200" s="109" t="s">
        <v>1207</v>
      </c>
      <c r="H200" s="110">
        <v>14372.843599607755</v>
      </c>
      <c r="I200" s="111"/>
      <c r="J200" s="112"/>
      <c r="K200" s="113">
        <f t="shared" si="20"/>
        <v>14372.843599607755</v>
      </c>
      <c r="L200" s="111">
        <v>0</v>
      </c>
      <c r="M200" s="111"/>
      <c r="N200" s="112"/>
      <c r="O200" s="111">
        <v>519</v>
      </c>
      <c r="P200" s="154">
        <v>0.1493542953396968</v>
      </c>
      <c r="Q200" s="111">
        <v>8509</v>
      </c>
      <c r="R200" s="112">
        <v>0</v>
      </c>
      <c r="S200" s="112">
        <v>80.480628860190905</v>
      </c>
      <c r="T200" s="111">
        <f t="shared" si="19"/>
        <v>1351.4806288601908</v>
      </c>
      <c r="U200" s="112">
        <v>101.47557551937113</v>
      </c>
      <c r="V200" s="116"/>
      <c r="W200" s="111">
        <v>3085.05303030303</v>
      </c>
      <c r="X200" s="113">
        <f t="shared" si="21"/>
        <v>5057.0092346825923</v>
      </c>
      <c r="Y200" s="111"/>
      <c r="Z200" s="111"/>
      <c r="AA200" s="116"/>
      <c r="AB200" s="111">
        <v>3080.9027777777774</v>
      </c>
      <c r="AC200" s="113">
        <f t="shared" si="22"/>
        <v>3080.9027777777774</v>
      </c>
      <c r="AD200" s="111">
        <v>14.633838383838382</v>
      </c>
      <c r="AE200" s="111">
        <v>508.92171717171715</v>
      </c>
      <c r="AF200" s="112">
        <v>32.698232323232318</v>
      </c>
      <c r="AG200" s="117">
        <v>1407.3674242424242</v>
      </c>
      <c r="AH200" s="111">
        <v>846.36363636363626</v>
      </c>
      <c r="AI200" s="112">
        <v>198.82828282828282</v>
      </c>
      <c r="AJ200" s="112">
        <v>76.23989898989899</v>
      </c>
      <c r="AK200" s="113">
        <f t="shared" si="23"/>
        <v>3085.0530303030296</v>
      </c>
      <c r="AL200" s="118"/>
      <c r="AM200" s="119"/>
      <c r="AN200" s="119"/>
      <c r="AO200" s="120"/>
    </row>
    <row r="201" spans="1:41" s="121" customFormat="1" ht="16.5" customHeight="1">
      <c r="A201" s="104" t="s">
        <v>2134</v>
      </c>
      <c r="B201" s="105" t="s">
        <v>1132</v>
      </c>
      <c r="C201" s="106" t="s">
        <v>1222</v>
      </c>
      <c r="D201" s="106" t="s">
        <v>2415</v>
      </c>
      <c r="E201" s="71" t="s">
        <v>1223</v>
      </c>
      <c r="F201" s="71" t="s">
        <v>708</v>
      </c>
      <c r="G201" s="109" t="s">
        <v>1207</v>
      </c>
      <c r="H201" s="110">
        <v>43570.491437702476</v>
      </c>
      <c r="I201" s="111"/>
      <c r="J201" s="112"/>
      <c r="K201" s="113">
        <f t="shared" si="20"/>
        <v>43570.491437702476</v>
      </c>
      <c r="L201" s="111">
        <v>195</v>
      </c>
      <c r="M201" s="111"/>
      <c r="N201" s="112"/>
      <c r="O201" s="111">
        <v>432</v>
      </c>
      <c r="P201" s="154">
        <v>0.51880965749578889</v>
      </c>
      <c r="Q201" s="111">
        <v>8509</v>
      </c>
      <c r="R201" s="112">
        <v>0</v>
      </c>
      <c r="S201" s="112">
        <v>279.56428972487367</v>
      </c>
      <c r="T201" s="111">
        <f t="shared" si="19"/>
        <v>4694.5642897248736</v>
      </c>
      <c r="U201" s="112">
        <v>352.49410443571026</v>
      </c>
      <c r="V201" s="116"/>
      <c r="W201" s="111">
        <v>10716.5</v>
      </c>
      <c r="X201" s="113">
        <f t="shared" si="21"/>
        <v>16390.558394160584</v>
      </c>
      <c r="Y201" s="111"/>
      <c r="Z201" s="111"/>
      <c r="AA201" s="116"/>
      <c r="AB201" s="111">
        <v>10702.083333333332</v>
      </c>
      <c r="AC201" s="113">
        <f t="shared" si="22"/>
        <v>10702.083333333332</v>
      </c>
      <c r="AD201" s="111">
        <v>50.833333333333329</v>
      </c>
      <c r="AE201" s="111">
        <v>1767.8333333333333</v>
      </c>
      <c r="AF201" s="112">
        <v>113.58333333333333</v>
      </c>
      <c r="AG201" s="117">
        <v>4888.75</v>
      </c>
      <c r="AH201" s="111">
        <v>2940</v>
      </c>
      <c r="AI201" s="112">
        <v>690.66666666666663</v>
      </c>
      <c r="AJ201" s="112">
        <v>264.83333333333331</v>
      </c>
      <c r="AK201" s="113">
        <f t="shared" si="23"/>
        <v>10716.5</v>
      </c>
      <c r="AL201" s="118"/>
      <c r="AM201" s="119"/>
      <c r="AN201" s="119"/>
      <c r="AO201" s="120"/>
    </row>
    <row r="202" spans="1:41" s="121" customFormat="1" ht="16.5" customHeight="1">
      <c r="A202" s="104" t="s">
        <v>2134</v>
      </c>
      <c r="B202" s="105" t="s">
        <v>1145</v>
      </c>
      <c r="C202" s="106" t="s">
        <v>1226</v>
      </c>
      <c r="D202" s="106" t="s">
        <v>2415</v>
      </c>
      <c r="E202" s="71" t="s">
        <v>1227</v>
      </c>
      <c r="F202" s="71" t="s">
        <v>708</v>
      </c>
      <c r="G202" s="109" t="s">
        <v>1207</v>
      </c>
      <c r="H202" s="110">
        <v>7555.8930844297092</v>
      </c>
      <c r="I202" s="111"/>
      <c r="J202" s="112"/>
      <c r="K202" s="113">
        <f t="shared" si="20"/>
        <v>7555.8930844297092</v>
      </c>
      <c r="L202" s="111">
        <v>0</v>
      </c>
      <c r="M202" s="111"/>
      <c r="N202" s="112"/>
      <c r="O202" s="111">
        <v>998</v>
      </c>
      <c r="P202" s="154">
        <v>0.20044918585064572</v>
      </c>
      <c r="Q202" s="111">
        <v>8509</v>
      </c>
      <c r="R202" s="112">
        <v>0</v>
      </c>
      <c r="S202" s="112">
        <v>108.01347557551938</v>
      </c>
      <c r="T202" s="111">
        <f t="shared" si="19"/>
        <v>1814.0134755755194</v>
      </c>
      <c r="U202" s="112">
        <v>136.19090398652443</v>
      </c>
      <c r="V202" s="116"/>
      <c r="W202" s="111">
        <v>4140.465909090909</v>
      </c>
      <c r="X202" s="113">
        <f t="shared" si="21"/>
        <v>7088.6702886529529</v>
      </c>
      <c r="Y202" s="111"/>
      <c r="Z202" s="111"/>
      <c r="AA202" s="116"/>
      <c r="AB202" s="111">
        <v>4134.895833333333</v>
      </c>
      <c r="AC202" s="113">
        <f t="shared" si="22"/>
        <v>4134.895833333333</v>
      </c>
      <c r="AD202" s="111">
        <v>19.640151515151516</v>
      </c>
      <c r="AE202" s="111">
        <v>683.02651515151513</v>
      </c>
      <c r="AF202" s="112">
        <v>43.884469696969695</v>
      </c>
      <c r="AG202" s="117">
        <v>1888.8352272727273</v>
      </c>
      <c r="AH202" s="111">
        <v>1135.909090909091</v>
      </c>
      <c r="AI202" s="112">
        <v>266.84848484848482</v>
      </c>
      <c r="AJ202" s="112">
        <v>102.32196969696969</v>
      </c>
      <c r="AK202" s="113">
        <f t="shared" si="23"/>
        <v>4140.465909090909</v>
      </c>
      <c r="AL202" s="118"/>
      <c r="AM202" s="119"/>
      <c r="AN202" s="119"/>
      <c r="AO202" s="120"/>
    </row>
    <row r="203" spans="1:41" s="121" customFormat="1" ht="16.5" customHeight="1">
      <c r="A203" s="104" t="s">
        <v>2134</v>
      </c>
      <c r="B203" s="105" t="s">
        <v>1155</v>
      </c>
      <c r="C203" s="106" t="s">
        <v>1229</v>
      </c>
      <c r="D203" s="106" t="s">
        <v>2415</v>
      </c>
      <c r="E203" s="71" t="s">
        <v>1230</v>
      </c>
      <c r="F203" s="71" t="s">
        <v>708</v>
      </c>
      <c r="G203" s="109" t="s">
        <v>1207</v>
      </c>
      <c r="H203" s="110">
        <v>3846.919845324122</v>
      </c>
      <c r="I203" s="111"/>
      <c r="J203" s="112"/>
      <c r="K203" s="113">
        <f t="shared" si="20"/>
        <v>3846.919845324122</v>
      </c>
      <c r="L203" s="111">
        <v>0</v>
      </c>
      <c r="M203" s="111"/>
      <c r="N203" s="112"/>
      <c r="O203" s="111">
        <v>403</v>
      </c>
      <c r="P203" s="154">
        <v>0.11398090960134756</v>
      </c>
      <c r="Q203" s="111">
        <v>8509</v>
      </c>
      <c r="R203" s="112">
        <v>0</v>
      </c>
      <c r="S203" s="112">
        <v>61.419427288040431</v>
      </c>
      <c r="T203" s="111">
        <f t="shared" si="19"/>
        <v>1031.4194272880404</v>
      </c>
      <c r="U203" s="112">
        <v>77.441886580572714</v>
      </c>
      <c r="V203" s="116"/>
      <c r="W203" s="111">
        <v>2354.3825757575755</v>
      </c>
      <c r="X203" s="113">
        <f t="shared" si="21"/>
        <v>3866.2438896261888</v>
      </c>
      <c r="Y203" s="111"/>
      <c r="Z203" s="111"/>
      <c r="AA203" s="116"/>
      <c r="AB203" s="111">
        <v>2351.2152777777778</v>
      </c>
      <c r="AC203" s="113">
        <f t="shared" si="22"/>
        <v>2351.2152777777778</v>
      </c>
      <c r="AD203" s="111">
        <v>11.167929292929292</v>
      </c>
      <c r="AE203" s="111">
        <v>388.38762626262627</v>
      </c>
      <c r="AF203" s="112">
        <v>24.953914141414142</v>
      </c>
      <c r="AG203" s="117">
        <v>1074.0435606060605</v>
      </c>
      <c r="AH203" s="111">
        <v>645.90909090909088</v>
      </c>
      <c r="AI203" s="112">
        <v>151.73737373737373</v>
      </c>
      <c r="AJ203" s="112">
        <v>58.18308080808081</v>
      </c>
      <c r="AK203" s="113">
        <f t="shared" si="23"/>
        <v>2354.3825757575755</v>
      </c>
      <c r="AL203" s="118"/>
      <c r="AM203" s="119"/>
      <c r="AN203" s="119"/>
      <c r="AO203" s="120"/>
    </row>
    <row r="204" spans="1:41" s="121" customFormat="1" ht="16.5" customHeight="1">
      <c r="A204" s="104" t="s">
        <v>2134</v>
      </c>
      <c r="B204" s="105" t="s">
        <v>1164</v>
      </c>
      <c r="C204" s="106" t="s">
        <v>1232</v>
      </c>
      <c r="D204" s="106" t="s">
        <v>2415</v>
      </c>
      <c r="E204" s="71" t="s">
        <v>1233</v>
      </c>
      <c r="F204" s="71" t="s">
        <v>708</v>
      </c>
      <c r="G204" s="109" t="s">
        <v>1207</v>
      </c>
      <c r="H204" s="110">
        <v>7545.656488471288</v>
      </c>
      <c r="I204" s="111"/>
      <c r="J204" s="112"/>
      <c r="K204" s="113">
        <f t="shared" si="20"/>
        <v>7545.656488471288</v>
      </c>
      <c r="L204" s="111">
        <v>41</v>
      </c>
      <c r="M204" s="111"/>
      <c r="N204" s="112"/>
      <c r="O204" s="111">
        <v>2619</v>
      </c>
      <c r="P204" s="154">
        <v>0.20044918585064572</v>
      </c>
      <c r="Q204" s="111">
        <v>8509</v>
      </c>
      <c r="R204" s="112">
        <v>0</v>
      </c>
      <c r="S204" s="112">
        <v>108.01347557551938</v>
      </c>
      <c r="T204" s="111">
        <f t="shared" si="19"/>
        <v>1814.0134755755194</v>
      </c>
      <c r="U204" s="112">
        <v>136.19090398652443</v>
      </c>
      <c r="V204" s="116"/>
      <c r="W204" s="111">
        <v>4140.465909090909</v>
      </c>
      <c r="X204" s="113">
        <f t="shared" si="21"/>
        <v>8750.6702886529529</v>
      </c>
      <c r="Y204" s="111"/>
      <c r="Z204" s="111"/>
      <c r="AA204" s="116"/>
      <c r="AB204" s="111">
        <v>4134.895833333333</v>
      </c>
      <c r="AC204" s="113">
        <f t="shared" si="22"/>
        <v>4134.895833333333</v>
      </c>
      <c r="AD204" s="111">
        <v>19.640151515151516</v>
      </c>
      <c r="AE204" s="111">
        <v>683.02651515151513</v>
      </c>
      <c r="AF204" s="112">
        <v>43.884469696969695</v>
      </c>
      <c r="AG204" s="117">
        <v>1888.8352272727273</v>
      </c>
      <c r="AH204" s="111">
        <v>1135.909090909091</v>
      </c>
      <c r="AI204" s="112">
        <v>266.84848484848482</v>
      </c>
      <c r="AJ204" s="112">
        <v>102.32196969696969</v>
      </c>
      <c r="AK204" s="113">
        <f t="shared" si="23"/>
        <v>4140.465909090909</v>
      </c>
      <c r="AL204" s="118"/>
      <c r="AM204" s="119"/>
      <c r="AN204" s="119"/>
      <c r="AO204" s="120"/>
    </row>
    <row r="205" spans="1:41" s="121" customFormat="1" ht="16.5" customHeight="1">
      <c r="A205" s="104" t="s">
        <v>2134</v>
      </c>
      <c r="B205" s="105" t="s">
        <v>1170</v>
      </c>
      <c r="C205" s="106" t="s">
        <v>1236</v>
      </c>
      <c r="D205" s="106" t="s">
        <v>2415</v>
      </c>
      <c r="E205" s="71" t="s">
        <v>1237</v>
      </c>
      <c r="F205" s="71" t="s">
        <v>708</v>
      </c>
      <c r="G205" s="109" t="s">
        <v>1207</v>
      </c>
      <c r="H205" s="110">
        <v>38347.210411695778</v>
      </c>
      <c r="I205" s="111"/>
      <c r="J205" s="112"/>
      <c r="K205" s="113">
        <f t="shared" si="20"/>
        <v>38347.210411695778</v>
      </c>
      <c r="L205" s="111">
        <v>179</v>
      </c>
      <c r="M205" s="111"/>
      <c r="N205" s="112"/>
      <c r="O205" s="111">
        <v>1551</v>
      </c>
      <c r="P205" s="154">
        <v>0.85289163391353173</v>
      </c>
      <c r="Q205" s="111">
        <v>8509</v>
      </c>
      <c r="R205" s="112">
        <v>0</v>
      </c>
      <c r="S205" s="112">
        <v>459.58674901740591</v>
      </c>
      <c r="T205" s="111">
        <f t="shared" si="19"/>
        <v>7716.586749017406</v>
      </c>
      <c r="U205" s="112">
        <v>579.47894441325093</v>
      </c>
      <c r="V205" s="116"/>
      <c r="W205" s="111">
        <v>17617.276515151516</v>
      </c>
      <c r="X205" s="113">
        <f t="shared" si="21"/>
        <v>27643.342208582173</v>
      </c>
      <c r="Y205" s="111"/>
      <c r="Z205" s="111"/>
      <c r="AA205" s="116"/>
      <c r="AB205" s="111">
        <v>17593.576388888891</v>
      </c>
      <c r="AC205" s="113">
        <f t="shared" si="22"/>
        <v>17593.576388888891</v>
      </c>
      <c r="AD205" s="111">
        <v>83.566919191919197</v>
      </c>
      <c r="AE205" s="111">
        <v>2906.2108585858587</v>
      </c>
      <c r="AF205" s="112">
        <v>186.72411616161617</v>
      </c>
      <c r="AG205" s="117">
        <v>8036.8087121212129</v>
      </c>
      <c r="AH205" s="111">
        <v>4833.181818181818</v>
      </c>
      <c r="AI205" s="112">
        <v>1135.4141414141416</v>
      </c>
      <c r="AJ205" s="112">
        <v>435.36994949494954</v>
      </c>
      <c r="AK205" s="113">
        <f t="shared" si="23"/>
        <v>17617.27651515152</v>
      </c>
      <c r="AL205" s="118"/>
      <c r="AM205" s="119"/>
      <c r="AN205" s="119"/>
      <c r="AO205" s="120"/>
    </row>
    <row r="206" spans="1:41" s="121" customFormat="1" ht="16.5" customHeight="1">
      <c r="A206" s="104" t="s">
        <v>2134</v>
      </c>
      <c r="B206" s="105" t="s">
        <v>1177</v>
      </c>
      <c r="C206" s="106" t="s">
        <v>1239</v>
      </c>
      <c r="D206" s="106" t="s">
        <v>2415</v>
      </c>
      <c r="E206" s="71" t="s">
        <v>1240</v>
      </c>
      <c r="F206" s="71" t="s">
        <v>708</v>
      </c>
      <c r="G206" s="109" t="s">
        <v>1207</v>
      </c>
      <c r="H206" s="110">
        <v>14221.04444514613</v>
      </c>
      <c r="I206" s="111"/>
      <c r="J206" s="112"/>
      <c r="K206" s="113">
        <f t="shared" si="20"/>
        <v>14221.04444514613</v>
      </c>
      <c r="L206" s="111">
        <v>12</v>
      </c>
      <c r="M206" s="111"/>
      <c r="N206" s="112"/>
      <c r="O206" s="111">
        <v>1271</v>
      </c>
      <c r="P206" s="154">
        <v>0.44413250982594044</v>
      </c>
      <c r="Q206" s="111">
        <v>8509</v>
      </c>
      <c r="R206" s="112">
        <v>0</v>
      </c>
      <c r="S206" s="112">
        <v>239.32397529477819</v>
      </c>
      <c r="T206" s="111">
        <f t="shared" si="19"/>
        <v>4018.3239752947784</v>
      </c>
      <c r="U206" s="112">
        <v>301.75631667602471</v>
      </c>
      <c r="V206" s="116"/>
      <c r="W206" s="111">
        <v>9173.9734848484859</v>
      </c>
      <c r="X206" s="113">
        <f t="shared" si="21"/>
        <v>14777.053776819288</v>
      </c>
      <c r="Y206" s="111"/>
      <c r="Z206" s="111"/>
      <c r="AA206" s="116"/>
      <c r="AB206" s="111">
        <v>9161.6319444444453</v>
      </c>
      <c r="AC206" s="113">
        <f t="shared" si="22"/>
        <v>9161.6319444444453</v>
      </c>
      <c r="AD206" s="111">
        <v>43.516414141414145</v>
      </c>
      <c r="AE206" s="111">
        <v>1513.3724747474748</v>
      </c>
      <c r="AF206" s="112">
        <v>97.234217171717177</v>
      </c>
      <c r="AG206" s="117">
        <v>4185.066287878788</v>
      </c>
      <c r="AH206" s="111">
        <v>2516.818181818182</v>
      </c>
      <c r="AI206" s="112">
        <v>591.25252525252529</v>
      </c>
      <c r="AJ206" s="112">
        <v>226.71338383838383</v>
      </c>
      <c r="AK206" s="113">
        <f t="shared" si="23"/>
        <v>9173.9734848484841</v>
      </c>
      <c r="AL206" s="118"/>
      <c r="AM206" s="119"/>
      <c r="AN206" s="119"/>
      <c r="AO206" s="120"/>
    </row>
    <row r="207" spans="1:41" s="121" customFormat="1" ht="16.5" customHeight="1">
      <c r="A207" s="104" t="s">
        <v>2134</v>
      </c>
      <c r="B207" s="105" t="s">
        <v>1189</v>
      </c>
      <c r="C207" s="106" t="s">
        <v>1242</v>
      </c>
      <c r="D207" s="106" t="s">
        <v>2415</v>
      </c>
      <c r="E207" s="71" t="s">
        <v>1243</v>
      </c>
      <c r="F207" s="71" t="s">
        <v>708</v>
      </c>
      <c r="G207" s="109" t="s">
        <v>1207</v>
      </c>
      <c r="H207" s="110">
        <v>2833.5241700168858</v>
      </c>
      <c r="I207" s="111"/>
      <c r="J207" s="112"/>
      <c r="K207" s="113">
        <f t="shared" si="20"/>
        <v>2833.5241700168858</v>
      </c>
      <c r="L207" s="111">
        <v>31</v>
      </c>
      <c r="M207" s="111"/>
      <c r="N207" s="112"/>
      <c r="O207" s="111">
        <v>0</v>
      </c>
      <c r="P207" s="154">
        <v>7.0746771476698486E-2</v>
      </c>
      <c r="Q207" s="111">
        <v>8509</v>
      </c>
      <c r="R207" s="112">
        <v>0</v>
      </c>
      <c r="S207" s="112">
        <v>38.122403144300954</v>
      </c>
      <c r="T207" s="111">
        <f t="shared" si="19"/>
        <v>640.12240314430096</v>
      </c>
      <c r="U207" s="112">
        <v>48.067377877596854</v>
      </c>
      <c r="V207" s="116"/>
      <c r="W207" s="111">
        <v>1461.3409090909092</v>
      </c>
      <c r="X207" s="113">
        <f t="shared" si="21"/>
        <v>2180.530690112807</v>
      </c>
      <c r="Y207" s="111"/>
      <c r="Z207" s="111"/>
      <c r="AA207" s="116"/>
      <c r="AB207" s="111">
        <v>1459.375</v>
      </c>
      <c r="AC207" s="113">
        <f t="shared" si="22"/>
        <v>1459.375</v>
      </c>
      <c r="AD207" s="111">
        <v>6.9318181818181817</v>
      </c>
      <c r="AE207" s="111">
        <v>241.06818181818181</v>
      </c>
      <c r="AF207" s="112">
        <v>15.488636363636363</v>
      </c>
      <c r="AG207" s="117">
        <v>666.64772727272725</v>
      </c>
      <c r="AH207" s="111">
        <v>400.90909090909093</v>
      </c>
      <c r="AI207" s="112">
        <v>94.181818181818187</v>
      </c>
      <c r="AJ207" s="112">
        <v>36.113636363636367</v>
      </c>
      <c r="AK207" s="113">
        <f t="shared" si="23"/>
        <v>1461.340909090909</v>
      </c>
      <c r="AL207" s="118"/>
      <c r="AM207" s="119"/>
      <c r="AN207" s="119"/>
      <c r="AO207" s="120"/>
    </row>
    <row r="208" spans="1:41" s="121" customFormat="1" ht="16.5" customHeight="1">
      <c r="A208" s="104" t="s">
        <v>2134</v>
      </c>
      <c r="B208" s="105" t="s">
        <v>1195</v>
      </c>
      <c r="C208" s="106" t="s">
        <v>1246</v>
      </c>
      <c r="D208" s="106" t="s">
        <v>2415</v>
      </c>
      <c r="E208" s="71" t="s">
        <v>1247</v>
      </c>
      <c r="F208" s="71" t="s">
        <v>708</v>
      </c>
      <c r="G208" s="109" t="s">
        <v>1207</v>
      </c>
      <c r="H208" s="110">
        <v>20695.90441934175</v>
      </c>
      <c r="I208" s="111"/>
      <c r="J208" s="112"/>
      <c r="K208" s="113">
        <f t="shared" si="20"/>
        <v>20695.90441934175</v>
      </c>
      <c r="L208" s="111">
        <v>96</v>
      </c>
      <c r="M208" s="111"/>
      <c r="N208" s="112"/>
      <c r="O208" s="111">
        <v>1580</v>
      </c>
      <c r="P208" s="154">
        <v>0.46378439079169009</v>
      </c>
      <c r="Q208" s="111">
        <v>8509</v>
      </c>
      <c r="R208" s="112">
        <v>0</v>
      </c>
      <c r="S208" s="112">
        <v>249.91353172375071</v>
      </c>
      <c r="T208" s="111">
        <f t="shared" si="19"/>
        <v>4195.9135317237506</v>
      </c>
      <c r="U208" s="112">
        <v>315.10836608646832</v>
      </c>
      <c r="V208" s="116"/>
      <c r="W208" s="111">
        <v>9579.9015151515141</v>
      </c>
      <c r="X208" s="113">
        <f t="shared" si="21"/>
        <v>15766.923412961733</v>
      </c>
      <c r="Y208" s="111"/>
      <c r="Z208" s="111"/>
      <c r="AA208" s="116"/>
      <c r="AB208" s="111">
        <v>9567.0138888888887</v>
      </c>
      <c r="AC208" s="113">
        <f t="shared" si="22"/>
        <v>9567.0138888888887</v>
      </c>
      <c r="AD208" s="111">
        <v>45.44191919191919</v>
      </c>
      <c r="AE208" s="111">
        <v>1580.3358585858584</v>
      </c>
      <c r="AF208" s="112">
        <v>101.53661616161615</v>
      </c>
      <c r="AG208" s="117">
        <v>4370.246212121212</v>
      </c>
      <c r="AH208" s="111">
        <v>2628.181818181818</v>
      </c>
      <c r="AI208" s="112">
        <v>617.41414141414134</v>
      </c>
      <c r="AJ208" s="112">
        <v>236.74494949494948</v>
      </c>
      <c r="AK208" s="113">
        <f t="shared" si="23"/>
        <v>9579.9015151515141</v>
      </c>
      <c r="AL208" s="118"/>
      <c r="AM208" s="119"/>
      <c r="AN208" s="119"/>
      <c r="AO208" s="120"/>
    </row>
    <row r="209" spans="1:41" s="121" customFormat="1" ht="16.5" customHeight="1">
      <c r="A209" s="104" t="s">
        <v>2134</v>
      </c>
      <c r="B209" s="105" t="s">
        <v>72</v>
      </c>
      <c r="C209" s="106" t="s">
        <v>1250</v>
      </c>
      <c r="D209" s="106" t="s">
        <v>2415</v>
      </c>
      <c r="E209" s="71" t="s">
        <v>1251</v>
      </c>
      <c r="F209" s="71" t="s">
        <v>708</v>
      </c>
      <c r="G209" s="109" t="s">
        <v>1207</v>
      </c>
      <c r="H209" s="110">
        <v>2644.5848440201048</v>
      </c>
      <c r="I209" s="111"/>
      <c r="J209" s="112"/>
      <c r="K209" s="113">
        <f t="shared" si="20"/>
        <v>2644.5848440201048</v>
      </c>
      <c r="L209" s="111">
        <v>0</v>
      </c>
      <c r="M209" s="111"/>
      <c r="N209" s="112"/>
      <c r="O209" s="111">
        <v>116</v>
      </c>
      <c r="P209" s="154">
        <v>7.4677147669848398E-2</v>
      </c>
      <c r="Q209" s="111">
        <v>8509</v>
      </c>
      <c r="R209" s="112">
        <v>0</v>
      </c>
      <c r="S209" s="112">
        <v>40.240314430095452</v>
      </c>
      <c r="T209" s="111">
        <f t="shared" si="19"/>
        <v>675.2403144300954</v>
      </c>
      <c r="U209" s="112">
        <v>50.737787759685567</v>
      </c>
      <c r="V209" s="116"/>
      <c r="W209" s="111">
        <v>1542.526515151515</v>
      </c>
      <c r="X209" s="113">
        <f t="shared" si="21"/>
        <v>2384.5046173412961</v>
      </c>
      <c r="Y209" s="111"/>
      <c r="Z209" s="111"/>
      <c r="AA209" s="116"/>
      <c r="AB209" s="111">
        <v>1540.4513888888887</v>
      </c>
      <c r="AC209" s="113">
        <f t="shared" si="22"/>
        <v>1540.4513888888887</v>
      </c>
      <c r="AD209" s="111">
        <v>7.3169191919191912</v>
      </c>
      <c r="AE209" s="111">
        <v>254.46085858585857</v>
      </c>
      <c r="AF209" s="112">
        <v>16.349116161616159</v>
      </c>
      <c r="AG209" s="117">
        <v>703.68371212121212</v>
      </c>
      <c r="AH209" s="111">
        <v>423.18181818181813</v>
      </c>
      <c r="AI209" s="112">
        <v>99.414141414141412</v>
      </c>
      <c r="AJ209" s="112">
        <v>38.119949494949495</v>
      </c>
      <c r="AK209" s="113">
        <f t="shared" si="23"/>
        <v>1542.5265151515148</v>
      </c>
      <c r="AL209" s="118"/>
      <c r="AM209" s="119"/>
      <c r="AN209" s="119"/>
      <c r="AO209" s="120"/>
    </row>
    <row r="210" spans="1:41" s="121" customFormat="1" ht="16.5" customHeight="1">
      <c r="A210" s="104" t="s">
        <v>2134</v>
      </c>
      <c r="B210" s="105" t="s">
        <v>1197</v>
      </c>
      <c r="C210" s="106" t="s">
        <v>1255</v>
      </c>
      <c r="D210" s="106" t="s">
        <v>2415</v>
      </c>
      <c r="E210" s="71" t="s">
        <v>1256</v>
      </c>
      <c r="F210" s="71" t="s">
        <v>708</v>
      </c>
      <c r="G210" s="109" t="s">
        <v>1207</v>
      </c>
      <c r="H210" s="110">
        <v>2221.4273447921669</v>
      </c>
      <c r="I210" s="111"/>
      <c r="J210" s="112"/>
      <c r="K210" s="113">
        <f t="shared" si="20"/>
        <v>2221.4273447921669</v>
      </c>
      <c r="L210" s="111">
        <v>49</v>
      </c>
      <c r="M210" s="111"/>
      <c r="N210" s="112"/>
      <c r="O210" s="111">
        <v>0</v>
      </c>
      <c r="P210" s="154">
        <v>6.6816395283548574E-2</v>
      </c>
      <c r="Q210" s="111">
        <v>8509</v>
      </c>
      <c r="R210" s="112">
        <v>0</v>
      </c>
      <c r="S210" s="112">
        <v>36.004491858506455</v>
      </c>
      <c r="T210" s="111">
        <f t="shared" si="19"/>
        <v>605.00449185850641</v>
      </c>
      <c r="U210" s="112">
        <v>45.396967995508142</v>
      </c>
      <c r="V210" s="116"/>
      <c r="W210" s="111">
        <v>1380.155303030303</v>
      </c>
      <c r="X210" s="113">
        <f t="shared" si="21"/>
        <v>2079.5567628843173</v>
      </c>
      <c r="Y210" s="111"/>
      <c r="Z210" s="111"/>
      <c r="AA210" s="116"/>
      <c r="AB210" s="111">
        <v>1378.2986111111111</v>
      </c>
      <c r="AC210" s="113">
        <f t="shared" si="22"/>
        <v>1378.2986111111111</v>
      </c>
      <c r="AD210" s="111">
        <v>6.5467171717171713</v>
      </c>
      <c r="AE210" s="111">
        <v>227.67550505050505</v>
      </c>
      <c r="AF210" s="112">
        <v>14.628156565656566</v>
      </c>
      <c r="AG210" s="117">
        <v>629.61174242424238</v>
      </c>
      <c r="AH210" s="111">
        <v>378.63636363636363</v>
      </c>
      <c r="AI210" s="112">
        <v>88.949494949494948</v>
      </c>
      <c r="AJ210" s="112">
        <v>34.107323232323232</v>
      </c>
      <c r="AK210" s="113">
        <f t="shared" si="23"/>
        <v>1380.155303030303</v>
      </c>
      <c r="AL210" s="118"/>
      <c r="AM210" s="119"/>
      <c r="AN210" s="119"/>
      <c r="AO210" s="120"/>
    </row>
    <row r="211" spans="1:41" s="121" customFormat="1" ht="16.5" customHeight="1">
      <c r="A211" s="104" t="s">
        <v>2134</v>
      </c>
      <c r="B211" s="105" t="s">
        <v>1198</v>
      </c>
      <c r="C211" s="106" t="s">
        <v>1259</v>
      </c>
      <c r="D211" s="106" t="s">
        <v>2415</v>
      </c>
      <c r="E211" s="71" t="s">
        <v>1260</v>
      </c>
      <c r="F211" s="71" t="s">
        <v>708</v>
      </c>
      <c r="G211" s="109" t="s">
        <v>1207</v>
      </c>
      <c r="H211" s="110">
        <v>4625.6186613015025</v>
      </c>
      <c r="I211" s="111"/>
      <c r="J211" s="112"/>
      <c r="K211" s="113">
        <f t="shared" si="20"/>
        <v>4625.6186613015025</v>
      </c>
      <c r="L211" s="111">
        <v>24</v>
      </c>
      <c r="M211" s="111"/>
      <c r="N211" s="112"/>
      <c r="O211" s="111">
        <v>0</v>
      </c>
      <c r="P211" s="154">
        <v>9.8259404828747898E-2</v>
      </c>
      <c r="Q211" s="111">
        <v>8509</v>
      </c>
      <c r="R211" s="112">
        <v>0</v>
      </c>
      <c r="S211" s="112">
        <v>52.947782144862437</v>
      </c>
      <c r="T211" s="111">
        <f t="shared" si="19"/>
        <v>888.94778214486246</v>
      </c>
      <c r="U211" s="112">
        <v>66.760247052217849</v>
      </c>
      <c r="V211" s="116"/>
      <c r="W211" s="111">
        <v>2029.6401515151517</v>
      </c>
      <c r="X211" s="113">
        <f t="shared" si="21"/>
        <v>3009.3481807122321</v>
      </c>
      <c r="Y211" s="111"/>
      <c r="Z211" s="111"/>
      <c r="AA211" s="116"/>
      <c r="AB211" s="111">
        <v>2026.9097222222224</v>
      </c>
      <c r="AC211" s="113">
        <f t="shared" si="22"/>
        <v>2026.9097222222224</v>
      </c>
      <c r="AD211" s="111">
        <v>9.6275252525252526</v>
      </c>
      <c r="AE211" s="111">
        <v>334.81691919191923</v>
      </c>
      <c r="AF211" s="112">
        <v>21.511994949494952</v>
      </c>
      <c r="AG211" s="117">
        <v>925.89962121212125</v>
      </c>
      <c r="AH211" s="111">
        <v>556.81818181818187</v>
      </c>
      <c r="AI211" s="112">
        <v>130.8080808080808</v>
      </c>
      <c r="AJ211" s="112">
        <v>50.157828282828284</v>
      </c>
      <c r="AK211" s="113">
        <f t="shared" si="23"/>
        <v>2029.6401515151515</v>
      </c>
      <c r="AL211" s="118"/>
      <c r="AM211" s="119"/>
      <c r="AN211" s="119"/>
      <c r="AO211" s="120"/>
    </row>
    <row r="212" spans="1:41" s="121" customFormat="1" ht="16.5" customHeight="1">
      <c r="A212" s="104" t="s">
        <v>2134</v>
      </c>
      <c r="B212" s="105" t="s">
        <v>1204</v>
      </c>
      <c r="C212" s="106" t="s">
        <v>1264</v>
      </c>
      <c r="D212" s="106" t="s">
        <v>2415</v>
      </c>
      <c r="E212" s="71" t="s">
        <v>1265</v>
      </c>
      <c r="F212" s="71" t="s">
        <v>708</v>
      </c>
      <c r="G212" s="109" t="s">
        <v>1207</v>
      </c>
      <c r="H212" s="110">
        <v>29020.428731355922</v>
      </c>
      <c r="I212" s="111"/>
      <c r="J212" s="112"/>
      <c r="K212" s="113">
        <f t="shared" si="20"/>
        <v>29020.428731355922</v>
      </c>
      <c r="L212" s="111">
        <v>115</v>
      </c>
      <c r="M212" s="111"/>
      <c r="N212" s="112"/>
      <c r="O212" s="111">
        <v>75</v>
      </c>
      <c r="P212" s="154">
        <v>0.28691746209994384</v>
      </c>
      <c r="Q212" s="111">
        <v>8509</v>
      </c>
      <c r="R212" s="112">
        <v>0</v>
      </c>
      <c r="S212" s="112">
        <v>154.60752386299833</v>
      </c>
      <c r="T212" s="111">
        <f t="shared" si="19"/>
        <v>2595.6075238629983</v>
      </c>
      <c r="U212" s="112">
        <v>194.93992139247615</v>
      </c>
      <c r="V212" s="116"/>
      <c r="W212" s="111">
        <v>5926.549242424242</v>
      </c>
      <c r="X212" s="113">
        <f t="shared" si="21"/>
        <v>8907.0966876797174</v>
      </c>
      <c r="Y212" s="111"/>
      <c r="Z212" s="111"/>
      <c r="AA212" s="116"/>
      <c r="AB212" s="111">
        <v>5918.5763888888887</v>
      </c>
      <c r="AC212" s="113">
        <f t="shared" si="22"/>
        <v>5918.5763888888887</v>
      </c>
      <c r="AD212" s="111">
        <v>28.112373737373737</v>
      </c>
      <c r="AE212" s="111">
        <v>977.66540404040404</v>
      </c>
      <c r="AF212" s="112">
        <v>62.815025252525253</v>
      </c>
      <c r="AG212" s="117">
        <v>2703.626893939394</v>
      </c>
      <c r="AH212" s="111">
        <v>1625.9090909090908</v>
      </c>
      <c r="AI212" s="112">
        <v>381.95959595959596</v>
      </c>
      <c r="AJ212" s="112">
        <v>146.46085858585857</v>
      </c>
      <c r="AK212" s="113">
        <f t="shared" si="23"/>
        <v>5926.5492424242429</v>
      </c>
      <c r="AL212" s="118"/>
      <c r="AM212" s="119"/>
      <c r="AN212" s="119"/>
      <c r="AO212" s="120"/>
    </row>
    <row r="213" spans="1:41" s="121" customFormat="1" ht="16.5" customHeight="1">
      <c r="A213" s="104" t="s">
        <v>2134</v>
      </c>
      <c r="B213" s="105" t="s">
        <v>1216</v>
      </c>
      <c r="C213" s="106" t="s">
        <v>1268</v>
      </c>
      <c r="D213" s="106" t="s">
        <v>2415</v>
      </c>
      <c r="E213" s="71" t="s">
        <v>1269</v>
      </c>
      <c r="F213" s="71" t="s">
        <v>708</v>
      </c>
      <c r="G213" s="109" t="s">
        <v>1207</v>
      </c>
      <c r="H213" s="110">
        <v>25096.399943287361</v>
      </c>
      <c r="I213" s="111"/>
      <c r="J213" s="112"/>
      <c r="K213" s="113">
        <f t="shared" si="20"/>
        <v>25096.399943287361</v>
      </c>
      <c r="L213" s="111">
        <v>128</v>
      </c>
      <c r="M213" s="111"/>
      <c r="N213" s="112"/>
      <c r="O213" s="111">
        <v>425</v>
      </c>
      <c r="P213" s="154">
        <v>0.32622122403144305</v>
      </c>
      <c r="Q213" s="111">
        <v>8509</v>
      </c>
      <c r="R213" s="112">
        <v>0</v>
      </c>
      <c r="S213" s="112">
        <v>175.78663672094331</v>
      </c>
      <c r="T213" s="111">
        <f t="shared" si="19"/>
        <v>2951.7866367209435</v>
      </c>
      <c r="U213" s="112">
        <v>221.64402021336329</v>
      </c>
      <c r="V213" s="116"/>
      <c r="W213" s="111">
        <v>6738.405303030303</v>
      </c>
      <c r="X213" s="113">
        <f t="shared" si="21"/>
        <v>10464.83595996461</v>
      </c>
      <c r="Y213" s="111"/>
      <c r="Z213" s="111"/>
      <c r="AA213" s="116"/>
      <c r="AB213" s="111">
        <v>6729.3402777777774</v>
      </c>
      <c r="AC213" s="113">
        <f t="shared" si="22"/>
        <v>6729.3402777777774</v>
      </c>
      <c r="AD213" s="111">
        <v>31.963383838383837</v>
      </c>
      <c r="AE213" s="111">
        <v>1111.5921717171716</v>
      </c>
      <c r="AF213" s="112">
        <v>71.419823232323225</v>
      </c>
      <c r="AG213" s="117">
        <v>3073.9867424242425</v>
      </c>
      <c r="AH213" s="111">
        <v>1848.6363636363635</v>
      </c>
      <c r="AI213" s="112">
        <v>434.28282828282823</v>
      </c>
      <c r="AJ213" s="112">
        <v>166.5239898989899</v>
      </c>
      <c r="AK213" s="113">
        <f t="shared" si="23"/>
        <v>6738.405303030303</v>
      </c>
      <c r="AL213" s="118"/>
      <c r="AM213" s="119"/>
      <c r="AN213" s="119"/>
      <c r="AO213" s="120"/>
    </row>
    <row r="214" spans="1:41" s="121" customFormat="1" ht="16.5" customHeight="1">
      <c r="A214" s="104" t="s">
        <v>2134</v>
      </c>
      <c r="B214" s="105" t="s">
        <v>1221</v>
      </c>
      <c r="C214" s="106" t="s">
        <v>1271</v>
      </c>
      <c r="D214" s="106" t="s">
        <v>2415</v>
      </c>
      <c r="E214" s="71" t="s">
        <v>1272</v>
      </c>
      <c r="F214" s="71" t="s">
        <v>708</v>
      </c>
      <c r="G214" s="109" t="s">
        <v>1207</v>
      </c>
      <c r="H214" s="110">
        <v>5108.3589175291481</v>
      </c>
      <c r="I214" s="111"/>
      <c r="J214" s="112"/>
      <c r="K214" s="113">
        <f t="shared" si="20"/>
        <v>5108.3589175291481</v>
      </c>
      <c r="L214" s="111">
        <v>4</v>
      </c>
      <c r="M214" s="111"/>
      <c r="N214" s="112"/>
      <c r="O214" s="111">
        <v>126</v>
      </c>
      <c r="P214" s="154">
        <v>7.4677147669848398E-2</v>
      </c>
      <c r="Q214" s="111">
        <v>8509</v>
      </c>
      <c r="R214" s="112">
        <v>0</v>
      </c>
      <c r="S214" s="112">
        <v>40.240314430095452</v>
      </c>
      <c r="T214" s="111">
        <f t="shared" si="19"/>
        <v>675.2403144300954</v>
      </c>
      <c r="U214" s="112">
        <v>50.737787759685567</v>
      </c>
      <c r="V214" s="116"/>
      <c r="W214" s="111">
        <v>1542.526515151515</v>
      </c>
      <c r="X214" s="113">
        <f t="shared" si="21"/>
        <v>2398.5046173412961</v>
      </c>
      <c r="Y214" s="111"/>
      <c r="Z214" s="111"/>
      <c r="AA214" s="116"/>
      <c r="AB214" s="111">
        <v>1540.4513888888887</v>
      </c>
      <c r="AC214" s="113">
        <f t="shared" si="22"/>
        <v>1540.4513888888887</v>
      </c>
      <c r="AD214" s="111">
        <v>7.3169191919191912</v>
      </c>
      <c r="AE214" s="111">
        <v>254.46085858585857</v>
      </c>
      <c r="AF214" s="112">
        <v>16.349116161616159</v>
      </c>
      <c r="AG214" s="117">
        <v>703.68371212121212</v>
      </c>
      <c r="AH214" s="111">
        <v>423.18181818181813</v>
      </c>
      <c r="AI214" s="112">
        <v>99.414141414141412</v>
      </c>
      <c r="AJ214" s="112">
        <v>38.119949494949495</v>
      </c>
      <c r="AK214" s="113">
        <f t="shared" si="23"/>
        <v>1542.5265151515148</v>
      </c>
      <c r="AL214" s="118"/>
      <c r="AM214" s="119"/>
      <c r="AN214" s="119"/>
      <c r="AO214" s="120"/>
    </row>
    <row r="215" spans="1:41" s="121" customFormat="1" ht="16.5" customHeight="1">
      <c r="A215" s="104" t="s">
        <v>2134</v>
      </c>
      <c r="B215" s="105" t="s">
        <v>1225</v>
      </c>
      <c r="C215" s="106" t="s">
        <v>1275</v>
      </c>
      <c r="D215" s="106" t="s">
        <v>2415</v>
      </c>
      <c r="E215" s="71" t="s">
        <v>1276</v>
      </c>
      <c r="F215" s="71" t="s">
        <v>708</v>
      </c>
      <c r="G215" s="109" t="s">
        <v>1207</v>
      </c>
      <c r="H215" s="110">
        <v>7281.5948176407355</v>
      </c>
      <c r="I215" s="111"/>
      <c r="J215" s="112"/>
      <c r="K215" s="113">
        <f t="shared" si="20"/>
        <v>7281.5948176407355</v>
      </c>
      <c r="L215" s="111">
        <v>0</v>
      </c>
      <c r="M215" s="111"/>
      <c r="N215" s="112"/>
      <c r="O215" s="111">
        <v>20</v>
      </c>
      <c r="P215" s="154">
        <v>7.4677147669848398E-2</v>
      </c>
      <c r="Q215" s="111">
        <v>8509</v>
      </c>
      <c r="R215" s="112">
        <v>0</v>
      </c>
      <c r="S215" s="112">
        <v>40.240314430095452</v>
      </c>
      <c r="T215" s="111">
        <f t="shared" si="19"/>
        <v>675.2403144300954</v>
      </c>
      <c r="U215" s="112">
        <v>50.737787759685567</v>
      </c>
      <c r="V215" s="116"/>
      <c r="W215" s="111">
        <v>1542.526515151515</v>
      </c>
      <c r="X215" s="113">
        <f t="shared" si="21"/>
        <v>2288.5046173412961</v>
      </c>
      <c r="Y215" s="111"/>
      <c r="Z215" s="111"/>
      <c r="AA215" s="116"/>
      <c r="AB215" s="111">
        <v>1540.4513888888887</v>
      </c>
      <c r="AC215" s="113">
        <f t="shared" si="22"/>
        <v>1540.4513888888887</v>
      </c>
      <c r="AD215" s="111">
        <v>7.3169191919191912</v>
      </c>
      <c r="AE215" s="111">
        <v>254.46085858585857</v>
      </c>
      <c r="AF215" s="112">
        <v>16.349116161616159</v>
      </c>
      <c r="AG215" s="117">
        <v>703.68371212121212</v>
      </c>
      <c r="AH215" s="111">
        <v>423.18181818181813</v>
      </c>
      <c r="AI215" s="112">
        <v>99.414141414141412</v>
      </c>
      <c r="AJ215" s="112">
        <v>38.119949494949495</v>
      </c>
      <c r="AK215" s="113">
        <f t="shared" si="23"/>
        <v>1542.5265151515148</v>
      </c>
      <c r="AL215" s="118"/>
      <c r="AM215" s="119"/>
      <c r="AN215" s="119"/>
      <c r="AO215" s="120"/>
    </row>
    <row r="216" spans="1:41" s="121" customFormat="1" ht="16.5" customHeight="1">
      <c r="A216" s="104" t="s">
        <v>2134</v>
      </c>
      <c r="B216" s="105" t="s">
        <v>1228</v>
      </c>
      <c r="C216" s="106" t="s">
        <v>1279</v>
      </c>
      <c r="D216" s="106" t="s">
        <v>2415</v>
      </c>
      <c r="E216" s="71" t="s">
        <v>1280</v>
      </c>
      <c r="F216" s="71" t="s">
        <v>708</v>
      </c>
      <c r="G216" s="109" t="s">
        <v>1207</v>
      </c>
      <c r="H216" s="110">
        <v>6438.0001325745015</v>
      </c>
      <c r="I216" s="111"/>
      <c r="J216" s="112"/>
      <c r="K216" s="113">
        <f t="shared" si="20"/>
        <v>6438.0001325745015</v>
      </c>
      <c r="L216" s="111">
        <v>0</v>
      </c>
      <c r="M216" s="111"/>
      <c r="N216" s="112"/>
      <c r="O216" s="111">
        <v>206</v>
      </c>
      <c r="P216" s="154">
        <v>9.4329028635597972E-2</v>
      </c>
      <c r="Q216" s="111">
        <v>8509</v>
      </c>
      <c r="R216" s="112">
        <v>0</v>
      </c>
      <c r="S216" s="112">
        <v>50.829870859067938</v>
      </c>
      <c r="T216" s="111">
        <f t="shared" si="19"/>
        <v>853.82987085906791</v>
      </c>
      <c r="U216" s="112">
        <v>64.089837170129144</v>
      </c>
      <c r="V216" s="116"/>
      <c r="W216" s="111">
        <v>1948.4545454545455</v>
      </c>
      <c r="X216" s="113">
        <f t="shared" si="21"/>
        <v>3072.3742534837425</v>
      </c>
      <c r="Y216" s="111"/>
      <c r="Z216" s="111"/>
      <c r="AA216" s="116"/>
      <c r="AB216" s="111">
        <v>1945.8333333333335</v>
      </c>
      <c r="AC216" s="113">
        <f t="shared" si="22"/>
        <v>1945.8333333333335</v>
      </c>
      <c r="AD216" s="111">
        <v>9.2424242424242422</v>
      </c>
      <c r="AE216" s="111">
        <v>321.42424242424244</v>
      </c>
      <c r="AF216" s="112">
        <v>20.651515151515152</v>
      </c>
      <c r="AG216" s="117">
        <v>888.86363636363637</v>
      </c>
      <c r="AH216" s="111">
        <v>534.5454545454545</v>
      </c>
      <c r="AI216" s="112">
        <v>125.57575757575758</v>
      </c>
      <c r="AJ216" s="112">
        <v>48.151515151515156</v>
      </c>
      <c r="AK216" s="113">
        <f t="shared" si="23"/>
        <v>1948.4545454545455</v>
      </c>
      <c r="AL216" s="118"/>
      <c r="AM216" s="119"/>
      <c r="AN216" s="119"/>
      <c r="AO216" s="120"/>
    </row>
    <row r="217" spans="1:41" s="121" customFormat="1" ht="16.5" customHeight="1">
      <c r="A217" s="104" t="s">
        <v>2134</v>
      </c>
      <c r="B217" s="105" t="s">
        <v>1231</v>
      </c>
      <c r="C217" s="106" t="s">
        <v>1283</v>
      </c>
      <c r="D217" s="106" t="s">
        <v>2415</v>
      </c>
      <c r="E217" s="71" t="s">
        <v>1284</v>
      </c>
      <c r="F217" s="71" t="s">
        <v>708</v>
      </c>
      <c r="G217" s="109" t="s">
        <v>1207</v>
      </c>
      <c r="H217" s="110">
        <v>16568.522085183893</v>
      </c>
      <c r="I217" s="111"/>
      <c r="J217" s="112"/>
      <c r="K217" s="113">
        <f t="shared" si="20"/>
        <v>16568.522085183893</v>
      </c>
      <c r="L217" s="111">
        <v>26</v>
      </c>
      <c r="M217" s="111"/>
      <c r="N217" s="112"/>
      <c r="O217" s="111">
        <v>2605</v>
      </c>
      <c r="P217" s="154">
        <v>0.1729365524985963</v>
      </c>
      <c r="Q217" s="111">
        <v>8509</v>
      </c>
      <c r="R217" s="112">
        <v>0</v>
      </c>
      <c r="S217" s="112">
        <v>93.188096574957896</v>
      </c>
      <c r="T217" s="111">
        <f t="shared" si="19"/>
        <v>1565.1880965749579</v>
      </c>
      <c r="U217" s="112">
        <v>117.49803481190344</v>
      </c>
      <c r="V217" s="116"/>
      <c r="W217" s="111">
        <v>3572.1666666666665</v>
      </c>
      <c r="X217" s="113">
        <f t="shared" si="21"/>
        <v>7885.8527980535273</v>
      </c>
      <c r="Y217" s="111"/>
      <c r="Z217" s="111"/>
      <c r="AA217" s="116"/>
      <c r="AB217" s="111">
        <v>3567.3611111111109</v>
      </c>
      <c r="AC217" s="113">
        <f t="shared" si="22"/>
        <v>3567.3611111111109</v>
      </c>
      <c r="AD217" s="111">
        <v>16.944444444444443</v>
      </c>
      <c r="AE217" s="111">
        <v>589.27777777777771</v>
      </c>
      <c r="AF217" s="112">
        <v>37.861111111111107</v>
      </c>
      <c r="AG217" s="117">
        <v>1629.5833333333333</v>
      </c>
      <c r="AH217" s="111">
        <v>980</v>
      </c>
      <c r="AI217" s="112">
        <v>230.2222222222222</v>
      </c>
      <c r="AJ217" s="112">
        <v>88.277777777777771</v>
      </c>
      <c r="AK217" s="113">
        <f t="shared" si="23"/>
        <v>3572.1666666666665</v>
      </c>
      <c r="AL217" s="118"/>
      <c r="AM217" s="119"/>
      <c r="AN217" s="119"/>
      <c r="AO217" s="120"/>
    </row>
    <row r="218" spans="1:41" s="121" customFormat="1" ht="16.5" customHeight="1">
      <c r="A218" s="104" t="s">
        <v>2134</v>
      </c>
      <c r="B218" s="105" t="s">
        <v>1235</v>
      </c>
      <c r="C218" s="106" t="s">
        <v>1287</v>
      </c>
      <c r="D218" s="106" t="s">
        <v>2415</v>
      </c>
      <c r="E218" s="71" t="s">
        <v>1288</v>
      </c>
      <c r="F218" s="71" t="s">
        <v>708</v>
      </c>
      <c r="G218" s="109" t="s">
        <v>1207</v>
      </c>
      <c r="H218" s="110">
        <v>48171.82968276726</v>
      </c>
      <c r="I218" s="111"/>
      <c r="J218" s="112"/>
      <c r="K218" s="113">
        <f t="shared" si="20"/>
        <v>48171.82968276726</v>
      </c>
      <c r="L218" s="111">
        <v>6</v>
      </c>
      <c r="M218" s="111"/>
      <c r="N218" s="112"/>
      <c r="O218" s="111">
        <v>1219</v>
      </c>
      <c r="P218" s="154">
        <v>0.45199326221224034</v>
      </c>
      <c r="Q218" s="111">
        <v>8509</v>
      </c>
      <c r="R218" s="112">
        <v>0</v>
      </c>
      <c r="S218" s="112">
        <v>243.55979786636721</v>
      </c>
      <c r="T218" s="111">
        <f t="shared" si="19"/>
        <v>4089.5597978663673</v>
      </c>
      <c r="U218" s="112">
        <v>307.09713644020212</v>
      </c>
      <c r="V218" s="116"/>
      <c r="W218" s="111">
        <v>9336.3446969696961</v>
      </c>
      <c r="X218" s="113">
        <f t="shared" si="21"/>
        <v>14958.001631276265</v>
      </c>
      <c r="Y218" s="111"/>
      <c r="Z218" s="111"/>
      <c r="AA218" s="116"/>
      <c r="AB218" s="111">
        <v>9323.7847222222208</v>
      </c>
      <c r="AC218" s="113">
        <f t="shared" si="22"/>
        <v>9323.7847222222208</v>
      </c>
      <c r="AD218" s="111">
        <v>44.286616161616159</v>
      </c>
      <c r="AE218" s="111">
        <v>1540.1578282828282</v>
      </c>
      <c r="AF218" s="112">
        <v>98.955176767676761</v>
      </c>
      <c r="AG218" s="117">
        <v>4259.1382575757571</v>
      </c>
      <c r="AH218" s="111">
        <v>2561.363636363636</v>
      </c>
      <c r="AI218" s="112">
        <v>601.71717171717171</v>
      </c>
      <c r="AJ218" s="112">
        <v>230.72601010101008</v>
      </c>
      <c r="AK218" s="113">
        <f t="shared" si="23"/>
        <v>9336.3446969696961</v>
      </c>
      <c r="AL218" s="118"/>
      <c r="AM218" s="119"/>
      <c r="AN218" s="119"/>
      <c r="AO218" s="120"/>
    </row>
    <row r="219" spans="1:41" s="121" customFormat="1" ht="16.5" customHeight="1">
      <c r="A219" s="104" t="s">
        <v>2134</v>
      </c>
      <c r="B219" s="105" t="s">
        <v>148</v>
      </c>
      <c r="C219" s="106" t="s">
        <v>1291</v>
      </c>
      <c r="D219" s="106" t="s">
        <v>2415</v>
      </c>
      <c r="E219" s="71" t="s">
        <v>1292</v>
      </c>
      <c r="F219" s="71" t="s">
        <v>708</v>
      </c>
      <c r="G219" s="109" t="s">
        <v>1207</v>
      </c>
      <c r="H219" s="110">
        <v>23224.810162914269</v>
      </c>
      <c r="I219" s="111"/>
      <c r="J219" s="112"/>
      <c r="K219" s="113">
        <f t="shared" si="20"/>
        <v>23224.810162914269</v>
      </c>
      <c r="L219" s="111">
        <v>0</v>
      </c>
      <c r="M219" s="111"/>
      <c r="N219" s="112"/>
      <c r="O219" s="111">
        <v>552</v>
      </c>
      <c r="P219" s="154">
        <v>0.21617069062324537</v>
      </c>
      <c r="Q219" s="111">
        <v>8509</v>
      </c>
      <c r="R219" s="112">
        <v>0</v>
      </c>
      <c r="S219" s="112">
        <v>116.48512071869736</v>
      </c>
      <c r="T219" s="111">
        <f t="shared" si="19"/>
        <v>1955.4851207186973</v>
      </c>
      <c r="U219" s="112">
        <v>146.87254351487928</v>
      </c>
      <c r="V219" s="116"/>
      <c r="W219" s="111">
        <v>4465.2083333333339</v>
      </c>
      <c r="X219" s="113">
        <f t="shared" si="21"/>
        <v>7119.5659975669114</v>
      </c>
      <c r="Y219" s="111"/>
      <c r="Z219" s="111"/>
      <c r="AA219" s="116"/>
      <c r="AB219" s="111">
        <v>4459.2013888888887</v>
      </c>
      <c r="AC219" s="113">
        <f t="shared" si="22"/>
        <v>4459.2013888888887</v>
      </c>
      <c r="AD219" s="111">
        <v>21.180555555555557</v>
      </c>
      <c r="AE219" s="111">
        <v>736.59722222222229</v>
      </c>
      <c r="AF219" s="112">
        <v>47.326388888888893</v>
      </c>
      <c r="AG219" s="117">
        <v>2036.9791666666667</v>
      </c>
      <c r="AH219" s="111">
        <v>1225</v>
      </c>
      <c r="AI219" s="112">
        <v>287.77777777777777</v>
      </c>
      <c r="AJ219" s="112">
        <v>110.34722222222223</v>
      </c>
      <c r="AK219" s="113">
        <f t="shared" si="23"/>
        <v>4465.2083333333339</v>
      </c>
      <c r="AL219" s="118"/>
      <c r="AM219" s="119"/>
      <c r="AN219" s="119"/>
      <c r="AO219" s="120"/>
    </row>
    <row r="220" spans="1:41" s="121" customFormat="1" ht="16.5" customHeight="1">
      <c r="A220" s="104" t="s">
        <v>2134</v>
      </c>
      <c r="B220" s="105" t="s">
        <v>1241</v>
      </c>
      <c r="C220" s="106" t="s">
        <v>1295</v>
      </c>
      <c r="D220" s="106" t="s">
        <v>2415</v>
      </c>
      <c r="E220" s="71" t="s">
        <v>1296</v>
      </c>
      <c r="F220" s="71" t="s">
        <v>708</v>
      </c>
      <c r="G220" s="109" t="s">
        <v>1207</v>
      </c>
      <c r="H220" s="110">
        <v>17955.004491390959</v>
      </c>
      <c r="I220" s="111"/>
      <c r="J220" s="112"/>
      <c r="K220" s="113">
        <f t="shared" si="20"/>
        <v>17955.004491390959</v>
      </c>
      <c r="L220" s="111">
        <v>0</v>
      </c>
      <c r="M220" s="111"/>
      <c r="N220" s="112"/>
      <c r="O220" s="111">
        <v>812</v>
      </c>
      <c r="P220" s="154">
        <v>0.17686692869174619</v>
      </c>
      <c r="Q220" s="111">
        <v>8509</v>
      </c>
      <c r="R220" s="112">
        <v>0</v>
      </c>
      <c r="S220" s="112">
        <v>95.306007860752388</v>
      </c>
      <c r="T220" s="111">
        <f t="shared" si="19"/>
        <v>1600.3060078607523</v>
      </c>
      <c r="U220" s="112">
        <v>120.16844469399214</v>
      </c>
      <c r="V220" s="116"/>
      <c r="W220" s="111">
        <v>3653.3522727272725</v>
      </c>
      <c r="X220" s="113">
        <f t="shared" si="21"/>
        <v>6185.8267252820169</v>
      </c>
      <c r="Y220" s="111"/>
      <c r="Z220" s="111"/>
      <c r="AA220" s="116"/>
      <c r="AB220" s="111">
        <v>3648.4375</v>
      </c>
      <c r="AC220" s="113">
        <f t="shared" si="22"/>
        <v>3648.4375</v>
      </c>
      <c r="AD220" s="111">
        <v>17.329545454545453</v>
      </c>
      <c r="AE220" s="111">
        <v>602.6704545454545</v>
      </c>
      <c r="AF220" s="112">
        <v>38.721590909090907</v>
      </c>
      <c r="AG220" s="117">
        <v>1666.619318181818</v>
      </c>
      <c r="AH220" s="111">
        <v>1002.2727272727273</v>
      </c>
      <c r="AI220" s="112">
        <v>235.45454545454544</v>
      </c>
      <c r="AJ220" s="112">
        <v>90.284090909090907</v>
      </c>
      <c r="AK220" s="113">
        <f t="shared" si="23"/>
        <v>3653.3522727272725</v>
      </c>
      <c r="AL220" s="118"/>
      <c r="AM220" s="119"/>
      <c r="AN220" s="119"/>
      <c r="AO220" s="120"/>
    </row>
    <row r="221" spans="1:41" s="121" customFormat="1" ht="16.5" customHeight="1">
      <c r="A221" s="104" t="s">
        <v>2134</v>
      </c>
      <c r="B221" s="105" t="s">
        <v>1245</v>
      </c>
      <c r="C221" s="106" t="s">
        <v>1299</v>
      </c>
      <c r="D221" s="106" t="s">
        <v>2415</v>
      </c>
      <c r="E221" s="71" t="s">
        <v>1300</v>
      </c>
      <c r="F221" s="71" t="s">
        <v>708</v>
      </c>
      <c r="G221" s="109" t="s">
        <v>1207</v>
      </c>
      <c r="H221" s="110">
        <v>12464.203717599685</v>
      </c>
      <c r="I221" s="111"/>
      <c r="J221" s="112"/>
      <c r="K221" s="113">
        <f t="shared" si="20"/>
        <v>12464.203717599685</v>
      </c>
      <c r="L221" s="111">
        <v>0</v>
      </c>
      <c r="M221" s="111"/>
      <c r="N221" s="112"/>
      <c r="O221" s="111">
        <v>793</v>
      </c>
      <c r="P221" s="154">
        <v>0.12184166198764738</v>
      </c>
      <c r="Q221" s="111">
        <v>8509</v>
      </c>
      <c r="R221" s="112">
        <v>0</v>
      </c>
      <c r="S221" s="112">
        <v>65.655249859629421</v>
      </c>
      <c r="T221" s="111">
        <f t="shared" si="19"/>
        <v>1102.6552498596295</v>
      </c>
      <c r="U221" s="112">
        <v>82.782706344750139</v>
      </c>
      <c r="V221" s="116"/>
      <c r="W221" s="111">
        <v>2516.753787878788</v>
      </c>
      <c r="X221" s="113">
        <f t="shared" si="21"/>
        <v>4495.1917440831676</v>
      </c>
      <c r="Y221" s="111"/>
      <c r="Z221" s="111"/>
      <c r="AA221" s="116"/>
      <c r="AB221" s="111">
        <v>2513.3680555555557</v>
      </c>
      <c r="AC221" s="113">
        <f t="shared" si="22"/>
        <v>2513.3680555555557</v>
      </c>
      <c r="AD221" s="111">
        <v>11.938131313131313</v>
      </c>
      <c r="AE221" s="111">
        <v>415.17297979797985</v>
      </c>
      <c r="AF221" s="112">
        <v>26.674873737373741</v>
      </c>
      <c r="AG221" s="117">
        <v>1148.1155303030305</v>
      </c>
      <c r="AH221" s="111">
        <v>690.4545454545455</v>
      </c>
      <c r="AI221" s="112">
        <v>162.20202020202021</v>
      </c>
      <c r="AJ221" s="112">
        <v>62.195707070707073</v>
      </c>
      <c r="AK221" s="113">
        <f t="shared" si="23"/>
        <v>2516.7537878787884</v>
      </c>
      <c r="AL221" s="118"/>
      <c r="AM221" s="119"/>
      <c r="AN221" s="119"/>
      <c r="AO221" s="120"/>
    </row>
    <row r="222" spans="1:41" s="121" customFormat="1" ht="16.5" customHeight="1">
      <c r="A222" s="104" t="s">
        <v>2134</v>
      </c>
      <c r="B222" s="105" t="s">
        <v>1249</v>
      </c>
      <c r="C222" s="106" t="s">
        <v>1304</v>
      </c>
      <c r="D222" s="106" t="s">
        <v>2415</v>
      </c>
      <c r="E222" s="71" t="s">
        <v>1305</v>
      </c>
      <c r="F222" s="71" t="s">
        <v>708</v>
      </c>
      <c r="G222" s="109" t="s">
        <v>1207</v>
      </c>
      <c r="H222" s="110">
        <v>31907.228741317362</v>
      </c>
      <c r="I222" s="111"/>
      <c r="J222" s="112"/>
      <c r="K222" s="113">
        <f t="shared" si="20"/>
        <v>31907.228741317362</v>
      </c>
      <c r="L222" s="111">
        <v>31</v>
      </c>
      <c r="M222" s="111"/>
      <c r="N222" s="112"/>
      <c r="O222" s="111">
        <v>2035</v>
      </c>
      <c r="P222" s="154">
        <v>0.36159460976979224</v>
      </c>
      <c r="Q222" s="111">
        <v>8509</v>
      </c>
      <c r="R222" s="112">
        <v>0</v>
      </c>
      <c r="S222" s="112">
        <v>194.84783829309379</v>
      </c>
      <c r="T222" s="111">
        <f t="shared" si="19"/>
        <v>3271.8478382930939</v>
      </c>
      <c r="U222" s="112">
        <v>245.67770915216173</v>
      </c>
      <c r="V222" s="116"/>
      <c r="W222" s="111">
        <v>7469.0757575757571</v>
      </c>
      <c r="X222" s="113">
        <f t="shared" si="21"/>
        <v>13052.601305021013</v>
      </c>
      <c r="Y222" s="111"/>
      <c r="Z222" s="111"/>
      <c r="AA222" s="116"/>
      <c r="AB222" s="111">
        <v>7459.0277777777774</v>
      </c>
      <c r="AC222" s="113">
        <f t="shared" si="22"/>
        <v>7459.0277777777774</v>
      </c>
      <c r="AD222" s="111">
        <v>35.429292929292927</v>
      </c>
      <c r="AE222" s="111">
        <v>1232.1262626262626</v>
      </c>
      <c r="AF222" s="112">
        <v>79.164141414141412</v>
      </c>
      <c r="AG222" s="117">
        <v>3407.310606060606</v>
      </c>
      <c r="AH222" s="111">
        <v>2049.090909090909</v>
      </c>
      <c r="AI222" s="112">
        <v>481.37373737373736</v>
      </c>
      <c r="AJ222" s="112">
        <v>184.58080808080808</v>
      </c>
      <c r="AK222" s="113">
        <f t="shared" si="23"/>
        <v>7469.075757575758</v>
      </c>
      <c r="AL222" s="118"/>
      <c r="AM222" s="119"/>
      <c r="AN222" s="119"/>
      <c r="AO222" s="120"/>
    </row>
    <row r="223" spans="1:41" s="121" customFormat="1" ht="16.5" customHeight="1">
      <c r="A223" s="104" t="s">
        <v>2134</v>
      </c>
      <c r="B223" s="105" t="s">
        <v>1252</v>
      </c>
      <c r="C223" s="106" t="s">
        <v>1308</v>
      </c>
      <c r="D223" s="106" t="s">
        <v>2415</v>
      </c>
      <c r="E223" s="71" t="s">
        <v>1309</v>
      </c>
      <c r="F223" s="71" t="s">
        <v>708</v>
      </c>
      <c r="G223" s="109" t="s">
        <v>1207</v>
      </c>
      <c r="H223" s="110">
        <v>23825.406377514028</v>
      </c>
      <c r="I223" s="111"/>
      <c r="J223" s="112"/>
      <c r="K223" s="113">
        <f t="shared" si="20"/>
        <v>23825.406377514028</v>
      </c>
      <c r="L223" s="111">
        <v>0</v>
      </c>
      <c r="M223" s="111"/>
      <c r="N223" s="112"/>
      <c r="O223" s="111">
        <v>99</v>
      </c>
      <c r="P223" s="154">
        <v>0.20044918585064572</v>
      </c>
      <c r="Q223" s="111">
        <v>8509</v>
      </c>
      <c r="R223" s="112">
        <v>0</v>
      </c>
      <c r="S223" s="112">
        <v>108.01347557551938</v>
      </c>
      <c r="T223" s="111">
        <f t="shared" si="19"/>
        <v>1814.0134755755194</v>
      </c>
      <c r="U223" s="112">
        <v>136.19090398652443</v>
      </c>
      <c r="V223" s="116"/>
      <c r="W223" s="111">
        <v>4140.465909090909</v>
      </c>
      <c r="X223" s="113">
        <f t="shared" si="21"/>
        <v>6189.6702886529529</v>
      </c>
      <c r="Y223" s="111"/>
      <c r="Z223" s="111"/>
      <c r="AA223" s="116"/>
      <c r="AB223" s="111">
        <v>4134.895833333333</v>
      </c>
      <c r="AC223" s="113">
        <f t="shared" si="22"/>
        <v>4134.895833333333</v>
      </c>
      <c r="AD223" s="111">
        <v>19.640151515151516</v>
      </c>
      <c r="AE223" s="111">
        <v>683.02651515151513</v>
      </c>
      <c r="AF223" s="112">
        <v>43.884469696969695</v>
      </c>
      <c r="AG223" s="117">
        <v>1888.8352272727273</v>
      </c>
      <c r="AH223" s="111">
        <v>1135.909090909091</v>
      </c>
      <c r="AI223" s="112">
        <v>266.84848484848482</v>
      </c>
      <c r="AJ223" s="112">
        <v>102.32196969696969</v>
      </c>
      <c r="AK223" s="113">
        <f t="shared" si="23"/>
        <v>4140.465909090909</v>
      </c>
      <c r="AL223" s="118"/>
      <c r="AM223" s="119"/>
      <c r="AN223" s="119"/>
      <c r="AO223" s="120"/>
    </row>
    <row r="224" spans="1:41" s="121" customFormat="1" ht="16.5" customHeight="1">
      <c r="A224" s="104" t="s">
        <v>2134</v>
      </c>
      <c r="B224" s="105" t="s">
        <v>1253</v>
      </c>
      <c r="C224" s="106" t="s">
        <v>1312</v>
      </c>
      <c r="D224" s="106" t="s">
        <v>2415</v>
      </c>
      <c r="E224" s="71" t="s">
        <v>1313</v>
      </c>
      <c r="F224" s="71" t="s">
        <v>78</v>
      </c>
      <c r="G224" s="109" t="s">
        <v>304</v>
      </c>
      <c r="H224" s="143"/>
      <c r="I224" s="112"/>
      <c r="J224" s="112"/>
      <c r="K224" s="113">
        <f t="shared" si="20"/>
        <v>0</v>
      </c>
      <c r="L224" s="111">
        <v>1202</v>
      </c>
      <c r="M224" s="111">
        <v>26</v>
      </c>
      <c r="N224" s="112">
        <v>0</v>
      </c>
      <c r="O224" s="111">
        <v>1468</v>
      </c>
      <c r="P224" s="114"/>
      <c r="Q224" s="111">
        <v>8509</v>
      </c>
      <c r="R224" s="112"/>
      <c r="S224" s="112"/>
      <c r="T224" s="111">
        <f t="shared" si="19"/>
        <v>0</v>
      </c>
      <c r="U224" s="112">
        <v>52</v>
      </c>
      <c r="V224" s="116">
        <v>0</v>
      </c>
      <c r="W224" s="112"/>
      <c r="X224" s="113">
        <f t="shared" si="21"/>
        <v>2748</v>
      </c>
      <c r="Y224" s="111"/>
      <c r="Z224" s="111"/>
      <c r="AA224" s="116"/>
      <c r="AB224" s="111"/>
      <c r="AC224" s="113">
        <f t="shared" si="22"/>
        <v>0</v>
      </c>
      <c r="AD224" s="111"/>
      <c r="AE224" s="111"/>
      <c r="AF224" s="112"/>
      <c r="AG224" s="117"/>
      <c r="AH224" s="111"/>
      <c r="AI224" s="112"/>
      <c r="AJ224" s="112"/>
      <c r="AK224" s="113">
        <f t="shared" si="23"/>
        <v>0</v>
      </c>
      <c r="AL224" s="118"/>
      <c r="AM224" s="119"/>
      <c r="AN224" s="119"/>
      <c r="AO224" s="120"/>
    </row>
    <row r="225" spans="1:54" s="121" customFormat="1" ht="16.5" customHeight="1">
      <c r="A225" s="104" t="s">
        <v>2134</v>
      </c>
      <c r="B225" s="105" t="s">
        <v>1254</v>
      </c>
      <c r="C225" s="106" t="s">
        <v>1320</v>
      </c>
      <c r="D225" s="106" t="s">
        <v>2415</v>
      </c>
      <c r="E225" s="71" t="s">
        <v>1321</v>
      </c>
      <c r="F225" s="71" t="s">
        <v>78</v>
      </c>
      <c r="G225" s="109" t="s">
        <v>304</v>
      </c>
      <c r="H225" s="143"/>
      <c r="I225" s="112"/>
      <c r="J225" s="112"/>
      <c r="K225" s="113">
        <f t="shared" si="20"/>
        <v>0</v>
      </c>
      <c r="L225" s="111">
        <v>11</v>
      </c>
      <c r="M225" s="111">
        <v>2074</v>
      </c>
      <c r="N225" s="112">
        <v>0</v>
      </c>
      <c r="O225" s="111">
        <v>281</v>
      </c>
      <c r="P225" s="114"/>
      <c r="Q225" s="111">
        <v>8509</v>
      </c>
      <c r="R225" s="112"/>
      <c r="S225" s="112"/>
      <c r="T225" s="111">
        <f t="shared" si="19"/>
        <v>0</v>
      </c>
      <c r="U225" s="112">
        <v>79</v>
      </c>
      <c r="V225" s="116">
        <v>0</v>
      </c>
      <c r="W225" s="112"/>
      <c r="X225" s="113">
        <f t="shared" si="21"/>
        <v>2445</v>
      </c>
      <c r="Y225" s="111"/>
      <c r="Z225" s="111"/>
      <c r="AA225" s="116"/>
      <c r="AB225" s="111"/>
      <c r="AC225" s="113">
        <f t="shared" si="22"/>
        <v>0</v>
      </c>
      <c r="AD225" s="111"/>
      <c r="AE225" s="111"/>
      <c r="AF225" s="112"/>
      <c r="AG225" s="117"/>
      <c r="AH225" s="111"/>
      <c r="AI225" s="112"/>
      <c r="AJ225" s="112"/>
      <c r="AK225" s="113">
        <f t="shared" si="23"/>
        <v>0</v>
      </c>
      <c r="AL225" s="118"/>
      <c r="AM225" s="119"/>
      <c r="AN225" s="119"/>
      <c r="AO225" s="120"/>
    </row>
    <row r="226" spans="1:54" s="121" customFormat="1" ht="16.5" customHeight="1">
      <c r="A226" s="104" t="s">
        <v>2134</v>
      </c>
      <c r="B226" s="105" t="s">
        <v>1258</v>
      </c>
      <c r="C226" s="106" t="s">
        <v>1328</v>
      </c>
      <c r="D226" s="106" t="s">
        <v>2415</v>
      </c>
      <c r="E226" s="71" t="s">
        <v>1329</v>
      </c>
      <c r="F226" s="71" t="s">
        <v>78</v>
      </c>
      <c r="G226" s="109" t="s">
        <v>304</v>
      </c>
      <c r="H226" s="143">
        <v>4450</v>
      </c>
      <c r="I226" s="112"/>
      <c r="J226" s="112"/>
      <c r="K226" s="113">
        <f t="shared" si="20"/>
        <v>4450</v>
      </c>
      <c r="L226" s="111">
        <v>751</v>
      </c>
      <c r="M226" s="111">
        <v>51</v>
      </c>
      <c r="N226" s="112">
        <v>0</v>
      </c>
      <c r="O226" s="111">
        <v>107</v>
      </c>
      <c r="P226" s="114"/>
      <c r="Q226" s="111">
        <v>8509</v>
      </c>
      <c r="R226" s="112"/>
      <c r="S226" s="112"/>
      <c r="T226" s="111">
        <f t="shared" si="19"/>
        <v>0</v>
      </c>
      <c r="U226" s="112">
        <v>32</v>
      </c>
      <c r="V226" s="116">
        <v>0</v>
      </c>
      <c r="W226" s="112"/>
      <c r="X226" s="113">
        <f t="shared" si="21"/>
        <v>941</v>
      </c>
      <c r="Y226" s="111"/>
      <c r="Z226" s="111"/>
      <c r="AA226" s="116"/>
      <c r="AB226" s="111"/>
      <c r="AC226" s="113">
        <f t="shared" si="22"/>
        <v>0</v>
      </c>
      <c r="AD226" s="111"/>
      <c r="AE226" s="111"/>
      <c r="AF226" s="112"/>
      <c r="AG226" s="117"/>
      <c r="AH226" s="111"/>
      <c r="AI226" s="112"/>
      <c r="AJ226" s="112"/>
      <c r="AK226" s="113">
        <f t="shared" si="23"/>
        <v>0</v>
      </c>
      <c r="AL226" s="118"/>
      <c r="AM226" s="119"/>
      <c r="AN226" s="119"/>
      <c r="AO226" s="120"/>
    </row>
    <row r="227" spans="1:54" s="121" customFormat="1" ht="16.5" customHeight="1">
      <c r="A227" s="104" t="s">
        <v>2134</v>
      </c>
      <c r="B227" s="105" t="s">
        <v>1263</v>
      </c>
      <c r="C227" s="106" t="s">
        <v>1336</v>
      </c>
      <c r="D227" s="106" t="s">
        <v>2415</v>
      </c>
      <c r="E227" s="71" t="s">
        <v>1337</v>
      </c>
      <c r="F227" s="71" t="s">
        <v>78</v>
      </c>
      <c r="G227" s="109" t="s">
        <v>304</v>
      </c>
      <c r="H227" s="143"/>
      <c r="I227" s="112"/>
      <c r="J227" s="112"/>
      <c r="K227" s="113">
        <f t="shared" si="20"/>
        <v>0</v>
      </c>
      <c r="L227" s="111">
        <v>0</v>
      </c>
      <c r="M227" s="111">
        <v>26</v>
      </c>
      <c r="N227" s="112">
        <v>0</v>
      </c>
      <c r="O227" s="111">
        <v>758</v>
      </c>
      <c r="P227" s="114"/>
      <c r="Q227" s="111">
        <v>8509</v>
      </c>
      <c r="R227" s="112"/>
      <c r="S227" s="112"/>
      <c r="T227" s="111">
        <f t="shared" si="19"/>
        <v>0</v>
      </c>
      <c r="U227" s="112">
        <v>27</v>
      </c>
      <c r="V227" s="116">
        <v>0</v>
      </c>
      <c r="W227" s="112"/>
      <c r="X227" s="113">
        <f t="shared" si="21"/>
        <v>811</v>
      </c>
      <c r="Y227" s="111"/>
      <c r="Z227" s="111"/>
      <c r="AA227" s="116"/>
      <c r="AB227" s="111"/>
      <c r="AC227" s="113">
        <f t="shared" si="22"/>
        <v>0</v>
      </c>
      <c r="AD227" s="111"/>
      <c r="AE227" s="111"/>
      <c r="AF227" s="112"/>
      <c r="AG227" s="117"/>
      <c r="AH227" s="111"/>
      <c r="AI227" s="112"/>
      <c r="AJ227" s="112"/>
      <c r="AK227" s="113">
        <f t="shared" si="23"/>
        <v>0</v>
      </c>
      <c r="AL227" s="118"/>
      <c r="AM227" s="119"/>
      <c r="AN227" s="119"/>
      <c r="AO227" s="120"/>
    </row>
    <row r="228" spans="1:54" s="121" customFormat="1" ht="16.5" customHeight="1">
      <c r="A228" s="104" t="s">
        <v>2134</v>
      </c>
      <c r="B228" s="105" t="s">
        <v>1267</v>
      </c>
      <c r="C228" s="106" t="s">
        <v>1342</v>
      </c>
      <c r="D228" s="106" t="s">
        <v>2415</v>
      </c>
      <c r="E228" s="71" t="s">
        <v>1343</v>
      </c>
      <c r="F228" s="71" t="s">
        <v>78</v>
      </c>
      <c r="G228" s="109" t="s">
        <v>304</v>
      </c>
      <c r="H228" s="110">
        <v>713</v>
      </c>
      <c r="I228" s="112"/>
      <c r="J228" s="112"/>
      <c r="K228" s="113">
        <f t="shared" si="20"/>
        <v>713</v>
      </c>
      <c r="L228" s="111">
        <v>1122</v>
      </c>
      <c r="M228" s="111">
        <v>2012</v>
      </c>
      <c r="N228" s="112">
        <v>0</v>
      </c>
      <c r="O228" s="111">
        <v>2861</v>
      </c>
      <c r="P228" s="114">
        <v>0.9</v>
      </c>
      <c r="Q228" s="111">
        <v>8509</v>
      </c>
      <c r="R228" s="112"/>
      <c r="S228" s="112"/>
      <c r="T228" s="111">
        <f t="shared" si="19"/>
        <v>7658</v>
      </c>
      <c r="U228" s="112">
        <v>316</v>
      </c>
      <c r="V228" s="116">
        <v>0</v>
      </c>
      <c r="W228" s="112"/>
      <c r="X228" s="113">
        <f t="shared" si="21"/>
        <v>13969</v>
      </c>
      <c r="Y228" s="111"/>
      <c r="Z228" s="111"/>
      <c r="AA228" s="116"/>
      <c r="AB228" s="111"/>
      <c r="AC228" s="113">
        <f t="shared" si="22"/>
        <v>0</v>
      </c>
      <c r="AD228" s="111"/>
      <c r="AE228" s="111"/>
      <c r="AF228" s="112"/>
      <c r="AG228" s="117"/>
      <c r="AH228" s="111"/>
      <c r="AI228" s="112"/>
      <c r="AJ228" s="112"/>
      <c r="AK228" s="113">
        <f t="shared" si="23"/>
        <v>0</v>
      </c>
      <c r="AL228" s="118"/>
      <c r="AM228" s="119"/>
      <c r="AN228" s="119"/>
      <c r="AO228" s="120"/>
    </row>
    <row r="229" spans="1:54" s="121" customFormat="1" ht="16.5" customHeight="1">
      <c r="A229" s="104" t="s">
        <v>2134</v>
      </c>
      <c r="B229" s="105" t="s">
        <v>157</v>
      </c>
      <c r="C229" s="106" t="s">
        <v>1348</v>
      </c>
      <c r="D229" s="106" t="s">
        <v>2415</v>
      </c>
      <c r="E229" s="71" t="s">
        <v>1349</v>
      </c>
      <c r="F229" s="71" t="s">
        <v>78</v>
      </c>
      <c r="G229" s="109" t="s">
        <v>304</v>
      </c>
      <c r="H229" s="143"/>
      <c r="I229" s="112"/>
      <c r="J229" s="112"/>
      <c r="K229" s="113">
        <f t="shared" si="20"/>
        <v>0</v>
      </c>
      <c r="L229" s="111">
        <v>466</v>
      </c>
      <c r="M229" s="111">
        <v>195</v>
      </c>
      <c r="N229" s="112">
        <v>0</v>
      </c>
      <c r="O229" s="111">
        <v>267</v>
      </c>
      <c r="P229" s="114"/>
      <c r="Q229" s="111">
        <v>8509</v>
      </c>
      <c r="R229" s="112"/>
      <c r="S229" s="112"/>
      <c r="T229" s="111">
        <f t="shared" si="19"/>
        <v>0</v>
      </c>
      <c r="U229" s="112">
        <v>66</v>
      </c>
      <c r="V229" s="116">
        <v>0</v>
      </c>
      <c r="W229" s="112"/>
      <c r="X229" s="113">
        <f t="shared" si="21"/>
        <v>994</v>
      </c>
      <c r="Y229" s="111"/>
      <c r="Z229" s="111"/>
      <c r="AA229" s="116"/>
      <c r="AB229" s="111"/>
      <c r="AC229" s="113">
        <f t="shared" si="22"/>
        <v>0</v>
      </c>
      <c r="AD229" s="111"/>
      <c r="AE229" s="111"/>
      <c r="AF229" s="112"/>
      <c r="AG229" s="117"/>
      <c r="AH229" s="111"/>
      <c r="AI229" s="112"/>
      <c r="AJ229" s="112"/>
      <c r="AK229" s="113">
        <f t="shared" si="23"/>
        <v>0</v>
      </c>
      <c r="AL229" s="118"/>
      <c r="AM229" s="119"/>
      <c r="AN229" s="119"/>
      <c r="AO229" s="120"/>
    </row>
    <row r="230" spans="1:54" s="121" customFormat="1" ht="16.5" customHeight="1">
      <c r="A230" s="104" t="s">
        <v>2134</v>
      </c>
      <c r="B230" s="105" t="s">
        <v>1274</v>
      </c>
      <c r="C230" s="106" t="s">
        <v>1357</v>
      </c>
      <c r="D230" s="106" t="s">
        <v>2415</v>
      </c>
      <c r="E230" s="71" t="s">
        <v>1358</v>
      </c>
      <c r="F230" s="71" t="s">
        <v>78</v>
      </c>
      <c r="G230" s="109" t="s">
        <v>304</v>
      </c>
      <c r="H230" s="143"/>
      <c r="I230" s="112"/>
      <c r="J230" s="112"/>
      <c r="K230" s="113">
        <f t="shared" si="20"/>
        <v>0</v>
      </c>
      <c r="L230" s="111">
        <v>64</v>
      </c>
      <c r="M230" s="111">
        <v>26</v>
      </c>
      <c r="N230" s="112">
        <v>0</v>
      </c>
      <c r="O230" s="111">
        <v>83</v>
      </c>
      <c r="P230" s="114"/>
      <c r="Q230" s="111">
        <v>8509</v>
      </c>
      <c r="R230" s="112"/>
      <c r="S230" s="112"/>
      <c r="T230" s="111">
        <f t="shared" si="19"/>
        <v>0</v>
      </c>
      <c r="U230" s="112">
        <v>0</v>
      </c>
      <c r="V230" s="116">
        <v>0</v>
      </c>
      <c r="W230" s="112"/>
      <c r="X230" s="113">
        <f t="shared" si="21"/>
        <v>173</v>
      </c>
      <c r="Y230" s="111"/>
      <c r="Z230" s="111"/>
      <c r="AA230" s="116"/>
      <c r="AB230" s="111"/>
      <c r="AC230" s="113">
        <f t="shared" si="22"/>
        <v>0</v>
      </c>
      <c r="AD230" s="111"/>
      <c r="AE230" s="111"/>
      <c r="AF230" s="112"/>
      <c r="AG230" s="117"/>
      <c r="AH230" s="111"/>
      <c r="AI230" s="112"/>
      <c r="AJ230" s="112"/>
      <c r="AK230" s="113">
        <f t="shared" si="23"/>
        <v>0</v>
      </c>
      <c r="AL230" s="118"/>
      <c r="AM230" s="119"/>
      <c r="AN230" s="119"/>
      <c r="AO230" s="120"/>
      <c r="BB230" s="64"/>
    </row>
    <row r="231" spans="1:54" s="121" customFormat="1" ht="16.5" customHeight="1">
      <c r="A231" s="104" t="s">
        <v>2134</v>
      </c>
      <c r="B231" s="105" t="s">
        <v>1278</v>
      </c>
      <c r="C231" s="106" t="s">
        <v>1361</v>
      </c>
      <c r="D231" s="106" t="s">
        <v>2415</v>
      </c>
      <c r="E231" s="71" t="s">
        <v>1362</v>
      </c>
      <c r="F231" s="71" t="s">
        <v>1363</v>
      </c>
      <c r="G231" s="109" t="s">
        <v>1364</v>
      </c>
      <c r="H231" s="143">
        <v>0</v>
      </c>
      <c r="I231" s="112">
        <v>0</v>
      </c>
      <c r="J231" s="112">
        <v>0</v>
      </c>
      <c r="K231" s="113">
        <f t="shared" si="20"/>
        <v>0</v>
      </c>
      <c r="L231" s="111">
        <v>187</v>
      </c>
      <c r="M231" s="111">
        <v>4622</v>
      </c>
      <c r="N231" s="115">
        <v>0</v>
      </c>
      <c r="O231" s="111">
        <v>1201</v>
      </c>
      <c r="P231" s="114">
        <v>0.1</v>
      </c>
      <c r="Q231" s="111">
        <v>8509</v>
      </c>
      <c r="R231" s="112">
        <v>0</v>
      </c>
      <c r="S231" s="112">
        <v>0</v>
      </c>
      <c r="T231" s="111">
        <f t="shared" si="19"/>
        <v>851</v>
      </c>
      <c r="U231" s="115">
        <v>8</v>
      </c>
      <c r="V231" s="116">
        <v>107</v>
      </c>
      <c r="W231" s="112">
        <v>0</v>
      </c>
      <c r="X231" s="113">
        <f t="shared" si="21"/>
        <v>6976</v>
      </c>
      <c r="Y231" s="111">
        <v>0</v>
      </c>
      <c r="Z231" s="111">
        <v>0</v>
      </c>
      <c r="AA231" s="116">
        <v>0</v>
      </c>
      <c r="AB231" s="111">
        <v>0</v>
      </c>
      <c r="AC231" s="113">
        <f t="shared" si="22"/>
        <v>0</v>
      </c>
      <c r="AD231" s="111">
        <v>0</v>
      </c>
      <c r="AE231" s="111">
        <v>0</v>
      </c>
      <c r="AF231" s="112">
        <v>0</v>
      </c>
      <c r="AG231" s="117">
        <v>0</v>
      </c>
      <c r="AH231" s="111">
        <v>0</v>
      </c>
      <c r="AI231" s="112">
        <v>0</v>
      </c>
      <c r="AJ231" s="112">
        <v>0</v>
      </c>
      <c r="AK231" s="113">
        <f t="shared" si="23"/>
        <v>0</v>
      </c>
      <c r="AL231" s="118"/>
      <c r="AM231" s="119" t="s">
        <v>1851</v>
      </c>
      <c r="AN231" s="119"/>
      <c r="AO231" s="120"/>
    </row>
    <row r="232" spans="1:54" s="121" customFormat="1" ht="16.5" customHeight="1">
      <c r="A232" s="104" t="s">
        <v>2134</v>
      </c>
      <c r="B232" s="105" t="s">
        <v>1966</v>
      </c>
      <c r="C232" s="106" t="s">
        <v>1369</v>
      </c>
      <c r="D232" s="106" t="s">
        <v>2415</v>
      </c>
      <c r="E232" s="71" t="s">
        <v>1370</v>
      </c>
      <c r="F232" s="71" t="s">
        <v>139</v>
      </c>
      <c r="G232" s="109" t="s">
        <v>1135</v>
      </c>
      <c r="H232" s="110">
        <v>0</v>
      </c>
      <c r="I232" s="111">
        <v>0</v>
      </c>
      <c r="J232" s="112">
        <v>0</v>
      </c>
      <c r="K232" s="113">
        <f t="shared" si="20"/>
        <v>0</v>
      </c>
      <c r="L232" s="111">
        <v>67</v>
      </c>
      <c r="M232" s="115">
        <v>13</v>
      </c>
      <c r="N232" s="115">
        <v>0</v>
      </c>
      <c r="O232" s="111">
        <v>0</v>
      </c>
      <c r="P232" s="114">
        <v>0</v>
      </c>
      <c r="Q232" s="111">
        <v>8509</v>
      </c>
      <c r="R232" s="112">
        <v>0</v>
      </c>
      <c r="S232" s="112">
        <v>0</v>
      </c>
      <c r="T232" s="111">
        <f t="shared" si="19"/>
        <v>0</v>
      </c>
      <c r="U232" s="112">
        <v>8</v>
      </c>
      <c r="V232" s="144">
        <v>0</v>
      </c>
      <c r="W232" s="111">
        <v>0</v>
      </c>
      <c r="X232" s="113">
        <f t="shared" si="21"/>
        <v>88</v>
      </c>
      <c r="Y232" s="111"/>
      <c r="Z232" s="111"/>
      <c r="AA232" s="116"/>
      <c r="AB232" s="111"/>
      <c r="AC232" s="113">
        <f t="shared" si="22"/>
        <v>0</v>
      </c>
      <c r="AD232" s="111"/>
      <c r="AE232" s="111"/>
      <c r="AF232" s="112"/>
      <c r="AG232" s="117"/>
      <c r="AH232" s="111"/>
      <c r="AI232" s="112"/>
      <c r="AJ232" s="112"/>
      <c r="AK232" s="113">
        <f t="shared" si="23"/>
        <v>0</v>
      </c>
      <c r="AL232" s="118"/>
      <c r="AM232" s="119"/>
      <c r="AN232" s="119"/>
      <c r="AO232" s="120"/>
    </row>
    <row r="233" spans="1:54" s="121" customFormat="1" ht="16.5" customHeight="1">
      <c r="A233" s="104" t="s">
        <v>2134</v>
      </c>
      <c r="B233" s="105" t="s">
        <v>1282</v>
      </c>
      <c r="C233" s="106" t="s">
        <v>1371</v>
      </c>
      <c r="D233" s="106" t="s">
        <v>2415</v>
      </c>
      <c r="E233" s="71" t="s">
        <v>1372</v>
      </c>
      <c r="F233" s="71" t="s">
        <v>170</v>
      </c>
      <c r="G233" s="109" t="s">
        <v>1373</v>
      </c>
      <c r="H233" s="110">
        <v>922</v>
      </c>
      <c r="I233" s="111">
        <v>0</v>
      </c>
      <c r="J233" s="112">
        <v>716</v>
      </c>
      <c r="K233" s="113">
        <f t="shared" si="20"/>
        <v>1638</v>
      </c>
      <c r="L233" s="112">
        <v>0</v>
      </c>
      <c r="M233" s="112">
        <v>0</v>
      </c>
      <c r="N233" s="112">
        <v>0</v>
      </c>
      <c r="O233" s="112">
        <v>1664</v>
      </c>
      <c r="P233" s="114"/>
      <c r="Q233" s="111">
        <v>8509</v>
      </c>
      <c r="R233" s="112"/>
      <c r="S233" s="112"/>
      <c r="T233" s="111">
        <f t="shared" si="19"/>
        <v>0</v>
      </c>
      <c r="U233" s="112">
        <v>48</v>
      </c>
      <c r="V233" s="116">
        <v>0</v>
      </c>
      <c r="W233" s="111">
        <v>0</v>
      </c>
      <c r="X233" s="113">
        <f t="shared" si="21"/>
        <v>1712</v>
      </c>
      <c r="Y233" s="111">
        <v>119458</v>
      </c>
      <c r="Z233" s="111">
        <v>108249</v>
      </c>
      <c r="AA233" s="116">
        <v>19</v>
      </c>
      <c r="AB233" s="111">
        <v>0</v>
      </c>
      <c r="AC233" s="113">
        <f t="shared" si="22"/>
        <v>227726</v>
      </c>
      <c r="AD233" s="111">
        <v>31388</v>
      </c>
      <c r="AE233" s="111">
        <v>27764</v>
      </c>
      <c r="AF233" s="112">
        <v>0</v>
      </c>
      <c r="AG233" s="117">
        <v>6060</v>
      </c>
      <c r="AH233" s="111">
        <v>143908</v>
      </c>
      <c r="AI233" s="112">
        <v>8803</v>
      </c>
      <c r="AJ233" s="112">
        <v>15994</v>
      </c>
      <c r="AK233" s="113">
        <f t="shared" si="23"/>
        <v>233917</v>
      </c>
      <c r="AL233" s="118"/>
      <c r="AM233" s="119"/>
      <c r="AN233" s="119"/>
      <c r="AO233" s="120"/>
    </row>
    <row r="234" spans="1:54" s="121" customFormat="1" ht="16.5" customHeight="1">
      <c r="A234" s="104" t="s">
        <v>2134</v>
      </c>
      <c r="B234" s="105" t="s">
        <v>1286</v>
      </c>
      <c r="C234" s="106" t="s">
        <v>1382</v>
      </c>
      <c r="D234" s="106" t="s">
        <v>2415</v>
      </c>
      <c r="E234" s="71" t="s">
        <v>2060</v>
      </c>
      <c r="F234" s="71" t="s">
        <v>170</v>
      </c>
      <c r="G234" s="109" t="s">
        <v>1373</v>
      </c>
      <c r="H234" s="110">
        <v>191</v>
      </c>
      <c r="I234" s="111">
        <v>0</v>
      </c>
      <c r="J234" s="112">
        <v>0</v>
      </c>
      <c r="K234" s="113">
        <f t="shared" si="20"/>
        <v>191</v>
      </c>
      <c r="L234" s="112">
        <v>0</v>
      </c>
      <c r="M234" s="112">
        <v>0</v>
      </c>
      <c r="N234" s="112">
        <v>0</v>
      </c>
      <c r="O234" s="112">
        <v>640</v>
      </c>
      <c r="P234" s="114"/>
      <c r="Q234" s="111">
        <v>8509</v>
      </c>
      <c r="R234" s="112"/>
      <c r="S234" s="112"/>
      <c r="T234" s="111">
        <f t="shared" si="19"/>
        <v>0</v>
      </c>
      <c r="U234" s="112">
        <v>0</v>
      </c>
      <c r="V234" s="116">
        <v>0</v>
      </c>
      <c r="W234" s="111">
        <v>41527</v>
      </c>
      <c r="X234" s="113">
        <f t="shared" si="21"/>
        <v>42167</v>
      </c>
      <c r="Y234" s="111">
        <v>17932</v>
      </c>
      <c r="Z234" s="111">
        <v>14649</v>
      </c>
      <c r="AA234" s="116">
        <v>608</v>
      </c>
      <c r="AB234" s="111">
        <v>41527</v>
      </c>
      <c r="AC234" s="113">
        <f t="shared" si="22"/>
        <v>74716</v>
      </c>
      <c r="AD234" s="111">
        <v>6682</v>
      </c>
      <c r="AE234" s="111">
        <v>7000</v>
      </c>
      <c r="AF234" s="112">
        <v>0</v>
      </c>
      <c r="AG234" s="117">
        <v>6827</v>
      </c>
      <c r="AH234" s="111">
        <v>23308</v>
      </c>
      <c r="AI234" s="112">
        <v>31161</v>
      </c>
      <c r="AJ234" s="112">
        <v>0</v>
      </c>
      <c r="AK234" s="113">
        <f t="shared" si="23"/>
        <v>74978</v>
      </c>
      <c r="AL234" s="118"/>
      <c r="AM234" s="119"/>
      <c r="AN234" s="119"/>
      <c r="AO234" s="120"/>
    </row>
    <row r="235" spans="1:54" s="121" customFormat="1" ht="16.5" customHeight="1">
      <c r="A235" s="104" t="s">
        <v>2134</v>
      </c>
      <c r="B235" s="105" t="s">
        <v>1290</v>
      </c>
      <c r="C235" s="106" t="s">
        <v>1390</v>
      </c>
      <c r="D235" s="106" t="s">
        <v>2415</v>
      </c>
      <c r="E235" s="71" t="s">
        <v>1391</v>
      </c>
      <c r="F235" s="71" t="s">
        <v>170</v>
      </c>
      <c r="G235" s="109" t="s">
        <v>1373</v>
      </c>
      <c r="H235" s="110">
        <v>0</v>
      </c>
      <c r="I235" s="111">
        <v>0</v>
      </c>
      <c r="J235" s="112">
        <v>0</v>
      </c>
      <c r="K235" s="113">
        <f t="shared" si="20"/>
        <v>0</v>
      </c>
      <c r="L235" s="112">
        <v>0</v>
      </c>
      <c r="M235" s="112">
        <v>0</v>
      </c>
      <c r="N235" s="112">
        <v>0</v>
      </c>
      <c r="O235" s="112">
        <v>0</v>
      </c>
      <c r="P235" s="114"/>
      <c r="Q235" s="111">
        <v>8509</v>
      </c>
      <c r="R235" s="112"/>
      <c r="S235" s="112"/>
      <c r="T235" s="111">
        <f t="shared" si="19"/>
        <v>0</v>
      </c>
      <c r="U235" s="112">
        <v>0</v>
      </c>
      <c r="V235" s="116">
        <v>0</v>
      </c>
      <c r="W235" s="111">
        <v>3400</v>
      </c>
      <c r="X235" s="113">
        <f t="shared" si="21"/>
        <v>3400</v>
      </c>
      <c r="Y235" s="111">
        <v>6744</v>
      </c>
      <c r="Z235" s="111">
        <v>1801</v>
      </c>
      <c r="AA235" s="116">
        <v>6</v>
      </c>
      <c r="AB235" s="111">
        <v>3400</v>
      </c>
      <c r="AC235" s="113">
        <f t="shared" si="22"/>
        <v>11951</v>
      </c>
      <c r="AD235" s="111">
        <v>292</v>
      </c>
      <c r="AE235" s="111">
        <v>0</v>
      </c>
      <c r="AF235" s="112">
        <v>0</v>
      </c>
      <c r="AG235" s="117">
        <v>1014</v>
      </c>
      <c r="AH235" s="111">
        <v>7850</v>
      </c>
      <c r="AI235" s="112">
        <v>2858</v>
      </c>
      <c r="AJ235" s="112">
        <v>0</v>
      </c>
      <c r="AK235" s="113">
        <f t="shared" si="23"/>
        <v>12014</v>
      </c>
      <c r="AL235" s="118"/>
      <c r="AM235" s="119"/>
      <c r="AN235" s="119"/>
      <c r="AO235" s="120"/>
    </row>
    <row r="236" spans="1:54" s="121" customFormat="1" ht="16.5" customHeight="1">
      <c r="A236" s="104" t="s">
        <v>2134</v>
      </c>
      <c r="B236" s="105" t="s">
        <v>1294</v>
      </c>
      <c r="C236" s="106" t="s">
        <v>1395</v>
      </c>
      <c r="D236" s="106" t="s">
        <v>2415</v>
      </c>
      <c r="E236" s="71" t="s">
        <v>1396</v>
      </c>
      <c r="F236" s="71" t="s">
        <v>170</v>
      </c>
      <c r="G236" s="109" t="s">
        <v>1373</v>
      </c>
      <c r="H236" s="110">
        <v>4021</v>
      </c>
      <c r="I236" s="111">
        <v>0</v>
      </c>
      <c r="J236" s="112">
        <v>7</v>
      </c>
      <c r="K236" s="113">
        <f t="shared" si="20"/>
        <v>4028</v>
      </c>
      <c r="L236" s="112">
        <v>0</v>
      </c>
      <c r="M236" s="112">
        <v>0</v>
      </c>
      <c r="N236" s="112">
        <v>0</v>
      </c>
      <c r="O236" s="112">
        <v>0</v>
      </c>
      <c r="P236" s="114"/>
      <c r="Q236" s="111">
        <v>8509</v>
      </c>
      <c r="R236" s="112"/>
      <c r="S236" s="112"/>
      <c r="T236" s="111">
        <f t="shared" si="19"/>
        <v>0</v>
      </c>
      <c r="U236" s="112">
        <v>0</v>
      </c>
      <c r="V236" s="116">
        <v>0</v>
      </c>
      <c r="W236" s="111">
        <v>13908</v>
      </c>
      <c r="X236" s="113">
        <f t="shared" si="21"/>
        <v>13908</v>
      </c>
      <c r="Y236" s="111">
        <v>0</v>
      </c>
      <c r="Z236" s="111">
        <v>0</v>
      </c>
      <c r="AA236" s="116">
        <v>774</v>
      </c>
      <c r="AB236" s="111">
        <v>13908</v>
      </c>
      <c r="AC236" s="113">
        <f t="shared" si="22"/>
        <v>14682</v>
      </c>
      <c r="AD236" s="111">
        <v>756</v>
      </c>
      <c r="AE236" s="111">
        <v>6595</v>
      </c>
      <c r="AF236" s="112">
        <v>0</v>
      </c>
      <c r="AG236" s="117">
        <v>736</v>
      </c>
      <c r="AH236" s="111">
        <v>4261</v>
      </c>
      <c r="AI236" s="112">
        <v>350</v>
      </c>
      <c r="AJ236" s="112">
        <v>1356</v>
      </c>
      <c r="AK236" s="113">
        <f t="shared" si="23"/>
        <v>14054</v>
      </c>
      <c r="AL236" s="118"/>
      <c r="AM236" s="119"/>
      <c r="AN236" s="119"/>
      <c r="AO236" s="120"/>
    </row>
    <row r="237" spans="1:54" s="121" customFormat="1" ht="16.5" customHeight="1">
      <c r="A237" s="104" t="s">
        <v>2134</v>
      </c>
      <c r="B237" s="105" t="s">
        <v>1298</v>
      </c>
      <c r="C237" s="106" t="s">
        <v>1402</v>
      </c>
      <c r="D237" s="106" t="s">
        <v>2415</v>
      </c>
      <c r="E237" s="71" t="s">
        <v>1403</v>
      </c>
      <c r="F237" s="71" t="s">
        <v>1404</v>
      </c>
      <c r="G237" s="109" t="s">
        <v>1405</v>
      </c>
      <c r="H237" s="110">
        <v>18997.04</v>
      </c>
      <c r="I237" s="111">
        <v>20940</v>
      </c>
      <c r="J237" s="112">
        <v>40.975999999999999</v>
      </c>
      <c r="K237" s="113">
        <f t="shared" si="20"/>
        <v>39978.016000000003</v>
      </c>
      <c r="L237" s="111">
        <v>890.678</v>
      </c>
      <c r="M237" s="111">
        <v>507.65</v>
      </c>
      <c r="N237" s="112"/>
      <c r="O237" s="111"/>
      <c r="P237" s="122">
        <v>0.24077926513059428</v>
      </c>
      <c r="Q237" s="111">
        <v>8509</v>
      </c>
      <c r="R237" s="112"/>
      <c r="S237" s="112"/>
      <c r="T237" s="111">
        <f t="shared" si="19"/>
        <v>2049</v>
      </c>
      <c r="U237" s="112">
        <v>4735.5990000000002</v>
      </c>
      <c r="V237" s="116"/>
      <c r="W237" s="111"/>
      <c r="X237" s="113">
        <f t="shared" si="21"/>
        <v>8182.9269999999997</v>
      </c>
      <c r="Y237" s="111">
        <v>29190.47290933238</v>
      </c>
      <c r="Z237" s="111"/>
      <c r="AA237" s="116"/>
      <c r="AB237" s="111">
        <v>0</v>
      </c>
      <c r="AC237" s="113">
        <f t="shared" si="22"/>
        <v>29190.47290933238</v>
      </c>
      <c r="AD237" s="111">
        <v>1911.2523001032951</v>
      </c>
      <c r="AE237" s="111">
        <v>496.272818685836</v>
      </c>
      <c r="AF237" s="112"/>
      <c r="AG237" s="117">
        <v>245</v>
      </c>
      <c r="AH237" s="111">
        <v>6447.2000000000007</v>
      </c>
      <c r="AI237" s="112">
        <v>456.14294116407029</v>
      </c>
      <c r="AJ237" s="112">
        <v>777.18196133819595</v>
      </c>
      <c r="AK237" s="113">
        <f t="shared" si="23"/>
        <v>10333.050021291398</v>
      </c>
      <c r="AL237" s="118"/>
      <c r="AM237" s="119"/>
      <c r="AN237" s="119"/>
      <c r="AO237" s="120"/>
    </row>
    <row r="238" spans="1:54" s="121" customFormat="1" ht="16.5" customHeight="1">
      <c r="A238" s="104" t="s">
        <v>2134</v>
      </c>
      <c r="B238" s="105" t="s">
        <v>1303</v>
      </c>
      <c r="C238" s="106" t="s">
        <v>1414</v>
      </c>
      <c r="D238" s="106" t="s">
        <v>2415</v>
      </c>
      <c r="E238" s="71" t="s">
        <v>1415</v>
      </c>
      <c r="F238" s="71" t="s">
        <v>1404</v>
      </c>
      <c r="G238" s="109" t="s">
        <v>1405</v>
      </c>
      <c r="H238" s="110">
        <v>8237.5049999999992</v>
      </c>
      <c r="I238" s="111">
        <v>6720</v>
      </c>
      <c r="J238" s="112"/>
      <c r="K238" s="113">
        <f t="shared" si="20"/>
        <v>14957.504999999999</v>
      </c>
      <c r="L238" s="111">
        <v>1086.1949999999999</v>
      </c>
      <c r="M238" s="111">
        <v>103.125</v>
      </c>
      <c r="N238" s="112"/>
      <c r="O238" s="111"/>
      <c r="P238" s="122">
        <v>0.14443067647616839</v>
      </c>
      <c r="Q238" s="111">
        <v>8509</v>
      </c>
      <c r="R238" s="112"/>
      <c r="S238" s="112"/>
      <c r="T238" s="111">
        <f t="shared" si="19"/>
        <v>1229</v>
      </c>
      <c r="U238" s="112">
        <v>7185.3959999999997</v>
      </c>
      <c r="V238" s="116"/>
      <c r="W238" s="111"/>
      <c r="X238" s="113">
        <f t="shared" si="21"/>
        <v>9603.7160000000003</v>
      </c>
      <c r="Y238" s="111">
        <v>17509.812344794147</v>
      </c>
      <c r="Z238" s="111"/>
      <c r="AA238" s="116"/>
      <c r="AB238" s="111">
        <v>0</v>
      </c>
      <c r="AC238" s="113">
        <f t="shared" si="22"/>
        <v>17509.812344794147</v>
      </c>
      <c r="AD238" s="111">
        <v>1146.4586141619411</v>
      </c>
      <c r="AE238" s="111">
        <v>297.68767207032482</v>
      </c>
      <c r="AF238" s="112"/>
      <c r="AG238" s="117">
        <v>24</v>
      </c>
      <c r="AH238" s="111">
        <v>5526.1714285714288</v>
      </c>
      <c r="AI238" s="112">
        <v>273.61589265763007</v>
      </c>
      <c r="AJ238" s="112">
        <v>466.19012795918792</v>
      </c>
      <c r="AK238" s="113">
        <f t="shared" si="23"/>
        <v>7734.1237354205123</v>
      </c>
      <c r="AL238" s="118"/>
      <c r="AM238" s="119"/>
      <c r="AN238" s="119"/>
      <c r="AO238" s="120"/>
    </row>
    <row r="239" spans="1:54" s="121" customFormat="1" ht="16.5" customHeight="1">
      <c r="A239" s="104" t="s">
        <v>2134</v>
      </c>
      <c r="B239" s="105" t="s">
        <v>2548</v>
      </c>
      <c r="C239" s="106" t="s">
        <v>1417</v>
      </c>
      <c r="D239" s="106" t="s">
        <v>2415</v>
      </c>
      <c r="E239" s="71" t="s">
        <v>1418</v>
      </c>
      <c r="F239" s="71" t="s">
        <v>1404</v>
      </c>
      <c r="G239" s="109" t="s">
        <v>1405</v>
      </c>
      <c r="H239" s="110">
        <v>28463.047999999999</v>
      </c>
      <c r="I239" s="111">
        <v>21171.599999999999</v>
      </c>
      <c r="J239" s="112">
        <v>36.405999999999999</v>
      </c>
      <c r="K239" s="113">
        <f t="shared" si="20"/>
        <v>49671.054000000004</v>
      </c>
      <c r="L239" s="111">
        <v>1900.71</v>
      </c>
      <c r="M239" s="111">
        <v>1209.0650000000001</v>
      </c>
      <c r="N239" s="112"/>
      <c r="O239" s="111">
        <v>560.23</v>
      </c>
      <c r="P239" s="122">
        <v>0.51479005839323733</v>
      </c>
      <c r="Q239" s="111">
        <v>8509</v>
      </c>
      <c r="R239" s="112"/>
      <c r="S239" s="112"/>
      <c r="T239" s="111">
        <f t="shared" si="19"/>
        <v>4380</v>
      </c>
      <c r="U239" s="112">
        <v>30136.867999999999</v>
      </c>
      <c r="V239" s="116"/>
      <c r="W239" s="111"/>
      <c r="X239" s="113">
        <f t="shared" si="21"/>
        <v>38186.873</v>
      </c>
      <c r="Y239" s="111">
        <v>62409.714745873476</v>
      </c>
      <c r="Z239" s="111"/>
      <c r="AA239" s="116"/>
      <c r="AB239" s="111">
        <v>0</v>
      </c>
      <c r="AC239" s="113">
        <f t="shared" si="22"/>
        <v>62409.714745873476</v>
      </c>
      <c r="AD239" s="111">
        <v>4086.2890857347638</v>
      </c>
      <c r="AE239" s="111">
        <v>1061.0395092438391</v>
      </c>
      <c r="AF239" s="112"/>
      <c r="AG239" s="117">
        <v>714</v>
      </c>
      <c r="AH239" s="111">
        <v>20262.62857142857</v>
      </c>
      <c r="AI239" s="112">
        <v>975.24116617829964</v>
      </c>
      <c r="AJ239" s="112">
        <v>1661.627910702616</v>
      </c>
      <c r="AK239" s="113">
        <f t="shared" si="23"/>
        <v>28760.826243288091</v>
      </c>
      <c r="AL239" s="118"/>
      <c r="AM239" s="119"/>
      <c r="AN239" s="119"/>
      <c r="AO239" s="120"/>
    </row>
    <row r="240" spans="1:54" s="121" customFormat="1" ht="16.5" customHeight="1">
      <c r="A240" s="104" t="s">
        <v>2134</v>
      </c>
      <c r="B240" s="105" t="s">
        <v>1307</v>
      </c>
      <c r="C240" s="106" t="s">
        <v>1420</v>
      </c>
      <c r="D240" s="106" t="s">
        <v>2415</v>
      </c>
      <c r="E240" s="71" t="s">
        <v>1421</v>
      </c>
      <c r="F240" s="71" t="s">
        <v>1404</v>
      </c>
      <c r="G240" s="109" t="s">
        <v>1405</v>
      </c>
      <c r="H240" s="110">
        <v>15884.87</v>
      </c>
      <c r="I240" s="111"/>
      <c r="J240" s="112">
        <v>45.997</v>
      </c>
      <c r="K240" s="113">
        <f t="shared" si="20"/>
        <v>15930.867</v>
      </c>
      <c r="L240" s="111"/>
      <c r="M240" s="111"/>
      <c r="N240" s="112"/>
      <c r="O240" s="111"/>
      <c r="P240" s="122">
        <v>4.6460037933290683E-2</v>
      </c>
      <c r="Q240" s="111">
        <v>8509</v>
      </c>
      <c r="R240" s="112"/>
      <c r="S240" s="112"/>
      <c r="T240" s="111">
        <f t="shared" si="19"/>
        <v>395</v>
      </c>
      <c r="U240" s="112"/>
      <c r="V240" s="116"/>
      <c r="W240" s="111">
        <v>6685.5046801231456</v>
      </c>
      <c r="X240" s="113">
        <f t="shared" si="21"/>
        <v>7080.5046801231456</v>
      </c>
      <c r="Y240" s="111">
        <v>0</v>
      </c>
      <c r="Z240" s="111"/>
      <c r="AA240" s="116"/>
      <c r="AB240" s="111">
        <v>6685.5330871177675</v>
      </c>
      <c r="AC240" s="113">
        <f t="shared" si="22"/>
        <v>6685.5330871177675</v>
      </c>
      <c r="AD240" s="111">
        <v>434.86595505560081</v>
      </c>
      <c r="AE240" s="111">
        <v>830.97096417828482</v>
      </c>
      <c r="AF240" s="112"/>
      <c r="AG240" s="117">
        <v>28</v>
      </c>
      <c r="AH240" s="111">
        <v>10941.955089820356</v>
      </c>
      <c r="AI240" s="112">
        <v>628.47157027189928</v>
      </c>
      <c r="AJ240" s="112">
        <v>9.2256361038962922</v>
      </c>
      <c r="AK240" s="113">
        <f t="shared" si="23"/>
        <v>12873.489215430036</v>
      </c>
      <c r="AL240" s="118"/>
      <c r="AM240" s="119"/>
      <c r="AN240" s="119"/>
      <c r="AO240" s="120"/>
    </row>
    <row r="241" spans="1:41" s="121" customFormat="1" ht="16.5" customHeight="1">
      <c r="A241" s="104" t="s">
        <v>2134</v>
      </c>
      <c r="B241" s="105" t="s">
        <v>1311</v>
      </c>
      <c r="C241" s="106" t="s">
        <v>1427</v>
      </c>
      <c r="D241" s="106" t="s">
        <v>2415</v>
      </c>
      <c r="E241" s="71" t="s">
        <v>1428</v>
      </c>
      <c r="F241" s="71" t="s">
        <v>1404</v>
      </c>
      <c r="G241" s="109" t="s">
        <v>1405</v>
      </c>
      <c r="H241" s="110">
        <v>16356.18</v>
      </c>
      <c r="I241" s="111"/>
      <c r="J241" s="112">
        <v>33.814999999999998</v>
      </c>
      <c r="K241" s="113">
        <f t="shared" si="20"/>
        <v>16389.994999999999</v>
      </c>
      <c r="L241" s="111"/>
      <c r="M241" s="111"/>
      <c r="N241" s="112"/>
      <c r="O241" s="111">
        <v>581.04</v>
      </c>
      <c r="P241" s="122">
        <v>5.8784603823799339E-2</v>
      </c>
      <c r="Q241" s="111">
        <v>8509</v>
      </c>
      <c r="R241" s="112"/>
      <c r="S241" s="112"/>
      <c r="T241" s="111">
        <f t="shared" si="19"/>
        <v>500</v>
      </c>
      <c r="U241" s="112"/>
      <c r="V241" s="116"/>
      <c r="W241" s="111">
        <v>8458.9845696529246</v>
      </c>
      <c r="X241" s="113">
        <f t="shared" si="21"/>
        <v>9540.0245696529237</v>
      </c>
      <c r="Y241" s="111">
        <v>0</v>
      </c>
      <c r="Z241" s="111"/>
      <c r="AA241" s="116"/>
      <c r="AB241" s="111">
        <v>8459.0205122392636</v>
      </c>
      <c r="AC241" s="113">
        <f t="shared" si="22"/>
        <v>8459.0205122392636</v>
      </c>
      <c r="AD241" s="111">
        <v>550.22389179076185</v>
      </c>
      <c r="AE241" s="111">
        <v>1051.4046283913826</v>
      </c>
      <c r="AF241" s="112"/>
      <c r="AG241" s="117">
        <v>158</v>
      </c>
      <c r="AH241" s="111">
        <v>10941.955089820356</v>
      </c>
      <c r="AI241" s="112">
        <v>795.18773372507997</v>
      </c>
      <c r="AJ241" s="112">
        <v>11.672942759297298</v>
      </c>
      <c r="AK241" s="113">
        <f t="shared" si="23"/>
        <v>13508.44428648688</v>
      </c>
      <c r="AL241" s="118"/>
      <c r="AM241" s="119"/>
      <c r="AN241" s="119"/>
      <c r="AO241" s="120"/>
    </row>
    <row r="242" spans="1:41" s="121" customFormat="1" ht="16.5" customHeight="1">
      <c r="A242" s="104" t="s">
        <v>2134</v>
      </c>
      <c r="B242" s="105" t="s">
        <v>1319</v>
      </c>
      <c r="C242" s="106" t="s">
        <v>1430</v>
      </c>
      <c r="D242" s="106" t="s">
        <v>2415</v>
      </c>
      <c r="E242" s="71" t="s">
        <v>1431</v>
      </c>
      <c r="F242" s="71" t="s">
        <v>1404</v>
      </c>
      <c r="G242" s="109" t="s">
        <v>1405</v>
      </c>
      <c r="H242" s="110">
        <v>9754.2900000000009</v>
      </c>
      <c r="I242" s="111"/>
      <c r="J242" s="112"/>
      <c r="K242" s="113">
        <f t="shared" si="20"/>
        <v>9754.2900000000009</v>
      </c>
      <c r="L242" s="111"/>
      <c r="M242" s="111"/>
      <c r="N242" s="112"/>
      <c r="O242" s="111"/>
      <c r="P242" s="122">
        <v>8.6379122411774159E-2</v>
      </c>
      <c r="Q242" s="111">
        <v>8509</v>
      </c>
      <c r="R242" s="112"/>
      <c r="S242" s="112"/>
      <c r="T242" s="111">
        <f t="shared" si="19"/>
        <v>735</v>
      </c>
      <c r="U242" s="112"/>
      <c r="V242" s="116"/>
      <c r="W242" s="111">
        <v>12429.779501644583</v>
      </c>
      <c r="X242" s="113">
        <f t="shared" si="21"/>
        <v>13164.779501644583</v>
      </c>
      <c r="Y242" s="111">
        <v>0</v>
      </c>
      <c r="Z242" s="111"/>
      <c r="AA242" s="116"/>
      <c r="AB242" s="111">
        <v>12429.832316308</v>
      </c>
      <c r="AC242" s="113">
        <f t="shared" si="22"/>
        <v>12429.832316308</v>
      </c>
      <c r="AD242" s="111">
        <v>808.50858577420627</v>
      </c>
      <c r="AE242" s="111">
        <v>1544.9523037077322</v>
      </c>
      <c r="AF242" s="112"/>
      <c r="AG242" s="117">
        <v>11</v>
      </c>
      <c r="AH242" s="111">
        <v>5089.2814371257482</v>
      </c>
      <c r="AI242" s="112">
        <v>1168.4627287386995</v>
      </c>
      <c r="AJ242" s="112">
        <v>17.152425736052301</v>
      </c>
      <c r="AK242" s="113">
        <f t="shared" si="23"/>
        <v>8639.3574810824393</v>
      </c>
      <c r="AL242" s="118"/>
      <c r="AM242" s="119"/>
      <c r="AN242" s="119"/>
      <c r="AO242" s="120"/>
    </row>
    <row r="243" spans="1:41" s="121" customFormat="1" ht="16.5" customHeight="1">
      <c r="A243" s="104" t="s">
        <v>2134</v>
      </c>
      <c r="B243" s="105" t="s">
        <v>1327</v>
      </c>
      <c r="C243" s="106" t="s">
        <v>1433</v>
      </c>
      <c r="D243" s="106" t="s">
        <v>2415</v>
      </c>
      <c r="E243" s="71" t="s">
        <v>2006</v>
      </c>
      <c r="F243" s="71" t="s">
        <v>1404</v>
      </c>
      <c r="G243" s="109" t="s">
        <v>1405</v>
      </c>
      <c r="H243" s="110">
        <v>46061.41</v>
      </c>
      <c r="I243" s="111"/>
      <c r="J243" s="112"/>
      <c r="K243" s="113">
        <f t="shared" si="20"/>
        <v>46061.41</v>
      </c>
      <c r="L243" s="111"/>
      <c r="M243" s="111"/>
      <c r="N243" s="112"/>
      <c r="O243" s="111"/>
      <c r="P243" s="122">
        <v>0.15208901737762756</v>
      </c>
      <c r="Q243" s="111">
        <v>8509</v>
      </c>
      <c r="R243" s="112"/>
      <c r="S243" s="112"/>
      <c r="T243" s="111">
        <f t="shared" si="19"/>
        <v>1294</v>
      </c>
      <c r="U243" s="112"/>
      <c r="V243" s="116"/>
      <c r="W243" s="111">
        <v>21885.299339045159</v>
      </c>
      <c r="X243" s="113">
        <f t="shared" si="21"/>
        <v>23179.299339045159</v>
      </c>
      <c r="Y243" s="111">
        <v>0</v>
      </c>
      <c r="Z243" s="111"/>
      <c r="AA243" s="116"/>
      <c r="AB243" s="111">
        <v>21885.392330615785</v>
      </c>
      <c r="AC243" s="113">
        <f t="shared" si="22"/>
        <v>21885.392330615785</v>
      </c>
      <c r="AD243" s="111">
        <v>1423.5532026545941</v>
      </c>
      <c r="AE243" s="111">
        <v>2720.2207108112821</v>
      </c>
      <c r="AF243" s="112"/>
      <c r="AG243" s="117">
        <v>146</v>
      </c>
      <c r="AH243" s="111">
        <v>19720.965568862273</v>
      </c>
      <c r="AI243" s="112">
        <v>2057.3298650696506</v>
      </c>
      <c r="AJ243" s="112">
        <v>30.200533450700334</v>
      </c>
      <c r="AK243" s="113">
        <f t="shared" si="23"/>
        <v>26098.269880848504</v>
      </c>
      <c r="AL243" s="118"/>
      <c r="AM243" s="119"/>
      <c r="AN243" s="119"/>
      <c r="AO243" s="120"/>
    </row>
    <row r="244" spans="1:41" s="121" customFormat="1" ht="16.5" customHeight="1">
      <c r="A244" s="104" t="s">
        <v>2134</v>
      </c>
      <c r="B244" s="105" t="s">
        <v>1335</v>
      </c>
      <c r="C244" s="106" t="s">
        <v>1435</v>
      </c>
      <c r="D244" s="106" t="s">
        <v>2415</v>
      </c>
      <c r="E244" s="71" t="s">
        <v>2009</v>
      </c>
      <c r="F244" s="71" t="s">
        <v>1404</v>
      </c>
      <c r="G244" s="109" t="s">
        <v>1405</v>
      </c>
      <c r="H244" s="110">
        <v>7399.27</v>
      </c>
      <c r="I244" s="111"/>
      <c r="J244" s="112"/>
      <c r="K244" s="113">
        <f t="shared" si="20"/>
        <v>7399.27</v>
      </c>
      <c r="L244" s="111"/>
      <c r="M244" s="111"/>
      <c r="N244" s="112"/>
      <c r="O244" s="111"/>
      <c r="P244" s="122">
        <v>1.8088600803267237E-2</v>
      </c>
      <c r="Q244" s="111">
        <v>8509</v>
      </c>
      <c r="R244" s="112"/>
      <c r="S244" s="112"/>
      <c r="T244" s="111">
        <f t="shared" si="19"/>
        <v>154</v>
      </c>
      <c r="U244" s="112">
        <v>102.515</v>
      </c>
      <c r="V244" s="116"/>
      <c r="W244" s="111">
        <v>2602.9127548445172</v>
      </c>
      <c r="X244" s="113">
        <f t="shared" si="21"/>
        <v>2859.427754844517</v>
      </c>
      <c r="Y244" s="111">
        <v>0</v>
      </c>
      <c r="Z244" s="111"/>
      <c r="AA244" s="116"/>
      <c r="AB244" s="111">
        <v>2602.9238147318651</v>
      </c>
      <c r="AC244" s="113">
        <f t="shared" si="22"/>
        <v>2602.9238147318651</v>
      </c>
      <c r="AD244" s="111">
        <v>169.30930351858134</v>
      </c>
      <c r="AE244" s="111">
        <v>323.52754579557973</v>
      </c>
      <c r="AF244" s="112"/>
      <c r="AG244" s="117">
        <v>62</v>
      </c>
      <c r="AH244" s="111">
        <v>1908.4805389221553</v>
      </c>
      <c r="AI244" s="112">
        <v>244.68708715162498</v>
      </c>
      <c r="AJ244" s="112">
        <v>3.5918793023630657</v>
      </c>
      <c r="AK244" s="113">
        <f t="shared" si="23"/>
        <v>2711.596354690304</v>
      </c>
      <c r="AL244" s="155"/>
      <c r="AM244" s="119"/>
      <c r="AN244" s="119"/>
      <c r="AO244" s="120"/>
    </row>
    <row r="245" spans="1:41" s="121" customFormat="1" ht="16.5" customHeight="1">
      <c r="A245" s="104" t="s">
        <v>2134</v>
      </c>
      <c r="B245" s="105" t="s">
        <v>1341</v>
      </c>
      <c r="C245" s="106" t="s">
        <v>1437</v>
      </c>
      <c r="D245" s="106" t="s">
        <v>2415</v>
      </c>
      <c r="E245" s="71" t="s">
        <v>1438</v>
      </c>
      <c r="F245" s="71" t="s">
        <v>1404</v>
      </c>
      <c r="G245" s="109" t="s">
        <v>1405</v>
      </c>
      <c r="H245" s="110">
        <v>18669.07</v>
      </c>
      <c r="I245" s="111"/>
      <c r="J245" s="112"/>
      <c r="K245" s="113">
        <f t="shared" si="20"/>
        <v>18669.07</v>
      </c>
      <c r="L245" s="111"/>
      <c r="M245" s="111"/>
      <c r="N245" s="112"/>
      <c r="O245" s="111"/>
      <c r="P245" s="122">
        <v>6.714678211026559E-2</v>
      </c>
      <c r="Q245" s="111">
        <v>8509</v>
      </c>
      <c r="R245" s="112"/>
      <c r="S245" s="112"/>
      <c r="T245" s="111">
        <f t="shared" si="19"/>
        <v>571</v>
      </c>
      <c r="U245" s="112"/>
      <c r="V245" s="116"/>
      <c r="W245" s="111">
        <v>9662.2849662317149</v>
      </c>
      <c r="X245" s="113">
        <f t="shared" si="21"/>
        <v>10233.284966231715</v>
      </c>
      <c r="Y245" s="111">
        <v>0</v>
      </c>
      <c r="Z245" s="111"/>
      <c r="AA245" s="116"/>
      <c r="AB245" s="111">
        <v>9662.3260216927756</v>
      </c>
      <c r="AC245" s="113">
        <f t="shared" si="22"/>
        <v>9662.3260216927756</v>
      </c>
      <c r="AD245" s="111">
        <v>628.49388055208601</v>
      </c>
      <c r="AE245" s="111">
        <v>1200.9681600293218</v>
      </c>
      <c r="AF245" s="112"/>
      <c r="AG245" s="117">
        <v>12</v>
      </c>
      <c r="AH245" s="111">
        <v>10814.723053892214</v>
      </c>
      <c r="AI245" s="112">
        <v>908.30411400300704</v>
      </c>
      <c r="AJ245" s="112">
        <v>13.333432447609884</v>
      </c>
      <c r="AK245" s="113">
        <f t="shared" si="23"/>
        <v>13577.822640924238</v>
      </c>
      <c r="AL245" s="118"/>
      <c r="AM245" s="119"/>
      <c r="AN245" s="119"/>
      <c r="AO245" s="120"/>
    </row>
    <row r="246" spans="1:41" s="121" customFormat="1" ht="16.5" customHeight="1">
      <c r="A246" s="104" t="s">
        <v>2134</v>
      </c>
      <c r="B246" s="105" t="s">
        <v>1347</v>
      </c>
      <c r="C246" s="106" t="s">
        <v>1441</v>
      </c>
      <c r="D246" s="106" t="s">
        <v>2415</v>
      </c>
      <c r="E246" s="71" t="s">
        <v>2012</v>
      </c>
      <c r="F246" s="71" t="s">
        <v>1404</v>
      </c>
      <c r="G246" s="109" t="s">
        <v>1405</v>
      </c>
      <c r="H246" s="110">
        <v>10040.74</v>
      </c>
      <c r="I246" s="111"/>
      <c r="J246" s="112"/>
      <c r="K246" s="113">
        <f t="shared" si="20"/>
        <v>10040.74</v>
      </c>
      <c r="L246" s="111"/>
      <c r="M246" s="111"/>
      <c r="N246" s="112"/>
      <c r="O246" s="111"/>
      <c r="P246" s="122">
        <v>7.1050952343451559E-2</v>
      </c>
      <c r="Q246" s="111">
        <v>8509</v>
      </c>
      <c r="R246" s="112"/>
      <c r="S246" s="112"/>
      <c r="T246" s="111">
        <f t="shared" si="19"/>
        <v>605</v>
      </c>
      <c r="U246" s="112"/>
      <c r="V246" s="116"/>
      <c r="W246" s="111">
        <v>10224.087098279899</v>
      </c>
      <c r="X246" s="113">
        <f t="shared" si="21"/>
        <v>10829.087098279899</v>
      </c>
      <c r="Y246" s="111">
        <v>0</v>
      </c>
      <c r="Z246" s="111"/>
      <c r="AA246" s="116"/>
      <c r="AB246" s="111">
        <v>10224.13054086219</v>
      </c>
      <c r="AC246" s="113">
        <f t="shared" si="22"/>
        <v>10224.13054086219</v>
      </c>
      <c r="AD246" s="111">
        <v>665.0369139347066</v>
      </c>
      <c r="AE246" s="111">
        <v>1270.7970333428766</v>
      </c>
      <c r="AF246" s="112"/>
      <c r="AG246" s="117">
        <v>0</v>
      </c>
      <c r="AH246" s="111">
        <v>5089.2814371257482</v>
      </c>
      <c r="AI246" s="112">
        <v>961.11638248591839</v>
      </c>
      <c r="AJ246" s="112">
        <v>14.108689108199668</v>
      </c>
      <c r="AK246" s="113">
        <f t="shared" si="23"/>
        <v>8000.3404559974497</v>
      </c>
      <c r="AL246" s="118"/>
      <c r="AM246" s="119"/>
      <c r="AN246" s="119"/>
      <c r="AO246" s="120"/>
    </row>
    <row r="247" spans="1:41" s="121" customFormat="1" ht="16.5" customHeight="1">
      <c r="A247" s="104" t="s">
        <v>2134</v>
      </c>
      <c r="B247" s="105" t="s">
        <v>1356</v>
      </c>
      <c r="C247" s="106" t="s">
        <v>1443</v>
      </c>
      <c r="D247" s="106" t="s">
        <v>2415</v>
      </c>
      <c r="E247" s="71" t="s">
        <v>2015</v>
      </c>
      <c r="F247" s="71" t="s">
        <v>1404</v>
      </c>
      <c r="G247" s="109" t="s">
        <v>1405</v>
      </c>
      <c r="H247" s="110">
        <v>9395.9</v>
      </c>
      <c r="I247" s="111"/>
      <c r="J247" s="112"/>
      <c r="K247" s="113">
        <f t="shared" si="20"/>
        <v>9395.9</v>
      </c>
      <c r="L247" s="111"/>
      <c r="M247" s="111"/>
      <c r="N247" s="112"/>
      <c r="O247" s="111"/>
      <c r="P247" s="122">
        <v>3.8879930168594846E-2</v>
      </c>
      <c r="Q247" s="111">
        <v>8509</v>
      </c>
      <c r="R247" s="112"/>
      <c r="S247" s="112"/>
      <c r="T247" s="111">
        <f t="shared" si="19"/>
        <v>331</v>
      </c>
      <c r="U247" s="112">
        <v>102.515</v>
      </c>
      <c r="V247" s="116"/>
      <c r="W247" s="111">
        <v>5594.7426362032547</v>
      </c>
      <c r="X247" s="113">
        <f t="shared" si="21"/>
        <v>6028.2576362032551</v>
      </c>
      <c r="Y247" s="111">
        <v>0</v>
      </c>
      <c r="Z247" s="111"/>
      <c r="AA247" s="116"/>
      <c r="AB247" s="111">
        <v>5594.7664085034148</v>
      </c>
      <c r="AC247" s="113">
        <f t="shared" si="22"/>
        <v>5594.7664085034148</v>
      </c>
      <c r="AD247" s="111">
        <v>363.91614637804776</v>
      </c>
      <c r="AE247" s="111">
        <v>695.39532244401073</v>
      </c>
      <c r="AF247" s="112"/>
      <c r="AG247" s="117">
        <v>62</v>
      </c>
      <c r="AH247" s="111">
        <v>636.16017964071852</v>
      </c>
      <c r="AI247" s="112">
        <v>525.93436966632089</v>
      </c>
      <c r="AJ247" s="112">
        <v>7.7204432763352626</v>
      </c>
      <c r="AK247" s="113">
        <f t="shared" si="23"/>
        <v>2291.126461405433</v>
      </c>
      <c r="AL247" s="118"/>
      <c r="AM247" s="119"/>
      <c r="AN247" s="119"/>
      <c r="AO247" s="120"/>
    </row>
    <row r="248" spans="1:41" s="121" customFormat="1" ht="16.5" customHeight="1">
      <c r="A248" s="104" t="s">
        <v>2134</v>
      </c>
      <c r="B248" s="105" t="s">
        <v>1360</v>
      </c>
      <c r="C248" s="106" t="s">
        <v>1446</v>
      </c>
      <c r="D248" s="106" t="s">
        <v>2415</v>
      </c>
      <c r="E248" s="71" t="s">
        <v>1447</v>
      </c>
      <c r="F248" s="71" t="s">
        <v>1404</v>
      </c>
      <c r="G248" s="109" t="s">
        <v>1405</v>
      </c>
      <c r="H248" s="110">
        <v>37535.43</v>
      </c>
      <c r="I248" s="111"/>
      <c r="J248" s="112">
        <v>201.50399999999999</v>
      </c>
      <c r="K248" s="113">
        <f t="shared" si="20"/>
        <v>37736.934000000001</v>
      </c>
      <c r="L248" s="111"/>
      <c r="M248" s="111"/>
      <c r="N248" s="112"/>
      <c r="O248" s="111">
        <v>1242.2</v>
      </c>
      <c r="P248" s="122">
        <v>0.1558015339651623</v>
      </c>
      <c r="Q248" s="111">
        <v>8509</v>
      </c>
      <c r="R248" s="112"/>
      <c r="S248" s="112"/>
      <c r="T248" s="111">
        <f t="shared" si="19"/>
        <v>1326</v>
      </c>
      <c r="U248" s="112">
        <v>157.71199999999999</v>
      </c>
      <c r="V248" s="116"/>
      <c r="W248" s="111">
        <v>22419.522902457564</v>
      </c>
      <c r="X248" s="113">
        <f t="shared" si="21"/>
        <v>25145.434902457564</v>
      </c>
      <c r="Y248" s="111">
        <v>0</v>
      </c>
      <c r="Z248" s="111"/>
      <c r="AA248" s="116"/>
      <c r="AB248" s="111">
        <v>22419.618163966905</v>
      </c>
      <c r="AC248" s="113">
        <f t="shared" si="22"/>
        <v>22419.618163966905</v>
      </c>
      <c r="AD248" s="111">
        <v>1458.3023579139192</v>
      </c>
      <c r="AE248" s="111">
        <v>2786.6217217769031</v>
      </c>
      <c r="AF248" s="112"/>
      <c r="AG248" s="117">
        <v>850</v>
      </c>
      <c r="AH248" s="111">
        <v>10941.955089820356</v>
      </c>
      <c r="AI248" s="112">
        <v>2107.5496073087456</v>
      </c>
      <c r="AJ248" s="112">
        <v>30.937733173082229</v>
      </c>
      <c r="AK248" s="113">
        <f t="shared" si="23"/>
        <v>18175.366509993008</v>
      </c>
      <c r="AL248" s="118"/>
      <c r="AM248" s="119"/>
      <c r="AN248" s="119"/>
      <c r="AO248" s="120"/>
    </row>
    <row r="249" spans="1:41" s="121" customFormat="1" ht="16.5" customHeight="1">
      <c r="A249" s="104" t="s">
        <v>2134</v>
      </c>
      <c r="B249" s="105" t="s">
        <v>1368</v>
      </c>
      <c r="C249" s="106" t="s">
        <v>1450</v>
      </c>
      <c r="D249" s="106" t="s">
        <v>2415</v>
      </c>
      <c r="E249" s="71" t="s">
        <v>2071</v>
      </c>
      <c r="F249" s="71" t="s">
        <v>1404</v>
      </c>
      <c r="G249" s="109" t="s">
        <v>1405</v>
      </c>
      <c r="H249" s="110"/>
      <c r="I249" s="111"/>
      <c r="J249" s="112"/>
      <c r="K249" s="113">
        <f t="shared" si="20"/>
        <v>0</v>
      </c>
      <c r="L249" s="111">
        <v>18.065999999999999</v>
      </c>
      <c r="M249" s="111"/>
      <c r="N249" s="112"/>
      <c r="O249" s="111"/>
      <c r="P249" s="114"/>
      <c r="Q249" s="111">
        <v>8509</v>
      </c>
      <c r="R249" s="112"/>
      <c r="S249" s="112"/>
      <c r="T249" s="111">
        <f t="shared" si="19"/>
        <v>0</v>
      </c>
      <c r="U249" s="112"/>
      <c r="V249" s="116"/>
      <c r="W249" s="111">
        <v>0</v>
      </c>
      <c r="X249" s="113">
        <f t="shared" si="21"/>
        <v>18.065999999999999</v>
      </c>
      <c r="Y249" s="111">
        <v>0</v>
      </c>
      <c r="Z249" s="111"/>
      <c r="AA249" s="116"/>
      <c r="AB249" s="111">
        <v>0</v>
      </c>
      <c r="AC249" s="113">
        <f t="shared" si="22"/>
        <v>0</v>
      </c>
      <c r="AD249" s="111">
        <v>0</v>
      </c>
      <c r="AE249" s="111">
        <v>0</v>
      </c>
      <c r="AF249" s="112"/>
      <c r="AG249" s="117">
        <v>0</v>
      </c>
      <c r="AH249" s="111">
        <v>0</v>
      </c>
      <c r="AI249" s="112">
        <v>0</v>
      </c>
      <c r="AJ249" s="112">
        <v>0</v>
      </c>
      <c r="AK249" s="113">
        <f t="shared" si="23"/>
        <v>0</v>
      </c>
      <c r="AL249" s="118"/>
      <c r="AM249" s="119"/>
      <c r="AN249" s="119"/>
      <c r="AO249" s="120"/>
    </row>
    <row r="250" spans="1:41" s="121" customFormat="1" ht="16.5" customHeight="1">
      <c r="A250" s="104" t="s">
        <v>2134</v>
      </c>
      <c r="B250" s="105" t="s">
        <v>305</v>
      </c>
      <c r="C250" s="106" t="s">
        <v>1454</v>
      </c>
      <c r="D250" s="106" t="s">
        <v>2415</v>
      </c>
      <c r="E250" s="71" t="s">
        <v>1455</v>
      </c>
      <c r="F250" s="71" t="s">
        <v>1404</v>
      </c>
      <c r="G250" s="109" t="s">
        <v>1405</v>
      </c>
      <c r="H250" s="110"/>
      <c r="I250" s="111"/>
      <c r="J250" s="112"/>
      <c r="K250" s="113">
        <f t="shared" si="20"/>
        <v>0</v>
      </c>
      <c r="L250" s="111"/>
      <c r="M250" s="111"/>
      <c r="N250" s="112"/>
      <c r="O250" s="111"/>
      <c r="P250" s="114"/>
      <c r="Q250" s="111">
        <v>8509</v>
      </c>
      <c r="R250" s="112"/>
      <c r="S250" s="112">
        <v>4335</v>
      </c>
      <c r="T250" s="111">
        <f t="shared" si="19"/>
        <v>4335</v>
      </c>
      <c r="U250" s="112"/>
      <c r="V250" s="116"/>
      <c r="W250" s="111"/>
      <c r="X250" s="113">
        <f t="shared" si="21"/>
        <v>4335</v>
      </c>
      <c r="Y250" s="111"/>
      <c r="Z250" s="111"/>
      <c r="AA250" s="116"/>
      <c r="AB250" s="111"/>
      <c r="AC250" s="113">
        <f t="shared" si="22"/>
        <v>0</v>
      </c>
      <c r="AD250" s="111"/>
      <c r="AE250" s="111"/>
      <c r="AF250" s="112"/>
      <c r="AG250" s="117"/>
      <c r="AH250" s="111"/>
      <c r="AI250" s="112"/>
      <c r="AJ250" s="112"/>
      <c r="AK250" s="113">
        <f t="shared" si="23"/>
        <v>0</v>
      </c>
      <c r="AL250" s="118"/>
      <c r="AM250" s="119"/>
      <c r="AN250" s="119"/>
      <c r="AO250" s="120"/>
    </row>
    <row r="251" spans="1:41" s="121" customFormat="1" ht="16.5" customHeight="1">
      <c r="A251" s="104" t="s">
        <v>2134</v>
      </c>
      <c r="B251" s="105" t="s">
        <v>1381</v>
      </c>
      <c r="C251" s="156" t="s">
        <v>2101</v>
      </c>
      <c r="D251" s="106" t="s">
        <v>2415</v>
      </c>
      <c r="E251" s="157" t="s">
        <v>2102</v>
      </c>
      <c r="F251" s="71" t="s">
        <v>1404</v>
      </c>
      <c r="G251" s="109" t="s">
        <v>1405</v>
      </c>
      <c r="H251" s="110">
        <v>4371.29</v>
      </c>
      <c r="I251" s="111"/>
      <c r="J251" s="112"/>
      <c r="K251" s="113">
        <f t="shared" si="20"/>
        <v>4371.29</v>
      </c>
      <c r="L251" s="111"/>
      <c r="M251" s="111"/>
      <c r="N251" s="112"/>
      <c r="O251" s="111"/>
      <c r="P251" s="114">
        <v>5.3194190627665677E-3</v>
      </c>
      <c r="Q251" s="111">
        <v>8509</v>
      </c>
      <c r="R251" s="112"/>
      <c r="S251" s="112"/>
      <c r="T251" s="111">
        <f t="shared" si="19"/>
        <v>45</v>
      </c>
      <c r="U251" s="112">
        <v>102.91500000000001</v>
      </c>
      <c r="V251" s="116"/>
      <c r="W251" s="111">
        <v>765.45355151722106</v>
      </c>
      <c r="X251" s="113">
        <f t="shared" si="21"/>
        <v>913.36855151722102</v>
      </c>
      <c r="Y251" s="111">
        <v>0</v>
      </c>
      <c r="Z251" s="111"/>
      <c r="AA251" s="116"/>
      <c r="AB251" s="111">
        <v>765.45680396201942</v>
      </c>
      <c r="AC251" s="113">
        <f t="shared" si="22"/>
        <v>765.45680396201942</v>
      </c>
      <c r="AD251" s="111">
        <v>49.789762427495077</v>
      </c>
      <c r="AE251" s="111">
        <v>95.141609522624904</v>
      </c>
      <c r="AF251" s="112"/>
      <c r="AG251" s="117">
        <v>0</v>
      </c>
      <c r="AH251" s="111">
        <v>8906.2425149700575</v>
      </c>
      <c r="AI251" s="112">
        <v>71.956541579052328</v>
      </c>
      <c r="AJ251" s="112">
        <v>1.0562846424636472</v>
      </c>
      <c r="AK251" s="113">
        <f t="shared" si="23"/>
        <v>9124.1867131416948</v>
      </c>
      <c r="AL251" s="118"/>
      <c r="AM251" s="119"/>
      <c r="AN251" s="119"/>
      <c r="AO251" s="120"/>
    </row>
    <row r="252" spans="1:41" s="121" customFormat="1" ht="16.5" customHeight="1">
      <c r="A252" s="104" t="s">
        <v>2134</v>
      </c>
      <c r="B252" s="105" t="s">
        <v>1389</v>
      </c>
      <c r="C252" s="106" t="s">
        <v>1460</v>
      </c>
      <c r="D252" s="106" t="s">
        <v>2415</v>
      </c>
      <c r="E252" s="71" t="s">
        <v>1461</v>
      </c>
      <c r="F252" s="71" t="s">
        <v>78</v>
      </c>
      <c r="G252" s="158" t="s">
        <v>2054</v>
      </c>
      <c r="H252" s="110">
        <v>36583</v>
      </c>
      <c r="I252" s="111">
        <v>3269</v>
      </c>
      <c r="J252" s="112">
        <v>0</v>
      </c>
      <c r="K252" s="113">
        <f t="shared" si="20"/>
        <v>39852</v>
      </c>
      <c r="L252" s="111">
        <v>5638</v>
      </c>
      <c r="M252" s="111">
        <v>32696</v>
      </c>
      <c r="N252" s="115"/>
      <c r="O252" s="111">
        <v>2570</v>
      </c>
      <c r="P252" s="114">
        <v>35</v>
      </c>
      <c r="Q252" s="111">
        <v>8509</v>
      </c>
      <c r="R252" s="115"/>
      <c r="S252" s="115">
        <v>9679</v>
      </c>
      <c r="T252" s="111">
        <f t="shared" si="19"/>
        <v>307494</v>
      </c>
      <c r="U252" s="112">
        <v>1465824</v>
      </c>
      <c r="V252" s="116">
        <v>14302</v>
      </c>
      <c r="W252" s="112"/>
      <c r="X252" s="113">
        <f t="shared" si="21"/>
        <v>1828524</v>
      </c>
      <c r="Y252" s="111"/>
      <c r="Z252" s="111"/>
      <c r="AA252" s="116"/>
      <c r="AB252" s="111"/>
      <c r="AC252" s="113">
        <f t="shared" si="22"/>
        <v>0</v>
      </c>
      <c r="AD252" s="111"/>
      <c r="AE252" s="111"/>
      <c r="AF252" s="112"/>
      <c r="AG252" s="117"/>
      <c r="AH252" s="111"/>
      <c r="AI252" s="112"/>
      <c r="AJ252" s="112"/>
      <c r="AK252" s="113">
        <f t="shared" si="23"/>
        <v>0</v>
      </c>
      <c r="AL252" s="118"/>
      <c r="AM252" s="119"/>
      <c r="AN252" s="119"/>
      <c r="AO252" s="120"/>
    </row>
    <row r="253" spans="1:41" s="121" customFormat="1" ht="16.5" customHeight="1">
      <c r="A253" s="104" t="s">
        <v>2134</v>
      </c>
      <c r="B253" s="105" t="s">
        <v>1394</v>
      </c>
      <c r="C253" s="106" t="s">
        <v>1468</v>
      </c>
      <c r="D253" s="106" t="s">
        <v>2415</v>
      </c>
      <c r="E253" s="71" t="s">
        <v>1469</v>
      </c>
      <c r="F253" s="71" t="s">
        <v>78</v>
      </c>
      <c r="G253" s="109" t="s">
        <v>1470</v>
      </c>
      <c r="H253" s="110">
        <v>23217</v>
      </c>
      <c r="I253" s="112">
        <v>0</v>
      </c>
      <c r="J253" s="112">
        <v>0</v>
      </c>
      <c r="K253" s="113">
        <f t="shared" si="20"/>
        <v>23217</v>
      </c>
      <c r="L253" s="115">
        <v>0</v>
      </c>
      <c r="M253" s="115">
        <v>0</v>
      </c>
      <c r="N253" s="115">
        <v>0</v>
      </c>
      <c r="O253" s="115">
        <v>0</v>
      </c>
      <c r="P253" s="122">
        <v>0.65</v>
      </c>
      <c r="Q253" s="111">
        <v>8509</v>
      </c>
      <c r="R253" s="115">
        <v>0</v>
      </c>
      <c r="S253" s="115">
        <v>0</v>
      </c>
      <c r="T253" s="111">
        <f t="shared" si="19"/>
        <v>5531</v>
      </c>
      <c r="U253" s="115">
        <v>0</v>
      </c>
      <c r="V253" s="144">
        <v>0</v>
      </c>
      <c r="W253" s="111">
        <v>47505</v>
      </c>
      <c r="X253" s="113">
        <f t="shared" si="21"/>
        <v>53036</v>
      </c>
      <c r="Y253" s="111">
        <v>0</v>
      </c>
      <c r="Z253" s="111">
        <v>0</v>
      </c>
      <c r="AA253" s="116">
        <v>0</v>
      </c>
      <c r="AB253" s="111">
        <v>47505</v>
      </c>
      <c r="AC253" s="113">
        <f t="shared" si="22"/>
        <v>47505</v>
      </c>
      <c r="AD253" s="111">
        <v>11725</v>
      </c>
      <c r="AE253" s="111">
        <v>5753</v>
      </c>
      <c r="AF253" s="112">
        <v>0</v>
      </c>
      <c r="AG253" s="117">
        <v>803</v>
      </c>
      <c r="AH253" s="111">
        <v>25070</v>
      </c>
      <c r="AI253" s="112">
        <v>1199</v>
      </c>
      <c r="AJ253" s="112">
        <v>1723</v>
      </c>
      <c r="AK253" s="113">
        <f t="shared" si="23"/>
        <v>46273</v>
      </c>
      <c r="AL253" s="118"/>
      <c r="AM253" s="119"/>
      <c r="AN253" s="119"/>
      <c r="AO253" s="120"/>
    </row>
    <row r="254" spans="1:41" s="121" customFormat="1" ht="16.5" customHeight="1">
      <c r="A254" s="104" t="s">
        <v>2134</v>
      </c>
      <c r="B254" s="105" t="s">
        <v>1399</v>
      </c>
      <c r="C254" s="106" t="s">
        <v>1475</v>
      </c>
      <c r="D254" s="106" t="s">
        <v>2415</v>
      </c>
      <c r="E254" s="71" t="s">
        <v>1880</v>
      </c>
      <c r="F254" s="71" t="s">
        <v>708</v>
      </c>
      <c r="G254" s="109" t="s">
        <v>1476</v>
      </c>
      <c r="H254" s="110">
        <v>0</v>
      </c>
      <c r="I254" s="112">
        <v>0</v>
      </c>
      <c r="J254" s="112">
        <v>4043</v>
      </c>
      <c r="K254" s="113">
        <f t="shared" si="20"/>
        <v>4043</v>
      </c>
      <c r="L254" s="111">
        <v>0</v>
      </c>
      <c r="M254" s="111">
        <v>0</v>
      </c>
      <c r="N254" s="115">
        <v>0</v>
      </c>
      <c r="O254" s="111">
        <v>0</v>
      </c>
      <c r="P254" s="122">
        <v>0.25</v>
      </c>
      <c r="Q254" s="111">
        <v>8509</v>
      </c>
      <c r="R254" s="115">
        <v>0</v>
      </c>
      <c r="S254" s="115">
        <v>0</v>
      </c>
      <c r="T254" s="111">
        <f t="shared" si="19"/>
        <v>2127</v>
      </c>
      <c r="U254" s="112">
        <v>0</v>
      </c>
      <c r="V254" s="116">
        <v>0</v>
      </c>
      <c r="W254" s="112">
        <v>0</v>
      </c>
      <c r="X254" s="113">
        <f t="shared" si="21"/>
        <v>2127</v>
      </c>
      <c r="Y254" s="111">
        <v>42188</v>
      </c>
      <c r="Z254" s="111">
        <v>0</v>
      </c>
      <c r="AA254" s="116">
        <v>1</v>
      </c>
      <c r="AB254" s="111">
        <v>0</v>
      </c>
      <c r="AC254" s="113">
        <f t="shared" si="22"/>
        <v>42189</v>
      </c>
      <c r="AD254" s="111">
        <v>3902</v>
      </c>
      <c r="AE254" s="111">
        <v>14809</v>
      </c>
      <c r="AF254" s="112">
        <v>0</v>
      </c>
      <c r="AG254" s="117">
        <v>2957</v>
      </c>
      <c r="AH254" s="111">
        <v>5406</v>
      </c>
      <c r="AI254" s="112">
        <v>2259</v>
      </c>
      <c r="AJ254" s="112">
        <v>6063</v>
      </c>
      <c r="AK254" s="113">
        <f t="shared" si="23"/>
        <v>35396</v>
      </c>
      <c r="AL254" s="118" t="s">
        <v>2223</v>
      </c>
      <c r="AM254" s="119"/>
      <c r="AN254" s="119"/>
      <c r="AO254" s="120"/>
    </row>
    <row r="255" spans="1:41" s="121" customFormat="1" ht="16.5" customHeight="1">
      <c r="A255" s="104" t="s">
        <v>2134</v>
      </c>
      <c r="B255" s="105" t="s">
        <v>756</v>
      </c>
      <c r="C255" s="106" t="s">
        <v>1480</v>
      </c>
      <c r="D255" s="106" t="s">
        <v>2415</v>
      </c>
      <c r="E255" s="71" t="s">
        <v>1481</v>
      </c>
      <c r="F255" s="71" t="s">
        <v>708</v>
      </c>
      <c r="G255" s="109" t="s">
        <v>780</v>
      </c>
      <c r="H255" s="143"/>
      <c r="I255" s="112"/>
      <c r="J255" s="112"/>
      <c r="K255" s="113">
        <f t="shared" si="20"/>
        <v>0</v>
      </c>
      <c r="L255" s="111">
        <v>10</v>
      </c>
      <c r="M255" s="115"/>
      <c r="N255" s="115"/>
      <c r="O255" s="115"/>
      <c r="P255" s="114"/>
      <c r="Q255" s="111">
        <v>8509</v>
      </c>
      <c r="R255" s="115"/>
      <c r="S255" s="115"/>
      <c r="T255" s="111">
        <f t="shared" si="19"/>
        <v>0</v>
      </c>
      <c r="U255" s="115"/>
      <c r="V255" s="116"/>
      <c r="W255" s="112"/>
      <c r="X255" s="113">
        <f t="shared" si="21"/>
        <v>10</v>
      </c>
      <c r="Y255" s="111"/>
      <c r="Z255" s="111"/>
      <c r="AA255" s="116"/>
      <c r="AB255" s="111"/>
      <c r="AC255" s="113">
        <f t="shared" si="22"/>
        <v>0</v>
      </c>
      <c r="AD255" s="111"/>
      <c r="AE255" s="111"/>
      <c r="AF255" s="112"/>
      <c r="AG255" s="117"/>
      <c r="AH255" s="111"/>
      <c r="AI255" s="112"/>
      <c r="AJ255" s="112"/>
      <c r="AK255" s="113">
        <f t="shared" si="23"/>
        <v>0</v>
      </c>
      <c r="AL255" s="118"/>
      <c r="AM255" s="119"/>
      <c r="AN255" s="119"/>
      <c r="AO255" s="120"/>
    </row>
    <row r="256" spans="1:41" s="121" customFormat="1" ht="16.5" customHeight="1">
      <c r="A256" s="104" t="s">
        <v>2134</v>
      </c>
      <c r="B256" s="105" t="s">
        <v>1413</v>
      </c>
      <c r="C256" s="106" t="s">
        <v>1483</v>
      </c>
      <c r="D256" s="106" t="s">
        <v>2415</v>
      </c>
      <c r="E256" s="71" t="s">
        <v>1484</v>
      </c>
      <c r="F256" s="71" t="s">
        <v>139</v>
      </c>
      <c r="G256" s="158" t="s">
        <v>2568</v>
      </c>
      <c r="H256" s="110"/>
      <c r="I256" s="111"/>
      <c r="J256" s="112">
        <v>171600</v>
      </c>
      <c r="K256" s="113">
        <f t="shared" si="20"/>
        <v>171600</v>
      </c>
      <c r="L256" s="111"/>
      <c r="M256" s="111"/>
      <c r="N256" s="112"/>
      <c r="O256" s="111"/>
      <c r="P256" s="159">
        <v>0.5</v>
      </c>
      <c r="Q256" s="111">
        <v>8509</v>
      </c>
      <c r="R256" s="115"/>
      <c r="S256" s="115"/>
      <c r="T256" s="111">
        <f t="shared" si="19"/>
        <v>4255</v>
      </c>
      <c r="U256" s="112"/>
      <c r="V256" s="116">
        <v>52815</v>
      </c>
      <c r="W256" s="111">
        <v>137148</v>
      </c>
      <c r="X256" s="113">
        <f t="shared" si="21"/>
        <v>194218</v>
      </c>
      <c r="Y256" s="111"/>
      <c r="Z256" s="111">
        <v>351908</v>
      </c>
      <c r="AA256" s="116">
        <v>23246</v>
      </c>
      <c r="AB256" s="111">
        <v>63166</v>
      </c>
      <c r="AC256" s="113">
        <f t="shared" si="22"/>
        <v>438320</v>
      </c>
      <c r="AD256" s="111"/>
      <c r="AE256" s="111"/>
      <c r="AF256" s="112"/>
      <c r="AG256" s="117"/>
      <c r="AH256" s="111">
        <v>323760</v>
      </c>
      <c r="AI256" s="112"/>
      <c r="AJ256" s="112">
        <v>114560</v>
      </c>
      <c r="AK256" s="113">
        <f t="shared" si="23"/>
        <v>438320</v>
      </c>
      <c r="AL256" s="118"/>
      <c r="AM256" s="119"/>
      <c r="AN256" s="119"/>
      <c r="AO256" s="120"/>
    </row>
    <row r="257" spans="1:41" s="121" customFormat="1" ht="16.5" customHeight="1">
      <c r="A257" s="104" t="s">
        <v>2134</v>
      </c>
      <c r="B257" s="105" t="s">
        <v>1416</v>
      </c>
      <c r="C257" s="106" t="s">
        <v>1492</v>
      </c>
      <c r="D257" s="106" t="s">
        <v>2415</v>
      </c>
      <c r="E257" s="71" t="s">
        <v>1493</v>
      </c>
      <c r="F257" s="71" t="s">
        <v>1493</v>
      </c>
      <c r="G257" s="109" t="s">
        <v>1493</v>
      </c>
      <c r="H257" s="110"/>
      <c r="I257" s="111"/>
      <c r="J257" s="112"/>
      <c r="K257" s="113"/>
      <c r="L257" s="111"/>
      <c r="M257" s="111"/>
      <c r="N257" s="112"/>
      <c r="O257" s="111"/>
      <c r="P257" s="114"/>
      <c r="Q257" s="111"/>
      <c r="R257" s="115"/>
      <c r="S257" s="115"/>
      <c r="T257" s="111"/>
      <c r="U257" s="112"/>
      <c r="V257" s="116"/>
      <c r="W257" s="111"/>
      <c r="X257" s="113"/>
      <c r="Y257" s="111"/>
      <c r="Z257" s="111"/>
      <c r="AA257" s="116"/>
      <c r="AB257" s="111"/>
      <c r="AC257" s="113"/>
      <c r="AD257" s="111"/>
      <c r="AE257" s="111"/>
      <c r="AF257" s="112"/>
      <c r="AG257" s="117"/>
      <c r="AH257" s="111"/>
      <c r="AI257" s="112"/>
      <c r="AJ257" s="112"/>
      <c r="AK257" s="113"/>
      <c r="AL257" s="118"/>
      <c r="AM257" s="119"/>
      <c r="AN257" s="119"/>
      <c r="AO257" s="120"/>
    </row>
    <row r="258" spans="1:41" s="121" customFormat="1" ht="16.5" customHeight="1">
      <c r="A258" s="104" t="s">
        <v>2134</v>
      </c>
      <c r="B258" s="105" t="s">
        <v>1419</v>
      </c>
      <c r="C258" s="106" t="s">
        <v>1501</v>
      </c>
      <c r="D258" s="106" t="s">
        <v>2415</v>
      </c>
      <c r="E258" s="71" t="s">
        <v>1502</v>
      </c>
      <c r="F258" s="71" t="s">
        <v>1502</v>
      </c>
      <c r="G258" s="109" t="s">
        <v>1503</v>
      </c>
      <c r="H258" s="110"/>
      <c r="I258" s="111"/>
      <c r="J258" s="112"/>
      <c r="K258" s="113"/>
      <c r="L258" s="111"/>
      <c r="M258" s="111"/>
      <c r="N258" s="112"/>
      <c r="O258" s="111"/>
      <c r="P258" s="114"/>
      <c r="Q258" s="111"/>
      <c r="R258" s="115"/>
      <c r="S258" s="115"/>
      <c r="T258" s="111"/>
      <c r="U258" s="112"/>
      <c r="V258" s="116"/>
      <c r="W258" s="111"/>
      <c r="X258" s="113"/>
      <c r="Y258" s="111"/>
      <c r="Z258" s="111"/>
      <c r="AA258" s="116"/>
      <c r="AB258" s="111"/>
      <c r="AC258" s="113"/>
      <c r="AD258" s="111"/>
      <c r="AE258" s="111"/>
      <c r="AF258" s="112"/>
      <c r="AG258" s="117"/>
      <c r="AH258" s="111"/>
      <c r="AI258" s="112"/>
      <c r="AJ258" s="112"/>
      <c r="AK258" s="113"/>
      <c r="AL258" s="118"/>
      <c r="AM258" s="119"/>
      <c r="AN258" s="119"/>
      <c r="AO258" s="120"/>
    </row>
    <row r="259" spans="1:41" s="121" customFormat="1" ht="16.5" customHeight="1">
      <c r="A259" s="104" t="s">
        <v>2134</v>
      </c>
      <c r="B259" s="105" t="s">
        <v>1426</v>
      </c>
      <c r="C259" s="106" t="s">
        <v>1506</v>
      </c>
      <c r="D259" s="106" t="s">
        <v>2415</v>
      </c>
      <c r="E259" s="71" t="s">
        <v>1507</v>
      </c>
      <c r="F259" s="71" t="s">
        <v>1502</v>
      </c>
      <c r="G259" s="109" t="s">
        <v>1508</v>
      </c>
      <c r="H259" s="110"/>
      <c r="I259" s="111"/>
      <c r="J259" s="112"/>
      <c r="K259" s="113"/>
      <c r="L259" s="111"/>
      <c r="M259" s="111"/>
      <c r="N259" s="112"/>
      <c r="O259" s="111"/>
      <c r="P259" s="114"/>
      <c r="Q259" s="111"/>
      <c r="R259" s="115"/>
      <c r="S259" s="115"/>
      <c r="T259" s="111"/>
      <c r="U259" s="112"/>
      <c r="V259" s="116"/>
      <c r="W259" s="111"/>
      <c r="X259" s="113"/>
      <c r="Y259" s="111"/>
      <c r="Z259" s="111"/>
      <c r="AA259" s="116"/>
      <c r="AB259" s="111"/>
      <c r="AC259" s="113"/>
      <c r="AD259" s="111"/>
      <c r="AE259" s="111"/>
      <c r="AF259" s="112"/>
      <c r="AG259" s="117"/>
      <c r="AH259" s="111"/>
      <c r="AI259" s="112"/>
      <c r="AJ259" s="112"/>
      <c r="AK259" s="113"/>
      <c r="AL259" s="118"/>
      <c r="AM259" s="119"/>
      <c r="AN259" s="119"/>
      <c r="AO259" s="120"/>
    </row>
    <row r="260" spans="1:41" s="121" customFormat="1" ht="16.5" customHeight="1">
      <c r="A260" s="104" t="s">
        <v>2134</v>
      </c>
      <c r="B260" s="105" t="s">
        <v>1429</v>
      </c>
      <c r="C260" s="106" t="s">
        <v>1945</v>
      </c>
      <c r="D260" s="106" t="s">
        <v>2415</v>
      </c>
      <c r="E260" s="71" t="s">
        <v>1511</v>
      </c>
      <c r="F260" s="71" t="s">
        <v>1502</v>
      </c>
      <c r="G260" s="109" t="s">
        <v>1508</v>
      </c>
      <c r="H260" s="110"/>
      <c r="I260" s="111"/>
      <c r="J260" s="112"/>
      <c r="K260" s="113"/>
      <c r="L260" s="111"/>
      <c r="M260" s="111"/>
      <c r="N260" s="112"/>
      <c r="O260" s="111"/>
      <c r="P260" s="114"/>
      <c r="Q260" s="111"/>
      <c r="R260" s="115"/>
      <c r="S260" s="115"/>
      <c r="T260" s="111"/>
      <c r="U260" s="112"/>
      <c r="V260" s="116"/>
      <c r="W260" s="111"/>
      <c r="X260" s="113"/>
      <c r="Y260" s="111"/>
      <c r="Z260" s="111"/>
      <c r="AA260" s="116"/>
      <c r="AB260" s="111"/>
      <c r="AC260" s="113"/>
      <c r="AD260" s="111"/>
      <c r="AE260" s="111"/>
      <c r="AF260" s="112"/>
      <c r="AG260" s="117"/>
      <c r="AH260" s="111"/>
      <c r="AI260" s="112"/>
      <c r="AJ260" s="112"/>
      <c r="AK260" s="113"/>
      <c r="AL260" s="118"/>
      <c r="AM260" s="119"/>
      <c r="AN260" s="119"/>
      <c r="AO260" s="120"/>
    </row>
    <row r="261" spans="1:41" s="121" customFormat="1" ht="16.5" customHeight="1">
      <c r="A261" s="104" t="s">
        <v>2134</v>
      </c>
      <c r="B261" s="105" t="s">
        <v>1432</v>
      </c>
      <c r="C261" s="106" t="s">
        <v>1946</v>
      </c>
      <c r="D261" s="106" t="s">
        <v>2415</v>
      </c>
      <c r="E261" s="71" t="s">
        <v>1514</v>
      </c>
      <c r="F261" s="71" t="s">
        <v>1502</v>
      </c>
      <c r="G261" s="109" t="s">
        <v>1508</v>
      </c>
      <c r="H261" s="110"/>
      <c r="I261" s="111"/>
      <c r="J261" s="112"/>
      <c r="K261" s="113"/>
      <c r="L261" s="111"/>
      <c r="M261" s="111"/>
      <c r="N261" s="112"/>
      <c r="O261" s="111"/>
      <c r="P261" s="114"/>
      <c r="Q261" s="111"/>
      <c r="R261" s="115"/>
      <c r="S261" s="115"/>
      <c r="T261" s="111"/>
      <c r="U261" s="112"/>
      <c r="V261" s="116"/>
      <c r="W261" s="111"/>
      <c r="X261" s="113"/>
      <c r="Y261" s="111"/>
      <c r="Z261" s="111"/>
      <c r="AA261" s="116"/>
      <c r="AB261" s="111"/>
      <c r="AC261" s="113"/>
      <c r="AD261" s="111"/>
      <c r="AE261" s="111"/>
      <c r="AF261" s="112"/>
      <c r="AG261" s="117"/>
      <c r="AH261" s="111"/>
      <c r="AI261" s="112"/>
      <c r="AJ261" s="112"/>
      <c r="AK261" s="113"/>
      <c r="AL261" s="118"/>
      <c r="AM261" s="119"/>
      <c r="AN261" s="119"/>
      <c r="AO261" s="120"/>
    </row>
    <row r="262" spans="1:41" s="121" customFormat="1" ht="16.5" customHeight="1">
      <c r="A262" s="104" t="s">
        <v>2134</v>
      </c>
      <c r="B262" s="105" t="s">
        <v>1434</v>
      </c>
      <c r="C262" s="106" t="s">
        <v>1947</v>
      </c>
      <c r="D262" s="106" t="s">
        <v>2415</v>
      </c>
      <c r="E262" s="71" t="s">
        <v>1911</v>
      </c>
      <c r="F262" s="71" t="s">
        <v>1502</v>
      </c>
      <c r="G262" s="109" t="s">
        <v>1508</v>
      </c>
      <c r="H262" s="110"/>
      <c r="I262" s="111"/>
      <c r="J262" s="112"/>
      <c r="K262" s="113"/>
      <c r="L262" s="111"/>
      <c r="M262" s="111"/>
      <c r="N262" s="112"/>
      <c r="O262" s="111"/>
      <c r="P262" s="114"/>
      <c r="Q262" s="111"/>
      <c r="R262" s="115"/>
      <c r="S262" s="115"/>
      <c r="T262" s="111"/>
      <c r="U262" s="112"/>
      <c r="V262" s="116"/>
      <c r="W262" s="111"/>
      <c r="X262" s="113"/>
      <c r="Y262" s="111"/>
      <c r="Z262" s="111"/>
      <c r="AA262" s="116"/>
      <c r="AB262" s="111"/>
      <c r="AC262" s="113"/>
      <c r="AD262" s="111"/>
      <c r="AE262" s="111"/>
      <c r="AF262" s="112"/>
      <c r="AG262" s="117"/>
      <c r="AH262" s="111"/>
      <c r="AI262" s="112"/>
      <c r="AJ262" s="112"/>
      <c r="AK262" s="113"/>
      <c r="AL262" s="118"/>
      <c r="AM262" s="119"/>
      <c r="AN262" s="119"/>
      <c r="AO262" s="120"/>
    </row>
    <row r="263" spans="1:41" s="121" customFormat="1" ht="16.5" customHeight="1">
      <c r="A263" s="104" t="s">
        <v>2134</v>
      </c>
      <c r="B263" s="105" t="s">
        <v>1436</v>
      </c>
      <c r="C263" s="106" t="s">
        <v>1516</v>
      </c>
      <c r="D263" s="106" t="s">
        <v>2415</v>
      </c>
      <c r="E263" s="71" t="s">
        <v>1517</v>
      </c>
      <c r="F263" s="71" t="s">
        <v>1502</v>
      </c>
      <c r="G263" s="109" t="s">
        <v>1518</v>
      </c>
      <c r="H263" s="110"/>
      <c r="I263" s="111"/>
      <c r="J263" s="112"/>
      <c r="K263" s="113"/>
      <c r="L263" s="111"/>
      <c r="M263" s="111"/>
      <c r="N263" s="112"/>
      <c r="O263" s="111"/>
      <c r="P263" s="114"/>
      <c r="Q263" s="111"/>
      <c r="R263" s="115"/>
      <c r="S263" s="115"/>
      <c r="T263" s="111"/>
      <c r="U263" s="112"/>
      <c r="V263" s="116"/>
      <c r="W263" s="111"/>
      <c r="X263" s="113"/>
      <c r="Y263" s="111"/>
      <c r="Z263" s="111"/>
      <c r="AA263" s="116"/>
      <c r="AB263" s="111"/>
      <c r="AC263" s="113"/>
      <c r="AD263" s="111"/>
      <c r="AE263" s="111"/>
      <c r="AF263" s="112"/>
      <c r="AG263" s="117"/>
      <c r="AH263" s="111"/>
      <c r="AI263" s="112"/>
      <c r="AJ263" s="112"/>
      <c r="AK263" s="113"/>
      <c r="AL263" s="118"/>
      <c r="AM263" s="119"/>
      <c r="AN263" s="119"/>
      <c r="AO263" s="120"/>
    </row>
    <row r="264" spans="1:41" s="121" customFormat="1" ht="16.5" customHeight="1">
      <c r="A264" s="104" t="s">
        <v>2134</v>
      </c>
      <c r="B264" s="105" t="s">
        <v>1440</v>
      </c>
      <c r="C264" s="106" t="s">
        <v>1523</v>
      </c>
      <c r="D264" s="106" t="s">
        <v>2415</v>
      </c>
      <c r="E264" s="71" t="s">
        <v>1524</v>
      </c>
      <c r="F264" s="71" t="s">
        <v>1502</v>
      </c>
      <c r="G264" s="109" t="s">
        <v>1518</v>
      </c>
      <c r="H264" s="110"/>
      <c r="I264" s="111"/>
      <c r="J264" s="112"/>
      <c r="K264" s="113"/>
      <c r="L264" s="111"/>
      <c r="M264" s="111"/>
      <c r="N264" s="112"/>
      <c r="O264" s="111"/>
      <c r="P264" s="114"/>
      <c r="Q264" s="111"/>
      <c r="R264" s="115"/>
      <c r="S264" s="115"/>
      <c r="T264" s="111"/>
      <c r="U264" s="112"/>
      <c r="V264" s="116"/>
      <c r="W264" s="111"/>
      <c r="X264" s="113"/>
      <c r="Y264" s="111"/>
      <c r="Z264" s="111"/>
      <c r="AA264" s="116"/>
      <c r="AB264" s="111"/>
      <c r="AC264" s="113"/>
      <c r="AD264" s="111"/>
      <c r="AE264" s="111"/>
      <c r="AF264" s="112"/>
      <c r="AG264" s="117"/>
      <c r="AH264" s="111"/>
      <c r="AI264" s="112"/>
      <c r="AJ264" s="112"/>
      <c r="AK264" s="113"/>
      <c r="AL264" s="118"/>
      <c r="AM264" s="119"/>
      <c r="AN264" s="119"/>
      <c r="AO264" s="120"/>
    </row>
    <row r="265" spans="1:41" s="121" customFormat="1" ht="16.5" customHeight="1">
      <c r="A265" s="104" t="s">
        <v>2134</v>
      </c>
      <c r="B265" s="105" t="s">
        <v>1442</v>
      </c>
      <c r="C265" s="106" t="s">
        <v>1526</v>
      </c>
      <c r="D265" s="106" t="s">
        <v>2415</v>
      </c>
      <c r="E265" s="71" t="s">
        <v>1527</v>
      </c>
      <c r="F265" s="71" t="s">
        <v>1502</v>
      </c>
      <c r="G265" s="109" t="s">
        <v>1518</v>
      </c>
      <c r="H265" s="110"/>
      <c r="I265" s="111"/>
      <c r="J265" s="112"/>
      <c r="K265" s="113"/>
      <c r="L265" s="111"/>
      <c r="M265" s="111"/>
      <c r="N265" s="112"/>
      <c r="O265" s="111"/>
      <c r="P265" s="114"/>
      <c r="Q265" s="111"/>
      <c r="R265" s="115"/>
      <c r="S265" s="115"/>
      <c r="T265" s="111"/>
      <c r="U265" s="112"/>
      <c r="V265" s="116"/>
      <c r="W265" s="111"/>
      <c r="X265" s="113"/>
      <c r="Y265" s="111"/>
      <c r="Z265" s="111"/>
      <c r="AA265" s="116"/>
      <c r="AB265" s="111"/>
      <c r="AC265" s="113"/>
      <c r="AD265" s="111"/>
      <c r="AE265" s="111"/>
      <c r="AF265" s="112"/>
      <c r="AG265" s="117"/>
      <c r="AH265" s="111"/>
      <c r="AI265" s="112"/>
      <c r="AJ265" s="112"/>
      <c r="AK265" s="113"/>
      <c r="AL265" s="118"/>
      <c r="AM265" s="119"/>
      <c r="AN265" s="119"/>
      <c r="AO265" s="120"/>
    </row>
    <row r="266" spans="1:41" s="163" customFormat="1" ht="16.5" customHeight="1">
      <c r="A266" s="104" t="s">
        <v>2107</v>
      </c>
      <c r="B266" s="105" t="s">
        <v>1445</v>
      </c>
      <c r="C266" s="107" t="s">
        <v>1529</v>
      </c>
      <c r="D266" s="106" t="s">
        <v>2415</v>
      </c>
      <c r="E266" s="131" t="s">
        <v>1530</v>
      </c>
      <c r="F266" s="131" t="s">
        <v>1502</v>
      </c>
      <c r="G266" s="160" t="s">
        <v>1518</v>
      </c>
      <c r="H266" s="110"/>
      <c r="I266" s="111"/>
      <c r="J266" s="112"/>
      <c r="K266" s="113"/>
      <c r="L266" s="111"/>
      <c r="M266" s="111"/>
      <c r="N266" s="112"/>
      <c r="O266" s="111"/>
      <c r="P266" s="114"/>
      <c r="Q266" s="111"/>
      <c r="R266" s="115"/>
      <c r="S266" s="115"/>
      <c r="T266" s="111"/>
      <c r="U266" s="112"/>
      <c r="V266" s="116"/>
      <c r="W266" s="111"/>
      <c r="X266" s="113"/>
      <c r="Y266" s="111"/>
      <c r="Z266" s="111"/>
      <c r="AA266" s="116"/>
      <c r="AB266" s="111"/>
      <c r="AC266" s="113"/>
      <c r="AD266" s="111"/>
      <c r="AE266" s="111"/>
      <c r="AF266" s="112"/>
      <c r="AG266" s="117"/>
      <c r="AH266" s="111"/>
      <c r="AI266" s="112"/>
      <c r="AJ266" s="112"/>
      <c r="AK266" s="113"/>
      <c r="AL266" s="161"/>
      <c r="AM266" s="112"/>
      <c r="AN266" s="162"/>
      <c r="AO266" s="113"/>
    </row>
    <row r="267" spans="1:41" s="163" customFormat="1" ht="16.5" customHeight="1">
      <c r="A267" s="104" t="s">
        <v>2107</v>
      </c>
      <c r="B267" s="105" t="s">
        <v>1449</v>
      </c>
      <c r="C267" s="106" t="s">
        <v>1532</v>
      </c>
      <c r="D267" s="106" t="s">
        <v>2415</v>
      </c>
      <c r="E267" s="71" t="s">
        <v>1533</v>
      </c>
      <c r="F267" s="71" t="s">
        <v>1502</v>
      </c>
      <c r="G267" s="164" t="s">
        <v>1518</v>
      </c>
      <c r="H267" s="110"/>
      <c r="I267" s="111"/>
      <c r="J267" s="112"/>
      <c r="K267" s="113"/>
      <c r="L267" s="111"/>
      <c r="M267" s="111"/>
      <c r="N267" s="112"/>
      <c r="O267" s="111"/>
      <c r="P267" s="114"/>
      <c r="Q267" s="111"/>
      <c r="R267" s="115"/>
      <c r="S267" s="115"/>
      <c r="T267" s="111"/>
      <c r="U267" s="112"/>
      <c r="V267" s="116"/>
      <c r="W267" s="111"/>
      <c r="X267" s="113"/>
      <c r="Y267" s="111"/>
      <c r="Z267" s="111"/>
      <c r="AA267" s="116"/>
      <c r="AB267" s="111"/>
      <c r="AC267" s="113"/>
      <c r="AD267" s="111"/>
      <c r="AE267" s="111"/>
      <c r="AF267" s="112"/>
      <c r="AG267" s="117"/>
      <c r="AH267" s="111"/>
      <c r="AI267" s="112"/>
      <c r="AJ267" s="112"/>
      <c r="AK267" s="113"/>
      <c r="AL267" s="161"/>
      <c r="AM267" s="112"/>
      <c r="AN267" s="162"/>
      <c r="AO267" s="113"/>
    </row>
    <row r="268" spans="1:41" s="163" customFormat="1" ht="16.5" customHeight="1">
      <c r="A268" s="104" t="s">
        <v>2107</v>
      </c>
      <c r="B268" s="105" t="s">
        <v>1453</v>
      </c>
      <c r="C268" s="106" t="s">
        <v>1535</v>
      </c>
      <c r="D268" s="106" t="s">
        <v>2415</v>
      </c>
      <c r="E268" s="71" t="s">
        <v>1536</v>
      </c>
      <c r="F268" s="71" t="s">
        <v>1502</v>
      </c>
      <c r="G268" s="164" t="s">
        <v>1518</v>
      </c>
      <c r="H268" s="110"/>
      <c r="I268" s="111"/>
      <c r="J268" s="112"/>
      <c r="K268" s="113"/>
      <c r="L268" s="111"/>
      <c r="M268" s="111"/>
      <c r="N268" s="112"/>
      <c r="O268" s="111"/>
      <c r="P268" s="114"/>
      <c r="Q268" s="111"/>
      <c r="R268" s="115"/>
      <c r="S268" s="115"/>
      <c r="T268" s="111"/>
      <c r="U268" s="112"/>
      <c r="V268" s="116"/>
      <c r="W268" s="111"/>
      <c r="X268" s="113"/>
      <c r="Y268" s="111"/>
      <c r="Z268" s="111"/>
      <c r="AA268" s="116"/>
      <c r="AB268" s="111"/>
      <c r="AC268" s="113"/>
      <c r="AD268" s="111"/>
      <c r="AE268" s="111"/>
      <c r="AF268" s="112"/>
      <c r="AG268" s="117"/>
      <c r="AH268" s="111"/>
      <c r="AI268" s="112"/>
      <c r="AJ268" s="112"/>
      <c r="AK268" s="113"/>
      <c r="AL268" s="161"/>
      <c r="AM268" s="112"/>
      <c r="AN268" s="162"/>
      <c r="AO268" s="113"/>
    </row>
    <row r="269" spans="1:41" s="163" customFormat="1" ht="16.5" customHeight="1">
      <c r="A269" s="104" t="s">
        <v>2107</v>
      </c>
      <c r="B269" s="105" t="s">
        <v>1459</v>
      </c>
      <c r="C269" s="106" t="s">
        <v>1538</v>
      </c>
      <c r="D269" s="106" t="s">
        <v>2415</v>
      </c>
      <c r="E269" s="71" t="s">
        <v>1539</v>
      </c>
      <c r="F269" s="71" t="s">
        <v>1502</v>
      </c>
      <c r="G269" s="164" t="s">
        <v>1518</v>
      </c>
      <c r="H269" s="110"/>
      <c r="I269" s="111"/>
      <c r="J269" s="112"/>
      <c r="K269" s="113"/>
      <c r="L269" s="111"/>
      <c r="M269" s="111"/>
      <c r="N269" s="112"/>
      <c r="O269" s="111"/>
      <c r="P269" s="114"/>
      <c r="Q269" s="111"/>
      <c r="R269" s="115"/>
      <c r="S269" s="115"/>
      <c r="T269" s="111"/>
      <c r="U269" s="112"/>
      <c r="V269" s="116"/>
      <c r="W269" s="111"/>
      <c r="X269" s="113"/>
      <c r="Y269" s="111"/>
      <c r="Z269" s="111"/>
      <c r="AA269" s="116"/>
      <c r="AB269" s="111"/>
      <c r="AC269" s="113"/>
      <c r="AD269" s="111"/>
      <c r="AE269" s="111"/>
      <c r="AF269" s="112"/>
      <c r="AG269" s="117"/>
      <c r="AH269" s="111"/>
      <c r="AI269" s="112"/>
      <c r="AJ269" s="112"/>
      <c r="AK269" s="113"/>
      <c r="AL269" s="161"/>
      <c r="AM269" s="112"/>
      <c r="AN269" s="162"/>
      <c r="AO269" s="113"/>
    </row>
    <row r="270" spans="1:41" s="163" customFormat="1" ht="16.5" customHeight="1">
      <c r="A270" s="165" t="s">
        <v>2107</v>
      </c>
      <c r="B270" s="166" t="s">
        <v>1467</v>
      </c>
      <c r="C270" s="167" t="s">
        <v>1541</v>
      </c>
      <c r="D270" s="167" t="s">
        <v>2415</v>
      </c>
      <c r="E270" s="168" t="s">
        <v>1542</v>
      </c>
      <c r="F270" s="168" t="s">
        <v>1542</v>
      </c>
      <c r="G270" s="169" t="s">
        <v>1542</v>
      </c>
      <c r="H270" s="170"/>
      <c r="I270" s="171"/>
      <c r="J270" s="172"/>
      <c r="K270" s="173"/>
      <c r="L270" s="171"/>
      <c r="M270" s="171"/>
      <c r="N270" s="172"/>
      <c r="O270" s="171"/>
      <c r="P270" s="174"/>
      <c r="Q270" s="171"/>
      <c r="R270" s="175"/>
      <c r="S270" s="175"/>
      <c r="T270" s="171"/>
      <c r="U270" s="172"/>
      <c r="V270" s="176"/>
      <c r="W270" s="171"/>
      <c r="X270" s="173"/>
      <c r="Y270" s="171"/>
      <c r="Z270" s="171"/>
      <c r="AA270" s="176"/>
      <c r="AB270" s="171"/>
      <c r="AC270" s="173"/>
      <c r="AD270" s="171"/>
      <c r="AE270" s="171"/>
      <c r="AF270" s="172"/>
      <c r="AG270" s="177"/>
      <c r="AH270" s="171"/>
      <c r="AI270" s="172"/>
      <c r="AJ270" s="172"/>
      <c r="AK270" s="173"/>
      <c r="AL270" s="178"/>
      <c r="AM270" s="172"/>
      <c r="AN270" s="179"/>
      <c r="AO270" s="173"/>
    </row>
    <row r="271" spans="1:41" s="163" customFormat="1" ht="16.5" customHeight="1">
      <c r="A271" s="180"/>
      <c r="B271" s="181"/>
      <c r="C271" s="182"/>
      <c r="D271" s="182"/>
      <c r="E271" s="183"/>
      <c r="F271" s="183"/>
      <c r="G271" s="183"/>
      <c r="H271" s="184"/>
      <c r="I271" s="184"/>
      <c r="J271" s="184"/>
      <c r="K271" s="184"/>
      <c r="L271" s="184"/>
      <c r="M271" s="184"/>
      <c r="N271" s="184"/>
      <c r="O271" s="184"/>
      <c r="Q271" s="184"/>
      <c r="R271" s="185"/>
      <c r="S271" s="185"/>
      <c r="U271" s="184"/>
      <c r="V271" s="184"/>
      <c r="W271" s="184"/>
      <c r="X271" s="184"/>
      <c r="Y271" s="184"/>
      <c r="Z271" s="184"/>
      <c r="AA271" s="184"/>
      <c r="AB271" s="184"/>
      <c r="AC271" s="184"/>
      <c r="AD271" s="184"/>
      <c r="AE271" s="184"/>
      <c r="AF271" s="184"/>
      <c r="AG271" s="184"/>
      <c r="AH271" s="184"/>
      <c r="AI271" s="184"/>
      <c r="AJ271" s="184"/>
      <c r="AK271" s="184"/>
      <c r="AL271" s="186"/>
      <c r="AM271" s="187"/>
      <c r="AN271" s="187"/>
      <c r="AO271" s="187"/>
    </row>
    <row r="272" spans="1:41" s="163" customFormat="1" ht="16.5" customHeight="1">
      <c r="A272" s="180"/>
      <c r="B272" s="181"/>
      <c r="C272" s="182"/>
      <c r="D272" s="182"/>
      <c r="E272" s="183"/>
      <c r="F272" s="183"/>
      <c r="G272" s="183"/>
      <c r="H272" s="184"/>
      <c r="I272" s="184"/>
      <c r="J272" s="184"/>
      <c r="K272" s="184"/>
      <c r="L272" s="184"/>
      <c r="M272" s="184"/>
      <c r="N272" s="184"/>
      <c r="O272" s="184"/>
      <c r="Q272" s="184"/>
      <c r="R272" s="185"/>
      <c r="S272" s="185"/>
      <c r="U272" s="184"/>
      <c r="V272" s="184"/>
      <c r="W272" s="184"/>
      <c r="X272" s="184"/>
      <c r="Y272" s="184"/>
      <c r="Z272" s="184"/>
      <c r="AA272" s="184"/>
      <c r="AB272" s="184"/>
      <c r="AC272" s="184"/>
      <c r="AD272" s="184"/>
      <c r="AE272" s="184"/>
      <c r="AF272" s="184"/>
      <c r="AG272" s="184"/>
      <c r="AH272" s="184"/>
      <c r="AI272" s="184"/>
      <c r="AJ272" s="184"/>
      <c r="AK272" s="184"/>
      <c r="AL272" s="186"/>
      <c r="AM272" s="187"/>
      <c r="AN272" s="187"/>
      <c r="AO272" s="187"/>
    </row>
    <row r="273" spans="1:41" s="163" customFormat="1" ht="16.5" customHeight="1">
      <c r="A273" s="180"/>
      <c r="B273" s="181"/>
      <c r="C273" s="182"/>
      <c r="D273" s="182"/>
      <c r="E273" s="183"/>
      <c r="F273" s="183"/>
      <c r="G273" s="183"/>
      <c r="H273" s="184"/>
      <c r="I273" s="184"/>
      <c r="J273" s="184"/>
      <c r="K273" s="184"/>
      <c r="L273" s="184"/>
      <c r="M273" s="184"/>
      <c r="N273" s="184"/>
      <c r="O273" s="184"/>
      <c r="Q273" s="184"/>
      <c r="R273" s="185"/>
      <c r="S273" s="185"/>
      <c r="U273" s="184"/>
      <c r="V273" s="184"/>
      <c r="W273" s="184"/>
      <c r="X273" s="184"/>
      <c r="Y273" s="184"/>
      <c r="Z273" s="184"/>
      <c r="AA273" s="184"/>
      <c r="AB273" s="184"/>
      <c r="AC273" s="184"/>
      <c r="AD273" s="184"/>
      <c r="AE273" s="184"/>
      <c r="AF273" s="184"/>
      <c r="AG273" s="184"/>
      <c r="AH273" s="184"/>
      <c r="AI273" s="184"/>
      <c r="AJ273" s="184"/>
      <c r="AK273" s="184"/>
      <c r="AL273" s="186"/>
      <c r="AM273" s="187"/>
      <c r="AN273" s="187"/>
      <c r="AO273" s="187"/>
    </row>
    <row r="274" spans="1:41" s="163" customFormat="1" ht="16.5" customHeight="1">
      <c r="A274" s="180"/>
      <c r="B274" s="181"/>
      <c r="C274" s="182"/>
      <c r="D274" s="182"/>
      <c r="E274" s="183"/>
      <c r="F274" s="183"/>
      <c r="G274" s="183"/>
      <c r="H274" s="184"/>
      <c r="I274" s="184"/>
      <c r="J274" s="184"/>
      <c r="K274" s="184"/>
      <c r="L274" s="184"/>
      <c r="M274" s="184"/>
      <c r="N274" s="184"/>
      <c r="O274" s="184"/>
      <c r="Q274" s="184"/>
      <c r="R274" s="185"/>
      <c r="S274" s="185"/>
      <c r="U274" s="184"/>
      <c r="V274" s="184"/>
      <c r="W274" s="184"/>
      <c r="X274" s="184"/>
      <c r="Y274" s="184"/>
      <c r="Z274" s="184"/>
      <c r="AA274" s="184"/>
      <c r="AB274" s="184"/>
      <c r="AC274" s="184"/>
      <c r="AD274" s="184"/>
      <c r="AE274" s="184"/>
      <c r="AF274" s="184"/>
      <c r="AG274" s="184"/>
      <c r="AH274" s="184"/>
      <c r="AI274" s="184"/>
      <c r="AJ274" s="184"/>
      <c r="AK274" s="184"/>
      <c r="AL274" s="186"/>
      <c r="AM274" s="187"/>
      <c r="AN274" s="187"/>
      <c r="AO274" s="187"/>
    </row>
    <row r="275" spans="1:41" s="163" customFormat="1" ht="16.5" customHeight="1">
      <c r="A275" s="180"/>
      <c r="B275" s="181"/>
      <c r="C275" s="182"/>
      <c r="D275" s="182"/>
      <c r="E275" s="183"/>
      <c r="F275" s="183"/>
      <c r="G275" s="183"/>
      <c r="H275" s="184"/>
      <c r="I275" s="184"/>
      <c r="J275" s="184"/>
      <c r="K275" s="184"/>
      <c r="L275" s="184"/>
      <c r="M275" s="184"/>
      <c r="N275" s="184"/>
      <c r="O275" s="184"/>
      <c r="Q275" s="184"/>
      <c r="R275" s="185"/>
      <c r="S275" s="185"/>
      <c r="U275" s="184"/>
      <c r="V275" s="184"/>
      <c r="W275" s="184"/>
      <c r="X275" s="184"/>
      <c r="Y275" s="184"/>
      <c r="Z275" s="184"/>
      <c r="AA275" s="184"/>
      <c r="AB275" s="184"/>
      <c r="AC275" s="184"/>
      <c r="AD275" s="184"/>
      <c r="AE275" s="184"/>
      <c r="AF275" s="184"/>
      <c r="AG275" s="184"/>
      <c r="AH275" s="184"/>
      <c r="AI275" s="184"/>
      <c r="AJ275" s="184"/>
      <c r="AK275" s="184"/>
      <c r="AL275" s="186"/>
      <c r="AM275" s="187"/>
      <c r="AN275" s="187"/>
      <c r="AO275" s="187"/>
    </row>
    <row r="276" spans="1:41" s="163" customFormat="1" ht="16.5" customHeight="1">
      <c r="A276" s="180"/>
      <c r="B276" s="181"/>
      <c r="C276" s="182"/>
      <c r="D276" s="182"/>
      <c r="E276" s="183"/>
      <c r="F276" s="183"/>
      <c r="G276" s="183"/>
      <c r="H276" s="184"/>
      <c r="I276" s="184"/>
      <c r="J276" s="184"/>
      <c r="K276" s="184"/>
      <c r="L276" s="184"/>
      <c r="M276" s="184"/>
      <c r="N276" s="184"/>
      <c r="O276" s="184"/>
      <c r="Q276" s="184"/>
      <c r="R276" s="185"/>
      <c r="S276" s="185"/>
      <c r="U276" s="184"/>
      <c r="V276" s="184"/>
      <c r="W276" s="184"/>
      <c r="X276" s="184"/>
      <c r="Y276" s="184"/>
      <c r="Z276" s="184"/>
      <c r="AA276" s="184"/>
      <c r="AB276" s="184"/>
      <c r="AC276" s="184"/>
      <c r="AD276" s="184"/>
      <c r="AE276" s="184"/>
      <c r="AF276" s="184"/>
      <c r="AG276" s="184"/>
      <c r="AH276" s="184"/>
      <c r="AI276" s="184"/>
      <c r="AJ276" s="184"/>
      <c r="AK276" s="184"/>
      <c r="AL276" s="186"/>
      <c r="AM276" s="187"/>
      <c r="AN276" s="187"/>
      <c r="AO276" s="187"/>
    </row>
    <row r="277" spans="1:41" s="163" customFormat="1" ht="16.5" customHeight="1">
      <c r="A277" s="180"/>
      <c r="B277" s="181"/>
      <c r="C277" s="182"/>
      <c r="D277" s="182"/>
      <c r="E277" s="183"/>
      <c r="F277" s="183"/>
      <c r="G277" s="183"/>
      <c r="H277" s="184"/>
      <c r="I277" s="184"/>
      <c r="J277" s="184"/>
      <c r="K277" s="184"/>
      <c r="L277" s="184"/>
      <c r="M277" s="184"/>
      <c r="N277" s="184"/>
      <c r="O277" s="184"/>
      <c r="Q277" s="184"/>
      <c r="R277" s="185"/>
      <c r="S277" s="185"/>
      <c r="U277" s="184"/>
      <c r="V277" s="184"/>
      <c r="W277" s="184"/>
      <c r="X277" s="184"/>
      <c r="Y277" s="184"/>
      <c r="Z277" s="184"/>
      <c r="AA277" s="184"/>
      <c r="AB277" s="184"/>
      <c r="AC277" s="184"/>
      <c r="AD277" s="184"/>
      <c r="AE277" s="184"/>
      <c r="AF277" s="184"/>
      <c r="AG277" s="184"/>
      <c r="AH277" s="184"/>
      <c r="AI277" s="184"/>
      <c r="AJ277" s="184"/>
      <c r="AK277" s="184"/>
      <c r="AL277" s="186"/>
      <c r="AM277" s="187"/>
      <c r="AN277" s="187"/>
      <c r="AO277" s="187"/>
    </row>
    <row r="278" spans="1:41" s="163" customFormat="1" ht="16.5" customHeight="1">
      <c r="A278" s="180"/>
      <c r="B278" s="181"/>
      <c r="C278" s="182"/>
      <c r="D278" s="182"/>
      <c r="E278" s="183"/>
      <c r="F278" s="183"/>
      <c r="G278" s="183"/>
      <c r="H278" s="184"/>
      <c r="I278" s="184"/>
      <c r="J278" s="184"/>
      <c r="K278" s="184"/>
      <c r="L278" s="184"/>
      <c r="M278" s="184"/>
      <c r="N278" s="184"/>
      <c r="O278" s="184"/>
      <c r="Q278" s="184"/>
      <c r="R278" s="185"/>
      <c r="S278" s="185"/>
      <c r="U278" s="184"/>
      <c r="V278" s="184"/>
      <c r="W278" s="184"/>
      <c r="X278" s="184"/>
      <c r="Y278" s="184"/>
      <c r="Z278" s="184"/>
      <c r="AA278" s="184"/>
      <c r="AB278" s="184"/>
      <c r="AC278" s="184"/>
      <c r="AD278" s="184"/>
      <c r="AE278" s="184"/>
      <c r="AF278" s="184"/>
      <c r="AG278" s="184"/>
      <c r="AH278" s="184"/>
      <c r="AI278" s="184"/>
      <c r="AJ278" s="184"/>
      <c r="AK278" s="184"/>
      <c r="AL278" s="186"/>
      <c r="AM278" s="187"/>
      <c r="AN278" s="187"/>
      <c r="AO278" s="187"/>
    </row>
    <row r="279" spans="1:41" s="163" customFormat="1" ht="16.5" customHeight="1">
      <c r="A279" s="180"/>
      <c r="B279" s="181"/>
      <c r="C279" s="182"/>
      <c r="D279" s="182"/>
      <c r="E279" s="183"/>
      <c r="F279" s="183"/>
      <c r="G279" s="183"/>
      <c r="H279" s="184"/>
      <c r="I279" s="184"/>
      <c r="J279" s="184"/>
      <c r="K279" s="184"/>
      <c r="L279" s="184"/>
      <c r="M279" s="184"/>
      <c r="N279" s="184"/>
      <c r="O279" s="184"/>
      <c r="Q279" s="184"/>
      <c r="R279" s="185"/>
      <c r="S279" s="185"/>
      <c r="U279" s="184"/>
      <c r="V279" s="184"/>
      <c r="W279" s="184"/>
      <c r="X279" s="184"/>
      <c r="Y279" s="184"/>
      <c r="Z279" s="184"/>
      <c r="AA279" s="184"/>
      <c r="AB279" s="184"/>
      <c r="AC279" s="184"/>
      <c r="AD279" s="184"/>
      <c r="AE279" s="184"/>
      <c r="AF279" s="184"/>
      <c r="AG279" s="184"/>
      <c r="AH279" s="184"/>
      <c r="AI279" s="184"/>
      <c r="AJ279" s="184"/>
      <c r="AK279" s="184"/>
      <c r="AL279" s="186"/>
      <c r="AM279" s="187"/>
      <c r="AN279" s="187"/>
      <c r="AO279" s="187"/>
    </row>
    <row r="280" spans="1:41" s="163" customFormat="1" ht="16.5" customHeight="1">
      <c r="A280" s="180"/>
      <c r="B280" s="181"/>
      <c r="C280" s="182"/>
      <c r="D280" s="182"/>
      <c r="E280" s="183"/>
      <c r="F280" s="183"/>
      <c r="G280" s="183"/>
      <c r="H280" s="184"/>
      <c r="I280" s="184"/>
      <c r="J280" s="184"/>
      <c r="K280" s="184"/>
      <c r="L280" s="184"/>
      <c r="M280" s="184"/>
      <c r="N280" s="184"/>
      <c r="O280" s="184"/>
      <c r="Q280" s="184"/>
      <c r="R280" s="185"/>
      <c r="S280" s="185"/>
      <c r="U280" s="184"/>
      <c r="V280" s="184"/>
      <c r="W280" s="184"/>
      <c r="X280" s="184"/>
      <c r="Y280" s="184"/>
      <c r="Z280" s="184"/>
      <c r="AA280" s="184"/>
      <c r="AB280" s="184"/>
      <c r="AC280" s="184"/>
      <c r="AD280" s="184"/>
      <c r="AE280" s="184"/>
      <c r="AF280" s="184"/>
      <c r="AG280" s="184"/>
      <c r="AH280" s="184"/>
      <c r="AI280" s="184"/>
      <c r="AJ280" s="184"/>
      <c r="AK280" s="184"/>
      <c r="AL280" s="186"/>
      <c r="AM280" s="187"/>
      <c r="AN280" s="187"/>
      <c r="AO280" s="187"/>
    </row>
    <row r="281" spans="1:41" s="163" customFormat="1" ht="16.5" customHeight="1">
      <c r="A281" s="180"/>
      <c r="B281" s="181"/>
      <c r="C281" s="182"/>
      <c r="D281" s="182"/>
      <c r="E281" s="183"/>
      <c r="F281" s="183"/>
      <c r="G281" s="183"/>
      <c r="H281" s="184"/>
      <c r="I281" s="184"/>
      <c r="J281" s="184"/>
      <c r="K281" s="184"/>
      <c r="L281" s="184"/>
      <c r="M281" s="184"/>
      <c r="N281" s="184"/>
      <c r="O281" s="184"/>
      <c r="Q281" s="184"/>
      <c r="R281" s="185"/>
      <c r="S281" s="185"/>
      <c r="U281" s="184"/>
      <c r="V281" s="184"/>
      <c r="W281" s="184"/>
      <c r="X281" s="184"/>
      <c r="Y281" s="184"/>
      <c r="Z281" s="184"/>
      <c r="AA281" s="184"/>
      <c r="AB281" s="184"/>
      <c r="AC281" s="184"/>
      <c r="AD281" s="184"/>
      <c r="AE281" s="184"/>
      <c r="AF281" s="184"/>
      <c r="AG281" s="184"/>
      <c r="AH281" s="184"/>
      <c r="AI281" s="184"/>
      <c r="AJ281" s="184"/>
      <c r="AK281" s="184"/>
      <c r="AL281" s="186"/>
      <c r="AM281" s="187"/>
      <c r="AN281" s="187"/>
      <c r="AO281" s="187"/>
    </row>
    <row r="282" spans="1:41" s="163" customFormat="1" ht="16.5" customHeight="1">
      <c r="A282" s="180"/>
      <c r="B282" s="181"/>
      <c r="C282" s="182"/>
      <c r="D282" s="182"/>
      <c r="E282" s="183"/>
      <c r="F282" s="183"/>
      <c r="G282" s="183"/>
      <c r="H282" s="184"/>
      <c r="I282" s="184"/>
      <c r="J282" s="184"/>
      <c r="K282" s="184"/>
      <c r="L282" s="184"/>
      <c r="M282" s="184"/>
      <c r="N282" s="184"/>
      <c r="O282" s="184"/>
      <c r="Q282" s="184"/>
      <c r="R282" s="185"/>
      <c r="S282" s="185"/>
      <c r="U282" s="184"/>
      <c r="V282" s="184"/>
      <c r="W282" s="184"/>
      <c r="X282" s="184"/>
      <c r="Y282" s="184"/>
      <c r="Z282" s="184"/>
      <c r="AA282" s="184"/>
      <c r="AB282" s="184"/>
      <c r="AC282" s="184"/>
      <c r="AD282" s="184"/>
      <c r="AE282" s="184"/>
      <c r="AF282" s="184"/>
      <c r="AG282" s="184"/>
      <c r="AH282" s="184"/>
      <c r="AI282" s="184"/>
      <c r="AJ282" s="184"/>
      <c r="AK282" s="184"/>
      <c r="AL282" s="186"/>
      <c r="AM282" s="187"/>
      <c r="AN282" s="187"/>
      <c r="AO282" s="187"/>
    </row>
    <row r="283" spans="1:41" s="163" customFormat="1" ht="16.5" customHeight="1">
      <c r="A283" s="180"/>
      <c r="B283" s="181"/>
      <c r="C283" s="182"/>
      <c r="D283" s="182"/>
      <c r="E283" s="183"/>
      <c r="F283" s="183"/>
      <c r="G283" s="183"/>
      <c r="H283" s="184"/>
      <c r="I283" s="184"/>
      <c r="J283" s="184"/>
      <c r="K283" s="184"/>
      <c r="L283" s="184"/>
      <c r="M283" s="184"/>
      <c r="N283" s="184"/>
      <c r="O283" s="184"/>
      <c r="Q283" s="184"/>
      <c r="R283" s="185"/>
      <c r="S283" s="185"/>
      <c r="U283" s="184"/>
      <c r="V283" s="184"/>
      <c r="W283" s="184"/>
      <c r="X283" s="184"/>
      <c r="Y283" s="184"/>
      <c r="Z283" s="184"/>
      <c r="AA283" s="184"/>
      <c r="AB283" s="184"/>
      <c r="AC283" s="184"/>
      <c r="AD283" s="184"/>
      <c r="AE283" s="184"/>
      <c r="AF283" s="184"/>
      <c r="AG283" s="184"/>
      <c r="AH283" s="184"/>
      <c r="AI283" s="184"/>
      <c r="AJ283" s="184"/>
      <c r="AK283" s="184"/>
      <c r="AL283" s="186"/>
      <c r="AM283" s="187"/>
      <c r="AN283" s="187"/>
      <c r="AO283" s="187"/>
    </row>
    <row r="284" spans="1:41" s="163" customFormat="1" ht="16.5" customHeight="1">
      <c r="A284" s="180"/>
      <c r="B284" s="181"/>
      <c r="C284" s="182"/>
      <c r="D284" s="182"/>
      <c r="E284" s="183"/>
      <c r="F284" s="183"/>
      <c r="G284" s="183"/>
      <c r="H284" s="184"/>
      <c r="I284" s="184"/>
      <c r="J284" s="184"/>
      <c r="K284" s="184"/>
      <c r="L284" s="184"/>
      <c r="M284" s="184"/>
      <c r="N284" s="184"/>
      <c r="O284" s="184"/>
      <c r="Q284" s="184"/>
      <c r="R284" s="185"/>
      <c r="S284" s="185"/>
      <c r="U284" s="184"/>
      <c r="V284" s="184"/>
      <c r="W284" s="184"/>
      <c r="X284" s="184"/>
      <c r="Y284" s="184"/>
      <c r="Z284" s="184"/>
      <c r="AA284" s="184"/>
      <c r="AB284" s="184"/>
      <c r="AC284" s="184"/>
      <c r="AD284" s="184"/>
      <c r="AE284" s="184"/>
      <c r="AF284" s="184"/>
      <c r="AG284" s="184"/>
      <c r="AH284" s="184"/>
      <c r="AI284" s="184"/>
      <c r="AJ284" s="184"/>
      <c r="AK284" s="184"/>
      <c r="AL284" s="186"/>
      <c r="AM284" s="187"/>
      <c r="AN284" s="187"/>
      <c r="AO284" s="187"/>
    </row>
    <row r="285" spans="1:41" s="163" customFormat="1" ht="16.5" customHeight="1">
      <c r="A285" s="180"/>
      <c r="B285" s="181"/>
      <c r="C285" s="182"/>
      <c r="D285" s="182"/>
      <c r="E285" s="183"/>
      <c r="F285" s="183"/>
      <c r="G285" s="183"/>
      <c r="H285" s="184"/>
      <c r="I285" s="184"/>
      <c r="J285" s="184"/>
      <c r="K285" s="184"/>
      <c r="L285" s="184"/>
      <c r="M285" s="184"/>
      <c r="N285" s="184"/>
      <c r="O285" s="184"/>
      <c r="Q285" s="184"/>
      <c r="R285" s="185"/>
      <c r="S285" s="185"/>
      <c r="U285" s="184"/>
      <c r="V285" s="184"/>
      <c r="W285" s="184"/>
      <c r="X285" s="184"/>
      <c r="Y285" s="184"/>
      <c r="Z285" s="184"/>
      <c r="AA285" s="184"/>
      <c r="AB285" s="184"/>
      <c r="AC285" s="184"/>
      <c r="AD285" s="184"/>
      <c r="AE285" s="184"/>
      <c r="AF285" s="184"/>
      <c r="AG285" s="184"/>
      <c r="AH285" s="184"/>
      <c r="AI285" s="184"/>
      <c r="AJ285" s="184"/>
      <c r="AK285" s="184"/>
      <c r="AL285" s="186"/>
      <c r="AM285" s="187"/>
      <c r="AN285" s="187"/>
      <c r="AO285" s="187"/>
    </row>
    <row r="286" spans="1:41" s="163" customFormat="1" ht="16.5" customHeight="1">
      <c r="A286" s="180"/>
      <c r="B286" s="181"/>
      <c r="C286" s="182"/>
      <c r="D286" s="182"/>
      <c r="E286" s="183"/>
      <c r="F286" s="183"/>
      <c r="G286" s="183"/>
      <c r="H286" s="184"/>
      <c r="I286" s="184"/>
      <c r="J286" s="184"/>
      <c r="K286" s="184"/>
      <c r="L286" s="184"/>
      <c r="M286" s="184"/>
      <c r="N286" s="184"/>
      <c r="O286" s="184"/>
      <c r="Q286" s="184"/>
      <c r="R286" s="185"/>
      <c r="S286" s="185"/>
      <c r="U286" s="184"/>
      <c r="V286" s="184"/>
      <c r="W286" s="184"/>
      <c r="X286" s="184"/>
      <c r="Y286" s="184"/>
      <c r="Z286" s="184"/>
      <c r="AA286" s="184"/>
      <c r="AB286" s="184"/>
      <c r="AC286" s="184"/>
      <c r="AD286" s="184"/>
      <c r="AE286" s="184"/>
      <c r="AF286" s="184"/>
      <c r="AG286" s="184"/>
      <c r="AH286" s="184"/>
      <c r="AI286" s="184"/>
      <c r="AJ286" s="184"/>
      <c r="AK286" s="184"/>
      <c r="AL286" s="186"/>
      <c r="AM286" s="187"/>
      <c r="AN286" s="187"/>
      <c r="AO286" s="187"/>
    </row>
    <row r="287" spans="1:41" s="163" customFormat="1" ht="16.5" customHeight="1">
      <c r="A287" s="180"/>
      <c r="B287" s="181"/>
      <c r="C287" s="182"/>
      <c r="D287" s="182"/>
      <c r="E287" s="183"/>
      <c r="F287" s="183"/>
      <c r="G287" s="183"/>
      <c r="H287" s="184"/>
      <c r="I287" s="184"/>
      <c r="J287" s="184"/>
      <c r="K287" s="184"/>
      <c r="L287" s="184"/>
      <c r="M287" s="184"/>
      <c r="N287" s="184"/>
      <c r="O287" s="184"/>
      <c r="Q287" s="184"/>
      <c r="R287" s="185"/>
      <c r="S287" s="185"/>
      <c r="U287" s="184"/>
      <c r="V287" s="184"/>
      <c r="W287" s="184"/>
      <c r="X287" s="184"/>
      <c r="Y287" s="184"/>
      <c r="Z287" s="184"/>
      <c r="AA287" s="184"/>
      <c r="AB287" s="184"/>
      <c r="AC287" s="184"/>
      <c r="AD287" s="184"/>
      <c r="AE287" s="184"/>
      <c r="AF287" s="184"/>
      <c r="AG287" s="184"/>
      <c r="AH287" s="184"/>
      <c r="AI287" s="184"/>
      <c r="AJ287" s="184"/>
      <c r="AK287" s="184"/>
      <c r="AL287" s="186"/>
      <c r="AM287" s="187"/>
      <c r="AN287" s="187"/>
      <c r="AO287" s="187"/>
    </row>
    <row r="288" spans="1:41" s="163" customFormat="1" ht="16.5" customHeight="1">
      <c r="A288" s="180"/>
      <c r="B288" s="181"/>
      <c r="C288" s="182"/>
      <c r="D288" s="182"/>
      <c r="E288" s="183"/>
      <c r="F288" s="183"/>
      <c r="G288" s="183"/>
      <c r="H288" s="184"/>
      <c r="I288" s="184"/>
      <c r="J288" s="184"/>
      <c r="K288" s="184"/>
      <c r="L288" s="184"/>
      <c r="M288" s="184"/>
      <c r="N288" s="184"/>
      <c r="O288" s="184"/>
      <c r="Q288" s="184"/>
      <c r="R288" s="185"/>
      <c r="S288" s="185"/>
      <c r="U288" s="184"/>
      <c r="V288" s="184"/>
      <c r="W288" s="184"/>
      <c r="X288" s="184"/>
      <c r="Y288" s="184"/>
      <c r="Z288" s="184"/>
      <c r="AA288" s="184"/>
      <c r="AB288" s="184"/>
      <c r="AC288" s="184"/>
      <c r="AD288" s="184"/>
      <c r="AE288" s="184"/>
      <c r="AF288" s="184"/>
      <c r="AG288" s="184"/>
      <c r="AH288" s="184"/>
      <c r="AI288" s="184"/>
      <c r="AJ288" s="184"/>
      <c r="AK288" s="184"/>
      <c r="AL288" s="186"/>
      <c r="AM288" s="187"/>
      <c r="AN288" s="187"/>
      <c r="AO288" s="187"/>
    </row>
    <row r="289" spans="1:41" s="163" customFormat="1" ht="16.5" customHeight="1">
      <c r="A289" s="180"/>
      <c r="B289" s="181"/>
      <c r="C289" s="182"/>
      <c r="D289" s="182"/>
      <c r="E289" s="183"/>
      <c r="F289" s="183"/>
      <c r="G289" s="183"/>
      <c r="H289" s="184"/>
      <c r="I289" s="184"/>
      <c r="J289" s="184"/>
      <c r="K289" s="184"/>
      <c r="L289" s="184"/>
      <c r="M289" s="184"/>
      <c r="N289" s="184"/>
      <c r="O289" s="184"/>
      <c r="Q289" s="184"/>
      <c r="R289" s="185"/>
      <c r="S289" s="185"/>
      <c r="U289" s="184"/>
      <c r="V289" s="184"/>
      <c r="W289" s="184"/>
      <c r="X289" s="184"/>
      <c r="Y289" s="184"/>
      <c r="Z289" s="184"/>
      <c r="AA289" s="184"/>
      <c r="AB289" s="184"/>
      <c r="AC289" s="184"/>
      <c r="AD289" s="184"/>
      <c r="AE289" s="184"/>
      <c r="AF289" s="184"/>
      <c r="AG289" s="184"/>
      <c r="AH289" s="184"/>
      <c r="AI289" s="184"/>
      <c r="AJ289" s="184"/>
      <c r="AK289" s="184"/>
      <c r="AL289" s="186"/>
      <c r="AM289" s="187"/>
      <c r="AN289" s="187"/>
      <c r="AO289" s="187"/>
    </row>
    <row r="290" spans="1:41" s="163" customFormat="1" ht="16.5" customHeight="1">
      <c r="A290" s="180"/>
      <c r="B290" s="181"/>
      <c r="C290" s="182"/>
      <c r="D290" s="182"/>
      <c r="E290" s="183"/>
      <c r="F290" s="183"/>
      <c r="G290" s="183"/>
      <c r="H290" s="184"/>
      <c r="I290" s="184"/>
      <c r="J290" s="184"/>
      <c r="K290" s="184"/>
      <c r="L290" s="184"/>
      <c r="M290" s="184"/>
      <c r="N290" s="184"/>
      <c r="O290" s="184"/>
      <c r="Q290" s="184"/>
      <c r="R290" s="185"/>
      <c r="S290" s="185"/>
      <c r="U290" s="184"/>
      <c r="V290" s="184"/>
      <c r="W290" s="184"/>
      <c r="X290" s="184"/>
      <c r="Y290" s="184"/>
      <c r="Z290" s="184"/>
      <c r="AA290" s="184"/>
      <c r="AB290" s="184"/>
      <c r="AC290" s="184"/>
      <c r="AD290" s="184"/>
      <c r="AE290" s="184"/>
      <c r="AF290" s="184"/>
      <c r="AG290" s="184"/>
      <c r="AH290" s="184"/>
      <c r="AI290" s="184"/>
      <c r="AJ290" s="184"/>
      <c r="AK290" s="184"/>
      <c r="AL290" s="186"/>
      <c r="AM290" s="187"/>
      <c r="AN290" s="187"/>
      <c r="AO290" s="187"/>
    </row>
    <row r="291" spans="1:41" s="163" customFormat="1" ht="16.5" customHeight="1">
      <c r="A291" s="180"/>
      <c r="B291" s="181"/>
      <c r="C291" s="182"/>
      <c r="D291" s="182"/>
      <c r="E291" s="183"/>
      <c r="F291" s="183"/>
      <c r="G291" s="183"/>
      <c r="H291" s="184"/>
      <c r="I291" s="184"/>
      <c r="J291" s="184"/>
      <c r="K291" s="184"/>
      <c r="L291" s="184"/>
      <c r="M291" s="184"/>
      <c r="N291" s="184"/>
      <c r="O291" s="184"/>
      <c r="Q291" s="184"/>
      <c r="R291" s="185"/>
      <c r="S291" s="185"/>
      <c r="U291" s="184"/>
      <c r="V291" s="184"/>
      <c r="W291" s="184"/>
      <c r="X291" s="184"/>
      <c r="Y291" s="184"/>
      <c r="Z291" s="184"/>
      <c r="AA291" s="184"/>
      <c r="AB291" s="184"/>
      <c r="AC291" s="184"/>
      <c r="AD291" s="184"/>
      <c r="AE291" s="184"/>
      <c r="AF291" s="184"/>
      <c r="AG291" s="184"/>
      <c r="AH291" s="184"/>
      <c r="AI291" s="184"/>
      <c r="AJ291" s="184"/>
      <c r="AK291" s="184"/>
      <c r="AL291" s="186"/>
      <c r="AM291" s="187"/>
      <c r="AN291" s="187"/>
      <c r="AO291" s="187"/>
    </row>
    <row r="292" spans="1:41" s="163" customFormat="1" ht="16.5" customHeight="1">
      <c r="A292" s="180"/>
      <c r="B292" s="181"/>
      <c r="C292" s="182"/>
      <c r="D292" s="182"/>
      <c r="E292" s="183"/>
      <c r="F292" s="183"/>
      <c r="G292" s="183"/>
      <c r="H292" s="184"/>
      <c r="I292" s="184"/>
      <c r="J292" s="184"/>
      <c r="K292" s="184"/>
      <c r="L292" s="184"/>
      <c r="M292" s="184"/>
      <c r="N292" s="184"/>
      <c r="O292" s="184"/>
      <c r="Q292" s="184"/>
      <c r="R292" s="185"/>
      <c r="S292" s="185"/>
      <c r="U292" s="184"/>
      <c r="V292" s="184"/>
      <c r="W292" s="184"/>
      <c r="X292" s="184"/>
      <c r="Y292" s="184"/>
      <c r="Z292" s="184"/>
      <c r="AA292" s="184"/>
      <c r="AB292" s="184"/>
      <c r="AC292" s="184"/>
      <c r="AD292" s="184"/>
      <c r="AE292" s="184"/>
      <c r="AF292" s="184"/>
      <c r="AG292" s="184"/>
      <c r="AH292" s="184"/>
      <c r="AI292" s="184"/>
      <c r="AJ292" s="184"/>
      <c r="AK292" s="184"/>
      <c r="AL292" s="186"/>
      <c r="AM292" s="187"/>
      <c r="AN292" s="187"/>
      <c r="AO292" s="187"/>
    </row>
    <row r="293" spans="1:41" s="163" customFormat="1" ht="16.5" customHeight="1">
      <c r="A293" s="180"/>
      <c r="B293" s="181"/>
      <c r="C293" s="182"/>
      <c r="D293" s="182"/>
      <c r="E293" s="183"/>
      <c r="F293" s="183"/>
      <c r="G293" s="183"/>
      <c r="H293" s="184"/>
      <c r="I293" s="184"/>
      <c r="J293" s="184"/>
      <c r="K293" s="184"/>
      <c r="L293" s="184"/>
      <c r="M293" s="184"/>
      <c r="N293" s="184"/>
      <c r="O293" s="184"/>
      <c r="Q293" s="184"/>
      <c r="R293" s="185"/>
      <c r="S293" s="185"/>
      <c r="U293" s="184"/>
      <c r="V293" s="184"/>
      <c r="W293" s="184"/>
      <c r="X293" s="184"/>
      <c r="Y293" s="184"/>
      <c r="Z293" s="184"/>
      <c r="AA293" s="184"/>
      <c r="AB293" s="184"/>
      <c r="AC293" s="184"/>
      <c r="AD293" s="184"/>
      <c r="AE293" s="184"/>
      <c r="AF293" s="184"/>
      <c r="AG293" s="184"/>
      <c r="AH293" s="184"/>
      <c r="AI293" s="184"/>
      <c r="AJ293" s="184"/>
      <c r="AK293" s="184"/>
      <c r="AL293" s="186"/>
      <c r="AM293" s="187"/>
      <c r="AN293" s="187"/>
      <c r="AO293" s="187"/>
    </row>
    <row r="294" spans="1:41" s="163" customFormat="1" ht="16.5" customHeight="1">
      <c r="A294" s="180"/>
      <c r="B294" s="181"/>
      <c r="C294" s="182"/>
      <c r="D294" s="182"/>
      <c r="E294" s="183"/>
      <c r="F294" s="183"/>
      <c r="G294" s="183"/>
      <c r="H294" s="184"/>
      <c r="I294" s="184"/>
      <c r="J294" s="184"/>
      <c r="K294" s="184"/>
      <c r="L294" s="184"/>
      <c r="M294" s="184"/>
      <c r="N294" s="184"/>
      <c r="O294" s="184"/>
      <c r="Q294" s="184"/>
      <c r="R294" s="185"/>
      <c r="S294" s="185"/>
      <c r="U294" s="184"/>
      <c r="V294" s="184"/>
      <c r="W294" s="184"/>
      <c r="X294" s="184"/>
      <c r="Y294" s="184"/>
      <c r="Z294" s="184"/>
      <c r="AA294" s="184"/>
      <c r="AB294" s="184"/>
      <c r="AC294" s="184"/>
      <c r="AD294" s="184"/>
      <c r="AE294" s="184"/>
      <c r="AF294" s="184"/>
      <c r="AG294" s="184"/>
      <c r="AH294" s="184"/>
      <c r="AI294" s="184"/>
      <c r="AJ294" s="184"/>
      <c r="AK294" s="184"/>
      <c r="AL294" s="186"/>
      <c r="AM294" s="187"/>
      <c r="AN294" s="187"/>
      <c r="AO294" s="187"/>
    </row>
    <row r="295" spans="1:41" s="163" customFormat="1" ht="16.5" customHeight="1">
      <c r="A295" s="180"/>
      <c r="B295" s="181"/>
      <c r="C295" s="182"/>
      <c r="D295" s="182"/>
      <c r="E295" s="183"/>
      <c r="F295" s="183"/>
      <c r="G295" s="183"/>
      <c r="H295" s="184"/>
      <c r="I295" s="184"/>
      <c r="J295" s="184"/>
      <c r="K295" s="184"/>
      <c r="L295" s="184"/>
      <c r="M295" s="184"/>
      <c r="N295" s="184"/>
      <c r="O295" s="184"/>
      <c r="Q295" s="184"/>
      <c r="R295" s="185"/>
      <c r="S295" s="185"/>
      <c r="U295" s="184"/>
      <c r="V295" s="184"/>
      <c r="W295" s="184"/>
      <c r="X295" s="184"/>
      <c r="Y295" s="184"/>
      <c r="Z295" s="184"/>
      <c r="AA295" s="184"/>
      <c r="AB295" s="184"/>
      <c r="AC295" s="184"/>
      <c r="AD295" s="184"/>
      <c r="AE295" s="184"/>
      <c r="AF295" s="184"/>
      <c r="AG295" s="184"/>
      <c r="AH295" s="184"/>
      <c r="AI295" s="184"/>
      <c r="AJ295" s="184"/>
      <c r="AK295" s="184"/>
      <c r="AL295" s="186"/>
      <c r="AM295" s="187"/>
      <c r="AN295" s="187"/>
      <c r="AO295" s="187"/>
    </row>
    <row r="296" spans="1:41" s="163" customFormat="1" ht="16.5" customHeight="1">
      <c r="A296" s="180"/>
      <c r="B296" s="181"/>
      <c r="C296" s="182"/>
      <c r="D296" s="182"/>
      <c r="E296" s="183"/>
      <c r="F296" s="183"/>
      <c r="G296" s="183"/>
      <c r="H296" s="184"/>
      <c r="I296" s="184"/>
      <c r="J296" s="184"/>
      <c r="K296" s="184"/>
      <c r="L296" s="184"/>
      <c r="M296" s="184"/>
      <c r="N296" s="184"/>
      <c r="O296" s="184"/>
      <c r="Q296" s="184"/>
      <c r="R296" s="185"/>
      <c r="S296" s="185"/>
      <c r="U296" s="184"/>
      <c r="V296" s="184"/>
      <c r="W296" s="184"/>
      <c r="X296" s="184"/>
      <c r="Y296" s="184"/>
      <c r="Z296" s="184"/>
      <c r="AA296" s="184"/>
      <c r="AB296" s="184"/>
      <c r="AC296" s="184"/>
      <c r="AD296" s="184"/>
      <c r="AE296" s="184"/>
      <c r="AF296" s="184"/>
      <c r="AG296" s="184"/>
      <c r="AH296" s="184"/>
      <c r="AI296" s="184"/>
      <c r="AJ296" s="184"/>
      <c r="AK296" s="184"/>
      <c r="AL296" s="186"/>
      <c r="AM296" s="187"/>
      <c r="AN296" s="187"/>
      <c r="AO296" s="187"/>
    </row>
    <row r="297" spans="1:41" s="163" customFormat="1" ht="16.5" customHeight="1">
      <c r="A297" s="180"/>
      <c r="B297" s="181"/>
      <c r="C297" s="182"/>
      <c r="D297" s="182"/>
      <c r="E297" s="183"/>
      <c r="F297" s="183"/>
      <c r="G297" s="183"/>
      <c r="H297" s="184"/>
      <c r="I297" s="184"/>
      <c r="J297" s="184"/>
      <c r="K297" s="184"/>
      <c r="L297" s="184"/>
      <c r="M297" s="184"/>
      <c r="N297" s="184"/>
      <c r="O297" s="184"/>
      <c r="Q297" s="184"/>
      <c r="R297" s="185"/>
      <c r="S297" s="185"/>
      <c r="U297" s="184"/>
      <c r="V297" s="184"/>
      <c r="W297" s="184"/>
      <c r="X297" s="184"/>
      <c r="Y297" s="184"/>
      <c r="Z297" s="184"/>
      <c r="AA297" s="184"/>
      <c r="AB297" s="184"/>
      <c r="AC297" s="184"/>
      <c r="AD297" s="184"/>
      <c r="AE297" s="184"/>
      <c r="AF297" s="184"/>
      <c r="AG297" s="184"/>
      <c r="AH297" s="184"/>
      <c r="AI297" s="184"/>
      <c r="AJ297" s="184"/>
      <c r="AK297" s="184"/>
      <c r="AL297" s="186"/>
      <c r="AM297" s="187"/>
      <c r="AN297" s="187"/>
      <c r="AO297" s="187"/>
    </row>
    <row r="298" spans="1:41" s="163" customFormat="1" ht="16.5" customHeight="1">
      <c r="A298" s="180"/>
      <c r="B298" s="181"/>
      <c r="C298" s="182"/>
      <c r="D298" s="182"/>
      <c r="E298" s="183"/>
      <c r="F298" s="183"/>
      <c r="G298" s="183"/>
      <c r="H298" s="184"/>
      <c r="I298" s="184"/>
      <c r="J298" s="184"/>
      <c r="K298" s="184"/>
      <c r="L298" s="184"/>
      <c r="M298" s="184"/>
      <c r="N298" s="184"/>
      <c r="O298" s="184"/>
      <c r="Q298" s="184"/>
      <c r="R298" s="185"/>
      <c r="S298" s="185"/>
      <c r="U298" s="184"/>
      <c r="V298" s="184"/>
      <c r="W298" s="184"/>
      <c r="X298" s="184"/>
      <c r="Y298" s="184"/>
      <c r="Z298" s="184"/>
      <c r="AA298" s="184"/>
      <c r="AB298" s="184"/>
      <c r="AC298" s="184"/>
      <c r="AD298" s="184"/>
      <c r="AE298" s="184"/>
      <c r="AF298" s="184"/>
      <c r="AG298" s="184"/>
      <c r="AH298" s="184"/>
      <c r="AI298" s="184"/>
      <c r="AJ298" s="184"/>
      <c r="AK298" s="184"/>
      <c r="AL298" s="186"/>
      <c r="AM298" s="187"/>
      <c r="AN298" s="187"/>
      <c r="AO298" s="187"/>
    </row>
    <row r="299" spans="1:41" s="163" customFormat="1" ht="16.5" customHeight="1">
      <c r="A299" s="180"/>
      <c r="B299" s="181"/>
      <c r="C299" s="182"/>
      <c r="D299" s="182"/>
      <c r="E299" s="183"/>
      <c r="F299" s="183"/>
      <c r="G299" s="183"/>
      <c r="H299" s="184"/>
      <c r="I299" s="184"/>
      <c r="J299" s="184"/>
      <c r="K299" s="184"/>
      <c r="L299" s="184"/>
      <c r="M299" s="184"/>
      <c r="N299" s="184"/>
      <c r="O299" s="184"/>
      <c r="Q299" s="184"/>
      <c r="R299" s="185"/>
      <c r="S299" s="185"/>
      <c r="U299" s="184"/>
      <c r="V299" s="184"/>
      <c r="W299" s="184"/>
      <c r="X299" s="184"/>
      <c r="Y299" s="184"/>
      <c r="Z299" s="184"/>
      <c r="AA299" s="184"/>
      <c r="AB299" s="184"/>
      <c r="AC299" s="184"/>
      <c r="AD299" s="184"/>
      <c r="AE299" s="184"/>
      <c r="AF299" s="184"/>
      <c r="AG299" s="184"/>
      <c r="AH299" s="184"/>
      <c r="AI299" s="184"/>
      <c r="AJ299" s="184"/>
      <c r="AK299" s="184"/>
      <c r="AL299" s="186"/>
      <c r="AM299" s="187"/>
      <c r="AN299" s="187"/>
      <c r="AO299" s="187"/>
    </row>
    <row r="300" spans="1:41" s="163" customFormat="1" ht="16.5" customHeight="1">
      <c r="A300" s="180"/>
      <c r="B300" s="181"/>
      <c r="C300" s="182"/>
      <c r="D300" s="182"/>
      <c r="E300" s="183"/>
      <c r="F300" s="183"/>
      <c r="G300" s="183"/>
      <c r="H300" s="184"/>
      <c r="I300" s="184"/>
      <c r="J300" s="184"/>
      <c r="K300" s="184"/>
      <c r="L300" s="184"/>
      <c r="M300" s="184"/>
      <c r="N300" s="184"/>
      <c r="O300" s="184"/>
      <c r="Q300" s="184"/>
      <c r="R300" s="185"/>
      <c r="S300" s="185"/>
      <c r="U300" s="184"/>
      <c r="V300" s="184"/>
      <c r="W300" s="184"/>
      <c r="X300" s="184"/>
      <c r="Y300" s="184"/>
      <c r="Z300" s="184"/>
      <c r="AA300" s="184"/>
      <c r="AB300" s="184"/>
      <c r="AC300" s="184"/>
      <c r="AD300" s="184"/>
      <c r="AE300" s="184"/>
      <c r="AF300" s="184"/>
      <c r="AG300" s="184"/>
      <c r="AH300" s="184"/>
      <c r="AI300" s="184"/>
      <c r="AJ300" s="184"/>
      <c r="AK300" s="184"/>
      <c r="AL300" s="186"/>
      <c r="AM300" s="187"/>
      <c r="AN300" s="187"/>
      <c r="AO300" s="187"/>
    </row>
    <row r="301" spans="1:41" s="163" customFormat="1" ht="16.5" customHeight="1">
      <c r="A301" s="180"/>
      <c r="B301" s="181"/>
      <c r="C301" s="182"/>
      <c r="D301" s="182"/>
      <c r="E301" s="183"/>
      <c r="F301" s="183"/>
      <c r="G301" s="183"/>
      <c r="H301" s="184"/>
      <c r="I301" s="184"/>
      <c r="J301" s="184"/>
      <c r="K301" s="184"/>
      <c r="L301" s="184"/>
      <c r="M301" s="184"/>
      <c r="N301" s="184"/>
      <c r="O301" s="184"/>
      <c r="Q301" s="184"/>
      <c r="R301" s="185"/>
      <c r="S301" s="185"/>
      <c r="U301" s="184"/>
      <c r="V301" s="184"/>
      <c r="W301" s="184"/>
      <c r="X301" s="184"/>
      <c r="Y301" s="184"/>
      <c r="Z301" s="184"/>
      <c r="AA301" s="184"/>
      <c r="AB301" s="184"/>
      <c r="AC301" s="184"/>
      <c r="AD301" s="184"/>
      <c r="AE301" s="184"/>
      <c r="AF301" s="184"/>
      <c r="AG301" s="184"/>
      <c r="AH301" s="184"/>
      <c r="AI301" s="184"/>
      <c r="AJ301" s="184"/>
      <c r="AK301" s="184"/>
      <c r="AL301" s="186"/>
      <c r="AM301" s="187"/>
      <c r="AN301" s="187"/>
      <c r="AO301" s="187"/>
    </row>
    <row r="302" spans="1:41" s="163" customFormat="1" ht="16.5" customHeight="1">
      <c r="A302" s="180"/>
      <c r="B302" s="181"/>
      <c r="C302" s="182"/>
      <c r="D302" s="182"/>
      <c r="E302" s="183"/>
      <c r="F302" s="183"/>
      <c r="G302" s="183"/>
      <c r="H302" s="184"/>
      <c r="I302" s="184"/>
      <c r="J302" s="184"/>
      <c r="K302" s="184"/>
      <c r="L302" s="184"/>
      <c r="M302" s="184"/>
      <c r="N302" s="184"/>
      <c r="O302" s="184"/>
      <c r="Q302" s="184"/>
      <c r="R302" s="185"/>
      <c r="S302" s="185"/>
      <c r="U302" s="184"/>
      <c r="V302" s="184"/>
      <c r="W302" s="184"/>
      <c r="X302" s="184"/>
      <c r="Y302" s="184"/>
      <c r="Z302" s="184"/>
      <c r="AA302" s="184"/>
      <c r="AB302" s="184"/>
      <c r="AC302" s="184"/>
      <c r="AD302" s="184"/>
      <c r="AE302" s="184"/>
      <c r="AF302" s="184"/>
      <c r="AG302" s="184"/>
      <c r="AH302" s="184"/>
      <c r="AI302" s="184"/>
      <c r="AJ302" s="184"/>
      <c r="AK302" s="184"/>
      <c r="AL302" s="186"/>
      <c r="AM302" s="187"/>
      <c r="AN302" s="187"/>
      <c r="AO302" s="187"/>
    </row>
    <row r="303" spans="1:41" s="163" customFormat="1" ht="16.5" customHeight="1">
      <c r="A303" s="180"/>
      <c r="B303" s="181"/>
      <c r="C303" s="182"/>
      <c r="D303" s="182"/>
      <c r="E303" s="183"/>
      <c r="F303" s="183"/>
      <c r="G303" s="183"/>
      <c r="H303" s="184"/>
      <c r="I303" s="184"/>
      <c r="J303" s="184"/>
      <c r="K303" s="184"/>
      <c r="L303" s="184"/>
      <c r="M303" s="184"/>
      <c r="N303" s="184"/>
      <c r="O303" s="184"/>
      <c r="Q303" s="184"/>
      <c r="R303" s="185"/>
      <c r="S303" s="185"/>
      <c r="U303" s="184"/>
      <c r="V303" s="184"/>
      <c r="W303" s="184"/>
      <c r="X303" s="184"/>
      <c r="Y303" s="184"/>
      <c r="Z303" s="184"/>
      <c r="AA303" s="184"/>
      <c r="AB303" s="184"/>
      <c r="AC303" s="184"/>
      <c r="AD303" s="184"/>
      <c r="AE303" s="184"/>
      <c r="AF303" s="184"/>
      <c r="AG303" s="184"/>
      <c r="AH303" s="184"/>
      <c r="AI303" s="184"/>
      <c r="AJ303" s="184"/>
      <c r="AK303" s="184"/>
      <c r="AL303" s="186"/>
      <c r="AM303" s="187"/>
      <c r="AN303" s="187"/>
      <c r="AO303" s="187"/>
    </row>
    <row r="304" spans="1:41" s="163" customFormat="1" ht="16.5" customHeight="1">
      <c r="A304" s="180"/>
      <c r="B304" s="181"/>
      <c r="C304" s="182"/>
      <c r="D304" s="182"/>
      <c r="E304" s="183"/>
      <c r="F304" s="183"/>
      <c r="G304" s="183"/>
      <c r="H304" s="184"/>
      <c r="I304" s="184"/>
      <c r="J304" s="184"/>
      <c r="K304" s="184"/>
      <c r="L304" s="184"/>
      <c r="M304" s="184"/>
      <c r="N304" s="184"/>
      <c r="O304" s="184"/>
      <c r="Q304" s="184"/>
      <c r="R304" s="185"/>
      <c r="S304" s="185"/>
      <c r="U304" s="184"/>
      <c r="V304" s="184"/>
      <c r="W304" s="184"/>
      <c r="X304" s="184"/>
      <c r="Y304" s="184"/>
      <c r="Z304" s="184"/>
      <c r="AA304" s="184"/>
      <c r="AB304" s="184"/>
      <c r="AC304" s="184"/>
      <c r="AD304" s="184"/>
      <c r="AE304" s="184"/>
      <c r="AF304" s="184"/>
      <c r="AG304" s="184"/>
      <c r="AH304" s="184"/>
      <c r="AI304" s="184"/>
      <c r="AJ304" s="184"/>
      <c r="AK304" s="184"/>
      <c r="AL304" s="186"/>
      <c r="AM304" s="187"/>
      <c r="AN304" s="187"/>
      <c r="AO304" s="187"/>
    </row>
    <row r="305" spans="1:41" s="163" customFormat="1" ht="16.5" customHeight="1">
      <c r="A305" s="180"/>
      <c r="B305" s="181"/>
      <c r="C305" s="182"/>
      <c r="D305" s="182"/>
      <c r="E305" s="183"/>
      <c r="F305" s="183"/>
      <c r="G305" s="183"/>
      <c r="H305" s="184"/>
      <c r="I305" s="184"/>
      <c r="J305" s="184"/>
      <c r="K305" s="184"/>
      <c r="L305" s="184"/>
      <c r="M305" s="184"/>
      <c r="N305" s="184"/>
      <c r="O305" s="184"/>
      <c r="Q305" s="184"/>
      <c r="R305" s="185"/>
      <c r="S305" s="185"/>
      <c r="U305" s="184"/>
      <c r="V305" s="184"/>
      <c r="W305" s="184"/>
      <c r="X305" s="184"/>
      <c r="Y305" s="184"/>
      <c r="Z305" s="184"/>
      <c r="AA305" s="184"/>
      <c r="AB305" s="184"/>
      <c r="AC305" s="184"/>
      <c r="AD305" s="184"/>
      <c r="AE305" s="184"/>
      <c r="AF305" s="184"/>
      <c r="AG305" s="184"/>
      <c r="AH305" s="184"/>
      <c r="AI305" s="184"/>
      <c r="AJ305" s="184"/>
      <c r="AK305" s="184"/>
      <c r="AL305" s="186"/>
      <c r="AM305" s="187"/>
      <c r="AN305" s="187"/>
      <c r="AO305" s="187"/>
    </row>
    <row r="306" spans="1:41" s="163" customFormat="1" ht="16.5" customHeight="1">
      <c r="A306" s="180"/>
      <c r="B306" s="181"/>
      <c r="C306" s="182"/>
      <c r="D306" s="182"/>
      <c r="E306" s="183"/>
      <c r="F306" s="183"/>
      <c r="G306" s="183"/>
      <c r="H306" s="184"/>
      <c r="I306" s="184"/>
      <c r="J306" s="184"/>
      <c r="K306" s="184"/>
      <c r="L306" s="184"/>
      <c r="M306" s="184"/>
      <c r="N306" s="184"/>
      <c r="O306" s="184"/>
      <c r="Q306" s="184"/>
      <c r="R306" s="185"/>
      <c r="S306" s="185"/>
      <c r="U306" s="184"/>
      <c r="V306" s="184"/>
      <c r="W306" s="184"/>
      <c r="X306" s="184"/>
      <c r="Y306" s="184"/>
      <c r="Z306" s="184"/>
      <c r="AA306" s="184"/>
      <c r="AB306" s="184"/>
      <c r="AC306" s="184"/>
      <c r="AD306" s="184"/>
      <c r="AE306" s="184"/>
      <c r="AF306" s="184"/>
      <c r="AG306" s="184"/>
      <c r="AH306" s="184"/>
      <c r="AI306" s="184"/>
      <c r="AJ306" s="184"/>
      <c r="AK306" s="184"/>
      <c r="AL306" s="186"/>
      <c r="AM306" s="187"/>
      <c r="AN306" s="187"/>
      <c r="AO306" s="187"/>
    </row>
    <row r="307" spans="1:41" s="163" customFormat="1" ht="16.5" customHeight="1">
      <c r="A307" s="180"/>
      <c r="B307" s="181"/>
      <c r="C307" s="182"/>
      <c r="D307" s="182"/>
      <c r="E307" s="183"/>
      <c r="F307" s="183"/>
      <c r="G307" s="183"/>
      <c r="H307" s="184"/>
      <c r="I307" s="184"/>
      <c r="J307" s="184"/>
      <c r="K307" s="184"/>
      <c r="L307" s="184"/>
      <c r="M307" s="184"/>
      <c r="N307" s="184"/>
      <c r="O307" s="184"/>
      <c r="Q307" s="184"/>
      <c r="R307" s="185"/>
      <c r="S307" s="185"/>
      <c r="U307" s="184"/>
      <c r="V307" s="184"/>
      <c r="W307" s="184"/>
      <c r="X307" s="184"/>
      <c r="Y307" s="184"/>
      <c r="Z307" s="184"/>
      <c r="AA307" s="184"/>
      <c r="AB307" s="184"/>
      <c r="AC307" s="184"/>
      <c r="AD307" s="184"/>
      <c r="AE307" s="184"/>
      <c r="AF307" s="184"/>
      <c r="AG307" s="184"/>
      <c r="AH307" s="184"/>
      <c r="AI307" s="184"/>
      <c r="AJ307" s="184"/>
      <c r="AK307" s="184"/>
      <c r="AL307" s="186"/>
      <c r="AM307" s="187"/>
      <c r="AN307" s="187"/>
      <c r="AO307" s="187"/>
    </row>
    <row r="308" spans="1:41" s="163" customFormat="1" ht="16.5" customHeight="1">
      <c r="A308" s="180"/>
      <c r="B308" s="181"/>
      <c r="C308" s="182"/>
      <c r="D308" s="182"/>
      <c r="E308" s="183"/>
      <c r="F308" s="183"/>
      <c r="G308" s="183"/>
      <c r="H308" s="184"/>
      <c r="I308" s="184"/>
      <c r="J308" s="184"/>
      <c r="K308" s="184"/>
      <c r="L308" s="184"/>
      <c r="M308" s="184"/>
      <c r="N308" s="184"/>
      <c r="O308" s="184"/>
      <c r="Q308" s="184"/>
      <c r="R308" s="185"/>
      <c r="S308" s="185"/>
      <c r="U308" s="184"/>
      <c r="V308" s="184"/>
      <c r="W308" s="184"/>
      <c r="X308" s="184"/>
      <c r="Y308" s="184"/>
      <c r="Z308" s="184"/>
      <c r="AA308" s="184"/>
      <c r="AB308" s="184"/>
      <c r="AC308" s="184"/>
      <c r="AD308" s="184"/>
      <c r="AE308" s="184"/>
      <c r="AF308" s="184"/>
      <c r="AG308" s="184"/>
      <c r="AH308" s="184"/>
      <c r="AI308" s="184"/>
      <c r="AJ308" s="184"/>
      <c r="AK308" s="184"/>
      <c r="AL308" s="186"/>
      <c r="AM308" s="187"/>
      <c r="AN308" s="187"/>
      <c r="AO308" s="187"/>
    </row>
    <row r="309" spans="1:41" s="163" customFormat="1" ht="16.5" customHeight="1">
      <c r="A309" s="180"/>
      <c r="B309" s="181"/>
      <c r="C309" s="182"/>
      <c r="D309" s="182"/>
      <c r="E309" s="183"/>
      <c r="F309" s="183"/>
      <c r="G309" s="183"/>
      <c r="H309" s="184"/>
      <c r="I309" s="184"/>
      <c r="J309" s="184"/>
      <c r="K309" s="184"/>
      <c r="L309" s="184"/>
      <c r="M309" s="184"/>
      <c r="N309" s="184"/>
      <c r="O309" s="184"/>
      <c r="Q309" s="184"/>
      <c r="R309" s="185"/>
      <c r="S309" s="185"/>
      <c r="U309" s="184"/>
      <c r="V309" s="184"/>
      <c r="W309" s="184"/>
      <c r="X309" s="184"/>
      <c r="Y309" s="184"/>
      <c r="Z309" s="184"/>
      <c r="AA309" s="184"/>
      <c r="AB309" s="184"/>
      <c r="AC309" s="184"/>
      <c r="AD309" s="184"/>
      <c r="AE309" s="184"/>
      <c r="AF309" s="184"/>
      <c r="AG309" s="184"/>
      <c r="AH309" s="184"/>
      <c r="AI309" s="184"/>
      <c r="AJ309" s="184"/>
      <c r="AK309" s="184"/>
      <c r="AL309" s="186"/>
      <c r="AM309" s="187"/>
      <c r="AN309" s="187"/>
      <c r="AO309" s="187"/>
    </row>
    <row r="310" spans="1:41" s="163" customFormat="1" ht="16.5" customHeight="1">
      <c r="A310" s="180"/>
      <c r="B310" s="181"/>
      <c r="C310" s="182"/>
      <c r="D310" s="182"/>
      <c r="E310" s="183"/>
      <c r="F310" s="183"/>
      <c r="G310" s="183"/>
      <c r="H310" s="184"/>
      <c r="I310" s="184"/>
      <c r="J310" s="184"/>
      <c r="K310" s="184"/>
      <c r="L310" s="184"/>
      <c r="M310" s="184"/>
      <c r="N310" s="184"/>
      <c r="O310" s="184"/>
      <c r="Q310" s="184"/>
      <c r="R310" s="185"/>
      <c r="S310" s="185"/>
      <c r="U310" s="184"/>
      <c r="V310" s="184"/>
      <c r="W310" s="184"/>
      <c r="X310" s="184"/>
      <c r="Y310" s="184"/>
      <c r="Z310" s="184"/>
      <c r="AA310" s="184"/>
      <c r="AB310" s="184"/>
      <c r="AC310" s="184"/>
      <c r="AD310" s="184"/>
      <c r="AE310" s="184"/>
      <c r="AF310" s="184"/>
      <c r="AG310" s="184"/>
      <c r="AH310" s="184"/>
      <c r="AI310" s="184"/>
      <c r="AJ310" s="184"/>
      <c r="AK310" s="184"/>
      <c r="AL310" s="186"/>
      <c r="AM310" s="187"/>
      <c r="AN310" s="187"/>
      <c r="AO310" s="187"/>
    </row>
    <row r="311" spans="1:41" s="163" customFormat="1" ht="16.5" customHeight="1">
      <c r="A311" s="180"/>
      <c r="B311" s="181"/>
      <c r="C311" s="182"/>
      <c r="D311" s="182"/>
      <c r="E311" s="183"/>
      <c r="F311" s="183"/>
      <c r="G311" s="183"/>
      <c r="H311" s="184"/>
      <c r="I311" s="184"/>
      <c r="J311" s="184"/>
      <c r="K311" s="184"/>
      <c r="L311" s="184"/>
      <c r="M311" s="184"/>
      <c r="N311" s="184"/>
      <c r="O311" s="184"/>
      <c r="Q311" s="184"/>
      <c r="R311" s="185"/>
      <c r="S311" s="185"/>
      <c r="U311" s="184"/>
      <c r="V311" s="184"/>
      <c r="W311" s="184"/>
      <c r="X311" s="184"/>
      <c r="Y311" s="184"/>
      <c r="Z311" s="184"/>
      <c r="AA311" s="184"/>
      <c r="AB311" s="184"/>
      <c r="AC311" s="184"/>
      <c r="AD311" s="184"/>
      <c r="AE311" s="184"/>
      <c r="AF311" s="184"/>
      <c r="AG311" s="184"/>
      <c r="AH311" s="184"/>
      <c r="AI311" s="184"/>
      <c r="AJ311" s="184"/>
      <c r="AK311" s="184"/>
      <c r="AL311" s="186"/>
      <c r="AM311" s="187"/>
      <c r="AN311" s="187"/>
      <c r="AO311" s="187"/>
    </row>
    <row r="312" spans="1:41" s="163" customFormat="1" ht="16.5" customHeight="1">
      <c r="A312" s="180"/>
      <c r="B312" s="181"/>
      <c r="C312" s="182"/>
      <c r="D312" s="182"/>
      <c r="E312" s="183"/>
      <c r="F312" s="183"/>
      <c r="G312" s="183"/>
      <c r="H312" s="184"/>
      <c r="I312" s="184"/>
      <c r="J312" s="184"/>
      <c r="K312" s="184"/>
      <c r="L312" s="184"/>
      <c r="M312" s="184"/>
      <c r="N312" s="184"/>
      <c r="O312" s="184"/>
      <c r="Q312" s="184"/>
      <c r="R312" s="185"/>
      <c r="S312" s="185"/>
      <c r="U312" s="184"/>
      <c r="V312" s="184"/>
      <c r="W312" s="184"/>
      <c r="X312" s="184"/>
      <c r="Y312" s="184"/>
      <c r="Z312" s="184"/>
      <c r="AA312" s="184"/>
      <c r="AB312" s="184"/>
      <c r="AC312" s="184"/>
      <c r="AD312" s="184"/>
      <c r="AE312" s="184"/>
      <c r="AF312" s="184"/>
      <c r="AG312" s="184"/>
      <c r="AH312" s="184"/>
      <c r="AI312" s="184"/>
      <c r="AJ312" s="184"/>
      <c r="AK312" s="184"/>
      <c r="AL312" s="186"/>
      <c r="AM312" s="187"/>
      <c r="AN312" s="187"/>
      <c r="AO312" s="187"/>
    </row>
    <row r="313" spans="1:41" s="163" customFormat="1" ht="16.5" customHeight="1">
      <c r="A313" s="180"/>
      <c r="B313" s="181"/>
      <c r="C313" s="182"/>
      <c r="D313" s="182"/>
      <c r="E313" s="183"/>
      <c r="F313" s="183"/>
      <c r="G313" s="183"/>
      <c r="H313" s="184"/>
      <c r="I313" s="184"/>
      <c r="J313" s="184"/>
      <c r="K313" s="184"/>
      <c r="L313" s="184"/>
      <c r="M313" s="184"/>
      <c r="N313" s="184"/>
      <c r="O313" s="184"/>
      <c r="Q313" s="184"/>
      <c r="R313" s="185"/>
      <c r="S313" s="185"/>
      <c r="U313" s="184"/>
      <c r="V313" s="184"/>
      <c r="W313" s="184"/>
      <c r="X313" s="184"/>
      <c r="Y313" s="184"/>
      <c r="Z313" s="184"/>
      <c r="AA313" s="184"/>
      <c r="AB313" s="184"/>
      <c r="AC313" s="184"/>
      <c r="AD313" s="184"/>
      <c r="AE313" s="184"/>
      <c r="AF313" s="184"/>
      <c r="AG313" s="184"/>
      <c r="AH313" s="184"/>
      <c r="AI313" s="184"/>
      <c r="AJ313" s="184"/>
      <c r="AK313" s="184"/>
      <c r="AL313" s="186"/>
      <c r="AM313" s="187"/>
      <c r="AN313" s="187"/>
      <c r="AO313" s="187"/>
    </row>
    <row r="314" spans="1:41" s="163" customFormat="1" ht="16.5" customHeight="1">
      <c r="A314" s="180"/>
      <c r="B314" s="181"/>
      <c r="C314" s="182"/>
      <c r="D314" s="182"/>
      <c r="E314" s="183"/>
      <c r="F314" s="183"/>
      <c r="G314" s="183"/>
      <c r="H314" s="184"/>
      <c r="I314" s="184"/>
      <c r="J314" s="184"/>
      <c r="K314" s="184"/>
      <c r="L314" s="184"/>
      <c r="M314" s="184"/>
      <c r="N314" s="184"/>
      <c r="O314" s="184"/>
      <c r="Q314" s="184"/>
      <c r="R314" s="185"/>
      <c r="S314" s="185"/>
      <c r="U314" s="184"/>
      <c r="V314" s="184"/>
      <c r="W314" s="184"/>
      <c r="X314" s="184"/>
      <c r="Y314" s="184"/>
      <c r="Z314" s="184"/>
      <c r="AA314" s="184"/>
      <c r="AB314" s="184"/>
      <c r="AC314" s="184"/>
      <c r="AD314" s="184"/>
      <c r="AE314" s="184"/>
      <c r="AF314" s="184"/>
      <c r="AG314" s="184"/>
      <c r="AH314" s="184"/>
      <c r="AI314" s="184"/>
      <c r="AJ314" s="184"/>
      <c r="AK314" s="184"/>
      <c r="AL314" s="186"/>
      <c r="AM314" s="187"/>
      <c r="AN314" s="187"/>
      <c r="AO314" s="187"/>
    </row>
    <row r="315" spans="1:41" s="163" customFormat="1" ht="16.5" customHeight="1">
      <c r="A315" s="180"/>
      <c r="B315" s="181"/>
      <c r="C315" s="182"/>
      <c r="D315" s="182"/>
      <c r="E315" s="183"/>
      <c r="F315" s="183"/>
      <c r="G315" s="183"/>
      <c r="H315" s="184"/>
      <c r="I315" s="184"/>
      <c r="J315" s="184"/>
      <c r="K315" s="184"/>
      <c r="L315" s="184"/>
      <c r="M315" s="184"/>
      <c r="N315" s="184"/>
      <c r="O315" s="184"/>
      <c r="Q315" s="184"/>
      <c r="R315" s="185"/>
      <c r="S315" s="185"/>
      <c r="U315" s="184"/>
      <c r="V315" s="184"/>
      <c r="W315" s="184"/>
      <c r="X315" s="184"/>
      <c r="Y315" s="184"/>
      <c r="Z315" s="184"/>
      <c r="AA315" s="184"/>
      <c r="AB315" s="184"/>
      <c r="AC315" s="184"/>
      <c r="AD315" s="184"/>
      <c r="AE315" s="184"/>
      <c r="AF315" s="184"/>
      <c r="AG315" s="184"/>
      <c r="AH315" s="184"/>
      <c r="AI315" s="184"/>
      <c r="AJ315" s="184"/>
      <c r="AK315" s="184"/>
      <c r="AL315" s="186"/>
      <c r="AM315" s="187"/>
      <c r="AN315" s="187"/>
      <c r="AO315" s="187"/>
    </row>
    <row r="316" spans="1:41" s="163" customFormat="1" ht="16.5" customHeight="1">
      <c r="A316" s="180"/>
      <c r="B316" s="181"/>
      <c r="C316" s="182"/>
      <c r="D316" s="182"/>
      <c r="E316" s="183"/>
      <c r="F316" s="183"/>
      <c r="G316" s="183"/>
      <c r="H316" s="184"/>
      <c r="I316" s="184"/>
      <c r="J316" s="184"/>
      <c r="K316" s="184"/>
      <c r="L316" s="184"/>
      <c r="M316" s="184"/>
      <c r="N316" s="184"/>
      <c r="O316" s="184"/>
      <c r="Q316" s="184"/>
      <c r="R316" s="185"/>
      <c r="S316" s="185"/>
      <c r="U316" s="184"/>
      <c r="V316" s="184"/>
      <c r="W316" s="184"/>
      <c r="X316" s="184"/>
      <c r="Y316" s="184"/>
      <c r="Z316" s="184"/>
      <c r="AA316" s="184"/>
      <c r="AB316" s="184"/>
      <c r="AC316" s="184"/>
      <c r="AD316" s="184"/>
      <c r="AE316" s="184"/>
      <c r="AF316" s="184"/>
      <c r="AG316" s="184"/>
      <c r="AH316" s="184"/>
      <c r="AI316" s="184"/>
      <c r="AJ316" s="184"/>
      <c r="AK316" s="184"/>
      <c r="AL316" s="186"/>
      <c r="AM316" s="187"/>
      <c r="AN316" s="187"/>
      <c r="AO316" s="187"/>
    </row>
    <row r="317" spans="1:41" s="163" customFormat="1" ht="16.5" customHeight="1">
      <c r="A317" s="180"/>
      <c r="B317" s="181"/>
      <c r="C317" s="182"/>
      <c r="D317" s="182"/>
      <c r="E317" s="183"/>
      <c r="F317" s="183"/>
      <c r="G317" s="183"/>
      <c r="H317" s="184"/>
      <c r="I317" s="184"/>
      <c r="J317" s="184"/>
      <c r="K317" s="184"/>
      <c r="L317" s="184"/>
      <c r="M317" s="184"/>
      <c r="N317" s="184"/>
      <c r="O317" s="184"/>
      <c r="Q317" s="184"/>
      <c r="R317" s="185"/>
      <c r="S317" s="185"/>
      <c r="U317" s="184"/>
      <c r="V317" s="184"/>
      <c r="W317" s="184"/>
      <c r="X317" s="184"/>
      <c r="Y317" s="184"/>
      <c r="Z317" s="184"/>
      <c r="AA317" s="184"/>
      <c r="AB317" s="184"/>
      <c r="AC317" s="184"/>
      <c r="AD317" s="184"/>
      <c r="AE317" s="184"/>
      <c r="AF317" s="184"/>
      <c r="AG317" s="184"/>
      <c r="AH317" s="184"/>
      <c r="AI317" s="184"/>
      <c r="AJ317" s="184"/>
      <c r="AK317" s="184"/>
      <c r="AL317" s="186"/>
      <c r="AM317" s="187"/>
      <c r="AN317" s="187"/>
      <c r="AO317" s="187"/>
    </row>
    <row r="318" spans="1:41" s="163" customFormat="1" ht="16.5" customHeight="1">
      <c r="A318" s="180"/>
      <c r="B318" s="181"/>
      <c r="C318" s="182"/>
      <c r="D318" s="182"/>
      <c r="E318" s="183"/>
      <c r="F318" s="183"/>
      <c r="G318" s="183"/>
      <c r="H318" s="184"/>
      <c r="I318" s="184"/>
      <c r="J318" s="184"/>
      <c r="K318" s="184"/>
      <c r="L318" s="184"/>
      <c r="M318" s="184"/>
      <c r="N318" s="184"/>
      <c r="O318" s="184"/>
      <c r="Q318" s="184"/>
      <c r="R318" s="185"/>
      <c r="S318" s="185"/>
      <c r="U318" s="184"/>
      <c r="V318" s="184"/>
      <c r="W318" s="184"/>
      <c r="X318" s="184"/>
      <c r="Y318" s="184"/>
      <c r="Z318" s="184"/>
      <c r="AA318" s="184"/>
      <c r="AB318" s="184"/>
      <c r="AC318" s="184"/>
      <c r="AD318" s="184"/>
      <c r="AE318" s="184"/>
      <c r="AF318" s="184"/>
      <c r="AG318" s="184"/>
      <c r="AH318" s="184"/>
      <c r="AI318" s="184"/>
      <c r="AJ318" s="184"/>
      <c r="AK318" s="184"/>
      <c r="AL318" s="186"/>
      <c r="AM318" s="187"/>
      <c r="AN318" s="187"/>
      <c r="AO318" s="187"/>
    </row>
    <row r="319" spans="1:41" s="163" customFormat="1" ht="16.5" customHeight="1">
      <c r="A319" s="180"/>
      <c r="B319" s="181"/>
      <c r="C319" s="182"/>
      <c r="D319" s="182"/>
      <c r="E319" s="183"/>
      <c r="F319" s="183"/>
      <c r="G319" s="183"/>
      <c r="H319" s="184"/>
      <c r="I319" s="184"/>
      <c r="J319" s="184"/>
      <c r="K319" s="184"/>
      <c r="L319" s="184"/>
      <c r="M319" s="184"/>
      <c r="N319" s="184"/>
      <c r="O319" s="184"/>
      <c r="Q319" s="184"/>
      <c r="R319" s="185"/>
      <c r="S319" s="185"/>
      <c r="U319" s="184"/>
      <c r="V319" s="184"/>
      <c r="W319" s="184"/>
      <c r="X319" s="184"/>
      <c r="Y319" s="184"/>
      <c r="Z319" s="184"/>
      <c r="AA319" s="184"/>
      <c r="AB319" s="184"/>
      <c r="AC319" s="184"/>
      <c r="AD319" s="184"/>
      <c r="AE319" s="184"/>
      <c r="AF319" s="184"/>
      <c r="AG319" s="184"/>
      <c r="AH319" s="184"/>
      <c r="AI319" s="184"/>
      <c r="AJ319" s="184"/>
      <c r="AK319" s="184"/>
      <c r="AL319" s="186"/>
      <c r="AM319" s="187"/>
      <c r="AN319" s="187"/>
      <c r="AO319" s="187"/>
    </row>
    <row r="320" spans="1:41" s="163" customFormat="1" ht="16.5" customHeight="1">
      <c r="A320" s="180"/>
      <c r="B320" s="181"/>
      <c r="C320" s="182"/>
      <c r="D320" s="182"/>
      <c r="E320" s="183"/>
      <c r="F320" s="183"/>
      <c r="G320" s="183"/>
      <c r="H320" s="184"/>
      <c r="I320" s="184"/>
      <c r="J320" s="184"/>
      <c r="K320" s="184"/>
      <c r="L320" s="184"/>
      <c r="M320" s="184"/>
      <c r="N320" s="184"/>
      <c r="O320" s="184"/>
      <c r="Q320" s="184"/>
      <c r="R320" s="185"/>
      <c r="S320" s="185"/>
      <c r="U320" s="184"/>
      <c r="V320" s="184"/>
      <c r="W320" s="184"/>
      <c r="X320" s="184"/>
      <c r="Y320" s="184"/>
      <c r="Z320" s="184"/>
      <c r="AA320" s="184"/>
      <c r="AB320" s="184"/>
      <c r="AC320" s="184"/>
      <c r="AD320" s="184"/>
      <c r="AE320" s="184"/>
      <c r="AF320" s="184"/>
      <c r="AG320" s="184"/>
      <c r="AH320" s="184"/>
      <c r="AI320" s="184"/>
      <c r="AJ320" s="184"/>
      <c r="AK320" s="184"/>
      <c r="AL320" s="186"/>
      <c r="AM320" s="187"/>
      <c r="AN320" s="187"/>
      <c r="AO320" s="187"/>
    </row>
    <row r="321" spans="1:41" s="163" customFormat="1" ht="16.5" customHeight="1">
      <c r="A321" s="180"/>
      <c r="B321" s="181"/>
      <c r="C321" s="182"/>
      <c r="D321" s="182"/>
      <c r="E321" s="183"/>
      <c r="F321" s="183"/>
      <c r="G321" s="183"/>
      <c r="H321" s="184"/>
      <c r="I321" s="184"/>
      <c r="J321" s="184"/>
      <c r="K321" s="184"/>
      <c r="L321" s="184"/>
      <c r="M321" s="184"/>
      <c r="N321" s="184"/>
      <c r="O321" s="184"/>
      <c r="Q321" s="184"/>
      <c r="R321" s="185"/>
      <c r="S321" s="185"/>
      <c r="U321" s="184"/>
      <c r="V321" s="184"/>
      <c r="W321" s="184"/>
      <c r="X321" s="184"/>
      <c r="Y321" s="184"/>
      <c r="Z321" s="184"/>
      <c r="AA321" s="184"/>
      <c r="AB321" s="184"/>
      <c r="AC321" s="184"/>
      <c r="AD321" s="184"/>
      <c r="AE321" s="184"/>
      <c r="AF321" s="184"/>
      <c r="AG321" s="184"/>
      <c r="AH321" s="184"/>
      <c r="AI321" s="184"/>
      <c r="AJ321" s="184"/>
      <c r="AK321" s="184"/>
      <c r="AL321" s="186"/>
      <c r="AM321" s="187"/>
      <c r="AN321" s="187"/>
      <c r="AO321" s="187"/>
    </row>
    <row r="322" spans="1:41" s="163" customFormat="1" ht="16.5" customHeight="1">
      <c r="A322" s="180"/>
      <c r="B322" s="181"/>
      <c r="C322" s="182"/>
      <c r="D322" s="182"/>
      <c r="E322" s="183"/>
      <c r="F322" s="183"/>
      <c r="G322" s="183"/>
      <c r="H322" s="184"/>
      <c r="I322" s="184"/>
      <c r="J322" s="184"/>
      <c r="K322" s="184"/>
      <c r="L322" s="184"/>
      <c r="M322" s="184"/>
      <c r="N322" s="184"/>
      <c r="O322" s="184"/>
      <c r="Q322" s="184"/>
      <c r="R322" s="185"/>
      <c r="S322" s="185"/>
      <c r="U322" s="184"/>
      <c r="V322" s="184"/>
      <c r="W322" s="184"/>
      <c r="X322" s="184"/>
      <c r="Y322" s="184"/>
      <c r="Z322" s="184"/>
      <c r="AA322" s="184"/>
      <c r="AB322" s="184"/>
      <c r="AC322" s="184"/>
      <c r="AD322" s="184"/>
      <c r="AE322" s="184"/>
      <c r="AF322" s="184"/>
      <c r="AG322" s="184"/>
      <c r="AH322" s="184"/>
      <c r="AI322" s="184"/>
      <c r="AJ322" s="184"/>
      <c r="AK322" s="184"/>
      <c r="AL322" s="186"/>
      <c r="AM322" s="187"/>
      <c r="AN322" s="187"/>
      <c r="AO322" s="187"/>
    </row>
    <row r="323" spans="1:41" s="163" customFormat="1" ht="16.5" customHeight="1">
      <c r="A323" s="180"/>
      <c r="B323" s="181"/>
      <c r="C323" s="182"/>
      <c r="D323" s="182"/>
      <c r="E323" s="183"/>
      <c r="F323" s="183"/>
      <c r="G323" s="183"/>
      <c r="H323" s="184"/>
      <c r="I323" s="184"/>
      <c r="J323" s="184"/>
      <c r="K323" s="184"/>
      <c r="L323" s="184"/>
      <c r="M323" s="184"/>
      <c r="N323" s="184"/>
      <c r="O323" s="184"/>
      <c r="Q323" s="184"/>
      <c r="R323" s="185"/>
      <c r="S323" s="185"/>
      <c r="U323" s="184"/>
      <c r="V323" s="184"/>
      <c r="W323" s="184"/>
      <c r="X323" s="184"/>
      <c r="Y323" s="184"/>
      <c r="Z323" s="184"/>
      <c r="AA323" s="184"/>
      <c r="AB323" s="184"/>
      <c r="AC323" s="184"/>
      <c r="AD323" s="184"/>
      <c r="AE323" s="184"/>
      <c r="AF323" s="184"/>
      <c r="AG323" s="184"/>
      <c r="AH323" s="184"/>
      <c r="AI323" s="184"/>
      <c r="AJ323" s="184"/>
      <c r="AK323" s="184"/>
      <c r="AL323" s="186"/>
      <c r="AM323" s="187"/>
      <c r="AN323" s="187"/>
      <c r="AO323" s="187"/>
    </row>
    <row r="324" spans="1:41" s="163" customFormat="1" ht="16.5" customHeight="1">
      <c r="A324" s="180"/>
      <c r="B324" s="181"/>
      <c r="C324" s="182"/>
      <c r="D324" s="182"/>
      <c r="E324" s="183"/>
      <c r="F324" s="183"/>
      <c r="G324" s="183"/>
      <c r="H324" s="184"/>
      <c r="I324" s="184"/>
      <c r="J324" s="184"/>
      <c r="K324" s="184"/>
      <c r="L324" s="184"/>
      <c r="M324" s="184"/>
      <c r="N324" s="184"/>
      <c r="O324" s="184"/>
      <c r="Q324" s="184"/>
      <c r="R324" s="185"/>
      <c r="S324" s="185"/>
      <c r="U324" s="184"/>
      <c r="V324" s="184"/>
      <c r="W324" s="184"/>
      <c r="X324" s="184"/>
      <c r="Y324" s="184"/>
      <c r="Z324" s="184"/>
      <c r="AA324" s="184"/>
      <c r="AB324" s="184"/>
      <c r="AC324" s="184"/>
      <c r="AD324" s="184"/>
      <c r="AE324" s="184"/>
      <c r="AF324" s="184"/>
      <c r="AG324" s="184"/>
      <c r="AH324" s="184"/>
      <c r="AI324" s="184"/>
      <c r="AJ324" s="184"/>
      <c r="AK324" s="184"/>
      <c r="AL324" s="186"/>
      <c r="AM324" s="187"/>
      <c r="AN324" s="187"/>
      <c r="AO324" s="187"/>
    </row>
    <row r="325" spans="1:41" s="163" customFormat="1" ht="16.5" customHeight="1">
      <c r="A325" s="180"/>
      <c r="B325" s="181"/>
      <c r="C325" s="182"/>
      <c r="D325" s="182"/>
      <c r="E325" s="183"/>
      <c r="F325" s="183"/>
      <c r="G325" s="183"/>
      <c r="H325" s="184"/>
      <c r="I325" s="184"/>
      <c r="J325" s="184"/>
      <c r="K325" s="184"/>
      <c r="L325" s="184"/>
      <c r="M325" s="184"/>
      <c r="N325" s="184"/>
      <c r="O325" s="184"/>
      <c r="Q325" s="184"/>
      <c r="R325" s="185"/>
      <c r="S325" s="185"/>
      <c r="U325" s="184"/>
      <c r="V325" s="184"/>
      <c r="W325" s="184"/>
      <c r="X325" s="184"/>
      <c r="Y325" s="184"/>
      <c r="Z325" s="184"/>
      <c r="AA325" s="184"/>
      <c r="AB325" s="184"/>
      <c r="AC325" s="184"/>
      <c r="AD325" s="184"/>
      <c r="AE325" s="184"/>
      <c r="AF325" s="184"/>
      <c r="AG325" s="184"/>
      <c r="AH325" s="184"/>
      <c r="AI325" s="184"/>
      <c r="AJ325" s="184"/>
      <c r="AK325" s="184"/>
      <c r="AL325" s="186"/>
      <c r="AM325" s="187"/>
      <c r="AN325" s="187"/>
      <c r="AO325" s="187"/>
    </row>
    <row r="326" spans="1:41" s="163" customFormat="1" ht="16.5" customHeight="1">
      <c r="A326" s="180"/>
      <c r="B326" s="181"/>
      <c r="C326" s="182"/>
      <c r="D326" s="182"/>
      <c r="E326" s="183"/>
      <c r="F326" s="183"/>
      <c r="G326" s="183"/>
      <c r="H326" s="184"/>
      <c r="I326" s="184"/>
      <c r="J326" s="184"/>
      <c r="K326" s="184"/>
      <c r="L326" s="184"/>
      <c r="M326" s="184"/>
      <c r="N326" s="184"/>
      <c r="O326" s="184"/>
      <c r="Q326" s="184"/>
      <c r="R326" s="185"/>
      <c r="S326" s="185"/>
      <c r="U326" s="184"/>
      <c r="V326" s="184"/>
      <c r="W326" s="184"/>
      <c r="X326" s="184"/>
      <c r="Y326" s="184"/>
      <c r="Z326" s="184"/>
      <c r="AA326" s="184"/>
      <c r="AB326" s="184"/>
      <c r="AC326" s="184"/>
      <c r="AD326" s="184"/>
      <c r="AE326" s="184"/>
      <c r="AF326" s="184"/>
      <c r="AG326" s="184"/>
      <c r="AH326" s="184"/>
      <c r="AI326" s="184"/>
      <c r="AJ326" s="184"/>
      <c r="AK326" s="184"/>
      <c r="AL326" s="186"/>
      <c r="AM326" s="187"/>
      <c r="AN326" s="187"/>
      <c r="AO326" s="187"/>
    </row>
    <row r="327" spans="1:41" s="163" customFormat="1" ht="16.5" customHeight="1">
      <c r="A327" s="180"/>
      <c r="B327" s="181"/>
      <c r="C327" s="182"/>
      <c r="D327" s="182"/>
      <c r="E327" s="183"/>
      <c r="F327" s="183"/>
      <c r="G327" s="183"/>
      <c r="H327" s="184"/>
      <c r="I327" s="184"/>
      <c r="J327" s="184"/>
      <c r="K327" s="184"/>
      <c r="L327" s="184"/>
      <c r="M327" s="184"/>
      <c r="N327" s="184"/>
      <c r="O327" s="184"/>
      <c r="Q327" s="184"/>
      <c r="R327" s="185"/>
      <c r="S327" s="185"/>
      <c r="U327" s="184"/>
      <c r="V327" s="184"/>
      <c r="W327" s="184"/>
      <c r="X327" s="184"/>
      <c r="Y327" s="184"/>
      <c r="Z327" s="184"/>
      <c r="AA327" s="184"/>
      <c r="AB327" s="184"/>
      <c r="AC327" s="184"/>
      <c r="AD327" s="184"/>
      <c r="AE327" s="184"/>
      <c r="AF327" s="184"/>
      <c r="AG327" s="184"/>
      <c r="AH327" s="184"/>
      <c r="AI327" s="184"/>
      <c r="AJ327" s="184"/>
      <c r="AK327" s="184"/>
      <c r="AL327" s="186"/>
      <c r="AM327" s="187"/>
      <c r="AN327" s="187"/>
      <c r="AO327" s="187"/>
    </row>
    <row r="328" spans="1:41" s="163" customFormat="1" ht="16.5" customHeight="1">
      <c r="A328" s="180"/>
      <c r="B328" s="181"/>
      <c r="C328" s="182"/>
      <c r="D328" s="182"/>
      <c r="E328" s="183"/>
      <c r="F328" s="183"/>
      <c r="G328" s="183"/>
      <c r="H328" s="184"/>
      <c r="I328" s="184"/>
      <c r="J328" s="184"/>
      <c r="K328" s="184"/>
      <c r="L328" s="184"/>
      <c r="M328" s="184"/>
      <c r="N328" s="184"/>
      <c r="O328" s="184"/>
      <c r="Q328" s="184"/>
      <c r="R328" s="185"/>
      <c r="S328" s="185"/>
      <c r="U328" s="184"/>
      <c r="V328" s="184"/>
      <c r="W328" s="184"/>
      <c r="X328" s="184"/>
      <c r="Y328" s="184"/>
      <c r="Z328" s="184"/>
      <c r="AA328" s="184"/>
      <c r="AB328" s="184"/>
      <c r="AC328" s="184"/>
      <c r="AD328" s="184"/>
      <c r="AE328" s="184"/>
      <c r="AF328" s="184"/>
      <c r="AG328" s="184"/>
      <c r="AH328" s="184"/>
      <c r="AI328" s="184"/>
      <c r="AJ328" s="184"/>
      <c r="AK328" s="184"/>
      <c r="AL328" s="186"/>
      <c r="AM328" s="187"/>
      <c r="AN328" s="187"/>
      <c r="AO328" s="187"/>
    </row>
    <row r="329" spans="1:41" s="163" customFormat="1" ht="16.5" customHeight="1">
      <c r="A329" s="180"/>
      <c r="B329" s="181"/>
      <c r="C329" s="182"/>
      <c r="D329" s="182"/>
      <c r="E329" s="183"/>
      <c r="F329" s="183"/>
      <c r="G329" s="183"/>
      <c r="H329" s="184"/>
      <c r="I329" s="184"/>
      <c r="J329" s="184"/>
      <c r="K329" s="184"/>
      <c r="L329" s="184"/>
      <c r="M329" s="184"/>
      <c r="N329" s="184"/>
      <c r="O329" s="184"/>
      <c r="Q329" s="184"/>
      <c r="R329" s="185"/>
      <c r="S329" s="185"/>
      <c r="U329" s="184"/>
      <c r="V329" s="184"/>
      <c r="W329" s="184"/>
      <c r="X329" s="184"/>
      <c r="Y329" s="184"/>
      <c r="Z329" s="184"/>
      <c r="AA329" s="184"/>
      <c r="AB329" s="184"/>
      <c r="AC329" s="184"/>
      <c r="AD329" s="184"/>
      <c r="AE329" s="184"/>
      <c r="AF329" s="184"/>
      <c r="AG329" s="184"/>
      <c r="AH329" s="184"/>
      <c r="AI329" s="184"/>
      <c r="AJ329" s="184"/>
      <c r="AK329" s="184"/>
      <c r="AL329" s="186"/>
      <c r="AM329" s="187"/>
      <c r="AN329" s="187"/>
      <c r="AO329" s="187"/>
    </row>
    <row r="330" spans="1:41" s="163" customFormat="1" ht="16.5" customHeight="1">
      <c r="A330" s="180"/>
      <c r="B330" s="181"/>
      <c r="C330" s="182"/>
      <c r="D330" s="182"/>
      <c r="E330" s="183"/>
      <c r="F330" s="183"/>
      <c r="G330" s="183"/>
      <c r="H330" s="184"/>
      <c r="I330" s="184"/>
      <c r="J330" s="184"/>
      <c r="K330" s="184"/>
      <c r="L330" s="184"/>
      <c r="M330" s="184"/>
      <c r="N330" s="184"/>
      <c r="O330" s="184"/>
      <c r="Q330" s="184"/>
      <c r="R330" s="185"/>
      <c r="S330" s="185"/>
      <c r="U330" s="184"/>
      <c r="V330" s="184"/>
      <c r="W330" s="184"/>
      <c r="X330" s="184"/>
      <c r="Y330" s="184"/>
      <c r="Z330" s="184"/>
      <c r="AA330" s="184"/>
      <c r="AB330" s="184"/>
      <c r="AC330" s="184"/>
      <c r="AD330" s="184"/>
      <c r="AE330" s="184"/>
      <c r="AF330" s="184"/>
      <c r="AG330" s="184"/>
      <c r="AH330" s="184"/>
      <c r="AI330" s="184"/>
      <c r="AJ330" s="184"/>
      <c r="AK330" s="184"/>
      <c r="AL330" s="186"/>
      <c r="AM330" s="187"/>
      <c r="AN330" s="187"/>
      <c r="AO330" s="187"/>
    </row>
    <row r="331" spans="1:41" s="163" customFormat="1" ht="16.5" customHeight="1">
      <c r="A331" s="180"/>
      <c r="B331" s="181"/>
      <c r="C331" s="182"/>
      <c r="D331" s="182"/>
      <c r="E331" s="183"/>
      <c r="F331" s="183"/>
      <c r="G331" s="183"/>
      <c r="H331" s="184"/>
      <c r="I331" s="184"/>
      <c r="J331" s="184"/>
      <c r="K331" s="184"/>
      <c r="L331" s="184"/>
      <c r="M331" s="184"/>
      <c r="N331" s="184"/>
      <c r="O331" s="184"/>
      <c r="Q331" s="184"/>
      <c r="R331" s="185"/>
      <c r="S331" s="185"/>
      <c r="U331" s="184"/>
      <c r="V331" s="184"/>
      <c r="W331" s="184"/>
      <c r="X331" s="184"/>
      <c r="Y331" s="184"/>
      <c r="Z331" s="184"/>
      <c r="AA331" s="184"/>
      <c r="AB331" s="184"/>
      <c r="AC331" s="184"/>
      <c r="AD331" s="184"/>
      <c r="AE331" s="184"/>
      <c r="AF331" s="184"/>
      <c r="AG331" s="184"/>
      <c r="AH331" s="184"/>
      <c r="AI331" s="184"/>
      <c r="AJ331" s="184"/>
      <c r="AK331" s="184"/>
      <c r="AL331" s="186"/>
      <c r="AM331" s="187"/>
      <c r="AN331" s="187"/>
      <c r="AO331" s="187"/>
    </row>
    <row r="332" spans="1:41" s="163" customFormat="1" ht="16.5" customHeight="1">
      <c r="A332" s="180"/>
      <c r="B332" s="181"/>
      <c r="C332" s="182"/>
      <c r="D332" s="182"/>
      <c r="E332" s="183"/>
      <c r="F332" s="183"/>
      <c r="G332" s="183"/>
      <c r="H332" s="184"/>
      <c r="I332" s="184"/>
      <c r="J332" s="184"/>
      <c r="K332" s="184"/>
      <c r="L332" s="184"/>
      <c r="M332" s="184"/>
      <c r="N332" s="184"/>
      <c r="O332" s="184"/>
      <c r="Q332" s="184"/>
      <c r="R332" s="185"/>
      <c r="S332" s="185"/>
      <c r="U332" s="184"/>
      <c r="V332" s="184"/>
      <c r="W332" s="184"/>
      <c r="X332" s="184"/>
      <c r="Y332" s="184"/>
      <c r="Z332" s="184"/>
      <c r="AA332" s="184"/>
      <c r="AB332" s="184"/>
      <c r="AC332" s="184"/>
      <c r="AD332" s="184"/>
      <c r="AE332" s="184"/>
      <c r="AF332" s="184"/>
      <c r="AG332" s="184"/>
      <c r="AH332" s="184"/>
      <c r="AI332" s="184"/>
      <c r="AJ332" s="184"/>
      <c r="AK332" s="184"/>
      <c r="AL332" s="186"/>
      <c r="AM332" s="187"/>
      <c r="AN332" s="187"/>
      <c r="AO332" s="187"/>
    </row>
    <row r="333" spans="1:41" s="163" customFormat="1" ht="16.5" customHeight="1">
      <c r="A333" s="180"/>
      <c r="B333" s="181"/>
      <c r="C333" s="182"/>
      <c r="D333" s="182"/>
      <c r="E333" s="183"/>
      <c r="F333" s="183"/>
      <c r="G333" s="183"/>
      <c r="H333" s="184"/>
      <c r="I333" s="184"/>
      <c r="J333" s="184"/>
      <c r="K333" s="184"/>
      <c r="L333" s="184"/>
      <c r="M333" s="184"/>
      <c r="N333" s="184"/>
      <c r="O333" s="184"/>
      <c r="Q333" s="184"/>
      <c r="R333" s="185"/>
      <c r="S333" s="185"/>
      <c r="U333" s="184"/>
      <c r="V333" s="184"/>
      <c r="W333" s="184"/>
      <c r="X333" s="184"/>
      <c r="Y333" s="184"/>
      <c r="Z333" s="184"/>
      <c r="AA333" s="184"/>
      <c r="AB333" s="184"/>
      <c r="AC333" s="184"/>
      <c r="AD333" s="184"/>
      <c r="AE333" s="184"/>
      <c r="AF333" s="184"/>
      <c r="AG333" s="184"/>
      <c r="AH333" s="184"/>
      <c r="AI333" s="184"/>
      <c r="AJ333" s="184"/>
      <c r="AK333" s="184"/>
      <c r="AL333" s="186"/>
      <c r="AM333" s="187"/>
      <c r="AN333" s="187"/>
      <c r="AO333" s="187"/>
    </row>
    <row r="334" spans="1:41" s="163" customFormat="1" ht="16.5" customHeight="1">
      <c r="A334" s="180"/>
      <c r="B334" s="181"/>
      <c r="C334" s="182"/>
      <c r="D334" s="182"/>
      <c r="E334" s="183"/>
      <c r="F334" s="183"/>
      <c r="G334" s="183"/>
      <c r="H334" s="184"/>
      <c r="I334" s="184"/>
      <c r="J334" s="184"/>
      <c r="K334" s="184"/>
      <c r="L334" s="184"/>
      <c r="M334" s="184"/>
      <c r="N334" s="184"/>
      <c r="O334" s="184"/>
      <c r="Q334" s="184"/>
      <c r="R334" s="185"/>
      <c r="S334" s="185"/>
      <c r="U334" s="184"/>
      <c r="V334" s="184"/>
      <c r="W334" s="184"/>
      <c r="X334" s="184"/>
      <c r="Y334" s="184"/>
      <c r="Z334" s="184"/>
      <c r="AA334" s="184"/>
      <c r="AB334" s="184"/>
      <c r="AC334" s="184"/>
      <c r="AD334" s="184"/>
      <c r="AE334" s="184"/>
      <c r="AF334" s="184"/>
      <c r="AG334" s="184"/>
      <c r="AH334" s="184"/>
      <c r="AI334" s="184"/>
      <c r="AJ334" s="184"/>
      <c r="AK334" s="184"/>
      <c r="AL334" s="186"/>
      <c r="AM334" s="187"/>
      <c r="AN334" s="187"/>
      <c r="AO334" s="187"/>
    </row>
    <row r="335" spans="1:41" s="163" customFormat="1" ht="16.5" customHeight="1">
      <c r="A335" s="180"/>
      <c r="B335" s="181"/>
      <c r="C335" s="182"/>
      <c r="D335" s="182"/>
      <c r="E335" s="183"/>
      <c r="F335" s="183"/>
      <c r="G335" s="183"/>
      <c r="H335" s="184"/>
      <c r="I335" s="184"/>
      <c r="J335" s="184"/>
      <c r="K335" s="184"/>
      <c r="L335" s="184"/>
      <c r="M335" s="184"/>
      <c r="N335" s="184"/>
      <c r="O335" s="184"/>
      <c r="Q335" s="184"/>
      <c r="R335" s="185"/>
      <c r="S335" s="185"/>
      <c r="U335" s="184"/>
      <c r="V335" s="184"/>
      <c r="W335" s="184"/>
      <c r="X335" s="184"/>
      <c r="Y335" s="184"/>
      <c r="Z335" s="184"/>
      <c r="AA335" s="184"/>
      <c r="AB335" s="184"/>
      <c r="AC335" s="184"/>
      <c r="AD335" s="184"/>
      <c r="AE335" s="184"/>
      <c r="AF335" s="184"/>
      <c r="AG335" s="184"/>
      <c r="AH335" s="184"/>
      <c r="AI335" s="184"/>
      <c r="AJ335" s="184"/>
      <c r="AK335" s="184"/>
      <c r="AL335" s="186"/>
      <c r="AM335" s="187"/>
      <c r="AN335" s="187"/>
      <c r="AO335" s="187"/>
    </row>
    <row r="336" spans="1:41" s="163" customFormat="1" ht="16.5" customHeight="1">
      <c r="A336" s="180"/>
      <c r="B336" s="181"/>
      <c r="C336" s="182"/>
      <c r="D336" s="182"/>
      <c r="E336" s="183"/>
      <c r="F336" s="183"/>
      <c r="G336" s="183"/>
      <c r="H336" s="184"/>
      <c r="I336" s="184"/>
      <c r="J336" s="184"/>
      <c r="K336" s="184"/>
      <c r="L336" s="184"/>
      <c r="M336" s="184"/>
      <c r="N336" s="184"/>
      <c r="O336" s="184"/>
      <c r="Q336" s="184"/>
      <c r="R336" s="185"/>
      <c r="S336" s="185"/>
      <c r="U336" s="184"/>
      <c r="V336" s="184"/>
      <c r="W336" s="184"/>
      <c r="X336" s="184"/>
      <c r="Y336" s="184"/>
      <c r="Z336" s="184"/>
      <c r="AA336" s="184"/>
      <c r="AB336" s="184"/>
      <c r="AC336" s="184"/>
      <c r="AD336" s="184"/>
      <c r="AE336" s="184"/>
      <c r="AF336" s="184"/>
      <c r="AG336" s="184"/>
      <c r="AH336" s="184"/>
      <c r="AI336" s="184"/>
      <c r="AJ336" s="184"/>
      <c r="AK336" s="184"/>
      <c r="AL336" s="186"/>
      <c r="AM336" s="187"/>
      <c r="AN336" s="187"/>
      <c r="AO336" s="187"/>
    </row>
    <row r="337" spans="1:41" s="163" customFormat="1" ht="16.5" customHeight="1">
      <c r="A337" s="180"/>
      <c r="B337" s="181"/>
      <c r="C337" s="182"/>
      <c r="D337" s="182"/>
      <c r="E337" s="183"/>
      <c r="F337" s="183"/>
      <c r="G337" s="183"/>
      <c r="H337" s="184"/>
      <c r="I337" s="184"/>
      <c r="J337" s="184"/>
      <c r="K337" s="184"/>
      <c r="L337" s="184"/>
      <c r="M337" s="184"/>
      <c r="N337" s="184"/>
      <c r="O337" s="184"/>
      <c r="Q337" s="184"/>
      <c r="R337" s="185"/>
      <c r="S337" s="185"/>
      <c r="U337" s="184"/>
      <c r="V337" s="184"/>
      <c r="W337" s="184"/>
      <c r="X337" s="184"/>
      <c r="Y337" s="184"/>
      <c r="Z337" s="184"/>
      <c r="AA337" s="184"/>
      <c r="AB337" s="184"/>
      <c r="AC337" s="184"/>
      <c r="AD337" s="184"/>
      <c r="AE337" s="184"/>
      <c r="AF337" s="184"/>
      <c r="AG337" s="184"/>
      <c r="AH337" s="184"/>
      <c r="AI337" s="184"/>
      <c r="AJ337" s="184"/>
      <c r="AK337" s="184"/>
      <c r="AL337" s="186"/>
      <c r="AM337" s="187"/>
      <c r="AN337" s="187"/>
      <c r="AO337" s="187"/>
    </row>
    <row r="338" spans="1:41" s="163" customFormat="1" ht="16.5" customHeight="1">
      <c r="A338" s="180"/>
      <c r="B338" s="181"/>
      <c r="C338" s="182"/>
      <c r="D338" s="182"/>
      <c r="E338" s="183"/>
      <c r="F338" s="183"/>
      <c r="G338" s="183"/>
      <c r="H338" s="184"/>
      <c r="I338" s="184"/>
      <c r="J338" s="184"/>
      <c r="K338" s="184"/>
      <c r="L338" s="184"/>
      <c r="M338" s="184"/>
      <c r="N338" s="184"/>
      <c r="O338" s="184"/>
      <c r="Q338" s="184"/>
      <c r="R338" s="185"/>
      <c r="S338" s="185"/>
      <c r="U338" s="184"/>
      <c r="V338" s="184"/>
      <c r="W338" s="184"/>
      <c r="X338" s="184"/>
      <c r="Y338" s="184"/>
      <c r="Z338" s="184"/>
      <c r="AA338" s="184"/>
      <c r="AB338" s="184"/>
      <c r="AC338" s="184"/>
      <c r="AD338" s="184"/>
      <c r="AE338" s="184"/>
      <c r="AF338" s="184"/>
      <c r="AG338" s="184"/>
      <c r="AH338" s="184"/>
      <c r="AI338" s="184"/>
      <c r="AJ338" s="184"/>
      <c r="AK338" s="184"/>
      <c r="AL338" s="186"/>
      <c r="AM338" s="187"/>
      <c r="AN338" s="187"/>
      <c r="AO338" s="187"/>
    </row>
    <row r="339" spans="1:41" s="163" customFormat="1" ht="16.5" customHeight="1">
      <c r="A339" s="180"/>
      <c r="B339" s="181"/>
      <c r="C339" s="182"/>
      <c r="D339" s="182"/>
      <c r="E339" s="183"/>
      <c r="F339" s="183"/>
      <c r="G339" s="183"/>
      <c r="H339" s="184"/>
      <c r="I339" s="184"/>
      <c r="J339" s="184"/>
      <c r="K339" s="184"/>
      <c r="L339" s="184"/>
      <c r="M339" s="184"/>
      <c r="N339" s="184"/>
      <c r="O339" s="184"/>
      <c r="Q339" s="184"/>
      <c r="R339" s="185"/>
      <c r="S339" s="185"/>
      <c r="U339" s="184"/>
      <c r="V339" s="184"/>
      <c r="W339" s="184"/>
      <c r="X339" s="184"/>
      <c r="Y339" s="184"/>
      <c r="Z339" s="184"/>
      <c r="AA339" s="184"/>
      <c r="AB339" s="184"/>
      <c r="AC339" s="184"/>
      <c r="AD339" s="184"/>
      <c r="AE339" s="184"/>
      <c r="AF339" s="184"/>
      <c r="AG339" s="184"/>
      <c r="AH339" s="184"/>
      <c r="AI339" s="184"/>
      <c r="AJ339" s="184"/>
      <c r="AK339" s="184"/>
      <c r="AL339" s="186"/>
      <c r="AM339" s="187"/>
      <c r="AN339" s="187"/>
      <c r="AO339" s="187"/>
    </row>
    <row r="340" spans="1:41" s="163" customFormat="1" ht="16.5" customHeight="1">
      <c r="A340" s="180"/>
      <c r="B340" s="181"/>
      <c r="C340" s="182"/>
      <c r="D340" s="182"/>
      <c r="E340" s="183"/>
      <c r="F340" s="183"/>
      <c r="G340" s="183"/>
      <c r="H340" s="184"/>
      <c r="I340" s="184"/>
      <c r="J340" s="184"/>
      <c r="K340" s="184"/>
      <c r="L340" s="184"/>
      <c r="M340" s="184"/>
      <c r="N340" s="184"/>
      <c r="O340" s="184"/>
      <c r="Q340" s="184"/>
      <c r="R340" s="185"/>
      <c r="S340" s="185"/>
      <c r="U340" s="184"/>
      <c r="V340" s="184"/>
      <c r="W340" s="184"/>
      <c r="X340" s="184"/>
      <c r="Y340" s="184"/>
      <c r="Z340" s="184"/>
      <c r="AA340" s="184"/>
      <c r="AB340" s="184"/>
      <c r="AC340" s="184"/>
      <c r="AD340" s="184"/>
      <c r="AE340" s="184"/>
      <c r="AF340" s="184"/>
      <c r="AG340" s="184"/>
      <c r="AH340" s="184"/>
      <c r="AI340" s="184"/>
      <c r="AJ340" s="184"/>
      <c r="AK340" s="184"/>
      <c r="AL340" s="186"/>
      <c r="AM340" s="187"/>
      <c r="AN340" s="187"/>
      <c r="AO340" s="187"/>
    </row>
    <row r="341" spans="1:41" s="163" customFormat="1" ht="16.5" customHeight="1">
      <c r="A341" s="180"/>
      <c r="B341" s="181"/>
      <c r="C341" s="182"/>
      <c r="D341" s="182"/>
      <c r="E341" s="183"/>
      <c r="F341" s="183"/>
      <c r="G341" s="183"/>
      <c r="H341" s="184"/>
      <c r="I341" s="184"/>
      <c r="J341" s="184"/>
      <c r="K341" s="184"/>
      <c r="L341" s="184"/>
      <c r="M341" s="184"/>
      <c r="N341" s="184"/>
      <c r="O341" s="184"/>
      <c r="Q341" s="184"/>
      <c r="R341" s="185"/>
      <c r="S341" s="185"/>
      <c r="U341" s="184"/>
      <c r="V341" s="184"/>
      <c r="W341" s="184"/>
      <c r="X341" s="184"/>
      <c r="Y341" s="184"/>
      <c r="Z341" s="184"/>
      <c r="AA341" s="184"/>
      <c r="AB341" s="184"/>
      <c r="AC341" s="184"/>
      <c r="AD341" s="184"/>
      <c r="AE341" s="184"/>
      <c r="AF341" s="184"/>
      <c r="AG341" s="184"/>
      <c r="AH341" s="184"/>
      <c r="AI341" s="184"/>
      <c r="AJ341" s="184"/>
      <c r="AK341" s="184"/>
      <c r="AL341" s="186"/>
      <c r="AM341" s="187"/>
      <c r="AN341" s="187"/>
      <c r="AO341" s="187"/>
    </row>
    <row r="342" spans="1:41" s="163" customFormat="1" ht="16.5" customHeight="1">
      <c r="A342" s="180"/>
      <c r="B342" s="181"/>
      <c r="C342" s="182"/>
      <c r="D342" s="182"/>
      <c r="E342" s="183"/>
      <c r="F342" s="183"/>
      <c r="G342" s="183"/>
      <c r="H342" s="184"/>
      <c r="I342" s="184"/>
      <c r="J342" s="184"/>
      <c r="K342" s="184"/>
      <c r="L342" s="184"/>
      <c r="M342" s="184"/>
      <c r="N342" s="184"/>
      <c r="O342" s="184"/>
      <c r="Q342" s="184"/>
      <c r="R342" s="185"/>
      <c r="S342" s="185"/>
      <c r="U342" s="184"/>
      <c r="V342" s="184"/>
      <c r="W342" s="184"/>
      <c r="X342" s="184"/>
      <c r="Y342" s="184"/>
      <c r="Z342" s="184"/>
      <c r="AA342" s="184"/>
      <c r="AB342" s="184"/>
      <c r="AC342" s="184"/>
      <c r="AD342" s="184"/>
      <c r="AE342" s="184"/>
      <c r="AF342" s="184"/>
      <c r="AG342" s="184"/>
      <c r="AH342" s="184"/>
      <c r="AI342" s="184"/>
      <c r="AJ342" s="184"/>
      <c r="AK342" s="184"/>
      <c r="AL342" s="186"/>
      <c r="AM342" s="187"/>
      <c r="AN342" s="187"/>
      <c r="AO342" s="187"/>
    </row>
    <row r="343" spans="1:41" s="163" customFormat="1" ht="16.5" customHeight="1">
      <c r="A343" s="180"/>
      <c r="B343" s="181"/>
      <c r="C343" s="182"/>
      <c r="D343" s="182"/>
      <c r="E343" s="183"/>
      <c r="F343" s="183"/>
      <c r="G343" s="183"/>
      <c r="H343" s="184"/>
      <c r="I343" s="184"/>
      <c r="J343" s="184"/>
      <c r="K343" s="184"/>
      <c r="L343" s="184"/>
      <c r="M343" s="184"/>
      <c r="N343" s="184"/>
      <c r="O343" s="184"/>
      <c r="Q343" s="184"/>
      <c r="R343" s="185"/>
      <c r="S343" s="185"/>
      <c r="U343" s="184"/>
      <c r="V343" s="184"/>
      <c r="W343" s="184"/>
      <c r="X343" s="184"/>
      <c r="Y343" s="184"/>
      <c r="Z343" s="184"/>
      <c r="AA343" s="184"/>
      <c r="AB343" s="184"/>
      <c r="AC343" s="184"/>
      <c r="AD343" s="184"/>
      <c r="AE343" s="184"/>
      <c r="AF343" s="184"/>
      <c r="AG343" s="184"/>
      <c r="AH343" s="184"/>
      <c r="AI343" s="184"/>
      <c r="AJ343" s="184"/>
      <c r="AK343" s="184"/>
      <c r="AL343" s="186"/>
      <c r="AM343" s="187"/>
      <c r="AN343" s="187"/>
      <c r="AO343" s="187"/>
    </row>
    <row r="344" spans="1:41" s="163" customFormat="1" ht="16.5" customHeight="1">
      <c r="A344" s="180"/>
      <c r="B344" s="181"/>
      <c r="C344" s="182"/>
      <c r="D344" s="182"/>
      <c r="E344" s="183"/>
      <c r="F344" s="183"/>
      <c r="G344" s="183"/>
      <c r="H344" s="184"/>
      <c r="I344" s="184"/>
      <c r="J344" s="184"/>
      <c r="K344" s="184"/>
      <c r="L344" s="184"/>
      <c r="M344" s="184"/>
      <c r="N344" s="184"/>
      <c r="O344" s="184"/>
      <c r="Q344" s="184"/>
      <c r="R344" s="185"/>
      <c r="S344" s="185"/>
      <c r="U344" s="184"/>
      <c r="V344" s="184"/>
      <c r="W344" s="184"/>
      <c r="X344" s="184"/>
      <c r="Y344" s="184"/>
      <c r="Z344" s="184"/>
      <c r="AA344" s="184"/>
      <c r="AB344" s="184"/>
      <c r="AC344" s="184"/>
      <c r="AD344" s="184"/>
      <c r="AE344" s="184"/>
      <c r="AF344" s="184"/>
      <c r="AG344" s="184"/>
      <c r="AH344" s="184"/>
      <c r="AI344" s="184"/>
      <c r="AJ344" s="184"/>
      <c r="AK344" s="184"/>
      <c r="AL344" s="186"/>
      <c r="AM344" s="187"/>
      <c r="AN344" s="187"/>
      <c r="AO344" s="187"/>
    </row>
    <row r="345" spans="1:41" s="163" customFormat="1" ht="16.5" customHeight="1">
      <c r="A345" s="180"/>
      <c r="B345" s="181"/>
      <c r="C345" s="182"/>
      <c r="D345" s="182"/>
      <c r="E345" s="183"/>
      <c r="F345" s="183"/>
      <c r="G345" s="183"/>
      <c r="H345" s="184"/>
      <c r="I345" s="184"/>
      <c r="J345" s="184"/>
      <c r="K345" s="184"/>
      <c r="L345" s="184"/>
      <c r="M345" s="184"/>
      <c r="N345" s="184"/>
      <c r="O345" s="184"/>
      <c r="Q345" s="184"/>
      <c r="R345" s="185"/>
      <c r="S345" s="185"/>
      <c r="U345" s="184"/>
      <c r="V345" s="184"/>
      <c r="W345" s="184"/>
      <c r="X345" s="184"/>
      <c r="Y345" s="184"/>
      <c r="Z345" s="184"/>
      <c r="AA345" s="184"/>
      <c r="AB345" s="184"/>
      <c r="AC345" s="184"/>
      <c r="AD345" s="184"/>
      <c r="AE345" s="184"/>
      <c r="AF345" s="184"/>
      <c r="AG345" s="184"/>
      <c r="AH345" s="184"/>
      <c r="AI345" s="184"/>
      <c r="AJ345" s="184"/>
      <c r="AK345" s="184"/>
      <c r="AL345" s="186"/>
      <c r="AM345" s="187"/>
      <c r="AN345" s="187"/>
      <c r="AO345" s="187"/>
    </row>
    <row r="346" spans="1:41" s="163" customFormat="1" ht="16.5" customHeight="1">
      <c r="A346" s="180"/>
      <c r="B346" s="181"/>
      <c r="C346" s="182"/>
      <c r="D346" s="182"/>
      <c r="E346" s="183"/>
      <c r="F346" s="183"/>
      <c r="G346" s="183"/>
      <c r="H346" s="184"/>
      <c r="I346" s="184"/>
      <c r="J346" s="184"/>
      <c r="K346" s="184"/>
      <c r="L346" s="184"/>
      <c r="M346" s="184"/>
      <c r="N346" s="184"/>
      <c r="O346" s="184"/>
      <c r="Q346" s="184"/>
      <c r="R346" s="185"/>
      <c r="S346" s="185"/>
      <c r="U346" s="184"/>
      <c r="V346" s="184"/>
      <c r="W346" s="184"/>
      <c r="X346" s="184"/>
      <c r="Y346" s="184"/>
      <c r="Z346" s="184"/>
      <c r="AA346" s="184"/>
      <c r="AB346" s="184"/>
      <c r="AC346" s="184"/>
      <c r="AD346" s="184"/>
      <c r="AE346" s="184"/>
      <c r="AF346" s="184"/>
      <c r="AG346" s="184"/>
      <c r="AH346" s="184"/>
      <c r="AI346" s="184"/>
      <c r="AJ346" s="184"/>
      <c r="AK346" s="184"/>
      <c r="AL346" s="186"/>
      <c r="AM346" s="187"/>
      <c r="AN346" s="187"/>
      <c r="AO346" s="187"/>
    </row>
    <row r="347" spans="1:41" s="163" customFormat="1" ht="16.5" customHeight="1">
      <c r="A347" s="180"/>
      <c r="B347" s="181"/>
      <c r="C347" s="182"/>
      <c r="D347" s="182"/>
      <c r="E347" s="183"/>
      <c r="F347" s="183"/>
      <c r="G347" s="183"/>
      <c r="H347" s="184"/>
      <c r="I347" s="184"/>
      <c r="J347" s="184"/>
      <c r="K347" s="184"/>
      <c r="L347" s="184"/>
      <c r="M347" s="184"/>
      <c r="N347" s="184"/>
      <c r="O347" s="184"/>
      <c r="Q347" s="184"/>
      <c r="R347" s="185"/>
      <c r="S347" s="185"/>
      <c r="U347" s="184"/>
      <c r="V347" s="184"/>
      <c r="W347" s="184"/>
      <c r="X347" s="184"/>
      <c r="Y347" s="184"/>
      <c r="Z347" s="184"/>
      <c r="AA347" s="184"/>
      <c r="AB347" s="184"/>
      <c r="AC347" s="184"/>
      <c r="AD347" s="184"/>
      <c r="AE347" s="184"/>
      <c r="AF347" s="184"/>
      <c r="AG347" s="184"/>
      <c r="AH347" s="184"/>
      <c r="AI347" s="184"/>
      <c r="AJ347" s="184"/>
      <c r="AK347" s="184"/>
      <c r="AL347" s="186"/>
      <c r="AM347" s="187"/>
      <c r="AN347" s="187"/>
      <c r="AO347" s="187"/>
    </row>
    <row r="348" spans="1:41" s="163" customFormat="1" ht="16.5" customHeight="1">
      <c r="A348" s="180"/>
      <c r="B348" s="181"/>
      <c r="C348" s="182"/>
      <c r="D348" s="182"/>
      <c r="E348" s="183"/>
      <c r="F348" s="183"/>
      <c r="G348" s="183"/>
      <c r="H348" s="184"/>
      <c r="I348" s="184"/>
      <c r="J348" s="184"/>
      <c r="K348" s="184"/>
      <c r="L348" s="184"/>
      <c r="M348" s="184"/>
      <c r="N348" s="184"/>
      <c r="O348" s="184"/>
      <c r="Q348" s="184"/>
      <c r="R348" s="185"/>
      <c r="S348" s="185"/>
      <c r="U348" s="184"/>
      <c r="V348" s="184"/>
      <c r="W348" s="184"/>
      <c r="X348" s="184"/>
      <c r="Y348" s="184"/>
      <c r="Z348" s="184"/>
      <c r="AA348" s="184"/>
      <c r="AB348" s="184"/>
      <c r="AC348" s="184"/>
      <c r="AD348" s="184"/>
      <c r="AE348" s="184"/>
      <c r="AF348" s="184"/>
      <c r="AG348" s="184"/>
      <c r="AH348" s="184"/>
      <c r="AI348" s="184"/>
      <c r="AJ348" s="184"/>
      <c r="AK348" s="184"/>
      <c r="AL348" s="186"/>
      <c r="AM348" s="187"/>
      <c r="AN348" s="187"/>
      <c r="AO348" s="187"/>
    </row>
    <row r="349" spans="1:41" s="163" customFormat="1" ht="16.5" customHeight="1">
      <c r="A349" s="180"/>
      <c r="B349" s="181"/>
      <c r="C349" s="182"/>
      <c r="D349" s="182"/>
      <c r="E349" s="183"/>
      <c r="F349" s="183"/>
      <c r="G349" s="183"/>
      <c r="H349" s="184"/>
      <c r="I349" s="184"/>
      <c r="J349" s="184"/>
      <c r="K349" s="184"/>
      <c r="L349" s="184"/>
      <c r="M349" s="184"/>
      <c r="N349" s="184"/>
      <c r="O349" s="184"/>
      <c r="Q349" s="184"/>
      <c r="R349" s="185"/>
      <c r="S349" s="185"/>
      <c r="U349" s="184"/>
      <c r="V349" s="184"/>
      <c r="W349" s="184"/>
      <c r="X349" s="184"/>
      <c r="Y349" s="184"/>
      <c r="Z349" s="184"/>
      <c r="AA349" s="184"/>
      <c r="AB349" s="184"/>
      <c r="AC349" s="184"/>
      <c r="AD349" s="184"/>
      <c r="AE349" s="184"/>
      <c r="AF349" s="184"/>
      <c r="AG349" s="184"/>
      <c r="AH349" s="184"/>
      <c r="AI349" s="184"/>
      <c r="AJ349" s="184"/>
      <c r="AK349" s="184"/>
      <c r="AL349" s="186"/>
      <c r="AM349" s="187"/>
      <c r="AN349" s="187"/>
      <c r="AO349" s="187"/>
    </row>
    <row r="350" spans="1:41" s="163" customFormat="1" ht="16.5" customHeight="1">
      <c r="A350" s="180"/>
      <c r="B350" s="181"/>
      <c r="C350" s="182"/>
      <c r="D350" s="182"/>
      <c r="E350" s="183"/>
      <c r="F350" s="183"/>
      <c r="G350" s="183"/>
      <c r="H350" s="184"/>
      <c r="I350" s="184"/>
      <c r="J350" s="184"/>
      <c r="K350" s="184"/>
      <c r="L350" s="184"/>
      <c r="M350" s="184"/>
      <c r="N350" s="184"/>
      <c r="O350" s="184"/>
      <c r="Q350" s="184"/>
      <c r="R350" s="185"/>
      <c r="S350" s="185"/>
      <c r="U350" s="184"/>
      <c r="V350" s="184"/>
      <c r="W350" s="184"/>
      <c r="X350" s="184"/>
      <c r="Y350" s="184"/>
      <c r="Z350" s="184"/>
      <c r="AA350" s="184"/>
      <c r="AB350" s="184"/>
      <c r="AC350" s="184"/>
      <c r="AD350" s="184"/>
      <c r="AE350" s="184"/>
      <c r="AF350" s="184"/>
      <c r="AG350" s="184"/>
      <c r="AH350" s="184"/>
      <c r="AI350" s="184"/>
      <c r="AJ350" s="184"/>
      <c r="AK350" s="184"/>
      <c r="AL350" s="186"/>
      <c r="AM350" s="187"/>
      <c r="AN350" s="187"/>
      <c r="AO350" s="187"/>
    </row>
    <row r="351" spans="1:41" s="163" customFormat="1" ht="16.5" customHeight="1">
      <c r="A351" s="180"/>
      <c r="B351" s="181"/>
      <c r="C351" s="182"/>
      <c r="D351" s="182"/>
      <c r="E351" s="183"/>
      <c r="F351" s="183"/>
      <c r="G351" s="183"/>
      <c r="H351" s="184"/>
      <c r="I351" s="184"/>
      <c r="J351" s="184"/>
      <c r="K351" s="184"/>
      <c r="L351" s="184"/>
      <c r="M351" s="184"/>
      <c r="N351" s="184"/>
      <c r="O351" s="184"/>
      <c r="Q351" s="184"/>
      <c r="R351" s="185"/>
      <c r="S351" s="185"/>
      <c r="U351" s="184"/>
      <c r="V351" s="184"/>
      <c r="W351" s="184"/>
      <c r="X351" s="184"/>
      <c r="Y351" s="184"/>
      <c r="Z351" s="184"/>
      <c r="AA351" s="184"/>
      <c r="AB351" s="184"/>
      <c r="AC351" s="184"/>
      <c r="AD351" s="184"/>
      <c r="AE351" s="184"/>
      <c r="AF351" s="184"/>
      <c r="AG351" s="184"/>
      <c r="AH351" s="184"/>
      <c r="AI351" s="184"/>
      <c r="AJ351" s="184"/>
      <c r="AK351" s="184"/>
      <c r="AL351" s="186"/>
      <c r="AM351" s="187"/>
      <c r="AN351" s="187"/>
      <c r="AO351" s="187"/>
    </row>
    <row r="352" spans="1:41" s="163" customFormat="1" ht="16.5" customHeight="1">
      <c r="A352" s="180"/>
      <c r="B352" s="181"/>
      <c r="C352" s="182"/>
      <c r="D352" s="182"/>
      <c r="E352" s="183"/>
      <c r="F352" s="183"/>
      <c r="G352" s="183"/>
      <c r="H352" s="184"/>
      <c r="I352" s="184"/>
      <c r="J352" s="184"/>
      <c r="K352" s="184"/>
      <c r="L352" s="184"/>
      <c r="M352" s="184"/>
      <c r="N352" s="184"/>
      <c r="O352" s="184"/>
      <c r="Q352" s="184"/>
      <c r="R352" s="185"/>
      <c r="S352" s="185"/>
      <c r="U352" s="184"/>
      <c r="V352" s="184"/>
      <c r="W352" s="184"/>
      <c r="X352" s="184"/>
      <c r="Y352" s="184"/>
      <c r="Z352" s="184"/>
      <c r="AA352" s="184"/>
      <c r="AB352" s="184"/>
      <c r="AC352" s="184"/>
      <c r="AD352" s="184"/>
      <c r="AE352" s="184"/>
      <c r="AF352" s="184"/>
      <c r="AG352" s="184"/>
      <c r="AH352" s="184"/>
      <c r="AI352" s="184"/>
      <c r="AJ352" s="184"/>
      <c r="AK352" s="184"/>
      <c r="AL352" s="186"/>
      <c r="AM352" s="187"/>
      <c r="AN352" s="187"/>
      <c r="AO352" s="187"/>
    </row>
    <row r="353" spans="1:41" s="163" customFormat="1" ht="16.5" customHeight="1">
      <c r="A353" s="180"/>
      <c r="B353" s="181"/>
      <c r="C353" s="182"/>
      <c r="D353" s="182"/>
      <c r="E353" s="183"/>
      <c r="F353" s="183"/>
      <c r="G353" s="183"/>
      <c r="H353" s="184"/>
      <c r="I353" s="184"/>
      <c r="J353" s="184"/>
      <c r="K353" s="184"/>
      <c r="L353" s="184"/>
      <c r="M353" s="184"/>
      <c r="N353" s="184"/>
      <c r="O353" s="184"/>
      <c r="Q353" s="184"/>
      <c r="R353" s="185"/>
      <c r="S353" s="185"/>
      <c r="U353" s="184"/>
      <c r="V353" s="184"/>
      <c r="W353" s="184"/>
      <c r="X353" s="184"/>
      <c r="Y353" s="184"/>
      <c r="Z353" s="184"/>
      <c r="AA353" s="184"/>
      <c r="AB353" s="184"/>
      <c r="AC353" s="184"/>
      <c r="AD353" s="184"/>
      <c r="AE353" s="184"/>
      <c r="AF353" s="184"/>
      <c r="AG353" s="184"/>
      <c r="AH353" s="184"/>
      <c r="AI353" s="184"/>
      <c r="AJ353" s="184"/>
      <c r="AK353" s="184"/>
      <c r="AL353" s="186"/>
      <c r="AM353" s="187"/>
      <c r="AN353" s="187"/>
      <c r="AO353" s="187"/>
    </row>
    <row r="354" spans="1:41" s="163" customFormat="1" ht="16.5" customHeight="1">
      <c r="A354" s="180"/>
      <c r="B354" s="181"/>
      <c r="C354" s="182"/>
      <c r="D354" s="182"/>
      <c r="E354" s="183"/>
      <c r="F354" s="183"/>
      <c r="G354" s="183"/>
      <c r="H354" s="184"/>
      <c r="I354" s="184"/>
      <c r="J354" s="184"/>
      <c r="K354" s="184"/>
      <c r="L354" s="184"/>
      <c r="M354" s="184"/>
      <c r="N354" s="184"/>
      <c r="O354" s="184"/>
      <c r="Q354" s="184"/>
      <c r="R354" s="185"/>
      <c r="S354" s="185"/>
      <c r="U354" s="184"/>
      <c r="V354" s="184"/>
      <c r="W354" s="184"/>
      <c r="X354" s="184"/>
      <c r="Y354" s="184"/>
      <c r="Z354" s="184"/>
      <c r="AA354" s="184"/>
      <c r="AB354" s="184"/>
      <c r="AC354" s="184"/>
      <c r="AD354" s="184"/>
      <c r="AE354" s="184"/>
      <c r="AF354" s="184"/>
      <c r="AG354" s="184"/>
      <c r="AH354" s="184"/>
      <c r="AI354" s="184"/>
      <c r="AJ354" s="184"/>
      <c r="AK354" s="184"/>
      <c r="AL354" s="186"/>
      <c r="AM354" s="187"/>
      <c r="AN354" s="187"/>
      <c r="AO354" s="187"/>
    </row>
    <row r="355" spans="1:41" s="163" customFormat="1" ht="16.5" customHeight="1">
      <c r="A355" s="180"/>
      <c r="B355" s="181"/>
      <c r="C355" s="182"/>
      <c r="D355" s="182"/>
      <c r="E355" s="183"/>
      <c r="F355" s="183"/>
      <c r="G355" s="183"/>
      <c r="H355" s="184"/>
      <c r="I355" s="184"/>
      <c r="J355" s="184"/>
      <c r="K355" s="184"/>
      <c r="L355" s="184"/>
      <c r="M355" s="184"/>
      <c r="N355" s="184"/>
      <c r="O355" s="184"/>
      <c r="Q355" s="184"/>
      <c r="R355" s="185"/>
      <c r="S355" s="185"/>
      <c r="U355" s="184"/>
      <c r="V355" s="184"/>
      <c r="W355" s="184"/>
      <c r="X355" s="184"/>
      <c r="Y355" s="184"/>
      <c r="Z355" s="184"/>
      <c r="AA355" s="184"/>
      <c r="AB355" s="184"/>
      <c r="AC355" s="184"/>
      <c r="AD355" s="184"/>
      <c r="AE355" s="184"/>
      <c r="AF355" s="184"/>
      <c r="AG355" s="184"/>
      <c r="AH355" s="184"/>
      <c r="AI355" s="184"/>
      <c r="AJ355" s="184"/>
      <c r="AK355" s="184"/>
      <c r="AL355" s="186"/>
      <c r="AM355" s="187"/>
      <c r="AN355" s="187"/>
      <c r="AO355" s="187"/>
    </row>
    <row r="356" spans="1:41" s="163" customFormat="1" ht="16.5" customHeight="1">
      <c r="A356" s="180"/>
      <c r="B356" s="181"/>
      <c r="C356" s="182"/>
      <c r="D356" s="182"/>
      <c r="E356" s="183"/>
      <c r="F356" s="183"/>
      <c r="G356" s="183"/>
      <c r="H356" s="184"/>
      <c r="I356" s="184"/>
      <c r="J356" s="184"/>
      <c r="K356" s="184"/>
      <c r="L356" s="184"/>
      <c r="M356" s="184"/>
      <c r="N356" s="184"/>
      <c r="O356" s="184"/>
      <c r="Q356" s="184"/>
      <c r="R356" s="185"/>
      <c r="S356" s="185"/>
      <c r="U356" s="184"/>
      <c r="V356" s="184"/>
      <c r="W356" s="184"/>
      <c r="X356" s="184"/>
      <c r="Y356" s="184"/>
      <c r="Z356" s="184"/>
      <c r="AA356" s="184"/>
      <c r="AB356" s="184"/>
      <c r="AC356" s="184"/>
      <c r="AD356" s="184"/>
      <c r="AE356" s="184"/>
      <c r="AF356" s="184"/>
      <c r="AG356" s="184"/>
      <c r="AH356" s="184"/>
      <c r="AI356" s="184"/>
      <c r="AJ356" s="184"/>
      <c r="AK356" s="184"/>
      <c r="AL356" s="186"/>
      <c r="AM356" s="187"/>
      <c r="AN356" s="187"/>
      <c r="AO356" s="187"/>
    </row>
    <row r="357" spans="1:41" s="163" customFormat="1" ht="16.5" customHeight="1">
      <c r="A357" s="180"/>
      <c r="B357" s="181"/>
      <c r="C357" s="182"/>
      <c r="D357" s="182"/>
      <c r="E357" s="183"/>
      <c r="F357" s="183"/>
      <c r="G357" s="183"/>
      <c r="H357" s="184"/>
      <c r="I357" s="184"/>
      <c r="J357" s="184"/>
      <c r="K357" s="184"/>
      <c r="L357" s="184"/>
      <c r="M357" s="184"/>
      <c r="N357" s="184"/>
      <c r="O357" s="184"/>
      <c r="Q357" s="184"/>
      <c r="R357" s="185"/>
      <c r="S357" s="185"/>
      <c r="U357" s="184"/>
      <c r="V357" s="184"/>
      <c r="W357" s="184"/>
      <c r="X357" s="184"/>
      <c r="Y357" s="184"/>
      <c r="Z357" s="184"/>
      <c r="AA357" s="184"/>
      <c r="AB357" s="184"/>
      <c r="AC357" s="184"/>
      <c r="AD357" s="184"/>
      <c r="AE357" s="184"/>
      <c r="AF357" s="184"/>
      <c r="AG357" s="184"/>
      <c r="AH357" s="184"/>
      <c r="AI357" s="184"/>
      <c r="AJ357" s="184"/>
      <c r="AK357" s="184"/>
      <c r="AL357" s="186"/>
      <c r="AM357" s="187"/>
      <c r="AN357" s="187"/>
      <c r="AO357" s="187"/>
    </row>
    <row r="358" spans="1:41" s="163" customFormat="1" ht="16.5" customHeight="1">
      <c r="A358" s="180"/>
      <c r="B358" s="181"/>
      <c r="C358" s="182"/>
      <c r="D358" s="182"/>
      <c r="E358" s="183"/>
      <c r="F358" s="183"/>
      <c r="G358" s="183"/>
      <c r="H358" s="184"/>
      <c r="I358" s="184"/>
      <c r="J358" s="184"/>
      <c r="K358" s="184"/>
      <c r="L358" s="184"/>
      <c r="M358" s="184"/>
      <c r="N358" s="184"/>
      <c r="O358" s="184"/>
      <c r="Q358" s="184"/>
      <c r="R358" s="185"/>
      <c r="S358" s="185"/>
      <c r="U358" s="184"/>
      <c r="V358" s="184"/>
      <c r="W358" s="184"/>
      <c r="X358" s="184"/>
      <c r="Y358" s="184"/>
      <c r="Z358" s="184"/>
      <c r="AA358" s="184"/>
      <c r="AB358" s="184"/>
      <c r="AC358" s="184"/>
      <c r="AD358" s="184"/>
      <c r="AE358" s="184"/>
      <c r="AF358" s="184"/>
      <c r="AG358" s="184"/>
      <c r="AH358" s="184"/>
      <c r="AI358" s="184"/>
      <c r="AJ358" s="184"/>
      <c r="AK358" s="184"/>
      <c r="AL358" s="186"/>
      <c r="AM358" s="187"/>
      <c r="AN358" s="187"/>
      <c r="AO358" s="187"/>
    </row>
    <row r="359" spans="1:41" s="163" customFormat="1" ht="16.5" customHeight="1">
      <c r="A359" s="180"/>
      <c r="B359" s="181"/>
      <c r="C359" s="182"/>
      <c r="D359" s="182"/>
      <c r="E359" s="183"/>
      <c r="F359" s="183"/>
      <c r="G359" s="183"/>
      <c r="H359" s="184"/>
      <c r="I359" s="184"/>
      <c r="J359" s="184"/>
      <c r="K359" s="184"/>
      <c r="L359" s="184"/>
      <c r="M359" s="184"/>
      <c r="N359" s="184"/>
      <c r="O359" s="184"/>
      <c r="Q359" s="184"/>
      <c r="R359" s="185"/>
      <c r="S359" s="185"/>
      <c r="U359" s="184"/>
      <c r="V359" s="184"/>
      <c r="W359" s="184"/>
      <c r="X359" s="184"/>
      <c r="Y359" s="184"/>
      <c r="Z359" s="184"/>
      <c r="AA359" s="184"/>
      <c r="AB359" s="184"/>
      <c r="AC359" s="184"/>
      <c r="AD359" s="184"/>
      <c r="AE359" s="184"/>
      <c r="AF359" s="184"/>
      <c r="AG359" s="184"/>
      <c r="AH359" s="184"/>
      <c r="AI359" s="184"/>
      <c r="AJ359" s="184"/>
      <c r="AK359" s="184"/>
      <c r="AL359" s="186"/>
      <c r="AM359" s="187"/>
      <c r="AN359" s="187"/>
      <c r="AO359" s="187"/>
    </row>
    <row r="360" spans="1:41" s="163" customFormat="1" ht="16.5" customHeight="1">
      <c r="A360" s="180"/>
      <c r="B360" s="181"/>
      <c r="C360" s="182"/>
      <c r="D360" s="182"/>
      <c r="E360" s="183"/>
      <c r="F360" s="183"/>
      <c r="G360" s="183"/>
      <c r="H360" s="184"/>
      <c r="I360" s="184"/>
      <c r="J360" s="184"/>
      <c r="K360" s="184"/>
      <c r="L360" s="184"/>
      <c r="M360" s="184"/>
      <c r="N360" s="184"/>
      <c r="O360" s="184"/>
      <c r="Q360" s="184"/>
      <c r="R360" s="185"/>
      <c r="S360" s="185"/>
      <c r="U360" s="184"/>
      <c r="V360" s="184"/>
      <c r="W360" s="184"/>
      <c r="X360" s="184"/>
      <c r="Y360" s="184"/>
      <c r="Z360" s="184"/>
      <c r="AA360" s="184"/>
      <c r="AB360" s="184"/>
      <c r="AC360" s="184"/>
      <c r="AD360" s="184"/>
      <c r="AE360" s="184"/>
      <c r="AF360" s="184"/>
      <c r="AG360" s="184"/>
      <c r="AH360" s="184"/>
      <c r="AI360" s="184"/>
      <c r="AJ360" s="184"/>
      <c r="AK360" s="184"/>
      <c r="AL360" s="186"/>
      <c r="AM360" s="187"/>
      <c r="AN360" s="187"/>
      <c r="AO360" s="187"/>
    </row>
    <row r="361" spans="1:41" s="163" customFormat="1" ht="16.5" customHeight="1">
      <c r="A361" s="180"/>
      <c r="B361" s="181"/>
      <c r="C361" s="182"/>
      <c r="D361" s="182"/>
      <c r="E361" s="183"/>
      <c r="F361" s="183"/>
      <c r="G361" s="183"/>
      <c r="H361" s="184"/>
      <c r="I361" s="184"/>
      <c r="J361" s="184"/>
      <c r="K361" s="184"/>
      <c r="L361" s="184"/>
      <c r="M361" s="184"/>
      <c r="N361" s="184"/>
      <c r="O361" s="184"/>
      <c r="Q361" s="184"/>
      <c r="R361" s="185"/>
      <c r="S361" s="185"/>
      <c r="U361" s="184"/>
      <c r="V361" s="184"/>
      <c r="W361" s="184"/>
      <c r="X361" s="184"/>
      <c r="Y361" s="184"/>
      <c r="Z361" s="184"/>
      <c r="AA361" s="184"/>
      <c r="AB361" s="184"/>
      <c r="AC361" s="184"/>
      <c r="AD361" s="184"/>
      <c r="AE361" s="184"/>
      <c r="AF361" s="184"/>
      <c r="AG361" s="184"/>
      <c r="AH361" s="184"/>
      <c r="AI361" s="184"/>
      <c r="AJ361" s="184"/>
      <c r="AK361" s="184"/>
      <c r="AL361" s="186"/>
      <c r="AM361" s="187"/>
      <c r="AN361" s="187"/>
      <c r="AO361" s="187"/>
    </row>
    <row r="362" spans="1:41" s="163" customFormat="1" ht="16.5" customHeight="1">
      <c r="A362" s="180"/>
      <c r="B362" s="181"/>
      <c r="C362" s="182"/>
      <c r="D362" s="182"/>
      <c r="E362" s="183"/>
      <c r="F362" s="183"/>
      <c r="G362" s="183"/>
      <c r="H362" s="184"/>
      <c r="I362" s="184"/>
      <c r="J362" s="184"/>
      <c r="K362" s="184"/>
      <c r="L362" s="184"/>
      <c r="M362" s="184"/>
      <c r="N362" s="184"/>
      <c r="O362" s="184"/>
      <c r="Q362" s="184"/>
      <c r="R362" s="185"/>
      <c r="S362" s="185"/>
      <c r="U362" s="184"/>
      <c r="V362" s="184"/>
      <c r="W362" s="184"/>
      <c r="X362" s="184"/>
      <c r="Y362" s="184"/>
      <c r="Z362" s="184"/>
      <c r="AA362" s="184"/>
      <c r="AB362" s="184"/>
      <c r="AC362" s="184"/>
      <c r="AD362" s="184"/>
      <c r="AE362" s="184"/>
      <c r="AF362" s="184"/>
      <c r="AG362" s="184"/>
      <c r="AH362" s="184"/>
      <c r="AI362" s="184"/>
      <c r="AJ362" s="184"/>
      <c r="AK362" s="184"/>
      <c r="AL362" s="186"/>
      <c r="AM362" s="187"/>
      <c r="AN362" s="187"/>
      <c r="AO362" s="187"/>
    </row>
    <row r="363" spans="1:41" s="163" customFormat="1" ht="16.5" customHeight="1">
      <c r="A363" s="180"/>
      <c r="B363" s="181"/>
      <c r="C363" s="182"/>
      <c r="D363" s="182"/>
      <c r="E363" s="183"/>
      <c r="F363" s="183"/>
      <c r="G363" s="183"/>
      <c r="H363" s="184"/>
      <c r="I363" s="184"/>
      <c r="J363" s="184"/>
      <c r="K363" s="184"/>
      <c r="L363" s="184"/>
      <c r="M363" s="184"/>
      <c r="N363" s="184"/>
      <c r="O363" s="184"/>
      <c r="Q363" s="184"/>
      <c r="R363" s="185"/>
      <c r="S363" s="185"/>
      <c r="U363" s="184"/>
      <c r="V363" s="184"/>
      <c r="W363" s="184"/>
      <c r="X363" s="184"/>
      <c r="Y363" s="184"/>
      <c r="Z363" s="184"/>
      <c r="AA363" s="184"/>
      <c r="AB363" s="184"/>
      <c r="AC363" s="184"/>
      <c r="AD363" s="184"/>
      <c r="AE363" s="184"/>
      <c r="AF363" s="184"/>
      <c r="AG363" s="184"/>
      <c r="AH363" s="184"/>
      <c r="AI363" s="184"/>
      <c r="AJ363" s="184"/>
      <c r="AK363" s="184"/>
      <c r="AL363" s="186"/>
      <c r="AM363" s="187"/>
      <c r="AN363" s="187"/>
      <c r="AO363" s="187"/>
    </row>
    <row r="364" spans="1:41" s="163" customFormat="1" ht="16.5" customHeight="1">
      <c r="A364" s="180"/>
      <c r="B364" s="181"/>
      <c r="C364" s="182"/>
      <c r="D364" s="182"/>
      <c r="E364" s="183"/>
      <c r="F364" s="183"/>
      <c r="G364" s="183"/>
      <c r="H364" s="184"/>
      <c r="I364" s="184"/>
      <c r="J364" s="184"/>
      <c r="K364" s="184"/>
      <c r="L364" s="184"/>
      <c r="M364" s="184"/>
      <c r="N364" s="184"/>
      <c r="O364" s="184"/>
      <c r="Q364" s="184"/>
      <c r="R364" s="185"/>
      <c r="S364" s="185"/>
      <c r="U364" s="184"/>
      <c r="V364" s="184"/>
      <c r="W364" s="184"/>
      <c r="X364" s="184"/>
      <c r="Y364" s="184"/>
      <c r="Z364" s="184"/>
      <c r="AA364" s="184"/>
      <c r="AB364" s="184"/>
      <c r="AC364" s="184"/>
      <c r="AD364" s="184"/>
      <c r="AE364" s="184"/>
      <c r="AF364" s="184"/>
      <c r="AG364" s="184"/>
      <c r="AH364" s="184"/>
      <c r="AI364" s="184"/>
      <c r="AJ364" s="184"/>
      <c r="AK364" s="184"/>
      <c r="AL364" s="186"/>
      <c r="AM364" s="187"/>
      <c r="AN364" s="187"/>
      <c r="AO364" s="187"/>
    </row>
    <row r="365" spans="1:41" s="163" customFormat="1" ht="16.5" customHeight="1">
      <c r="A365" s="180"/>
      <c r="B365" s="181"/>
      <c r="C365" s="182"/>
      <c r="D365" s="182"/>
      <c r="E365" s="183"/>
      <c r="F365" s="183"/>
      <c r="G365" s="183"/>
      <c r="H365" s="184"/>
      <c r="I365" s="184"/>
      <c r="J365" s="184"/>
      <c r="K365" s="184"/>
      <c r="L365" s="184"/>
      <c r="M365" s="184"/>
      <c r="N365" s="184"/>
      <c r="O365" s="184"/>
      <c r="Q365" s="184"/>
      <c r="R365" s="185"/>
      <c r="S365" s="185"/>
      <c r="U365" s="184"/>
      <c r="V365" s="184"/>
      <c r="W365" s="184"/>
      <c r="X365" s="184"/>
      <c r="Y365" s="184"/>
      <c r="Z365" s="184"/>
      <c r="AA365" s="184"/>
      <c r="AB365" s="184"/>
      <c r="AC365" s="184"/>
      <c r="AD365" s="184"/>
      <c r="AE365" s="184"/>
      <c r="AF365" s="184"/>
      <c r="AG365" s="184"/>
      <c r="AH365" s="184"/>
      <c r="AI365" s="184"/>
      <c r="AJ365" s="184"/>
      <c r="AK365" s="184"/>
      <c r="AL365" s="186"/>
      <c r="AM365" s="187"/>
      <c r="AN365" s="187"/>
      <c r="AO365" s="187"/>
    </row>
    <row r="366" spans="1:41" s="163" customFormat="1" ht="16.5" customHeight="1">
      <c r="A366" s="180"/>
      <c r="B366" s="181"/>
      <c r="C366" s="182"/>
      <c r="D366" s="182"/>
      <c r="E366" s="183"/>
      <c r="F366" s="183"/>
      <c r="G366" s="183"/>
      <c r="H366" s="184"/>
      <c r="I366" s="184"/>
      <c r="J366" s="184"/>
      <c r="K366" s="184"/>
      <c r="L366" s="184"/>
      <c r="M366" s="184"/>
      <c r="N366" s="184"/>
      <c r="O366" s="184"/>
      <c r="Q366" s="184"/>
      <c r="R366" s="185"/>
      <c r="S366" s="185"/>
      <c r="U366" s="184"/>
      <c r="V366" s="184"/>
      <c r="W366" s="184"/>
      <c r="X366" s="184"/>
      <c r="Y366" s="184"/>
      <c r="Z366" s="184"/>
      <c r="AA366" s="184"/>
      <c r="AB366" s="184"/>
      <c r="AC366" s="184"/>
      <c r="AD366" s="184"/>
      <c r="AE366" s="184"/>
      <c r="AF366" s="184"/>
      <c r="AG366" s="184"/>
      <c r="AH366" s="184"/>
      <c r="AI366" s="184"/>
      <c r="AJ366" s="184"/>
      <c r="AK366" s="184"/>
      <c r="AL366" s="186"/>
      <c r="AM366" s="187"/>
      <c r="AN366" s="187"/>
      <c r="AO366" s="187"/>
    </row>
    <row r="367" spans="1:41" s="163" customFormat="1" ht="16.5" customHeight="1">
      <c r="A367" s="180"/>
      <c r="B367" s="181"/>
      <c r="C367" s="182"/>
      <c r="D367" s="182"/>
      <c r="E367" s="183"/>
      <c r="F367" s="183"/>
      <c r="G367" s="183"/>
      <c r="H367" s="184"/>
      <c r="I367" s="184"/>
      <c r="J367" s="184"/>
      <c r="K367" s="184"/>
      <c r="L367" s="184"/>
      <c r="M367" s="184"/>
      <c r="N367" s="184"/>
      <c r="O367" s="184"/>
      <c r="Q367" s="184"/>
      <c r="R367" s="185"/>
      <c r="S367" s="185"/>
      <c r="U367" s="184"/>
      <c r="V367" s="184"/>
      <c r="W367" s="184"/>
      <c r="X367" s="184"/>
      <c r="Y367" s="184"/>
      <c r="Z367" s="184"/>
      <c r="AA367" s="184"/>
      <c r="AB367" s="184"/>
      <c r="AC367" s="184"/>
      <c r="AD367" s="184"/>
      <c r="AE367" s="184"/>
      <c r="AF367" s="184"/>
      <c r="AG367" s="184"/>
      <c r="AH367" s="184"/>
      <c r="AI367" s="184"/>
      <c r="AJ367" s="184"/>
      <c r="AK367" s="184"/>
      <c r="AL367" s="186"/>
      <c r="AM367" s="187"/>
      <c r="AN367" s="187"/>
      <c r="AO367" s="187"/>
    </row>
    <row r="368" spans="1:41" s="163" customFormat="1" ht="16.5" customHeight="1">
      <c r="A368" s="180"/>
      <c r="B368" s="181"/>
      <c r="C368" s="182"/>
      <c r="D368" s="182"/>
      <c r="E368" s="183"/>
      <c r="F368" s="183"/>
      <c r="G368" s="183"/>
      <c r="H368" s="184"/>
      <c r="I368" s="184"/>
      <c r="J368" s="184"/>
      <c r="K368" s="184"/>
      <c r="L368" s="184"/>
      <c r="M368" s="184"/>
      <c r="N368" s="184"/>
      <c r="O368" s="184"/>
      <c r="Q368" s="184"/>
      <c r="R368" s="185"/>
      <c r="S368" s="185"/>
      <c r="U368" s="184"/>
      <c r="V368" s="184"/>
      <c r="W368" s="184"/>
      <c r="X368" s="184"/>
      <c r="Y368" s="184"/>
      <c r="Z368" s="184"/>
      <c r="AA368" s="184"/>
      <c r="AB368" s="184"/>
      <c r="AC368" s="184"/>
      <c r="AD368" s="184"/>
      <c r="AE368" s="184"/>
      <c r="AF368" s="184"/>
      <c r="AG368" s="184"/>
      <c r="AH368" s="184"/>
      <c r="AI368" s="184"/>
      <c r="AJ368" s="184"/>
      <c r="AK368" s="184"/>
      <c r="AL368" s="186"/>
      <c r="AM368" s="187"/>
      <c r="AN368" s="187"/>
      <c r="AO368" s="187"/>
    </row>
    <row r="369" spans="1:41" s="163" customFormat="1" ht="16.5" customHeight="1">
      <c r="A369" s="180"/>
      <c r="B369" s="181"/>
      <c r="C369" s="182"/>
      <c r="D369" s="182"/>
      <c r="E369" s="183"/>
      <c r="F369" s="183"/>
      <c r="G369" s="183"/>
      <c r="H369" s="184"/>
      <c r="I369" s="184"/>
      <c r="J369" s="184"/>
      <c r="K369" s="184"/>
      <c r="L369" s="184"/>
      <c r="M369" s="184"/>
      <c r="N369" s="184"/>
      <c r="O369" s="184"/>
      <c r="Q369" s="184"/>
      <c r="R369" s="185"/>
      <c r="S369" s="185"/>
      <c r="U369" s="184"/>
      <c r="V369" s="184"/>
      <c r="W369" s="184"/>
      <c r="X369" s="184"/>
      <c r="Y369" s="184"/>
      <c r="Z369" s="184"/>
      <c r="AA369" s="184"/>
      <c r="AB369" s="184"/>
      <c r="AC369" s="184"/>
      <c r="AD369" s="184"/>
      <c r="AE369" s="184"/>
      <c r="AF369" s="184"/>
      <c r="AG369" s="184"/>
      <c r="AH369" s="184"/>
      <c r="AI369" s="184"/>
      <c r="AJ369" s="184"/>
      <c r="AK369" s="184"/>
      <c r="AL369" s="186"/>
      <c r="AM369" s="187"/>
      <c r="AN369" s="187"/>
      <c r="AO369" s="187"/>
    </row>
    <row r="370" spans="1:41" s="163" customFormat="1" ht="16.5" customHeight="1">
      <c r="A370" s="180"/>
      <c r="B370" s="181"/>
      <c r="C370" s="182"/>
      <c r="D370" s="182"/>
      <c r="E370" s="183"/>
      <c r="F370" s="183"/>
      <c r="G370" s="183"/>
      <c r="H370" s="184"/>
      <c r="I370" s="184"/>
      <c r="J370" s="184"/>
      <c r="K370" s="184"/>
      <c r="L370" s="184"/>
      <c r="M370" s="184"/>
      <c r="N370" s="184"/>
      <c r="O370" s="184"/>
      <c r="Q370" s="184"/>
      <c r="R370" s="185"/>
      <c r="S370" s="185"/>
      <c r="U370" s="184"/>
      <c r="V370" s="184"/>
      <c r="W370" s="184"/>
      <c r="X370" s="184"/>
      <c r="Y370" s="184"/>
      <c r="Z370" s="184"/>
      <c r="AA370" s="184"/>
      <c r="AB370" s="184"/>
      <c r="AC370" s="184"/>
      <c r="AD370" s="184"/>
      <c r="AE370" s="184"/>
      <c r="AF370" s="184"/>
      <c r="AG370" s="184"/>
      <c r="AH370" s="184"/>
      <c r="AI370" s="184"/>
      <c r="AJ370" s="184"/>
      <c r="AK370" s="184"/>
      <c r="AL370" s="186"/>
      <c r="AM370" s="187"/>
      <c r="AN370" s="187"/>
      <c r="AO370" s="187"/>
    </row>
    <row r="371" spans="1:41" s="163" customFormat="1" ht="16.5" customHeight="1">
      <c r="A371" s="180"/>
      <c r="B371" s="181"/>
      <c r="C371" s="182"/>
      <c r="D371" s="182"/>
      <c r="E371" s="183"/>
      <c r="F371" s="183"/>
      <c r="G371" s="183"/>
      <c r="H371" s="184"/>
      <c r="I371" s="184"/>
      <c r="J371" s="184"/>
      <c r="K371" s="184"/>
      <c r="L371" s="184"/>
      <c r="M371" s="184"/>
      <c r="N371" s="184"/>
      <c r="O371" s="184"/>
      <c r="Q371" s="184"/>
      <c r="R371" s="185"/>
      <c r="S371" s="185"/>
      <c r="U371" s="184"/>
      <c r="V371" s="184"/>
      <c r="W371" s="184"/>
      <c r="X371" s="184"/>
      <c r="Y371" s="184"/>
      <c r="Z371" s="184"/>
      <c r="AA371" s="184"/>
      <c r="AB371" s="184"/>
      <c r="AC371" s="184"/>
      <c r="AD371" s="184"/>
      <c r="AE371" s="184"/>
      <c r="AF371" s="184"/>
      <c r="AG371" s="184"/>
      <c r="AH371" s="184"/>
      <c r="AI371" s="184"/>
      <c r="AJ371" s="184"/>
      <c r="AK371" s="184"/>
      <c r="AL371" s="186"/>
      <c r="AM371" s="187"/>
      <c r="AN371" s="187"/>
      <c r="AO371" s="187"/>
    </row>
    <row r="372" spans="1:41" s="163" customFormat="1" ht="16.5" customHeight="1">
      <c r="A372" s="180"/>
      <c r="B372" s="181"/>
      <c r="C372" s="182"/>
      <c r="D372" s="182"/>
      <c r="E372" s="183"/>
      <c r="F372" s="183"/>
      <c r="G372" s="183"/>
      <c r="H372" s="184"/>
      <c r="I372" s="184"/>
      <c r="J372" s="184"/>
      <c r="K372" s="184"/>
      <c r="L372" s="184"/>
      <c r="M372" s="184"/>
      <c r="N372" s="184"/>
      <c r="O372" s="184"/>
      <c r="Q372" s="184"/>
      <c r="R372" s="185"/>
      <c r="S372" s="185"/>
      <c r="U372" s="184"/>
      <c r="V372" s="184"/>
      <c r="W372" s="184"/>
      <c r="X372" s="184"/>
      <c r="Y372" s="184"/>
      <c r="Z372" s="184"/>
      <c r="AA372" s="184"/>
      <c r="AB372" s="184"/>
      <c r="AC372" s="184"/>
      <c r="AD372" s="184"/>
      <c r="AE372" s="184"/>
      <c r="AF372" s="184"/>
      <c r="AG372" s="184"/>
      <c r="AH372" s="184"/>
      <c r="AI372" s="184"/>
      <c r="AJ372" s="184"/>
      <c r="AK372" s="184"/>
      <c r="AL372" s="186"/>
      <c r="AM372" s="187"/>
      <c r="AN372" s="187"/>
      <c r="AO372" s="187"/>
    </row>
    <row r="373" spans="1:41" s="163" customFormat="1" ht="16.5" customHeight="1">
      <c r="A373" s="180"/>
      <c r="B373" s="181"/>
      <c r="C373" s="182"/>
      <c r="D373" s="182"/>
      <c r="E373" s="183"/>
      <c r="F373" s="183"/>
      <c r="G373" s="183"/>
      <c r="H373" s="184"/>
      <c r="I373" s="184"/>
      <c r="J373" s="184"/>
      <c r="K373" s="184"/>
      <c r="L373" s="184"/>
      <c r="M373" s="184"/>
      <c r="N373" s="184"/>
      <c r="O373" s="184"/>
      <c r="Q373" s="184"/>
      <c r="R373" s="185"/>
      <c r="S373" s="185"/>
      <c r="U373" s="184"/>
      <c r="V373" s="184"/>
      <c r="W373" s="184"/>
      <c r="X373" s="184"/>
      <c r="Y373" s="184"/>
      <c r="Z373" s="184"/>
      <c r="AA373" s="184"/>
      <c r="AB373" s="184"/>
      <c r="AC373" s="184"/>
      <c r="AD373" s="184"/>
      <c r="AE373" s="184"/>
      <c r="AF373" s="184"/>
      <c r="AG373" s="184"/>
      <c r="AH373" s="184"/>
      <c r="AI373" s="184"/>
      <c r="AJ373" s="184"/>
      <c r="AK373" s="184"/>
      <c r="AL373" s="186"/>
      <c r="AM373" s="187"/>
      <c r="AN373" s="187"/>
      <c r="AO373" s="187"/>
    </row>
    <row r="374" spans="1:41" s="163" customFormat="1" ht="16.5" customHeight="1">
      <c r="A374" s="180"/>
      <c r="B374" s="181"/>
      <c r="C374" s="182"/>
      <c r="D374" s="182"/>
      <c r="E374" s="183"/>
      <c r="F374" s="183"/>
      <c r="G374" s="183"/>
      <c r="H374" s="184"/>
      <c r="I374" s="184"/>
      <c r="J374" s="184"/>
      <c r="K374" s="184"/>
      <c r="L374" s="184"/>
      <c r="M374" s="184"/>
      <c r="N374" s="184"/>
      <c r="O374" s="184"/>
      <c r="Q374" s="184"/>
      <c r="R374" s="185"/>
      <c r="S374" s="185"/>
      <c r="U374" s="184"/>
      <c r="V374" s="184"/>
      <c r="W374" s="184"/>
      <c r="X374" s="184"/>
      <c r="Y374" s="184"/>
      <c r="Z374" s="184"/>
      <c r="AA374" s="184"/>
      <c r="AB374" s="184"/>
      <c r="AC374" s="184"/>
      <c r="AD374" s="184"/>
      <c r="AE374" s="184"/>
      <c r="AF374" s="184"/>
      <c r="AG374" s="184"/>
      <c r="AH374" s="184"/>
      <c r="AI374" s="184"/>
      <c r="AJ374" s="184"/>
      <c r="AK374" s="184"/>
      <c r="AL374" s="186"/>
      <c r="AM374" s="187"/>
      <c r="AN374" s="187"/>
      <c r="AO374" s="187"/>
    </row>
    <row r="375" spans="1:41" s="163" customFormat="1" ht="16.5" customHeight="1">
      <c r="A375" s="180"/>
      <c r="B375" s="181"/>
      <c r="C375" s="182"/>
      <c r="D375" s="182"/>
      <c r="E375" s="183"/>
      <c r="F375" s="183"/>
      <c r="G375" s="183"/>
      <c r="H375" s="184"/>
      <c r="I375" s="184"/>
      <c r="J375" s="184"/>
      <c r="K375" s="184"/>
      <c r="L375" s="184"/>
      <c r="M375" s="184"/>
      <c r="N375" s="184"/>
      <c r="O375" s="184"/>
      <c r="Q375" s="184"/>
      <c r="R375" s="185"/>
      <c r="S375" s="185"/>
      <c r="U375" s="184"/>
      <c r="V375" s="184"/>
      <c r="W375" s="184"/>
      <c r="X375" s="184"/>
      <c r="Y375" s="184"/>
      <c r="Z375" s="184"/>
      <c r="AA375" s="184"/>
      <c r="AB375" s="184"/>
      <c r="AC375" s="184"/>
      <c r="AD375" s="184"/>
      <c r="AE375" s="184"/>
      <c r="AF375" s="184"/>
      <c r="AG375" s="184"/>
      <c r="AH375" s="184"/>
      <c r="AI375" s="184"/>
      <c r="AJ375" s="184"/>
      <c r="AK375" s="184"/>
      <c r="AL375" s="186"/>
      <c r="AM375" s="187"/>
      <c r="AN375" s="187"/>
      <c r="AO375" s="187"/>
    </row>
    <row r="376" spans="1:41" s="163" customFormat="1" ht="16.5" customHeight="1">
      <c r="A376" s="180"/>
      <c r="B376" s="181"/>
      <c r="C376" s="182"/>
      <c r="D376" s="182"/>
      <c r="E376" s="183"/>
      <c r="F376" s="183"/>
      <c r="G376" s="183"/>
      <c r="H376" s="184"/>
      <c r="I376" s="184"/>
      <c r="J376" s="184"/>
      <c r="K376" s="184"/>
      <c r="L376" s="184"/>
      <c r="M376" s="184"/>
      <c r="N376" s="184"/>
      <c r="O376" s="184"/>
      <c r="Q376" s="184"/>
      <c r="R376" s="185"/>
      <c r="S376" s="185"/>
      <c r="U376" s="184"/>
      <c r="V376" s="184"/>
      <c r="W376" s="184"/>
      <c r="X376" s="184"/>
      <c r="Y376" s="184"/>
      <c r="Z376" s="184"/>
      <c r="AA376" s="184"/>
      <c r="AB376" s="184"/>
      <c r="AC376" s="184"/>
      <c r="AD376" s="184"/>
      <c r="AE376" s="184"/>
      <c r="AF376" s="184"/>
      <c r="AG376" s="184"/>
      <c r="AH376" s="184"/>
      <c r="AI376" s="184"/>
      <c r="AJ376" s="184"/>
      <c r="AK376" s="184"/>
      <c r="AL376" s="186"/>
      <c r="AM376" s="187"/>
      <c r="AN376" s="187"/>
      <c r="AO376" s="187"/>
    </row>
    <row r="377" spans="1:41" s="163" customFormat="1" ht="16.5" customHeight="1">
      <c r="A377" s="180"/>
      <c r="B377" s="181"/>
      <c r="C377" s="182"/>
      <c r="D377" s="182"/>
      <c r="E377" s="183"/>
      <c r="F377" s="183"/>
      <c r="G377" s="183"/>
      <c r="H377" s="184"/>
      <c r="I377" s="184"/>
      <c r="J377" s="184"/>
      <c r="K377" s="184"/>
      <c r="L377" s="184"/>
      <c r="M377" s="184"/>
      <c r="N377" s="184"/>
      <c r="O377" s="184"/>
      <c r="Q377" s="184"/>
      <c r="R377" s="185"/>
      <c r="S377" s="185"/>
      <c r="U377" s="184"/>
      <c r="V377" s="184"/>
      <c r="W377" s="184"/>
      <c r="X377" s="184"/>
      <c r="Y377" s="184"/>
      <c r="Z377" s="184"/>
      <c r="AA377" s="184"/>
      <c r="AB377" s="184"/>
      <c r="AC377" s="184"/>
      <c r="AD377" s="184"/>
      <c r="AE377" s="184"/>
      <c r="AF377" s="184"/>
      <c r="AG377" s="184"/>
      <c r="AH377" s="184"/>
      <c r="AI377" s="184"/>
      <c r="AJ377" s="184"/>
      <c r="AK377" s="184"/>
      <c r="AL377" s="186"/>
      <c r="AM377" s="187"/>
      <c r="AN377" s="187"/>
      <c r="AO377" s="187"/>
    </row>
    <row r="378" spans="1:41" s="163" customFormat="1" ht="16.5" customHeight="1">
      <c r="A378" s="180"/>
      <c r="B378" s="181"/>
      <c r="C378" s="182"/>
      <c r="D378" s="182"/>
      <c r="E378" s="183"/>
      <c r="F378" s="183"/>
      <c r="G378" s="183"/>
      <c r="H378" s="184"/>
      <c r="I378" s="184"/>
      <c r="J378" s="184"/>
      <c r="K378" s="184"/>
      <c r="L378" s="184"/>
      <c r="M378" s="184"/>
      <c r="N378" s="184"/>
      <c r="O378" s="184"/>
      <c r="Q378" s="184"/>
      <c r="R378" s="185"/>
      <c r="S378" s="185"/>
      <c r="U378" s="184"/>
      <c r="V378" s="184"/>
      <c r="W378" s="184"/>
      <c r="X378" s="184"/>
      <c r="Y378" s="184"/>
      <c r="Z378" s="184"/>
      <c r="AA378" s="184"/>
      <c r="AB378" s="184"/>
      <c r="AC378" s="184"/>
      <c r="AD378" s="184"/>
      <c r="AE378" s="184"/>
      <c r="AF378" s="184"/>
      <c r="AG378" s="184"/>
      <c r="AH378" s="184"/>
      <c r="AI378" s="184"/>
      <c r="AJ378" s="184"/>
      <c r="AK378" s="184"/>
      <c r="AL378" s="186"/>
      <c r="AM378" s="187"/>
      <c r="AN378" s="187"/>
      <c r="AO378" s="187"/>
    </row>
    <row r="379" spans="1:41" s="163" customFormat="1" ht="16.5" customHeight="1">
      <c r="A379" s="180"/>
      <c r="B379" s="181"/>
      <c r="C379" s="182"/>
      <c r="D379" s="182"/>
      <c r="E379" s="183"/>
      <c r="F379" s="183"/>
      <c r="G379" s="183"/>
      <c r="H379" s="184"/>
      <c r="I379" s="184"/>
      <c r="J379" s="184"/>
      <c r="K379" s="184"/>
      <c r="L379" s="184"/>
      <c r="M379" s="184"/>
      <c r="N379" s="184"/>
      <c r="O379" s="184"/>
      <c r="Q379" s="184"/>
      <c r="R379" s="185"/>
      <c r="S379" s="185"/>
      <c r="U379" s="184"/>
      <c r="V379" s="184"/>
      <c r="W379" s="184"/>
      <c r="X379" s="184"/>
      <c r="Y379" s="184"/>
      <c r="Z379" s="184"/>
      <c r="AA379" s="184"/>
      <c r="AB379" s="184"/>
      <c r="AC379" s="184"/>
      <c r="AD379" s="184"/>
      <c r="AE379" s="184"/>
      <c r="AF379" s="184"/>
      <c r="AG379" s="184"/>
      <c r="AH379" s="184"/>
      <c r="AI379" s="184"/>
      <c r="AJ379" s="184"/>
      <c r="AK379" s="184"/>
      <c r="AL379" s="186"/>
      <c r="AM379" s="187"/>
      <c r="AN379" s="187"/>
      <c r="AO379" s="187"/>
    </row>
    <row r="380" spans="1:41" s="163" customFormat="1" ht="16.5" customHeight="1">
      <c r="A380" s="180"/>
      <c r="B380" s="181"/>
      <c r="C380" s="182"/>
      <c r="D380" s="182"/>
      <c r="E380" s="183"/>
      <c r="F380" s="183"/>
      <c r="G380" s="183"/>
      <c r="H380" s="184"/>
      <c r="I380" s="184"/>
      <c r="J380" s="184"/>
      <c r="K380" s="184"/>
      <c r="L380" s="184"/>
      <c r="M380" s="184"/>
      <c r="N380" s="184"/>
      <c r="O380" s="184"/>
      <c r="Q380" s="184"/>
      <c r="R380" s="185"/>
      <c r="S380" s="185"/>
      <c r="U380" s="184"/>
      <c r="V380" s="184"/>
      <c r="W380" s="184"/>
      <c r="X380" s="184"/>
      <c r="Y380" s="184"/>
      <c r="Z380" s="184"/>
      <c r="AA380" s="184"/>
      <c r="AB380" s="184"/>
      <c r="AC380" s="184"/>
      <c r="AD380" s="184"/>
      <c r="AE380" s="184"/>
      <c r="AF380" s="184"/>
      <c r="AG380" s="184"/>
      <c r="AH380" s="184"/>
      <c r="AI380" s="184"/>
      <c r="AJ380" s="184"/>
      <c r="AK380" s="184"/>
      <c r="AL380" s="186"/>
      <c r="AM380" s="187"/>
      <c r="AN380" s="187"/>
      <c r="AO380" s="187"/>
    </row>
    <row r="381" spans="1:41" s="163" customFormat="1" ht="16.5" customHeight="1">
      <c r="A381" s="180"/>
      <c r="B381" s="181"/>
      <c r="C381" s="182"/>
      <c r="D381" s="182"/>
      <c r="E381" s="183"/>
      <c r="F381" s="183"/>
      <c r="G381" s="183"/>
      <c r="H381" s="184"/>
      <c r="I381" s="184"/>
      <c r="J381" s="184"/>
      <c r="K381" s="184"/>
      <c r="L381" s="184"/>
      <c r="M381" s="184"/>
      <c r="N381" s="184"/>
      <c r="O381" s="184"/>
      <c r="Q381" s="184"/>
      <c r="R381" s="185"/>
      <c r="S381" s="185"/>
      <c r="U381" s="184"/>
      <c r="V381" s="184"/>
      <c r="W381" s="184"/>
      <c r="X381" s="184"/>
      <c r="Y381" s="184"/>
      <c r="Z381" s="184"/>
      <c r="AA381" s="184"/>
      <c r="AB381" s="184"/>
      <c r="AC381" s="184"/>
      <c r="AD381" s="184"/>
      <c r="AE381" s="184"/>
      <c r="AF381" s="184"/>
      <c r="AG381" s="184"/>
      <c r="AH381" s="184"/>
      <c r="AI381" s="184"/>
      <c r="AJ381" s="184"/>
      <c r="AK381" s="184"/>
      <c r="AL381" s="186"/>
      <c r="AM381" s="187"/>
      <c r="AN381" s="187"/>
      <c r="AO381" s="187"/>
    </row>
    <row r="382" spans="1:41" s="163" customFormat="1" ht="16.5" customHeight="1">
      <c r="A382" s="180"/>
      <c r="B382" s="181"/>
      <c r="C382" s="182"/>
      <c r="D382" s="182"/>
      <c r="E382" s="183"/>
      <c r="F382" s="183"/>
      <c r="G382" s="183"/>
      <c r="H382" s="184"/>
      <c r="I382" s="184"/>
      <c r="J382" s="184"/>
      <c r="K382" s="184"/>
      <c r="L382" s="184"/>
      <c r="M382" s="184"/>
      <c r="N382" s="184"/>
      <c r="O382" s="184"/>
      <c r="Q382" s="184"/>
      <c r="R382" s="185"/>
      <c r="S382" s="185"/>
      <c r="U382" s="184"/>
      <c r="V382" s="184"/>
      <c r="W382" s="184"/>
      <c r="X382" s="184"/>
      <c r="Y382" s="184"/>
      <c r="Z382" s="184"/>
      <c r="AA382" s="184"/>
      <c r="AB382" s="184"/>
      <c r="AC382" s="184"/>
      <c r="AD382" s="184"/>
      <c r="AE382" s="184"/>
      <c r="AF382" s="184"/>
      <c r="AG382" s="184"/>
      <c r="AH382" s="184"/>
      <c r="AI382" s="184"/>
      <c r="AJ382" s="184"/>
      <c r="AK382" s="184"/>
      <c r="AL382" s="186"/>
      <c r="AM382" s="187"/>
      <c r="AN382" s="187"/>
      <c r="AO382" s="187"/>
    </row>
    <row r="383" spans="1:41" s="163" customFormat="1" ht="16.5" customHeight="1">
      <c r="A383" s="180"/>
      <c r="B383" s="181"/>
      <c r="C383" s="182"/>
      <c r="D383" s="182"/>
      <c r="E383" s="183"/>
      <c r="F383" s="183"/>
      <c r="G383" s="183"/>
      <c r="H383" s="184"/>
      <c r="I383" s="184"/>
      <c r="J383" s="184"/>
      <c r="K383" s="184"/>
      <c r="L383" s="184"/>
      <c r="M383" s="184"/>
      <c r="N383" s="184"/>
      <c r="O383" s="184"/>
      <c r="Q383" s="184"/>
      <c r="R383" s="185"/>
      <c r="S383" s="185"/>
      <c r="U383" s="184"/>
      <c r="V383" s="184"/>
      <c r="W383" s="184"/>
      <c r="X383" s="184"/>
      <c r="Y383" s="184"/>
      <c r="Z383" s="184"/>
      <c r="AA383" s="184"/>
      <c r="AB383" s="184"/>
      <c r="AC383" s="184"/>
      <c r="AD383" s="184"/>
      <c r="AE383" s="184"/>
      <c r="AF383" s="184"/>
      <c r="AG383" s="184"/>
      <c r="AH383" s="184"/>
      <c r="AI383" s="184"/>
      <c r="AJ383" s="184"/>
      <c r="AK383" s="184"/>
      <c r="AL383" s="186"/>
      <c r="AM383" s="187"/>
      <c r="AN383" s="187"/>
      <c r="AO383" s="187"/>
    </row>
    <row r="384" spans="1:41" s="163" customFormat="1" ht="16.5" customHeight="1">
      <c r="A384" s="180"/>
      <c r="B384" s="181"/>
      <c r="C384" s="182"/>
      <c r="D384" s="182"/>
      <c r="E384" s="183"/>
      <c r="F384" s="183"/>
      <c r="G384" s="183"/>
      <c r="H384" s="184"/>
      <c r="I384" s="184"/>
      <c r="J384" s="184"/>
      <c r="K384" s="184"/>
      <c r="L384" s="184"/>
      <c r="M384" s="184"/>
      <c r="N384" s="184"/>
      <c r="O384" s="184"/>
      <c r="Q384" s="184"/>
      <c r="R384" s="185"/>
      <c r="S384" s="185"/>
      <c r="U384" s="184"/>
      <c r="V384" s="184"/>
      <c r="W384" s="184"/>
      <c r="X384" s="184"/>
      <c r="Y384" s="184"/>
      <c r="Z384" s="184"/>
      <c r="AA384" s="184"/>
      <c r="AB384" s="184"/>
      <c r="AC384" s="184"/>
      <c r="AD384" s="184"/>
      <c r="AE384" s="184"/>
      <c r="AF384" s="184"/>
      <c r="AG384" s="184"/>
      <c r="AH384" s="184"/>
      <c r="AI384" s="184"/>
      <c r="AJ384" s="184"/>
      <c r="AK384" s="184"/>
      <c r="AL384" s="186"/>
      <c r="AM384" s="187"/>
      <c r="AN384" s="187"/>
      <c r="AO384" s="187"/>
    </row>
    <row r="385" spans="1:41" s="163" customFormat="1" ht="16.5" customHeight="1">
      <c r="A385" s="180"/>
      <c r="B385" s="181"/>
      <c r="C385" s="182"/>
      <c r="D385" s="182"/>
      <c r="E385" s="183"/>
      <c r="F385" s="183"/>
      <c r="G385" s="183"/>
      <c r="H385" s="184"/>
      <c r="I385" s="184"/>
      <c r="J385" s="184"/>
      <c r="K385" s="184"/>
      <c r="L385" s="184"/>
      <c r="M385" s="184"/>
      <c r="N385" s="184"/>
      <c r="O385" s="184"/>
      <c r="Q385" s="184"/>
      <c r="R385" s="185"/>
      <c r="S385" s="185"/>
      <c r="U385" s="184"/>
      <c r="V385" s="184"/>
      <c r="W385" s="184"/>
      <c r="X385" s="184"/>
      <c r="Y385" s="184"/>
      <c r="Z385" s="184"/>
      <c r="AA385" s="184"/>
      <c r="AB385" s="184"/>
      <c r="AC385" s="184"/>
      <c r="AD385" s="184"/>
      <c r="AE385" s="184"/>
      <c r="AF385" s="184"/>
      <c r="AG385" s="184"/>
      <c r="AH385" s="184"/>
      <c r="AI385" s="184"/>
      <c r="AJ385" s="184"/>
      <c r="AK385" s="184"/>
      <c r="AL385" s="186"/>
      <c r="AM385" s="187"/>
      <c r="AN385" s="187"/>
      <c r="AO385" s="187"/>
    </row>
    <row r="386" spans="1:41" s="163" customFormat="1" ht="16.5" customHeight="1">
      <c r="A386" s="180"/>
      <c r="B386" s="181"/>
      <c r="C386" s="182"/>
      <c r="D386" s="182"/>
      <c r="E386" s="183"/>
      <c r="F386" s="183"/>
      <c r="G386" s="183"/>
      <c r="H386" s="184"/>
      <c r="I386" s="184"/>
      <c r="J386" s="184"/>
      <c r="K386" s="184"/>
      <c r="L386" s="184"/>
      <c r="M386" s="184"/>
      <c r="N386" s="184"/>
      <c r="O386" s="184"/>
      <c r="Q386" s="184"/>
      <c r="R386" s="185"/>
      <c r="S386" s="185"/>
      <c r="U386" s="184"/>
      <c r="V386" s="184"/>
      <c r="W386" s="184"/>
      <c r="X386" s="184"/>
      <c r="Y386" s="184"/>
      <c r="Z386" s="184"/>
      <c r="AA386" s="184"/>
      <c r="AB386" s="184"/>
      <c r="AC386" s="184"/>
      <c r="AD386" s="184"/>
      <c r="AE386" s="184"/>
      <c r="AF386" s="184"/>
      <c r="AG386" s="184"/>
      <c r="AH386" s="184"/>
      <c r="AI386" s="184"/>
      <c r="AJ386" s="184"/>
      <c r="AK386" s="184"/>
      <c r="AL386" s="186"/>
      <c r="AM386" s="187"/>
      <c r="AN386" s="187"/>
      <c r="AO386" s="187"/>
    </row>
    <row r="387" spans="1:41" s="163" customFormat="1" ht="16.5" customHeight="1">
      <c r="A387" s="180"/>
      <c r="B387" s="181"/>
      <c r="C387" s="182"/>
      <c r="D387" s="182"/>
      <c r="E387" s="183"/>
      <c r="F387" s="183"/>
      <c r="G387" s="183"/>
      <c r="H387" s="184"/>
      <c r="I387" s="184"/>
      <c r="J387" s="184"/>
      <c r="K387" s="184"/>
      <c r="L387" s="184"/>
      <c r="M387" s="184"/>
      <c r="N387" s="184"/>
      <c r="O387" s="184"/>
      <c r="Q387" s="184"/>
      <c r="R387" s="185"/>
      <c r="S387" s="185"/>
      <c r="U387" s="184"/>
      <c r="V387" s="184"/>
      <c r="W387" s="184"/>
      <c r="X387" s="184"/>
      <c r="Y387" s="184"/>
      <c r="Z387" s="184"/>
      <c r="AA387" s="184"/>
      <c r="AB387" s="184"/>
      <c r="AC387" s="184"/>
      <c r="AD387" s="184"/>
      <c r="AE387" s="184"/>
      <c r="AF387" s="184"/>
      <c r="AG387" s="184"/>
      <c r="AH387" s="184"/>
      <c r="AI387" s="184"/>
      <c r="AJ387" s="184"/>
      <c r="AK387" s="184"/>
      <c r="AL387" s="186"/>
      <c r="AM387" s="187"/>
      <c r="AN387" s="187"/>
      <c r="AO387" s="187"/>
    </row>
    <row r="388" spans="1:41" s="163" customFormat="1" ht="16.5" customHeight="1">
      <c r="A388" s="180"/>
      <c r="B388" s="181"/>
      <c r="C388" s="182"/>
      <c r="D388" s="182"/>
      <c r="E388" s="183"/>
      <c r="F388" s="183"/>
      <c r="G388" s="183"/>
      <c r="H388" s="184"/>
      <c r="I388" s="184"/>
      <c r="J388" s="184"/>
      <c r="K388" s="184"/>
      <c r="L388" s="184"/>
      <c r="M388" s="184"/>
      <c r="N388" s="184"/>
      <c r="O388" s="184"/>
      <c r="Q388" s="184"/>
      <c r="R388" s="185"/>
      <c r="S388" s="185"/>
      <c r="U388" s="184"/>
      <c r="V388" s="184"/>
      <c r="W388" s="184"/>
      <c r="X388" s="184"/>
      <c r="Y388" s="184"/>
      <c r="Z388" s="184"/>
      <c r="AA388" s="184"/>
      <c r="AB388" s="184"/>
      <c r="AC388" s="184"/>
      <c r="AD388" s="184"/>
      <c r="AE388" s="184"/>
      <c r="AF388" s="184"/>
      <c r="AG388" s="184"/>
      <c r="AH388" s="184"/>
      <c r="AI388" s="184"/>
      <c r="AJ388" s="184"/>
      <c r="AK388" s="184"/>
      <c r="AL388" s="186"/>
      <c r="AM388" s="187"/>
      <c r="AN388" s="187"/>
      <c r="AO388" s="187"/>
    </row>
    <row r="389" spans="1:41" s="163" customFormat="1" ht="16.5" customHeight="1">
      <c r="A389" s="180"/>
      <c r="B389" s="181"/>
      <c r="C389" s="182"/>
      <c r="D389" s="182"/>
      <c r="E389" s="183"/>
      <c r="F389" s="183"/>
      <c r="G389" s="183"/>
      <c r="H389" s="184"/>
      <c r="I389" s="184"/>
      <c r="J389" s="184"/>
      <c r="K389" s="184"/>
      <c r="L389" s="184"/>
      <c r="M389" s="184"/>
      <c r="N389" s="184"/>
      <c r="O389" s="184"/>
      <c r="Q389" s="184"/>
      <c r="R389" s="185"/>
      <c r="S389" s="185"/>
      <c r="U389" s="184"/>
      <c r="V389" s="184"/>
      <c r="W389" s="184"/>
      <c r="X389" s="184"/>
      <c r="Y389" s="184"/>
      <c r="Z389" s="184"/>
      <c r="AA389" s="184"/>
      <c r="AB389" s="184"/>
      <c r="AC389" s="184"/>
      <c r="AD389" s="184"/>
      <c r="AE389" s="184"/>
      <c r="AF389" s="184"/>
      <c r="AG389" s="184"/>
      <c r="AH389" s="184"/>
      <c r="AI389" s="184"/>
      <c r="AJ389" s="184"/>
      <c r="AK389" s="184"/>
      <c r="AL389" s="186"/>
      <c r="AM389" s="187"/>
      <c r="AN389" s="187"/>
      <c r="AO389" s="187"/>
    </row>
    <row r="390" spans="1:41" s="163" customFormat="1" ht="16.5" customHeight="1">
      <c r="A390" s="180"/>
      <c r="B390" s="181"/>
      <c r="C390" s="182"/>
      <c r="D390" s="182"/>
      <c r="E390" s="183"/>
      <c r="F390" s="183"/>
      <c r="G390" s="183"/>
      <c r="H390" s="184"/>
      <c r="I390" s="184"/>
      <c r="J390" s="184"/>
      <c r="K390" s="184"/>
      <c r="L390" s="184"/>
      <c r="M390" s="184"/>
      <c r="N390" s="184"/>
      <c r="O390" s="184"/>
      <c r="Q390" s="184"/>
      <c r="R390" s="185"/>
      <c r="S390" s="185"/>
      <c r="U390" s="184"/>
      <c r="V390" s="184"/>
      <c r="W390" s="184"/>
      <c r="X390" s="184"/>
      <c r="Y390" s="184"/>
      <c r="Z390" s="184"/>
      <c r="AA390" s="184"/>
      <c r="AB390" s="184"/>
      <c r="AC390" s="184"/>
      <c r="AD390" s="184"/>
      <c r="AE390" s="184"/>
      <c r="AF390" s="184"/>
      <c r="AG390" s="184"/>
      <c r="AH390" s="184"/>
      <c r="AI390" s="184"/>
      <c r="AJ390" s="184"/>
      <c r="AK390" s="184"/>
      <c r="AL390" s="186"/>
      <c r="AM390" s="187"/>
      <c r="AN390" s="187"/>
      <c r="AO390" s="187"/>
    </row>
    <row r="391" spans="1:41" s="163" customFormat="1" ht="16.5" customHeight="1">
      <c r="A391" s="180"/>
      <c r="B391" s="181"/>
      <c r="C391" s="182"/>
      <c r="D391" s="182"/>
      <c r="E391" s="183"/>
      <c r="F391" s="183"/>
      <c r="G391" s="183"/>
      <c r="H391" s="184"/>
      <c r="I391" s="184"/>
      <c r="J391" s="184"/>
      <c r="K391" s="184"/>
      <c r="L391" s="184"/>
      <c r="M391" s="184"/>
      <c r="N391" s="184"/>
      <c r="O391" s="184"/>
      <c r="Q391" s="184"/>
      <c r="R391" s="185"/>
      <c r="S391" s="185"/>
      <c r="U391" s="184"/>
      <c r="V391" s="184"/>
      <c r="W391" s="184"/>
      <c r="X391" s="184"/>
      <c r="Y391" s="184"/>
      <c r="Z391" s="184"/>
      <c r="AA391" s="184"/>
      <c r="AB391" s="184"/>
      <c r="AC391" s="184"/>
      <c r="AD391" s="184"/>
      <c r="AE391" s="184"/>
      <c r="AF391" s="184"/>
      <c r="AG391" s="184"/>
      <c r="AH391" s="184"/>
      <c r="AI391" s="184"/>
      <c r="AJ391" s="184"/>
      <c r="AK391" s="184"/>
      <c r="AL391" s="186"/>
      <c r="AM391" s="187"/>
      <c r="AN391" s="187"/>
      <c r="AO391" s="187"/>
    </row>
    <row r="392" spans="1:41" s="163" customFormat="1" ht="16.5" customHeight="1">
      <c r="A392" s="180"/>
      <c r="B392" s="181"/>
      <c r="C392" s="182"/>
      <c r="D392" s="182"/>
      <c r="E392" s="183"/>
      <c r="F392" s="183"/>
      <c r="G392" s="183"/>
      <c r="H392" s="184"/>
      <c r="I392" s="184"/>
      <c r="J392" s="184"/>
      <c r="K392" s="184"/>
      <c r="L392" s="184"/>
      <c r="M392" s="184"/>
      <c r="N392" s="184"/>
      <c r="O392" s="184"/>
      <c r="Q392" s="184"/>
      <c r="R392" s="185"/>
      <c r="S392" s="185"/>
      <c r="U392" s="184"/>
      <c r="V392" s="184"/>
      <c r="W392" s="184"/>
      <c r="X392" s="184"/>
      <c r="Y392" s="184"/>
      <c r="Z392" s="184"/>
      <c r="AA392" s="184"/>
      <c r="AB392" s="184"/>
      <c r="AC392" s="184"/>
      <c r="AD392" s="184"/>
      <c r="AE392" s="184"/>
      <c r="AF392" s="184"/>
      <c r="AG392" s="184"/>
      <c r="AH392" s="184"/>
      <c r="AI392" s="184"/>
      <c r="AJ392" s="184"/>
      <c r="AK392" s="184"/>
      <c r="AL392" s="186"/>
      <c r="AM392" s="187"/>
      <c r="AN392" s="187"/>
      <c r="AO392" s="187"/>
    </row>
    <row r="393" spans="1:41" s="163" customFormat="1" ht="16.5" customHeight="1">
      <c r="A393" s="180"/>
      <c r="B393" s="181"/>
      <c r="C393" s="182"/>
      <c r="D393" s="182"/>
      <c r="E393" s="183"/>
      <c r="F393" s="183"/>
      <c r="G393" s="183"/>
      <c r="H393" s="184"/>
      <c r="I393" s="184"/>
      <c r="J393" s="184"/>
      <c r="K393" s="184"/>
      <c r="L393" s="184"/>
      <c r="M393" s="184"/>
      <c r="N393" s="184"/>
      <c r="O393" s="184"/>
      <c r="Q393" s="184"/>
      <c r="R393" s="185"/>
      <c r="S393" s="185"/>
      <c r="U393" s="184"/>
      <c r="V393" s="184"/>
      <c r="W393" s="184"/>
      <c r="X393" s="184"/>
      <c r="Y393" s="184"/>
      <c r="Z393" s="184"/>
      <c r="AA393" s="184"/>
      <c r="AB393" s="184"/>
      <c r="AC393" s="184"/>
      <c r="AD393" s="184"/>
      <c r="AE393" s="184"/>
      <c r="AF393" s="184"/>
      <c r="AG393" s="184"/>
      <c r="AH393" s="184"/>
      <c r="AI393" s="184"/>
      <c r="AJ393" s="184"/>
      <c r="AK393" s="184"/>
      <c r="AL393" s="186"/>
      <c r="AM393" s="187"/>
      <c r="AN393" s="187"/>
      <c r="AO393" s="187"/>
    </row>
    <row r="394" spans="1:41" s="163" customFormat="1" ht="16.5" customHeight="1">
      <c r="A394" s="180"/>
      <c r="B394" s="181"/>
      <c r="C394" s="182"/>
      <c r="D394" s="182"/>
      <c r="E394" s="183"/>
      <c r="F394" s="183"/>
      <c r="G394" s="183"/>
      <c r="H394" s="184"/>
      <c r="I394" s="184"/>
      <c r="J394" s="184"/>
      <c r="K394" s="184"/>
      <c r="L394" s="184"/>
      <c r="M394" s="184"/>
      <c r="N394" s="184"/>
      <c r="O394" s="184"/>
      <c r="Q394" s="184"/>
      <c r="R394" s="185"/>
      <c r="S394" s="185"/>
      <c r="U394" s="184"/>
      <c r="V394" s="184"/>
      <c r="W394" s="184"/>
      <c r="X394" s="184"/>
      <c r="Y394" s="184"/>
      <c r="Z394" s="184"/>
      <c r="AA394" s="184"/>
      <c r="AB394" s="184"/>
      <c r="AC394" s="184"/>
      <c r="AD394" s="184"/>
      <c r="AE394" s="184"/>
      <c r="AF394" s="184"/>
      <c r="AG394" s="184"/>
      <c r="AH394" s="184"/>
      <c r="AI394" s="184"/>
      <c r="AJ394" s="184"/>
      <c r="AK394" s="184"/>
      <c r="AL394" s="186"/>
      <c r="AM394" s="187"/>
      <c r="AN394" s="187"/>
      <c r="AO394" s="187"/>
    </row>
    <row r="395" spans="1:41" s="163" customFormat="1" ht="16.5" customHeight="1">
      <c r="A395" s="180"/>
      <c r="B395" s="181"/>
      <c r="C395" s="182"/>
      <c r="D395" s="182"/>
      <c r="E395" s="183"/>
      <c r="F395" s="183"/>
      <c r="G395" s="183"/>
      <c r="H395" s="184"/>
      <c r="I395" s="184"/>
      <c r="J395" s="184"/>
      <c r="K395" s="184"/>
      <c r="L395" s="184"/>
      <c r="M395" s="184"/>
      <c r="N395" s="184"/>
      <c r="O395" s="184"/>
      <c r="Q395" s="184"/>
      <c r="R395" s="185"/>
      <c r="S395" s="185"/>
      <c r="U395" s="184"/>
      <c r="V395" s="184"/>
      <c r="W395" s="184"/>
      <c r="X395" s="184"/>
      <c r="Y395" s="184"/>
      <c r="Z395" s="184"/>
      <c r="AA395" s="184"/>
      <c r="AB395" s="184"/>
      <c r="AC395" s="184"/>
      <c r="AD395" s="184"/>
      <c r="AE395" s="184"/>
      <c r="AF395" s="184"/>
      <c r="AG395" s="184"/>
      <c r="AH395" s="184"/>
      <c r="AI395" s="184"/>
      <c r="AJ395" s="184"/>
      <c r="AK395" s="184"/>
      <c r="AL395" s="186"/>
      <c r="AM395" s="187"/>
      <c r="AN395" s="187"/>
      <c r="AO395" s="187"/>
    </row>
    <row r="396" spans="1:41" s="163" customFormat="1" ht="16.5" customHeight="1">
      <c r="A396" s="180"/>
      <c r="B396" s="181"/>
      <c r="C396" s="182"/>
      <c r="D396" s="182"/>
      <c r="E396" s="183"/>
      <c r="F396" s="183"/>
      <c r="G396" s="183"/>
      <c r="H396" s="184"/>
      <c r="I396" s="184"/>
      <c r="J396" s="184"/>
      <c r="K396" s="184"/>
      <c r="L396" s="184"/>
      <c r="M396" s="184"/>
      <c r="N396" s="184"/>
      <c r="O396" s="184"/>
      <c r="Q396" s="184"/>
      <c r="R396" s="185"/>
      <c r="S396" s="185"/>
      <c r="U396" s="184"/>
      <c r="V396" s="184"/>
      <c r="W396" s="184"/>
      <c r="X396" s="184"/>
      <c r="Y396" s="184"/>
      <c r="Z396" s="184"/>
      <c r="AA396" s="184"/>
      <c r="AB396" s="184"/>
      <c r="AC396" s="184"/>
      <c r="AD396" s="184"/>
      <c r="AE396" s="184"/>
      <c r="AF396" s="184"/>
      <c r="AG396" s="184"/>
      <c r="AH396" s="184"/>
      <c r="AI396" s="184"/>
      <c r="AJ396" s="184"/>
      <c r="AK396" s="184"/>
      <c r="AL396" s="186"/>
      <c r="AM396" s="187"/>
      <c r="AN396" s="187"/>
      <c r="AO396" s="187"/>
    </row>
    <row r="397" spans="1:41" s="163" customFormat="1" ht="16.5" customHeight="1">
      <c r="A397" s="180"/>
      <c r="B397" s="181"/>
      <c r="C397" s="182"/>
      <c r="D397" s="182"/>
      <c r="E397" s="183"/>
      <c r="F397" s="183"/>
      <c r="G397" s="183"/>
      <c r="H397" s="184"/>
      <c r="I397" s="184"/>
      <c r="J397" s="184"/>
      <c r="K397" s="184"/>
      <c r="L397" s="184"/>
      <c r="M397" s="184"/>
      <c r="N397" s="184"/>
      <c r="O397" s="184"/>
      <c r="Q397" s="184"/>
      <c r="R397" s="185"/>
      <c r="S397" s="185"/>
      <c r="U397" s="184"/>
      <c r="V397" s="184"/>
      <c r="W397" s="184"/>
      <c r="X397" s="184"/>
      <c r="Y397" s="184"/>
      <c r="Z397" s="184"/>
      <c r="AA397" s="184"/>
      <c r="AB397" s="184"/>
      <c r="AC397" s="184"/>
      <c r="AD397" s="184"/>
      <c r="AE397" s="184"/>
      <c r="AF397" s="184"/>
      <c r="AG397" s="184"/>
      <c r="AH397" s="184"/>
      <c r="AI397" s="184"/>
      <c r="AJ397" s="184"/>
      <c r="AK397" s="184"/>
      <c r="AL397" s="186"/>
      <c r="AM397" s="187"/>
      <c r="AN397" s="187"/>
      <c r="AO397" s="187"/>
    </row>
    <row r="398" spans="1:41" s="163" customFormat="1" ht="16.5" customHeight="1">
      <c r="A398" s="180"/>
      <c r="B398" s="181"/>
      <c r="C398" s="182"/>
      <c r="D398" s="182"/>
      <c r="E398" s="183"/>
      <c r="F398" s="183"/>
      <c r="G398" s="183"/>
      <c r="H398" s="184"/>
      <c r="I398" s="184"/>
      <c r="J398" s="184"/>
      <c r="K398" s="184"/>
      <c r="L398" s="184"/>
      <c r="M398" s="184"/>
      <c r="N398" s="184"/>
      <c r="O398" s="184"/>
      <c r="Q398" s="184"/>
      <c r="R398" s="185"/>
      <c r="S398" s="185"/>
      <c r="U398" s="184"/>
      <c r="V398" s="184"/>
      <c r="W398" s="184"/>
      <c r="X398" s="184"/>
      <c r="Y398" s="184"/>
      <c r="Z398" s="184"/>
      <c r="AA398" s="184"/>
      <c r="AB398" s="184"/>
      <c r="AC398" s="184"/>
      <c r="AD398" s="184"/>
      <c r="AE398" s="184"/>
      <c r="AF398" s="184"/>
      <c r="AG398" s="184"/>
      <c r="AH398" s="184"/>
      <c r="AI398" s="184"/>
      <c r="AJ398" s="184"/>
      <c r="AK398" s="184"/>
      <c r="AL398" s="186"/>
      <c r="AM398" s="187"/>
      <c r="AN398" s="187"/>
      <c r="AO398" s="187"/>
    </row>
    <row r="399" spans="1:41" s="163" customFormat="1" ht="16.5" customHeight="1">
      <c r="A399" s="180"/>
      <c r="B399" s="181"/>
      <c r="C399" s="182"/>
      <c r="D399" s="182"/>
      <c r="E399" s="183"/>
      <c r="F399" s="183"/>
      <c r="G399" s="183"/>
      <c r="H399" s="184"/>
      <c r="I399" s="184"/>
      <c r="J399" s="184"/>
      <c r="K399" s="184"/>
      <c r="L399" s="184"/>
      <c r="M399" s="184"/>
      <c r="N399" s="184"/>
      <c r="O399" s="184"/>
      <c r="Q399" s="184"/>
      <c r="R399" s="185"/>
      <c r="S399" s="185"/>
      <c r="U399" s="184"/>
      <c r="V399" s="184"/>
      <c r="W399" s="184"/>
      <c r="X399" s="184"/>
      <c r="Y399" s="184"/>
      <c r="Z399" s="184"/>
      <c r="AA399" s="184"/>
      <c r="AB399" s="184"/>
      <c r="AC399" s="184"/>
      <c r="AD399" s="184"/>
      <c r="AE399" s="184"/>
      <c r="AF399" s="184"/>
      <c r="AG399" s="184"/>
      <c r="AH399" s="184"/>
      <c r="AI399" s="184"/>
      <c r="AJ399" s="184"/>
      <c r="AK399" s="184"/>
      <c r="AL399" s="186"/>
      <c r="AM399" s="187"/>
      <c r="AN399" s="187"/>
      <c r="AO399" s="187"/>
    </row>
    <row r="400" spans="1:41" s="163" customFormat="1" ht="16.5" customHeight="1">
      <c r="A400" s="180"/>
      <c r="B400" s="181"/>
      <c r="C400" s="182"/>
      <c r="D400" s="182"/>
      <c r="E400" s="183"/>
      <c r="F400" s="183"/>
      <c r="G400" s="183"/>
      <c r="H400" s="184"/>
      <c r="I400" s="184"/>
      <c r="J400" s="184"/>
      <c r="K400" s="184"/>
      <c r="L400" s="184"/>
      <c r="M400" s="184"/>
      <c r="N400" s="184"/>
      <c r="O400" s="184"/>
      <c r="Q400" s="184"/>
      <c r="R400" s="185"/>
      <c r="S400" s="185"/>
      <c r="U400" s="184"/>
      <c r="V400" s="184"/>
      <c r="W400" s="184"/>
      <c r="X400" s="184"/>
      <c r="Y400" s="184"/>
      <c r="Z400" s="184"/>
      <c r="AA400" s="184"/>
      <c r="AB400" s="184"/>
      <c r="AC400" s="184"/>
      <c r="AD400" s="184"/>
      <c r="AE400" s="184"/>
      <c r="AF400" s="184"/>
      <c r="AG400" s="184"/>
      <c r="AH400" s="184"/>
      <c r="AI400" s="184"/>
      <c r="AJ400" s="184"/>
      <c r="AK400" s="184"/>
      <c r="AL400" s="186"/>
      <c r="AM400" s="187"/>
      <c r="AN400" s="187"/>
      <c r="AO400" s="187"/>
    </row>
    <row r="401" spans="1:41" s="163" customFormat="1" ht="16.5" customHeight="1">
      <c r="A401" s="180"/>
      <c r="B401" s="181"/>
      <c r="C401" s="182"/>
      <c r="D401" s="182"/>
      <c r="E401" s="183"/>
      <c r="F401" s="183"/>
      <c r="G401" s="183"/>
      <c r="H401" s="184"/>
      <c r="I401" s="184"/>
      <c r="J401" s="184"/>
      <c r="K401" s="184"/>
      <c r="L401" s="184"/>
      <c r="M401" s="184"/>
      <c r="N401" s="184"/>
      <c r="O401" s="184"/>
      <c r="Q401" s="184"/>
      <c r="R401" s="185"/>
      <c r="S401" s="185"/>
      <c r="U401" s="184"/>
      <c r="V401" s="184"/>
      <c r="W401" s="184"/>
      <c r="X401" s="184"/>
      <c r="Y401" s="184"/>
      <c r="Z401" s="184"/>
      <c r="AA401" s="184"/>
      <c r="AB401" s="184"/>
      <c r="AC401" s="184"/>
      <c r="AD401" s="184"/>
      <c r="AE401" s="184"/>
      <c r="AF401" s="184"/>
      <c r="AG401" s="184"/>
      <c r="AH401" s="184"/>
      <c r="AI401" s="184"/>
      <c r="AJ401" s="184"/>
      <c r="AK401" s="184"/>
      <c r="AL401" s="186"/>
      <c r="AM401" s="187"/>
      <c r="AN401" s="187"/>
      <c r="AO401" s="187"/>
    </row>
    <row r="402" spans="1:41" s="163" customFormat="1" ht="16.5" customHeight="1">
      <c r="A402" s="180"/>
      <c r="B402" s="181"/>
      <c r="C402" s="182"/>
      <c r="D402" s="182"/>
      <c r="E402" s="183"/>
      <c r="F402" s="183"/>
      <c r="G402" s="183"/>
      <c r="H402" s="184"/>
      <c r="I402" s="184"/>
      <c r="J402" s="184"/>
      <c r="K402" s="184"/>
      <c r="L402" s="184"/>
      <c r="M402" s="184"/>
      <c r="N402" s="184"/>
      <c r="O402" s="184"/>
      <c r="Q402" s="184"/>
      <c r="R402" s="185"/>
      <c r="S402" s="185"/>
      <c r="U402" s="184"/>
      <c r="V402" s="184"/>
      <c r="W402" s="184"/>
      <c r="X402" s="184"/>
      <c r="Y402" s="184"/>
      <c r="Z402" s="184"/>
      <c r="AA402" s="184"/>
      <c r="AB402" s="184"/>
      <c r="AC402" s="184"/>
      <c r="AD402" s="184"/>
      <c r="AE402" s="184"/>
      <c r="AF402" s="184"/>
      <c r="AG402" s="184"/>
      <c r="AH402" s="184"/>
      <c r="AI402" s="184"/>
      <c r="AJ402" s="184"/>
      <c r="AK402" s="184"/>
      <c r="AL402" s="186"/>
      <c r="AM402" s="187"/>
      <c r="AN402" s="187"/>
      <c r="AO402" s="187"/>
    </row>
    <row r="403" spans="1:41" s="163" customFormat="1" ht="16.5" customHeight="1">
      <c r="A403" s="180"/>
      <c r="B403" s="181"/>
      <c r="C403" s="182"/>
      <c r="D403" s="182"/>
      <c r="E403" s="183"/>
      <c r="F403" s="183"/>
      <c r="G403" s="183"/>
      <c r="H403" s="184"/>
      <c r="I403" s="184"/>
      <c r="J403" s="184"/>
      <c r="K403" s="184"/>
      <c r="L403" s="184"/>
      <c r="M403" s="184"/>
      <c r="N403" s="184"/>
      <c r="O403" s="184"/>
      <c r="Q403" s="184"/>
      <c r="R403" s="185"/>
      <c r="S403" s="185"/>
      <c r="U403" s="184"/>
      <c r="V403" s="184"/>
      <c r="W403" s="184"/>
      <c r="X403" s="184"/>
      <c r="Y403" s="184"/>
      <c r="Z403" s="184"/>
      <c r="AA403" s="184"/>
      <c r="AB403" s="184"/>
      <c r="AC403" s="184"/>
      <c r="AD403" s="184"/>
      <c r="AE403" s="184"/>
      <c r="AF403" s="184"/>
      <c r="AG403" s="184"/>
      <c r="AH403" s="184"/>
      <c r="AI403" s="184"/>
      <c r="AJ403" s="184"/>
      <c r="AK403" s="184"/>
      <c r="AL403" s="186"/>
      <c r="AM403" s="187"/>
      <c r="AN403" s="187"/>
      <c r="AO403" s="187"/>
    </row>
    <row r="404" spans="1:41" s="163" customFormat="1" ht="16.5" customHeight="1">
      <c r="A404" s="180"/>
      <c r="B404" s="181"/>
      <c r="C404" s="182"/>
      <c r="D404" s="182"/>
      <c r="E404" s="183"/>
      <c r="F404" s="183"/>
      <c r="G404" s="183"/>
      <c r="H404" s="184"/>
      <c r="I404" s="184"/>
      <c r="J404" s="184"/>
      <c r="K404" s="184"/>
      <c r="L404" s="184"/>
      <c r="M404" s="184"/>
      <c r="N404" s="184"/>
      <c r="O404" s="184"/>
      <c r="Q404" s="184"/>
      <c r="R404" s="185"/>
      <c r="S404" s="185"/>
      <c r="U404" s="184"/>
      <c r="V404" s="184"/>
      <c r="W404" s="184"/>
      <c r="X404" s="184"/>
      <c r="Y404" s="184"/>
      <c r="Z404" s="184"/>
      <c r="AA404" s="184"/>
      <c r="AB404" s="184"/>
      <c r="AC404" s="184"/>
      <c r="AD404" s="184"/>
      <c r="AE404" s="184"/>
      <c r="AF404" s="184"/>
      <c r="AG404" s="184"/>
      <c r="AH404" s="184"/>
      <c r="AI404" s="184"/>
      <c r="AJ404" s="184"/>
      <c r="AK404" s="184"/>
      <c r="AL404" s="186"/>
      <c r="AM404" s="187"/>
      <c r="AN404" s="187"/>
      <c r="AO404" s="187"/>
    </row>
    <row r="405" spans="1:41" s="163" customFormat="1" ht="16.5" customHeight="1">
      <c r="A405" s="180"/>
      <c r="B405" s="181"/>
      <c r="C405" s="182"/>
      <c r="D405" s="182"/>
      <c r="E405" s="183"/>
      <c r="F405" s="183"/>
      <c r="G405" s="183"/>
      <c r="H405" s="184"/>
      <c r="I405" s="184"/>
      <c r="J405" s="184"/>
      <c r="K405" s="184"/>
      <c r="L405" s="184"/>
      <c r="M405" s="184"/>
      <c r="N405" s="184"/>
      <c r="O405" s="184"/>
      <c r="Q405" s="184"/>
      <c r="R405" s="185"/>
      <c r="S405" s="185"/>
      <c r="U405" s="184"/>
      <c r="V405" s="184"/>
      <c r="W405" s="184"/>
      <c r="X405" s="184"/>
      <c r="Y405" s="184"/>
      <c r="Z405" s="184"/>
      <c r="AA405" s="184"/>
      <c r="AB405" s="184"/>
      <c r="AC405" s="184"/>
      <c r="AD405" s="184"/>
      <c r="AE405" s="184"/>
      <c r="AF405" s="184"/>
      <c r="AG405" s="184"/>
      <c r="AH405" s="184"/>
      <c r="AI405" s="184"/>
      <c r="AJ405" s="184"/>
      <c r="AK405" s="184"/>
      <c r="AL405" s="186"/>
      <c r="AM405" s="187"/>
      <c r="AN405" s="187"/>
      <c r="AO405" s="187"/>
    </row>
    <row r="406" spans="1:41" s="163" customFormat="1" ht="16.5" customHeight="1">
      <c r="A406" s="180"/>
      <c r="B406" s="181"/>
      <c r="C406" s="182"/>
      <c r="D406" s="182"/>
      <c r="E406" s="183"/>
      <c r="F406" s="183"/>
      <c r="G406" s="183"/>
      <c r="H406" s="184"/>
      <c r="I406" s="184"/>
      <c r="J406" s="184"/>
      <c r="K406" s="184"/>
      <c r="L406" s="184"/>
      <c r="M406" s="184"/>
      <c r="N406" s="184"/>
      <c r="O406" s="184"/>
      <c r="Q406" s="184"/>
      <c r="R406" s="185"/>
      <c r="S406" s="185"/>
      <c r="U406" s="184"/>
      <c r="V406" s="184"/>
      <c r="W406" s="184"/>
      <c r="X406" s="184"/>
      <c r="Y406" s="184"/>
      <c r="Z406" s="184"/>
      <c r="AA406" s="184"/>
      <c r="AB406" s="184"/>
      <c r="AC406" s="184"/>
      <c r="AD406" s="184"/>
      <c r="AE406" s="184"/>
      <c r="AF406" s="184"/>
      <c r="AG406" s="184"/>
      <c r="AH406" s="184"/>
      <c r="AI406" s="184"/>
      <c r="AJ406" s="184"/>
      <c r="AK406" s="184"/>
      <c r="AL406" s="186"/>
      <c r="AM406" s="187"/>
      <c r="AN406" s="187"/>
      <c r="AO406" s="187"/>
    </row>
    <row r="407" spans="1:41" s="163" customFormat="1" ht="16.5" customHeight="1">
      <c r="A407" s="180"/>
      <c r="B407" s="181"/>
      <c r="C407" s="182"/>
      <c r="D407" s="182"/>
      <c r="E407" s="183"/>
      <c r="F407" s="183"/>
      <c r="G407" s="183"/>
      <c r="H407" s="184"/>
      <c r="I407" s="184"/>
      <c r="J407" s="184"/>
      <c r="K407" s="184"/>
      <c r="L407" s="184"/>
      <c r="M407" s="184"/>
      <c r="N407" s="184"/>
      <c r="O407" s="184"/>
      <c r="Q407" s="184"/>
      <c r="R407" s="185"/>
      <c r="S407" s="185"/>
      <c r="U407" s="184"/>
      <c r="V407" s="184"/>
      <c r="W407" s="184"/>
      <c r="X407" s="184"/>
      <c r="Y407" s="184"/>
      <c r="Z407" s="184"/>
      <c r="AA407" s="184"/>
      <c r="AB407" s="184"/>
      <c r="AC407" s="184"/>
      <c r="AD407" s="184"/>
      <c r="AE407" s="184"/>
      <c r="AF407" s="184"/>
      <c r="AG407" s="184"/>
      <c r="AH407" s="184"/>
      <c r="AI407" s="184"/>
      <c r="AJ407" s="184"/>
      <c r="AK407" s="184"/>
      <c r="AL407" s="186"/>
      <c r="AM407" s="187"/>
      <c r="AN407" s="187"/>
      <c r="AO407" s="187"/>
    </row>
    <row r="408" spans="1:41" s="163" customFormat="1" ht="16.5" customHeight="1">
      <c r="A408" s="180"/>
      <c r="B408" s="181"/>
      <c r="C408" s="182"/>
      <c r="D408" s="182"/>
      <c r="E408" s="183"/>
      <c r="F408" s="183"/>
      <c r="G408" s="183"/>
      <c r="H408" s="184"/>
      <c r="I408" s="184"/>
      <c r="J408" s="184"/>
      <c r="K408" s="184"/>
      <c r="L408" s="184"/>
      <c r="M408" s="184"/>
      <c r="N408" s="184"/>
      <c r="O408" s="184"/>
      <c r="Q408" s="184"/>
      <c r="R408" s="185"/>
      <c r="S408" s="185"/>
      <c r="U408" s="184"/>
      <c r="V408" s="184"/>
      <c r="W408" s="184"/>
      <c r="X408" s="184"/>
      <c r="Y408" s="184"/>
      <c r="Z408" s="184"/>
      <c r="AA408" s="184"/>
      <c r="AB408" s="184"/>
      <c r="AC408" s="184"/>
      <c r="AD408" s="184"/>
      <c r="AE408" s="184"/>
      <c r="AF408" s="184"/>
      <c r="AG408" s="184"/>
      <c r="AH408" s="184"/>
      <c r="AI408" s="184"/>
      <c r="AJ408" s="184"/>
      <c r="AK408" s="184"/>
      <c r="AL408" s="186"/>
      <c r="AM408" s="187"/>
      <c r="AN408" s="187"/>
      <c r="AO408" s="187"/>
    </row>
    <row r="409" spans="1:41" s="163" customFormat="1" ht="16.5" customHeight="1">
      <c r="A409" s="180"/>
      <c r="B409" s="181"/>
      <c r="C409" s="182"/>
      <c r="D409" s="182"/>
      <c r="E409" s="183"/>
      <c r="F409" s="183"/>
      <c r="G409" s="183"/>
      <c r="H409" s="184"/>
      <c r="I409" s="184"/>
      <c r="J409" s="184"/>
      <c r="K409" s="184"/>
      <c r="L409" s="184"/>
      <c r="M409" s="184"/>
      <c r="N409" s="184"/>
      <c r="O409" s="184"/>
      <c r="Q409" s="184"/>
      <c r="R409" s="185"/>
      <c r="S409" s="185"/>
      <c r="U409" s="184"/>
      <c r="V409" s="184"/>
      <c r="W409" s="184"/>
      <c r="X409" s="184"/>
      <c r="Y409" s="184"/>
      <c r="Z409" s="184"/>
      <c r="AA409" s="184"/>
      <c r="AB409" s="184"/>
      <c r="AC409" s="184"/>
      <c r="AD409" s="184"/>
      <c r="AE409" s="184"/>
      <c r="AF409" s="184"/>
      <c r="AG409" s="184"/>
      <c r="AH409" s="184"/>
      <c r="AI409" s="184"/>
      <c r="AJ409" s="184"/>
      <c r="AK409" s="184"/>
      <c r="AL409" s="186"/>
      <c r="AM409" s="187"/>
      <c r="AN409" s="187"/>
      <c r="AO409" s="187"/>
    </row>
    <row r="410" spans="1:41" s="163" customFormat="1" ht="16.5" customHeight="1">
      <c r="A410" s="180"/>
      <c r="B410" s="181"/>
      <c r="C410" s="182"/>
      <c r="D410" s="182"/>
      <c r="E410" s="183"/>
      <c r="F410" s="183"/>
      <c r="G410" s="183"/>
      <c r="H410" s="184"/>
      <c r="I410" s="184"/>
      <c r="J410" s="184"/>
      <c r="K410" s="184"/>
      <c r="L410" s="184"/>
      <c r="M410" s="184"/>
      <c r="N410" s="184"/>
      <c r="O410" s="184"/>
      <c r="Q410" s="184"/>
      <c r="R410" s="185"/>
      <c r="S410" s="185"/>
      <c r="U410" s="184"/>
      <c r="V410" s="184"/>
      <c r="W410" s="184"/>
      <c r="X410" s="184"/>
      <c r="Y410" s="184"/>
      <c r="Z410" s="184"/>
      <c r="AA410" s="184"/>
      <c r="AB410" s="184"/>
      <c r="AC410" s="184"/>
      <c r="AD410" s="184"/>
      <c r="AE410" s="184"/>
      <c r="AF410" s="184"/>
      <c r="AG410" s="184"/>
      <c r="AH410" s="184"/>
      <c r="AI410" s="184"/>
      <c r="AJ410" s="184"/>
      <c r="AK410" s="184"/>
      <c r="AL410" s="186"/>
      <c r="AM410" s="187"/>
      <c r="AN410" s="187"/>
      <c r="AO410" s="187"/>
    </row>
    <row r="411" spans="1:41" s="163" customFormat="1" ht="16.5" customHeight="1">
      <c r="A411" s="180"/>
      <c r="B411" s="181"/>
      <c r="C411" s="182"/>
      <c r="D411" s="182"/>
      <c r="E411" s="183"/>
      <c r="F411" s="183"/>
      <c r="G411" s="183"/>
      <c r="H411" s="184"/>
      <c r="I411" s="184"/>
      <c r="J411" s="184"/>
      <c r="K411" s="184"/>
      <c r="L411" s="184"/>
      <c r="M411" s="184"/>
      <c r="N411" s="184"/>
      <c r="O411" s="184"/>
      <c r="Q411" s="184"/>
      <c r="R411" s="185"/>
      <c r="S411" s="185"/>
      <c r="U411" s="184"/>
      <c r="V411" s="184"/>
      <c r="W411" s="184"/>
      <c r="X411" s="184"/>
      <c r="Y411" s="184"/>
      <c r="Z411" s="184"/>
      <c r="AA411" s="184"/>
      <c r="AB411" s="184"/>
      <c r="AC411" s="184"/>
      <c r="AD411" s="184"/>
      <c r="AE411" s="184"/>
      <c r="AF411" s="184"/>
      <c r="AG411" s="184"/>
      <c r="AH411" s="184"/>
      <c r="AI411" s="184"/>
      <c r="AJ411" s="184"/>
      <c r="AK411" s="184"/>
      <c r="AL411" s="186"/>
      <c r="AM411" s="187"/>
      <c r="AN411" s="187"/>
      <c r="AO411" s="187"/>
    </row>
    <row r="412" spans="1:41" s="163" customFormat="1" ht="16.5" customHeight="1">
      <c r="A412" s="180"/>
      <c r="B412" s="181"/>
      <c r="C412" s="182"/>
      <c r="D412" s="182"/>
      <c r="E412" s="183"/>
      <c r="F412" s="183"/>
      <c r="G412" s="183"/>
      <c r="H412" s="184"/>
      <c r="I412" s="184"/>
      <c r="J412" s="184"/>
      <c r="K412" s="184"/>
      <c r="L412" s="184"/>
      <c r="M412" s="184"/>
      <c r="N412" s="184"/>
      <c r="O412" s="184"/>
      <c r="Q412" s="184"/>
      <c r="R412" s="185"/>
      <c r="S412" s="185"/>
      <c r="U412" s="184"/>
      <c r="V412" s="184"/>
      <c r="W412" s="184"/>
      <c r="X412" s="184"/>
      <c r="Y412" s="184"/>
      <c r="Z412" s="184"/>
      <c r="AA412" s="184"/>
      <c r="AB412" s="184"/>
      <c r="AC412" s="184"/>
      <c r="AD412" s="184"/>
      <c r="AE412" s="184"/>
      <c r="AF412" s="184"/>
      <c r="AG412" s="184"/>
      <c r="AH412" s="184"/>
      <c r="AI412" s="184"/>
      <c r="AJ412" s="184"/>
      <c r="AK412" s="184"/>
      <c r="AL412" s="186"/>
      <c r="AM412" s="187"/>
      <c r="AN412" s="187"/>
      <c r="AO412" s="187"/>
    </row>
    <row r="413" spans="1:41" s="163" customFormat="1" ht="16.5" customHeight="1">
      <c r="A413" s="180"/>
      <c r="B413" s="181"/>
      <c r="C413" s="182"/>
      <c r="D413" s="182"/>
      <c r="E413" s="183"/>
      <c r="F413" s="183"/>
      <c r="G413" s="183"/>
      <c r="H413" s="184"/>
      <c r="I413" s="184"/>
      <c r="J413" s="184"/>
      <c r="K413" s="184"/>
      <c r="L413" s="184"/>
      <c r="M413" s="184"/>
      <c r="N413" s="184"/>
      <c r="O413" s="184"/>
      <c r="Q413" s="184"/>
      <c r="R413" s="185"/>
      <c r="S413" s="185"/>
      <c r="U413" s="184"/>
      <c r="V413" s="184"/>
      <c r="W413" s="184"/>
      <c r="X413" s="184"/>
      <c r="Y413" s="184"/>
      <c r="Z413" s="184"/>
      <c r="AA413" s="184"/>
      <c r="AB413" s="184"/>
      <c r="AC413" s="184"/>
      <c r="AD413" s="184"/>
      <c r="AE413" s="184"/>
      <c r="AF413" s="184"/>
      <c r="AG413" s="184"/>
      <c r="AH413" s="184"/>
      <c r="AI413" s="184"/>
      <c r="AJ413" s="184"/>
      <c r="AK413" s="184"/>
      <c r="AL413" s="186"/>
      <c r="AM413" s="187"/>
      <c r="AN413" s="187"/>
      <c r="AO413" s="187"/>
    </row>
    <row r="414" spans="1:41" s="163" customFormat="1" ht="16.5" customHeight="1">
      <c r="A414" s="180"/>
      <c r="B414" s="181"/>
      <c r="C414" s="182"/>
      <c r="D414" s="182"/>
      <c r="E414" s="183"/>
      <c r="F414" s="183"/>
      <c r="G414" s="183"/>
      <c r="H414" s="184"/>
      <c r="I414" s="184"/>
      <c r="J414" s="184"/>
      <c r="K414" s="184"/>
      <c r="L414" s="184"/>
      <c r="M414" s="184"/>
      <c r="N414" s="184"/>
      <c r="O414" s="184"/>
      <c r="Q414" s="184"/>
      <c r="R414" s="185"/>
      <c r="S414" s="185"/>
      <c r="U414" s="184"/>
      <c r="V414" s="184"/>
      <c r="W414" s="184"/>
      <c r="X414" s="184"/>
      <c r="Y414" s="184"/>
      <c r="Z414" s="184"/>
      <c r="AA414" s="184"/>
      <c r="AB414" s="184"/>
      <c r="AC414" s="184"/>
      <c r="AD414" s="184"/>
      <c r="AE414" s="184"/>
      <c r="AF414" s="184"/>
      <c r="AG414" s="184"/>
      <c r="AH414" s="184"/>
      <c r="AI414" s="184"/>
      <c r="AJ414" s="184"/>
      <c r="AK414" s="184"/>
      <c r="AL414" s="186"/>
      <c r="AM414" s="187"/>
      <c r="AN414" s="187"/>
      <c r="AO414" s="187"/>
    </row>
    <row r="415" spans="1:41" s="163" customFormat="1" ht="16.5" customHeight="1">
      <c r="A415" s="180"/>
      <c r="B415" s="181"/>
      <c r="C415" s="182"/>
      <c r="D415" s="182"/>
      <c r="E415" s="183"/>
      <c r="F415" s="183"/>
      <c r="G415" s="183"/>
      <c r="H415" s="184"/>
      <c r="I415" s="184"/>
      <c r="J415" s="184"/>
      <c r="K415" s="184"/>
      <c r="L415" s="184"/>
      <c r="M415" s="184"/>
      <c r="N415" s="184"/>
      <c r="O415" s="184"/>
      <c r="Q415" s="184"/>
      <c r="R415" s="185"/>
      <c r="S415" s="185"/>
      <c r="U415" s="184"/>
      <c r="V415" s="184"/>
      <c r="W415" s="184"/>
      <c r="X415" s="184"/>
      <c r="Y415" s="184"/>
      <c r="Z415" s="184"/>
      <c r="AA415" s="184"/>
      <c r="AB415" s="184"/>
      <c r="AC415" s="184"/>
      <c r="AD415" s="184"/>
      <c r="AE415" s="184"/>
      <c r="AF415" s="184"/>
      <c r="AG415" s="184"/>
      <c r="AH415" s="184"/>
      <c r="AI415" s="184"/>
      <c r="AJ415" s="184"/>
      <c r="AK415" s="184"/>
      <c r="AL415" s="186"/>
      <c r="AM415" s="187"/>
      <c r="AN415" s="187"/>
      <c r="AO415" s="187"/>
    </row>
    <row r="416" spans="1:41" s="163" customFormat="1" ht="16.5" customHeight="1">
      <c r="A416" s="180"/>
      <c r="B416" s="181"/>
      <c r="C416" s="182"/>
      <c r="D416" s="182"/>
      <c r="E416" s="183"/>
      <c r="F416" s="183"/>
      <c r="G416" s="183"/>
      <c r="H416" s="184"/>
      <c r="I416" s="184"/>
      <c r="J416" s="184"/>
      <c r="K416" s="184"/>
      <c r="L416" s="184"/>
      <c r="M416" s="184"/>
      <c r="N416" s="184"/>
      <c r="O416" s="184"/>
      <c r="Q416" s="184"/>
      <c r="R416" s="185"/>
      <c r="S416" s="185"/>
      <c r="U416" s="184"/>
      <c r="V416" s="184"/>
      <c r="W416" s="184"/>
      <c r="X416" s="184"/>
      <c r="Y416" s="184"/>
      <c r="Z416" s="184"/>
      <c r="AA416" s="184"/>
      <c r="AB416" s="184"/>
      <c r="AC416" s="184"/>
      <c r="AD416" s="184"/>
      <c r="AE416" s="184"/>
      <c r="AF416" s="184"/>
      <c r="AG416" s="184"/>
      <c r="AH416" s="184"/>
      <c r="AI416" s="184"/>
      <c r="AJ416" s="184"/>
      <c r="AK416" s="184"/>
      <c r="AL416" s="186"/>
      <c r="AM416" s="187"/>
      <c r="AN416" s="187"/>
      <c r="AO416" s="187"/>
    </row>
    <row r="417" spans="1:41" s="163" customFormat="1" ht="16.5" customHeight="1">
      <c r="A417" s="180"/>
      <c r="B417" s="181"/>
      <c r="C417" s="182"/>
      <c r="D417" s="182"/>
      <c r="E417" s="183"/>
      <c r="F417" s="183"/>
      <c r="G417" s="183"/>
      <c r="H417" s="184"/>
      <c r="I417" s="184"/>
      <c r="J417" s="184"/>
      <c r="K417" s="184"/>
      <c r="L417" s="184"/>
      <c r="M417" s="184"/>
      <c r="N417" s="184"/>
      <c r="O417" s="184"/>
      <c r="Q417" s="184"/>
      <c r="R417" s="185"/>
      <c r="S417" s="185"/>
      <c r="U417" s="184"/>
      <c r="V417" s="184"/>
      <c r="W417" s="184"/>
      <c r="X417" s="184"/>
      <c r="Y417" s="184"/>
      <c r="Z417" s="184"/>
      <c r="AA417" s="184"/>
      <c r="AB417" s="184"/>
      <c r="AC417" s="184"/>
      <c r="AD417" s="184"/>
      <c r="AE417" s="184"/>
      <c r="AF417" s="184"/>
      <c r="AG417" s="184"/>
      <c r="AH417" s="184"/>
      <c r="AI417" s="184"/>
      <c r="AJ417" s="184"/>
      <c r="AK417" s="184"/>
      <c r="AL417" s="186"/>
      <c r="AM417" s="187"/>
      <c r="AN417" s="187"/>
      <c r="AO417" s="187"/>
    </row>
    <row r="418" spans="1:41" s="163" customFormat="1" ht="16.5" customHeight="1">
      <c r="A418" s="180"/>
      <c r="B418" s="181"/>
      <c r="C418" s="182"/>
      <c r="D418" s="182"/>
      <c r="E418" s="183"/>
      <c r="F418" s="183"/>
      <c r="G418" s="183"/>
      <c r="H418" s="184"/>
      <c r="I418" s="184"/>
      <c r="J418" s="184"/>
      <c r="K418" s="184"/>
      <c r="L418" s="184"/>
      <c r="M418" s="184"/>
      <c r="N418" s="184"/>
      <c r="O418" s="184"/>
      <c r="Q418" s="184"/>
      <c r="R418" s="185"/>
      <c r="S418" s="185"/>
      <c r="U418" s="184"/>
      <c r="V418" s="184"/>
      <c r="W418" s="184"/>
      <c r="X418" s="184"/>
      <c r="Y418" s="184"/>
      <c r="Z418" s="184"/>
      <c r="AA418" s="184"/>
      <c r="AB418" s="184"/>
      <c r="AC418" s="184"/>
      <c r="AD418" s="184"/>
      <c r="AE418" s="184"/>
      <c r="AF418" s="184"/>
      <c r="AG418" s="184"/>
      <c r="AH418" s="184"/>
      <c r="AI418" s="184"/>
      <c r="AJ418" s="184"/>
      <c r="AK418" s="184"/>
      <c r="AL418" s="186"/>
      <c r="AM418" s="187"/>
      <c r="AN418" s="187"/>
      <c r="AO418" s="187"/>
    </row>
    <row r="419" spans="1:41" s="163" customFormat="1" ht="16.5" customHeight="1">
      <c r="A419" s="180"/>
      <c r="B419" s="181"/>
      <c r="C419" s="182"/>
      <c r="D419" s="182"/>
      <c r="E419" s="183"/>
      <c r="F419" s="183"/>
      <c r="G419" s="183"/>
      <c r="H419" s="184"/>
      <c r="I419" s="184"/>
      <c r="J419" s="184"/>
      <c r="K419" s="184"/>
      <c r="L419" s="184"/>
      <c r="M419" s="184"/>
      <c r="N419" s="184"/>
      <c r="O419" s="184"/>
      <c r="Q419" s="184"/>
      <c r="R419" s="185"/>
      <c r="S419" s="185"/>
      <c r="U419" s="184"/>
      <c r="V419" s="184"/>
      <c r="W419" s="184"/>
      <c r="X419" s="184"/>
      <c r="Y419" s="184"/>
      <c r="Z419" s="184"/>
      <c r="AA419" s="184"/>
      <c r="AB419" s="184"/>
      <c r="AC419" s="184"/>
      <c r="AD419" s="184"/>
      <c r="AE419" s="184"/>
      <c r="AF419" s="184"/>
      <c r="AG419" s="184"/>
      <c r="AH419" s="184"/>
      <c r="AI419" s="184"/>
      <c r="AJ419" s="184"/>
      <c r="AK419" s="184"/>
      <c r="AL419" s="186"/>
      <c r="AM419" s="187"/>
      <c r="AN419" s="187"/>
      <c r="AO419" s="187"/>
    </row>
    <row r="420" spans="1:41" s="163" customFormat="1" ht="16.5" customHeight="1">
      <c r="A420" s="180"/>
      <c r="B420" s="181"/>
      <c r="C420" s="182"/>
      <c r="D420" s="182"/>
      <c r="E420" s="183"/>
      <c r="F420" s="183"/>
      <c r="G420" s="183"/>
      <c r="H420" s="184"/>
      <c r="I420" s="184"/>
      <c r="J420" s="184"/>
      <c r="K420" s="184"/>
      <c r="L420" s="184"/>
      <c r="M420" s="184"/>
      <c r="N420" s="184"/>
      <c r="O420" s="184"/>
      <c r="Q420" s="184"/>
      <c r="R420" s="185"/>
      <c r="S420" s="185"/>
      <c r="U420" s="184"/>
      <c r="V420" s="184"/>
      <c r="W420" s="184"/>
      <c r="X420" s="184"/>
      <c r="Y420" s="184"/>
      <c r="Z420" s="184"/>
      <c r="AA420" s="184"/>
      <c r="AB420" s="184"/>
      <c r="AC420" s="184"/>
      <c r="AD420" s="184"/>
      <c r="AE420" s="184"/>
      <c r="AF420" s="184"/>
      <c r="AG420" s="184"/>
      <c r="AH420" s="184"/>
      <c r="AI420" s="184"/>
      <c r="AJ420" s="184"/>
      <c r="AK420" s="184"/>
      <c r="AL420" s="186"/>
      <c r="AM420" s="187"/>
      <c r="AN420" s="187"/>
      <c r="AO420" s="187"/>
    </row>
    <row r="421" spans="1:41" s="163" customFormat="1" ht="16.5" customHeight="1">
      <c r="A421" s="180"/>
      <c r="B421" s="181"/>
      <c r="C421" s="182"/>
      <c r="D421" s="182"/>
      <c r="E421" s="183"/>
      <c r="F421" s="183"/>
      <c r="G421" s="183"/>
      <c r="H421" s="184"/>
      <c r="I421" s="184"/>
      <c r="J421" s="184"/>
      <c r="K421" s="184"/>
      <c r="L421" s="184"/>
      <c r="M421" s="184"/>
      <c r="N421" s="184"/>
      <c r="O421" s="184"/>
      <c r="Q421" s="184"/>
      <c r="R421" s="185"/>
      <c r="S421" s="185"/>
      <c r="U421" s="184"/>
      <c r="V421" s="184"/>
      <c r="W421" s="184"/>
      <c r="X421" s="184"/>
      <c r="Y421" s="184"/>
      <c r="Z421" s="184"/>
      <c r="AA421" s="184"/>
      <c r="AB421" s="184"/>
      <c r="AC421" s="184"/>
      <c r="AD421" s="184"/>
      <c r="AE421" s="184"/>
      <c r="AF421" s="184"/>
      <c r="AG421" s="184"/>
      <c r="AH421" s="184"/>
      <c r="AI421" s="184"/>
      <c r="AJ421" s="184"/>
      <c r="AK421" s="184"/>
      <c r="AL421" s="186"/>
      <c r="AM421" s="187"/>
      <c r="AN421" s="187"/>
      <c r="AO421" s="187"/>
    </row>
    <row r="422" spans="1:41" s="163" customFormat="1" ht="16.5" customHeight="1">
      <c r="A422" s="180"/>
      <c r="B422" s="181"/>
      <c r="C422" s="182"/>
      <c r="D422" s="182"/>
      <c r="E422" s="183"/>
      <c r="F422" s="183"/>
      <c r="G422" s="183"/>
      <c r="H422" s="184"/>
      <c r="I422" s="184"/>
      <c r="J422" s="184"/>
      <c r="K422" s="184"/>
      <c r="L422" s="184"/>
      <c r="M422" s="184"/>
      <c r="N422" s="184"/>
      <c r="O422" s="184"/>
      <c r="Q422" s="184"/>
      <c r="R422" s="185"/>
      <c r="S422" s="185"/>
      <c r="U422" s="184"/>
      <c r="V422" s="184"/>
      <c r="W422" s="184"/>
      <c r="X422" s="184"/>
      <c r="Y422" s="184"/>
      <c r="Z422" s="184"/>
      <c r="AA422" s="184"/>
      <c r="AB422" s="184"/>
      <c r="AC422" s="184"/>
      <c r="AD422" s="184"/>
      <c r="AE422" s="184"/>
      <c r="AF422" s="184"/>
      <c r="AG422" s="184"/>
      <c r="AH422" s="184"/>
      <c r="AI422" s="184"/>
      <c r="AJ422" s="184"/>
      <c r="AK422" s="184"/>
      <c r="AL422" s="186"/>
      <c r="AM422" s="187"/>
      <c r="AN422" s="187"/>
      <c r="AO422" s="187"/>
    </row>
    <row r="423" spans="1:41" s="163" customFormat="1" ht="16.5" customHeight="1">
      <c r="A423" s="180"/>
      <c r="B423" s="181"/>
      <c r="C423" s="182"/>
      <c r="D423" s="182"/>
      <c r="E423" s="183"/>
      <c r="F423" s="183"/>
      <c r="G423" s="183"/>
      <c r="H423" s="184"/>
      <c r="I423" s="184"/>
      <c r="J423" s="184"/>
      <c r="K423" s="184"/>
      <c r="L423" s="184"/>
      <c r="M423" s="184"/>
      <c r="N423" s="184"/>
      <c r="O423" s="184"/>
      <c r="Q423" s="184"/>
      <c r="R423" s="185"/>
      <c r="S423" s="185"/>
      <c r="U423" s="184"/>
      <c r="V423" s="184"/>
      <c r="W423" s="184"/>
      <c r="X423" s="184"/>
      <c r="Y423" s="184"/>
      <c r="Z423" s="184"/>
      <c r="AA423" s="184"/>
      <c r="AB423" s="184"/>
      <c r="AC423" s="184"/>
      <c r="AD423" s="184"/>
      <c r="AE423" s="184"/>
      <c r="AF423" s="184"/>
      <c r="AG423" s="184"/>
      <c r="AH423" s="184"/>
      <c r="AI423" s="184"/>
      <c r="AJ423" s="184"/>
      <c r="AK423" s="184"/>
      <c r="AL423" s="186"/>
      <c r="AM423" s="187"/>
      <c r="AN423" s="187"/>
      <c r="AO423" s="187"/>
    </row>
    <row r="424" spans="1:41" s="163" customFormat="1" ht="16.5" customHeight="1">
      <c r="A424" s="180"/>
      <c r="B424" s="181"/>
      <c r="C424" s="182"/>
      <c r="D424" s="182"/>
      <c r="E424" s="183"/>
      <c r="F424" s="183"/>
      <c r="G424" s="183"/>
      <c r="H424" s="184"/>
      <c r="I424" s="184"/>
      <c r="J424" s="184"/>
      <c r="K424" s="184"/>
      <c r="L424" s="184"/>
      <c r="M424" s="184"/>
      <c r="N424" s="184"/>
      <c r="O424" s="184"/>
      <c r="Q424" s="184"/>
      <c r="R424" s="185"/>
      <c r="S424" s="185"/>
      <c r="U424" s="184"/>
      <c r="V424" s="184"/>
      <c r="W424" s="184"/>
      <c r="X424" s="184"/>
      <c r="Y424" s="184"/>
      <c r="Z424" s="184"/>
      <c r="AA424" s="184"/>
      <c r="AB424" s="184"/>
      <c r="AC424" s="184"/>
      <c r="AD424" s="184"/>
      <c r="AE424" s="184"/>
      <c r="AF424" s="184"/>
      <c r="AG424" s="184"/>
      <c r="AH424" s="184"/>
      <c r="AI424" s="184"/>
      <c r="AJ424" s="184"/>
      <c r="AK424" s="184"/>
      <c r="AL424" s="186"/>
      <c r="AM424" s="187"/>
      <c r="AN424" s="187"/>
      <c r="AO424" s="187"/>
    </row>
    <row r="425" spans="1:41" s="163" customFormat="1" ht="16.5" customHeight="1">
      <c r="A425" s="180"/>
      <c r="B425" s="181"/>
      <c r="C425" s="182"/>
      <c r="D425" s="182"/>
      <c r="E425" s="183"/>
      <c r="F425" s="183"/>
      <c r="G425" s="183"/>
      <c r="H425" s="184"/>
      <c r="I425" s="184"/>
      <c r="J425" s="184"/>
      <c r="K425" s="184"/>
      <c r="L425" s="184"/>
      <c r="M425" s="184"/>
      <c r="N425" s="184"/>
      <c r="O425" s="184"/>
      <c r="Q425" s="184"/>
      <c r="R425" s="185"/>
      <c r="S425" s="185"/>
      <c r="U425" s="184"/>
      <c r="V425" s="184"/>
      <c r="W425" s="184"/>
      <c r="X425" s="184"/>
      <c r="Y425" s="184"/>
      <c r="Z425" s="184"/>
      <c r="AA425" s="184"/>
      <c r="AB425" s="184"/>
      <c r="AC425" s="184"/>
      <c r="AD425" s="184"/>
      <c r="AE425" s="184"/>
      <c r="AF425" s="184"/>
      <c r="AG425" s="184"/>
      <c r="AH425" s="184"/>
      <c r="AI425" s="184"/>
      <c r="AJ425" s="184"/>
      <c r="AK425" s="184"/>
      <c r="AL425" s="186"/>
      <c r="AM425" s="187"/>
      <c r="AN425" s="187"/>
      <c r="AO425" s="187"/>
    </row>
    <row r="426" spans="1:41" s="163" customFormat="1" ht="16.5" customHeight="1">
      <c r="A426" s="180"/>
      <c r="B426" s="181"/>
      <c r="C426" s="182"/>
      <c r="D426" s="182"/>
      <c r="E426" s="183"/>
      <c r="F426" s="183"/>
      <c r="G426" s="183"/>
      <c r="H426" s="184"/>
      <c r="I426" s="184"/>
      <c r="J426" s="184"/>
      <c r="K426" s="184"/>
      <c r="L426" s="184"/>
      <c r="M426" s="184"/>
      <c r="N426" s="184"/>
      <c r="O426" s="184"/>
      <c r="Q426" s="184"/>
      <c r="R426" s="185"/>
      <c r="S426" s="185"/>
      <c r="U426" s="184"/>
      <c r="V426" s="184"/>
      <c r="W426" s="184"/>
      <c r="X426" s="184"/>
      <c r="Y426" s="184"/>
      <c r="Z426" s="184"/>
      <c r="AA426" s="184"/>
      <c r="AB426" s="184"/>
      <c r="AC426" s="184"/>
      <c r="AD426" s="184"/>
      <c r="AE426" s="184"/>
      <c r="AF426" s="184"/>
      <c r="AG426" s="184"/>
      <c r="AH426" s="184"/>
      <c r="AI426" s="184"/>
      <c r="AJ426" s="184"/>
      <c r="AK426" s="184"/>
      <c r="AL426" s="186"/>
      <c r="AM426" s="187"/>
      <c r="AN426" s="187"/>
      <c r="AO426" s="187"/>
    </row>
    <row r="427" spans="1:41" s="163" customFormat="1" ht="16.5" customHeight="1">
      <c r="A427" s="180"/>
      <c r="B427" s="181"/>
      <c r="C427" s="182"/>
      <c r="D427" s="182"/>
      <c r="E427" s="183"/>
      <c r="F427" s="183"/>
      <c r="G427" s="183"/>
      <c r="H427" s="184"/>
      <c r="I427" s="184"/>
      <c r="J427" s="184"/>
      <c r="K427" s="184"/>
      <c r="L427" s="184"/>
      <c r="M427" s="184"/>
      <c r="N427" s="184"/>
      <c r="O427" s="184"/>
      <c r="Q427" s="184"/>
      <c r="R427" s="185"/>
      <c r="S427" s="185"/>
      <c r="U427" s="184"/>
      <c r="V427" s="184"/>
      <c r="W427" s="184"/>
      <c r="X427" s="184"/>
      <c r="Y427" s="184"/>
      <c r="Z427" s="184"/>
      <c r="AA427" s="184"/>
      <c r="AB427" s="184"/>
      <c r="AC427" s="184"/>
      <c r="AD427" s="184"/>
      <c r="AE427" s="184"/>
      <c r="AF427" s="184"/>
      <c r="AG427" s="184"/>
      <c r="AH427" s="184"/>
      <c r="AI427" s="184"/>
      <c r="AJ427" s="184"/>
      <c r="AK427" s="184"/>
      <c r="AL427" s="186"/>
      <c r="AM427" s="187"/>
      <c r="AN427" s="187"/>
      <c r="AO427" s="187"/>
    </row>
    <row r="428" spans="1:41" s="163" customFormat="1" ht="16.5" customHeight="1">
      <c r="A428" s="180"/>
      <c r="B428" s="181"/>
      <c r="C428" s="182"/>
      <c r="D428" s="182"/>
      <c r="E428" s="183"/>
      <c r="F428" s="183"/>
      <c r="G428" s="183"/>
      <c r="H428" s="184"/>
      <c r="I428" s="184"/>
      <c r="J428" s="184"/>
      <c r="K428" s="184"/>
      <c r="L428" s="184"/>
      <c r="M428" s="184"/>
      <c r="N428" s="184"/>
      <c r="O428" s="184"/>
      <c r="Q428" s="184"/>
      <c r="R428" s="185"/>
      <c r="S428" s="185"/>
      <c r="U428" s="184"/>
      <c r="V428" s="184"/>
      <c r="W428" s="184"/>
      <c r="X428" s="184"/>
      <c r="Y428" s="184"/>
      <c r="Z428" s="184"/>
      <c r="AA428" s="184"/>
      <c r="AB428" s="184"/>
      <c r="AC428" s="184"/>
      <c r="AD428" s="184"/>
      <c r="AE428" s="184"/>
      <c r="AF428" s="184"/>
      <c r="AG428" s="184"/>
      <c r="AH428" s="184"/>
      <c r="AI428" s="184"/>
      <c r="AJ428" s="184"/>
      <c r="AK428" s="184"/>
      <c r="AL428" s="186"/>
      <c r="AM428" s="187"/>
      <c r="AN428" s="187"/>
      <c r="AO428" s="187"/>
    </row>
    <row r="429" spans="1:41" s="163" customFormat="1" ht="16.5" customHeight="1">
      <c r="A429" s="180"/>
      <c r="B429" s="181"/>
      <c r="C429" s="182"/>
      <c r="D429" s="182"/>
      <c r="E429" s="183"/>
      <c r="F429" s="183"/>
      <c r="G429" s="183"/>
      <c r="H429" s="184"/>
      <c r="I429" s="184"/>
      <c r="J429" s="184"/>
      <c r="K429" s="184"/>
      <c r="L429" s="184"/>
      <c r="M429" s="184"/>
      <c r="N429" s="184"/>
      <c r="O429" s="184"/>
      <c r="Q429" s="184"/>
      <c r="R429" s="185"/>
      <c r="S429" s="185"/>
      <c r="U429" s="184"/>
      <c r="V429" s="184"/>
      <c r="W429" s="184"/>
      <c r="X429" s="184"/>
      <c r="Y429" s="184"/>
      <c r="Z429" s="184"/>
      <c r="AA429" s="184"/>
      <c r="AB429" s="184"/>
      <c r="AC429" s="184"/>
      <c r="AD429" s="184"/>
      <c r="AE429" s="184"/>
      <c r="AF429" s="184"/>
      <c r="AG429" s="184"/>
      <c r="AH429" s="184"/>
      <c r="AI429" s="184"/>
      <c r="AJ429" s="184"/>
      <c r="AK429" s="184"/>
      <c r="AL429" s="186"/>
      <c r="AM429" s="187"/>
      <c r="AN429" s="187"/>
      <c r="AO429" s="187"/>
    </row>
    <row r="430" spans="1:41" s="163" customFormat="1" ht="16.5" customHeight="1">
      <c r="A430" s="180"/>
      <c r="B430" s="181"/>
      <c r="C430" s="182"/>
      <c r="D430" s="182"/>
      <c r="E430" s="183"/>
      <c r="F430" s="183"/>
      <c r="G430" s="183"/>
      <c r="H430" s="184"/>
      <c r="I430" s="184"/>
      <c r="J430" s="184"/>
      <c r="K430" s="184"/>
      <c r="L430" s="184"/>
      <c r="M430" s="184"/>
      <c r="N430" s="184"/>
      <c r="O430" s="184"/>
      <c r="Q430" s="184"/>
      <c r="R430" s="185"/>
      <c r="S430" s="185"/>
      <c r="U430" s="184"/>
      <c r="V430" s="184"/>
      <c r="W430" s="184"/>
      <c r="X430" s="184"/>
      <c r="Y430" s="184"/>
      <c r="Z430" s="184"/>
      <c r="AA430" s="184"/>
      <c r="AB430" s="184"/>
      <c r="AC430" s="184"/>
      <c r="AD430" s="184"/>
      <c r="AE430" s="184"/>
      <c r="AF430" s="184"/>
      <c r="AG430" s="184"/>
      <c r="AH430" s="184"/>
      <c r="AI430" s="184"/>
      <c r="AJ430" s="184"/>
      <c r="AK430" s="184"/>
      <c r="AL430" s="186"/>
      <c r="AM430" s="187"/>
      <c r="AN430" s="187"/>
      <c r="AO430" s="187"/>
    </row>
    <row r="431" spans="1:41" s="163" customFormat="1" ht="16.5" customHeight="1">
      <c r="A431" s="180"/>
      <c r="B431" s="181"/>
      <c r="C431" s="182"/>
      <c r="D431" s="182"/>
      <c r="E431" s="183"/>
      <c r="F431" s="183"/>
      <c r="G431" s="183"/>
      <c r="H431" s="184"/>
      <c r="I431" s="184"/>
      <c r="J431" s="184"/>
      <c r="K431" s="184"/>
      <c r="L431" s="184"/>
      <c r="M431" s="184"/>
      <c r="N431" s="184"/>
      <c r="O431" s="184"/>
      <c r="Q431" s="184"/>
      <c r="R431" s="185"/>
      <c r="S431" s="185"/>
      <c r="U431" s="184"/>
      <c r="V431" s="184"/>
      <c r="W431" s="184"/>
      <c r="X431" s="184"/>
      <c r="Y431" s="184"/>
      <c r="Z431" s="184"/>
      <c r="AA431" s="184"/>
      <c r="AB431" s="184"/>
      <c r="AC431" s="184"/>
      <c r="AD431" s="184"/>
      <c r="AE431" s="184"/>
      <c r="AF431" s="184"/>
      <c r="AG431" s="184"/>
      <c r="AH431" s="184"/>
      <c r="AI431" s="184"/>
      <c r="AJ431" s="184"/>
      <c r="AK431" s="184"/>
      <c r="AL431" s="186"/>
      <c r="AM431" s="187"/>
      <c r="AN431" s="187"/>
      <c r="AO431" s="187"/>
    </row>
    <row r="432" spans="1:41" s="163" customFormat="1" ht="16.5" customHeight="1">
      <c r="A432" s="180"/>
      <c r="B432" s="181"/>
      <c r="C432" s="182"/>
      <c r="D432" s="182"/>
      <c r="E432" s="183"/>
      <c r="F432" s="183"/>
      <c r="G432" s="183"/>
      <c r="H432" s="184"/>
      <c r="I432" s="184"/>
      <c r="J432" s="184"/>
      <c r="K432" s="184"/>
      <c r="L432" s="184"/>
      <c r="M432" s="184"/>
      <c r="N432" s="184"/>
      <c r="O432" s="184"/>
      <c r="Q432" s="184"/>
      <c r="R432" s="185"/>
      <c r="S432" s="185"/>
      <c r="U432" s="184"/>
      <c r="V432" s="184"/>
      <c r="W432" s="184"/>
      <c r="X432" s="184"/>
      <c r="Y432" s="184"/>
      <c r="Z432" s="184"/>
      <c r="AA432" s="184"/>
      <c r="AB432" s="184"/>
      <c r="AC432" s="184"/>
      <c r="AD432" s="184"/>
      <c r="AE432" s="184"/>
      <c r="AF432" s="184"/>
      <c r="AG432" s="184"/>
      <c r="AH432" s="184"/>
      <c r="AI432" s="184"/>
      <c r="AJ432" s="184"/>
      <c r="AK432" s="184"/>
      <c r="AL432" s="186"/>
      <c r="AM432" s="187"/>
      <c r="AN432" s="187"/>
      <c r="AO432" s="187"/>
    </row>
    <row r="433" spans="1:41" s="163" customFormat="1" ht="16.5" customHeight="1">
      <c r="A433" s="180"/>
      <c r="B433" s="181"/>
      <c r="C433" s="182"/>
      <c r="D433" s="182"/>
      <c r="E433" s="183"/>
      <c r="F433" s="183"/>
      <c r="G433" s="183"/>
      <c r="H433" s="184"/>
      <c r="I433" s="184"/>
      <c r="J433" s="184"/>
      <c r="K433" s="184"/>
      <c r="L433" s="184"/>
      <c r="M433" s="184"/>
      <c r="N433" s="184"/>
      <c r="O433" s="184"/>
      <c r="Q433" s="184"/>
      <c r="R433" s="185"/>
      <c r="S433" s="185"/>
      <c r="U433" s="184"/>
      <c r="V433" s="184"/>
      <c r="W433" s="184"/>
      <c r="X433" s="184"/>
      <c r="Y433" s="184"/>
      <c r="Z433" s="184"/>
      <c r="AA433" s="184"/>
      <c r="AB433" s="184"/>
      <c r="AC433" s="184"/>
      <c r="AD433" s="184"/>
      <c r="AE433" s="184"/>
      <c r="AF433" s="184"/>
      <c r="AG433" s="184"/>
      <c r="AH433" s="184"/>
      <c r="AI433" s="184"/>
      <c r="AJ433" s="184"/>
      <c r="AK433" s="184"/>
      <c r="AL433" s="186"/>
      <c r="AM433" s="187"/>
      <c r="AN433" s="187"/>
      <c r="AO433" s="187"/>
    </row>
    <row r="434" spans="1:41" s="163" customFormat="1" ht="16.5" customHeight="1">
      <c r="A434" s="180"/>
      <c r="B434" s="181"/>
      <c r="C434" s="182"/>
      <c r="D434" s="182"/>
      <c r="E434" s="183"/>
      <c r="F434" s="183"/>
      <c r="G434" s="183"/>
      <c r="H434" s="184"/>
      <c r="I434" s="184"/>
      <c r="J434" s="184"/>
      <c r="K434" s="184"/>
      <c r="L434" s="184"/>
      <c r="M434" s="184"/>
      <c r="N434" s="184"/>
      <c r="O434" s="184"/>
      <c r="Q434" s="184"/>
      <c r="R434" s="185"/>
      <c r="S434" s="185"/>
      <c r="U434" s="184"/>
      <c r="V434" s="184"/>
      <c r="W434" s="184"/>
      <c r="X434" s="184"/>
      <c r="Y434" s="184"/>
      <c r="Z434" s="184"/>
      <c r="AA434" s="184"/>
      <c r="AB434" s="184"/>
      <c r="AC434" s="184"/>
      <c r="AD434" s="184"/>
      <c r="AE434" s="184"/>
      <c r="AF434" s="184"/>
      <c r="AG434" s="184"/>
      <c r="AH434" s="184"/>
      <c r="AI434" s="184"/>
      <c r="AJ434" s="184"/>
      <c r="AK434" s="184"/>
      <c r="AL434" s="186"/>
      <c r="AM434" s="187"/>
      <c r="AN434" s="187"/>
      <c r="AO434" s="187"/>
    </row>
    <row r="435" spans="1:41" s="163" customFormat="1" ht="16.5" customHeight="1">
      <c r="A435" s="180"/>
      <c r="B435" s="181"/>
      <c r="C435" s="182"/>
      <c r="D435" s="182"/>
      <c r="E435" s="183"/>
      <c r="F435" s="183"/>
      <c r="G435" s="183"/>
      <c r="H435" s="184"/>
      <c r="I435" s="184"/>
      <c r="J435" s="184"/>
      <c r="K435" s="184"/>
      <c r="L435" s="184"/>
      <c r="M435" s="184"/>
      <c r="N435" s="184"/>
      <c r="O435" s="184"/>
      <c r="Q435" s="184"/>
      <c r="R435" s="185"/>
      <c r="S435" s="185"/>
      <c r="U435" s="184"/>
      <c r="V435" s="184"/>
      <c r="W435" s="184"/>
      <c r="X435" s="184"/>
      <c r="Y435" s="184"/>
      <c r="Z435" s="184"/>
      <c r="AA435" s="184"/>
      <c r="AB435" s="184"/>
      <c r="AC435" s="184"/>
      <c r="AD435" s="184"/>
      <c r="AE435" s="184"/>
      <c r="AF435" s="184"/>
      <c r="AG435" s="184"/>
      <c r="AH435" s="184"/>
      <c r="AI435" s="184"/>
      <c r="AJ435" s="184"/>
      <c r="AK435" s="184"/>
      <c r="AL435" s="186"/>
      <c r="AM435" s="187"/>
      <c r="AN435" s="187"/>
      <c r="AO435" s="187"/>
    </row>
    <row r="436" spans="1:41" s="163" customFormat="1" ht="16.5" customHeight="1">
      <c r="A436" s="180"/>
      <c r="B436" s="181"/>
      <c r="C436" s="182"/>
      <c r="D436" s="182"/>
      <c r="E436" s="183"/>
      <c r="F436" s="183"/>
      <c r="G436" s="183"/>
      <c r="H436" s="184"/>
      <c r="I436" s="184"/>
      <c r="J436" s="184"/>
      <c r="K436" s="184"/>
      <c r="L436" s="184"/>
      <c r="M436" s="184"/>
      <c r="N436" s="184"/>
      <c r="O436" s="184"/>
      <c r="Q436" s="184"/>
      <c r="R436" s="185"/>
      <c r="S436" s="185"/>
      <c r="U436" s="184"/>
      <c r="V436" s="184"/>
      <c r="W436" s="184"/>
      <c r="X436" s="184"/>
      <c r="Y436" s="184"/>
      <c r="Z436" s="184"/>
      <c r="AA436" s="184"/>
      <c r="AB436" s="184"/>
      <c r="AC436" s="184"/>
      <c r="AD436" s="184"/>
      <c r="AE436" s="184"/>
      <c r="AF436" s="184"/>
      <c r="AG436" s="184"/>
      <c r="AH436" s="184"/>
      <c r="AI436" s="184"/>
      <c r="AJ436" s="184"/>
      <c r="AK436" s="184"/>
      <c r="AL436" s="186"/>
      <c r="AM436" s="187"/>
      <c r="AN436" s="187"/>
      <c r="AO436" s="187"/>
    </row>
    <row r="437" spans="1:41" s="163" customFormat="1" ht="16.5" customHeight="1">
      <c r="A437" s="180"/>
      <c r="B437" s="181"/>
      <c r="C437" s="182"/>
      <c r="D437" s="182"/>
      <c r="E437" s="183"/>
      <c r="F437" s="183"/>
      <c r="G437" s="183"/>
      <c r="H437" s="184"/>
      <c r="I437" s="184"/>
      <c r="J437" s="184"/>
      <c r="K437" s="184"/>
      <c r="L437" s="184"/>
      <c r="M437" s="184"/>
      <c r="N437" s="184"/>
      <c r="O437" s="184"/>
      <c r="Q437" s="184"/>
      <c r="R437" s="185"/>
      <c r="S437" s="185"/>
      <c r="U437" s="184"/>
      <c r="V437" s="184"/>
      <c r="W437" s="184"/>
      <c r="X437" s="184"/>
      <c r="Y437" s="184"/>
      <c r="Z437" s="184"/>
      <c r="AA437" s="184"/>
      <c r="AB437" s="184"/>
      <c r="AC437" s="184"/>
      <c r="AD437" s="184"/>
      <c r="AE437" s="184"/>
      <c r="AF437" s="184"/>
      <c r="AG437" s="184"/>
      <c r="AH437" s="184"/>
      <c r="AI437" s="184"/>
      <c r="AJ437" s="184"/>
      <c r="AK437" s="184"/>
      <c r="AL437" s="186"/>
      <c r="AM437" s="187"/>
      <c r="AN437" s="187"/>
      <c r="AO437" s="187"/>
    </row>
    <row r="438" spans="1:41" s="163" customFormat="1" ht="16.5" customHeight="1">
      <c r="A438" s="180"/>
      <c r="B438" s="181"/>
      <c r="C438" s="182"/>
      <c r="D438" s="182"/>
      <c r="E438" s="183"/>
      <c r="F438" s="183"/>
      <c r="G438" s="183"/>
      <c r="H438" s="184"/>
      <c r="I438" s="184"/>
      <c r="J438" s="184"/>
      <c r="K438" s="184"/>
      <c r="L438" s="184"/>
      <c r="M438" s="184"/>
      <c r="N438" s="184"/>
      <c r="O438" s="184"/>
      <c r="Q438" s="184"/>
      <c r="R438" s="185"/>
      <c r="S438" s="185"/>
      <c r="U438" s="184"/>
      <c r="V438" s="184"/>
      <c r="W438" s="184"/>
      <c r="X438" s="184"/>
      <c r="Y438" s="184"/>
      <c r="Z438" s="184"/>
      <c r="AA438" s="184"/>
      <c r="AB438" s="184"/>
      <c r="AC438" s="184"/>
      <c r="AD438" s="184"/>
      <c r="AE438" s="184"/>
      <c r="AF438" s="184"/>
      <c r="AG438" s="184"/>
      <c r="AH438" s="184"/>
      <c r="AI438" s="184"/>
      <c r="AJ438" s="184"/>
      <c r="AK438" s="184"/>
      <c r="AL438" s="186"/>
      <c r="AM438" s="187"/>
      <c r="AN438" s="187"/>
      <c r="AO438" s="187"/>
    </row>
    <row r="439" spans="1:41" s="163" customFormat="1" ht="16.5" customHeight="1">
      <c r="A439" s="180"/>
      <c r="B439" s="181"/>
      <c r="C439" s="182"/>
      <c r="D439" s="182"/>
      <c r="E439" s="183"/>
      <c r="F439" s="183"/>
      <c r="G439" s="183"/>
      <c r="H439" s="184"/>
      <c r="I439" s="184"/>
      <c r="J439" s="184"/>
      <c r="K439" s="184"/>
      <c r="L439" s="184"/>
      <c r="M439" s="184"/>
      <c r="N439" s="184"/>
      <c r="O439" s="184"/>
      <c r="Q439" s="184"/>
      <c r="R439" s="185"/>
      <c r="S439" s="185"/>
      <c r="U439" s="184"/>
      <c r="V439" s="184"/>
      <c r="W439" s="184"/>
      <c r="X439" s="184"/>
      <c r="Y439" s="184"/>
      <c r="Z439" s="184"/>
      <c r="AA439" s="184"/>
      <c r="AB439" s="184"/>
      <c r="AC439" s="184"/>
      <c r="AD439" s="184"/>
      <c r="AE439" s="184"/>
      <c r="AF439" s="184"/>
      <c r="AG439" s="184"/>
      <c r="AH439" s="184"/>
      <c r="AI439" s="184"/>
      <c r="AJ439" s="184"/>
      <c r="AK439" s="184"/>
      <c r="AL439" s="186"/>
      <c r="AM439" s="187"/>
      <c r="AN439" s="187"/>
      <c r="AO439" s="187"/>
    </row>
    <row r="440" spans="1:41" s="163" customFormat="1" ht="16.5" customHeight="1">
      <c r="A440" s="180"/>
      <c r="B440" s="181"/>
      <c r="C440" s="182"/>
      <c r="D440" s="182"/>
      <c r="E440" s="183"/>
      <c r="F440" s="183"/>
      <c r="G440" s="183"/>
      <c r="H440" s="184"/>
      <c r="I440" s="184"/>
      <c r="J440" s="184"/>
      <c r="K440" s="184"/>
      <c r="L440" s="184"/>
      <c r="M440" s="184"/>
      <c r="N440" s="184"/>
      <c r="O440" s="184"/>
      <c r="Q440" s="184"/>
      <c r="R440" s="185"/>
      <c r="S440" s="185"/>
      <c r="U440" s="184"/>
      <c r="V440" s="184"/>
      <c r="W440" s="184"/>
      <c r="X440" s="184"/>
      <c r="Y440" s="184"/>
      <c r="Z440" s="184"/>
      <c r="AA440" s="184"/>
      <c r="AB440" s="184"/>
      <c r="AC440" s="184"/>
      <c r="AD440" s="184"/>
      <c r="AE440" s="184"/>
      <c r="AF440" s="184"/>
      <c r="AG440" s="184"/>
      <c r="AH440" s="184"/>
      <c r="AI440" s="184"/>
      <c r="AJ440" s="184"/>
      <c r="AK440" s="184"/>
      <c r="AL440" s="186"/>
      <c r="AM440" s="187"/>
      <c r="AN440" s="187"/>
      <c r="AO440" s="187"/>
    </row>
    <row r="441" spans="1:41" s="163" customFormat="1" ht="16.5" customHeight="1">
      <c r="A441" s="180"/>
      <c r="B441" s="181"/>
      <c r="C441" s="182"/>
      <c r="D441" s="182"/>
      <c r="E441" s="183"/>
      <c r="F441" s="183"/>
      <c r="G441" s="183"/>
      <c r="H441" s="184"/>
      <c r="I441" s="184"/>
      <c r="J441" s="184"/>
      <c r="K441" s="184"/>
      <c r="L441" s="184"/>
      <c r="M441" s="184"/>
      <c r="N441" s="184"/>
      <c r="O441" s="184"/>
      <c r="Q441" s="184"/>
      <c r="R441" s="185"/>
      <c r="S441" s="185"/>
      <c r="U441" s="184"/>
      <c r="V441" s="184"/>
      <c r="W441" s="184"/>
      <c r="X441" s="184"/>
      <c r="Y441" s="184"/>
      <c r="Z441" s="184"/>
      <c r="AA441" s="184"/>
      <c r="AB441" s="184"/>
      <c r="AC441" s="184"/>
      <c r="AD441" s="184"/>
      <c r="AE441" s="184"/>
      <c r="AF441" s="184"/>
      <c r="AG441" s="184"/>
      <c r="AH441" s="184"/>
      <c r="AI441" s="184"/>
      <c r="AJ441" s="184"/>
      <c r="AK441" s="184"/>
      <c r="AL441" s="186"/>
      <c r="AM441" s="187"/>
      <c r="AN441" s="187"/>
      <c r="AO441" s="187"/>
    </row>
    <row r="442" spans="1:41" s="163" customFormat="1" ht="16.5" customHeight="1">
      <c r="A442" s="180"/>
      <c r="B442" s="181"/>
      <c r="C442" s="182"/>
      <c r="D442" s="182"/>
      <c r="E442" s="183"/>
      <c r="F442" s="183"/>
      <c r="G442" s="183"/>
      <c r="H442" s="184"/>
      <c r="I442" s="184"/>
      <c r="J442" s="184"/>
      <c r="K442" s="184"/>
      <c r="L442" s="184"/>
      <c r="M442" s="184"/>
      <c r="N442" s="184"/>
      <c r="O442" s="184"/>
      <c r="Q442" s="184"/>
      <c r="R442" s="185"/>
      <c r="S442" s="185"/>
      <c r="U442" s="184"/>
      <c r="V442" s="184"/>
      <c r="W442" s="184"/>
      <c r="X442" s="184"/>
      <c r="Y442" s="184"/>
      <c r="Z442" s="184"/>
      <c r="AA442" s="184"/>
      <c r="AB442" s="184"/>
      <c r="AC442" s="184"/>
      <c r="AD442" s="184"/>
      <c r="AE442" s="184"/>
      <c r="AF442" s="184"/>
      <c r="AG442" s="184"/>
      <c r="AH442" s="184"/>
      <c r="AI442" s="184"/>
      <c r="AJ442" s="184"/>
      <c r="AK442" s="184"/>
      <c r="AL442" s="186"/>
      <c r="AM442" s="187"/>
      <c r="AN442" s="187"/>
      <c r="AO442" s="187"/>
    </row>
    <row r="443" spans="1:41" s="163" customFormat="1" ht="16.5" customHeight="1">
      <c r="A443" s="180"/>
      <c r="B443" s="181"/>
      <c r="C443" s="182"/>
      <c r="D443" s="182"/>
      <c r="E443" s="183"/>
      <c r="F443" s="183"/>
      <c r="G443" s="183"/>
      <c r="H443" s="184"/>
      <c r="I443" s="184"/>
      <c r="J443" s="184"/>
      <c r="K443" s="184"/>
      <c r="L443" s="184"/>
      <c r="M443" s="184"/>
      <c r="N443" s="184"/>
      <c r="O443" s="184"/>
      <c r="Q443" s="184"/>
      <c r="R443" s="185"/>
      <c r="S443" s="185"/>
      <c r="U443" s="184"/>
      <c r="V443" s="184"/>
      <c r="W443" s="184"/>
      <c r="X443" s="184"/>
      <c r="Y443" s="184"/>
      <c r="Z443" s="184"/>
      <c r="AA443" s="184"/>
      <c r="AB443" s="184"/>
      <c r="AC443" s="184"/>
      <c r="AD443" s="184"/>
      <c r="AE443" s="184"/>
      <c r="AF443" s="184"/>
      <c r="AG443" s="184"/>
      <c r="AH443" s="184"/>
      <c r="AI443" s="184"/>
      <c r="AJ443" s="184"/>
      <c r="AK443" s="184"/>
      <c r="AL443" s="186"/>
      <c r="AM443" s="187"/>
      <c r="AN443" s="187"/>
      <c r="AO443" s="187"/>
    </row>
    <row r="444" spans="1:41" s="163" customFormat="1" ht="16.5" customHeight="1">
      <c r="A444" s="180"/>
      <c r="B444" s="181"/>
      <c r="C444" s="182"/>
      <c r="D444" s="182"/>
      <c r="E444" s="183"/>
      <c r="F444" s="183"/>
      <c r="G444" s="183"/>
      <c r="H444" s="184"/>
      <c r="I444" s="184"/>
      <c r="J444" s="184"/>
      <c r="K444" s="184"/>
      <c r="L444" s="184"/>
      <c r="M444" s="184"/>
      <c r="N444" s="184"/>
      <c r="O444" s="184"/>
      <c r="Q444" s="184"/>
      <c r="R444" s="185"/>
      <c r="S444" s="185"/>
      <c r="U444" s="184"/>
      <c r="V444" s="184"/>
      <c r="W444" s="184"/>
      <c r="X444" s="184"/>
      <c r="Y444" s="184"/>
      <c r="Z444" s="184"/>
      <c r="AA444" s="184"/>
      <c r="AB444" s="184"/>
      <c r="AC444" s="184"/>
      <c r="AD444" s="184"/>
      <c r="AE444" s="184"/>
      <c r="AF444" s="184"/>
      <c r="AG444" s="184"/>
      <c r="AH444" s="184"/>
      <c r="AI444" s="184"/>
      <c r="AJ444" s="184"/>
      <c r="AK444" s="184"/>
      <c r="AL444" s="186"/>
      <c r="AM444" s="187"/>
      <c r="AN444" s="187"/>
      <c r="AO444" s="187"/>
    </row>
    <row r="445" spans="1:41" s="163" customFormat="1" ht="16.5" customHeight="1">
      <c r="A445" s="180"/>
      <c r="B445" s="181"/>
      <c r="C445" s="182"/>
      <c r="D445" s="182"/>
      <c r="E445" s="183"/>
      <c r="F445" s="183"/>
      <c r="G445" s="183"/>
      <c r="H445" s="184"/>
      <c r="I445" s="184"/>
      <c r="J445" s="184"/>
      <c r="K445" s="184"/>
      <c r="L445" s="184"/>
      <c r="M445" s="184"/>
      <c r="N445" s="184"/>
      <c r="O445" s="184"/>
      <c r="Q445" s="184"/>
      <c r="R445" s="185"/>
      <c r="S445" s="185"/>
      <c r="U445" s="184"/>
      <c r="V445" s="184"/>
      <c r="W445" s="184"/>
      <c r="X445" s="184"/>
      <c r="Y445" s="184"/>
      <c r="Z445" s="184"/>
      <c r="AA445" s="184"/>
      <c r="AB445" s="184"/>
      <c r="AC445" s="184"/>
      <c r="AD445" s="184"/>
      <c r="AE445" s="184"/>
      <c r="AF445" s="184"/>
      <c r="AG445" s="184"/>
      <c r="AH445" s="184"/>
      <c r="AI445" s="184"/>
      <c r="AJ445" s="184"/>
      <c r="AK445" s="184"/>
      <c r="AL445" s="186"/>
      <c r="AM445" s="187"/>
      <c r="AN445" s="187"/>
      <c r="AO445" s="187"/>
    </row>
    <row r="446" spans="1:41" s="163" customFormat="1" ht="16.5" customHeight="1">
      <c r="A446" s="180"/>
      <c r="B446" s="181"/>
      <c r="C446" s="182"/>
      <c r="D446" s="182"/>
      <c r="E446" s="183"/>
      <c r="F446" s="183"/>
      <c r="G446" s="183"/>
      <c r="H446" s="184"/>
      <c r="I446" s="184"/>
      <c r="J446" s="184"/>
      <c r="K446" s="184"/>
      <c r="L446" s="184"/>
      <c r="M446" s="184"/>
      <c r="N446" s="184"/>
      <c r="O446" s="184"/>
      <c r="Q446" s="184"/>
      <c r="R446" s="185"/>
      <c r="S446" s="185"/>
      <c r="U446" s="184"/>
      <c r="V446" s="184"/>
      <c r="W446" s="184"/>
      <c r="X446" s="184"/>
      <c r="Y446" s="184"/>
      <c r="Z446" s="184"/>
      <c r="AA446" s="184"/>
      <c r="AB446" s="184"/>
      <c r="AC446" s="184"/>
      <c r="AD446" s="184"/>
      <c r="AE446" s="184"/>
      <c r="AF446" s="184"/>
      <c r="AG446" s="184"/>
      <c r="AH446" s="184"/>
      <c r="AI446" s="184"/>
      <c r="AJ446" s="184"/>
      <c r="AK446" s="184"/>
      <c r="AL446" s="186"/>
      <c r="AM446" s="187"/>
      <c r="AN446" s="187"/>
      <c r="AO446" s="187"/>
    </row>
    <row r="447" spans="1:41" s="163" customFormat="1" ht="16.5" customHeight="1">
      <c r="A447" s="180"/>
      <c r="B447" s="181"/>
      <c r="C447" s="182"/>
      <c r="D447" s="182"/>
      <c r="E447" s="183"/>
      <c r="F447" s="183"/>
      <c r="G447" s="183"/>
      <c r="H447" s="184"/>
      <c r="I447" s="184"/>
      <c r="J447" s="184"/>
      <c r="K447" s="184"/>
      <c r="L447" s="184"/>
      <c r="M447" s="184"/>
      <c r="N447" s="184"/>
      <c r="O447" s="184"/>
      <c r="Q447" s="184"/>
      <c r="R447" s="185"/>
      <c r="S447" s="185"/>
      <c r="U447" s="184"/>
      <c r="V447" s="184"/>
      <c r="W447" s="184"/>
      <c r="X447" s="184"/>
      <c r="Y447" s="184"/>
      <c r="Z447" s="184"/>
      <c r="AA447" s="184"/>
      <c r="AB447" s="184"/>
      <c r="AC447" s="184"/>
      <c r="AD447" s="184"/>
      <c r="AE447" s="184"/>
      <c r="AF447" s="184"/>
      <c r="AG447" s="184"/>
      <c r="AH447" s="184"/>
      <c r="AI447" s="184"/>
      <c r="AJ447" s="184"/>
      <c r="AK447" s="184"/>
      <c r="AL447" s="186"/>
      <c r="AM447" s="187"/>
      <c r="AN447" s="187"/>
      <c r="AO447" s="187"/>
    </row>
    <row r="448" spans="1:41" s="163" customFormat="1" ht="16.5" customHeight="1">
      <c r="A448" s="180"/>
      <c r="B448" s="181"/>
      <c r="C448" s="182"/>
      <c r="D448" s="182"/>
      <c r="E448" s="183"/>
      <c r="F448" s="183"/>
      <c r="G448" s="183"/>
      <c r="H448" s="184"/>
      <c r="I448" s="184"/>
      <c r="J448" s="184"/>
      <c r="K448" s="184"/>
      <c r="L448" s="184"/>
      <c r="M448" s="184"/>
      <c r="N448" s="184"/>
      <c r="O448" s="184"/>
      <c r="Q448" s="184"/>
      <c r="R448" s="185"/>
      <c r="S448" s="185"/>
      <c r="U448" s="184"/>
      <c r="V448" s="184"/>
      <c r="W448" s="184"/>
      <c r="X448" s="184"/>
      <c r="Y448" s="184"/>
      <c r="Z448" s="184"/>
      <c r="AA448" s="184"/>
      <c r="AB448" s="184"/>
      <c r="AC448" s="184"/>
      <c r="AD448" s="184"/>
      <c r="AE448" s="184"/>
      <c r="AF448" s="184"/>
      <c r="AG448" s="184"/>
      <c r="AH448" s="184"/>
      <c r="AI448" s="184"/>
      <c r="AJ448" s="184"/>
      <c r="AK448" s="184"/>
      <c r="AL448" s="186"/>
      <c r="AM448" s="187"/>
      <c r="AN448" s="187"/>
      <c r="AO448" s="187"/>
    </row>
    <row r="449" spans="1:41" s="163" customFormat="1" ht="16.5" customHeight="1">
      <c r="A449" s="180"/>
      <c r="B449" s="181"/>
      <c r="C449" s="182"/>
      <c r="D449" s="182"/>
      <c r="E449" s="183"/>
      <c r="F449" s="183"/>
      <c r="G449" s="183"/>
      <c r="H449" s="184"/>
      <c r="I449" s="184"/>
      <c r="J449" s="184"/>
      <c r="K449" s="184"/>
      <c r="L449" s="184"/>
      <c r="M449" s="184"/>
      <c r="N449" s="184"/>
      <c r="O449" s="184"/>
      <c r="Q449" s="184"/>
      <c r="R449" s="185"/>
      <c r="S449" s="185"/>
      <c r="U449" s="184"/>
      <c r="V449" s="184"/>
      <c r="W449" s="184"/>
      <c r="X449" s="184"/>
      <c r="Y449" s="184"/>
      <c r="Z449" s="184"/>
      <c r="AA449" s="184"/>
      <c r="AB449" s="184"/>
      <c r="AC449" s="184"/>
      <c r="AD449" s="184"/>
      <c r="AE449" s="184"/>
      <c r="AF449" s="184"/>
      <c r="AG449" s="184"/>
      <c r="AH449" s="184"/>
      <c r="AI449" s="184"/>
      <c r="AJ449" s="184"/>
      <c r="AK449" s="184"/>
      <c r="AL449" s="186"/>
      <c r="AM449" s="187"/>
      <c r="AN449" s="187"/>
      <c r="AO449" s="187"/>
    </row>
    <row r="450" spans="1:41" s="163" customFormat="1" ht="16.5" customHeight="1">
      <c r="A450" s="180"/>
      <c r="B450" s="181"/>
      <c r="C450" s="182"/>
      <c r="D450" s="182"/>
      <c r="E450" s="183"/>
      <c r="F450" s="183"/>
      <c r="G450" s="183"/>
      <c r="H450" s="184"/>
      <c r="I450" s="184"/>
      <c r="J450" s="184"/>
      <c r="K450" s="184"/>
      <c r="L450" s="184"/>
      <c r="M450" s="184"/>
      <c r="N450" s="184"/>
      <c r="O450" s="184"/>
      <c r="Q450" s="184"/>
      <c r="R450" s="185"/>
      <c r="S450" s="185"/>
      <c r="U450" s="184"/>
      <c r="V450" s="184"/>
      <c r="W450" s="184"/>
      <c r="X450" s="184"/>
      <c r="Y450" s="184"/>
      <c r="Z450" s="184"/>
      <c r="AA450" s="184"/>
      <c r="AB450" s="184"/>
      <c r="AC450" s="184"/>
      <c r="AD450" s="184"/>
      <c r="AE450" s="184"/>
      <c r="AF450" s="184"/>
      <c r="AG450" s="184"/>
      <c r="AH450" s="184"/>
      <c r="AI450" s="184"/>
      <c r="AJ450" s="184"/>
      <c r="AK450" s="184"/>
      <c r="AL450" s="186"/>
      <c r="AM450" s="187"/>
      <c r="AN450" s="187"/>
      <c r="AO450" s="187"/>
    </row>
    <row r="451" spans="1:41" s="163" customFormat="1" ht="16.5" customHeight="1">
      <c r="A451" s="180"/>
      <c r="B451" s="181"/>
      <c r="C451" s="182"/>
      <c r="D451" s="182"/>
      <c r="E451" s="183"/>
      <c r="F451" s="183"/>
      <c r="G451" s="183"/>
      <c r="H451" s="184"/>
      <c r="I451" s="184"/>
      <c r="J451" s="184"/>
      <c r="K451" s="184"/>
      <c r="L451" s="184"/>
      <c r="M451" s="184"/>
      <c r="N451" s="184"/>
      <c r="O451" s="184"/>
      <c r="Q451" s="184"/>
      <c r="R451" s="185"/>
      <c r="S451" s="185"/>
      <c r="U451" s="184"/>
      <c r="V451" s="184"/>
      <c r="W451" s="184"/>
      <c r="X451" s="184"/>
      <c r="Y451" s="184"/>
      <c r="Z451" s="184"/>
      <c r="AA451" s="184"/>
      <c r="AB451" s="184"/>
      <c r="AC451" s="184"/>
      <c r="AD451" s="184"/>
      <c r="AE451" s="184"/>
      <c r="AF451" s="184"/>
      <c r="AG451" s="184"/>
      <c r="AH451" s="184"/>
      <c r="AI451" s="184"/>
      <c r="AJ451" s="184"/>
      <c r="AK451" s="184"/>
      <c r="AL451" s="186"/>
      <c r="AM451" s="187"/>
      <c r="AN451" s="187"/>
      <c r="AO451" s="187"/>
    </row>
    <row r="452" spans="1:41" s="163" customFormat="1" ht="16.5" customHeight="1">
      <c r="A452" s="180"/>
      <c r="B452" s="181"/>
      <c r="C452" s="182"/>
      <c r="D452" s="182"/>
      <c r="E452" s="183"/>
      <c r="F452" s="183"/>
      <c r="G452" s="183"/>
      <c r="H452" s="184"/>
      <c r="I452" s="184"/>
      <c r="J452" s="184"/>
      <c r="K452" s="184"/>
      <c r="L452" s="184"/>
      <c r="M452" s="184"/>
      <c r="N452" s="184"/>
      <c r="O452" s="184"/>
      <c r="Q452" s="184"/>
      <c r="R452" s="185"/>
      <c r="S452" s="185"/>
      <c r="U452" s="184"/>
      <c r="V452" s="184"/>
      <c r="W452" s="184"/>
      <c r="X452" s="184"/>
      <c r="Y452" s="184"/>
      <c r="Z452" s="184"/>
      <c r="AA452" s="184"/>
      <c r="AB452" s="184"/>
      <c r="AC452" s="184"/>
      <c r="AD452" s="184"/>
      <c r="AE452" s="184"/>
      <c r="AF452" s="184"/>
      <c r="AG452" s="184"/>
      <c r="AH452" s="184"/>
      <c r="AI452" s="184"/>
      <c r="AJ452" s="184"/>
      <c r="AK452" s="184"/>
      <c r="AL452" s="186"/>
      <c r="AM452" s="187"/>
      <c r="AN452" s="187"/>
      <c r="AO452" s="187"/>
    </row>
    <row r="453" spans="1:41" s="163" customFormat="1" ht="16.5" customHeight="1">
      <c r="A453" s="180"/>
      <c r="B453" s="181"/>
      <c r="C453" s="182"/>
      <c r="D453" s="182"/>
      <c r="E453" s="183"/>
      <c r="F453" s="183"/>
      <c r="G453" s="183"/>
      <c r="H453" s="184"/>
      <c r="I453" s="184"/>
      <c r="J453" s="184"/>
      <c r="K453" s="184"/>
      <c r="L453" s="184"/>
      <c r="M453" s="184"/>
      <c r="N453" s="184"/>
      <c r="O453" s="184"/>
      <c r="Q453" s="184"/>
      <c r="R453" s="185"/>
      <c r="S453" s="185"/>
      <c r="U453" s="184"/>
      <c r="V453" s="184"/>
      <c r="W453" s="184"/>
      <c r="X453" s="184"/>
      <c r="Y453" s="184"/>
      <c r="Z453" s="184"/>
      <c r="AA453" s="184"/>
      <c r="AB453" s="184"/>
      <c r="AC453" s="184"/>
      <c r="AD453" s="184"/>
      <c r="AE453" s="184"/>
      <c r="AF453" s="184"/>
      <c r="AG453" s="184"/>
      <c r="AH453" s="184"/>
      <c r="AI453" s="184"/>
      <c r="AJ453" s="184"/>
      <c r="AK453" s="184"/>
      <c r="AL453" s="186"/>
      <c r="AM453" s="187"/>
      <c r="AN453" s="187"/>
      <c r="AO453" s="187"/>
    </row>
    <row r="454" spans="1:41" s="163" customFormat="1" ht="16.5" customHeight="1">
      <c r="A454" s="180"/>
      <c r="B454" s="181"/>
      <c r="C454" s="182"/>
      <c r="D454" s="182"/>
      <c r="E454" s="183"/>
      <c r="F454" s="183"/>
      <c r="G454" s="183"/>
      <c r="H454" s="184"/>
      <c r="I454" s="184"/>
      <c r="J454" s="184"/>
      <c r="K454" s="184"/>
      <c r="L454" s="184"/>
      <c r="M454" s="184"/>
      <c r="N454" s="184"/>
      <c r="O454" s="184"/>
      <c r="Q454" s="184"/>
      <c r="R454" s="185"/>
      <c r="S454" s="185"/>
      <c r="U454" s="184"/>
      <c r="V454" s="184"/>
      <c r="W454" s="184"/>
      <c r="X454" s="184"/>
      <c r="Y454" s="184"/>
      <c r="Z454" s="184"/>
      <c r="AA454" s="184"/>
      <c r="AB454" s="184"/>
      <c r="AC454" s="184"/>
      <c r="AD454" s="184"/>
      <c r="AE454" s="184"/>
      <c r="AF454" s="184"/>
      <c r="AG454" s="184"/>
      <c r="AH454" s="184"/>
      <c r="AI454" s="184"/>
      <c r="AJ454" s="184"/>
      <c r="AK454" s="184"/>
      <c r="AL454" s="186"/>
      <c r="AM454" s="187"/>
      <c r="AN454" s="187"/>
      <c r="AO454" s="187"/>
    </row>
    <row r="455" spans="1:41" s="163" customFormat="1" ht="16.5" customHeight="1">
      <c r="A455" s="180"/>
      <c r="B455" s="181"/>
      <c r="C455" s="182"/>
      <c r="D455" s="182"/>
      <c r="E455" s="183"/>
      <c r="F455" s="183"/>
      <c r="G455" s="183"/>
      <c r="H455" s="184"/>
      <c r="I455" s="184"/>
      <c r="J455" s="184"/>
      <c r="K455" s="184"/>
      <c r="L455" s="184"/>
      <c r="M455" s="184"/>
      <c r="N455" s="184"/>
      <c r="O455" s="184"/>
      <c r="Q455" s="184"/>
      <c r="R455" s="185"/>
      <c r="S455" s="185"/>
      <c r="U455" s="184"/>
      <c r="V455" s="184"/>
      <c r="W455" s="184"/>
      <c r="X455" s="184"/>
      <c r="Y455" s="184"/>
      <c r="Z455" s="184"/>
      <c r="AA455" s="184"/>
      <c r="AB455" s="184"/>
      <c r="AC455" s="184"/>
      <c r="AD455" s="184"/>
      <c r="AE455" s="184"/>
      <c r="AF455" s="184"/>
      <c r="AG455" s="184"/>
      <c r="AH455" s="184"/>
      <c r="AI455" s="184"/>
      <c r="AJ455" s="184"/>
      <c r="AK455" s="184"/>
      <c r="AL455" s="186"/>
      <c r="AM455" s="187"/>
      <c r="AN455" s="187"/>
      <c r="AO455" s="187"/>
    </row>
    <row r="456" spans="1:41" s="163" customFormat="1" ht="16.5" customHeight="1">
      <c r="A456" s="180"/>
      <c r="B456" s="181"/>
      <c r="C456" s="182"/>
      <c r="D456" s="182"/>
      <c r="E456" s="183"/>
      <c r="F456" s="183"/>
      <c r="G456" s="183"/>
      <c r="H456" s="184"/>
      <c r="I456" s="184"/>
      <c r="J456" s="184"/>
      <c r="K456" s="184"/>
      <c r="L456" s="184"/>
      <c r="M456" s="184"/>
      <c r="N456" s="184"/>
      <c r="O456" s="184"/>
      <c r="Q456" s="184"/>
      <c r="R456" s="185"/>
      <c r="S456" s="185"/>
      <c r="U456" s="184"/>
      <c r="V456" s="184"/>
      <c r="W456" s="184"/>
      <c r="X456" s="184"/>
      <c r="Y456" s="184"/>
      <c r="Z456" s="184"/>
      <c r="AA456" s="184"/>
      <c r="AB456" s="184"/>
      <c r="AC456" s="184"/>
      <c r="AD456" s="184"/>
      <c r="AE456" s="184"/>
      <c r="AF456" s="184"/>
      <c r="AG456" s="184"/>
      <c r="AH456" s="184"/>
      <c r="AI456" s="184"/>
      <c r="AJ456" s="184"/>
      <c r="AK456" s="184"/>
      <c r="AL456" s="186"/>
      <c r="AM456" s="187"/>
      <c r="AN456" s="187"/>
      <c r="AO456" s="187"/>
    </row>
    <row r="457" spans="1:41" s="163" customFormat="1" ht="16.5" customHeight="1">
      <c r="A457" s="180"/>
      <c r="B457" s="181"/>
      <c r="C457" s="182"/>
      <c r="D457" s="182"/>
      <c r="E457" s="183"/>
      <c r="F457" s="183"/>
      <c r="G457" s="183"/>
      <c r="H457" s="184"/>
      <c r="I457" s="184"/>
      <c r="J457" s="184"/>
      <c r="K457" s="184"/>
      <c r="L457" s="184"/>
      <c r="M457" s="184"/>
      <c r="N457" s="184"/>
      <c r="O457" s="184"/>
      <c r="Q457" s="184"/>
      <c r="R457" s="185"/>
      <c r="S457" s="185"/>
      <c r="U457" s="184"/>
      <c r="V457" s="184"/>
      <c r="W457" s="184"/>
      <c r="X457" s="184"/>
      <c r="Y457" s="184"/>
      <c r="Z457" s="184"/>
      <c r="AA457" s="184"/>
      <c r="AB457" s="184"/>
      <c r="AC457" s="184"/>
      <c r="AD457" s="184"/>
      <c r="AE457" s="184"/>
      <c r="AF457" s="184"/>
      <c r="AG457" s="184"/>
      <c r="AH457" s="184"/>
      <c r="AI457" s="184"/>
      <c r="AJ457" s="184"/>
      <c r="AK457" s="184"/>
      <c r="AL457" s="186"/>
      <c r="AM457" s="187"/>
      <c r="AN457" s="187"/>
      <c r="AO457" s="187"/>
    </row>
    <row r="458" spans="1:41" s="163" customFormat="1" ht="16.5" customHeight="1">
      <c r="A458" s="180"/>
      <c r="B458" s="181"/>
      <c r="C458" s="182"/>
      <c r="D458" s="182"/>
      <c r="E458" s="183"/>
      <c r="F458" s="183"/>
      <c r="G458" s="183"/>
      <c r="H458" s="184"/>
      <c r="I458" s="184"/>
      <c r="J458" s="184"/>
      <c r="K458" s="184"/>
      <c r="L458" s="184"/>
      <c r="M458" s="184"/>
      <c r="N458" s="184"/>
      <c r="O458" s="184"/>
      <c r="Q458" s="184"/>
      <c r="R458" s="185"/>
      <c r="S458" s="185"/>
      <c r="U458" s="184"/>
      <c r="V458" s="184"/>
      <c r="W458" s="184"/>
      <c r="X458" s="184"/>
      <c r="Y458" s="184"/>
      <c r="Z458" s="184"/>
      <c r="AA458" s="184"/>
      <c r="AB458" s="184"/>
      <c r="AC458" s="184"/>
      <c r="AD458" s="184"/>
      <c r="AE458" s="184"/>
      <c r="AF458" s="184"/>
      <c r="AG458" s="184"/>
      <c r="AH458" s="184"/>
      <c r="AI458" s="184"/>
      <c r="AJ458" s="184"/>
      <c r="AK458" s="184"/>
      <c r="AL458" s="186"/>
      <c r="AM458" s="187"/>
      <c r="AN458" s="187"/>
      <c r="AO458" s="187"/>
    </row>
    <row r="459" spans="1:41" s="163" customFormat="1" ht="16.5" customHeight="1">
      <c r="A459" s="180"/>
      <c r="B459" s="181"/>
      <c r="C459" s="182"/>
      <c r="D459" s="182"/>
      <c r="E459" s="183"/>
      <c r="F459" s="183"/>
      <c r="G459" s="183"/>
      <c r="H459" s="184"/>
      <c r="I459" s="184"/>
      <c r="J459" s="184"/>
      <c r="K459" s="184"/>
      <c r="L459" s="184"/>
      <c r="M459" s="184"/>
      <c r="N459" s="184"/>
      <c r="O459" s="184"/>
      <c r="Q459" s="184"/>
      <c r="R459" s="185"/>
      <c r="S459" s="185"/>
      <c r="U459" s="184"/>
      <c r="V459" s="184"/>
      <c r="W459" s="184"/>
      <c r="X459" s="184"/>
      <c r="Y459" s="184"/>
      <c r="Z459" s="184"/>
      <c r="AA459" s="184"/>
      <c r="AB459" s="184"/>
      <c r="AC459" s="184"/>
      <c r="AD459" s="184"/>
      <c r="AE459" s="184"/>
      <c r="AF459" s="184"/>
      <c r="AG459" s="184"/>
      <c r="AH459" s="184"/>
      <c r="AI459" s="184"/>
      <c r="AJ459" s="184"/>
      <c r="AK459" s="184"/>
      <c r="AL459" s="186"/>
      <c r="AM459" s="187"/>
      <c r="AN459" s="187"/>
      <c r="AO459" s="187"/>
    </row>
    <row r="460" spans="1:41" s="163" customFormat="1" ht="16.5" customHeight="1">
      <c r="A460" s="180"/>
      <c r="B460" s="181"/>
      <c r="C460" s="182"/>
      <c r="D460" s="182"/>
      <c r="E460" s="183"/>
      <c r="F460" s="183"/>
      <c r="G460" s="183"/>
      <c r="H460" s="184"/>
      <c r="I460" s="184"/>
      <c r="J460" s="184"/>
      <c r="K460" s="184"/>
      <c r="L460" s="184"/>
      <c r="M460" s="184"/>
      <c r="N460" s="184"/>
      <c r="O460" s="184"/>
      <c r="Q460" s="184"/>
      <c r="R460" s="185"/>
      <c r="S460" s="185"/>
      <c r="U460" s="184"/>
      <c r="V460" s="184"/>
      <c r="W460" s="184"/>
      <c r="X460" s="184"/>
      <c r="Y460" s="184"/>
      <c r="Z460" s="184"/>
      <c r="AA460" s="184"/>
      <c r="AB460" s="184"/>
      <c r="AC460" s="184"/>
      <c r="AD460" s="184"/>
      <c r="AE460" s="184"/>
      <c r="AF460" s="184"/>
      <c r="AG460" s="184"/>
      <c r="AH460" s="184"/>
      <c r="AI460" s="184"/>
      <c r="AJ460" s="184"/>
      <c r="AK460" s="184"/>
      <c r="AL460" s="186"/>
      <c r="AM460" s="187"/>
      <c r="AN460" s="187"/>
      <c r="AO460" s="187"/>
    </row>
    <row r="461" spans="1:41" s="163" customFormat="1" ht="16.5" customHeight="1">
      <c r="A461" s="180"/>
      <c r="B461" s="181"/>
      <c r="C461" s="182"/>
      <c r="D461" s="182"/>
      <c r="E461" s="183"/>
      <c r="F461" s="183"/>
      <c r="G461" s="183"/>
      <c r="H461" s="184"/>
      <c r="I461" s="184"/>
      <c r="J461" s="184"/>
      <c r="K461" s="184"/>
      <c r="L461" s="184"/>
      <c r="M461" s="184"/>
      <c r="N461" s="184"/>
      <c r="O461" s="184"/>
      <c r="Q461" s="184"/>
      <c r="R461" s="185"/>
      <c r="S461" s="185"/>
      <c r="U461" s="184"/>
      <c r="V461" s="184"/>
      <c r="W461" s="184"/>
      <c r="X461" s="184"/>
      <c r="Y461" s="184"/>
      <c r="Z461" s="184"/>
      <c r="AA461" s="184"/>
      <c r="AB461" s="184"/>
      <c r="AC461" s="184"/>
      <c r="AD461" s="184"/>
      <c r="AE461" s="184"/>
      <c r="AF461" s="184"/>
      <c r="AG461" s="184"/>
      <c r="AH461" s="184"/>
      <c r="AI461" s="184"/>
      <c r="AJ461" s="184"/>
      <c r="AK461" s="184"/>
      <c r="AL461" s="186"/>
      <c r="AM461" s="187"/>
      <c r="AN461" s="187"/>
      <c r="AO461" s="187"/>
    </row>
    <row r="462" spans="1:41" s="163" customFormat="1" ht="16.5" customHeight="1">
      <c r="A462" s="180"/>
      <c r="B462" s="181"/>
      <c r="C462" s="182"/>
      <c r="D462" s="182"/>
      <c r="E462" s="183"/>
      <c r="F462" s="183"/>
      <c r="G462" s="183"/>
      <c r="H462" s="184"/>
      <c r="I462" s="184"/>
      <c r="J462" s="184"/>
      <c r="K462" s="184"/>
      <c r="L462" s="184"/>
      <c r="M462" s="184"/>
      <c r="N462" s="184"/>
      <c r="O462" s="184"/>
      <c r="Q462" s="184"/>
      <c r="R462" s="185"/>
      <c r="S462" s="185"/>
      <c r="U462" s="184"/>
      <c r="V462" s="184"/>
      <c r="W462" s="184"/>
      <c r="X462" s="184"/>
      <c r="Y462" s="184"/>
      <c r="Z462" s="184"/>
      <c r="AA462" s="184"/>
      <c r="AB462" s="184"/>
      <c r="AC462" s="184"/>
      <c r="AD462" s="184"/>
      <c r="AE462" s="184"/>
      <c r="AF462" s="184"/>
      <c r="AG462" s="184"/>
      <c r="AH462" s="184"/>
      <c r="AI462" s="184"/>
      <c r="AJ462" s="184"/>
      <c r="AK462" s="184"/>
      <c r="AL462" s="186"/>
      <c r="AM462" s="187"/>
      <c r="AN462" s="187"/>
      <c r="AO462" s="187"/>
    </row>
    <row r="463" spans="1:41" s="163" customFormat="1" ht="16.5" customHeight="1">
      <c r="A463" s="180"/>
      <c r="B463" s="181"/>
      <c r="C463" s="182"/>
      <c r="D463" s="182"/>
      <c r="E463" s="183"/>
      <c r="F463" s="183"/>
      <c r="G463" s="183"/>
      <c r="H463" s="184"/>
      <c r="I463" s="184"/>
      <c r="J463" s="184"/>
      <c r="K463" s="184"/>
      <c r="L463" s="184"/>
      <c r="M463" s="184"/>
      <c r="N463" s="184"/>
      <c r="O463" s="184"/>
      <c r="Q463" s="184"/>
      <c r="R463" s="185"/>
      <c r="S463" s="185"/>
      <c r="U463" s="184"/>
      <c r="V463" s="184"/>
      <c r="W463" s="184"/>
      <c r="X463" s="184"/>
      <c r="Y463" s="184"/>
      <c r="Z463" s="184"/>
      <c r="AA463" s="184"/>
      <c r="AB463" s="184"/>
      <c r="AC463" s="184"/>
      <c r="AD463" s="184"/>
      <c r="AE463" s="184"/>
      <c r="AF463" s="184"/>
      <c r="AG463" s="184"/>
      <c r="AH463" s="184"/>
      <c r="AI463" s="184"/>
      <c r="AJ463" s="184"/>
      <c r="AK463" s="184"/>
      <c r="AL463" s="186"/>
      <c r="AM463" s="187"/>
      <c r="AN463" s="187"/>
      <c r="AO463" s="187"/>
    </row>
    <row r="464" spans="1:41" s="163" customFormat="1" ht="16.5" customHeight="1">
      <c r="A464" s="180"/>
      <c r="B464" s="181"/>
      <c r="C464" s="182"/>
      <c r="D464" s="182"/>
      <c r="E464" s="183"/>
      <c r="F464" s="183"/>
      <c r="G464" s="183"/>
      <c r="H464" s="184"/>
      <c r="I464" s="184"/>
      <c r="J464" s="184"/>
      <c r="K464" s="184"/>
      <c r="L464" s="184"/>
      <c r="M464" s="184"/>
      <c r="N464" s="184"/>
      <c r="O464" s="184"/>
      <c r="Q464" s="184"/>
      <c r="R464" s="185"/>
      <c r="S464" s="185"/>
      <c r="U464" s="184"/>
      <c r="V464" s="184"/>
      <c r="W464" s="184"/>
      <c r="X464" s="184"/>
      <c r="Y464" s="184"/>
      <c r="Z464" s="184"/>
      <c r="AA464" s="184"/>
      <c r="AB464" s="184"/>
      <c r="AC464" s="184"/>
      <c r="AD464" s="184"/>
      <c r="AE464" s="184"/>
      <c r="AF464" s="184"/>
      <c r="AG464" s="184"/>
      <c r="AH464" s="184"/>
      <c r="AI464" s="184"/>
      <c r="AJ464" s="184"/>
      <c r="AK464" s="184"/>
      <c r="AL464" s="186"/>
      <c r="AM464" s="187"/>
      <c r="AN464" s="187"/>
      <c r="AO464" s="187"/>
    </row>
    <row r="465" spans="1:41" s="163" customFormat="1" ht="16.5" customHeight="1">
      <c r="A465" s="180"/>
      <c r="B465" s="181"/>
      <c r="C465" s="182"/>
      <c r="D465" s="182"/>
      <c r="E465" s="183"/>
      <c r="F465" s="183"/>
      <c r="G465" s="183"/>
      <c r="H465" s="184"/>
      <c r="I465" s="184"/>
      <c r="J465" s="184"/>
      <c r="K465" s="184"/>
      <c r="L465" s="184"/>
      <c r="M465" s="184"/>
      <c r="N465" s="184"/>
      <c r="O465" s="184"/>
      <c r="Q465" s="184"/>
      <c r="R465" s="185"/>
      <c r="S465" s="185"/>
      <c r="U465" s="184"/>
      <c r="V465" s="184"/>
      <c r="W465" s="184"/>
      <c r="X465" s="184"/>
      <c r="Y465" s="184"/>
      <c r="Z465" s="184"/>
      <c r="AA465" s="184"/>
      <c r="AB465" s="184"/>
      <c r="AC465" s="184"/>
      <c r="AD465" s="184"/>
      <c r="AE465" s="184"/>
      <c r="AF465" s="184"/>
      <c r="AG465" s="184"/>
      <c r="AH465" s="184"/>
      <c r="AI465" s="184"/>
      <c r="AJ465" s="184"/>
      <c r="AK465" s="184"/>
      <c r="AL465" s="186"/>
      <c r="AM465" s="187"/>
      <c r="AN465" s="187"/>
      <c r="AO465" s="187"/>
    </row>
    <row r="466" spans="1:41" s="163" customFormat="1" ht="16.5" customHeight="1">
      <c r="A466" s="180"/>
      <c r="B466" s="181"/>
      <c r="C466" s="182"/>
      <c r="D466" s="182"/>
      <c r="E466" s="183"/>
      <c r="F466" s="183"/>
      <c r="G466" s="183"/>
      <c r="H466" s="184"/>
      <c r="I466" s="184"/>
      <c r="J466" s="184"/>
      <c r="K466" s="184"/>
      <c r="L466" s="184"/>
      <c r="M466" s="184"/>
      <c r="N466" s="184"/>
      <c r="O466" s="184"/>
      <c r="Q466" s="184"/>
      <c r="R466" s="185"/>
      <c r="S466" s="185"/>
      <c r="U466" s="184"/>
      <c r="V466" s="184"/>
      <c r="W466" s="184"/>
      <c r="X466" s="184"/>
      <c r="Y466" s="184"/>
      <c r="Z466" s="184"/>
      <c r="AA466" s="184"/>
      <c r="AB466" s="184"/>
      <c r="AC466" s="184"/>
      <c r="AD466" s="184"/>
      <c r="AE466" s="184"/>
      <c r="AF466" s="184"/>
      <c r="AG466" s="184"/>
      <c r="AH466" s="184"/>
      <c r="AI466" s="184"/>
      <c r="AJ466" s="184"/>
      <c r="AK466" s="184"/>
      <c r="AL466" s="186"/>
      <c r="AM466" s="187"/>
      <c r="AN466" s="187"/>
      <c r="AO466" s="187"/>
    </row>
    <row r="467" spans="1:41" s="163" customFormat="1" ht="16.5" customHeight="1">
      <c r="A467" s="180"/>
      <c r="B467" s="181"/>
      <c r="C467" s="182"/>
      <c r="D467" s="182"/>
      <c r="E467" s="183"/>
      <c r="F467" s="183"/>
      <c r="G467" s="183"/>
      <c r="H467" s="184"/>
      <c r="I467" s="184"/>
      <c r="J467" s="184"/>
      <c r="K467" s="184"/>
      <c r="L467" s="184"/>
      <c r="M467" s="184"/>
      <c r="N467" s="184"/>
      <c r="O467" s="184"/>
      <c r="Q467" s="184"/>
      <c r="R467" s="185"/>
      <c r="S467" s="185"/>
      <c r="U467" s="184"/>
      <c r="V467" s="184"/>
      <c r="W467" s="184"/>
      <c r="X467" s="184"/>
      <c r="Y467" s="184"/>
      <c r="Z467" s="184"/>
      <c r="AA467" s="184"/>
      <c r="AB467" s="184"/>
      <c r="AC467" s="184"/>
      <c r="AD467" s="184"/>
      <c r="AE467" s="184"/>
      <c r="AF467" s="184"/>
      <c r="AG467" s="184"/>
      <c r="AH467" s="184"/>
      <c r="AI467" s="184"/>
      <c r="AJ467" s="184"/>
      <c r="AK467" s="184"/>
      <c r="AL467" s="186"/>
      <c r="AM467" s="187"/>
      <c r="AN467" s="187"/>
      <c r="AO467" s="187"/>
    </row>
    <row r="468" spans="1:41" s="163" customFormat="1" ht="16.5" customHeight="1">
      <c r="A468" s="180"/>
      <c r="B468" s="181"/>
      <c r="C468" s="182"/>
      <c r="D468" s="182"/>
      <c r="E468" s="183"/>
      <c r="F468" s="183"/>
      <c r="G468" s="183"/>
      <c r="H468" s="184"/>
      <c r="I468" s="184"/>
      <c r="J468" s="184"/>
      <c r="K468" s="184"/>
      <c r="L468" s="184"/>
      <c r="M468" s="184"/>
      <c r="N468" s="184"/>
      <c r="O468" s="184"/>
      <c r="Q468" s="184"/>
      <c r="R468" s="185"/>
      <c r="S468" s="185"/>
      <c r="U468" s="184"/>
      <c r="V468" s="184"/>
      <c r="W468" s="184"/>
      <c r="X468" s="184"/>
      <c r="Y468" s="184"/>
      <c r="Z468" s="184"/>
      <c r="AA468" s="184"/>
      <c r="AB468" s="184"/>
      <c r="AC468" s="184"/>
      <c r="AD468" s="184"/>
      <c r="AE468" s="184"/>
      <c r="AF468" s="184"/>
      <c r="AG468" s="184"/>
      <c r="AH468" s="184"/>
      <c r="AI468" s="184"/>
      <c r="AJ468" s="184"/>
      <c r="AK468" s="184"/>
      <c r="AL468" s="186"/>
      <c r="AM468" s="187"/>
      <c r="AN468" s="187"/>
      <c r="AO468" s="187"/>
    </row>
    <row r="469" spans="1:41" s="163" customFormat="1" ht="16.5" customHeight="1">
      <c r="A469" s="180"/>
      <c r="B469" s="181"/>
      <c r="C469" s="182"/>
      <c r="D469" s="182"/>
      <c r="E469" s="183"/>
      <c r="F469" s="183"/>
      <c r="G469" s="183"/>
      <c r="H469" s="184"/>
      <c r="I469" s="184"/>
      <c r="J469" s="184"/>
      <c r="K469" s="184"/>
      <c r="L469" s="184"/>
      <c r="M469" s="184"/>
      <c r="N469" s="184"/>
      <c r="O469" s="184"/>
      <c r="Q469" s="184"/>
      <c r="R469" s="185"/>
      <c r="S469" s="185"/>
      <c r="U469" s="184"/>
      <c r="V469" s="184"/>
      <c r="W469" s="184"/>
      <c r="X469" s="184"/>
      <c r="Y469" s="184"/>
      <c r="Z469" s="184"/>
      <c r="AA469" s="184"/>
      <c r="AB469" s="184"/>
      <c r="AC469" s="184"/>
      <c r="AD469" s="184"/>
      <c r="AE469" s="184"/>
      <c r="AF469" s="184"/>
      <c r="AG469" s="184"/>
      <c r="AH469" s="184"/>
      <c r="AI469" s="184"/>
      <c r="AJ469" s="184"/>
      <c r="AK469" s="184"/>
      <c r="AL469" s="186"/>
      <c r="AM469" s="187"/>
      <c r="AN469" s="187"/>
      <c r="AO469" s="187"/>
    </row>
    <row r="470" spans="1:41" s="163" customFormat="1" ht="16.5" customHeight="1">
      <c r="A470" s="180"/>
      <c r="B470" s="181"/>
      <c r="C470" s="182"/>
      <c r="D470" s="182"/>
      <c r="E470" s="183"/>
      <c r="F470" s="183"/>
      <c r="G470" s="183"/>
      <c r="H470" s="184"/>
      <c r="I470" s="184"/>
      <c r="J470" s="184"/>
      <c r="K470" s="184"/>
      <c r="L470" s="184"/>
      <c r="M470" s="184"/>
      <c r="N470" s="184"/>
      <c r="O470" s="184"/>
      <c r="Q470" s="184"/>
      <c r="R470" s="185"/>
      <c r="S470" s="185"/>
      <c r="U470" s="184"/>
      <c r="V470" s="184"/>
      <c r="W470" s="184"/>
      <c r="X470" s="184"/>
      <c r="Y470" s="184"/>
      <c r="Z470" s="184"/>
      <c r="AA470" s="184"/>
      <c r="AB470" s="184"/>
      <c r="AC470" s="184"/>
      <c r="AD470" s="184"/>
      <c r="AE470" s="184"/>
      <c r="AF470" s="184"/>
      <c r="AG470" s="184"/>
      <c r="AH470" s="184"/>
      <c r="AI470" s="184"/>
      <c r="AJ470" s="184"/>
      <c r="AK470" s="184"/>
      <c r="AL470" s="186"/>
      <c r="AM470" s="187"/>
      <c r="AN470" s="187"/>
      <c r="AO470" s="187"/>
    </row>
    <row r="471" spans="1:41" s="163" customFormat="1" ht="16.5" customHeight="1">
      <c r="A471" s="180"/>
      <c r="B471" s="181"/>
      <c r="C471" s="182"/>
      <c r="D471" s="182"/>
      <c r="E471" s="183"/>
      <c r="F471" s="183"/>
      <c r="G471" s="183"/>
      <c r="H471" s="184"/>
      <c r="I471" s="184"/>
      <c r="J471" s="184"/>
      <c r="K471" s="184"/>
      <c r="L471" s="184"/>
      <c r="M471" s="184"/>
      <c r="N471" s="184"/>
      <c r="O471" s="184"/>
      <c r="Q471" s="184"/>
      <c r="R471" s="185"/>
      <c r="S471" s="185"/>
      <c r="U471" s="184"/>
      <c r="V471" s="184"/>
      <c r="W471" s="184"/>
      <c r="X471" s="184"/>
      <c r="Y471" s="184"/>
      <c r="Z471" s="184"/>
      <c r="AA471" s="184"/>
      <c r="AB471" s="184"/>
      <c r="AC471" s="184"/>
      <c r="AD471" s="184"/>
      <c r="AE471" s="184"/>
      <c r="AF471" s="184"/>
      <c r="AG471" s="184"/>
      <c r="AH471" s="184"/>
      <c r="AI471" s="184"/>
      <c r="AJ471" s="184"/>
      <c r="AK471" s="184"/>
      <c r="AL471" s="186"/>
      <c r="AM471" s="187"/>
      <c r="AN471" s="187"/>
      <c r="AO471" s="187"/>
    </row>
    <row r="472" spans="1:41" s="163" customFormat="1" ht="16.5" customHeight="1">
      <c r="A472" s="180"/>
      <c r="B472" s="181"/>
      <c r="C472" s="182"/>
      <c r="D472" s="182"/>
      <c r="E472" s="183"/>
      <c r="F472" s="183"/>
      <c r="G472" s="183"/>
      <c r="H472" s="184"/>
      <c r="I472" s="184"/>
      <c r="J472" s="184"/>
      <c r="K472" s="184"/>
      <c r="L472" s="184"/>
      <c r="M472" s="184"/>
      <c r="N472" s="184"/>
      <c r="O472" s="184"/>
      <c r="Q472" s="184"/>
      <c r="R472" s="185"/>
      <c r="S472" s="185"/>
      <c r="U472" s="184"/>
      <c r="V472" s="184"/>
      <c r="W472" s="184"/>
      <c r="X472" s="184"/>
      <c r="Y472" s="184"/>
      <c r="Z472" s="184"/>
      <c r="AA472" s="184"/>
      <c r="AB472" s="184"/>
      <c r="AC472" s="184"/>
      <c r="AD472" s="184"/>
      <c r="AE472" s="184"/>
      <c r="AF472" s="184"/>
      <c r="AG472" s="184"/>
      <c r="AH472" s="184"/>
      <c r="AI472" s="184"/>
      <c r="AJ472" s="184"/>
      <c r="AK472" s="184"/>
      <c r="AL472" s="186"/>
      <c r="AM472" s="187"/>
      <c r="AN472" s="187"/>
      <c r="AO472" s="187"/>
    </row>
    <row r="473" spans="1:41" s="163" customFormat="1" ht="16.5" customHeight="1">
      <c r="A473" s="180"/>
      <c r="B473" s="181"/>
      <c r="C473" s="182"/>
      <c r="D473" s="182"/>
      <c r="E473" s="183"/>
      <c r="F473" s="183"/>
      <c r="G473" s="183"/>
      <c r="H473" s="184"/>
      <c r="I473" s="184"/>
      <c r="J473" s="184"/>
      <c r="K473" s="184"/>
      <c r="L473" s="184"/>
      <c r="M473" s="184"/>
      <c r="N473" s="184"/>
      <c r="O473" s="184"/>
      <c r="Q473" s="184"/>
      <c r="R473" s="185"/>
      <c r="S473" s="185"/>
      <c r="U473" s="184"/>
      <c r="V473" s="184"/>
      <c r="W473" s="184"/>
      <c r="X473" s="184"/>
      <c r="Y473" s="184"/>
      <c r="Z473" s="184"/>
      <c r="AA473" s="184"/>
      <c r="AB473" s="184"/>
      <c r="AC473" s="184"/>
      <c r="AD473" s="184"/>
      <c r="AE473" s="184"/>
      <c r="AF473" s="184"/>
      <c r="AG473" s="184"/>
      <c r="AH473" s="184"/>
      <c r="AI473" s="184"/>
      <c r="AJ473" s="184"/>
      <c r="AK473" s="184"/>
      <c r="AL473" s="186"/>
      <c r="AM473" s="187"/>
      <c r="AN473" s="187"/>
      <c r="AO473" s="187"/>
    </row>
    <row r="474" spans="1:41" s="163" customFormat="1" ht="16.5" customHeight="1">
      <c r="A474" s="180"/>
      <c r="B474" s="181"/>
      <c r="C474" s="182"/>
      <c r="D474" s="182"/>
      <c r="E474" s="183"/>
      <c r="F474" s="183"/>
      <c r="G474" s="183"/>
      <c r="H474" s="184"/>
      <c r="I474" s="184"/>
      <c r="J474" s="184"/>
      <c r="K474" s="184"/>
      <c r="L474" s="184"/>
      <c r="M474" s="184"/>
      <c r="N474" s="184"/>
      <c r="O474" s="184"/>
      <c r="Q474" s="184"/>
      <c r="R474" s="185"/>
      <c r="S474" s="185"/>
      <c r="U474" s="184"/>
      <c r="V474" s="184"/>
      <c r="W474" s="184"/>
      <c r="X474" s="184"/>
      <c r="Y474" s="184"/>
      <c r="Z474" s="184"/>
      <c r="AA474" s="184"/>
      <c r="AB474" s="184"/>
      <c r="AC474" s="184"/>
      <c r="AD474" s="184"/>
      <c r="AE474" s="184"/>
      <c r="AF474" s="184"/>
      <c r="AG474" s="184"/>
      <c r="AH474" s="184"/>
      <c r="AI474" s="184"/>
      <c r="AJ474" s="184"/>
      <c r="AK474" s="184"/>
      <c r="AL474" s="186"/>
      <c r="AM474" s="187"/>
      <c r="AN474" s="187"/>
      <c r="AO474" s="187"/>
    </row>
    <row r="475" spans="1:41" s="163" customFormat="1" ht="16.5" customHeight="1">
      <c r="A475" s="180"/>
      <c r="B475" s="181"/>
      <c r="C475" s="182"/>
      <c r="D475" s="182"/>
      <c r="E475" s="183"/>
      <c r="F475" s="183"/>
      <c r="G475" s="183"/>
      <c r="H475" s="184"/>
      <c r="I475" s="184"/>
      <c r="J475" s="184"/>
      <c r="K475" s="184"/>
      <c r="L475" s="184"/>
      <c r="M475" s="184"/>
      <c r="N475" s="184"/>
      <c r="O475" s="184"/>
      <c r="Q475" s="184"/>
      <c r="R475" s="185"/>
      <c r="S475" s="185"/>
      <c r="U475" s="184"/>
      <c r="V475" s="184"/>
      <c r="W475" s="184"/>
      <c r="X475" s="184"/>
      <c r="Y475" s="184"/>
      <c r="Z475" s="184"/>
      <c r="AA475" s="184"/>
      <c r="AB475" s="184"/>
      <c r="AC475" s="184"/>
      <c r="AD475" s="184"/>
      <c r="AE475" s="184"/>
      <c r="AF475" s="184"/>
      <c r="AG475" s="184"/>
      <c r="AH475" s="184"/>
      <c r="AI475" s="184"/>
      <c r="AJ475" s="184"/>
      <c r="AK475" s="184"/>
      <c r="AL475" s="186"/>
      <c r="AM475" s="187"/>
      <c r="AN475" s="187"/>
      <c r="AO475" s="187"/>
    </row>
    <row r="476" spans="1:41" s="163" customFormat="1" ht="16.5" customHeight="1">
      <c r="A476" s="180"/>
      <c r="B476" s="181"/>
      <c r="C476" s="182"/>
      <c r="D476" s="182"/>
      <c r="E476" s="183"/>
      <c r="F476" s="183"/>
      <c r="G476" s="183"/>
      <c r="H476" s="184"/>
      <c r="I476" s="184"/>
      <c r="J476" s="184"/>
      <c r="K476" s="184"/>
      <c r="L476" s="184"/>
      <c r="M476" s="184"/>
      <c r="N476" s="184"/>
      <c r="O476" s="184"/>
      <c r="Q476" s="184"/>
      <c r="R476" s="185"/>
      <c r="S476" s="185"/>
      <c r="U476" s="184"/>
      <c r="V476" s="184"/>
      <c r="W476" s="184"/>
      <c r="X476" s="184"/>
      <c r="Y476" s="184"/>
      <c r="Z476" s="184"/>
      <c r="AA476" s="184"/>
      <c r="AB476" s="184"/>
      <c r="AC476" s="184"/>
      <c r="AD476" s="184"/>
      <c r="AE476" s="184"/>
      <c r="AF476" s="184"/>
      <c r="AG476" s="184"/>
      <c r="AH476" s="184"/>
      <c r="AI476" s="184"/>
      <c r="AJ476" s="184"/>
      <c r="AK476" s="184"/>
      <c r="AL476" s="186"/>
      <c r="AM476" s="187"/>
      <c r="AN476" s="187"/>
      <c r="AO476" s="187"/>
    </row>
    <row r="477" spans="1:41" s="163" customFormat="1" ht="16.5" customHeight="1">
      <c r="A477" s="180"/>
      <c r="B477" s="181"/>
      <c r="C477" s="182"/>
      <c r="D477" s="182"/>
      <c r="E477" s="183"/>
      <c r="F477" s="183"/>
      <c r="G477" s="183"/>
      <c r="H477" s="184"/>
      <c r="I477" s="184"/>
      <c r="J477" s="184"/>
      <c r="K477" s="184"/>
      <c r="L477" s="184"/>
      <c r="M477" s="184"/>
      <c r="N477" s="184"/>
      <c r="O477" s="184"/>
      <c r="Q477" s="184"/>
      <c r="R477" s="185"/>
      <c r="S477" s="185"/>
      <c r="U477" s="184"/>
      <c r="V477" s="184"/>
      <c r="W477" s="184"/>
      <c r="X477" s="184"/>
      <c r="Y477" s="184"/>
      <c r="Z477" s="184"/>
      <c r="AA477" s="184"/>
      <c r="AB477" s="184"/>
      <c r="AC477" s="184"/>
      <c r="AD477" s="184"/>
      <c r="AE477" s="184"/>
      <c r="AF477" s="184"/>
      <c r="AG477" s="184"/>
      <c r="AH477" s="184"/>
      <c r="AI477" s="184"/>
      <c r="AJ477" s="184"/>
      <c r="AK477" s="184"/>
      <c r="AL477" s="186"/>
      <c r="AM477" s="187"/>
      <c r="AN477" s="187"/>
      <c r="AO477" s="187"/>
    </row>
    <row r="478" spans="1:41" s="163" customFormat="1" ht="16.5" customHeight="1">
      <c r="A478" s="180"/>
      <c r="B478" s="181"/>
      <c r="C478" s="182"/>
      <c r="D478" s="182"/>
      <c r="E478" s="183"/>
      <c r="F478" s="183"/>
      <c r="G478" s="183"/>
      <c r="H478" s="184"/>
      <c r="I478" s="184"/>
      <c r="J478" s="184"/>
      <c r="K478" s="184"/>
      <c r="L478" s="184"/>
      <c r="M478" s="184"/>
      <c r="N478" s="184"/>
      <c r="O478" s="184"/>
      <c r="Q478" s="184"/>
      <c r="R478" s="185"/>
      <c r="S478" s="185"/>
      <c r="U478" s="184"/>
      <c r="V478" s="184"/>
      <c r="W478" s="184"/>
      <c r="X478" s="184"/>
      <c r="Y478" s="184"/>
      <c r="Z478" s="184"/>
      <c r="AA478" s="184"/>
      <c r="AB478" s="184"/>
      <c r="AC478" s="184"/>
      <c r="AD478" s="184"/>
      <c r="AE478" s="184"/>
      <c r="AF478" s="184"/>
      <c r="AG478" s="184"/>
      <c r="AH478" s="184"/>
      <c r="AI478" s="184"/>
      <c r="AJ478" s="184"/>
      <c r="AK478" s="184"/>
      <c r="AL478" s="186"/>
      <c r="AM478" s="187"/>
      <c r="AN478" s="187"/>
      <c r="AO478" s="187"/>
    </row>
    <row r="479" spans="1:41" s="163" customFormat="1" ht="16.5" customHeight="1">
      <c r="A479" s="180"/>
      <c r="B479" s="181"/>
      <c r="C479" s="182"/>
      <c r="D479" s="182"/>
      <c r="E479" s="183"/>
      <c r="F479" s="183"/>
      <c r="G479" s="183"/>
      <c r="H479" s="184"/>
      <c r="I479" s="184"/>
      <c r="J479" s="184"/>
      <c r="K479" s="184"/>
      <c r="L479" s="184"/>
      <c r="M479" s="184"/>
      <c r="N479" s="184"/>
      <c r="O479" s="184"/>
      <c r="Q479" s="184"/>
      <c r="R479" s="185"/>
      <c r="S479" s="185"/>
      <c r="U479" s="184"/>
      <c r="V479" s="184"/>
      <c r="W479" s="184"/>
      <c r="X479" s="184"/>
      <c r="Y479" s="184"/>
      <c r="Z479" s="184"/>
      <c r="AA479" s="184"/>
      <c r="AB479" s="184"/>
      <c r="AC479" s="184"/>
      <c r="AD479" s="184"/>
      <c r="AE479" s="184"/>
      <c r="AF479" s="184"/>
      <c r="AG479" s="184"/>
      <c r="AH479" s="184"/>
      <c r="AI479" s="184"/>
      <c r="AJ479" s="184"/>
      <c r="AK479" s="184"/>
      <c r="AL479" s="186"/>
      <c r="AM479" s="187"/>
      <c r="AN479" s="187"/>
      <c r="AO479" s="187"/>
    </row>
    <row r="480" spans="1:41" s="163" customFormat="1" ht="16.5" customHeight="1">
      <c r="A480" s="180"/>
      <c r="B480" s="181"/>
      <c r="C480" s="182"/>
      <c r="D480" s="182"/>
      <c r="E480" s="183"/>
      <c r="F480" s="183"/>
      <c r="G480" s="183"/>
      <c r="H480" s="184"/>
      <c r="I480" s="184"/>
      <c r="J480" s="184"/>
      <c r="K480" s="184"/>
      <c r="L480" s="184"/>
      <c r="M480" s="184"/>
      <c r="N480" s="184"/>
      <c r="O480" s="184"/>
      <c r="Q480" s="184"/>
      <c r="R480" s="185"/>
      <c r="S480" s="185"/>
      <c r="U480" s="184"/>
      <c r="V480" s="184"/>
      <c r="W480" s="184"/>
      <c r="X480" s="184"/>
      <c r="Y480" s="184"/>
      <c r="Z480" s="184"/>
      <c r="AA480" s="184"/>
      <c r="AB480" s="184"/>
      <c r="AC480" s="184"/>
      <c r="AD480" s="184"/>
      <c r="AE480" s="184"/>
      <c r="AF480" s="184"/>
      <c r="AG480" s="184"/>
      <c r="AH480" s="184"/>
      <c r="AI480" s="184"/>
      <c r="AJ480" s="184"/>
      <c r="AK480" s="184"/>
      <c r="AL480" s="186"/>
      <c r="AM480" s="187"/>
      <c r="AN480" s="187"/>
      <c r="AO480" s="187"/>
    </row>
    <row r="481" spans="1:41" s="163" customFormat="1" ht="16.5" customHeight="1">
      <c r="A481" s="180"/>
      <c r="B481" s="181"/>
      <c r="C481" s="182"/>
      <c r="D481" s="182"/>
      <c r="E481" s="183"/>
      <c r="F481" s="183"/>
      <c r="G481" s="183"/>
      <c r="H481" s="184"/>
      <c r="I481" s="184"/>
      <c r="J481" s="184"/>
      <c r="K481" s="184"/>
      <c r="L481" s="184"/>
      <c r="M481" s="184"/>
      <c r="N481" s="184"/>
      <c r="O481" s="184"/>
      <c r="Q481" s="184"/>
      <c r="R481" s="185"/>
      <c r="S481" s="185"/>
      <c r="U481" s="184"/>
      <c r="V481" s="184"/>
      <c r="W481" s="184"/>
      <c r="X481" s="184"/>
      <c r="Y481" s="184"/>
      <c r="Z481" s="184"/>
      <c r="AA481" s="184"/>
      <c r="AB481" s="184"/>
      <c r="AC481" s="184"/>
      <c r="AD481" s="184"/>
      <c r="AE481" s="184"/>
      <c r="AF481" s="184"/>
      <c r="AG481" s="184"/>
      <c r="AH481" s="184"/>
      <c r="AI481" s="184"/>
      <c r="AJ481" s="184"/>
      <c r="AK481" s="184"/>
      <c r="AL481" s="186"/>
      <c r="AM481" s="187"/>
      <c r="AN481" s="187"/>
      <c r="AO481" s="187"/>
    </row>
    <row r="482" spans="1:41" s="163" customFormat="1" ht="16.5" customHeight="1">
      <c r="A482" s="180"/>
      <c r="B482" s="181"/>
      <c r="C482" s="182"/>
      <c r="D482" s="182"/>
      <c r="E482" s="183"/>
      <c r="F482" s="183"/>
      <c r="G482" s="183"/>
      <c r="H482" s="184"/>
      <c r="I482" s="184"/>
      <c r="J482" s="184"/>
      <c r="K482" s="184"/>
      <c r="L482" s="184"/>
      <c r="M482" s="184"/>
      <c r="N482" s="184"/>
      <c r="O482" s="184"/>
      <c r="Q482" s="184"/>
      <c r="R482" s="185"/>
      <c r="S482" s="185"/>
      <c r="U482" s="184"/>
      <c r="V482" s="184"/>
      <c r="W482" s="184"/>
      <c r="X482" s="184"/>
      <c r="Y482" s="184"/>
      <c r="Z482" s="184"/>
      <c r="AA482" s="184"/>
      <c r="AB482" s="184"/>
      <c r="AC482" s="184"/>
      <c r="AD482" s="184"/>
      <c r="AE482" s="184"/>
      <c r="AF482" s="184"/>
      <c r="AG482" s="184"/>
      <c r="AH482" s="184"/>
      <c r="AI482" s="184"/>
      <c r="AJ482" s="184"/>
      <c r="AK482" s="184"/>
      <c r="AL482" s="186"/>
      <c r="AM482" s="187"/>
      <c r="AN482" s="187"/>
      <c r="AO482" s="187"/>
    </row>
    <row r="483" spans="1:41" s="163" customFormat="1" ht="16.5" customHeight="1">
      <c r="A483" s="180"/>
      <c r="B483" s="181"/>
      <c r="C483" s="182"/>
      <c r="D483" s="182"/>
      <c r="E483" s="183"/>
      <c r="F483" s="183"/>
      <c r="G483" s="183"/>
      <c r="H483" s="184"/>
      <c r="I483" s="184"/>
      <c r="J483" s="184"/>
      <c r="K483" s="184"/>
      <c r="L483" s="184"/>
      <c r="M483" s="184"/>
      <c r="N483" s="184"/>
      <c r="O483" s="184"/>
      <c r="Q483" s="184"/>
      <c r="R483" s="185"/>
      <c r="S483" s="185"/>
      <c r="U483" s="184"/>
      <c r="V483" s="184"/>
      <c r="W483" s="184"/>
      <c r="X483" s="184"/>
      <c r="Y483" s="184"/>
      <c r="Z483" s="184"/>
      <c r="AA483" s="184"/>
      <c r="AB483" s="184"/>
      <c r="AC483" s="184"/>
      <c r="AD483" s="184"/>
      <c r="AE483" s="184"/>
      <c r="AF483" s="184"/>
      <c r="AG483" s="184"/>
      <c r="AH483" s="184"/>
      <c r="AI483" s="184"/>
      <c r="AJ483" s="184"/>
      <c r="AK483" s="184"/>
      <c r="AL483" s="186"/>
      <c r="AM483" s="187"/>
      <c r="AN483" s="187"/>
      <c r="AO483" s="187"/>
    </row>
    <row r="484" spans="1:41" s="163" customFormat="1" ht="16.5" customHeight="1">
      <c r="A484" s="180"/>
      <c r="B484" s="181"/>
      <c r="C484" s="182"/>
      <c r="D484" s="182"/>
      <c r="E484" s="183"/>
      <c r="F484" s="183"/>
      <c r="G484" s="183"/>
      <c r="H484" s="184"/>
      <c r="I484" s="184"/>
      <c r="J484" s="184"/>
      <c r="K484" s="184"/>
      <c r="L484" s="184"/>
      <c r="M484" s="184"/>
      <c r="N484" s="184"/>
      <c r="O484" s="184"/>
      <c r="Q484" s="184"/>
      <c r="R484" s="185"/>
      <c r="S484" s="185"/>
      <c r="U484" s="184"/>
      <c r="V484" s="184"/>
      <c r="W484" s="184"/>
      <c r="X484" s="184"/>
      <c r="Y484" s="184"/>
      <c r="Z484" s="184"/>
      <c r="AA484" s="184"/>
      <c r="AB484" s="184"/>
      <c r="AC484" s="184"/>
      <c r="AD484" s="184"/>
      <c r="AE484" s="184"/>
      <c r="AF484" s="184"/>
      <c r="AG484" s="184"/>
      <c r="AH484" s="184"/>
      <c r="AI484" s="184"/>
      <c r="AJ484" s="184"/>
      <c r="AK484" s="184"/>
      <c r="AL484" s="186"/>
      <c r="AM484" s="187"/>
      <c r="AN484" s="187"/>
      <c r="AO484" s="187"/>
    </row>
    <row r="485" spans="1:41" s="163" customFormat="1" ht="16.5" customHeight="1">
      <c r="A485" s="180"/>
      <c r="B485" s="181"/>
      <c r="C485" s="182"/>
      <c r="D485" s="182"/>
      <c r="E485" s="183"/>
      <c r="F485" s="183"/>
      <c r="G485" s="183"/>
      <c r="H485" s="184"/>
      <c r="I485" s="184"/>
      <c r="J485" s="184"/>
      <c r="K485" s="184"/>
      <c r="L485" s="184"/>
      <c r="M485" s="184"/>
      <c r="N485" s="184"/>
      <c r="O485" s="184"/>
      <c r="Q485" s="184"/>
      <c r="R485" s="185"/>
      <c r="S485" s="185"/>
      <c r="U485" s="184"/>
      <c r="V485" s="184"/>
      <c r="W485" s="184"/>
      <c r="X485" s="184"/>
      <c r="Y485" s="184"/>
      <c r="Z485" s="184"/>
      <c r="AA485" s="184"/>
      <c r="AB485" s="184"/>
      <c r="AC485" s="184"/>
      <c r="AD485" s="184"/>
      <c r="AE485" s="184"/>
      <c r="AF485" s="184"/>
      <c r="AG485" s="184"/>
      <c r="AH485" s="184"/>
      <c r="AI485" s="184"/>
      <c r="AJ485" s="184"/>
      <c r="AK485" s="184"/>
      <c r="AL485" s="186"/>
      <c r="AM485" s="187"/>
      <c r="AN485" s="187"/>
      <c r="AO485" s="187"/>
    </row>
    <row r="486" spans="1:41" s="163" customFormat="1" ht="16.5" customHeight="1">
      <c r="A486" s="180"/>
      <c r="B486" s="181"/>
      <c r="C486" s="182"/>
      <c r="D486" s="182"/>
      <c r="E486" s="183"/>
      <c r="F486" s="183"/>
      <c r="G486" s="183"/>
      <c r="H486" s="184"/>
      <c r="I486" s="184"/>
      <c r="J486" s="184"/>
      <c r="K486" s="184"/>
      <c r="L486" s="184"/>
      <c r="M486" s="184"/>
      <c r="N486" s="184"/>
      <c r="O486" s="184"/>
      <c r="Q486" s="184"/>
      <c r="R486" s="185"/>
      <c r="S486" s="185"/>
      <c r="U486" s="184"/>
      <c r="V486" s="184"/>
      <c r="W486" s="184"/>
      <c r="X486" s="184"/>
      <c r="Y486" s="184"/>
      <c r="Z486" s="184"/>
      <c r="AA486" s="184"/>
      <c r="AB486" s="184"/>
      <c r="AC486" s="184"/>
      <c r="AD486" s="184"/>
      <c r="AE486" s="184"/>
      <c r="AF486" s="184"/>
      <c r="AG486" s="184"/>
      <c r="AH486" s="184"/>
      <c r="AI486" s="184"/>
      <c r="AJ486" s="184"/>
      <c r="AK486" s="184"/>
      <c r="AL486" s="186"/>
      <c r="AM486" s="187"/>
      <c r="AN486" s="187"/>
      <c r="AO486" s="187"/>
    </row>
    <row r="487" spans="1:41" s="163" customFormat="1" ht="16.5" customHeight="1">
      <c r="A487" s="180"/>
      <c r="B487" s="181"/>
      <c r="C487" s="182"/>
      <c r="D487" s="182"/>
      <c r="E487" s="183"/>
      <c r="F487" s="183"/>
      <c r="G487" s="183"/>
      <c r="H487" s="184"/>
      <c r="I487" s="184"/>
      <c r="J487" s="184"/>
      <c r="K487" s="184"/>
      <c r="L487" s="184"/>
      <c r="M487" s="184"/>
      <c r="N487" s="184"/>
      <c r="O487" s="184"/>
      <c r="Q487" s="184"/>
      <c r="R487" s="185"/>
      <c r="S487" s="185"/>
      <c r="U487" s="184"/>
      <c r="V487" s="184"/>
      <c r="W487" s="184"/>
      <c r="X487" s="184"/>
      <c r="Y487" s="184"/>
      <c r="Z487" s="184"/>
      <c r="AA487" s="184"/>
      <c r="AB487" s="184"/>
      <c r="AC487" s="184"/>
      <c r="AD487" s="184"/>
      <c r="AE487" s="184"/>
      <c r="AF487" s="184"/>
      <c r="AG487" s="184"/>
      <c r="AH487" s="184"/>
      <c r="AI487" s="184"/>
      <c r="AJ487" s="184"/>
      <c r="AK487" s="184"/>
      <c r="AL487" s="186"/>
      <c r="AM487" s="187"/>
      <c r="AN487" s="187"/>
      <c r="AO487" s="187"/>
    </row>
    <row r="488" spans="1:41" s="163" customFormat="1" ht="16.5" customHeight="1">
      <c r="A488" s="180"/>
      <c r="B488" s="181"/>
      <c r="C488" s="182"/>
      <c r="D488" s="182"/>
      <c r="E488" s="183"/>
      <c r="F488" s="183"/>
      <c r="G488" s="183"/>
      <c r="H488" s="184"/>
      <c r="I488" s="184"/>
      <c r="J488" s="184"/>
      <c r="K488" s="184"/>
      <c r="L488" s="184"/>
      <c r="M488" s="184"/>
      <c r="N488" s="184"/>
      <c r="O488" s="184"/>
      <c r="Q488" s="184"/>
      <c r="R488" s="185"/>
      <c r="S488" s="185"/>
      <c r="U488" s="184"/>
      <c r="V488" s="184"/>
      <c r="W488" s="184"/>
      <c r="X488" s="184"/>
      <c r="Y488" s="184"/>
      <c r="Z488" s="184"/>
      <c r="AA488" s="184"/>
      <c r="AB488" s="184"/>
      <c r="AC488" s="184"/>
      <c r="AD488" s="184"/>
      <c r="AE488" s="184"/>
      <c r="AF488" s="184"/>
      <c r="AG488" s="184"/>
      <c r="AH488" s="184"/>
      <c r="AI488" s="184"/>
      <c r="AJ488" s="184"/>
      <c r="AK488" s="184"/>
      <c r="AL488" s="186"/>
      <c r="AM488" s="187"/>
      <c r="AN488" s="187"/>
      <c r="AO488" s="187"/>
    </row>
    <row r="489" spans="1:41" s="163" customFormat="1" ht="16.5" customHeight="1">
      <c r="A489" s="180"/>
      <c r="B489" s="181"/>
      <c r="C489" s="182"/>
      <c r="D489" s="182"/>
      <c r="E489" s="183"/>
      <c r="F489" s="183"/>
      <c r="G489" s="183"/>
      <c r="H489" s="184"/>
      <c r="I489" s="184"/>
      <c r="J489" s="184"/>
      <c r="K489" s="184"/>
      <c r="L489" s="184"/>
      <c r="M489" s="184"/>
      <c r="N489" s="184"/>
      <c r="O489" s="184"/>
      <c r="Q489" s="184"/>
      <c r="R489" s="185"/>
      <c r="S489" s="185"/>
      <c r="U489" s="184"/>
      <c r="V489" s="184"/>
      <c r="W489" s="184"/>
      <c r="X489" s="184"/>
      <c r="Y489" s="184"/>
      <c r="Z489" s="184"/>
      <c r="AA489" s="184"/>
      <c r="AB489" s="184"/>
      <c r="AC489" s="184"/>
      <c r="AD489" s="184"/>
      <c r="AE489" s="184"/>
      <c r="AF489" s="184"/>
      <c r="AG489" s="184"/>
      <c r="AH489" s="184"/>
      <c r="AI489" s="184"/>
      <c r="AJ489" s="184"/>
      <c r="AK489" s="184"/>
      <c r="AL489" s="186"/>
      <c r="AM489" s="187"/>
      <c r="AN489" s="187"/>
      <c r="AO489" s="187"/>
    </row>
    <row r="490" spans="1:41" s="163" customFormat="1" ht="16.5" customHeight="1">
      <c r="A490" s="180"/>
      <c r="B490" s="181"/>
      <c r="C490" s="182"/>
      <c r="D490" s="182"/>
      <c r="E490" s="183"/>
      <c r="F490" s="183"/>
      <c r="G490" s="183"/>
      <c r="H490" s="184"/>
      <c r="I490" s="184"/>
      <c r="J490" s="184"/>
      <c r="K490" s="184"/>
      <c r="L490" s="184"/>
      <c r="M490" s="184"/>
      <c r="N490" s="184"/>
      <c r="O490" s="184"/>
      <c r="Q490" s="184"/>
      <c r="R490" s="185"/>
      <c r="S490" s="185"/>
      <c r="U490" s="184"/>
      <c r="V490" s="184"/>
      <c r="W490" s="184"/>
      <c r="X490" s="184"/>
      <c r="Y490" s="184"/>
      <c r="Z490" s="184"/>
      <c r="AA490" s="184"/>
      <c r="AB490" s="184"/>
      <c r="AC490" s="184"/>
      <c r="AD490" s="184"/>
      <c r="AE490" s="184"/>
      <c r="AF490" s="184"/>
      <c r="AG490" s="184"/>
      <c r="AH490" s="184"/>
      <c r="AI490" s="184"/>
      <c r="AJ490" s="184"/>
      <c r="AK490" s="184"/>
      <c r="AL490" s="186"/>
      <c r="AM490" s="187"/>
      <c r="AN490" s="187"/>
      <c r="AO490" s="187"/>
    </row>
    <row r="491" spans="1:41" s="163" customFormat="1" ht="16.5" customHeight="1">
      <c r="A491" s="180"/>
      <c r="B491" s="181"/>
      <c r="C491" s="182"/>
      <c r="D491" s="182"/>
      <c r="E491" s="183"/>
      <c r="F491" s="183"/>
      <c r="G491" s="183"/>
      <c r="H491" s="184"/>
      <c r="I491" s="184"/>
      <c r="J491" s="184"/>
      <c r="K491" s="184"/>
      <c r="L491" s="184"/>
      <c r="M491" s="184"/>
      <c r="N491" s="184"/>
      <c r="O491" s="184"/>
      <c r="Q491" s="184"/>
      <c r="R491" s="185"/>
      <c r="S491" s="185"/>
      <c r="U491" s="184"/>
      <c r="V491" s="184"/>
      <c r="W491" s="184"/>
      <c r="X491" s="184"/>
      <c r="Y491" s="184"/>
      <c r="Z491" s="184"/>
      <c r="AA491" s="184"/>
      <c r="AB491" s="184"/>
      <c r="AC491" s="184"/>
      <c r="AD491" s="184"/>
      <c r="AE491" s="184"/>
      <c r="AF491" s="184"/>
      <c r="AG491" s="184"/>
      <c r="AH491" s="184"/>
      <c r="AI491" s="184"/>
      <c r="AJ491" s="184"/>
      <c r="AK491" s="184"/>
      <c r="AL491" s="186"/>
      <c r="AM491" s="187"/>
      <c r="AN491" s="187"/>
      <c r="AO491" s="187"/>
    </row>
    <row r="492" spans="1:41" s="163" customFormat="1" ht="16.5" customHeight="1">
      <c r="A492" s="180"/>
      <c r="B492" s="181"/>
      <c r="C492" s="182"/>
      <c r="D492" s="182"/>
      <c r="E492" s="183"/>
      <c r="F492" s="183"/>
      <c r="G492" s="183"/>
      <c r="H492" s="184"/>
      <c r="I492" s="184"/>
      <c r="J492" s="184"/>
      <c r="K492" s="184"/>
      <c r="L492" s="184"/>
      <c r="M492" s="184"/>
      <c r="N492" s="184"/>
      <c r="O492" s="184"/>
      <c r="Q492" s="184"/>
      <c r="R492" s="185"/>
      <c r="S492" s="185"/>
      <c r="U492" s="184"/>
      <c r="V492" s="184"/>
      <c r="W492" s="184"/>
      <c r="X492" s="184"/>
      <c r="Y492" s="184"/>
      <c r="Z492" s="184"/>
      <c r="AA492" s="184"/>
      <c r="AB492" s="184"/>
      <c r="AC492" s="184"/>
      <c r="AD492" s="184"/>
      <c r="AE492" s="184"/>
      <c r="AF492" s="184"/>
      <c r="AG492" s="184"/>
      <c r="AH492" s="184"/>
      <c r="AI492" s="184"/>
      <c r="AJ492" s="184"/>
      <c r="AK492" s="184"/>
      <c r="AL492" s="186"/>
      <c r="AM492" s="187"/>
      <c r="AN492" s="187"/>
      <c r="AO492" s="187"/>
    </row>
    <row r="493" spans="1:41" s="163" customFormat="1" ht="16.5" customHeight="1">
      <c r="A493" s="180"/>
      <c r="B493" s="181"/>
      <c r="C493" s="182"/>
      <c r="D493" s="182"/>
      <c r="E493" s="183"/>
      <c r="F493" s="183"/>
      <c r="G493" s="183"/>
      <c r="H493" s="184"/>
      <c r="I493" s="184"/>
      <c r="J493" s="184"/>
      <c r="K493" s="184"/>
      <c r="L493" s="184"/>
      <c r="M493" s="184"/>
      <c r="N493" s="184"/>
      <c r="O493" s="184"/>
      <c r="Q493" s="184"/>
      <c r="R493" s="185"/>
      <c r="S493" s="185"/>
      <c r="U493" s="184"/>
      <c r="V493" s="184"/>
      <c r="W493" s="184"/>
      <c r="X493" s="184"/>
      <c r="Y493" s="184"/>
      <c r="Z493" s="184"/>
      <c r="AA493" s="184"/>
      <c r="AB493" s="184"/>
      <c r="AC493" s="184"/>
      <c r="AD493" s="184"/>
      <c r="AE493" s="184"/>
      <c r="AF493" s="184"/>
      <c r="AG493" s="184"/>
      <c r="AH493" s="184"/>
      <c r="AI493" s="184"/>
      <c r="AJ493" s="184"/>
      <c r="AK493" s="184"/>
      <c r="AL493" s="186"/>
      <c r="AM493" s="187"/>
      <c r="AN493" s="187"/>
      <c r="AO493" s="187"/>
    </row>
    <row r="494" spans="1:41" s="163" customFormat="1" ht="16.5" customHeight="1">
      <c r="A494" s="180"/>
      <c r="B494" s="181"/>
      <c r="C494" s="182"/>
      <c r="D494" s="182"/>
      <c r="E494" s="183"/>
      <c r="F494" s="183"/>
      <c r="G494" s="183"/>
      <c r="H494" s="184"/>
      <c r="I494" s="184"/>
      <c r="J494" s="184"/>
      <c r="K494" s="184"/>
      <c r="L494" s="184"/>
      <c r="M494" s="184"/>
      <c r="N494" s="184"/>
      <c r="O494" s="184"/>
      <c r="Q494" s="184"/>
      <c r="R494" s="185"/>
      <c r="S494" s="185"/>
      <c r="U494" s="184"/>
      <c r="V494" s="184"/>
      <c r="W494" s="184"/>
      <c r="X494" s="184"/>
      <c r="Y494" s="184"/>
      <c r="Z494" s="184"/>
      <c r="AA494" s="184"/>
      <c r="AB494" s="184"/>
      <c r="AC494" s="184"/>
      <c r="AD494" s="184"/>
      <c r="AE494" s="184"/>
      <c r="AF494" s="184"/>
      <c r="AG494" s="184"/>
      <c r="AH494" s="184"/>
      <c r="AI494" s="184"/>
      <c r="AJ494" s="184"/>
      <c r="AK494" s="184"/>
      <c r="AL494" s="186"/>
      <c r="AM494" s="187"/>
      <c r="AN494" s="187"/>
      <c r="AO494" s="187"/>
    </row>
    <row r="495" spans="1:41" s="163" customFormat="1" ht="16.5" customHeight="1">
      <c r="A495" s="180"/>
      <c r="B495" s="181"/>
      <c r="C495" s="182"/>
      <c r="D495" s="182"/>
      <c r="E495" s="183"/>
      <c r="F495" s="183"/>
      <c r="G495" s="183"/>
      <c r="H495" s="184"/>
      <c r="I495" s="184"/>
      <c r="J495" s="184"/>
      <c r="K495" s="184"/>
      <c r="L495" s="184"/>
      <c r="M495" s="184"/>
      <c r="N495" s="184"/>
      <c r="O495" s="184"/>
      <c r="Q495" s="184"/>
      <c r="R495" s="185"/>
      <c r="S495" s="185"/>
      <c r="U495" s="184"/>
      <c r="V495" s="184"/>
      <c r="W495" s="184"/>
      <c r="X495" s="184"/>
      <c r="Y495" s="184"/>
      <c r="Z495" s="184"/>
      <c r="AA495" s="184"/>
      <c r="AB495" s="184"/>
      <c r="AC495" s="184"/>
      <c r="AD495" s="184"/>
      <c r="AE495" s="184"/>
      <c r="AF495" s="184"/>
      <c r="AG495" s="184"/>
      <c r="AH495" s="184"/>
      <c r="AI495" s="184"/>
      <c r="AJ495" s="184"/>
      <c r="AK495" s="184"/>
      <c r="AL495" s="186"/>
      <c r="AM495" s="187"/>
      <c r="AN495" s="187"/>
      <c r="AO495" s="187"/>
    </row>
    <row r="496" spans="1:41" s="163" customFormat="1" ht="16.5" customHeight="1">
      <c r="A496" s="180"/>
      <c r="B496" s="181"/>
      <c r="C496" s="182"/>
      <c r="D496" s="182"/>
      <c r="E496" s="183"/>
      <c r="F496" s="183"/>
      <c r="G496" s="183"/>
      <c r="H496" s="184"/>
      <c r="I496" s="184"/>
      <c r="J496" s="184"/>
      <c r="K496" s="184"/>
      <c r="L496" s="184"/>
      <c r="M496" s="184"/>
      <c r="N496" s="184"/>
      <c r="O496" s="184"/>
      <c r="Q496" s="184"/>
      <c r="R496" s="185"/>
      <c r="S496" s="185"/>
      <c r="U496" s="184"/>
      <c r="V496" s="184"/>
      <c r="W496" s="184"/>
      <c r="X496" s="184"/>
      <c r="Y496" s="184"/>
      <c r="Z496" s="184"/>
      <c r="AA496" s="184"/>
      <c r="AB496" s="184"/>
      <c r="AC496" s="184"/>
      <c r="AD496" s="184"/>
      <c r="AE496" s="184"/>
      <c r="AF496" s="184"/>
      <c r="AG496" s="184"/>
      <c r="AH496" s="184"/>
      <c r="AI496" s="184"/>
      <c r="AJ496" s="184"/>
      <c r="AK496" s="184"/>
      <c r="AL496" s="186"/>
      <c r="AM496" s="187"/>
      <c r="AN496" s="187"/>
      <c r="AO496" s="187"/>
    </row>
    <row r="497" spans="1:41" s="163" customFormat="1" ht="16.5" customHeight="1">
      <c r="A497" s="180"/>
      <c r="B497" s="181"/>
      <c r="C497" s="182"/>
      <c r="D497" s="182"/>
      <c r="E497" s="183"/>
      <c r="F497" s="183"/>
      <c r="G497" s="183"/>
      <c r="H497" s="184"/>
      <c r="I497" s="184"/>
      <c r="J497" s="184"/>
      <c r="K497" s="184"/>
      <c r="L497" s="184"/>
      <c r="M497" s="184"/>
      <c r="N497" s="184"/>
      <c r="O497" s="184"/>
      <c r="Q497" s="184"/>
      <c r="R497" s="185"/>
      <c r="S497" s="185"/>
      <c r="U497" s="184"/>
      <c r="V497" s="184"/>
      <c r="W497" s="184"/>
      <c r="X497" s="184"/>
      <c r="Y497" s="184"/>
      <c r="Z497" s="184"/>
      <c r="AA497" s="184"/>
      <c r="AB497" s="184"/>
      <c r="AC497" s="184"/>
      <c r="AD497" s="184"/>
      <c r="AE497" s="184"/>
      <c r="AF497" s="184"/>
      <c r="AG497" s="184"/>
      <c r="AH497" s="184"/>
      <c r="AI497" s="184"/>
      <c r="AJ497" s="184"/>
      <c r="AK497" s="184"/>
      <c r="AL497" s="186"/>
      <c r="AM497" s="187"/>
      <c r="AN497" s="187"/>
      <c r="AO497" s="187"/>
    </row>
    <row r="498" spans="1:41" s="163" customFormat="1" ht="16.5" customHeight="1">
      <c r="A498" s="180"/>
      <c r="B498" s="181"/>
      <c r="C498" s="182"/>
      <c r="D498" s="182"/>
      <c r="E498" s="183"/>
      <c r="F498" s="183"/>
      <c r="G498" s="183"/>
      <c r="H498" s="184"/>
      <c r="I498" s="184"/>
      <c r="J498" s="184"/>
      <c r="K498" s="184"/>
      <c r="L498" s="184"/>
      <c r="M498" s="184"/>
      <c r="N498" s="184"/>
      <c r="O498" s="184"/>
      <c r="Q498" s="184"/>
      <c r="R498" s="185"/>
      <c r="S498" s="185"/>
      <c r="U498" s="184"/>
      <c r="V498" s="184"/>
      <c r="W498" s="184"/>
      <c r="X498" s="184"/>
      <c r="Y498" s="184"/>
      <c r="Z498" s="184"/>
      <c r="AA498" s="184"/>
      <c r="AB498" s="184"/>
      <c r="AC498" s="184"/>
      <c r="AD498" s="184"/>
      <c r="AE498" s="184"/>
      <c r="AF498" s="184"/>
      <c r="AG498" s="184"/>
      <c r="AH498" s="184"/>
      <c r="AI498" s="184"/>
      <c r="AJ498" s="184"/>
      <c r="AK498" s="184"/>
      <c r="AL498" s="186"/>
      <c r="AM498" s="187"/>
      <c r="AN498" s="187"/>
      <c r="AO498" s="187"/>
    </row>
    <row r="499" spans="1:41" s="163" customFormat="1" ht="16.5" customHeight="1">
      <c r="A499" s="180"/>
      <c r="B499" s="181"/>
      <c r="C499" s="182"/>
      <c r="D499" s="182"/>
      <c r="E499" s="183"/>
      <c r="F499" s="183"/>
      <c r="G499" s="183"/>
      <c r="H499" s="184"/>
      <c r="I499" s="184"/>
      <c r="J499" s="184"/>
      <c r="K499" s="184"/>
      <c r="L499" s="184"/>
      <c r="M499" s="184"/>
      <c r="N499" s="184"/>
      <c r="O499" s="184"/>
      <c r="Q499" s="184"/>
      <c r="R499" s="185"/>
      <c r="S499" s="185"/>
      <c r="U499" s="184"/>
      <c r="V499" s="184"/>
      <c r="W499" s="184"/>
      <c r="X499" s="184"/>
      <c r="Y499" s="184"/>
      <c r="Z499" s="184"/>
      <c r="AA499" s="184"/>
      <c r="AB499" s="184"/>
      <c r="AC499" s="184"/>
      <c r="AD499" s="184"/>
      <c r="AE499" s="184"/>
      <c r="AF499" s="184"/>
      <c r="AG499" s="184"/>
      <c r="AH499" s="184"/>
      <c r="AI499" s="184"/>
      <c r="AJ499" s="184"/>
      <c r="AK499" s="184"/>
      <c r="AL499" s="186"/>
      <c r="AM499" s="187"/>
      <c r="AN499" s="187"/>
      <c r="AO499" s="187"/>
    </row>
    <row r="500" spans="1:41" s="163" customFormat="1" ht="16.5" customHeight="1">
      <c r="A500" s="180"/>
      <c r="B500" s="181"/>
      <c r="C500" s="182"/>
      <c r="D500" s="182"/>
      <c r="E500" s="183"/>
      <c r="F500" s="183"/>
      <c r="G500" s="183"/>
      <c r="H500" s="184"/>
      <c r="I500" s="184"/>
      <c r="J500" s="184"/>
      <c r="K500" s="184"/>
      <c r="L500" s="184"/>
      <c r="M500" s="184"/>
      <c r="N500" s="184"/>
      <c r="O500" s="184"/>
      <c r="Q500" s="184"/>
      <c r="R500" s="185"/>
      <c r="S500" s="185"/>
      <c r="U500" s="184"/>
      <c r="V500" s="184"/>
      <c r="W500" s="184"/>
      <c r="X500" s="184"/>
      <c r="Y500" s="184"/>
      <c r="Z500" s="184"/>
      <c r="AA500" s="184"/>
      <c r="AB500" s="184"/>
      <c r="AC500" s="184"/>
      <c r="AD500" s="184"/>
      <c r="AE500" s="184"/>
      <c r="AF500" s="184"/>
      <c r="AG500" s="184"/>
      <c r="AH500" s="184"/>
      <c r="AI500" s="184"/>
      <c r="AJ500" s="184"/>
      <c r="AK500" s="184"/>
      <c r="AL500" s="186"/>
      <c r="AM500" s="187"/>
      <c r="AN500" s="187"/>
      <c r="AO500" s="187"/>
    </row>
    <row r="501" spans="1:41" s="163" customFormat="1" ht="16.5" customHeight="1">
      <c r="A501" s="180"/>
      <c r="B501" s="181"/>
      <c r="C501" s="182"/>
      <c r="D501" s="182"/>
      <c r="E501" s="183"/>
      <c r="F501" s="183"/>
      <c r="G501" s="183"/>
      <c r="H501" s="184"/>
      <c r="I501" s="184"/>
      <c r="J501" s="184"/>
      <c r="K501" s="184"/>
      <c r="L501" s="184"/>
      <c r="M501" s="184"/>
      <c r="N501" s="184"/>
      <c r="O501" s="184"/>
      <c r="Q501" s="184"/>
      <c r="R501" s="185"/>
      <c r="S501" s="185"/>
      <c r="U501" s="184"/>
      <c r="V501" s="184"/>
      <c r="W501" s="184"/>
      <c r="X501" s="184"/>
      <c r="Y501" s="184"/>
      <c r="Z501" s="184"/>
      <c r="AA501" s="184"/>
      <c r="AB501" s="184"/>
      <c r="AC501" s="184"/>
      <c r="AD501" s="184"/>
      <c r="AE501" s="184"/>
      <c r="AF501" s="184"/>
      <c r="AG501" s="184"/>
      <c r="AH501" s="184"/>
      <c r="AI501" s="184"/>
      <c r="AJ501" s="184"/>
      <c r="AK501" s="184"/>
      <c r="AL501" s="186"/>
      <c r="AM501" s="187"/>
      <c r="AN501" s="187"/>
      <c r="AO501" s="187"/>
    </row>
    <row r="502" spans="1:41" s="163" customFormat="1" ht="16.5" customHeight="1">
      <c r="A502" s="180"/>
      <c r="B502" s="181"/>
      <c r="C502" s="182"/>
      <c r="D502" s="182"/>
      <c r="E502" s="183"/>
      <c r="F502" s="183"/>
      <c r="G502" s="183"/>
      <c r="H502" s="184"/>
      <c r="I502" s="184"/>
      <c r="J502" s="184"/>
      <c r="K502" s="184"/>
      <c r="L502" s="184"/>
      <c r="M502" s="184"/>
      <c r="N502" s="184"/>
      <c r="O502" s="184"/>
      <c r="Q502" s="184"/>
      <c r="R502" s="185"/>
      <c r="S502" s="185"/>
      <c r="U502" s="184"/>
      <c r="V502" s="184"/>
      <c r="W502" s="184"/>
      <c r="X502" s="184"/>
      <c r="Y502" s="184"/>
      <c r="Z502" s="184"/>
      <c r="AA502" s="184"/>
      <c r="AB502" s="184"/>
      <c r="AC502" s="184"/>
      <c r="AD502" s="184"/>
      <c r="AE502" s="184"/>
      <c r="AF502" s="184"/>
      <c r="AG502" s="184"/>
      <c r="AH502" s="184"/>
      <c r="AI502" s="184"/>
      <c r="AJ502" s="184"/>
      <c r="AK502" s="184"/>
      <c r="AL502" s="186"/>
      <c r="AM502" s="187"/>
      <c r="AN502" s="187"/>
      <c r="AO502" s="187"/>
    </row>
    <row r="503" spans="1:41" s="163" customFormat="1" ht="16.5" customHeight="1">
      <c r="A503" s="180"/>
      <c r="B503" s="181"/>
      <c r="C503" s="182"/>
      <c r="D503" s="182"/>
      <c r="E503" s="183"/>
      <c r="F503" s="183"/>
      <c r="G503" s="183"/>
      <c r="H503" s="184"/>
      <c r="I503" s="184"/>
      <c r="J503" s="184"/>
      <c r="K503" s="184"/>
      <c r="L503" s="184"/>
      <c r="M503" s="184"/>
      <c r="N503" s="184"/>
      <c r="O503" s="184"/>
      <c r="Q503" s="184"/>
      <c r="R503" s="185"/>
      <c r="S503" s="185"/>
      <c r="U503" s="184"/>
      <c r="V503" s="184"/>
      <c r="W503" s="184"/>
      <c r="X503" s="184"/>
      <c r="Y503" s="184"/>
      <c r="Z503" s="184"/>
      <c r="AA503" s="184"/>
      <c r="AB503" s="184"/>
      <c r="AC503" s="184"/>
      <c r="AD503" s="184"/>
      <c r="AE503" s="184"/>
      <c r="AF503" s="184"/>
      <c r="AG503" s="184"/>
      <c r="AH503" s="184"/>
      <c r="AI503" s="184"/>
      <c r="AJ503" s="184"/>
      <c r="AK503" s="184"/>
      <c r="AL503" s="186"/>
      <c r="AM503" s="187"/>
      <c r="AN503" s="187"/>
      <c r="AO503" s="187"/>
    </row>
    <row r="504" spans="1:41" s="163" customFormat="1" ht="16.5" customHeight="1">
      <c r="A504" s="180"/>
      <c r="B504" s="181"/>
      <c r="C504" s="182"/>
      <c r="D504" s="182"/>
      <c r="E504" s="183"/>
      <c r="F504" s="183"/>
      <c r="G504" s="183"/>
      <c r="H504" s="184"/>
      <c r="I504" s="184"/>
      <c r="J504" s="184"/>
      <c r="K504" s="184"/>
      <c r="L504" s="184"/>
      <c r="M504" s="184"/>
      <c r="N504" s="184"/>
      <c r="O504" s="184"/>
      <c r="Q504" s="184"/>
      <c r="R504" s="185"/>
      <c r="S504" s="185"/>
      <c r="U504" s="184"/>
      <c r="V504" s="184"/>
      <c r="W504" s="184"/>
      <c r="X504" s="184"/>
      <c r="Y504" s="184"/>
      <c r="Z504" s="184"/>
      <c r="AA504" s="184"/>
      <c r="AB504" s="184"/>
      <c r="AC504" s="184"/>
      <c r="AD504" s="184"/>
      <c r="AE504" s="184"/>
      <c r="AF504" s="184"/>
      <c r="AG504" s="184"/>
      <c r="AH504" s="184"/>
      <c r="AI504" s="184"/>
      <c r="AJ504" s="184"/>
      <c r="AK504" s="184"/>
      <c r="AL504" s="186"/>
      <c r="AM504" s="187"/>
      <c r="AN504" s="187"/>
      <c r="AO504" s="187"/>
    </row>
    <row r="505" spans="1:41" s="163" customFormat="1" ht="16.5" customHeight="1">
      <c r="A505" s="180"/>
      <c r="B505" s="181"/>
      <c r="C505" s="182"/>
      <c r="D505" s="182"/>
      <c r="E505" s="183"/>
      <c r="F505" s="183"/>
      <c r="G505" s="183"/>
      <c r="H505" s="184"/>
      <c r="I505" s="184"/>
      <c r="J505" s="184"/>
      <c r="K505" s="184"/>
      <c r="L505" s="184"/>
      <c r="M505" s="184"/>
      <c r="N505" s="184"/>
      <c r="O505" s="184"/>
      <c r="Q505" s="184"/>
      <c r="R505" s="185"/>
      <c r="S505" s="185"/>
      <c r="U505" s="184"/>
      <c r="V505" s="184"/>
      <c r="W505" s="184"/>
      <c r="X505" s="184"/>
      <c r="Y505" s="184"/>
      <c r="Z505" s="184"/>
      <c r="AA505" s="184"/>
      <c r="AB505" s="184"/>
      <c r="AC505" s="184"/>
      <c r="AD505" s="184"/>
      <c r="AE505" s="184"/>
      <c r="AF505" s="184"/>
      <c r="AG505" s="184"/>
      <c r="AH505" s="184"/>
      <c r="AI505" s="184"/>
      <c r="AJ505" s="184"/>
      <c r="AK505" s="184"/>
      <c r="AL505" s="186"/>
      <c r="AM505" s="187"/>
      <c r="AN505" s="187"/>
      <c r="AO505" s="187"/>
    </row>
    <row r="506" spans="1:41" s="163" customFormat="1" ht="16.5" customHeight="1">
      <c r="A506" s="180"/>
      <c r="B506" s="181"/>
      <c r="C506" s="182"/>
      <c r="D506" s="182"/>
      <c r="E506" s="183"/>
      <c r="F506" s="183"/>
      <c r="G506" s="183"/>
      <c r="H506" s="184"/>
      <c r="I506" s="184"/>
      <c r="J506" s="184"/>
      <c r="K506" s="184"/>
      <c r="L506" s="184"/>
      <c r="M506" s="184"/>
      <c r="N506" s="184"/>
      <c r="O506" s="184"/>
      <c r="Q506" s="184"/>
      <c r="R506" s="185"/>
      <c r="S506" s="185"/>
      <c r="U506" s="184"/>
      <c r="V506" s="184"/>
      <c r="W506" s="184"/>
      <c r="X506" s="184"/>
      <c r="Y506" s="184"/>
      <c r="Z506" s="184"/>
      <c r="AA506" s="184"/>
      <c r="AB506" s="184"/>
      <c r="AC506" s="184"/>
      <c r="AD506" s="184"/>
      <c r="AE506" s="184"/>
      <c r="AF506" s="184"/>
      <c r="AG506" s="184"/>
      <c r="AH506" s="184"/>
      <c r="AI506" s="184"/>
      <c r="AJ506" s="184"/>
      <c r="AK506" s="184"/>
      <c r="AL506" s="186"/>
      <c r="AM506" s="187"/>
      <c r="AN506" s="187"/>
      <c r="AO506" s="187"/>
    </row>
    <row r="507" spans="1:41" s="163" customFormat="1" ht="16.5" customHeight="1">
      <c r="A507" s="180"/>
      <c r="B507" s="181"/>
      <c r="C507" s="182"/>
      <c r="D507" s="182"/>
      <c r="E507" s="183"/>
      <c r="F507" s="183"/>
      <c r="G507" s="183"/>
      <c r="H507" s="184"/>
      <c r="I507" s="184"/>
      <c r="J507" s="184"/>
      <c r="K507" s="184"/>
      <c r="L507" s="184"/>
      <c r="M507" s="184"/>
      <c r="N507" s="184"/>
      <c r="O507" s="184"/>
      <c r="Q507" s="184"/>
      <c r="R507" s="185"/>
      <c r="S507" s="185"/>
      <c r="U507" s="184"/>
      <c r="V507" s="184"/>
      <c r="W507" s="184"/>
      <c r="X507" s="184"/>
      <c r="Y507" s="184"/>
      <c r="Z507" s="184"/>
      <c r="AA507" s="184"/>
      <c r="AB507" s="184"/>
      <c r="AC507" s="184"/>
      <c r="AD507" s="184"/>
      <c r="AE507" s="184"/>
      <c r="AF507" s="184"/>
      <c r="AG507" s="184"/>
      <c r="AH507" s="184"/>
      <c r="AI507" s="184"/>
      <c r="AJ507" s="184"/>
      <c r="AK507" s="184"/>
      <c r="AL507" s="186"/>
      <c r="AM507" s="187"/>
      <c r="AN507" s="187"/>
      <c r="AO507" s="187"/>
    </row>
    <row r="508" spans="1:41" s="163" customFormat="1" ht="16.5" customHeight="1">
      <c r="A508" s="180"/>
      <c r="B508" s="181"/>
      <c r="C508" s="182"/>
      <c r="D508" s="182"/>
      <c r="E508" s="183"/>
      <c r="F508" s="183"/>
      <c r="G508" s="183"/>
      <c r="H508" s="184"/>
      <c r="I508" s="184"/>
      <c r="J508" s="184"/>
      <c r="K508" s="184"/>
      <c r="L508" s="184"/>
      <c r="M508" s="184"/>
      <c r="N508" s="184"/>
      <c r="O508" s="184"/>
      <c r="Q508" s="184"/>
      <c r="R508" s="185"/>
      <c r="S508" s="185"/>
      <c r="U508" s="184"/>
      <c r="V508" s="184"/>
      <c r="W508" s="184"/>
      <c r="X508" s="184"/>
      <c r="Y508" s="184"/>
      <c r="Z508" s="184"/>
      <c r="AA508" s="184"/>
      <c r="AB508" s="184"/>
      <c r="AC508" s="184"/>
      <c r="AD508" s="184"/>
      <c r="AE508" s="184"/>
      <c r="AF508" s="184"/>
      <c r="AG508" s="184"/>
      <c r="AH508" s="184"/>
      <c r="AI508" s="184"/>
      <c r="AJ508" s="184"/>
      <c r="AK508" s="184"/>
      <c r="AL508" s="186"/>
      <c r="AM508" s="187"/>
      <c r="AN508" s="187"/>
      <c r="AO508" s="187"/>
    </row>
    <row r="509" spans="1:41" s="163" customFormat="1" ht="16.5" customHeight="1">
      <c r="A509" s="180"/>
      <c r="B509" s="181"/>
      <c r="C509" s="182"/>
      <c r="D509" s="182"/>
      <c r="E509" s="183"/>
      <c r="F509" s="183"/>
      <c r="G509" s="183"/>
      <c r="H509" s="184"/>
      <c r="I509" s="184"/>
      <c r="J509" s="184"/>
      <c r="K509" s="184"/>
      <c r="L509" s="184"/>
      <c r="M509" s="184"/>
      <c r="N509" s="184"/>
      <c r="O509" s="184"/>
      <c r="Q509" s="184"/>
      <c r="R509" s="185"/>
      <c r="S509" s="185"/>
      <c r="U509" s="184"/>
      <c r="V509" s="184"/>
      <c r="W509" s="184"/>
      <c r="X509" s="184"/>
      <c r="Y509" s="184"/>
      <c r="Z509" s="184"/>
      <c r="AA509" s="184"/>
      <c r="AB509" s="184"/>
      <c r="AC509" s="184"/>
      <c r="AD509" s="184"/>
      <c r="AE509" s="184"/>
      <c r="AF509" s="184"/>
      <c r="AG509" s="184"/>
      <c r="AH509" s="184"/>
      <c r="AI509" s="184"/>
      <c r="AJ509" s="184"/>
      <c r="AK509" s="184"/>
      <c r="AL509" s="186"/>
      <c r="AM509" s="187"/>
      <c r="AN509" s="187"/>
      <c r="AO509" s="187"/>
    </row>
    <row r="510" spans="1:41" s="163" customFormat="1" ht="16.5" customHeight="1">
      <c r="A510" s="180"/>
      <c r="B510" s="181"/>
      <c r="C510" s="182"/>
      <c r="D510" s="182"/>
      <c r="E510" s="183"/>
      <c r="F510" s="183"/>
      <c r="G510" s="183"/>
      <c r="H510" s="184"/>
      <c r="I510" s="184"/>
      <c r="J510" s="184"/>
      <c r="K510" s="184"/>
      <c r="L510" s="184"/>
      <c r="M510" s="184"/>
      <c r="N510" s="184"/>
      <c r="O510" s="184"/>
      <c r="Q510" s="184"/>
      <c r="R510" s="185"/>
      <c r="S510" s="185"/>
      <c r="U510" s="184"/>
      <c r="V510" s="184"/>
      <c r="W510" s="184"/>
      <c r="X510" s="184"/>
      <c r="Y510" s="184"/>
      <c r="Z510" s="184"/>
      <c r="AA510" s="184"/>
      <c r="AB510" s="184"/>
      <c r="AC510" s="184"/>
      <c r="AD510" s="184"/>
      <c r="AE510" s="184"/>
      <c r="AF510" s="184"/>
      <c r="AG510" s="184"/>
      <c r="AH510" s="184"/>
      <c r="AI510" s="184"/>
      <c r="AJ510" s="184"/>
      <c r="AK510" s="184"/>
      <c r="AL510" s="186"/>
      <c r="AM510" s="187"/>
      <c r="AN510" s="187"/>
      <c r="AO510" s="187"/>
    </row>
    <row r="511" spans="1:41" s="163" customFormat="1" ht="16.5" customHeight="1">
      <c r="A511" s="180"/>
      <c r="B511" s="181"/>
      <c r="C511" s="182"/>
      <c r="D511" s="182"/>
      <c r="E511" s="183"/>
      <c r="F511" s="183"/>
      <c r="G511" s="183"/>
      <c r="H511" s="184"/>
      <c r="I511" s="184"/>
      <c r="J511" s="184"/>
      <c r="K511" s="184"/>
      <c r="L511" s="184"/>
      <c r="M511" s="184"/>
      <c r="N511" s="184"/>
      <c r="O511" s="184"/>
      <c r="Q511" s="184"/>
      <c r="R511" s="185"/>
      <c r="S511" s="185"/>
      <c r="U511" s="184"/>
      <c r="V511" s="184"/>
      <c r="W511" s="184"/>
      <c r="X511" s="184"/>
      <c r="Y511" s="184"/>
      <c r="Z511" s="184"/>
      <c r="AA511" s="184"/>
      <c r="AB511" s="184"/>
      <c r="AC511" s="184"/>
      <c r="AD511" s="184"/>
      <c r="AE511" s="184"/>
      <c r="AF511" s="184"/>
      <c r="AG511" s="184"/>
      <c r="AH511" s="184"/>
      <c r="AI511" s="184"/>
      <c r="AJ511" s="184"/>
      <c r="AK511" s="184"/>
      <c r="AL511" s="186"/>
      <c r="AM511" s="187"/>
      <c r="AN511" s="187"/>
      <c r="AO511" s="187"/>
    </row>
    <row r="512" spans="1:41" s="163" customFormat="1" ht="16.5" customHeight="1">
      <c r="A512" s="180"/>
      <c r="B512" s="181"/>
      <c r="C512" s="182"/>
      <c r="D512" s="182"/>
      <c r="E512" s="183"/>
      <c r="F512" s="183"/>
      <c r="G512" s="183"/>
      <c r="H512" s="184"/>
      <c r="I512" s="184"/>
      <c r="J512" s="184"/>
      <c r="K512" s="184"/>
      <c r="L512" s="184"/>
      <c r="M512" s="184"/>
      <c r="N512" s="184"/>
      <c r="O512" s="184"/>
      <c r="Q512" s="184"/>
      <c r="R512" s="185"/>
      <c r="S512" s="185"/>
      <c r="U512" s="184"/>
      <c r="V512" s="184"/>
      <c r="W512" s="184"/>
      <c r="X512" s="184"/>
      <c r="Y512" s="184"/>
      <c r="Z512" s="184"/>
      <c r="AA512" s="184"/>
      <c r="AB512" s="184"/>
      <c r="AC512" s="184"/>
      <c r="AD512" s="184"/>
      <c r="AE512" s="184"/>
      <c r="AF512" s="184"/>
      <c r="AG512" s="184"/>
      <c r="AH512" s="184"/>
      <c r="AI512" s="184"/>
      <c r="AJ512" s="184"/>
      <c r="AK512" s="184"/>
      <c r="AL512" s="186"/>
      <c r="AM512" s="187"/>
      <c r="AN512" s="187"/>
      <c r="AO512" s="187"/>
    </row>
    <row r="513" spans="1:41" s="163" customFormat="1" ht="16.5" customHeight="1">
      <c r="A513" s="180"/>
      <c r="B513" s="181"/>
      <c r="C513" s="182"/>
      <c r="D513" s="182"/>
      <c r="E513" s="183"/>
      <c r="F513" s="183"/>
      <c r="G513" s="183"/>
      <c r="H513" s="184"/>
      <c r="I513" s="184"/>
      <c r="J513" s="184"/>
      <c r="K513" s="184"/>
      <c r="L513" s="184"/>
      <c r="M513" s="184"/>
      <c r="N513" s="184"/>
      <c r="O513" s="184"/>
      <c r="Q513" s="184"/>
      <c r="R513" s="185"/>
      <c r="S513" s="185"/>
      <c r="U513" s="184"/>
      <c r="V513" s="184"/>
      <c r="W513" s="184"/>
      <c r="X513" s="184"/>
      <c r="Y513" s="184"/>
      <c r="Z513" s="184"/>
      <c r="AA513" s="184"/>
      <c r="AB513" s="184"/>
      <c r="AC513" s="184"/>
      <c r="AD513" s="184"/>
      <c r="AE513" s="184"/>
      <c r="AF513" s="184"/>
      <c r="AG513" s="184"/>
      <c r="AH513" s="184"/>
      <c r="AI513" s="184"/>
      <c r="AJ513" s="184"/>
      <c r="AK513" s="184"/>
      <c r="AL513" s="186"/>
      <c r="AM513" s="187"/>
      <c r="AN513" s="187"/>
      <c r="AO513" s="187"/>
    </row>
    <row r="514" spans="1:41" s="163" customFormat="1" ht="16.5" customHeight="1">
      <c r="A514" s="180"/>
      <c r="B514" s="181"/>
      <c r="C514" s="182"/>
      <c r="D514" s="182"/>
      <c r="E514" s="183"/>
      <c r="F514" s="183"/>
      <c r="G514" s="183"/>
      <c r="H514" s="184"/>
      <c r="I514" s="184"/>
      <c r="J514" s="184"/>
      <c r="K514" s="184"/>
      <c r="L514" s="184"/>
      <c r="M514" s="184"/>
      <c r="N514" s="184"/>
      <c r="O514" s="184"/>
      <c r="Q514" s="184"/>
      <c r="R514" s="185"/>
      <c r="S514" s="185"/>
      <c r="U514" s="184"/>
      <c r="V514" s="184"/>
      <c r="W514" s="184"/>
      <c r="X514" s="184"/>
      <c r="Y514" s="184"/>
      <c r="Z514" s="184"/>
      <c r="AA514" s="184"/>
      <c r="AB514" s="184"/>
      <c r="AC514" s="184"/>
      <c r="AD514" s="184"/>
      <c r="AE514" s="184"/>
      <c r="AF514" s="184"/>
      <c r="AG514" s="184"/>
      <c r="AH514" s="184"/>
      <c r="AI514" s="184"/>
      <c r="AJ514" s="184"/>
      <c r="AK514" s="184"/>
      <c r="AL514" s="186"/>
      <c r="AM514" s="187"/>
      <c r="AN514" s="187"/>
      <c r="AO514" s="187"/>
    </row>
    <row r="515" spans="1:41" s="163" customFormat="1" ht="16.5" customHeight="1">
      <c r="A515" s="180"/>
      <c r="B515" s="181"/>
      <c r="C515" s="182"/>
      <c r="D515" s="182"/>
      <c r="E515" s="183"/>
      <c r="F515" s="183"/>
      <c r="G515" s="183"/>
      <c r="H515" s="184"/>
      <c r="I515" s="184"/>
      <c r="J515" s="184"/>
      <c r="K515" s="184"/>
      <c r="L515" s="184"/>
      <c r="M515" s="184"/>
      <c r="N515" s="184"/>
      <c r="O515" s="184"/>
      <c r="Q515" s="184"/>
      <c r="R515" s="185"/>
      <c r="S515" s="185"/>
      <c r="U515" s="184"/>
      <c r="V515" s="184"/>
      <c r="W515" s="184"/>
      <c r="X515" s="184"/>
      <c r="Y515" s="184"/>
      <c r="Z515" s="184"/>
      <c r="AA515" s="184"/>
      <c r="AB515" s="184"/>
      <c r="AC515" s="184"/>
      <c r="AD515" s="184"/>
      <c r="AE515" s="184"/>
      <c r="AF515" s="184"/>
      <c r="AG515" s="184"/>
      <c r="AH515" s="184"/>
      <c r="AI515" s="184"/>
      <c r="AJ515" s="184"/>
      <c r="AK515" s="184"/>
      <c r="AL515" s="186"/>
      <c r="AM515" s="187"/>
      <c r="AN515" s="187"/>
      <c r="AO515" s="187"/>
    </row>
    <row r="516" spans="1:41" s="163" customFormat="1" ht="16.5" customHeight="1">
      <c r="A516" s="180"/>
      <c r="B516" s="181"/>
      <c r="C516" s="182"/>
      <c r="D516" s="182"/>
      <c r="E516" s="183"/>
      <c r="F516" s="183"/>
      <c r="G516" s="183"/>
      <c r="H516" s="184"/>
      <c r="I516" s="184"/>
      <c r="J516" s="184"/>
      <c r="K516" s="184"/>
      <c r="L516" s="184"/>
      <c r="M516" s="184"/>
      <c r="N516" s="184"/>
      <c r="O516" s="184"/>
      <c r="Q516" s="184"/>
      <c r="R516" s="185"/>
      <c r="S516" s="185"/>
      <c r="U516" s="184"/>
      <c r="V516" s="184"/>
      <c r="W516" s="184"/>
      <c r="X516" s="184"/>
      <c r="Y516" s="184"/>
      <c r="Z516" s="184"/>
      <c r="AA516" s="184"/>
      <c r="AB516" s="184"/>
      <c r="AC516" s="184"/>
      <c r="AD516" s="184"/>
      <c r="AE516" s="184"/>
      <c r="AF516" s="184"/>
      <c r="AG516" s="184"/>
      <c r="AH516" s="184"/>
      <c r="AI516" s="184"/>
      <c r="AJ516" s="184"/>
      <c r="AK516" s="184"/>
      <c r="AL516" s="186"/>
      <c r="AM516" s="187"/>
      <c r="AN516" s="187"/>
      <c r="AO516" s="187"/>
    </row>
    <row r="517" spans="1:41" s="163" customFormat="1" ht="16.5" customHeight="1">
      <c r="A517" s="180"/>
      <c r="B517" s="181"/>
      <c r="C517" s="182"/>
      <c r="D517" s="182"/>
      <c r="E517" s="183"/>
      <c r="F517" s="183"/>
      <c r="G517" s="183"/>
      <c r="H517" s="184"/>
      <c r="I517" s="184"/>
      <c r="J517" s="184"/>
      <c r="K517" s="184"/>
      <c r="L517" s="184"/>
      <c r="M517" s="184"/>
      <c r="N517" s="184"/>
      <c r="O517" s="184"/>
      <c r="Q517" s="184"/>
      <c r="R517" s="185"/>
      <c r="S517" s="185"/>
      <c r="U517" s="184"/>
      <c r="V517" s="184"/>
      <c r="W517" s="184"/>
      <c r="X517" s="184"/>
      <c r="Y517" s="184"/>
      <c r="Z517" s="184"/>
      <c r="AA517" s="184"/>
      <c r="AB517" s="184"/>
      <c r="AC517" s="184"/>
      <c r="AD517" s="184"/>
      <c r="AE517" s="184"/>
      <c r="AF517" s="184"/>
      <c r="AG517" s="184"/>
      <c r="AH517" s="184"/>
      <c r="AI517" s="184"/>
      <c r="AJ517" s="184"/>
      <c r="AK517" s="184"/>
      <c r="AL517" s="186"/>
      <c r="AM517" s="187"/>
      <c r="AN517" s="187"/>
      <c r="AO517" s="187"/>
    </row>
    <row r="518" spans="1:41" s="163" customFormat="1" ht="16.5" customHeight="1">
      <c r="A518" s="180"/>
      <c r="B518" s="181"/>
      <c r="C518" s="182"/>
      <c r="D518" s="182"/>
      <c r="E518" s="183"/>
      <c r="F518" s="183"/>
      <c r="G518" s="183"/>
      <c r="H518" s="184"/>
      <c r="I518" s="184"/>
      <c r="J518" s="184"/>
      <c r="K518" s="184"/>
      <c r="L518" s="184"/>
      <c r="M518" s="184"/>
      <c r="N518" s="184"/>
      <c r="O518" s="184"/>
      <c r="Q518" s="184"/>
      <c r="R518" s="185"/>
      <c r="S518" s="185"/>
      <c r="U518" s="184"/>
      <c r="V518" s="184"/>
      <c r="W518" s="184"/>
      <c r="X518" s="184"/>
      <c r="Y518" s="184"/>
      <c r="Z518" s="184"/>
      <c r="AA518" s="184"/>
      <c r="AB518" s="184"/>
      <c r="AC518" s="184"/>
      <c r="AD518" s="184"/>
      <c r="AE518" s="184"/>
      <c r="AF518" s="184"/>
      <c r="AG518" s="184"/>
      <c r="AH518" s="184"/>
      <c r="AI518" s="184"/>
      <c r="AJ518" s="184"/>
      <c r="AK518" s="184"/>
      <c r="AL518" s="186"/>
      <c r="AM518" s="187"/>
      <c r="AN518" s="187"/>
      <c r="AO518" s="187"/>
    </row>
    <row r="519" spans="1:41" s="163" customFormat="1" ht="16.5" customHeight="1">
      <c r="A519" s="180"/>
      <c r="B519" s="181"/>
      <c r="C519" s="182"/>
      <c r="D519" s="182"/>
      <c r="E519" s="183"/>
      <c r="F519" s="183"/>
      <c r="G519" s="183"/>
      <c r="H519" s="184"/>
      <c r="I519" s="184"/>
      <c r="J519" s="184"/>
      <c r="K519" s="184"/>
      <c r="L519" s="184"/>
      <c r="M519" s="184"/>
      <c r="N519" s="184"/>
      <c r="O519" s="184"/>
      <c r="Q519" s="184"/>
      <c r="R519" s="185"/>
      <c r="S519" s="185"/>
      <c r="U519" s="184"/>
      <c r="V519" s="184"/>
      <c r="W519" s="184"/>
      <c r="X519" s="184"/>
      <c r="Y519" s="184"/>
      <c r="Z519" s="184"/>
      <c r="AA519" s="184"/>
      <c r="AB519" s="184"/>
      <c r="AC519" s="184"/>
      <c r="AD519" s="184"/>
      <c r="AE519" s="184"/>
      <c r="AF519" s="184"/>
      <c r="AG519" s="184"/>
      <c r="AH519" s="184"/>
      <c r="AI519" s="184"/>
      <c r="AJ519" s="184"/>
      <c r="AK519" s="184"/>
      <c r="AL519" s="186"/>
      <c r="AM519" s="187"/>
      <c r="AN519" s="187"/>
      <c r="AO519" s="187"/>
    </row>
    <row r="520" spans="1:41" s="163" customFormat="1" ht="16.5" customHeight="1">
      <c r="A520" s="180"/>
      <c r="B520" s="181"/>
      <c r="C520" s="182"/>
      <c r="D520" s="182"/>
      <c r="E520" s="183"/>
      <c r="F520" s="183"/>
      <c r="G520" s="183"/>
      <c r="H520" s="184"/>
      <c r="I520" s="184"/>
      <c r="J520" s="184"/>
      <c r="K520" s="184"/>
      <c r="L520" s="184"/>
      <c r="M520" s="184"/>
      <c r="N520" s="184"/>
      <c r="O520" s="184"/>
      <c r="Q520" s="184"/>
      <c r="R520" s="185"/>
      <c r="S520" s="185"/>
      <c r="U520" s="184"/>
      <c r="V520" s="184"/>
      <c r="W520" s="184"/>
      <c r="X520" s="184"/>
      <c r="Y520" s="184"/>
      <c r="Z520" s="184"/>
      <c r="AA520" s="184"/>
      <c r="AB520" s="184"/>
      <c r="AC520" s="184"/>
      <c r="AD520" s="184"/>
      <c r="AE520" s="184"/>
      <c r="AF520" s="184"/>
      <c r="AG520" s="184"/>
      <c r="AH520" s="184"/>
      <c r="AI520" s="184"/>
      <c r="AJ520" s="184"/>
      <c r="AK520" s="184"/>
      <c r="AL520" s="186"/>
      <c r="AM520" s="187"/>
      <c r="AN520" s="187"/>
      <c r="AO520" s="187"/>
    </row>
    <row r="521" spans="1:41" s="163" customFormat="1" ht="16.5" customHeight="1">
      <c r="A521" s="180"/>
      <c r="B521" s="181"/>
      <c r="C521" s="182"/>
      <c r="D521" s="182"/>
      <c r="E521" s="183"/>
      <c r="F521" s="183"/>
      <c r="G521" s="183"/>
      <c r="H521" s="184"/>
      <c r="I521" s="184"/>
      <c r="J521" s="184"/>
      <c r="K521" s="184"/>
      <c r="L521" s="184"/>
      <c r="M521" s="184"/>
      <c r="N521" s="184"/>
      <c r="O521" s="184"/>
      <c r="Q521" s="184"/>
      <c r="R521" s="185"/>
      <c r="S521" s="185"/>
      <c r="U521" s="184"/>
      <c r="V521" s="184"/>
      <c r="W521" s="184"/>
      <c r="X521" s="184"/>
      <c r="Y521" s="184"/>
      <c r="Z521" s="184"/>
      <c r="AA521" s="184"/>
      <c r="AB521" s="184"/>
      <c r="AC521" s="184"/>
      <c r="AD521" s="184"/>
      <c r="AE521" s="184"/>
      <c r="AF521" s="184"/>
      <c r="AG521" s="184"/>
      <c r="AH521" s="184"/>
      <c r="AI521" s="184"/>
      <c r="AJ521" s="184"/>
      <c r="AK521" s="184"/>
      <c r="AL521" s="186"/>
      <c r="AM521" s="187"/>
      <c r="AN521" s="187"/>
      <c r="AO521" s="187"/>
    </row>
    <row r="522" spans="1:41" s="163" customFormat="1" ht="16.5" customHeight="1">
      <c r="A522" s="180"/>
      <c r="B522" s="181"/>
      <c r="C522" s="182"/>
      <c r="D522" s="182"/>
      <c r="E522" s="183"/>
      <c r="F522" s="183"/>
      <c r="G522" s="183"/>
      <c r="H522" s="184"/>
      <c r="I522" s="184"/>
      <c r="J522" s="184"/>
      <c r="K522" s="184"/>
      <c r="L522" s="184"/>
      <c r="M522" s="184"/>
      <c r="N522" s="184"/>
      <c r="O522" s="184"/>
      <c r="Q522" s="184"/>
      <c r="R522" s="185"/>
      <c r="S522" s="185"/>
      <c r="U522" s="184"/>
      <c r="V522" s="184"/>
      <c r="W522" s="184"/>
      <c r="X522" s="184"/>
      <c r="Y522" s="184"/>
      <c r="Z522" s="184"/>
      <c r="AA522" s="184"/>
      <c r="AB522" s="184"/>
      <c r="AC522" s="184"/>
      <c r="AD522" s="184"/>
      <c r="AE522" s="184"/>
      <c r="AF522" s="184"/>
      <c r="AG522" s="184"/>
      <c r="AH522" s="184"/>
      <c r="AI522" s="184"/>
      <c r="AJ522" s="184"/>
      <c r="AK522" s="184"/>
      <c r="AL522" s="186"/>
      <c r="AM522" s="187"/>
      <c r="AN522" s="187"/>
      <c r="AO522" s="187"/>
    </row>
    <row r="523" spans="1:41" s="163" customFormat="1" ht="16.5" customHeight="1">
      <c r="A523" s="180"/>
      <c r="B523" s="181"/>
      <c r="C523" s="182"/>
      <c r="D523" s="182"/>
      <c r="E523" s="183"/>
      <c r="F523" s="183"/>
      <c r="G523" s="183"/>
      <c r="H523" s="184"/>
      <c r="I523" s="184"/>
      <c r="J523" s="184"/>
      <c r="K523" s="184"/>
      <c r="L523" s="184"/>
      <c r="M523" s="184"/>
      <c r="N523" s="184"/>
      <c r="O523" s="184"/>
      <c r="Q523" s="184"/>
      <c r="R523" s="185"/>
      <c r="S523" s="185"/>
      <c r="U523" s="184"/>
      <c r="V523" s="184"/>
      <c r="W523" s="184"/>
      <c r="X523" s="184"/>
      <c r="Y523" s="184"/>
      <c r="Z523" s="184"/>
      <c r="AA523" s="184"/>
      <c r="AB523" s="184"/>
      <c r="AC523" s="184"/>
      <c r="AD523" s="184"/>
      <c r="AE523" s="184"/>
      <c r="AF523" s="184"/>
      <c r="AG523" s="184"/>
      <c r="AH523" s="184"/>
      <c r="AI523" s="184"/>
      <c r="AJ523" s="184"/>
      <c r="AK523" s="184"/>
      <c r="AL523" s="186"/>
      <c r="AM523" s="187"/>
      <c r="AN523" s="187"/>
      <c r="AO523" s="187"/>
    </row>
    <row r="524" spans="1:41" s="163" customFormat="1" ht="16.5" customHeight="1">
      <c r="A524" s="180"/>
      <c r="B524" s="181"/>
      <c r="C524" s="182"/>
      <c r="D524" s="182"/>
      <c r="E524" s="183"/>
      <c r="F524" s="183"/>
      <c r="G524" s="183"/>
      <c r="H524" s="184"/>
      <c r="I524" s="184"/>
      <c r="J524" s="184"/>
      <c r="K524" s="184"/>
      <c r="L524" s="184"/>
      <c r="M524" s="184"/>
      <c r="N524" s="184"/>
      <c r="O524" s="184"/>
      <c r="Q524" s="184"/>
      <c r="R524" s="185"/>
      <c r="S524" s="185"/>
      <c r="U524" s="184"/>
      <c r="V524" s="184"/>
      <c r="W524" s="184"/>
      <c r="X524" s="184"/>
      <c r="Y524" s="184"/>
      <c r="Z524" s="184"/>
      <c r="AA524" s="184"/>
      <c r="AB524" s="184"/>
      <c r="AC524" s="184"/>
      <c r="AD524" s="184"/>
      <c r="AE524" s="184"/>
      <c r="AF524" s="184"/>
      <c r="AG524" s="184"/>
      <c r="AH524" s="184"/>
      <c r="AI524" s="184"/>
      <c r="AJ524" s="184"/>
      <c r="AK524" s="184"/>
      <c r="AL524" s="186"/>
      <c r="AM524" s="187"/>
      <c r="AN524" s="187"/>
      <c r="AO524" s="187"/>
    </row>
    <row r="525" spans="1:41" s="163" customFormat="1" ht="16.5" customHeight="1">
      <c r="A525" s="180"/>
      <c r="B525" s="181"/>
      <c r="C525" s="182"/>
      <c r="D525" s="182"/>
      <c r="E525" s="183"/>
      <c r="F525" s="183"/>
      <c r="G525" s="183"/>
      <c r="H525" s="184"/>
      <c r="I525" s="184"/>
      <c r="J525" s="184"/>
      <c r="K525" s="184"/>
      <c r="L525" s="184"/>
      <c r="M525" s="184"/>
      <c r="N525" s="184"/>
      <c r="O525" s="184"/>
      <c r="Q525" s="184"/>
      <c r="R525" s="185"/>
      <c r="S525" s="185"/>
      <c r="U525" s="184"/>
      <c r="V525" s="184"/>
      <c r="W525" s="184"/>
      <c r="X525" s="184"/>
      <c r="Y525" s="184"/>
      <c r="Z525" s="184"/>
      <c r="AA525" s="184"/>
      <c r="AB525" s="184"/>
      <c r="AC525" s="184"/>
      <c r="AD525" s="184"/>
      <c r="AE525" s="184"/>
      <c r="AF525" s="184"/>
      <c r="AG525" s="184"/>
      <c r="AH525" s="184"/>
      <c r="AI525" s="184"/>
      <c r="AJ525" s="184"/>
      <c r="AK525" s="184"/>
      <c r="AL525" s="186"/>
      <c r="AM525" s="187"/>
      <c r="AN525" s="187"/>
      <c r="AO525" s="187"/>
    </row>
    <row r="526" spans="1:41" s="163" customFormat="1" ht="16.5" customHeight="1">
      <c r="A526" s="180"/>
      <c r="B526" s="181"/>
      <c r="C526" s="182"/>
      <c r="D526" s="182"/>
      <c r="E526" s="183"/>
      <c r="F526" s="183"/>
      <c r="G526" s="183"/>
      <c r="H526" s="184"/>
      <c r="I526" s="184"/>
      <c r="J526" s="184"/>
      <c r="K526" s="184"/>
      <c r="L526" s="184"/>
      <c r="M526" s="184"/>
      <c r="N526" s="184"/>
      <c r="O526" s="184"/>
      <c r="Q526" s="184"/>
      <c r="R526" s="185"/>
      <c r="S526" s="185"/>
      <c r="U526" s="184"/>
      <c r="V526" s="184"/>
      <c r="W526" s="184"/>
      <c r="X526" s="184"/>
      <c r="Y526" s="184"/>
      <c r="Z526" s="184"/>
      <c r="AA526" s="184"/>
      <c r="AB526" s="184"/>
      <c r="AC526" s="184"/>
      <c r="AD526" s="184"/>
      <c r="AE526" s="184"/>
      <c r="AF526" s="184"/>
      <c r="AG526" s="184"/>
      <c r="AH526" s="184"/>
      <c r="AI526" s="184"/>
      <c r="AJ526" s="184"/>
      <c r="AK526" s="184"/>
      <c r="AL526" s="186"/>
      <c r="AM526" s="187"/>
      <c r="AN526" s="187"/>
      <c r="AO526" s="187"/>
    </row>
    <row r="527" spans="1:41" s="163" customFormat="1" ht="16.5" customHeight="1">
      <c r="A527" s="180"/>
      <c r="B527" s="181"/>
      <c r="C527" s="182"/>
      <c r="D527" s="182"/>
      <c r="E527" s="183"/>
      <c r="F527" s="183"/>
      <c r="G527" s="183"/>
      <c r="H527" s="184"/>
      <c r="I527" s="184"/>
      <c r="J527" s="184"/>
      <c r="K527" s="184"/>
      <c r="L527" s="184"/>
      <c r="M527" s="184"/>
      <c r="N527" s="184"/>
      <c r="O527" s="184"/>
      <c r="Q527" s="184"/>
      <c r="R527" s="185"/>
      <c r="S527" s="185"/>
      <c r="U527" s="184"/>
      <c r="V527" s="184"/>
      <c r="W527" s="184"/>
      <c r="X527" s="184"/>
      <c r="Y527" s="184"/>
      <c r="Z527" s="184"/>
      <c r="AA527" s="184"/>
      <c r="AB527" s="184"/>
      <c r="AC527" s="184"/>
      <c r="AD527" s="184"/>
      <c r="AE527" s="184"/>
      <c r="AF527" s="184"/>
      <c r="AG527" s="184"/>
      <c r="AH527" s="184"/>
      <c r="AI527" s="184"/>
      <c r="AJ527" s="184"/>
      <c r="AK527" s="184"/>
      <c r="AL527" s="186"/>
      <c r="AM527" s="187"/>
      <c r="AN527" s="187"/>
      <c r="AO527" s="187"/>
    </row>
    <row r="528" spans="1:41" s="163" customFormat="1" ht="16.5" customHeight="1">
      <c r="A528" s="180"/>
      <c r="B528" s="181"/>
      <c r="C528" s="182"/>
      <c r="D528" s="182"/>
      <c r="E528" s="183"/>
      <c r="F528" s="183"/>
      <c r="G528" s="183"/>
      <c r="H528" s="184"/>
      <c r="I528" s="184"/>
      <c r="J528" s="184"/>
      <c r="K528" s="184"/>
      <c r="L528" s="184"/>
      <c r="M528" s="184"/>
      <c r="N528" s="184"/>
      <c r="O528" s="184"/>
      <c r="Q528" s="184"/>
      <c r="R528" s="185"/>
      <c r="S528" s="185"/>
      <c r="U528" s="184"/>
      <c r="V528" s="184"/>
      <c r="W528" s="184"/>
      <c r="X528" s="184"/>
      <c r="Y528" s="184"/>
      <c r="Z528" s="184"/>
      <c r="AA528" s="184"/>
      <c r="AB528" s="184"/>
      <c r="AC528" s="184"/>
      <c r="AD528" s="184"/>
      <c r="AE528" s="184"/>
      <c r="AF528" s="184"/>
      <c r="AG528" s="184"/>
      <c r="AH528" s="184"/>
      <c r="AI528" s="184"/>
      <c r="AJ528" s="184"/>
      <c r="AK528" s="184"/>
      <c r="AL528" s="186"/>
      <c r="AM528" s="187"/>
      <c r="AN528" s="187"/>
      <c r="AO528" s="187"/>
    </row>
    <row r="529" spans="1:41" s="163" customFormat="1" ht="16.5" customHeight="1">
      <c r="A529" s="180"/>
      <c r="B529" s="181"/>
      <c r="C529" s="182"/>
      <c r="D529" s="182"/>
      <c r="E529" s="183"/>
      <c r="F529" s="183"/>
      <c r="G529" s="183"/>
      <c r="H529" s="184"/>
      <c r="I529" s="184"/>
      <c r="J529" s="184"/>
      <c r="K529" s="184"/>
      <c r="L529" s="184"/>
      <c r="M529" s="184"/>
      <c r="N529" s="184"/>
      <c r="O529" s="184"/>
      <c r="Q529" s="184"/>
      <c r="R529" s="185"/>
      <c r="S529" s="185"/>
      <c r="U529" s="184"/>
      <c r="V529" s="184"/>
      <c r="W529" s="184"/>
      <c r="X529" s="184"/>
      <c r="Y529" s="184"/>
      <c r="Z529" s="184"/>
      <c r="AA529" s="184"/>
      <c r="AB529" s="184"/>
      <c r="AC529" s="184"/>
      <c r="AD529" s="184"/>
      <c r="AE529" s="184"/>
      <c r="AF529" s="184"/>
      <c r="AG529" s="184"/>
      <c r="AH529" s="184"/>
      <c r="AI529" s="184"/>
      <c r="AJ529" s="184"/>
      <c r="AK529" s="184"/>
      <c r="AL529" s="186"/>
      <c r="AM529" s="187"/>
      <c r="AN529" s="187"/>
      <c r="AO529" s="187"/>
    </row>
    <row r="530" spans="1:41" s="163" customFormat="1" ht="16.5" customHeight="1">
      <c r="A530" s="180"/>
      <c r="B530" s="181"/>
      <c r="C530" s="182"/>
      <c r="D530" s="182"/>
      <c r="E530" s="183"/>
      <c r="F530" s="183"/>
      <c r="G530" s="183"/>
      <c r="H530" s="184"/>
      <c r="I530" s="184"/>
      <c r="J530" s="184"/>
      <c r="K530" s="184"/>
      <c r="L530" s="184"/>
      <c r="M530" s="184"/>
      <c r="N530" s="184"/>
      <c r="O530" s="184"/>
      <c r="Q530" s="184"/>
      <c r="R530" s="185"/>
      <c r="S530" s="185"/>
      <c r="U530" s="184"/>
      <c r="V530" s="184"/>
      <c r="W530" s="184"/>
      <c r="X530" s="184"/>
      <c r="Y530" s="184"/>
      <c r="Z530" s="184"/>
      <c r="AA530" s="184"/>
      <c r="AB530" s="184"/>
      <c r="AC530" s="184"/>
      <c r="AD530" s="184"/>
      <c r="AE530" s="184"/>
      <c r="AF530" s="184"/>
      <c r="AG530" s="184"/>
      <c r="AH530" s="184"/>
      <c r="AI530" s="184"/>
      <c r="AJ530" s="184"/>
      <c r="AK530" s="184"/>
      <c r="AL530" s="186"/>
      <c r="AM530" s="187"/>
      <c r="AN530" s="187"/>
      <c r="AO530" s="187"/>
    </row>
    <row r="531" spans="1:41" s="163" customFormat="1" ht="16.5" customHeight="1">
      <c r="A531" s="180"/>
      <c r="B531" s="181"/>
      <c r="C531" s="182"/>
      <c r="D531" s="182"/>
      <c r="E531" s="183"/>
      <c r="F531" s="183"/>
      <c r="G531" s="183"/>
      <c r="H531" s="184"/>
      <c r="I531" s="184"/>
      <c r="J531" s="184"/>
      <c r="K531" s="184"/>
      <c r="L531" s="184"/>
      <c r="M531" s="184"/>
      <c r="N531" s="184"/>
      <c r="O531" s="184"/>
      <c r="Q531" s="184"/>
      <c r="R531" s="185"/>
      <c r="S531" s="185"/>
      <c r="U531" s="184"/>
      <c r="V531" s="184"/>
      <c r="W531" s="184"/>
      <c r="X531" s="184"/>
      <c r="Y531" s="184"/>
      <c r="Z531" s="184"/>
      <c r="AA531" s="184"/>
      <c r="AB531" s="184"/>
      <c r="AC531" s="184"/>
      <c r="AD531" s="184"/>
      <c r="AE531" s="184"/>
      <c r="AF531" s="184"/>
      <c r="AG531" s="184"/>
      <c r="AH531" s="184"/>
      <c r="AI531" s="184"/>
      <c r="AJ531" s="184"/>
      <c r="AK531" s="184"/>
      <c r="AL531" s="186"/>
      <c r="AM531" s="187"/>
      <c r="AN531" s="187"/>
      <c r="AO531" s="187"/>
    </row>
    <row r="532" spans="1:41" s="163" customFormat="1" ht="16.5" customHeight="1">
      <c r="A532" s="180"/>
      <c r="B532" s="181"/>
      <c r="C532" s="182"/>
      <c r="D532" s="182"/>
      <c r="E532" s="183"/>
      <c r="F532" s="183"/>
      <c r="G532" s="183"/>
      <c r="H532" s="184"/>
      <c r="I532" s="184"/>
      <c r="J532" s="184"/>
      <c r="K532" s="184"/>
      <c r="L532" s="184"/>
      <c r="M532" s="184"/>
      <c r="N532" s="184"/>
      <c r="O532" s="184"/>
      <c r="Q532" s="184"/>
      <c r="R532" s="185"/>
      <c r="S532" s="185"/>
      <c r="U532" s="184"/>
      <c r="V532" s="184"/>
      <c r="W532" s="184"/>
      <c r="X532" s="184"/>
      <c r="Y532" s="184"/>
      <c r="Z532" s="184"/>
      <c r="AA532" s="184"/>
      <c r="AB532" s="184"/>
      <c r="AC532" s="184"/>
      <c r="AD532" s="184"/>
      <c r="AE532" s="184"/>
      <c r="AF532" s="184"/>
      <c r="AG532" s="184"/>
      <c r="AH532" s="184"/>
      <c r="AI532" s="184"/>
      <c r="AJ532" s="184"/>
      <c r="AK532" s="184"/>
      <c r="AL532" s="186"/>
      <c r="AM532" s="187"/>
      <c r="AN532" s="187"/>
      <c r="AO532" s="187"/>
    </row>
    <row r="533" spans="1:41" s="163" customFormat="1" ht="16.5" customHeight="1">
      <c r="A533" s="180"/>
      <c r="B533" s="181"/>
      <c r="C533" s="182"/>
      <c r="D533" s="182"/>
      <c r="E533" s="183"/>
      <c r="F533" s="183"/>
      <c r="G533" s="183"/>
      <c r="H533" s="184"/>
      <c r="I533" s="184"/>
      <c r="J533" s="184"/>
      <c r="K533" s="184"/>
      <c r="L533" s="184"/>
      <c r="M533" s="184"/>
      <c r="N533" s="184"/>
      <c r="O533" s="184"/>
      <c r="Q533" s="184"/>
      <c r="R533" s="185"/>
      <c r="S533" s="185"/>
      <c r="U533" s="184"/>
      <c r="V533" s="184"/>
      <c r="W533" s="184"/>
      <c r="X533" s="184"/>
      <c r="Y533" s="184"/>
      <c r="Z533" s="184"/>
      <c r="AA533" s="184"/>
      <c r="AB533" s="184"/>
      <c r="AC533" s="184"/>
      <c r="AD533" s="184"/>
      <c r="AE533" s="184"/>
      <c r="AF533" s="184"/>
      <c r="AG533" s="184"/>
      <c r="AH533" s="184"/>
      <c r="AI533" s="184"/>
      <c r="AJ533" s="184"/>
      <c r="AK533" s="184"/>
      <c r="AL533" s="186"/>
      <c r="AM533" s="187"/>
      <c r="AN533" s="187"/>
      <c r="AO533" s="187"/>
    </row>
    <row r="534" spans="1:41" s="163" customFormat="1" ht="16.5" customHeight="1">
      <c r="A534" s="180"/>
      <c r="B534" s="181"/>
      <c r="C534" s="182"/>
      <c r="D534" s="182"/>
      <c r="E534" s="183"/>
      <c r="F534" s="183"/>
      <c r="G534" s="183"/>
      <c r="H534" s="184"/>
      <c r="I534" s="184"/>
      <c r="J534" s="184"/>
      <c r="K534" s="184"/>
      <c r="L534" s="184"/>
      <c r="M534" s="184"/>
      <c r="N534" s="184"/>
      <c r="O534" s="184"/>
      <c r="Q534" s="184"/>
      <c r="R534" s="185"/>
      <c r="S534" s="185"/>
      <c r="U534" s="184"/>
      <c r="V534" s="184"/>
      <c r="W534" s="184"/>
      <c r="X534" s="184"/>
      <c r="Y534" s="184"/>
      <c r="Z534" s="184"/>
      <c r="AA534" s="184"/>
      <c r="AB534" s="184"/>
      <c r="AC534" s="184"/>
      <c r="AD534" s="184"/>
      <c r="AE534" s="184"/>
      <c r="AF534" s="184"/>
      <c r="AG534" s="184"/>
      <c r="AH534" s="184"/>
      <c r="AI534" s="184"/>
      <c r="AJ534" s="184"/>
      <c r="AK534" s="184"/>
      <c r="AL534" s="186"/>
      <c r="AM534" s="187"/>
      <c r="AN534" s="187"/>
      <c r="AO534" s="187"/>
    </row>
    <row r="535" spans="1:41" s="163" customFormat="1" ht="16.5" customHeight="1">
      <c r="A535" s="180"/>
      <c r="B535" s="181"/>
      <c r="C535" s="182"/>
      <c r="D535" s="182"/>
      <c r="E535" s="183"/>
      <c r="F535" s="183"/>
      <c r="G535" s="183"/>
      <c r="H535" s="184"/>
      <c r="I535" s="184"/>
      <c r="J535" s="184"/>
      <c r="K535" s="184"/>
      <c r="L535" s="184"/>
      <c r="M535" s="184"/>
      <c r="N535" s="184"/>
      <c r="O535" s="184"/>
      <c r="Q535" s="184"/>
      <c r="R535" s="185"/>
      <c r="S535" s="185"/>
      <c r="U535" s="184"/>
      <c r="V535" s="184"/>
      <c r="W535" s="184"/>
      <c r="X535" s="184"/>
      <c r="Y535" s="184"/>
      <c r="Z535" s="184"/>
      <c r="AA535" s="184"/>
      <c r="AB535" s="184"/>
      <c r="AC535" s="184"/>
      <c r="AD535" s="184"/>
      <c r="AE535" s="184"/>
      <c r="AF535" s="184"/>
      <c r="AG535" s="184"/>
      <c r="AH535" s="184"/>
      <c r="AI535" s="184"/>
      <c r="AJ535" s="184"/>
      <c r="AK535" s="184"/>
      <c r="AL535" s="186"/>
      <c r="AM535" s="187"/>
      <c r="AN535" s="187"/>
      <c r="AO535" s="187"/>
    </row>
    <row r="536" spans="1:41" s="163" customFormat="1" ht="16.5" customHeight="1">
      <c r="A536" s="180"/>
      <c r="B536" s="181"/>
      <c r="C536" s="182"/>
      <c r="D536" s="182"/>
      <c r="E536" s="183"/>
      <c r="F536" s="183"/>
      <c r="G536" s="183"/>
      <c r="H536" s="184"/>
      <c r="I536" s="184"/>
      <c r="J536" s="184"/>
      <c r="K536" s="184"/>
      <c r="L536" s="184"/>
      <c r="M536" s="184"/>
      <c r="N536" s="184"/>
      <c r="O536" s="184"/>
      <c r="Q536" s="184"/>
      <c r="R536" s="185"/>
      <c r="S536" s="185"/>
      <c r="U536" s="184"/>
      <c r="V536" s="184"/>
      <c r="W536" s="184"/>
      <c r="X536" s="184"/>
      <c r="Y536" s="184"/>
      <c r="Z536" s="184"/>
      <c r="AA536" s="184"/>
      <c r="AB536" s="184"/>
      <c r="AC536" s="184"/>
      <c r="AD536" s="184"/>
      <c r="AE536" s="184"/>
      <c r="AF536" s="184"/>
      <c r="AG536" s="184"/>
      <c r="AH536" s="184"/>
      <c r="AI536" s="184"/>
      <c r="AJ536" s="184"/>
      <c r="AK536" s="184"/>
      <c r="AL536" s="186"/>
      <c r="AM536" s="187"/>
      <c r="AN536" s="187"/>
      <c r="AO536" s="187"/>
    </row>
    <row r="537" spans="1:41" s="163" customFormat="1" ht="16.5" customHeight="1">
      <c r="A537" s="180"/>
      <c r="B537" s="181"/>
      <c r="C537" s="182"/>
      <c r="D537" s="182"/>
      <c r="E537" s="183"/>
      <c r="F537" s="183"/>
      <c r="G537" s="183"/>
      <c r="H537" s="184"/>
      <c r="I537" s="184"/>
      <c r="J537" s="184"/>
      <c r="K537" s="184"/>
      <c r="L537" s="184"/>
      <c r="M537" s="184"/>
      <c r="N537" s="184"/>
      <c r="O537" s="184"/>
      <c r="Q537" s="184"/>
      <c r="R537" s="185"/>
      <c r="S537" s="185"/>
      <c r="U537" s="184"/>
      <c r="V537" s="184"/>
      <c r="W537" s="184"/>
      <c r="X537" s="184"/>
      <c r="Y537" s="184"/>
      <c r="Z537" s="184"/>
      <c r="AA537" s="184"/>
      <c r="AB537" s="184"/>
      <c r="AC537" s="184"/>
      <c r="AD537" s="184"/>
      <c r="AE537" s="184"/>
      <c r="AF537" s="184"/>
      <c r="AG537" s="184"/>
      <c r="AH537" s="184"/>
      <c r="AI537" s="184"/>
      <c r="AJ537" s="184"/>
      <c r="AK537" s="184"/>
      <c r="AL537" s="186"/>
      <c r="AM537" s="187"/>
      <c r="AN537" s="187"/>
      <c r="AO537" s="187"/>
    </row>
    <row r="538" spans="1:41" s="163" customFormat="1" ht="16.5" customHeight="1">
      <c r="A538" s="180"/>
      <c r="B538" s="181"/>
      <c r="C538" s="182"/>
      <c r="D538" s="182"/>
      <c r="E538" s="183"/>
      <c r="F538" s="183"/>
      <c r="G538" s="183"/>
      <c r="H538" s="184"/>
      <c r="I538" s="184"/>
      <c r="J538" s="184"/>
      <c r="K538" s="184"/>
      <c r="L538" s="184"/>
      <c r="M538" s="184"/>
      <c r="N538" s="184"/>
      <c r="O538" s="184"/>
      <c r="Q538" s="184"/>
      <c r="R538" s="185"/>
      <c r="S538" s="185"/>
      <c r="U538" s="184"/>
      <c r="V538" s="184"/>
      <c r="W538" s="184"/>
      <c r="X538" s="184"/>
      <c r="Y538" s="184"/>
      <c r="Z538" s="184"/>
      <c r="AA538" s="184"/>
      <c r="AB538" s="184"/>
      <c r="AC538" s="184"/>
      <c r="AD538" s="184"/>
      <c r="AE538" s="184"/>
      <c r="AF538" s="184"/>
      <c r="AG538" s="184"/>
      <c r="AH538" s="184"/>
      <c r="AI538" s="184"/>
      <c r="AJ538" s="184"/>
      <c r="AK538" s="184"/>
      <c r="AL538" s="186"/>
      <c r="AM538" s="187"/>
      <c r="AN538" s="187"/>
      <c r="AO538" s="187"/>
    </row>
    <row r="539" spans="1:41" s="163" customFormat="1" ht="16.5" customHeight="1">
      <c r="A539" s="180"/>
      <c r="B539" s="181"/>
      <c r="C539" s="182"/>
      <c r="D539" s="182"/>
      <c r="E539" s="183"/>
      <c r="F539" s="183"/>
      <c r="G539" s="183"/>
      <c r="H539" s="184"/>
      <c r="I539" s="184"/>
      <c r="J539" s="184"/>
      <c r="K539" s="184"/>
      <c r="L539" s="184"/>
      <c r="M539" s="184"/>
      <c r="N539" s="184"/>
      <c r="O539" s="184"/>
      <c r="Q539" s="184"/>
      <c r="R539" s="185"/>
      <c r="S539" s="185"/>
      <c r="U539" s="184"/>
      <c r="V539" s="184"/>
      <c r="W539" s="184"/>
      <c r="X539" s="184"/>
      <c r="Y539" s="184"/>
      <c r="Z539" s="184"/>
      <c r="AA539" s="184"/>
      <c r="AB539" s="184"/>
      <c r="AC539" s="184"/>
      <c r="AD539" s="184"/>
      <c r="AE539" s="184"/>
      <c r="AF539" s="184"/>
      <c r="AG539" s="184"/>
      <c r="AH539" s="184"/>
      <c r="AI539" s="184"/>
      <c r="AJ539" s="184"/>
      <c r="AK539" s="184"/>
      <c r="AL539" s="186"/>
      <c r="AM539" s="187"/>
      <c r="AN539" s="187"/>
      <c r="AO539" s="187"/>
    </row>
    <row r="540" spans="1:41" s="163" customFormat="1" ht="16.5" customHeight="1">
      <c r="A540" s="180"/>
      <c r="B540" s="181"/>
      <c r="C540" s="182"/>
      <c r="D540" s="182"/>
      <c r="E540" s="183"/>
      <c r="F540" s="183"/>
      <c r="G540" s="183"/>
      <c r="H540" s="184"/>
      <c r="I540" s="184"/>
      <c r="J540" s="184"/>
      <c r="K540" s="184"/>
      <c r="L540" s="184"/>
      <c r="M540" s="184"/>
      <c r="N540" s="184"/>
      <c r="O540" s="184"/>
      <c r="Q540" s="184"/>
      <c r="R540" s="185"/>
      <c r="S540" s="185"/>
      <c r="U540" s="184"/>
      <c r="V540" s="184"/>
      <c r="W540" s="184"/>
      <c r="X540" s="184"/>
      <c r="Y540" s="184"/>
      <c r="Z540" s="184"/>
      <c r="AA540" s="184"/>
      <c r="AB540" s="184"/>
      <c r="AC540" s="184"/>
      <c r="AD540" s="184"/>
      <c r="AE540" s="184"/>
      <c r="AF540" s="184"/>
      <c r="AG540" s="184"/>
      <c r="AH540" s="184"/>
      <c r="AI540" s="184"/>
      <c r="AJ540" s="184"/>
      <c r="AK540" s="184"/>
      <c r="AL540" s="186"/>
      <c r="AM540" s="187"/>
      <c r="AN540" s="187"/>
      <c r="AO540" s="187"/>
    </row>
    <row r="541" spans="1:41" s="163" customFormat="1" ht="16.5" customHeight="1">
      <c r="A541" s="180"/>
      <c r="B541" s="181"/>
      <c r="C541" s="182"/>
      <c r="D541" s="182"/>
      <c r="E541" s="183"/>
      <c r="F541" s="183"/>
      <c r="G541" s="183"/>
      <c r="H541" s="184"/>
      <c r="I541" s="184"/>
      <c r="J541" s="184"/>
      <c r="K541" s="184"/>
      <c r="L541" s="184"/>
      <c r="M541" s="184"/>
      <c r="N541" s="184"/>
      <c r="O541" s="184"/>
      <c r="Q541" s="184"/>
      <c r="R541" s="185"/>
      <c r="S541" s="185"/>
      <c r="U541" s="184"/>
      <c r="V541" s="184"/>
      <c r="W541" s="184"/>
      <c r="X541" s="184"/>
      <c r="Y541" s="184"/>
      <c r="Z541" s="184"/>
      <c r="AA541" s="184"/>
      <c r="AB541" s="184"/>
      <c r="AC541" s="184"/>
      <c r="AD541" s="184"/>
      <c r="AE541" s="184"/>
      <c r="AF541" s="184"/>
      <c r="AG541" s="184"/>
      <c r="AH541" s="184"/>
      <c r="AI541" s="184"/>
      <c r="AJ541" s="184"/>
      <c r="AK541" s="184"/>
      <c r="AL541" s="186"/>
      <c r="AM541" s="187"/>
      <c r="AN541" s="187"/>
      <c r="AO541" s="187"/>
    </row>
    <row r="542" spans="1:41" s="163" customFormat="1" ht="16.5" customHeight="1">
      <c r="A542" s="180"/>
      <c r="B542" s="181"/>
      <c r="C542" s="182"/>
      <c r="D542" s="182"/>
      <c r="E542" s="183"/>
      <c r="F542" s="183"/>
      <c r="G542" s="183"/>
      <c r="H542" s="184"/>
      <c r="I542" s="184"/>
      <c r="J542" s="184"/>
      <c r="K542" s="184"/>
      <c r="L542" s="184"/>
      <c r="M542" s="184"/>
      <c r="N542" s="184"/>
      <c r="O542" s="184"/>
      <c r="Q542" s="184"/>
      <c r="R542" s="185"/>
      <c r="S542" s="185"/>
      <c r="U542" s="184"/>
      <c r="V542" s="184"/>
      <c r="W542" s="184"/>
      <c r="X542" s="184"/>
      <c r="Y542" s="184"/>
      <c r="Z542" s="184"/>
      <c r="AA542" s="184"/>
      <c r="AB542" s="184"/>
      <c r="AC542" s="184"/>
      <c r="AD542" s="184"/>
      <c r="AE542" s="184"/>
      <c r="AF542" s="184"/>
      <c r="AG542" s="184"/>
      <c r="AH542" s="184"/>
      <c r="AI542" s="184"/>
      <c r="AJ542" s="184"/>
      <c r="AK542" s="184"/>
      <c r="AL542" s="186"/>
      <c r="AM542" s="187"/>
      <c r="AN542" s="187"/>
      <c r="AO542" s="187"/>
    </row>
    <row r="543" spans="1:41" s="163" customFormat="1" ht="16.5" customHeight="1">
      <c r="A543" s="180"/>
      <c r="B543" s="181"/>
      <c r="C543" s="182"/>
      <c r="D543" s="182"/>
      <c r="E543" s="183"/>
      <c r="F543" s="183"/>
      <c r="G543" s="183"/>
      <c r="H543" s="184"/>
      <c r="I543" s="184"/>
      <c r="J543" s="184"/>
      <c r="K543" s="184"/>
      <c r="L543" s="184"/>
      <c r="M543" s="184"/>
      <c r="N543" s="184"/>
      <c r="O543" s="184"/>
      <c r="Q543" s="184"/>
      <c r="R543" s="185"/>
      <c r="S543" s="185"/>
      <c r="U543" s="184"/>
      <c r="V543" s="184"/>
      <c r="W543" s="184"/>
      <c r="X543" s="184"/>
      <c r="Y543" s="184"/>
      <c r="Z543" s="184"/>
      <c r="AA543" s="184"/>
      <c r="AB543" s="184"/>
      <c r="AC543" s="184"/>
      <c r="AD543" s="184"/>
      <c r="AE543" s="184"/>
      <c r="AF543" s="184"/>
      <c r="AG543" s="184"/>
      <c r="AH543" s="184"/>
      <c r="AI543" s="184"/>
      <c r="AJ543" s="184"/>
      <c r="AK543" s="184"/>
      <c r="AL543" s="186"/>
      <c r="AM543" s="187"/>
      <c r="AN543" s="187"/>
      <c r="AO543" s="187"/>
    </row>
    <row r="544" spans="1:41" s="163" customFormat="1" ht="16.5" customHeight="1">
      <c r="A544" s="180"/>
      <c r="B544" s="181"/>
      <c r="C544" s="182"/>
      <c r="D544" s="182"/>
      <c r="E544" s="183"/>
      <c r="F544" s="183"/>
      <c r="G544" s="183"/>
      <c r="H544" s="184"/>
      <c r="I544" s="184"/>
      <c r="J544" s="184"/>
      <c r="K544" s="184"/>
      <c r="L544" s="184"/>
      <c r="M544" s="184"/>
      <c r="N544" s="184"/>
      <c r="O544" s="184"/>
      <c r="Q544" s="184"/>
      <c r="R544" s="185"/>
      <c r="S544" s="185"/>
      <c r="U544" s="184"/>
      <c r="V544" s="184"/>
      <c r="W544" s="184"/>
      <c r="X544" s="184"/>
      <c r="Y544" s="184"/>
      <c r="Z544" s="184"/>
      <c r="AA544" s="184"/>
      <c r="AB544" s="184"/>
      <c r="AC544" s="184"/>
      <c r="AD544" s="184"/>
      <c r="AE544" s="184"/>
      <c r="AF544" s="184"/>
      <c r="AG544" s="184"/>
      <c r="AH544" s="184"/>
      <c r="AI544" s="184"/>
      <c r="AJ544" s="184"/>
      <c r="AK544" s="184"/>
      <c r="AL544" s="186"/>
      <c r="AM544" s="187"/>
      <c r="AN544" s="187"/>
      <c r="AO544" s="187"/>
    </row>
    <row r="545" spans="1:41" s="163" customFormat="1" ht="16.5" customHeight="1">
      <c r="A545" s="180"/>
      <c r="B545" s="181"/>
      <c r="C545" s="182"/>
      <c r="D545" s="182"/>
      <c r="E545" s="183"/>
      <c r="F545" s="183"/>
      <c r="G545" s="183"/>
      <c r="H545" s="184"/>
      <c r="I545" s="184"/>
      <c r="J545" s="184"/>
      <c r="K545" s="184"/>
      <c r="L545" s="184"/>
      <c r="M545" s="184"/>
      <c r="N545" s="184"/>
      <c r="O545" s="184"/>
      <c r="Q545" s="184"/>
      <c r="R545" s="185"/>
      <c r="S545" s="185"/>
      <c r="U545" s="184"/>
      <c r="V545" s="184"/>
      <c r="W545" s="184"/>
      <c r="X545" s="184"/>
      <c r="Y545" s="184"/>
      <c r="Z545" s="184"/>
      <c r="AA545" s="184"/>
      <c r="AB545" s="184"/>
      <c r="AC545" s="184"/>
      <c r="AD545" s="184"/>
      <c r="AE545" s="184"/>
      <c r="AF545" s="184"/>
      <c r="AG545" s="184"/>
      <c r="AH545" s="184"/>
      <c r="AI545" s="184"/>
      <c r="AJ545" s="184"/>
      <c r="AK545" s="184"/>
      <c r="AL545" s="186"/>
      <c r="AM545" s="187"/>
      <c r="AN545" s="187"/>
      <c r="AO545" s="187"/>
    </row>
    <row r="546" spans="1:41" s="163" customFormat="1" ht="16.5" customHeight="1">
      <c r="A546" s="180"/>
      <c r="B546" s="181"/>
      <c r="C546" s="182"/>
      <c r="D546" s="182"/>
      <c r="E546" s="183"/>
      <c r="F546" s="183"/>
      <c r="G546" s="183"/>
      <c r="H546" s="184"/>
      <c r="I546" s="184"/>
      <c r="J546" s="184"/>
      <c r="K546" s="184"/>
      <c r="L546" s="184"/>
      <c r="M546" s="184"/>
      <c r="N546" s="184"/>
      <c r="O546" s="184"/>
      <c r="Q546" s="184"/>
      <c r="R546" s="185"/>
      <c r="S546" s="185"/>
      <c r="U546" s="184"/>
      <c r="V546" s="184"/>
      <c r="W546" s="184"/>
      <c r="X546" s="184"/>
      <c r="Y546" s="184"/>
      <c r="Z546" s="184"/>
      <c r="AA546" s="184"/>
      <c r="AB546" s="184"/>
      <c r="AC546" s="184"/>
      <c r="AD546" s="184"/>
      <c r="AE546" s="184"/>
      <c r="AF546" s="184"/>
      <c r="AG546" s="184"/>
      <c r="AH546" s="184"/>
      <c r="AI546" s="184"/>
      <c r="AJ546" s="184"/>
      <c r="AK546" s="184"/>
      <c r="AL546" s="186"/>
      <c r="AM546" s="187"/>
      <c r="AN546" s="187"/>
      <c r="AO546" s="187"/>
    </row>
    <row r="547" spans="1:41" s="163" customFormat="1" ht="16.5" customHeight="1">
      <c r="A547" s="180"/>
      <c r="B547" s="181"/>
      <c r="C547" s="182"/>
      <c r="D547" s="182"/>
      <c r="E547" s="183"/>
      <c r="F547" s="183"/>
      <c r="G547" s="183"/>
      <c r="H547" s="184"/>
      <c r="I547" s="184"/>
      <c r="J547" s="184"/>
      <c r="K547" s="184"/>
      <c r="L547" s="184"/>
      <c r="M547" s="184"/>
      <c r="N547" s="184"/>
      <c r="O547" s="184"/>
      <c r="Q547" s="184"/>
      <c r="R547" s="185"/>
      <c r="S547" s="185"/>
      <c r="U547" s="184"/>
      <c r="V547" s="184"/>
      <c r="W547" s="184"/>
      <c r="X547" s="184"/>
      <c r="Y547" s="184"/>
      <c r="Z547" s="184"/>
      <c r="AA547" s="184"/>
      <c r="AB547" s="184"/>
      <c r="AC547" s="184"/>
      <c r="AD547" s="184"/>
      <c r="AE547" s="184"/>
      <c r="AF547" s="184"/>
      <c r="AG547" s="184"/>
      <c r="AH547" s="184"/>
      <c r="AI547" s="184"/>
      <c r="AJ547" s="184"/>
      <c r="AK547" s="184"/>
      <c r="AL547" s="186"/>
      <c r="AM547" s="187"/>
      <c r="AN547" s="187"/>
      <c r="AO547" s="187"/>
    </row>
    <row r="548" spans="1:41" s="163" customFormat="1" ht="16.5" customHeight="1">
      <c r="A548" s="180"/>
      <c r="B548" s="181"/>
      <c r="C548" s="182"/>
      <c r="D548" s="182"/>
      <c r="E548" s="183"/>
      <c r="F548" s="183"/>
      <c r="G548" s="183"/>
      <c r="H548" s="184"/>
      <c r="I548" s="184"/>
      <c r="J548" s="184"/>
      <c r="K548" s="184"/>
      <c r="L548" s="184"/>
      <c r="M548" s="184"/>
      <c r="N548" s="184"/>
      <c r="O548" s="184"/>
      <c r="Q548" s="184"/>
      <c r="R548" s="185"/>
      <c r="S548" s="185"/>
      <c r="U548" s="184"/>
      <c r="V548" s="184"/>
      <c r="W548" s="184"/>
      <c r="X548" s="184"/>
      <c r="Y548" s="184"/>
      <c r="Z548" s="184"/>
      <c r="AA548" s="184"/>
      <c r="AB548" s="184"/>
      <c r="AC548" s="184"/>
      <c r="AD548" s="184"/>
      <c r="AE548" s="184"/>
      <c r="AF548" s="184"/>
      <c r="AG548" s="184"/>
      <c r="AH548" s="184"/>
      <c r="AI548" s="184"/>
      <c r="AJ548" s="184"/>
      <c r="AK548" s="184"/>
      <c r="AL548" s="186"/>
      <c r="AM548" s="187"/>
      <c r="AN548" s="187"/>
      <c r="AO548" s="187"/>
    </row>
    <row r="549" spans="1:41" s="163" customFormat="1" ht="16.5" customHeight="1">
      <c r="A549" s="180"/>
      <c r="B549" s="181"/>
      <c r="C549" s="182"/>
      <c r="D549" s="182"/>
      <c r="E549" s="183"/>
      <c r="F549" s="183"/>
      <c r="G549" s="183"/>
      <c r="H549" s="184"/>
      <c r="I549" s="184"/>
      <c r="J549" s="184"/>
      <c r="K549" s="184"/>
      <c r="L549" s="184"/>
      <c r="M549" s="184"/>
      <c r="N549" s="184"/>
      <c r="O549" s="184"/>
      <c r="Q549" s="184"/>
      <c r="R549" s="185"/>
      <c r="S549" s="185"/>
      <c r="U549" s="184"/>
      <c r="V549" s="184"/>
      <c r="W549" s="184"/>
      <c r="X549" s="184"/>
      <c r="Y549" s="184"/>
      <c r="Z549" s="184"/>
      <c r="AA549" s="184"/>
      <c r="AB549" s="184"/>
      <c r="AC549" s="184"/>
      <c r="AD549" s="184"/>
      <c r="AE549" s="184"/>
      <c r="AF549" s="184"/>
      <c r="AG549" s="184"/>
      <c r="AH549" s="184"/>
      <c r="AI549" s="184"/>
      <c r="AJ549" s="184"/>
      <c r="AK549" s="184"/>
      <c r="AL549" s="186"/>
      <c r="AM549" s="187"/>
      <c r="AN549" s="187"/>
      <c r="AO549" s="187"/>
    </row>
    <row r="550" spans="1:41" s="163" customFormat="1" ht="16.5" customHeight="1">
      <c r="A550" s="180"/>
      <c r="B550" s="181"/>
      <c r="C550" s="182"/>
      <c r="D550" s="182"/>
      <c r="E550" s="183"/>
      <c r="F550" s="183"/>
      <c r="G550" s="183"/>
      <c r="H550" s="184"/>
      <c r="I550" s="184"/>
      <c r="J550" s="184"/>
      <c r="K550" s="184"/>
      <c r="L550" s="184"/>
      <c r="M550" s="184"/>
      <c r="N550" s="184"/>
      <c r="O550" s="184"/>
      <c r="Q550" s="184"/>
      <c r="R550" s="185"/>
      <c r="S550" s="185"/>
      <c r="U550" s="184"/>
      <c r="V550" s="184"/>
      <c r="W550" s="184"/>
      <c r="X550" s="184"/>
      <c r="Y550" s="184"/>
      <c r="Z550" s="184"/>
      <c r="AA550" s="184"/>
      <c r="AB550" s="184"/>
      <c r="AC550" s="184"/>
      <c r="AD550" s="184"/>
      <c r="AE550" s="184"/>
      <c r="AF550" s="184"/>
      <c r="AG550" s="184"/>
      <c r="AH550" s="184"/>
      <c r="AI550" s="184"/>
      <c r="AJ550" s="184"/>
      <c r="AK550" s="184"/>
      <c r="AL550" s="186"/>
      <c r="AM550" s="187"/>
      <c r="AN550" s="187"/>
      <c r="AO550" s="187"/>
    </row>
    <row r="551" spans="1:41" s="163" customFormat="1" ht="16.5" customHeight="1">
      <c r="A551" s="180"/>
      <c r="B551" s="181"/>
      <c r="C551" s="182"/>
      <c r="D551" s="182"/>
      <c r="E551" s="183"/>
      <c r="F551" s="183"/>
      <c r="G551" s="183"/>
      <c r="H551" s="184"/>
      <c r="I551" s="184"/>
      <c r="J551" s="184"/>
      <c r="K551" s="184"/>
      <c r="L551" s="184"/>
      <c r="M551" s="184"/>
      <c r="N551" s="184"/>
      <c r="O551" s="184"/>
      <c r="Q551" s="184"/>
      <c r="R551" s="185"/>
      <c r="S551" s="185"/>
      <c r="U551" s="184"/>
      <c r="V551" s="184"/>
      <c r="W551" s="184"/>
      <c r="X551" s="184"/>
      <c r="Y551" s="184"/>
      <c r="Z551" s="184"/>
      <c r="AA551" s="184"/>
      <c r="AB551" s="184"/>
      <c r="AC551" s="184"/>
      <c r="AD551" s="184"/>
      <c r="AE551" s="184"/>
      <c r="AF551" s="184"/>
      <c r="AG551" s="184"/>
      <c r="AH551" s="184"/>
      <c r="AI551" s="184"/>
      <c r="AJ551" s="184"/>
      <c r="AK551" s="184"/>
      <c r="AL551" s="186"/>
      <c r="AM551" s="187"/>
      <c r="AN551" s="187"/>
      <c r="AO551" s="187"/>
    </row>
    <row r="552" spans="1:41" s="163" customFormat="1" ht="16.5" customHeight="1">
      <c r="A552" s="180"/>
      <c r="B552" s="181"/>
      <c r="C552" s="182"/>
      <c r="D552" s="182"/>
      <c r="E552" s="183"/>
      <c r="F552" s="183"/>
      <c r="G552" s="183"/>
      <c r="H552" s="184"/>
      <c r="I552" s="184"/>
      <c r="J552" s="184"/>
      <c r="K552" s="184"/>
      <c r="L552" s="184"/>
      <c r="M552" s="184"/>
      <c r="N552" s="184"/>
      <c r="O552" s="184"/>
      <c r="Q552" s="184"/>
      <c r="R552" s="185"/>
      <c r="S552" s="185"/>
      <c r="U552" s="184"/>
      <c r="V552" s="184"/>
      <c r="W552" s="184"/>
      <c r="X552" s="184"/>
      <c r="Y552" s="184"/>
      <c r="Z552" s="184"/>
      <c r="AA552" s="184"/>
      <c r="AB552" s="184"/>
      <c r="AC552" s="184"/>
      <c r="AD552" s="184"/>
      <c r="AE552" s="184"/>
      <c r="AF552" s="184"/>
      <c r="AG552" s="184"/>
      <c r="AH552" s="184"/>
      <c r="AI552" s="184"/>
      <c r="AJ552" s="184"/>
      <c r="AK552" s="184"/>
      <c r="AL552" s="186"/>
      <c r="AM552" s="187"/>
      <c r="AN552" s="187"/>
      <c r="AO552" s="187"/>
    </row>
    <row r="553" spans="1:41" s="163" customFormat="1" ht="16.5" customHeight="1">
      <c r="A553" s="180"/>
      <c r="B553" s="181"/>
      <c r="C553" s="182"/>
      <c r="D553" s="182"/>
      <c r="E553" s="183"/>
      <c r="F553" s="183"/>
      <c r="G553" s="183"/>
      <c r="H553" s="184"/>
      <c r="I553" s="184"/>
      <c r="J553" s="184"/>
      <c r="K553" s="184"/>
      <c r="L553" s="184"/>
      <c r="M553" s="184"/>
      <c r="N553" s="184"/>
      <c r="O553" s="184"/>
      <c r="Q553" s="184"/>
      <c r="R553" s="185"/>
      <c r="S553" s="185"/>
      <c r="U553" s="184"/>
      <c r="V553" s="184"/>
      <c r="W553" s="184"/>
      <c r="X553" s="184"/>
      <c r="Y553" s="184"/>
      <c r="Z553" s="184"/>
      <c r="AA553" s="184"/>
      <c r="AB553" s="184"/>
      <c r="AC553" s="184"/>
      <c r="AD553" s="184"/>
      <c r="AE553" s="184"/>
      <c r="AF553" s="184"/>
      <c r="AG553" s="184"/>
      <c r="AH553" s="184"/>
      <c r="AI553" s="184"/>
      <c r="AJ553" s="184"/>
      <c r="AK553" s="184"/>
      <c r="AL553" s="186"/>
      <c r="AM553" s="187"/>
      <c r="AN553" s="187"/>
      <c r="AO553" s="187"/>
    </row>
    <row r="554" spans="1:41" s="163" customFormat="1" ht="16.5" customHeight="1">
      <c r="A554" s="180"/>
      <c r="B554" s="181"/>
      <c r="C554" s="182"/>
      <c r="D554" s="182"/>
      <c r="E554" s="183"/>
      <c r="F554" s="183"/>
      <c r="G554" s="183"/>
      <c r="H554" s="184"/>
      <c r="I554" s="184"/>
      <c r="J554" s="184"/>
      <c r="K554" s="184"/>
      <c r="L554" s="184"/>
      <c r="M554" s="184"/>
      <c r="N554" s="184"/>
      <c r="O554" s="184"/>
      <c r="Q554" s="184"/>
      <c r="R554" s="185"/>
      <c r="S554" s="185"/>
      <c r="U554" s="184"/>
      <c r="V554" s="184"/>
      <c r="W554" s="184"/>
      <c r="X554" s="184"/>
      <c r="Y554" s="184"/>
      <c r="Z554" s="184"/>
      <c r="AA554" s="184"/>
      <c r="AB554" s="184"/>
      <c r="AC554" s="184"/>
      <c r="AD554" s="184"/>
      <c r="AE554" s="184"/>
      <c r="AF554" s="184"/>
      <c r="AG554" s="184"/>
      <c r="AH554" s="184"/>
      <c r="AI554" s="184"/>
      <c r="AJ554" s="184"/>
      <c r="AK554" s="184"/>
      <c r="AL554" s="186"/>
      <c r="AM554" s="187"/>
      <c r="AN554" s="187"/>
      <c r="AO554" s="187"/>
    </row>
    <row r="555" spans="1:41" s="163" customFormat="1" ht="16.5" customHeight="1">
      <c r="A555" s="180"/>
      <c r="B555" s="181"/>
      <c r="C555" s="182"/>
      <c r="D555" s="182"/>
      <c r="E555" s="183"/>
      <c r="F555" s="183"/>
      <c r="G555" s="183"/>
      <c r="H555" s="184"/>
      <c r="I555" s="184"/>
      <c r="J555" s="184"/>
      <c r="K555" s="184"/>
      <c r="L555" s="184"/>
      <c r="M555" s="184"/>
      <c r="N555" s="184"/>
      <c r="O555" s="184"/>
      <c r="Q555" s="184"/>
      <c r="R555" s="185"/>
      <c r="S555" s="185"/>
      <c r="U555" s="184"/>
      <c r="V555" s="184"/>
      <c r="W555" s="184"/>
      <c r="X555" s="184"/>
      <c r="Y555" s="184"/>
      <c r="Z555" s="184"/>
      <c r="AA555" s="184"/>
      <c r="AB555" s="184"/>
      <c r="AC555" s="184"/>
      <c r="AD555" s="184"/>
      <c r="AE555" s="184"/>
      <c r="AF555" s="184"/>
      <c r="AG555" s="184"/>
      <c r="AH555" s="184"/>
      <c r="AI555" s="184"/>
      <c r="AJ555" s="184"/>
      <c r="AK555" s="184"/>
      <c r="AL555" s="186"/>
      <c r="AM555" s="187"/>
      <c r="AN555" s="187"/>
      <c r="AO555" s="187"/>
    </row>
    <row r="556" spans="1:41" s="163" customFormat="1" ht="16.5" customHeight="1">
      <c r="A556" s="180"/>
      <c r="B556" s="181"/>
      <c r="C556" s="182"/>
      <c r="D556" s="182"/>
      <c r="E556" s="183"/>
      <c r="F556" s="183"/>
      <c r="G556" s="183"/>
      <c r="H556" s="184"/>
      <c r="I556" s="184"/>
      <c r="J556" s="184"/>
      <c r="K556" s="184"/>
      <c r="L556" s="184"/>
      <c r="M556" s="184"/>
      <c r="N556" s="184"/>
      <c r="O556" s="184"/>
      <c r="Q556" s="184"/>
      <c r="R556" s="185"/>
      <c r="S556" s="185"/>
      <c r="U556" s="184"/>
      <c r="V556" s="184"/>
      <c r="W556" s="184"/>
      <c r="X556" s="184"/>
      <c r="Y556" s="184"/>
      <c r="Z556" s="184"/>
      <c r="AA556" s="184"/>
      <c r="AB556" s="184"/>
      <c r="AC556" s="184"/>
      <c r="AD556" s="184"/>
      <c r="AE556" s="184"/>
      <c r="AF556" s="184"/>
      <c r="AG556" s="184"/>
      <c r="AH556" s="184"/>
      <c r="AI556" s="184"/>
      <c r="AJ556" s="184"/>
      <c r="AK556" s="184"/>
      <c r="AL556" s="186"/>
      <c r="AM556" s="187"/>
      <c r="AN556" s="187"/>
      <c r="AO556" s="187"/>
    </row>
    <row r="557" spans="1:41" s="163" customFormat="1" ht="16.5" customHeight="1">
      <c r="A557" s="180"/>
      <c r="B557" s="181"/>
      <c r="C557" s="182"/>
      <c r="D557" s="182"/>
      <c r="E557" s="183"/>
      <c r="F557" s="183"/>
      <c r="G557" s="183"/>
      <c r="H557" s="184"/>
      <c r="I557" s="184"/>
      <c r="J557" s="184"/>
      <c r="K557" s="184"/>
      <c r="L557" s="184"/>
      <c r="M557" s="184"/>
      <c r="N557" s="184"/>
      <c r="O557" s="184"/>
      <c r="Q557" s="184"/>
      <c r="R557" s="185"/>
      <c r="S557" s="185"/>
      <c r="U557" s="184"/>
      <c r="V557" s="184"/>
      <c r="W557" s="184"/>
      <c r="X557" s="184"/>
      <c r="Y557" s="184"/>
      <c r="Z557" s="184"/>
      <c r="AA557" s="184"/>
      <c r="AB557" s="184"/>
      <c r="AC557" s="184"/>
      <c r="AD557" s="184"/>
      <c r="AE557" s="184"/>
      <c r="AF557" s="184"/>
      <c r="AG557" s="184"/>
      <c r="AH557" s="184"/>
      <c r="AI557" s="184"/>
      <c r="AJ557" s="184"/>
      <c r="AK557" s="184"/>
      <c r="AL557" s="186"/>
      <c r="AM557" s="187"/>
      <c r="AN557" s="187"/>
      <c r="AO557" s="187"/>
    </row>
    <row r="558" spans="1:41" s="163" customFormat="1" ht="16.5" customHeight="1">
      <c r="A558" s="180"/>
      <c r="B558" s="181"/>
      <c r="C558" s="182"/>
      <c r="D558" s="182"/>
      <c r="E558" s="183"/>
      <c r="F558" s="183"/>
      <c r="G558" s="183"/>
      <c r="H558" s="184"/>
      <c r="I558" s="184"/>
      <c r="J558" s="184"/>
      <c r="K558" s="184"/>
      <c r="L558" s="184"/>
      <c r="M558" s="184"/>
      <c r="N558" s="184"/>
      <c r="O558" s="184"/>
      <c r="Q558" s="184"/>
      <c r="R558" s="185"/>
      <c r="S558" s="185"/>
      <c r="U558" s="184"/>
      <c r="V558" s="184"/>
      <c r="W558" s="184"/>
      <c r="X558" s="184"/>
      <c r="Y558" s="184"/>
      <c r="Z558" s="184"/>
      <c r="AA558" s="184"/>
      <c r="AB558" s="184"/>
      <c r="AC558" s="184"/>
      <c r="AD558" s="184"/>
      <c r="AE558" s="184"/>
      <c r="AF558" s="184"/>
      <c r="AG558" s="184"/>
      <c r="AH558" s="184"/>
      <c r="AI558" s="184"/>
      <c r="AJ558" s="184"/>
      <c r="AK558" s="184"/>
      <c r="AL558" s="186"/>
      <c r="AM558" s="187"/>
      <c r="AN558" s="187"/>
      <c r="AO558" s="187"/>
    </row>
    <row r="559" spans="1:41" s="163" customFormat="1" ht="16.5" customHeight="1">
      <c r="A559" s="180"/>
      <c r="B559" s="181"/>
      <c r="C559" s="182"/>
      <c r="D559" s="182"/>
      <c r="E559" s="183"/>
      <c r="F559" s="183"/>
      <c r="G559" s="183"/>
      <c r="H559" s="184"/>
      <c r="I559" s="184"/>
      <c r="J559" s="184"/>
      <c r="K559" s="184"/>
      <c r="L559" s="184"/>
      <c r="M559" s="184"/>
      <c r="N559" s="184"/>
      <c r="O559" s="184"/>
      <c r="Q559" s="184"/>
      <c r="R559" s="185"/>
      <c r="S559" s="185"/>
      <c r="U559" s="184"/>
      <c r="V559" s="184"/>
      <c r="W559" s="184"/>
      <c r="X559" s="184"/>
      <c r="Y559" s="184"/>
      <c r="Z559" s="184"/>
      <c r="AA559" s="184"/>
      <c r="AB559" s="184"/>
      <c r="AC559" s="184"/>
      <c r="AD559" s="184"/>
      <c r="AE559" s="184"/>
      <c r="AF559" s="184"/>
      <c r="AG559" s="184"/>
      <c r="AH559" s="184"/>
      <c r="AI559" s="184"/>
      <c r="AJ559" s="184"/>
      <c r="AK559" s="184"/>
      <c r="AL559" s="186"/>
      <c r="AM559" s="187"/>
      <c r="AN559" s="187"/>
      <c r="AO559" s="187"/>
    </row>
    <row r="560" spans="1:41" s="163" customFormat="1" ht="16.5" customHeight="1">
      <c r="A560" s="180"/>
      <c r="B560" s="181"/>
      <c r="C560" s="182"/>
      <c r="D560" s="182"/>
      <c r="E560" s="183"/>
      <c r="F560" s="183"/>
      <c r="G560" s="183"/>
      <c r="H560" s="184"/>
      <c r="I560" s="184"/>
      <c r="J560" s="184"/>
      <c r="K560" s="184"/>
      <c r="L560" s="184"/>
      <c r="M560" s="184"/>
      <c r="N560" s="184"/>
      <c r="O560" s="184"/>
      <c r="Q560" s="184"/>
      <c r="R560" s="185"/>
      <c r="S560" s="185"/>
      <c r="U560" s="184"/>
      <c r="V560" s="184"/>
      <c r="W560" s="184"/>
      <c r="X560" s="184"/>
      <c r="Y560" s="184"/>
      <c r="Z560" s="184"/>
      <c r="AA560" s="184"/>
      <c r="AB560" s="184"/>
      <c r="AC560" s="184"/>
      <c r="AD560" s="184"/>
      <c r="AE560" s="184"/>
      <c r="AF560" s="184"/>
      <c r="AG560" s="184"/>
      <c r="AH560" s="184"/>
      <c r="AI560" s="184"/>
      <c r="AJ560" s="184"/>
      <c r="AK560" s="184"/>
      <c r="AL560" s="186"/>
      <c r="AM560" s="187"/>
      <c r="AN560" s="187"/>
      <c r="AO560" s="187"/>
    </row>
    <row r="561" spans="1:41" s="163" customFormat="1" ht="16.5" customHeight="1">
      <c r="A561" s="180"/>
      <c r="B561" s="181"/>
      <c r="C561" s="182"/>
      <c r="D561" s="182"/>
      <c r="E561" s="183"/>
      <c r="F561" s="183"/>
      <c r="G561" s="183"/>
      <c r="H561" s="184"/>
      <c r="I561" s="184"/>
      <c r="J561" s="184"/>
      <c r="K561" s="184"/>
      <c r="L561" s="184"/>
      <c r="M561" s="184"/>
      <c r="N561" s="184"/>
      <c r="O561" s="184"/>
      <c r="Q561" s="184"/>
      <c r="R561" s="185"/>
      <c r="S561" s="185"/>
      <c r="U561" s="184"/>
      <c r="V561" s="184"/>
      <c r="W561" s="184"/>
      <c r="X561" s="184"/>
      <c r="Y561" s="184"/>
      <c r="Z561" s="184"/>
      <c r="AA561" s="184"/>
      <c r="AB561" s="184"/>
      <c r="AC561" s="184"/>
      <c r="AD561" s="184"/>
      <c r="AE561" s="184"/>
      <c r="AF561" s="184"/>
      <c r="AG561" s="184"/>
      <c r="AH561" s="184"/>
      <c r="AI561" s="184"/>
      <c r="AJ561" s="184"/>
      <c r="AK561" s="184"/>
      <c r="AL561" s="186"/>
      <c r="AM561" s="187"/>
      <c r="AN561" s="187"/>
      <c r="AO561" s="187"/>
    </row>
    <row r="562" spans="1:41" s="163" customFormat="1" ht="16.5" customHeight="1">
      <c r="A562" s="180"/>
      <c r="B562" s="181"/>
      <c r="C562" s="182"/>
      <c r="D562" s="182"/>
      <c r="E562" s="183"/>
      <c r="F562" s="183"/>
      <c r="G562" s="183"/>
      <c r="H562" s="184"/>
      <c r="I562" s="184"/>
      <c r="J562" s="184"/>
      <c r="K562" s="184"/>
      <c r="L562" s="184"/>
      <c r="M562" s="184"/>
      <c r="N562" s="184"/>
      <c r="O562" s="184"/>
      <c r="Q562" s="184"/>
      <c r="R562" s="185"/>
      <c r="S562" s="185"/>
      <c r="U562" s="184"/>
      <c r="V562" s="184"/>
      <c r="W562" s="184"/>
      <c r="X562" s="184"/>
      <c r="Y562" s="184"/>
      <c r="Z562" s="184"/>
      <c r="AA562" s="184"/>
      <c r="AB562" s="184"/>
      <c r="AC562" s="184"/>
      <c r="AD562" s="184"/>
      <c r="AE562" s="184"/>
      <c r="AF562" s="184"/>
      <c r="AG562" s="184"/>
      <c r="AH562" s="184"/>
      <c r="AI562" s="184"/>
      <c r="AJ562" s="184"/>
      <c r="AK562" s="184"/>
      <c r="AL562" s="186"/>
      <c r="AM562" s="187"/>
      <c r="AN562" s="187"/>
      <c r="AO562" s="187"/>
    </row>
    <row r="563" spans="1:41" s="163" customFormat="1" ht="16.5" customHeight="1">
      <c r="A563" s="180"/>
      <c r="B563" s="181"/>
      <c r="C563" s="182"/>
      <c r="D563" s="182"/>
      <c r="E563" s="183"/>
      <c r="F563" s="183"/>
      <c r="G563" s="183"/>
      <c r="H563" s="184"/>
      <c r="I563" s="184"/>
      <c r="J563" s="184"/>
      <c r="K563" s="184"/>
      <c r="L563" s="184"/>
      <c r="M563" s="184"/>
      <c r="N563" s="184"/>
      <c r="O563" s="184"/>
      <c r="Q563" s="184"/>
      <c r="R563" s="185"/>
      <c r="S563" s="185"/>
      <c r="U563" s="184"/>
      <c r="V563" s="184"/>
      <c r="W563" s="184"/>
      <c r="X563" s="184"/>
      <c r="Y563" s="184"/>
      <c r="Z563" s="184"/>
      <c r="AA563" s="184"/>
      <c r="AB563" s="184"/>
      <c r="AC563" s="184"/>
      <c r="AD563" s="184"/>
      <c r="AE563" s="184"/>
      <c r="AF563" s="184"/>
      <c r="AG563" s="184"/>
      <c r="AH563" s="184"/>
      <c r="AI563" s="184"/>
      <c r="AJ563" s="184"/>
      <c r="AK563" s="184"/>
      <c r="AL563" s="186"/>
      <c r="AM563" s="187"/>
      <c r="AN563" s="187"/>
      <c r="AO563" s="187"/>
    </row>
    <row r="564" spans="1:41" s="163" customFormat="1" ht="16.5" customHeight="1">
      <c r="A564" s="180"/>
      <c r="B564" s="181"/>
      <c r="C564" s="182"/>
      <c r="D564" s="182"/>
      <c r="E564" s="183"/>
      <c r="F564" s="183"/>
      <c r="G564" s="183"/>
      <c r="H564" s="184"/>
      <c r="I564" s="184"/>
      <c r="J564" s="184"/>
      <c r="K564" s="184"/>
      <c r="L564" s="184"/>
      <c r="M564" s="184"/>
      <c r="N564" s="184"/>
      <c r="O564" s="184"/>
      <c r="Q564" s="184"/>
      <c r="R564" s="185"/>
      <c r="S564" s="185"/>
      <c r="U564" s="184"/>
      <c r="V564" s="184"/>
      <c r="W564" s="184"/>
      <c r="X564" s="184"/>
      <c r="Y564" s="184"/>
      <c r="Z564" s="184"/>
      <c r="AA564" s="184"/>
      <c r="AB564" s="184"/>
      <c r="AC564" s="184"/>
      <c r="AD564" s="184"/>
      <c r="AE564" s="184"/>
      <c r="AF564" s="184"/>
      <c r="AG564" s="184"/>
      <c r="AH564" s="184"/>
      <c r="AI564" s="184"/>
      <c r="AJ564" s="184"/>
      <c r="AK564" s="184"/>
      <c r="AL564" s="186"/>
      <c r="AM564" s="187"/>
      <c r="AN564" s="187"/>
      <c r="AO564" s="187"/>
    </row>
    <row r="565" spans="1:41" s="163" customFormat="1" ht="16.5" customHeight="1">
      <c r="A565" s="180"/>
      <c r="B565" s="181"/>
      <c r="C565" s="182"/>
      <c r="D565" s="182"/>
      <c r="E565" s="183"/>
      <c r="F565" s="183"/>
      <c r="G565" s="183"/>
      <c r="H565" s="184"/>
      <c r="I565" s="184"/>
      <c r="J565" s="184"/>
      <c r="K565" s="184"/>
      <c r="L565" s="184"/>
      <c r="M565" s="184"/>
      <c r="N565" s="184"/>
      <c r="O565" s="184"/>
      <c r="Q565" s="184"/>
      <c r="R565" s="185"/>
      <c r="S565" s="185"/>
      <c r="U565" s="184"/>
      <c r="V565" s="184"/>
      <c r="W565" s="184"/>
      <c r="X565" s="184"/>
      <c r="Y565" s="184"/>
      <c r="Z565" s="184"/>
      <c r="AA565" s="184"/>
      <c r="AB565" s="184"/>
      <c r="AC565" s="184"/>
      <c r="AD565" s="184"/>
      <c r="AE565" s="184"/>
      <c r="AF565" s="184"/>
      <c r="AG565" s="184"/>
      <c r="AH565" s="184"/>
      <c r="AI565" s="184"/>
      <c r="AJ565" s="184"/>
      <c r="AK565" s="184"/>
      <c r="AL565" s="186"/>
      <c r="AM565" s="187"/>
      <c r="AN565" s="187"/>
      <c r="AO565" s="187"/>
    </row>
    <row r="566" spans="1:41" s="163" customFormat="1" ht="16.5" customHeight="1">
      <c r="A566" s="180"/>
      <c r="B566" s="181"/>
      <c r="C566" s="182"/>
      <c r="D566" s="182"/>
      <c r="E566" s="183"/>
      <c r="F566" s="183"/>
      <c r="G566" s="183"/>
      <c r="H566" s="184"/>
      <c r="I566" s="184"/>
      <c r="J566" s="184"/>
      <c r="K566" s="184"/>
      <c r="L566" s="184"/>
      <c r="M566" s="184"/>
      <c r="N566" s="184"/>
      <c r="O566" s="184"/>
      <c r="Q566" s="184"/>
      <c r="R566" s="185"/>
      <c r="S566" s="185"/>
      <c r="U566" s="184"/>
      <c r="V566" s="184"/>
      <c r="W566" s="184"/>
      <c r="X566" s="184"/>
      <c r="Y566" s="184"/>
      <c r="Z566" s="184"/>
      <c r="AA566" s="184"/>
      <c r="AB566" s="184"/>
      <c r="AC566" s="184"/>
      <c r="AD566" s="184"/>
      <c r="AE566" s="184"/>
      <c r="AF566" s="184"/>
      <c r="AG566" s="184"/>
      <c r="AH566" s="184"/>
      <c r="AI566" s="184"/>
      <c r="AJ566" s="184"/>
      <c r="AK566" s="184"/>
      <c r="AL566" s="186"/>
      <c r="AM566" s="187"/>
      <c r="AN566" s="187"/>
      <c r="AO566" s="187"/>
    </row>
    <row r="567" spans="1:41" s="163" customFormat="1" ht="16.5" customHeight="1">
      <c r="A567" s="180"/>
      <c r="B567" s="181"/>
      <c r="C567" s="182"/>
      <c r="D567" s="182"/>
      <c r="E567" s="183"/>
      <c r="F567" s="183"/>
      <c r="G567" s="183"/>
      <c r="H567" s="184"/>
      <c r="I567" s="184"/>
      <c r="J567" s="184"/>
      <c r="K567" s="184"/>
      <c r="L567" s="184"/>
      <c r="M567" s="184"/>
      <c r="N567" s="184"/>
      <c r="O567" s="184"/>
      <c r="Q567" s="184"/>
      <c r="R567" s="185"/>
      <c r="S567" s="185"/>
      <c r="U567" s="184"/>
      <c r="V567" s="184"/>
      <c r="W567" s="184"/>
      <c r="X567" s="184"/>
      <c r="Y567" s="184"/>
      <c r="Z567" s="184"/>
      <c r="AA567" s="184"/>
      <c r="AB567" s="184"/>
      <c r="AC567" s="184"/>
      <c r="AD567" s="184"/>
      <c r="AE567" s="184"/>
      <c r="AF567" s="184"/>
      <c r="AG567" s="184"/>
      <c r="AH567" s="184"/>
      <c r="AI567" s="184"/>
      <c r="AJ567" s="184"/>
      <c r="AK567" s="184"/>
      <c r="AL567" s="186"/>
      <c r="AM567" s="187"/>
      <c r="AN567" s="187"/>
      <c r="AO567" s="187"/>
    </row>
    <row r="568" spans="1:41" s="163" customFormat="1" ht="16.5" customHeight="1">
      <c r="A568" s="180"/>
      <c r="B568" s="181"/>
      <c r="C568" s="182"/>
      <c r="D568" s="182"/>
      <c r="E568" s="183"/>
      <c r="F568" s="183"/>
      <c r="G568" s="183"/>
      <c r="H568" s="184"/>
      <c r="I568" s="184"/>
      <c r="J568" s="184"/>
      <c r="K568" s="184"/>
      <c r="L568" s="184"/>
      <c r="M568" s="184"/>
      <c r="N568" s="184"/>
      <c r="O568" s="184"/>
      <c r="Q568" s="184"/>
      <c r="R568" s="185"/>
      <c r="S568" s="185"/>
      <c r="U568" s="184"/>
      <c r="V568" s="184"/>
      <c r="W568" s="184"/>
      <c r="X568" s="184"/>
      <c r="Y568" s="184"/>
      <c r="Z568" s="184"/>
      <c r="AA568" s="184"/>
      <c r="AB568" s="184"/>
      <c r="AC568" s="184"/>
      <c r="AD568" s="184"/>
      <c r="AE568" s="184"/>
      <c r="AF568" s="184"/>
      <c r="AG568" s="184"/>
      <c r="AH568" s="184"/>
      <c r="AI568" s="184"/>
      <c r="AJ568" s="184"/>
      <c r="AK568" s="184"/>
      <c r="AL568" s="186"/>
      <c r="AM568" s="187"/>
      <c r="AN568" s="187"/>
      <c r="AO568" s="187"/>
    </row>
    <row r="569" spans="1:41" s="163" customFormat="1" ht="16.5" customHeight="1">
      <c r="A569" s="180"/>
      <c r="B569" s="181"/>
      <c r="C569" s="182"/>
      <c r="D569" s="182"/>
      <c r="E569" s="183"/>
      <c r="F569" s="183"/>
      <c r="G569" s="183"/>
      <c r="H569" s="184"/>
      <c r="I569" s="184"/>
      <c r="J569" s="184"/>
      <c r="K569" s="184"/>
      <c r="L569" s="184"/>
      <c r="M569" s="184"/>
      <c r="N569" s="184"/>
      <c r="O569" s="184"/>
      <c r="Q569" s="184"/>
      <c r="R569" s="185"/>
      <c r="S569" s="185"/>
      <c r="U569" s="184"/>
      <c r="V569" s="184"/>
      <c r="W569" s="184"/>
      <c r="X569" s="184"/>
      <c r="Y569" s="184"/>
      <c r="Z569" s="184"/>
      <c r="AA569" s="184"/>
      <c r="AB569" s="184"/>
      <c r="AC569" s="184"/>
      <c r="AD569" s="184"/>
      <c r="AE569" s="184"/>
      <c r="AF569" s="184"/>
      <c r="AG569" s="184"/>
      <c r="AH569" s="184"/>
      <c r="AI569" s="184"/>
      <c r="AJ569" s="184"/>
      <c r="AK569" s="184"/>
      <c r="AL569" s="186"/>
      <c r="AM569" s="187"/>
      <c r="AN569" s="187"/>
      <c r="AO569" s="187"/>
    </row>
    <row r="570" spans="1:41" s="163" customFormat="1" ht="16.5" customHeight="1">
      <c r="A570" s="180"/>
      <c r="B570" s="181"/>
      <c r="C570" s="182"/>
      <c r="D570" s="182"/>
      <c r="E570" s="183"/>
      <c r="F570" s="183"/>
      <c r="G570" s="183"/>
      <c r="H570" s="184"/>
      <c r="I570" s="184"/>
      <c r="J570" s="184"/>
      <c r="K570" s="184"/>
      <c r="L570" s="184"/>
      <c r="M570" s="184"/>
      <c r="N570" s="184"/>
      <c r="O570" s="184"/>
      <c r="Q570" s="184"/>
      <c r="R570" s="185"/>
      <c r="S570" s="185"/>
      <c r="U570" s="184"/>
      <c r="V570" s="184"/>
      <c r="W570" s="184"/>
      <c r="X570" s="184"/>
      <c r="Y570" s="184"/>
      <c r="Z570" s="184"/>
      <c r="AA570" s="184"/>
      <c r="AB570" s="184"/>
      <c r="AC570" s="184"/>
      <c r="AD570" s="184"/>
      <c r="AE570" s="184"/>
      <c r="AF570" s="184"/>
      <c r="AG570" s="184"/>
      <c r="AH570" s="184"/>
      <c r="AI570" s="184"/>
      <c r="AJ570" s="184"/>
      <c r="AK570" s="184"/>
      <c r="AL570" s="186"/>
      <c r="AM570" s="187"/>
      <c r="AN570" s="187"/>
      <c r="AO570" s="187"/>
    </row>
    <row r="571" spans="1:41" s="163" customFormat="1" ht="16.5" customHeight="1">
      <c r="A571" s="180"/>
      <c r="B571" s="181"/>
      <c r="C571" s="182"/>
      <c r="D571" s="182"/>
      <c r="E571" s="183"/>
      <c r="F571" s="183"/>
      <c r="G571" s="183"/>
      <c r="H571" s="184"/>
      <c r="I571" s="184"/>
      <c r="J571" s="184"/>
      <c r="K571" s="184"/>
      <c r="L571" s="184"/>
      <c r="M571" s="184"/>
      <c r="N571" s="184"/>
      <c r="O571" s="184"/>
      <c r="Q571" s="184"/>
      <c r="R571" s="185"/>
      <c r="S571" s="185"/>
      <c r="U571" s="184"/>
      <c r="V571" s="184"/>
      <c r="W571" s="184"/>
      <c r="X571" s="184"/>
      <c r="Y571" s="184"/>
      <c r="Z571" s="184"/>
      <c r="AA571" s="184"/>
      <c r="AB571" s="184"/>
      <c r="AC571" s="184"/>
      <c r="AD571" s="184"/>
      <c r="AE571" s="184"/>
      <c r="AF571" s="184"/>
      <c r="AG571" s="184"/>
      <c r="AH571" s="184"/>
      <c r="AI571" s="184"/>
      <c r="AJ571" s="184"/>
      <c r="AK571" s="184"/>
      <c r="AL571" s="186"/>
      <c r="AM571" s="187"/>
      <c r="AN571" s="187"/>
      <c r="AO571" s="187"/>
    </row>
    <row r="572" spans="1:41" s="163" customFormat="1" ht="16.5" customHeight="1">
      <c r="A572" s="180"/>
      <c r="B572" s="181"/>
      <c r="C572" s="182"/>
      <c r="D572" s="182"/>
      <c r="E572" s="183"/>
      <c r="F572" s="183"/>
      <c r="G572" s="183"/>
      <c r="H572" s="184"/>
      <c r="I572" s="184"/>
      <c r="J572" s="184"/>
      <c r="K572" s="184"/>
      <c r="L572" s="184"/>
      <c r="M572" s="184"/>
      <c r="N572" s="184"/>
      <c r="O572" s="184"/>
      <c r="Q572" s="184"/>
      <c r="R572" s="185"/>
      <c r="S572" s="185"/>
      <c r="U572" s="184"/>
      <c r="V572" s="184"/>
      <c r="W572" s="184"/>
      <c r="X572" s="184"/>
      <c r="Y572" s="184"/>
      <c r="Z572" s="184"/>
      <c r="AA572" s="184"/>
      <c r="AB572" s="184"/>
      <c r="AC572" s="184"/>
      <c r="AD572" s="184"/>
      <c r="AE572" s="184"/>
      <c r="AF572" s="184"/>
      <c r="AG572" s="184"/>
      <c r="AH572" s="184"/>
      <c r="AI572" s="184"/>
      <c r="AJ572" s="184"/>
      <c r="AK572" s="184"/>
      <c r="AL572" s="186"/>
      <c r="AM572" s="187"/>
      <c r="AN572" s="187"/>
      <c r="AO572" s="187"/>
    </row>
    <row r="573" spans="1:41" s="163" customFormat="1" ht="16.5" customHeight="1">
      <c r="A573" s="180"/>
      <c r="B573" s="181"/>
      <c r="C573" s="182"/>
      <c r="D573" s="182"/>
      <c r="E573" s="183"/>
      <c r="F573" s="183"/>
      <c r="G573" s="183"/>
      <c r="H573" s="184"/>
      <c r="I573" s="184"/>
      <c r="J573" s="184"/>
      <c r="K573" s="184"/>
      <c r="L573" s="184"/>
      <c r="M573" s="184"/>
      <c r="N573" s="184"/>
      <c r="O573" s="184"/>
      <c r="Q573" s="184"/>
      <c r="R573" s="185"/>
      <c r="S573" s="185"/>
      <c r="U573" s="184"/>
      <c r="V573" s="184"/>
      <c r="W573" s="184"/>
      <c r="X573" s="184"/>
      <c r="Y573" s="184"/>
      <c r="Z573" s="184"/>
      <c r="AA573" s="184"/>
      <c r="AB573" s="184"/>
      <c r="AC573" s="184"/>
      <c r="AD573" s="184"/>
      <c r="AE573" s="184"/>
      <c r="AF573" s="184"/>
      <c r="AG573" s="184"/>
      <c r="AH573" s="184"/>
      <c r="AI573" s="184"/>
      <c r="AJ573" s="184"/>
      <c r="AK573" s="184"/>
      <c r="AL573" s="186"/>
      <c r="AM573" s="187"/>
      <c r="AN573" s="187"/>
      <c r="AO573" s="187"/>
    </row>
    <row r="574" spans="1:41" s="163" customFormat="1" ht="16.5" customHeight="1">
      <c r="A574" s="180"/>
      <c r="B574" s="181"/>
      <c r="C574" s="182"/>
      <c r="D574" s="182"/>
      <c r="E574" s="183"/>
      <c r="F574" s="183"/>
      <c r="G574" s="183"/>
      <c r="H574" s="184"/>
      <c r="I574" s="184"/>
      <c r="J574" s="184"/>
      <c r="K574" s="184"/>
      <c r="L574" s="184"/>
      <c r="M574" s="184"/>
      <c r="N574" s="184"/>
      <c r="O574" s="184"/>
      <c r="Q574" s="184"/>
      <c r="R574" s="185"/>
      <c r="S574" s="185"/>
      <c r="U574" s="184"/>
      <c r="V574" s="184"/>
      <c r="W574" s="184"/>
      <c r="X574" s="184"/>
      <c r="Y574" s="184"/>
      <c r="Z574" s="184"/>
      <c r="AA574" s="184"/>
      <c r="AB574" s="184"/>
      <c r="AC574" s="184"/>
      <c r="AD574" s="184"/>
      <c r="AE574" s="184"/>
      <c r="AF574" s="184"/>
      <c r="AG574" s="184"/>
      <c r="AH574" s="184"/>
      <c r="AI574" s="184"/>
      <c r="AJ574" s="184"/>
      <c r="AK574" s="184"/>
      <c r="AL574" s="186"/>
      <c r="AM574" s="187"/>
      <c r="AN574" s="187"/>
      <c r="AO574" s="187"/>
    </row>
    <row r="575" spans="1:41" s="163" customFormat="1" ht="16.5" customHeight="1">
      <c r="A575" s="180"/>
      <c r="B575" s="181"/>
      <c r="C575" s="182"/>
      <c r="D575" s="182"/>
      <c r="E575" s="183"/>
      <c r="F575" s="183"/>
      <c r="G575" s="183"/>
      <c r="H575" s="184"/>
      <c r="I575" s="184"/>
      <c r="J575" s="184"/>
      <c r="K575" s="184"/>
      <c r="L575" s="184"/>
      <c r="M575" s="184"/>
      <c r="N575" s="184"/>
      <c r="O575" s="184"/>
      <c r="Q575" s="184"/>
      <c r="R575" s="185"/>
      <c r="S575" s="185"/>
      <c r="U575" s="184"/>
      <c r="V575" s="184"/>
      <c r="W575" s="184"/>
      <c r="X575" s="184"/>
      <c r="Y575" s="184"/>
      <c r="Z575" s="184"/>
      <c r="AA575" s="184"/>
      <c r="AB575" s="184"/>
      <c r="AC575" s="184"/>
      <c r="AD575" s="184"/>
      <c r="AE575" s="184"/>
      <c r="AF575" s="184"/>
      <c r="AG575" s="184"/>
      <c r="AH575" s="184"/>
      <c r="AI575" s="184"/>
      <c r="AJ575" s="184"/>
      <c r="AK575" s="184"/>
      <c r="AL575" s="186"/>
      <c r="AM575" s="187"/>
      <c r="AN575" s="187"/>
      <c r="AO575" s="187"/>
    </row>
    <row r="576" spans="1:41" s="163" customFormat="1" ht="16.5" customHeight="1">
      <c r="A576" s="180"/>
      <c r="B576" s="181"/>
      <c r="C576" s="182"/>
      <c r="D576" s="182"/>
      <c r="E576" s="183"/>
      <c r="F576" s="183"/>
      <c r="G576" s="183"/>
      <c r="H576" s="184"/>
      <c r="I576" s="184"/>
      <c r="J576" s="184"/>
      <c r="K576" s="184"/>
      <c r="L576" s="184"/>
      <c r="M576" s="184"/>
      <c r="N576" s="184"/>
      <c r="O576" s="184"/>
      <c r="Q576" s="184"/>
      <c r="R576" s="185"/>
      <c r="S576" s="185"/>
      <c r="U576" s="184"/>
      <c r="V576" s="184"/>
      <c r="W576" s="184"/>
      <c r="X576" s="184"/>
      <c r="Y576" s="184"/>
      <c r="Z576" s="184"/>
      <c r="AA576" s="184"/>
      <c r="AB576" s="184"/>
      <c r="AC576" s="184"/>
      <c r="AD576" s="184"/>
      <c r="AE576" s="184"/>
      <c r="AF576" s="184"/>
      <c r="AG576" s="184"/>
      <c r="AH576" s="184"/>
      <c r="AI576" s="184"/>
      <c r="AJ576" s="184"/>
      <c r="AK576" s="184"/>
      <c r="AL576" s="186"/>
      <c r="AM576" s="187"/>
      <c r="AN576" s="187"/>
      <c r="AO576" s="187"/>
    </row>
    <row r="577" spans="1:41" s="163" customFormat="1" ht="16.5" customHeight="1">
      <c r="A577" s="180"/>
      <c r="B577" s="181"/>
      <c r="C577" s="182"/>
      <c r="D577" s="182"/>
      <c r="E577" s="183"/>
      <c r="F577" s="183"/>
      <c r="G577" s="183"/>
      <c r="H577" s="184"/>
      <c r="I577" s="184"/>
      <c r="J577" s="184"/>
      <c r="K577" s="184"/>
      <c r="L577" s="184"/>
      <c r="M577" s="184"/>
      <c r="N577" s="184"/>
      <c r="O577" s="184"/>
      <c r="Q577" s="184"/>
      <c r="R577" s="185"/>
      <c r="S577" s="185"/>
      <c r="U577" s="184"/>
      <c r="V577" s="184"/>
      <c r="W577" s="184"/>
      <c r="X577" s="184"/>
      <c r="Y577" s="184"/>
      <c r="Z577" s="184"/>
      <c r="AA577" s="184"/>
      <c r="AB577" s="184"/>
      <c r="AC577" s="184"/>
      <c r="AD577" s="184"/>
      <c r="AE577" s="184"/>
      <c r="AF577" s="184"/>
      <c r="AG577" s="184"/>
      <c r="AH577" s="184"/>
      <c r="AI577" s="184"/>
      <c r="AJ577" s="184"/>
      <c r="AK577" s="184"/>
      <c r="AL577" s="186"/>
      <c r="AM577" s="187"/>
      <c r="AN577" s="187"/>
      <c r="AO577" s="187"/>
    </row>
    <row r="578" spans="1:41" s="163" customFormat="1" ht="16.5" customHeight="1">
      <c r="A578" s="180"/>
      <c r="B578" s="181"/>
      <c r="C578" s="182"/>
      <c r="D578" s="182"/>
      <c r="E578" s="183"/>
      <c r="F578" s="183"/>
      <c r="G578" s="183"/>
      <c r="H578" s="184"/>
      <c r="I578" s="184"/>
      <c r="J578" s="184"/>
      <c r="K578" s="184"/>
      <c r="L578" s="184"/>
      <c r="M578" s="184"/>
      <c r="N578" s="184"/>
      <c r="O578" s="184"/>
      <c r="Q578" s="184"/>
      <c r="R578" s="185"/>
      <c r="S578" s="185"/>
      <c r="U578" s="184"/>
      <c r="V578" s="184"/>
      <c r="W578" s="184"/>
      <c r="X578" s="184"/>
      <c r="Y578" s="184"/>
      <c r="Z578" s="184"/>
      <c r="AA578" s="184"/>
      <c r="AB578" s="184"/>
      <c r="AC578" s="184"/>
      <c r="AD578" s="184"/>
      <c r="AE578" s="184"/>
      <c r="AF578" s="184"/>
      <c r="AG578" s="184"/>
      <c r="AH578" s="184"/>
      <c r="AI578" s="184"/>
      <c r="AJ578" s="184"/>
      <c r="AK578" s="184"/>
      <c r="AL578" s="186"/>
      <c r="AM578" s="187"/>
      <c r="AN578" s="187"/>
      <c r="AO578" s="187"/>
    </row>
    <row r="579" spans="1:41" s="163" customFormat="1" ht="16.5" customHeight="1">
      <c r="A579" s="180"/>
      <c r="B579" s="181"/>
      <c r="C579" s="182"/>
      <c r="D579" s="182"/>
      <c r="E579" s="183"/>
      <c r="F579" s="183"/>
      <c r="G579" s="183"/>
      <c r="H579" s="184"/>
      <c r="I579" s="184"/>
      <c r="J579" s="184"/>
      <c r="K579" s="184"/>
      <c r="L579" s="184"/>
      <c r="M579" s="184"/>
      <c r="N579" s="184"/>
      <c r="O579" s="184"/>
      <c r="Q579" s="184"/>
      <c r="R579" s="185"/>
      <c r="S579" s="185"/>
      <c r="U579" s="184"/>
      <c r="V579" s="184"/>
      <c r="W579" s="184"/>
      <c r="X579" s="184"/>
      <c r="Y579" s="184"/>
      <c r="Z579" s="184"/>
      <c r="AA579" s="184"/>
      <c r="AB579" s="184"/>
      <c r="AC579" s="184"/>
      <c r="AD579" s="184"/>
      <c r="AE579" s="184"/>
      <c r="AF579" s="184"/>
      <c r="AG579" s="184"/>
      <c r="AH579" s="184"/>
      <c r="AI579" s="184"/>
      <c r="AJ579" s="184"/>
      <c r="AK579" s="184"/>
      <c r="AL579" s="186"/>
      <c r="AM579" s="187"/>
      <c r="AN579" s="187"/>
      <c r="AO579" s="187"/>
    </row>
    <row r="580" spans="1:41" s="163" customFormat="1" ht="16.5" customHeight="1">
      <c r="A580" s="180"/>
      <c r="B580" s="181"/>
      <c r="C580" s="182"/>
      <c r="D580" s="182"/>
      <c r="E580" s="183"/>
      <c r="F580" s="183"/>
      <c r="G580" s="183"/>
      <c r="H580" s="184"/>
      <c r="I580" s="184"/>
      <c r="J580" s="184"/>
      <c r="K580" s="184"/>
      <c r="L580" s="184"/>
      <c r="M580" s="184"/>
      <c r="N580" s="184"/>
      <c r="O580" s="184"/>
      <c r="Q580" s="184"/>
      <c r="R580" s="185"/>
      <c r="S580" s="185"/>
      <c r="U580" s="184"/>
      <c r="V580" s="184"/>
      <c r="W580" s="184"/>
      <c r="X580" s="184"/>
      <c r="Y580" s="184"/>
      <c r="Z580" s="184"/>
      <c r="AA580" s="184"/>
      <c r="AB580" s="184"/>
      <c r="AC580" s="184"/>
      <c r="AD580" s="184"/>
      <c r="AE580" s="184"/>
      <c r="AF580" s="184"/>
      <c r="AG580" s="184"/>
      <c r="AH580" s="184"/>
      <c r="AI580" s="184"/>
      <c r="AJ580" s="184"/>
      <c r="AK580" s="184"/>
      <c r="AL580" s="186"/>
      <c r="AM580" s="187"/>
      <c r="AN580" s="187"/>
      <c r="AO580" s="187"/>
    </row>
    <row r="581" spans="1:41" s="163" customFormat="1" ht="16.5" customHeight="1">
      <c r="A581" s="180"/>
      <c r="B581" s="181"/>
      <c r="C581" s="182"/>
      <c r="D581" s="182"/>
      <c r="E581" s="183"/>
      <c r="F581" s="183"/>
      <c r="G581" s="183"/>
      <c r="H581" s="184"/>
      <c r="I581" s="184"/>
      <c r="J581" s="184"/>
      <c r="K581" s="184"/>
      <c r="L581" s="184"/>
      <c r="M581" s="184"/>
      <c r="N581" s="184"/>
      <c r="O581" s="184"/>
      <c r="Q581" s="184"/>
      <c r="R581" s="185"/>
      <c r="S581" s="185"/>
      <c r="U581" s="184"/>
      <c r="V581" s="184"/>
      <c r="W581" s="184"/>
      <c r="X581" s="184"/>
      <c r="Y581" s="184"/>
      <c r="Z581" s="184"/>
      <c r="AA581" s="184"/>
      <c r="AB581" s="184"/>
      <c r="AC581" s="184"/>
      <c r="AD581" s="184"/>
      <c r="AE581" s="184"/>
      <c r="AF581" s="184"/>
      <c r="AG581" s="184"/>
      <c r="AH581" s="184"/>
      <c r="AI581" s="184"/>
      <c r="AJ581" s="184"/>
      <c r="AK581" s="184"/>
      <c r="AL581" s="186"/>
      <c r="AM581" s="187"/>
      <c r="AN581" s="187"/>
      <c r="AO581" s="187"/>
    </row>
    <row r="582" spans="1:41" s="163" customFormat="1" ht="16.5" customHeight="1">
      <c r="A582" s="180"/>
      <c r="B582" s="181"/>
      <c r="C582" s="182"/>
      <c r="D582" s="182"/>
      <c r="E582" s="183"/>
      <c r="F582" s="183"/>
      <c r="G582" s="183"/>
      <c r="H582" s="184"/>
      <c r="I582" s="184"/>
      <c r="J582" s="184"/>
      <c r="K582" s="184"/>
      <c r="L582" s="184"/>
      <c r="M582" s="184"/>
      <c r="N582" s="184"/>
      <c r="O582" s="184"/>
      <c r="Q582" s="184"/>
      <c r="R582" s="185"/>
      <c r="S582" s="185"/>
      <c r="U582" s="184"/>
      <c r="V582" s="184"/>
      <c r="W582" s="184"/>
      <c r="X582" s="184"/>
      <c r="Y582" s="184"/>
      <c r="Z582" s="184"/>
      <c r="AA582" s="184"/>
      <c r="AB582" s="184"/>
      <c r="AC582" s="184"/>
      <c r="AD582" s="184"/>
      <c r="AE582" s="184"/>
      <c r="AF582" s="184"/>
      <c r="AG582" s="184"/>
      <c r="AH582" s="184"/>
      <c r="AI582" s="184"/>
      <c r="AJ582" s="184"/>
      <c r="AK582" s="184"/>
      <c r="AL582" s="186"/>
      <c r="AM582" s="187"/>
      <c r="AN582" s="187"/>
      <c r="AO582" s="187"/>
    </row>
    <row r="583" spans="1:41" s="163" customFormat="1" ht="16.5" customHeight="1">
      <c r="A583" s="180"/>
      <c r="B583" s="181"/>
      <c r="C583" s="182"/>
      <c r="D583" s="182"/>
      <c r="E583" s="183"/>
      <c r="F583" s="183"/>
      <c r="G583" s="183"/>
      <c r="H583" s="184"/>
      <c r="I583" s="184"/>
      <c r="J583" s="184"/>
      <c r="K583" s="184"/>
      <c r="L583" s="184"/>
      <c r="M583" s="184"/>
      <c r="N583" s="184"/>
      <c r="O583" s="184"/>
      <c r="Q583" s="184"/>
      <c r="R583" s="185"/>
      <c r="S583" s="185"/>
      <c r="U583" s="184"/>
      <c r="V583" s="184"/>
      <c r="W583" s="184"/>
      <c r="X583" s="184"/>
      <c r="Y583" s="184"/>
      <c r="Z583" s="184"/>
      <c r="AA583" s="184"/>
      <c r="AB583" s="184"/>
      <c r="AC583" s="184"/>
      <c r="AD583" s="184"/>
      <c r="AE583" s="184"/>
      <c r="AF583" s="184"/>
      <c r="AG583" s="184"/>
      <c r="AH583" s="184"/>
      <c r="AI583" s="184"/>
      <c r="AJ583" s="184"/>
      <c r="AK583" s="184"/>
      <c r="AL583" s="186"/>
      <c r="AM583" s="187"/>
      <c r="AN583" s="187"/>
      <c r="AO583" s="187"/>
    </row>
    <row r="584" spans="1:41" s="163" customFormat="1" ht="16.5" customHeight="1">
      <c r="A584" s="180"/>
      <c r="B584" s="181"/>
      <c r="C584" s="182"/>
      <c r="D584" s="182"/>
      <c r="E584" s="183"/>
      <c r="F584" s="183"/>
      <c r="G584" s="183"/>
      <c r="H584" s="184"/>
      <c r="I584" s="184"/>
      <c r="J584" s="184"/>
      <c r="K584" s="184"/>
      <c r="L584" s="184"/>
      <c r="M584" s="184"/>
      <c r="N584" s="184"/>
      <c r="O584" s="184"/>
      <c r="Q584" s="184"/>
      <c r="R584" s="185"/>
      <c r="S584" s="185"/>
      <c r="U584" s="184"/>
      <c r="V584" s="184"/>
      <c r="W584" s="184"/>
      <c r="X584" s="184"/>
      <c r="Y584" s="184"/>
      <c r="Z584" s="184"/>
      <c r="AA584" s="184"/>
      <c r="AB584" s="184"/>
      <c r="AC584" s="184"/>
      <c r="AD584" s="184"/>
      <c r="AE584" s="184"/>
      <c r="AF584" s="184"/>
      <c r="AG584" s="184"/>
      <c r="AH584" s="184"/>
      <c r="AI584" s="184"/>
      <c r="AJ584" s="184"/>
      <c r="AK584" s="184"/>
      <c r="AL584" s="186"/>
      <c r="AM584" s="187"/>
      <c r="AN584" s="187"/>
      <c r="AO584" s="187"/>
    </row>
    <row r="585" spans="1:41" s="163" customFormat="1" ht="16.5" customHeight="1">
      <c r="A585" s="180"/>
      <c r="B585" s="181"/>
      <c r="C585" s="182"/>
      <c r="D585" s="182"/>
      <c r="E585" s="183"/>
      <c r="F585" s="183"/>
      <c r="G585" s="183"/>
      <c r="H585" s="184"/>
      <c r="I585" s="184"/>
      <c r="J585" s="184"/>
      <c r="K585" s="184"/>
      <c r="L585" s="184"/>
      <c r="M585" s="184"/>
      <c r="N585" s="184"/>
      <c r="O585" s="184"/>
      <c r="Q585" s="184"/>
      <c r="R585" s="185"/>
      <c r="S585" s="185"/>
      <c r="U585" s="184"/>
      <c r="V585" s="184"/>
      <c r="W585" s="184"/>
      <c r="X585" s="184"/>
      <c r="Y585" s="184"/>
      <c r="Z585" s="184"/>
      <c r="AA585" s="184"/>
      <c r="AB585" s="184"/>
      <c r="AC585" s="184"/>
      <c r="AD585" s="184"/>
      <c r="AE585" s="184"/>
      <c r="AF585" s="184"/>
      <c r="AG585" s="184"/>
      <c r="AH585" s="184"/>
      <c r="AI585" s="184"/>
      <c r="AJ585" s="184"/>
      <c r="AK585" s="184"/>
      <c r="AL585" s="186"/>
      <c r="AM585" s="187"/>
      <c r="AN585" s="187"/>
      <c r="AO585" s="187"/>
    </row>
    <row r="586" spans="1:41" s="163" customFormat="1" ht="16.5" customHeight="1">
      <c r="A586" s="180"/>
      <c r="B586" s="181"/>
      <c r="C586" s="182"/>
      <c r="D586" s="182"/>
      <c r="E586" s="183"/>
      <c r="F586" s="183"/>
      <c r="G586" s="183"/>
      <c r="H586" s="184"/>
      <c r="I586" s="184"/>
      <c r="J586" s="184"/>
      <c r="K586" s="184"/>
      <c r="L586" s="184"/>
      <c r="M586" s="184"/>
      <c r="N586" s="184"/>
      <c r="O586" s="184"/>
      <c r="Q586" s="184"/>
      <c r="R586" s="185"/>
      <c r="S586" s="185"/>
      <c r="U586" s="184"/>
      <c r="V586" s="184"/>
      <c r="W586" s="184"/>
      <c r="X586" s="184"/>
      <c r="Y586" s="184"/>
      <c r="Z586" s="184"/>
      <c r="AA586" s="184"/>
      <c r="AB586" s="184"/>
      <c r="AC586" s="184"/>
      <c r="AD586" s="184"/>
      <c r="AE586" s="184"/>
      <c r="AF586" s="184"/>
      <c r="AG586" s="184"/>
      <c r="AH586" s="184"/>
      <c r="AI586" s="184"/>
      <c r="AJ586" s="184"/>
      <c r="AK586" s="184"/>
      <c r="AL586" s="186"/>
      <c r="AM586" s="187"/>
      <c r="AN586" s="187"/>
      <c r="AO586" s="187"/>
    </row>
    <row r="587" spans="1:41" s="163" customFormat="1" ht="16.5" customHeight="1">
      <c r="A587" s="180"/>
      <c r="B587" s="181"/>
      <c r="C587" s="182"/>
      <c r="D587" s="182"/>
      <c r="E587" s="183"/>
      <c r="F587" s="183"/>
      <c r="G587" s="183"/>
      <c r="H587" s="184"/>
      <c r="I587" s="184"/>
      <c r="J587" s="184"/>
      <c r="K587" s="184"/>
      <c r="L587" s="184"/>
      <c r="M587" s="184"/>
      <c r="N587" s="184"/>
      <c r="O587" s="184"/>
      <c r="Q587" s="184"/>
      <c r="R587" s="185"/>
      <c r="S587" s="185"/>
      <c r="U587" s="184"/>
      <c r="V587" s="184"/>
      <c r="W587" s="184"/>
      <c r="X587" s="184"/>
      <c r="Y587" s="184"/>
      <c r="Z587" s="184"/>
      <c r="AA587" s="184"/>
      <c r="AB587" s="184"/>
      <c r="AC587" s="184"/>
      <c r="AD587" s="184"/>
      <c r="AE587" s="184"/>
      <c r="AF587" s="184"/>
      <c r="AG587" s="184"/>
      <c r="AH587" s="184"/>
      <c r="AI587" s="184"/>
      <c r="AJ587" s="184"/>
      <c r="AK587" s="184"/>
      <c r="AL587" s="186"/>
      <c r="AM587" s="187"/>
      <c r="AN587" s="187"/>
      <c r="AO587" s="187"/>
    </row>
    <row r="588" spans="1:41" s="163" customFormat="1" ht="16.5" customHeight="1">
      <c r="A588" s="180"/>
      <c r="B588" s="181"/>
      <c r="C588" s="182"/>
      <c r="D588" s="182"/>
      <c r="E588" s="183"/>
      <c r="F588" s="183"/>
      <c r="G588" s="183"/>
      <c r="H588" s="184"/>
      <c r="I588" s="184"/>
      <c r="J588" s="184"/>
      <c r="K588" s="184"/>
      <c r="L588" s="184"/>
      <c r="M588" s="184"/>
      <c r="N588" s="184"/>
      <c r="O588" s="184"/>
      <c r="Q588" s="184"/>
      <c r="R588" s="185"/>
      <c r="S588" s="185"/>
      <c r="U588" s="184"/>
      <c r="V588" s="184"/>
      <c r="W588" s="184"/>
      <c r="X588" s="184"/>
      <c r="Y588" s="184"/>
      <c r="Z588" s="184"/>
      <c r="AA588" s="184"/>
      <c r="AB588" s="184"/>
      <c r="AC588" s="184"/>
      <c r="AD588" s="184"/>
      <c r="AE588" s="184"/>
      <c r="AF588" s="184"/>
      <c r="AG588" s="184"/>
      <c r="AH588" s="184"/>
      <c r="AI588" s="184"/>
      <c r="AJ588" s="184"/>
      <c r="AK588" s="184"/>
      <c r="AL588" s="186"/>
      <c r="AM588" s="187"/>
      <c r="AN588" s="187"/>
      <c r="AO588" s="187"/>
    </row>
    <row r="589" spans="1:41" s="163" customFormat="1" ht="16.5" customHeight="1">
      <c r="A589" s="180"/>
      <c r="B589" s="181"/>
      <c r="C589" s="182"/>
      <c r="D589" s="182"/>
      <c r="E589" s="183"/>
      <c r="F589" s="183"/>
      <c r="G589" s="183"/>
      <c r="H589" s="184"/>
      <c r="I589" s="184"/>
      <c r="J589" s="184"/>
      <c r="K589" s="184"/>
      <c r="L589" s="184"/>
      <c r="M589" s="184"/>
      <c r="N589" s="184"/>
      <c r="O589" s="184"/>
      <c r="Q589" s="184"/>
      <c r="R589" s="185"/>
      <c r="S589" s="185"/>
      <c r="U589" s="184"/>
      <c r="V589" s="184"/>
      <c r="W589" s="184"/>
      <c r="X589" s="184"/>
      <c r="Y589" s="184"/>
      <c r="Z589" s="184"/>
      <c r="AA589" s="184"/>
      <c r="AB589" s="184"/>
      <c r="AC589" s="184"/>
      <c r="AD589" s="184"/>
      <c r="AE589" s="184"/>
      <c r="AF589" s="184"/>
      <c r="AG589" s="184"/>
      <c r="AH589" s="184"/>
      <c r="AI589" s="184"/>
      <c r="AJ589" s="184"/>
      <c r="AK589" s="184"/>
      <c r="AL589" s="186"/>
      <c r="AM589" s="187"/>
      <c r="AN589" s="187"/>
      <c r="AO589" s="187"/>
    </row>
    <row r="590" spans="1:41" s="163" customFormat="1" ht="16.5" customHeight="1">
      <c r="A590" s="180"/>
      <c r="B590" s="181"/>
      <c r="C590" s="182"/>
      <c r="D590" s="182"/>
      <c r="E590" s="183"/>
      <c r="F590" s="183"/>
      <c r="G590" s="183"/>
      <c r="H590" s="184"/>
      <c r="I590" s="184"/>
      <c r="J590" s="184"/>
      <c r="K590" s="184"/>
      <c r="L590" s="184"/>
      <c r="M590" s="184"/>
      <c r="N590" s="184"/>
      <c r="O590" s="184"/>
      <c r="Q590" s="184"/>
      <c r="R590" s="185"/>
      <c r="S590" s="185"/>
      <c r="U590" s="184"/>
      <c r="V590" s="184"/>
      <c r="W590" s="184"/>
      <c r="X590" s="184"/>
      <c r="Y590" s="184"/>
      <c r="Z590" s="184"/>
      <c r="AA590" s="184"/>
      <c r="AB590" s="184"/>
      <c r="AC590" s="184"/>
      <c r="AD590" s="184"/>
      <c r="AE590" s="184"/>
      <c r="AF590" s="184"/>
      <c r="AG590" s="184"/>
      <c r="AH590" s="184"/>
      <c r="AI590" s="184"/>
      <c r="AJ590" s="184"/>
      <c r="AK590" s="184"/>
      <c r="AL590" s="186"/>
      <c r="AM590" s="187"/>
      <c r="AN590" s="187"/>
      <c r="AO590" s="187"/>
    </row>
    <row r="591" spans="1:41" s="163" customFormat="1" ht="16.5" customHeight="1">
      <c r="A591" s="180"/>
      <c r="B591" s="181"/>
      <c r="C591" s="182"/>
      <c r="D591" s="182"/>
      <c r="E591" s="183"/>
      <c r="F591" s="183"/>
      <c r="G591" s="183"/>
      <c r="H591" s="184"/>
      <c r="I591" s="184"/>
      <c r="J591" s="184"/>
      <c r="K591" s="184"/>
      <c r="L591" s="184"/>
      <c r="M591" s="184"/>
      <c r="N591" s="184"/>
      <c r="O591" s="184"/>
      <c r="Q591" s="184"/>
      <c r="R591" s="185"/>
      <c r="S591" s="185"/>
      <c r="U591" s="184"/>
      <c r="V591" s="184"/>
      <c r="W591" s="184"/>
      <c r="X591" s="184"/>
      <c r="Y591" s="184"/>
      <c r="Z591" s="184"/>
      <c r="AA591" s="184"/>
      <c r="AB591" s="184"/>
      <c r="AC591" s="184"/>
      <c r="AD591" s="184"/>
      <c r="AE591" s="184"/>
      <c r="AF591" s="184"/>
      <c r="AG591" s="184"/>
      <c r="AH591" s="184"/>
      <c r="AI591" s="184"/>
      <c r="AJ591" s="184"/>
      <c r="AK591" s="184"/>
      <c r="AL591" s="186"/>
      <c r="AM591" s="187"/>
      <c r="AN591" s="187"/>
      <c r="AO591" s="187"/>
    </row>
    <row r="592" spans="1:41" s="163" customFormat="1" ht="16.5" customHeight="1">
      <c r="A592" s="180"/>
      <c r="B592" s="181"/>
      <c r="C592" s="182"/>
      <c r="D592" s="182"/>
      <c r="E592" s="183"/>
      <c r="F592" s="183"/>
      <c r="G592" s="183"/>
      <c r="H592" s="184"/>
      <c r="I592" s="184"/>
      <c r="J592" s="184"/>
      <c r="K592" s="184"/>
      <c r="L592" s="184"/>
      <c r="M592" s="184"/>
      <c r="N592" s="184"/>
      <c r="O592" s="184"/>
      <c r="Q592" s="184"/>
      <c r="R592" s="185"/>
      <c r="S592" s="185"/>
      <c r="U592" s="184"/>
      <c r="V592" s="184"/>
      <c r="W592" s="184"/>
      <c r="X592" s="184"/>
      <c r="Y592" s="184"/>
      <c r="Z592" s="184"/>
      <c r="AA592" s="184"/>
      <c r="AB592" s="184"/>
      <c r="AC592" s="184"/>
      <c r="AD592" s="184"/>
      <c r="AE592" s="184"/>
      <c r="AF592" s="184"/>
      <c r="AG592" s="184"/>
      <c r="AH592" s="184"/>
      <c r="AI592" s="184"/>
      <c r="AJ592" s="184"/>
      <c r="AK592" s="184"/>
      <c r="AL592" s="186"/>
      <c r="AM592" s="187"/>
      <c r="AN592" s="187"/>
      <c r="AO592" s="187"/>
    </row>
    <row r="593" spans="1:41" s="163" customFormat="1" ht="16.5" customHeight="1">
      <c r="A593" s="180"/>
      <c r="B593" s="181"/>
      <c r="C593" s="182"/>
      <c r="D593" s="182"/>
      <c r="E593" s="183"/>
      <c r="F593" s="183"/>
      <c r="G593" s="183"/>
      <c r="H593" s="184"/>
      <c r="I593" s="184"/>
      <c r="J593" s="184"/>
      <c r="K593" s="184"/>
      <c r="L593" s="184"/>
      <c r="M593" s="184"/>
      <c r="N593" s="184"/>
      <c r="O593" s="184"/>
      <c r="Q593" s="184"/>
      <c r="R593" s="185"/>
      <c r="S593" s="185"/>
      <c r="U593" s="184"/>
      <c r="V593" s="184"/>
      <c r="W593" s="184"/>
      <c r="X593" s="184"/>
      <c r="Y593" s="184"/>
      <c r="Z593" s="184"/>
      <c r="AA593" s="184"/>
      <c r="AB593" s="184"/>
      <c r="AC593" s="184"/>
      <c r="AD593" s="184"/>
      <c r="AE593" s="184"/>
      <c r="AF593" s="184"/>
      <c r="AG593" s="184"/>
      <c r="AH593" s="184"/>
      <c r="AI593" s="184"/>
      <c r="AJ593" s="184"/>
      <c r="AK593" s="184"/>
      <c r="AL593" s="186"/>
      <c r="AM593" s="187"/>
      <c r="AN593" s="187"/>
      <c r="AO593" s="187"/>
    </row>
    <row r="594" spans="1:41" s="163" customFormat="1" ht="16.5" customHeight="1">
      <c r="A594" s="180"/>
      <c r="B594" s="181"/>
      <c r="C594" s="182"/>
      <c r="D594" s="182"/>
      <c r="E594" s="183"/>
      <c r="F594" s="183"/>
      <c r="G594" s="183"/>
      <c r="H594" s="184"/>
      <c r="I594" s="184"/>
      <c r="J594" s="184"/>
      <c r="K594" s="184"/>
      <c r="L594" s="184"/>
      <c r="M594" s="184"/>
      <c r="N594" s="184"/>
      <c r="O594" s="184"/>
      <c r="Q594" s="184"/>
      <c r="R594" s="185"/>
      <c r="S594" s="185"/>
      <c r="U594" s="184"/>
      <c r="V594" s="184"/>
      <c r="W594" s="184"/>
      <c r="X594" s="184"/>
      <c r="Y594" s="184"/>
      <c r="Z594" s="184"/>
      <c r="AA594" s="184"/>
      <c r="AB594" s="184"/>
      <c r="AC594" s="184"/>
      <c r="AD594" s="184"/>
      <c r="AE594" s="184"/>
      <c r="AF594" s="184"/>
      <c r="AG594" s="184"/>
      <c r="AH594" s="184"/>
      <c r="AI594" s="184"/>
      <c r="AJ594" s="184"/>
      <c r="AK594" s="184"/>
      <c r="AL594" s="186"/>
      <c r="AM594" s="187"/>
      <c r="AN594" s="187"/>
      <c r="AO594" s="187"/>
    </row>
    <row r="595" spans="1:41" s="163" customFormat="1" ht="16.5" customHeight="1">
      <c r="A595" s="180"/>
      <c r="B595" s="181"/>
      <c r="C595" s="182"/>
      <c r="D595" s="182"/>
      <c r="E595" s="183"/>
      <c r="F595" s="183"/>
      <c r="G595" s="183"/>
      <c r="H595" s="184"/>
      <c r="I595" s="184"/>
      <c r="J595" s="184"/>
      <c r="K595" s="184"/>
      <c r="L595" s="184"/>
      <c r="M595" s="184"/>
      <c r="N595" s="184"/>
      <c r="O595" s="184"/>
      <c r="Q595" s="184"/>
      <c r="R595" s="185"/>
      <c r="S595" s="185"/>
      <c r="U595" s="184"/>
      <c r="V595" s="184"/>
      <c r="W595" s="184"/>
      <c r="X595" s="184"/>
      <c r="Y595" s="184"/>
      <c r="Z595" s="184"/>
      <c r="AA595" s="184"/>
      <c r="AB595" s="184"/>
      <c r="AC595" s="184"/>
      <c r="AD595" s="184"/>
      <c r="AE595" s="184"/>
      <c r="AF595" s="184"/>
      <c r="AG595" s="184"/>
      <c r="AH595" s="184"/>
      <c r="AI595" s="184"/>
      <c r="AJ595" s="184"/>
      <c r="AK595" s="184"/>
      <c r="AL595" s="186"/>
      <c r="AM595" s="187"/>
      <c r="AN595" s="187"/>
      <c r="AO595" s="187"/>
    </row>
    <row r="596" spans="1:41" s="163" customFormat="1" ht="16.5" customHeight="1">
      <c r="A596" s="180"/>
      <c r="B596" s="181"/>
      <c r="C596" s="182"/>
      <c r="D596" s="182"/>
      <c r="E596" s="183"/>
      <c r="F596" s="183"/>
      <c r="G596" s="183"/>
      <c r="H596" s="184"/>
      <c r="I596" s="184"/>
      <c r="J596" s="184"/>
      <c r="K596" s="184"/>
      <c r="L596" s="184"/>
      <c r="M596" s="184"/>
      <c r="N596" s="184"/>
      <c r="O596" s="184"/>
      <c r="Q596" s="184"/>
      <c r="R596" s="185"/>
      <c r="S596" s="185"/>
      <c r="U596" s="184"/>
      <c r="V596" s="184"/>
      <c r="W596" s="184"/>
      <c r="X596" s="184"/>
      <c r="Y596" s="184"/>
      <c r="Z596" s="184"/>
      <c r="AA596" s="184"/>
      <c r="AB596" s="184"/>
      <c r="AC596" s="184"/>
      <c r="AD596" s="184"/>
      <c r="AE596" s="184"/>
      <c r="AF596" s="184"/>
      <c r="AG596" s="184"/>
      <c r="AH596" s="184"/>
      <c r="AI596" s="184"/>
      <c r="AJ596" s="184"/>
      <c r="AK596" s="184"/>
      <c r="AL596" s="186"/>
      <c r="AM596" s="187"/>
      <c r="AN596" s="187"/>
      <c r="AO596" s="187"/>
    </row>
    <row r="597" spans="1:41" s="163" customFormat="1" ht="16.5" customHeight="1">
      <c r="A597" s="180"/>
      <c r="B597" s="181"/>
      <c r="C597" s="182"/>
      <c r="D597" s="182"/>
      <c r="E597" s="183"/>
      <c r="F597" s="183"/>
      <c r="G597" s="183"/>
      <c r="H597" s="184"/>
      <c r="I597" s="184"/>
      <c r="J597" s="184"/>
      <c r="K597" s="184"/>
      <c r="L597" s="184"/>
      <c r="M597" s="184"/>
      <c r="N597" s="184"/>
      <c r="O597" s="184"/>
      <c r="Q597" s="184"/>
      <c r="R597" s="185"/>
      <c r="S597" s="185"/>
      <c r="U597" s="184"/>
      <c r="V597" s="184"/>
      <c r="W597" s="184"/>
      <c r="X597" s="184"/>
      <c r="Y597" s="184"/>
      <c r="Z597" s="184"/>
      <c r="AA597" s="184"/>
      <c r="AB597" s="184"/>
      <c r="AC597" s="184"/>
      <c r="AD597" s="184"/>
      <c r="AE597" s="184"/>
      <c r="AF597" s="184"/>
      <c r="AG597" s="184"/>
      <c r="AH597" s="184"/>
      <c r="AI597" s="184"/>
      <c r="AJ597" s="184"/>
      <c r="AK597" s="184"/>
      <c r="AL597" s="186"/>
      <c r="AM597" s="187"/>
      <c r="AN597" s="187"/>
      <c r="AO597" s="187"/>
    </row>
    <row r="598" spans="1:41" s="163" customFormat="1" ht="16.5" customHeight="1">
      <c r="A598" s="180"/>
      <c r="B598" s="181"/>
      <c r="C598" s="182"/>
      <c r="D598" s="182"/>
      <c r="E598" s="183"/>
      <c r="F598" s="183"/>
      <c r="G598" s="183"/>
      <c r="H598" s="184"/>
      <c r="I598" s="184"/>
      <c r="J598" s="184"/>
      <c r="K598" s="184"/>
      <c r="L598" s="184"/>
      <c r="M598" s="184"/>
      <c r="N598" s="184"/>
      <c r="O598" s="184"/>
      <c r="Q598" s="184"/>
      <c r="R598" s="185"/>
      <c r="S598" s="185"/>
      <c r="U598" s="184"/>
      <c r="V598" s="184"/>
      <c r="W598" s="184"/>
      <c r="X598" s="184"/>
      <c r="Y598" s="184"/>
      <c r="Z598" s="184"/>
      <c r="AA598" s="184"/>
      <c r="AB598" s="184"/>
      <c r="AC598" s="184"/>
      <c r="AD598" s="184"/>
      <c r="AE598" s="184"/>
      <c r="AF598" s="184"/>
      <c r="AG598" s="184"/>
      <c r="AH598" s="184"/>
      <c r="AI598" s="184"/>
      <c r="AJ598" s="184"/>
      <c r="AK598" s="184"/>
      <c r="AL598" s="186"/>
      <c r="AM598" s="187"/>
      <c r="AN598" s="187"/>
      <c r="AO598" s="187"/>
    </row>
    <row r="599" spans="1:41" s="163" customFormat="1" ht="16.5" customHeight="1">
      <c r="A599" s="180"/>
      <c r="B599" s="181"/>
      <c r="C599" s="182"/>
      <c r="D599" s="182"/>
      <c r="E599" s="183"/>
      <c r="F599" s="183"/>
      <c r="G599" s="183"/>
      <c r="H599" s="184"/>
      <c r="I599" s="184"/>
      <c r="J599" s="184"/>
      <c r="K599" s="184"/>
      <c r="L599" s="184"/>
      <c r="M599" s="184"/>
      <c r="N599" s="184"/>
      <c r="O599" s="184"/>
      <c r="Q599" s="184"/>
      <c r="R599" s="185"/>
      <c r="S599" s="185"/>
      <c r="U599" s="184"/>
      <c r="V599" s="184"/>
      <c r="W599" s="184"/>
      <c r="X599" s="184"/>
      <c r="Y599" s="184"/>
      <c r="Z599" s="184"/>
      <c r="AA599" s="184"/>
      <c r="AB599" s="184"/>
      <c r="AC599" s="184"/>
      <c r="AD599" s="184"/>
      <c r="AE599" s="184"/>
      <c r="AF599" s="184"/>
      <c r="AG599" s="184"/>
      <c r="AH599" s="184"/>
      <c r="AI599" s="184"/>
      <c r="AJ599" s="184"/>
      <c r="AK599" s="184"/>
      <c r="AL599" s="186"/>
      <c r="AM599" s="187"/>
      <c r="AN599" s="187"/>
      <c r="AO599" s="187"/>
    </row>
    <row r="600" spans="1:41" s="163" customFormat="1" ht="16.5" customHeight="1">
      <c r="A600" s="180"/>
      <c r="B600" s="181"/>
      <c r="C600" s="182"/>
      <c r="D600" s="182"/>
      <c r="E600" s="183"/>
      <c r="F600" s="183"/>
      <c r="G600" s="183"/>
      <c r="H600" s="184"/>
      <c r="I600" s="184"/>
      <c r="J600" s="184"/>
      <c r="K600" s="184"/>
      <c r="L600" s="184"/>
      <c r="M600" s="184"/>
      <c r="N600" s="184"/>
      <c r="O600" s="184"/>
      <c r="Q600" s="184"/>
      <c r="R600" s="185"/>
      <c r="S600" s="185"/>
      <c r="U600" s="184"/>
      <c r="V600" s="184"/>
      <c r="W600" s="184"/>
      <c r="X600" s="184"/>
      <c r="Y600" s="184"/>
      <c r="Z600" s="184"/>
      <c r="AA600" s="184"/>
      <c r="AB600" s="184"/>
      <c r="AC600" s="184"/>
      <c r="AD600" s="184"/>
      <c r="AE600" s="184"/>
      <c r="AF600" s="184"/>
      <c r="AG600" s="184"/>
      <c r="AH600" s="184"/>
      <c r="AI600" s="184"/>
      <c r="AJ600" s="184"/>
      <c r="AK600" s="184"/>
      <c r="AL600" s="186"/>
      <c r="AM600" s="187"/>
      <c r="AN600" s="187"/>
      <c r="AO600" s="187"/>
    </row>
    <row r="601" spans="1:41" s="163" customFormat="1" ht="16.5" customHeight="1">
      <c r="A601" s="180"/>
      <c r="B601" s="181"/>
      <c r="C601" s="182"/>
      <c r="D601" s="182"/>
      <c r="E601" s="183"/>
      <c r="F601" s="183"/>
      <c r="G601" s="183"/>
      <c r="H601" s="184"/>
      <c r="I601" s="184"/>
      <c r="J601" s="184"/>
      <c r="K601" s="184"/>
      <c r="L601" s="184"/>
      <c r="M601" s="184"/>
      <c r="N601" s="184"/>
      <c r="O601" s="184"/>
      <c r="Q601" s="184"/>
      <c r="R601" s="185"/>
      <c r="S601" s="185"/>
      <c r="U601" s="184"/>
      <c r="V601" s="184"/>
      <c r="W601" s="184"/>
      <c r="X601" s="184"/>
      <c r="Y601" s="184"/>
      <c r="Z601" s="184"/>
      <c r="AA601" s="184"/>
      <c r="AB601" s="184"/>
      <c r="AC601" s="184"/>
      <c r="AD601" s="184"/>
      <c r="AE601" s="184"/>
      <c r="AF601" s="184"/>
      <c r="AG601" s="184"/>
      <c r="AH601" s="184"/>
      <c r="AI601" s="184"/>
      <c r="AJ601" s="184"/>
      <c r="AK601" s="184"/>
      <c r="AL601" s="186"/>
      <c r="AM601" s="187"/>
      <c r="AN601" s="187"/>
      <c r="AO601" s="187"/>
    </row>
    <row r="602" spans="1:41" s="163" customFormat="1" ht="16.5" customHeight="1">
      <c r="A602" s="180"/>
      <c r="B602" s="181"/>
      <c r="C602" s="182"/>
      <c r="D602" s="182"/>
      <c r="E602" s="183"/>
      <c r="F602" s="183"/>
      <c r="G602" s="183"/>
      <c r="H602" s="184"/>
      <c r="I602" s="184"/>
      <c r="J602" s="184"/>
      <c r="K602" s="184"/>
      <c r="L602" s="184"/>
      <c r="M602" s="184"/>
      <c r="N602" s="184"/>
      <c r="O602" s="184"/>
      <c r="Q602" s="184"/>
      <c r="R602" s="185"/>
      <c r="S602" s="185"/>
      <c r="U602" s="184"/>
      <c r="V602" s="184"/>
      <c r="W602" s="184"/>
      <c r="X602" s="184"/>
      <c r="Y602" s="184"/>
      <c r="Z602" s="184"/>
      <c r="AA602" s="184"/>
      <c r="AB602" s="184"/>
      <c r="AC602" s="184"/>
      <c r="AD602" s="184"/>
      <c r="AE602" s="184"/>
      <c r="AF602" s="184"/>
      <c r="AG602" s="184"/>
      <c r="AH602" s="184"/>
      <c r="AI602" s="184"/>
      <c r="AJ602" s="184"/>
      <c r="AK602" s="184"/>
      <c r="AL602" s="186"/>
      <c r="AM602" s="187"/>
      <c r="AN602" s="187"/>
      <c r="AO602" s="187"/>
    </row>
    <row r="603" spans="1:41" s="163" customFormat="1" ht="16.5" customHeight="1">
      <c r="A603" s="180"/>
      <c r="B603" s="181"/>
      <c r="C603" s="182"/>
      <c r="D603" s="182"/>
      <c r="E603" s="183"/>
      <c r="F603" s="183"/>
      <c r="G603" s="183"/>
      <c r="H603" s="184"/>
      <c r="I603" s="184"/>
      <c r="J603" s="184"/>
      <c r="K603" s="184"/>
      <c r="L603" s="184"/>
      <c r="M603" s="184"/>
      <c r="N603" s="184"/>
      <c r="O603" s="184"/>
      <c r="Q603" s="184"/>
      <c r="R603" s="185"/>
      <c r="S603" s="185"/>
      <c r="U603" s="184"/>
      <c r="V603" s="184"/>
      <c r="W603" s="184"/>
      <c r="X603" s="184"/>
      <c r="Y603" s="184"/>
      <c r="Z603" s="184"/>
      <c r="AA603" s="184"/>
      <c r="AB603" s="184"/>
      <c r="AC603" s="184"/>
      <c r="AD603" s="184"/>
      <c r="AE603" s="184"/>
      <c r="AF603" s="184"/>
      <c r="AG603" s="184"/>
      <c r="AH603" s="184"/>
      <c r="AI603" s="184"/>
      <c r="AJ603" s="184"/>
      <c r="AK603" s="184"/>
      <c r="AL603" s="186"/>
      <c r="AM603" s="187"/>
      <c r="AN603" s="187"/>
      <c r="AO603" s="187"/>
    </row>
    <row r="604" spans="1:41" s="163" customFormat="1" ht="16.5" customHeight="1">
      <c r="A604" s="180"/>
      <c r="B604" s="181"/>
      <c r="C604" s="182"/>
      <c r="D604" s="182"/>
      <c r="E604" s="183"/>
      <c r="F604" s="183"/>
      <c r="G604" s="183"/>
      <c r="H604" s="184"/>
      <c r="I604" s="184"/>
      <c r="J604" s="184"/>
      <c r="K604" s="184"/>
      <c r="L604" s="184"/>
      <c r="M604" s="184"/>
      <c r="N604" s="184"/>
      <c r="O604" s="184"/>
      <c r="Q604" s="184"/>
      <c r="R604" s="185"/>
      <c r="S604" s="185"/>
      <c r="U604" s="184"/>
      <c r="V604" s="184"/>
      <c r="W604" s="184"/>
      <c r="X604" s="184"/>
      <c r="Y604" s="184"/>
      <c r="Z604" s="184"/>
      <c r="AA604" s="184"/>
      <c r="AB604" s="184"/>
      <c r="AC604" s="184"/>
      <c r="AD604" s="184"/>
      <c r="AE604" s="184"/>
      <c r="AF604" s="184"/>
      <c r="AG604" s="184"/>
      <c r="AH604" s="184"/>
      <c r="AI604" s="184"/>
      <c r="AJ604" s="184"/>
      <c r="AK604" s="184"/>
      <c r="AL604" s="186"/>
      <c r="AM604" s="187"/>
      <c r="AN604" s="187"/>
      <c r="AO604" s="187"/>
    </row>
    <row r="605" spans="1:41" s="163" customFormat="1" ht="16.5" customHeight="1">
      <c r="A605" s="180"/>
      <c r="B605" s="181"/>
      <c r="C605" s="182"/>
      <c r="D605" s="182"/>
      <c r="E605" s="183"/>
      <c r="F605" s="183"/>
      <c r="G605" s="183"/>
      <c r="H605" s="184"/>
      <c r="I605" s="184"/>
      <c r="J605" s="184"/>
      <c r="K605" s="184"/>
      <c r="L605" s="184"/>
      <c r="M605" s="184"/>
      <c r="N605" s="184"/>
      <c r="O605" s="184"/>
      <c r="Q605" s="184"/>
      <c r="R605" s="185"/>
      <c r="S605" s="185"/>
      <c r="U605" s="184"/>
      <c r="V605" s="184"/>
      <c r="W605" s="184"/>
      <c r="X605" s="184"/>
      <c r="Y605" s="184"/>
      <c r="Z605" s="184"/>
      <c r="AA605" s="184"/>
      <c r="AB605" s="184"/>
      <c r="AC605" s="184"/>
      <c r="AD605" s="184"/>
      <c r="AE605" s="184"/>
      <c r="AF605" s="184"/>
      <c r="AG605" s="184"/>
      <c r="AH605" s="184"/>
      <c r="AI605" s="184"/>
      <c r="AJ605" s="184"/>
      <c r="AK605" s="184"/>
      <c r="AL605" s="186"/>
      <c r="AM605" s="187"/>
      <c r="AN605" s="187"/>
      <c r="AO605" s="187"/>
    </row>
    <row r="606" spans="1:41" s="163" customFormat="1" ht="16.5" customHeight="1">
      <c r="A606" s="180"/>
      <c r="B606" s="181"/>
      <c r="C606" s="182"/>
      <c r="D606" s="182"/>
      <c r="E606" s="183"/>
      <c r="F606" s="183"/>
      <c r="G606" s="183"/>
      <c r="H606" s="184"/>
      <c r="I606" s="184"/>
      <c r="J606" s="184"/>
      <c r="K606" s="184"/>
      <c r="L606" s="184"/>
      <c r="M606" s="184"/>
      <c r="N606" s="184"/>
      <c r="O606" s="184"/>
      <c r="Q606" s="184"/>
      <c r="R606" s="185"/>
      <c r="S606" s="185"/>
      <c r="U606" s="184"/>
      <c r="V606" s="184"/>
      <c r="W606" s="184"/>
      <c r="X606" s="184"/>
      <c r="Y606" s="184"/>
      <c r="Z606" s="184"/>
      <c r="AA606" s="184"/>
      <c r="AB606" s="184"/>
      <c r="AC606" s="184"/>
      <c r="AD606" s="184"/>
      <c r="AE606" s="184"/>
      <c r="AF606" s="184"/>
      <c r="AG606" s="184"/>
      <c r="AH606" s="184"/>
      <c r="AI606" s="184"/>
      <c r="AJ606" s="184"/>
      <c r="AK606" s="184"/>
      <c r="AL606" s="186"/>
      <c r="AM606" s="187"/>
      <c r="AN606" s="187"/>
      <c r="AO606" s="187"/>
    </row>
    <row r="607" spans="1:41" s="163" customFormat="1" ht="16.5" customHeight="1">
      <c r="A607" s="180"/>
      <c r="B607" s="181"/>
      <c r="C607" s="182"/>
      <c r="D607" s="182"/>
      <c r="E607" s="183"/>
      <c r="F607" s="183"/>
      <c r="G607" s="183"/>
      <c r="H607" s="184"/>
      <c r="I607" s="184"/>
      <c r="J607" s="184"/>
      <c r="K607" s="184"/>
      <c r="L607" s="184"/>
      <c r="M607" s="184"/>
      <c r="N607" s="184"/>
      <c r="O607" s="184"/>
      <c r="Q607" s="184"/>
      <c r="R607" s="185"/>
      <c r="S607" s="185"/>
      <c r="U607" s="184"/>
      <c r="V607" s="184"/>
      <c r="W607" s="184"/>
      <c r="X607" s="184"/>
      <c r="Y607" s="184"/>
      <c r="Z607" s="184"/>
      <c r="AA607" s="184"/>
      <c r="AB607" s="184"/>
      <c r="AC607" s="184"/>
      <c r="AD607" s="184"/>
      <c r="AE607" s="184"/>
      <c r="AF607" s="184"/>
      <c r="AG607" s="184"/>
      <c r="AH607" s="184"/>
      <c r="AI607" s="184"/>
      <c r="AJ607" s="184"/>
      <c r="AK607" s="184"/>
      <c r="AL607" s="186"/>
      <c r="AM607" s="187"/>
      <c r="AN607" s="187"/>
      <c r="AO607" s="187"/>
    </row>
    <row r="608" spans="1:41" s="163" customFormat="1" ht="16.5" customHeight="1">
      <c r="A608" s="180"/>
      <c r="B608" s="181"/>
      <c r="C608" s="182"/>
      <c r="D608" s="182"/>
      <c r="E608" s="183"/>
      <c r="F608" s="183"/>
      <c r="G608" s="183"/>
      <c r="H608" s="184"/>
      <c r="I608" s="184"/>
      <c r="J608" s="184"/>
      <c r="K608" s="184"/>
      <c r="L608" s="184"/>
      <c r="M608" s="184"/>
      <c r="N608" s="184"/>
      <c r="O608" s="184"/>
      <c r="Q608" s="184"/>
      <c r="R608" s="185"/>
      <c r="S608" s="185"/>
      <c r="U608" s="184"/>
      <c r="V608" s="184"/>
      <c r="W608" s="184"/>
      <c r="X608" s="184"/>
      <c r="Y608" s="184"/>
      <c r="Z608" s="184"/>
      <c r="AA608" s="184"/>
      <c r="AB608" s="184"/>
      <c r="AC608" s="184"/>
      <c r="AD608" s="184"/>
      <c r="AE608" s="184"/>
      <c r="AF608" s="184"/>
      <c r="AG608" s="184"/>
      <c r="AH608" s="184"/>
      <c r="AI608" s="184"/>
      <c r="AJ608" s="184"/>
      <c r="AK608" s="184"/>
      <c r="AL608" s="186"/>
      <c r="AM608" s="187"/>
      <c r="AN608" s="187"/>
      <c r="AO608" s="187"/>
    </row>
    <row r="609" spans="1:41" s="163" customFormat="1" ht="16.5" customHeight="1">
      <c r="A609" s="180"/>
      <c r="B609" s="181"/>
      <c r="C609" s="182"/>
      <c r="D609" s="182"/>
      <c r="E609" s="183"/>
      <c r="F609" s="183"/>
      <c r="G609" s="183"/>
      <c r="H609" s="184"/>
      <c r="I609" s="184"/>
      <c r="J609" s="184"/>
      <c r="K609" s="184"/>
      <c r="L609" s="184"/>
      <c r="M609" s="184"/>
      <c r="N609" s="184"/>
      <c r="O609" s="184"/>
      <c r="Q609" s="184"/>
      <c r="R609" s="185"/>
      <c r="S609" s="185"/>
      <c r="U609" s="184"/>
      <c r="V609" s="184"/>
      <c r="W609" s="184"/>
      <c r="X609" s="184"/>
      <c r="Y609" s="184"/>
      <c r="Z609" s="184"/>
      <c r="AA609" s="184"/>
      <c r="AB609" s="184"/>
      <c r="AC609" s="184"/>
      <c r="AD609" s="184"/>
      <c r="AE609" s="184"/>
      <c r="AF609" s="184"/>
      <c r="AG609" s="184"/>
      <c r="AH609" s="184"/>
      <c r="AI609" s="184"/>
      <c r="AJ609" s="184"/>
      <c r="AK609" s="184"/>
      <c r="AL609" s="186"/>
      <c r="AM609" s="187"/>
      <c r="AN609" s="187"/>
      <c r="AO609" s="187"/>
    </row>
    <row r="610" spans="1:41" s="163" customFormat="1" ht="16.5" customHeight="1">
      <c r="A610" s="180"/>
      <c r="B610" s="181"/>
      <c r="C610" s="182"/>
      <c r="D610" s="182"/>
      <c r="E610" s="183"/>
      <c r="F610" s="183"/>
      <c r="G610" s="183"/>
      <c r="H610" s="184"/>
      <c r="I610" s="184"/>
      <c r="J610" s="184"/>
      <c r="K610" s="184"/>
      <c r="L610" s="184"/>
      <c r="M610" s="184"/>
      <c r="N610" s="184"/>
      <c r="O610" s="184"/>
      <c r="Q610" s="184"/>
      <c r="R610" s="185"/>
      <c r="S610" s="185"/>
      <c r="U610" s="184"/>
      <c r="V610" s="184"/>
      <c r="W610" s="184"/>
      <c r="X610" s="184"/>
      <c r="Y610" s="184"/>
      <c r="Z610" s="184"/>
      <c r="AA610" s="184"/>
      <c r="AB610" s="184"/>
      <c r="AC610" s="184"/>
      <c r="AD610" s="184"/>
      <c r="AE610" s="184"/>
      <c r="AF610" s="184"/>
      <c r="AG610" s="184"/>
      <c r="AH610" s="184"/>
      <c r="AI610" s="184"/>
      <c r="AJ610" s="184"/>
      <c r="AK610" s="184"/>
      <c r="AL610" s="186"/>
      <c r="AM610" s="187"/>
      <c r="AN610" s="187"/>
      <c r="AO610" s="187"/>
    </row>
    <row r="611" spans="1:41" s="163" customFormat="1" ht="16.5" customHeight="1">
      <c r="A611" s="180"/>
      <c r="B611" s="181"/>
      <c r="C611" s="182"/>
      <c r="D611" s="182"/>
      <c r="E611" s="183"/>
      <c r="F611" s="183"/>
      <c r="G611" s="183"/>
      <c r="H611" s="184"/>
      <c r="I611" s="184"/>
      <c r="J611" s="184"/>
      <c r="K611" s="184"/>
      <c r="L611" s="184"/>
      <c r="M611" s="184"/>
      <c r="N611" s="184"/>
      <c r="O611" s="184"/>
      <c r="Q611" s="184"/>
      <c r="R611" s="185"/>
      <c r="S611" s="185"/>
      <c r="U611" s="184"/>
      <c r="V611" s="184"/>
      <c r="W611" s="184"/>
      <c r="X611" s="184"/>
      <c r="Y611" s="184"/>
      <c r="Z611" s="184"/>
      <c r="AA611" s="184"/>
      <c r="AB611" s="184"/>
      <c r="AC611" s="184"/>
      <c r="AD611" s="184"/>
      <c r="AE611" s="184"/>
      <c r="AF611" s="184"/>
      <c r="AG611" s="184"/>
      <c r="AH611" s="184"/>
      <c r="AI611" s="184"/>
      <c r="AJ611" s="184"/>
      <c r="AK611" s="184"/>
      <c r="AL611" s="186"/>
      <c r="AM611" s="187"/>
      <c r="AN611" s="187"/>
      <c r="AO611" s="187"/>
    </row>
    <row r="612" spans="1:41" s="163" customFormat="1" ht="16.5" customHeight="1">
      <c r="A612" s="180"/>
      <c r="B612" s="181"/>
      <c r="C612" s="182"/>
      <c r="D612" s="182"/>
      <c r="E612" s="183"/>
      <c r="F612" s="183"/>
      <c r="G612" s="183"/>
      <c r="H612" s="184"/>
      <c r="I612" s="184"/>
      <c r="J612" s="184"/>
      <c r="K612" s="184"/>
      <c r="L612" s="184"/>
      <c r="M612" s="184"/>
      <c r="N612" s="184"/>
      <c r="O612" s="184"/>
      <c r="Q612" s="184"/>
      <c r="R612" s="185"/>
      <c r="S612" s="185"/>
      <c r="U612" s="184"/>
      <c r="V612" s="184"/>
      <c r="W612" s="184"/>
      <c r="X612" s="184"/>
      <c r="Y612" s="184"/>
      <c r="Z612" s="184"/>
      <c r="AA612" s="184"/>
      <c r="AB612" s="184"/>
      <c r="AC612" s="184"/>
      <c r="AD612" s="184"/>
      <c r="AE612" s="184"/>
      <c r="AF612" s="184"/>
      <c r="AG612" s="184"/>
      <c r="AH612" s="184"/>
      <c r="AI612" s="184"/>
      <c r="AJ612" s="184"/>
      <c r="AK612" s="184"/>
      <c r="AL612" s="186"/>
      <c r="AM612" s="187"/>
      <c r="AN612" s="187"/>
      <c r="AO612" s="187"/>
    </row>
    <row r="613" spans="1:41" s="163" customFormat="1" ht="16.5" customHeight="1">
      <c r="A613" s="180"/>
      <c r="B613" s="181"/>
      <c r="C613" s="182"/>
      <c r="D613" s="182"/>
      <c r="E613" s="183"/>
      <c r="F613" s="183"/>
      <c r="G613" s="183"/>
      <c r="H613" s="184"/>
      <c r="I613" s="184"/>
      <c r="J613" s="184"/>
      <c r="K613" s="184"/>
      <c r="L613" s="184"/>
      <c r="M613" s="184"/>
      <c r="N613" s="184"/>
      <c r="O613" s="184"/>
      <c r="Q613" s="184"/>
      <c r="R613" s="185"/>
      <c r="S613" s="185"/>
      <c r="U613" s="184"/>
      <c r="V613" s="184"/>
      <c r="W613" s="184"/>
      <c r="X613" s="184"/>
      <c r="Y613" s="184"/>
      <c r="Z613" s="184"/>
      <c r="AA613" s="184"/>
      <c r="AB613" s="184"/>
      <c r="AC613" s="184"/>
      <c r="AD613" s="184"/>
      <c r="AE613" s="184"/>
      <c r="AF613" s="184"/>
      <c r="AG613" s="184"/>
      <c r="AH613" s="184"/>
      <c r="AI613" s="184"/>
      <c r="AJ613" s="184"/>
      <c r="AK613" s="184"/>
      <c r="AL613" s="186"/>
      <c r="AM613" s="187"/>
      <c r="AN613" s="187"/>
      <c r="AO613" s="187"/>
    </row>
    <row r="614" spans="1:41" s="163" customFormat="1" ht="16.5" customHeight="1">
      <c r="A614" s="180"/>
      <c r="B614" s="181"/>
      <c r="C614" s="182"/>
      <c r="D614" s="182"/>
      <c r="E614" s="183"/>
      <c r="F614" s="183"/>
      <c r="G614" s="183"/>
      <c r="H614" s="184"/>
      <c r="I614" s="184"/>
      <c r="J614" s="184"/>
      <c r="K614" s="184"/>
      <c r="L614" s="184"/>
      <c r="M614" s="184"/>
      <c r="N614" s="184"/>
      <c r="O614" s="184"/>
      <c r="Q614" s="184"/>
      <c r="R614" s="185"/>
      <c r="S614" s="185"/>
      <c r="U614" s="184"/>
      <c r="V614" s="184"/>
      <c r="W614" s="184"/>
      <c r="X614" s="184"/>
      <c r="Y614" s="184"/>
      <c r="Z614" s="184"/>
      <c r="AA614" s="184"/>
      <c r="AB614" s="184"/>
      <c r="AC614" s="184"/>
      <c r="AD614" s="184"/>
      <c r="AE614" s="184"/>
      <c r="AF614" s="184"/>
      <c r="AG614" s="184"/>
      <c r="AH614" s="184"/>
      <c r="AI614" s="184"/>
      <c r="AJ614" s="184"/>
      <c r="AK614" s="184"/>
      <c r="AL614" s="186"/>
      <c r="AM614" s="187"/>
      <c r="AN614" s="187"/>
      <c r="AO614" s="187"/>
    </row>
    <row r="615" spans="1:41" s="163" customFormat="1" ht="16.5" customHeight="1">
      <c r="A615" s="180"/>
      <c r="B615" s="181"/>
      <c r="C615" s="182"/>
      <c r="D615" s="182"/>
      <c r="E615" s="183"/>
      <c r="F615" s="183"/>
      <c r="G615" s="183"/>
      <c r="H615" s="184"/>
      <c r="I615" s="184"/>
      <c r="J615" s="184"/>
      <c r="K615" s="184"/>
      <c r="L615" s="184"/>
      <c r="M615" s="184"/>
      <c r="N615" s="184"/>
      <c r="O615" s="184"/>
      <c r="Q615" s="184"/>
      <c r="R615" s="185"/>
      <c r="S615" s="185"/>
      <c r="U615" s="184"/>
      <c r="V615" s="184"/>
      <c r="W615" s="184"/>
      <c r="X615" s="184"/>
      <c r="Y615" s="184"/>
      <c r="Z615" s="184"/>
      <c r="AA615" s="184"/>
      <c r="AB615" s="184"/>
      <c r="AC615" s="184"/>
      <c r="AD615" s="184"/>
      <c r="AE615" s="184"/>
      <c r="AF615" s="184"/>
      <c r="AG615" s="184"/>
      <c r="AH615" s="184"/>
      <c r="AI615" s="184"/>
      <c r="AJ615" s="184"/>
      <c r="AK615" s="184"/>
      <c r="AL615" s="186"/>
      <c r="AM615" s="187"/>
      <c r="AN615" s="187"/>
      <c r="AO615" s="187"/>
    </row>
    <row r="616" spans="1:41" s="163" customFormat="1" ht="16.5" customHeight="1">
      <c r="A616" s="180"/>
      <c r="B616" s="181"/>
      <c r="C616" s="182"/>
      <c r="D616" s="182"/>
      <c r="E616" s="183"/>
      <c r="F616" s="183"/>
      <c r="G616" s="183"/>
      <c r="H616" s="184"/>
      <c r="I616" s="184"/>
      <c r="J616" s="184"/>
      <c r="K616" s="184"/>
      <c r="L616" s="184"/>
      <c r="M616" s="184"/>
      <c r="N616" s="184"/>
      <c r="O616" s="184"/>
      <c r="Q616" s="184"/>
      <c r="R616" s="185"/>
      <c r="S616" s="185"/>
      <c r="U616" s="184"/>
      <c r="V616" s="184"/>
      <c r="W616" s="184"/>
      <c r="X616" s="184"/>
      <c r="Y616" s="184"/>
      <c r="Z616" s="184"/>
      <c r="AA616" s="184"/>
      <c r="AB616" s="184"/>
      <c r="AC616" s="184"/>
      <c r="AD616" s="184"/>
      <c r="AE616" s="184"/>
      <c r="AF616" s="184"/>
      <c r="AG616" s="184"/>
      <c r="AH616" s="184"/>
      <c r="AI616" s="184"/>
      <c r="AJ616" s="184"/>
      <c r="AK616" s="184"/>
      <c r="AL616" s="186"/>
      <c r="AM616" s="187"/>
      <c r="AN616" s="187"/>
      <c r="AO616" s="187"/>
    </row>
    <row r="617" spans="1:41" s="163" customFormat="1" ht="16.5" customHeight="1">
      <c r="A617" s="180"/>
      <c r="B617" s="181"/>
      <c r="C617" s="182"/>
      <c r="D617" s="182"/>
      <c r="E617" s="183"/>
      <c r="F617" s="183"/>
      <c r="G617" s="183"/>
      <c r="H617" s="184"/>
      <c r="I617" s="184"/>
      <c r="J617" s="184"/>
      <c r="K617" s="184"/>
      <c r="L617" s="184"/>
      <c r="M617" s="184"/>
      <c r="N617" s="184"/>
      <c r="O617" s="184"/>
      <c r="Q617" s="184"/>
      <c r="R617" s="185"/>
      <c r="S617" s="185"/>
      <c r="U617" s="184"/>
      <c r="V617" s="184"/>
      <c r="W617" s="184"/>
      <c r="X617" s="184"/>
      <c r="Y617" s="184"/>
      <c r="Z617" s="184"/>
      <c r="AA617" s="184"/>
      <c r="AB617" s="184"/>
      <c r="AC617" s="184"/>
      <c r="AD617" s="184"/>
      <c r="AE617" s="184"/>
      <c r="AF617" s="184"/>
      <c r="AG617" s="184"/>
      <c r="AH617" s="184"/>
      <c r="AI617" s="184"/>
      <c r="AJ617" s="184"/>
      <c r="AK617" s="184"/>
      <c r="AL617" s="186"/>
      <c r="AM617" s="187"/>
      <c r="AN617" s="187"/>
      <c r="AO617" s="187"/>
    </row>
    <row r="618" spans="1:41" s="163" customFormat="1" ht="16.5" customHeight="1">
      <c r="A618" s="180"/>
      <c r="B618" s="181"/>
      <c r="C618" s="182"/>
      <c r="D618" s="182"/>
      <c r="E618" s="183"/>
      <c r="F618" s="183"/>
      <c r="G618" s="183"/>
      <c r="H618" s="184"/>
      <c r="I618" s="184"/>
      <c r="J618" s="184"/>
      <c r="K618" s="184"/>
      <c r="L618" s="184"/>
      <c r="M618" s="184"/>
      <c r="N618" s="184"/>
      <c r="O618" s="184"/>
      <c r="Q618" s="184"/>
      <c r="R618" s="185"/>
      <c r="S618" s="185"/>
      <c r="U618" s="184"/>
      <c r="V618" s="184"/>
      <c r="W618" s="184"/>
      <c r="X618" s="184"/>
      <c r="Y618" s="184"/>
      <c r="Z618" s="184"/>
      <c r="AA618" s="184"/>
      <c r="AB618" s="184"/>
      <c r="AC618" s="184"/>
      <c r="AD618" s="184"/>
      <c r="AE618" s="184"/>
      <c r="AF618" s="184"/>
      <c r="AG618" s="184"/>
      <c r="AH618" s="184"/>
      <c r="AI618" s="184"/>
      <c r="AJ618" s="184"/>
      <c r="AK618" s="184"/>
      <c r="AL618" s="186"/>
      <c r="AM618" s="187"/>
      <c r="AN618" s="187"/>
      <c r="AO618" s="187"/>
    </row>
    <row r="619" spans="1:41" s="163" customFormat="1" ht="16.5" customHeight="1">
      <c r="A619" s="180"/>
      <c r="B619" s="181"/>
      <c r="C619" s="182"/>
      <c r="D619" s="182"/>
      <c r="E619" s="183"/>
      <c r="F619" s="183"/>
      <c r="G619" s="183"/>
      <c r="H619" s="184"/>
      <c r="I619" s="184"/>
      <c r="J619" s="184"/>
      <c r="K619" s="184"/>
      <c r="L619" s="184"/>
      <c r="M619" s="184"/>
      <c r="N619" s="184"/>
      <c r="O619" s="184"/>
      <c r="Q619" s="184"/>
      <c r="R619" s="185"/>
      <c r="S619" s="185"/>
      <c r="U619" s="184"/>
      <c r="V619" s="184"/>
      <c r="W619" s="184"/>
      <c r="X619" s="184"/>
      <c r="Y619" s="184"/>
      <c r="Z619" s="184"/>
      <c r="AA619" s="184"/>
      <c r="AB619" s="184"/>
      <c r="AC619" s="184"/>
      <c r="AD619" s="184"/>
      <c r="AE619" s="184"/>
      <c r="AF619" s="184"/>
      <c r="AG619" s="184"/>
      <c r="AH619" s="184"/>
      <c r="AI619" s="184"/>
      <c r="AJ619" s="184"/>
      <c r="AK619" s="184"/>
      <c r="AL619" s="186"/>
      <c r="AM619" s="187"/>
      <c r="AN619" s="187"/>
      <c r="AO619" s="187"/>
    </row>
    <row r="620" spans="1:41" s="163" customFormat="1" ht="16.5" customHeight="1">
      <c r="A620" s="180"/>
      <c r="B620" s="181"/>
      <c r="C620" s="182"/>
      <c r="D620" s="182"/>
      <c r="E620" s="183"/>
      <c r="F620" s="183"/>
      <c r="G620" s="183"/>
      <c r="H620" s="184"/>
      <c r="I620" s="184"/>
      <c r="J620" s="184"/>
      <c r="K620" s="184"/>
      <c r="L620" s="184"/>
      <c r="M620" s="184"/>
      <c r="N620" s="184"/>
      <c r="O620" s="184"/>
      <c r="Q620" s="184"/>
      <c r="R620" s="185"/>
      <c r="S620" s="185"/>
      <c r="U620" s="184"/>
      <c r="V620" s="184"/>
      <c r="W620" s="184"/>
      <c r="X620" s="184"/>
      <c r="Y620" s="184"/>
      <c r="Z620" s="184"/>
      <c r="AA620" s="184"/>
      <c r="AB620" s="184"/>
      <c r="AC620" s="184"/>
      <c r="AD620" s="184"/>
      <c r="AE620" s="184"/>
      <c r="AF620" s="184"/>
      <c r="AG620" s="184"/>
      <c r="AH620" s="184"/>
      <c r="AI620" s="184"/>
      <c r="AJ620" s="184"/>
      <c r="AK620" s="184"/>
      <c r="AL620" s="186"/>
      <c r="AM620" s="187"/>
      <c r="AN620" s="187"/>
      <c r="AO620" s="187"/>
    </row>
    <row r="621" spans="1:41" s="163" customFormat="1" ht="16.5" customHeight="1">
      <c r="A621" s="180"/>
      <c r="B621" s="181"/>
      <c r="C621" s="182"/>
      <c r="D621" s="182"/>
      <c r="E621" s="183"/>
      <c r="F621" s="183"/>
      <c r="G621" s="183"/>
      <c r="H621" s="184"/>
      <c r="I621" s="184"/>
      <c r="J621" s="184"/>
      <c r="K621" s="184"/>
      <c r="L621" s="184"/>
      <c r="M621" s="184"/>
      <c r="N621" s="184"/>
      <c r="O621" s="184"/>
      <c r="Q621" s="184"/>
      <c r="R621" s="185"/>
      <c r="S621" s="185"/>
      <c r="U621" s="184"/>
      <c r="V621" s="184"/>
      <c r="W621" s="184"/>
      <c r="X621" s="184"/>
      <c r="Y621" s="184"/>
      <c r="Z621" s="184"/>
      <c r="AA621" s="184"/>
      <c r="AB621" s="184"/>
      <c r="AC621" s="184"/>
      <c r="AD621" s="184"/>
      <c r="AE621" s="184"/>
      <c r="AF621" s="184"/>
      <c r="AG621" s="184"/>
      <c r="AH621" s="184"/>
      <c r="AI621" s="184"/>
      <c r="AJ621" s="184"/>
      <c r="AK621" s="184"/>
      <c r="AL621" s="186"/>
      <c r="AM621" s="187"/>
      <c r="AN621" s="187"/>
      <c r="AO621" s="187"/>
    </row>
    <row r="622" spans="1:41" s="163" customFormat="1" ht="16.5" customHeight="1">
      <c r="A622" s="180"/>
      <c r="B622" s="181"/>
      <c r="C622" s="182"/>
      <c r="D622" s="182"/>
      <c r="E622" s="183"/>
      <c r="F622" s="183"/>
      <c r="G622" s="183"/>
      <c r="H622" s="184"/>
      <c r="I622" s="184"/>
      <c r="J622" s="184"/>
      <c r="K622" s="184"/>
      <c r="L622" s="184"/>
      <c r="M622" s="184"/>
      <c r="N622" s="184"/>
      <c r="O622" s="184"/>
      <c r="Q622" s="184"/>
      <c r="R622" s="185"/>
      <c r="S622" s="185"/>
      <c r="U622" s="184"/>
      <c r="V622" s="184"/>
      <c r="W622" s="184"/>
      <c r="X622" s="184"/>
      <c r="Y622" s="184"/>
      <c r="Z622" s="184"/>
      <c r="AA622" s="184"/>
      <c r="AB622" s="184"/>
      <c r="AC622" s="184"/>
      <c r="AD622" s="184"/>
      <c r="AE622" s="184"/>
      <c r="AF622" s="184"/>
      <c r="AG622" s="184"/>
      <c r="AH622" s="184"/>
      <c r="AI622" s="184"/>
      <c r="AJ622" s="184"/>
      <c r="AK622" s="184"/>
      <c r="AL622" s="186"/>
      <c r="AM622" s="187"/>
      <c r="AN622" s="187"/>
      <c r="AO622" s="187"/>
    </row>
    <row r="623" spans="1:41" s="163" customFormat="1" ht="16.5" customHeight="1">
      <c r="A623" s="180"/>
      <c r="B623" s="181"/>
      <c r="C623" s="182"/>
      <c r="D623" s="182"/>
      <c r="E623" s="183"/>
      <c r="F623" s="183"/>
      <c r="G623" s="183"/>
      <c r="H623" s="184"/>
      <c r="I623" s="184"/>
      <c r="J623" s="184"/>
      <c r="K623" s="184"/>
      <c r="L623" s="184"/>
      <c r="M623" s="184"/>
      <c r="N623" s="184"/>
      <c r="O623" s="184"/>
      <c r="Q623" s="184"/>
      <c r="R623" s="185"/>
      <c r="S623" s="185"/>
      <c r="U623" s="184"/>
      <c r="V623" s="184"/>
      <c r="W623" s="184"/>
      <c r="X623" s="184"/>
      <c r="Y623" s="184"/>
      <c r="Z623" s="184"/>
      <c r="AA623" s="184"/>
      <c r="AB623" s="184"/>
      <c r="AC623" s="184"/>
      <c r="AD623" s="184"/>
      <c r="AE623" s="184"/>
      <c r="AF623" s="184"/>
      <c r="AG623" s="184"/>
      <c r="AH623" s="184"/>
      <c r="AI623" s="184"/>
      <c r="AJ623" s="184"/>
      <c r="AK623" s="184"/>
      <c r="AL623" s="186"/>
      <c r="AM623" s="187"/>
      <c r="AN623" s="187"/>
      <c r="AO623" s="187"/>
    </row>
    <row r="624" spans="1:41" s="163" customFormat="1" ht="16.5" customHeight="1">
      <c r="A624" s="180"/>
      <c r="B624" s="181"/>
      <c r="C624" s="182"/>
      <c r="D624" s="182"/>
      <c r="E624" s="183"/>
      <c r="F624" s="183"/>
      <c r="G624" s="183"/>
      <c r="H624" s="184"/>
      <c r="I624" s="184"/>
      <c r="J624" s="184"/>
      <c r="K624" s="184"/>
      <c r="L624" s="184"/>
      <c r="M624" s="184"/>
      <c r="N624" s="184"/>
      <c r="O624" s="184"/>
      <c r="Q624" s="184"/>
      <c r="R624" s="185"/>
      <c r="S624" s="185"/>
      <c r="U624" s="184"/>
      <c r="V624" s="184"/>
      <c r="W624" s="184"/>
      <c r="X624" s="184"/>
      <c r="Y624" s="184"/>
      <c r="Z624" s="184"/>
      <c r="AA624" s="184"/>
      <c r="AB624" s="184"/>
      <c r="AC624" s="184"/>
      <c r="AD624" s="184"/>
      <c r="AE624" s="184"/>
      <c r="AF624" s="184"/>
      <c r="AG624" s="184"/>
      <c r="AH624" s="184"/>
      <c r="AI624" s="184"/>
      <c r="AJ624" s="184"/>
      <c r="AK624" s="184"/>
      <c r="AL624" s="186"/>
      <c r="AM624" s="187"/>
      <c r="AN624" s="187"/>
      <c r="AO624" s="187"/>
    </row>
    <row r="625" spans="1:41" s="163" customFormat="1" ht="16.5" customHeight="1">
      <c r="A625" s="180"/>
      <c r="B625" s="181"/>
      <c r="C625" s="182"/>
      <c r="D625" s="182"/>
      <c r="E625" s="183"/>
      <c r="F625" s="183"/>
      <c r="G625" s="183"/>
      <c r="H625" s="184"/>
      <c r="I625" s="184"/>
      <c r="J625" s="184"/>
      <c r="K625" s="184"/>
      <c r="L625" s="184"/>
      <c r="M625" s="184"/>
      <c r="N625" s="184"/>
      <c r="O625" s="184"/>
      <c r="Q625" s="184"/>
      <c r="R625" s="185"/>
      <c r="S625" s="185"/>
      <c r="U625" s="184"/>
      <c r="V625" s="184"/>
      <c r="W625" s="184"/>
      <c r="X625" s="184"/>
      <c r="Y625" s="184"/>
      <c r="Z625" s="184"/>
      <c r="AA625" s="184"/>
      <c r="AB625" s="184"/>
      <c r="AC625" s="184"/>
      <c r="AD625" s="184"/>
      <c r="AE625" s="184"/>
      <c r="AF625" s="184"/>
      <c r="AG625" s="184"/>
      <c r="AH625" s="184"/>
      <c r="AI625" s="184"/>
      <c r="AJ625" s="184"/>
      <c r="AK625" s="184"/>
      <c r="AL625" s="186"/>
      <c r="AM625" s="187"/>
      <c r="AN625" s="187"/>
      <c r="AO625" s="187"/>
    </row>
    <row r="626" spans="1:41" s="163" customFormat="1" ht="16.5" customHeight="1">
      <c r="A626" s="180"/>
      <c r="B626" s="181"/>
      <c r="C626" s="182"/>
      <c r="D626" s="182"/>
      <c r="E626" s="183"/>
      <c r="F626" s="183"/>
      <c r="G626" s="183"/>
      <c r="H626" s="184"/>
      <c r="I626" s="184"/>
      <c r="J626" s="184"/>
      <c r="K626" s="184"/>
      <c r="L626" s="184"/>
      <c r="M626" s="184"/>
      <c r="N626" s="184"/>
      <c r="O626" s="184"/>
      <c r="Q626" s="184"/>
      <c r="R626" s="185"/>
      <c r="S626" s="185"/>
      <c r="U626" s="184"/>
      <c r="V626" s="184"/>
      <c r="W626" s="184"/>
      <c r="X626" s="184"/>
      <c r="Y626" s="184"/>
      <c r="Z626" s="184"/>
      <c r="AA626" s="184"/>
      <c r="AB626" s="184"/>
      <c r="AC626" s="184"/>
      <c r="AD626" s="184"/>
      <c r="AE626" s="184"/>
      <c r="AF626" s="184"/>
      <c r="AG626" s="184"/>
      <c r="AH626" s="184"/>
      <c r="AI626" s="184"/>
      <c r="AJ626" s="184"/>
      <c r="AK626" s="184"/>
      <c r="AL626" s="186"/>
      <c r="AM626" s="187"/>
      <c r="AN626" s="187"/>
      <c r="AO626" s="187"/>
    </row>
    <row r="627" spans="1:41" s="163" customFormat="1" ht="16.5" customHeight="1">
      <c r="A627" s="180"/>
      <c r="B627" s="181"/>
      <c r="C627" s="182"/>
      <c r="D627" s="182"/>
      <c r="E627" s="183"/>
      <c r="F627" s="183"/>
      <c r="G627" s="183"/>
      <c r="H627" s="184"/>
      <c r="I627" s="184"/>
      <c r="J627" s="184"/>
      <c r="K627" s="184"/>
      <c r="L627" s="184"/>
      <c r="M627" s="184"/>
      <c r="N627" s="184"/>
      <c r="O627" s="184"/>
      <c r="Q627" s="184"/>
      <c r="R627" s="185"/>
      <c r="S627" s="185"/>
      <c r="U627" s="184"/>
      <c r="V627" s="184"/>
      <c r="W627" s="184"/>
      <c r="X627" s="184"/>
      <c r="Y627" s="184"/>
      <c r="Z627" s="184"/>
      <c r="AA627" s="184"/>
      <c r="AB627" s="184"/>
      <c r="AC627" s="184"/>
      <c r="AD627" s="184"/>
      <c r="AE627" s="184"/>
      <c r="AF627" s="184"/>
      <c r="AG627" s="184"/>
      <c r="AH627" s="184"/>
      <c r="AI627" s="184"/>
      <c r="AJ627" s="184"/>
      <c r="AK627" s="184"/>
      <c r="AL627" s="186"/>
      <c r="AM627" s="187"/>
      <c r="AN627" s="187"/>
      <c r="AO627" s="187"/>
    </row>
    <row r="628" spans="1:41" s="163" customFormat="1" ht="16.5" customHeight="1">
      <c r="A628" s="180"/>
      <c r="B628" s="181"/>
      <c r="C628" s="182"/>
      <c r="D628" s="182"/>
      <c r="E628" s="183"/>
      <c r="F628" s="183"/>
      <c r="G628" s="183"/>
      <c r="H628" s="184"/>
      <c r="I628" s="184"/>
      <c r="J628" s="184"/>
      <c r="K628" s="184"/>
      <c r="L628" s="184"/>
      <c r="M628" s="184"/>
      <c r="N628" s="184"/>
      <c r="O628" s="184"/>
      <c r="Q628" s="184"/>
      <c r="R628" s="185"/>
      <c r="S628" s="185"/>
      <c r="U628" s="184"/>
      <c r="V628" s="184"/>
      <c r="W628" s="184"/>
      <c r="X628" s="184"/>
      <c r="Y628" s="184"/>
      <c r="Z628" s="184"/>
      <c r="AA628" s="184"/>
      <c r="AB628" s="184"/>
      <c r="AC628" s="184"/>
      <c r="AD628" s="184"/>
      <c r="AE628" s="184"/>
      <c r="AF628" s="184"/>
      <c r="AG628" s="184"/>
      <c r="AH628" s="184"/>
      <c r="AI628" s="184"/>
      <c r="AJ628" s="184"/>
      <c r="AK628" s="184"/>
      <c r="AL628" s="186"/>
      <c r="AM628" s="187"/>
      <c r="AN628" s="187"/>
      <c r="AO628" s="187"/>
    </row>
    <row r="629" spans="1:41" s="163" customFormat="1" ht="16.5" customHeight="1">
      <c r="A629" s="180"/>
      <c r="B629" s="181"/>
      <c r="C629" s="182"/>
      <c r="D629" s="182"/>
      <c r="E629" s="183"/>
      <c r="F629" s="183"/>
      <c r="G629" s="183"/>
      <c r="H629" s="184"/>
      <c r="I629" s="184"/>
      <c r="J629" s="184"/>
      <c r="K629" s="184"/>
      <c r="L629" s="184"/>
      <c r="M629" s="184"/>
      <c r="N629" s="184"/>
      <c r="O629" s="184"/>
      <c r="Q629" s="184"/>
      <c r="R629" s="185"/>
      <c r="S629" s="185"/>
      <c r="U629" s="184"/>
      <c r="V629" s="184"/>
      <c r="W629" s="184"/>
      <c r="X629" s="184"/>
      <c r="Y629" s="184"/>
      <c r="Z629" s="184"/>
      <c r="AA629" s="184"/>
      <c r="AB629" s="184"/>
      <c r="AC629" s="184"/>
      <c r="AD629" s="184"/>
      <c r="AE629" s="184"/>
      <c r="AF629" s="184"/>
      <c r="AG629" s="184"/>
      <c r="AH629" s="184"/>
      <c r="AI629" s="184"/>
      <c r="AJ629" s="184"/>
      <c r="AK629" s="184"/>
      <c r="AL629" s="186"/>
      <c r="AM629" s="187"/>
      <c r="AN629" s="187"/>
      <c r="AO629" s="187"/>
    </row>
    <row r="630" spans="1:41" s="163" customFormat="1" ht="16.5" customHeight="1">
      <c r="A630" s="180"/>
      <c r="B630" s="181"/>
      <c r="C630" s="182"/>
      <c r="D630" s="182"/>
      <c r="E630" s="183"/>
      <c r="F630" s="183"/>
      <c r="G630" s="183"/>
      <c r="H630" s="184"/>
      <c r="I630" s="184"/>
      <c r="J630" s="184"/>
      <c r="K630" s="184"/>
      <c r="L630" s="184"/>
      <c r="M630" s="184"/>
      <c r="N630" s="184"/>
      <c r="O630" s="184"/>
      <c r="Q630" s="184"/>
      <c r="R630" s="185"/>
      <c r="S630" s="185"/>
      <c r="U630" s="184"/>
      <c r="V630" s="184"/>
      <c r="W630" s="184"/>
      <c r="X630" s="184"/>
      <c r="Y630" s="184"/>
      <c r="Z630" s="184"/>
      <c r="AA630" s="184"/>
      <c r="AB630" s="184"/>
      <c r="AC630" s="184"/>
      <c r="AD630" s="184"/>
      <c r="AE630" s="184"/>
      <c r="AF630" s="184"/>
      <c r="AG630" s="184"/>
      <c r="AH630" s="184"/>
      <c r="AI630" s="184"/>
      <c r="AJ630" s="184"/>
      <c r="AK630" s="184"/>
      <c r="AL630" s="186"/>
      <c r="AM630" s="187"/>
      <c r="AN630" s="187"/>
      <c r="AO630" s="187"/>
    </row>
    <row r="631" spans="1:41" s="163" customFormat="1" ht="16.5" customHeight="1">
      <c r="A631" s="180"/>
      <c r="B631" s="181"/>
      <c r="C631" s="182"/>
      <c r="D631" s="182"/>
      <c r="E631" s="183"/>
      <c r="F631" s="183"/>
      <c r="G631" s="183"/>
      <c r="H631" s="184"/>
      <c r="I631" s="184"/>
      <c r="J631" s="184"/>
      <c r="K631" s="184"/>
      <c r="L631" s="184"/>
      <c r="M631" s="184"/>
      <c r="N631" s="184"/>
      <c r="O631" s="184"/>
      <c r="Q631" s="184"/>
      <c r="R631" s="185"/>
      <c r="S631" s="185"/>
      <c r="U631" s="184"/>
      <c r="V631" s="184"/>
      <c r="W631" s="184"/>
      <c r="X631" s="184"/>
      <c r="Y631" s="184"/>
      <c r="Z631" s="184"/>
      <c r="AA631" s="184"/>
      <c r="AB631" s="184"/>
      <c r="AC631" s="184"/>
      <c r="AD631" s="184"/>
      <c r="AE631" s="184"/>
      <c r="AF631" s="184"/>
      <c r="AG631" s="184"/>
      <c r="AH631" s="184"/>
      <c r="AI631" s="184"/>
      <c r="AJ631" s="184"/>
      <c r="AK631" s="184"/>
      <c r="AL631" s="186"/>
      <c r="AM631" s="187"/>
      <c r="AN631" s="187"/>
      <c r="AO631" s="187"/>
    </row>
    <row r="632" spans="1:41" s="163" customFormat="1" ht="16.5" customHeight="1">
      <c r="A632" s="180"/>
      <c r="B632" s="181"/>
      <c r="C632" s="182"/>
      <c r="D632" s="182"/>
      <c r="E632" s="183"/>
      <c r="F632" s="183"/>
      <c r="G632" s="183"/>
      <c r="H632" s="184"/>
      <c r="I632" s="184"/>
      <c r="J632" s="184"/>
      <c r="K632" s="184"/>
      <c r="L632" s="184"/>
      <c r="M632" s="184"/>
      <c r="N632" s="184"/>
      <c r="O632" s="184"/>
      <c r="Q632" s="184"/>
      <c r="R632" s="185"/>
      <c r="S632" s="185"/>
      <c r="U632" s="184"/>
      <c r="V632" s="184"/>
      <c r="W632" s="184"/>
      <c r="X632" s="184"/>
      <c r="Y632" s="184"/>
      <c r="Z632" s="184"/>
      <c r="AA632" s="184"/>
      <c r="AB632" s="184"/>
      <c r="AC632" s="184"/>
      <c r="AD632" s="184"/>
      <c r="AE632" s="184"/>
      <c r="AF632" s="184"/>
      <c r="AG632" s="184"/>
      <c r="AH632" s="184"/>
      <c r="AI632" s="184"/>
      <c r="AJ632" s="184"/>
      <c r="AK632" s="184"/>
      <c r="AL632" s="186"/>
      <c r="AM632" s="187"/>
      <c r="AN632" s="187"/>
      <c r="AO632" s="187"/>
    </row>
    <row r="633" spans="1:41" s="163" customFormat="1" ht="16.5" customHeight="1">
      <c r="A633" s="180"/>
      <c r="B633" s="181"/>
      <c r="C633" s="182"/>
      <c r="D633" s="182"/>
      <c r="E633" s="183"/>
      <c r="F633" s="183"/>
      <c r="G633" s="183"/>
      <c r="H633" s="184"/>
      <c r="I633" s="184"/>
      <c r="J633" s="184"/>
      <c r="K633" s="184"/>
      <c r="L633" s="184"/>
      <c r="M633" s="184"/>
      <c r="N633" s="184"/>
      <c r="O633" s="184"/>
      <c r="Q633" s="184"/>
      <c r="R633" s="185"/>
      <c r="S633" s="185"/>
      <c r="U633" s="184"/>
      <c r="V633" s="184"/>
      <c r="W633" s="184"/>
      <c r="X633" s="184"/>
      <c r="Y633" s="184"/>
      <c r="Z633" s="184"/>
      <c r="AA633" s="184"/>
      <c r="AB633" s="184"/>
      <c r="AC633" s="184"/>
      <c r="AD633" s="184"/>
      <c r="AE633" s="184"/>
      <c r="AF633" s="184"/>
      <c r="AG633" s="184"/>
      <c r="AH633" s="184"/>
      <c r="AI633" s="184"/>
      <c r="AJ633" s="184"/>
      <c r="AK633" s="184"/>
      <c r="AL633" s="186"/>
      <c r="AM633" s="187"/>
      <c r="AN633" s="187"/>
      <c r="AO633" s="187"/>
    </row>
    <row r="634" spans="1:41" s="163" customFormat="1" ht="16.5" customHeight="1">
      <c r="A634" s="180"/>
      <c r="B634" s="181"/>
      <c r="C634" s="182"/>
      <c r="D634" s="182"/>
      <c r="E634" s="183"/>
      <c r="F634" s="183"/>
      <c r="G634" s="183"/>
      <c r="H634" s="184"/>
      <c r="I634" s="184"/>
      <c r="J634" s="184"/>
      <c r="K634" s="184"/>
      <c r="L634" s="184"/>
      <c r="M634" s="184"/>
      <c r="N634" s="184"/>
      <c r="O634" s="184"/>
      <c r="Q634" s="184"/>
      <c r="R634" s="185"/>
      <c r="S634" s="185"/>
      <c r="U634" s="184"/>
      <c r="V634" s="184"/>
      <c r="W634" s="184"/>
      <c r="X634" s="184"/>
      <c r="Y634" s="184"/>
      <c r="Z634" s="184"/>
      <c r="AA634" s="184"/>
      <c r="AB634" s="184"/>
      <c r="AC634" s="184"/>
      <c r="AD634" s="184"/>
      <c r="AE634" s="184"/>
      <c r="AF634" s="184"/>
      <c r="AG634" s="184"/>
      <c r="AH634" s="184"/>
      <c r="AI634" s="184"/>
      <c r="AJ634" s="184"/>
      <c r="AK634" s="184"/>
      <c r="AL634" s="186"/>
      <c r="AM634" s="187"/>
      <c r="AN634" s="187"/>
      <c r="AO634" s="187"/>
    </row>
    <row r="635" spans="1:41" s="163" customFormat="1" ht="16.5" customHeight="1">
      <c r="A635" s="180"/>
      <c r="B635" s="181"/>
      <c r="C635" s="182"/>
      <c r="D635" s="182"/>
      <c r="E635" s="183"/>
      <c r="F635" s="183"/>
      <c r="G635" s="183"/>
      <c r="H635" s="184"/>
      <c r="I635" s="184"/>
      <c r="J635" s="184"/>
      <c r="K635" s="184"/>
      <c r="L635" s="184"/>
      <c r="M635" s="184"/>
      <c r="N635" s="184"/>
      <c r="O635" s="184"/>
      <c r="Q635" s="184"/>
      <c r="R635" s="185"/>
      <c r="S635" s="185"/>
      <c r="U635" s="184"/>
      <c r="V635" s="184"/>
      <c r="W635" s="184"/>
      <c r="X635" s="184"/>
      <c r="Y635" s="184"/>
      <c r="Z635" s="184"/>
      <c r="AA635" s="184"/>
      <c r="AB635" s="184"/>
      <c r="AC635" s="184"/>
      <c r="AD635" s="184"/>
      <c r="AE635" s="184"/>
      <c r="AF635" s="184"/>
      <c r="AG635" s="184"/>
      <c r="AH635" s="184"/>
      <c r="AI635" s="184"/>
      <c r="AJ635" s="184"/>
      <c r="AK635" s="184"/>
      <c r="AL635" s="186"/>
      <c r="AM635" s="187"/>
      <c r="AN635" s="187"/>
      <c r="AO635" s="187"/>
    </row>
    <row r="636" spans="1:41" s="163" customFormat="1" ht="16.5" customHeight="1">
      <c r="A636" s="180"/>
      <c r="B636" s="181"/>
      <c r="C636" s="182"/>
      <c r="D636" s="182"/>
      <c r="E636" s="183"/>
      <c r="F636" s="183"/>
      <c r="G636" s="183"/>
      <c r="H636" s="184"/>
      <c r="I636" s="184"/>
      <c r="J636" s="184"/>
      <c r="K636" s="184"/>
      <c r="L636" s="184"/>
      <c r="M636" s="184"/>
      <c r="N636" s="184"/>
      <c r="O636" s="184"/>
      <c r="Q636" s="184"/>
      <c r="R636" s="185"/>
      <c r="S636" s="185"/>
      <c r="U636" s="184"/>
      <c r="V636" s="184"/>
      <c r="W636" s="184"/>
      <c r="X636" s="184"/>
      <c r="Y636" s="184"/>
      <c r="Z636" s="184"/>
      <c r="AA636" s="184"/>
      <c r="AB636" s="184"/>
      <c r="AC636" s="184"/>
      <c r="AD636" s="184"/>
      <c r="AE636" s="184"/>
      <c r="AF636" s="184"/>
      <c r="AG636" s="184"/>
      <c r="AH636" s="184"/>
      <c r="AI636" s="184"/>
      <c r="AJ636" s="184"/>
      <c r="AK636" s="184"/>
      <c r="AL636" s="186"/>
      <c r="AM636" s="187"/>
      <c r="AN636" s="187"/>
      <c r="AO636" s="187"/>
    </row>
    <row r="637" spans="1:41" s="163" customFormat="1" ht="16.5" customHeight="1">
      <c r="A637" s="180"/>
      <c r="B637" s="181"/>
      <c r="C637" s="182"/>
      <c r="D637" s="182"/>
      <c r="E637" s="183"/>
      <c r="F637" s="183"/>
      <c r="G637" s="183"/>
      <c r="H637" s="184"/>
      <c r="I637" s="184"/>
      <c r="J637" s="184"/>
      <c r="K637" s="184"/>
      <c r="L637" s="184"/>
      <c r="M637" s="184"/>
      <c r="N637" s="184"/>
      <c r="O637" s="184"/>
      <c r="Q637" s="184"/>
      <c r="R637" s="185"/>
      <c r="S637" s="185"/>
      <c r="U637" s="184"/>
      <c r="V637" s="184"/>
      <c r="W637" s="184"/>
      <c r="X637" s="184"/>
      <c r="Y637" s="184"/>
      <c r="Z637" s="184"/>
      <c r="AA637" s="184"/>
      <c r="AB637" s="184"/>
      <c r="AC637" s="184"/>
      <c r="AD637" s="184"/>
      <c r="AE637" s="184"/>
      <c r="AF637" s="184"/>
      <c r="AG637" s="184"/>
      <c r="AH637" s="184"/>
      <c r="AI637" s="184"/>
      <c r="AJ637" s="184"/>
      <c r="AK637" s="184"/>
      <c r="AL637" s="186"/>
      <c r="AM637" s="187"/>
      <c r="AN637" s="187"/>
      <c r="AO637" s="187"/>
    </row>
    <row r="638" spans="1:41" s="163" customFormat="1" ht="16.5" customHeight="1">
      <c r="A638" s="180"/>
      <c r="B638" s="181"/>
      <c r="C638" s="182"/>
      <c r="D638" s="182"/>
      <c r="E638" s="183"/>
      <c r="F638" s="183"/>
      <c r="G638" s="183"/>
      <c r="H638" s="184"/>
      <c r="I638" s="184"/>
      <c r="J638" s="184"/>
      <c r="K638" s="184"/>
      <c r="L638" s="184"/>
      <c r="M638" s="184"/>
      <c r="N638" s="184"/>
      <c r="O638" s="184"/>
      <c r="Q638" s="184"/>
      <c r="R638" s="185"/>
      <c r="S638" s="185"/>
      <c r="U638" s="184"/>
      <c r="V638" s="184"/>
      <c r="W638" s="184"/>
      <c r="X638" s="184"/>
      <c r="Y638" s="184"/>
      <c r="Z638" s="184"/>
      <c r="AA638" s="184"/>
      <c r="AB638" s="184"/>
      <c r="AC638" s="184"/>
      <c r="AD638" s="184"/>
      <c r="AE638" s="184"/>
      <c r="AF638" s="184"/>
      <c r="AG638" s="184"/>
      <c r="AH638" s="184"/>
      <c r="AI638" s="184"/>
      <c r="AJ638" s="184"/>
      <c r="AK638" s="184"/>
      <c r="AL638" s="186"/>
      <c r="AM638" s="187"/>
      <c r="AN638" s="187"/>
      <c r="AO638" s="187"/>
    </row>
    <row r="639" spans="1:41" s="163" customFormat="1" ht="16.5" customHeight="1">
      <c r="A639" s="180"/>
      <c r="B639" s="181"/>
      <c r="C639" s="182"/>
      <c r="D639" s="182"/>
      <c r="E639" s="183"/>
      <c r="F639" s="183"/>
      <c r="G639" s="183"/>
      <c r="H639" s="184"/>
      <c r="I639" s="184"/>
      <c r="J639" s="184"/>
      <c r="K639" s="184"/>
      <c r="L639" s="184"/>
      <c r="M639" s="184"/>
      <c r="N639" s="184"/>
      <c r="O639" s="184"/>
      <c r="Q639" s="184"/>
      <c r="R639" s="185"/>
      <c r="S639" s="185"/>
      <c r="U639" s="184"/>
      <c r="V639" s="184"/>
      <c r="W639" s="184"/>
      <c r="X639" s="184"/>
      <c r="Y639" s="184"/>
      <c r="Z639" s="184"/>
      <c r="AA639" s="184"/>
      <c r="AB639" s="184"/>
      <c r="AC639" s="184"/>
      <c r="AD639" s="184"/>
      <c r="AE639" s="184"/>
      <c r="AF639" s="184"/>
      <c r="AG639" s="184"/>
      <c r="AH639" s="184"/>
      <c r="AI639" s="184"/>
      <c r="AJ639" s="184"/>
      <c r="AK639" s="184"/>
      <c r="AL639" s="186"/>
      <c r="AM639" s="187"/>
      <c r="AN639" s="187"/>
      <c r="AO639" s="187"/>
    </row>
    <row r="640" spans="1:41" s="163" customFormat="1" ht="16.5" customHeight="1">
      <c r="A640" s="180"/>
      <c r="B640" s="181"/>
      <c r="C640" s="182"/>
      <c r="D640" s="182"/>
      <c r="E640" s="183"/>
      <c r="F640" s="183"/>
      <c r="G640" s="183"/>
      <c r="H640" s="184"/>
      <c r="I640" s="184"/>
      <c r="J640" s="184"/>
      <c r="K640" s="184"/>
      <c r="L640" s="184"/>
      <c r="M640" s="184"/>
      <c r="N640" s="184"/>
      <c r="O640" s="184"/>
      <c r="Q640" s="184"/>
      <c r="R640" s="185"/>
      <c r="S640" s="185"/>
      <c r="U640" s="184"/>
      <c r="V640" s="184"/>
      <c r="W640" s="184"/>
      <c r="X640" s="184"/>
      <c r="Y640" s="184"/>
      <c r="Z640" s="184"/>
      <c r="AA640" s="184"/>
      <c r="AB640" s="184"/>
      <c r="AC640" s="184"/>
      <c r="AD640" s="184"/>
      <c r="AE640" s="184"/>
      <c r="AF640" s="184"/>
      <c r="AG640" s="184"/>
      <c r="AH640" s="184"/>
      <c r="AI640" s="184"/>
      <c r="AJ640" s="184"/>
      <c r="AK640" s="184"/>
      <c r="AL640" s="186"/>
      <c r="AM640" s="187"/>
      <c r="AN640" s="187"/>
      <c r="AO640" s="187"/>
    </row>
    <row r="641" spans="1:41" s="163" customFormat="1" ht="16.5" customHeight="1">
      <c r="A641" s="180"/>
      <c r="B641" s="181"/>
      <c r="C641" s="182"/>
      <c r="D641" s="182"/>
      <c r="E641" s="183"/>
      <c r="F641" s="183"/>
      <c r="G641" s="183"/>
      <c r="H641" s="184"/>
      <c r="I641" s="184"/>
      <c r="J641" s="184"/>
      <c r="K641" s="184"/>
      <c r="L641" s="184"/>
      <c r="M641" s="184"/>
      <c r="N641" s="184"/>
      <c r="O641" s="184"/>
      <c r="Q641" s="184"/>
      <c r="R641" s="185"/>
      <c r="S641" s="185"/>
      <c r="U641" s="184"/>
      <c r="V641" s="184"/>
      <c r="W641" s="184"/>
      <c r="X641" s="184"/>
      <c r="Y641" s="184"/>
      <c r="Z641" s="184"/>
      <c r="AA641" s="184"/>
      <c r="AB641" s="184"/>
      <c r="AC641" s="184"/>
      <c r="AD641" s="184"/>
      <c r="AE641" s="184"/>
      <c r="AF641" s="184"/>
      <c r="AG641" s="184"/>
      <c r="AH641" s="184"/>
      <c r="AI641" s="184"/>
      <c r="AJ641" s="184"/>
      <c r="AK641" s="184"/>
      <c r="AL641" s="186"/>
      <c r="AM641" s="187"/>
      <c r="AN641" s="187"/>
      <c r="AO641" s="187"/>
    </row>
    <row r="642" spans="1:41" s="163" customFormat="1" ht="16.5" customHeight="1">
      <c r="A642" s="180"/>
      <c r="B642" s="181"/>
      <c r="C642" s="182"/>
      <c r="D642" s="182"/>
      <c r="E642" s="183"/>
      <c r="F642" s="183"/>
      <c r="G642" s="183"/>
      <c r="H642" s="184"/>
      <c r="I642" s="184"/>
      <c r="J642" s="184"/>
      <c r="K642" s="184"/>
      <c r="L642" s="184"/>
      <c r="M642" s="184"/>
      <c r="N642" s="184"/>
      <c r="O642" s="184"/>
      <c r="Q642" s="184"/>
      <c r="R642" s="185"/>
      <c r="S642" s="185"/>
      <c r="U642" s="184"/>
      <c r="V642" s="184"/>
      <c r="W642" s="184"/>
      <c r="X642" s="184"/>
      <c r="Y642" s="184"/>
      <c r="Z642" s="184"/>
      <c r="AA642" s="184"/>
      <c r="AB642" s="184"/>
      <c r="AC642" s="184"/>
      <c r="AD642" s="184"/>
      <c r="AE642" s="184"/>
      <c r="AF642" s="184"/>
      <c r="AG642" s="184"/>
      <c r="AH642" s="184"/>
      <c r="AI642" s="184"/>
      <c r="AJ642" s="184"/>
      <c r="AK642" s="184"/>
      <c r="AL642" s="186"/>
      <c r="AM642" s="187"/>
      <c r="AN642" s="187"/>
      <c r="AO642" s="187"/>
    </row>
    <row r="643" spans="1:41" s="163" customFormat="1" ht="16.5" customHeight="1">
      <c r="A643" s="180"/>
      <c r="B643" s="181"/>
      <c r="C643" s="182"/>
      <c r="D643" s="182"/>
      <c r="E643" s="183"/>
      <c r="F643" s="183"/>
      <c r="G643" s="183"/>
      <c r="H643" s="184"/>
      <c r="I643" s="184"/>
      <c r="J643" s="184"/>
      <c r="K643" s="184"/>
      <c r="L643" s="184"/>
      <c r="M643" s="184"/>
      <c r="N643" s="184"/>
      <c r="O643" s="184"/>
      <c r="Q643" s="184"/>
      <c r="R643" s="185"/>
      <c r="S643" s="185"/>
      <c r="U643" s="184"/>
      <c r="V643" s="184"/>
      <c r="W643" s="184"/>
      <c r="X643" s="184"/>
      <c r="Y643" s="184"/>
      <c r="Z643" s="184"/>
      <c r="AA643" s="184"/>
      <c r="AB643" s="184"/>
      <c r="AC643" s="184"/>
      <c r="AD643" s="184"/>
      <c r="AE643" s="184"/>
      <c r="AF643" s="184"/>
      <c r="AG643" s="184"/>
      <c r="AH643" s="184"/>
      <c r="AI643" s="184"/>
      <c r="AJ643" s="184"/>
      <c r="AK643" s="184"/>
      <c r="AL643" s="186"/>
      <c r="AM643" s="187"/>
      <c r="AN643" s="187"/>
      <c r="AO643" s="187"/>
    </row>
    <row r="644" spans="1:41" s="163" customFormat="1" ht="16.5" customHeight="1">
      <c r="A644" s="180"/>
      <c r="B644" s="181"/>
      <c r="C644" s="182"/>
      <c r="D644" s="182"/>
      <c r="E644" s="183"/>
      <c r="F644" s="183"/>
      <c r="G644" s="183"/>
      <c r="H644" s="184"/>
      <c r="I644" s="184"/>
      <c r="J644" s="184"/>
      <c r="K644" s="184"/>
      <c r="L644" s="184"/>
      <c r="M644" s="184"/>
      <c r="N644" s="184"/>
      <c r="O644" s="184"/>
      <c r="Q644" s="184"/>
      <c r="R644" s="185"/>
      <c r="S644" s="185"/>
      <c r="U644" s="184"/>
      <c r="V644" s="184"/>
      <c r="W644" s="184"/>
      <c r="X644" s="184"/>
      <c r="Y644" s="184"/>
      <c r="Z644" s="184"/>
      <c r="AA644" s="184"/>
      <c r="AB644" s="184"/>
      <c r="AC644" s="184"/>
      <c r="AD644" s="184"/>
      <c r="AE644" s="184"/>
      <c r="AF644" s="184"/>
      <c r="AG644" s="184"/>
      <c r="AH644" s="184"/>
      <c r="AI644" s="184"/>
      <c r="AJ644" s="184"/>
      <c r="AK644" s="184"/>
      <c r="AL644" s="186"/>
      <c r="AM644" s="187"/>
      <c r="AN644" s="187"/>
      <c r="AO644" s="187"/>
    </row>
    <row r="645" spans="1:41" s="163" customFormat="1" ht="16.5" customHeight="1">
      <c r="A645" s="180"/>
      <c r="B645" s="181"/>
      <c r="C645" s="182"/>
      <c r="D645" s="182"/>
      <c r="E645" s="183"/>
      <c r="F645" s="183"/>
      <c r="G645" s="183"/>
      <c r="H645" s="184"/>
      <c r="I645" s="184"/>
      <c r="J645" s="184"/>
      <c r="K645" s="184"/>
      <c r="L645" s="184"/>
      <c r="M645" s="184"/>
      <c r="N645" s="184"/>
      <c r="O645" s="184"/>
      <c r="Q645" s="184"/>
      <c r="R645" s="185"/>
      <c r="S645" s="185"/>
      <c r="U645" s="184"/>
      <c r="V645" s="184"/>
      <c r="W645" s="184"/>
      <c r="X645" s="184"/>
      <c r="Y645" s="184"/>
      <c r="Z645" s="184"/>
      <c r="AA645" s="184"/>
      <c r="AB645" s="184"/>
      <c r="AC645" s="184"/>
      <c r="AD645" s="184"/>
      <c r="AE645" s="184"/>
      <c r="AF645" s="184"/>
      <c r="AG645" s="184"/>
      <c r="AH645" s="184"/>
      <c r="AI645" s="184"/>
      <c r="AJ645" s="184"/>
      <c r="AK645" s="184"/>
      <c r="AL645" s="186"/>
      <c r="AM645" s="187"/>
      <c r="AN645" s="187"/>
      <c r="AO645" s="187"/>
    </row>
    <row r="646" spans="1:41" s="163" customFormat="1" ht="16.5" customHeight="1">
      <c r="A646" s="180"/>
      <c r="B646" s="181"/>
      <c r="C646" s="182"/>
      <c r="D646" s="182"/>
      <c r="E646" s="183"/>
      <c r="F646" s="183"/>
      <c r="G646" s="183"/>
      <c r="H646" s="184"/>
      <c r="I646" s="184"/>
      <c r="J646" s="184"/>
      <c r="K646" s="184"/>
      <c r="L646" s="184"/>
      <c r="M646" s="184"/>
      <c r="N646" s="184"/>
      <c r="O646" s="184"/>
      <c r="Q646" s="184"/>
      <c r="R646" s="185"/>
      <c r="S646" s="185"/>
      <c r="U646" s="184"/>
      <c r="V646" s="184"/>
      <c r="W646" s="184"/>
      <c r="X646" s="184"/>
      <c r="Y646" s="184"/>
      <c r="Z646" s="184"/>
      <c r="AA646" s="184"/>
      <c r="AB646" s="184"/>
      <c r="AC646" s="184"/>
      <c r="AD646" s="184"/>
      <c r="AE646" s="184"/>
      <c r="AF646" s="184"/>
      <c r="AG646" s="184"/>
      <c r="AH646" s="184"/>
      <c r="AI646" s="184"/>
      <c r="AJ646" s="184"/>
      <c r="AK646" s="184"/>
      <c r="AL646" s="186"/>
      <c r="AM646" s="187"/>
      <c r="AN646" s="187"/>
      <c r="AO646" s="187"/>
    </row>
    <row r="647" spans="1:41" s="163" customFormat="1" ht="16.5" customHeight="1">
      <c r="A647" s="180"/>
      <c r="B647" s="181"/>
      <c r="C647" s="182"/>
      <c r="D647" s="182"/>
      <c r="E647" s="183"/>
      <c r="F647" s="183"/>
      <c r="G647" s="183"/>
      <c r="H647" s="184"/>
      <c r="I647" s="184"/>
      <c r="J647" s="184"/>
      <c r="K647" s="184"/>
      <c r="L647" s="184"/>
      <c r="M647" s="184"/>
      <c r="N647" s="184"/>
      <c r="O647" s="184"/>
      <c r="Q647" s="184"/>
      <c r="R647" s="185"/>
      <c r="S647" s="185"/>
      <c r="U647" s="184"/>
      <c r="V647" s="184"/>
      <c r="W647" s="184"/>
      <c r="X647" s="184"/>
      <c r="Y647" s="184"/>
      <c r="Z647" s="184"/>
      <c r="AA647" s="184"/>
      <c r="AB647" s="184"/>
      <c r="AC647" s="184"/>
      <c r="AD647" s="184"/>
      <c r="AE647" s="184"/>
      <c r="AF647" s="184"/>
      <c r="AG647" s="184"/>
      <c r="AH647" s="184"/>
      <c r="AI647" s="184"/>
      <c r="AJ647" s="184"/>
      <c r="AK647" s="184"/>
      <c r="AL647" s="186"/>
      <c r="AM647" s="187"/>
      <c r="AN647" s="187"/>
      <c r="AO647" s="187"/>
    </row>
    <row r="648" spans="1:41" s="163" customFormat="1" ht="16.5" customHeight="1">
      <c r="A648" s="180"/>
      <c r="B648" s="181"/>
      <c r="C648" s="182"/>
      <c r="D648" s="182"/>
      <c r="E648" s="183"/>
      <c r="F648" s="183"/>
      <c r="G648" s="183"/>
      <c r="H648" s="184"/>
      <c r="I648" s="184"/>
      <c r="J648" s="184"/>
      <c r="K648" s="184"/>
      <c r="L648" s="184"/>
      <c r="M648" s="184"/>
      <c r="N648" s="184"/>
      <c r="O648" s="184"/>
      <c r="Q648" s="184"/>
      <c r="R648" s="185"/>
      <c r="S648" s="185"/>
      <c r="U648" s="184"/>
      <c r="V648" s="184"/>
      <c r="W648" s="184"/>
      <c r="X648" s="184"/>
      <c r="Y648" s="184"/>
      <c r="Z648" s="184"/>
      <c r="AA648" s="184"/>
      <c r="AB648" s="184"/>
      <c r="AC648" s="184"/>
      <c r="AD648" s="184"/>
      <c r="AE648" s="184"/>
      <c r="AF648" s="184"/>
      <c r="AG648" s="184"/>
      <c r="AH648" s="184"/>
      <c r="AI648" s="184"/>
      <c r="AJ648" s="184"/>
      <c r="AK648" s="184"/>
      <c r="AL648" s="186"/>
      <c r="AM648" s="187"/>
      <c r="AN648" s="187"/>
      <c r="AO648" s="187"/>
    </row>
    <row r="649" spans="1:41" s="163" customFormat="1" ht="16.5" customHeight="1">
      <c r="A649" s="180"/>
      <c r="B649" s="181"/>
      <c r="C649" s="182"/>
      <c r="D649" s="182"/>
      <c r="E649" s="183"/>
      <c r="F649" s="183"/>
      <c r="G649" s="183"/>
      <c r="H649" s="184"/>
      <c r="I649" s="184"/>
      <c r="J649" s="184"/>
      <c r="K649" s="184"/>
      <c r="L649" s="184"/>
      <c r="M649" s="184"/>
      <c r="N649" s="184"/>
      <c r="O649" s="184"/>
      <c r="Q649" s="184"/>
      <c r="R649" s="185"/>
      <c r="S649" s="185"/>
      <c r="U649" s="184"/>
      <c r="V649" s="184"/>
      <c r="W649" s="184"/>
      <c r="X649" s="184"/>
      <c r="Y649" s="184"/>
      <c r="Z649" s="184"/>
      <c r="AA649" s="184"/>
      <c r="AB649" s="184"/>
      <c r="AC649" s="184"/>
      <c r="AD649" s="184"/>
      <c r="AE649" s="184"/>
      <c r="AF649" s="184"/>
      <c r="AG649" s="184"/>
      <c r="AH649" s="184"/>
      <c r="AI649" s="184"/>
      <c r="AJ649" s="184"/>
      <c r="AK649" s="184"/>
      <c r="AL649" s="186"/>
      <c r="AM649" s="187"/>
      <c r="AN649" s="187"/>
      <c r="AO649" s="187"/>
    </row>
    <row r="650" spans="1:41" s="163" customFormat="1" ht="16.5" customHeight="1">
      <c r="A650" s="180"/>
      <c r="B650" s="181"/>
      <c r="C650" s="182"/>
      <c r="D650" s="182"/>
      <c r="E650" s="183"/>
      <c r="F650" s="183"/>
      <c r="G650" s="183"/>
      <c r="H650" s="184"/>
      <c r="I650" s="184"/>
      <c r="J650" s="184"/>
      <c r="K650" s="184"/>
      <c r="L650" s="184"/>
      <c r="M650" s="184"/>
      <c r="N650" s="184"/>
      <c r="O650" s="184"/>
      <c r="Q650" s="184"/>
      <c r="R650" s="185"/>
      <c r="S650" s="185"/>
      <c r="U650" s="184"/>
      <c r="V650" s="184"/>
      <c r="W650" s="184"/>
      <c r="X650" s="184"/>
      <c r="Y650" s="184"/>
      <c r="Z650" s="184"/>
      <c r="AA650" s="184"/>
      <c r="AB650" s="184"/>
      <c r="AC650" s="184"/>
      <c r="AD650" s="184"/>
      <c r="AE650" s="184"/>
      <c r="AF650" s="184"/>
      <c r="AG650" s="184"/>
      <c r="AH650" s="184"/>
      <c r="AI650" s="184"/>
      <c r="AJ650" s="184"/>
      <c r="AK650" s="184"/>
      <c r="AL650" s="186"/>
      <c r="AM650" s="187"/>
      <c r="AN650" s="187"/>
      <c r="AO650" s="187"/>
    </row>
    <row r="651" spans="1:41" s="163" customFormat="1" ht="16.5" customHeight="1">
      <c r="A651" s="180"/>
      <c r="B651" s="181"/>
      <c r="C651" s="182"/>
      <c r="D651" s="182"/>
      <c r="E651" s="183"/>
      <c r="F651" s="183"/>
      <c r="G651" s="183"/>
      <c r="H651" s="184"/>
      <c r="I651" s="184"/>
      <c r="J651" s="184"/>
      <c r="K651" s="184"/>
      <c r="L651" s="184"/>
      <c r="M651" s="184"/>
      <c r="N651" s="184"/>
      <c r="O651" s="184"/>
      <c r="Q651" s="184"/>
      <c r="R651" s="185"/>
      <c r="S651" s="185"/>
      <c r="U651" s="184"/>
      <c r="V651" s="184"/>
      <c r="W651" s="184"/>
      <c r="X651" s="184"/>
      <c r="Y651" s="184"/>
      <c r="Z651" s="184"/>
      <c r="AA651" s="184"/>
      <c r="AB651" s="184"/>
      <c r="AC651" s="184"/>
      <c r="AD651" s="184"/>
      <c r="AE651" s="184"/>
      <c r="AF651" s="184"/>
      <c r="AG651" s="184"/>
      <c r="AH651" s="184"/>
      <c r="AI651" s="184"/>
      <c r="AJ651" s="184"/>
      <c r="AK651" s="184"/>
      <c r="AL651" s="186"/>
      <c r="AM651" s="187"/>
      <c r="AN651" s="187"/>
      <c r="AO651" s="187"/>
    </row>
    <row r="652" spans="1:41" s="163" customFormat="1" ht="16.5" customHeight="1">
      <c r="A652" s="180"/>
      <c r="B652" s="181"/>
      <c r="C652" s="182"/>
      <c r="D652" s="182"/>
      <c r="E652" s="183"/>
      <c r="F652" s="183"/>
      <c r="G652" s="183"/>
      <c r="H652" s="184"/>
      <c r="I652" s="184"/>
      <c r="J652" s="184"/>
      <c r="K652" s="184"/>
      <c r="L652" s="184"/>
      <c r="M652" s="184"/>
      <c r="N652" s="184"/>
      <c r="O652" s="184"/>
      <c r="Q652" s="184"/>
      <c r="R652" s="185"/>
      <c r="S652" s="185"/>
      <c r="U652" s="184"/>
      <c r="V652" s="184"/>
      <c r="W652" s="184"/>
      <c r="X652" s="184"/>
      <c r="Y652" s="184"/>
      <c r="Z652" s="184"/>
      <c r="AA652" s="184"/>
      <c r="AB652" s="184"/>
      <c r="AC652" s="184"/>
      <c r="AD652" s="184"/>
      <c r="AE652" s="184"/>
      <c r="AF652" s="184"/>
      <c r="AG652" s="184"/>
      <c r="AH652" s="184"/>
      <c r="AI652" s="184"/>
      <c r="AJ652" s="184"/>
      <c r="AK652" s="184"/>
      <c r="AL652" s="186"/>
      <c r="AM652" s="187"/>
      <c r="AN652" s="187"/>
      <c r="AO652" s="187"/>
    </row>
    <row r="653" spans="1:41" s="163" customFormat="1" ht="16.5" customHeight="1">
      <c r="A653" s="180"/>
      <c r="B653" s="181"/>
      <c r="C653" s="182"/>
      <c r="D653" s="182"/>
      <c r="E653" s="183"/>
      <c r="F653" s="183"/>
      <c r="G653" s="183"/>
      <c r="H653" s="184"/>
      <c r="I653" s="184"/>
      <c r="J653" s="184"/>
      <c r="K653" s="184"/>
      <c r="L653" s="184"/>
      <c r="M653" s="184"/>
      <c r="N653" s="184"/>
      <c r="O653" s="184"/>
      <c r="Q653" s="184"/>
      <c r="R653" s="185"/>
      <c r="S653" s="185"/>
      <c r="U653" s="184"/>
      <c r="V653" s="184"/>
      <c r="W653" s="184"/>
      <c r="X653" s="184"/>
      <c r="Y653" s="184"/>
      <c r="Z653" s="184"/>
      <c r="AA653" s="184"/>
      <c r="AB653" s="184"/>
      <c r="AC653" s="184"/>
      <c r="AD653" s="184"/>
      <c r="AE653" s="184"/>
      <c r="AF653" s="184"/>
      <c r="AG653" s="184"/>
      <c r="AH653" s="184"/>
      <c r="AI653" s="184"/>
      <c r="AJ653" s="184"/>
      <c r="AK653" s="184"/>
      <c r="AL653" s="186"/>
      <c r="AM653" s="187"/>
      <c r="AN653" s="187"/>
      <c r="AO653" s="187"/>
    </row>
    <row r="654" spans="1:41" s="163" customFormat="1" ht="16.5" customHeight="1">
      <c r="A654" s="180"/>
      <c r="B654" s="181"/>
      <c r="C654" s="182"/>
      <c r="D654" s="182"/>
      <c r="E654" s="183"/>
      <c r="F654" s="183"/>
      <c r="G654" s="183"/>
      <c r="H654" s="184"/>
      <c r="I654" s="184"/>
      <c r="J654" s="184"/>
      <c r="K654" s="184"/>
      <c r="L654" s="184"/>
      <c r="M654" s="184"/>
      <c r="N654" s="184"/>
      <c r="O654" s="184"/>
      <c r="Q654" s="184"/>
      <c r="R654" s="185"/>
      <c r="S654" s="185"/>
      <c r="U654" s="184"/>
      <c r="V654" s="184"/>
      <c r="W654" s="184"/>
      <c r="X654" s="184"/>
      <c r="Y654" s="184"/>
      <c r="Z654" s="184"/>
      <c r="AA654" s="184"/>
      <c r="AB654" s="184"/>
      <c r="AC654" s="184"/>
      <c r="AD654" s="184"/>
      <c r="AE654" s="184"/>
      <c r="AF654" s="184"/>
      <c r="AG654" s="184"/>
      <c r="AH654" s="184"/>
      <c r="AI654" s="184"/>
      <c r="AJ654" s="184"/>
      <c r="AK654" s="184"/>
      <c r="AL654" s="186"/>
      <c r="AM654" s="187"/>
      <c r="AN654" s="187"/>
      <c r="AO654" s="187"/>
    </row>
    <row r="655" spans="1:41" s="163" customFormat="1" ht="16.5" customHeight="1">
      <c r="A655" s="180"/>
      <c r="B655" s="181"/>
      <c r="C655" s="182"/>
      <c r="D655" s="182"/>
      <c r="E655" s="183"/>
      <c r="F655" s="183"/>
      <c r="G655" s="183"/>
      <c r="H655" s="184"/>
      <c r="I655" s="184"/>
      <c r="J655" s="184"/>
      <c r="K655" s="184"/>
      <c r="L655" s="184"/>
      <c r="M655" s="184"/>
      <c r="N655" s="184"/>
      <c r="O655" s="184"/>
      <c r="Q655" s="184"/>
      <c r="R655" s="185"/>
      <c r="S655" s="185"/>
      <c r="U655" s="184"/>
      <c r="V655" s="184"/>
      <c r="W655" s="184"/>
      <c r="X655" s="184"/>
      <c r="Y655" s="184"/>
      <c r="Z655" s="184"/>
      <c r="AA655" s="184"/>
      <c r="AB655" s="184"/>
      <c r="AC655" s="184"/>
      <c r="AD655" s="184"/>
      <c r="AE655" s="184"/>
      <c r="AF655" s="184"/>
      <c r="AG655" s="184"/>
      <c r="AH655" s="184"/>
      <c r="AI655" s="184"/>
      <c r="AJ655" s="184"/>
      <c r="AK655" s="184"/>
      <c r="AL655" s="186"/>
      <c r="AM655" s="187"/>
      <c r="AN655" s="187"/>
      <c r="AO655" s="187"/>
    </row>
    <row r="656" spans="1:41" s="163" customFormat="1" ht="16.5" customHeight="1">
      <c r="A656" s="180"/>
      <c r="B656" s="181"/>
      <c r="C656" s="182"/>
      <c r="D656" s="182"/>
      <c r="E656" s="183"/>
      <c r="F656" s="183"/>
      <c r="G656" s="183"/>
      <c r="H656" s="184"/>
      <c r="I656" s="184"/>
      <c r="J656" s="184"/>
      <c r="K656" s="184"/>
      <c r="L656" s="184"/>
      <c r="M656" s="184"/>
      <c r="N656" s="184"/>
      <c r="O656" s="184"/>
      <c r="Q656" s="184"/>
      <c r="R656" s="185"/>
      <c r="S656" s="185"/>
      <c r="U656" s="184"/>
      <c r="V656" s="184"/>
      <c r="W656" s="184"/>
      <c r="X656" s="184"/>
      <c r="Y656" s="184"/>
      <c r="Z656" s="184"/>
      <c r="AA656" s="184"/>
      <c r="AB656" s="184"/>
      <c r="AC656" s="184"/>
      <c r="AD656" s="184"/>
      <c r="AE656" s="184"/>
      <c r="AF656" s="184"/>
      <c r="AG656" s="184"/>
      <c r="AH656" s="184"/>
      <c r="AI656" s="184"/>
      <c r="AJ656" s="184"/>
      <c r="AK656" s="184"/>
      <c r="AL656" s="186"/>
      <c r="AM656" s="187"/>
      <c r="AN656" s="187"/>
      <c r="AO656" s="187"/>
    </row>
    <row r="657" spans="1:41" s="163" customFormat="1" ht="16.5" customHeight="1">
      <c r="A657" s="180"/>
      <c r="B657" s="181"/>
      <c r="C657" s="182"/>
      <c r="D657" s="182"/>
      <c r="E657" s="183"/>
      <c r="F657" s="183"/>
      <c r="G657" s="183"/>
      <c r="H657" s="184"/>
      <c r="I657" s="184"/>
      <c r="J657" s="184"/>
      <c r="K657" s="184"/>
      <c r="L657" s="184"/>
      <c r="M657" s="184"/>
      <c r="N657" s="184"/>
      <c r="O657" s="184"/>
      <c r="Q657" s="184"/>
      <c r="R657" s="185"/>
      <c r="S657" s="185"/>
      <c r="U657" s="184"/>
      <c r="V657" s="184"/>
      <c r="W657" s="184"/>
      <c r="X657" s="184"/>
      <c r="Y657" s="184"/>
      <c r="Z657" s="184"/>
      <c r="AA657" s="184"/>
      <c r="AB657" s="184"/>
      <c r="AC657" s="184"/>
      <c r="AD657" s="184"/>
      <c r="AE657" s="184"/>
      <c r="AF657" s="184"/>
      <c r="AG657" s="184"/>
      <c r="AH657" s="184"/>
      <c r="AI657" s="184"/>
      <c r="AJ657" s="184"/>
      <c r="AK657" s="184"/>
      <c r="AL657" s="186"/>
      <c r="AM657" s="187"/>
      <c r="AN657" s="187"/>
      <c r="AO657" s="187"/>
    </row>
    <row r="658" spans="1:41" s="163" customFormat="1" ht="16.5" customHeight="1">
      <c r="A658" s="180"/>
      <c r="B658" s="181"/>
      <c r="C658" s="182"/>
      <c r="D658" s="182"/>
      <c r="E658" s="183"/>
      <c r="F658" s="183"/>
      <c r="G658" s="183"/>
      <c r="H658" s="184"/>
      <c r="I658" s="184"/>
      <c r="J658" s="184"/>
      <c r="K658" s="184"/>
      <c r="L658" s="184"/>
      <c r="M658" s="184"/>
      <c r="N658" s="184"/>
      <c r="O658" s="184"/>
      <c r="Q658" s="184"/>
      <c r="R658" s="185"/>
      <c r="S658" s="185"/>
      <c r="U658" s="184"/>
      <c r="V658" s="184"/>
      <c r="W658" s="184"/>
      <c r="X658" s="184"/>
      <c r="Y658" s="184"/>
      <c r="Z658" s="184"/>
      <c r="AA658" s="184"/>
      <c r="AB658" s="184"/>
      <c r="AC658" s="184"/>
      <c r="AD658" s="184"/>
      <c r="AE658" s="184"/>
      <c r="AF658" s="184"/>
      <c r="AG658" s="184"/>
      <c r="AH658" s="184"/>
      <c r="AI658" s="184"/>
      <c r="AJ658" s="184"/>
      <c r="AK658" s="184"/>
      <c r="AL658" s="186"/>
      <c r="AM658" s="187"/>
      <c r="AN658" s="187"/>
      <c r="AO658" s="187"/>
    </row>
    <row r="659" spans="1:41" s="163" customFormat="1" ht="16.5" customHeight="1">
      <c r="A659" s="180"/>
      <c r="B659" s="181"/>
      <c r="C659" s="182"/>
      <c r="D659" s="182"/>
      <c r="E659" s="183"/>
      <c r="F659" s="183"/>
      <c r="G659" s="183"/>
      <c r="H659" s="184"/>
      <c r="I659" s="184"/>
      <c r="J659" s="184"/>
      <c r="K659" s="184"/>
      <c r="L659" s="184"/>
      <c r="M659" s="184"/>
      <c r="N659" s="184"/>
      <c r="O659" s="184"/>
      <c r="Q659" s="184"/>
      <c r="R659" s="185"/>
      <c r="S659" s="185"/>
      <c r="U659" s="184"/>
      <c r="V659" s="184"/>
      <c r="W659" s="184"/>
      <c r="X659" s="184"/>
      <c r="Y659" s="184"/>
      <c r="Z659" s="184"/>
      <c r="AA659" s="184"/>
      <c r="AB659" s="184"/>
      <c r="AC659" s="184"/>
      <c r="AD659" s="184"/>
      <c r="AE659" s="184"/>
      <c r="AF659" s="184"/>
      <c r="AG659" s="184"/>
      <c r="AH659" s="184"/>
      <c r="AI659" s="184"/>
      <c r="AJ659" s="184"/>
      <c r="AK659" s="184"/>
      <c r="AL659" s="186"/>
      <c r="AM659" s="187"/>
      <c r="AN659" s="187"/>
      <c r="AO659" s="187"/>
    </row>
    <row r="660" spans="1:41" s="163" customFormat="1" ht="16.5" customHeight="1">
      <c r="A660" s="180"/>
      <c r="B660" s="181"/>
      <c r="C660" s="182"/>
      <c r="D660" s="182"/>
      <c r="E660" s="183"/>
      <c r="F660" s="183"/>
      <c r="G660" s="183"/>
      <c r="H660" s="184"/>
      <c r="I660" s="184"/>
      <c r="J660" s="184"/>
      <c r="K660" s="184"/>
      <c r="L660" s="184"/>
      <c r="M660" s="184"/>
      <c r="N660" s="184"/>
      <c r="O660" s="184"/>
      <c r="Q660" s="184"/>
      <c r="R660" s="185"/>
      <c r="S660" s="185"/>
      <c r="U660" s="184"/>
      <c r="V660" s="184"/>
      <c r="W660" s="184"/>
      <c r="X660" s="184"/>
      <c r="Y660" s="184"/>
      <c r="Z660" s="184"/>
      <c r="AA660" s="184"/>
      <c r="AB660" s="184"/>
      <c r="AC660" s="184"/>
      <c r="AD660" s="184"/>
      <c r="AE660" s="184"/>
      <c r="AF660" s="184"/>
      <c r="AG660" s="184"/>
      <c r="AH660" s="184"/>
      <c r="AI660" s="184"/>
      <c r="AJ660" s="184"/>
      <c r="AK660" s="184"/>
      <c r="AL660" s="186"/>
      <c r="AM660" s="187"/>
      <c r="AN660" s="187"/>
      <c r="AO660" s="187"/>
    </row>
    <row r="661" spans="1:41" s="163" customFormat="1" ht="16.5" customHeight="1">
      <c r="A661" s="180"/>
      <c r="B661" s="181"/>
      <c r="C661" s="182"/>
      <c r="D661" s="182"/>
      <c r="E661" s="183"/>
      <c r="F661" s="183"/>
      <c r="G661" s="183"/>
      <c r="H661" s="184"/>
      <c r="I661" s="184"/>
      <c r="J661" s="184"/>
      <c r="K661" s="184"/>
      <c r="L661" s="184"/>
      <c r="M661" s="184"/>
      <c r="N661" s="184"/>
      <c r="O661" s="184"/>
      <c r="Q661" s="184"/>
      <c r="R661" s="185"/>
      <c r="S661" s="185"/>
      <c r="U661" s="184"/>
      <c r="V661" s="184"/>
      <c r="W661" s="184"/>
      <c r="X661" s="184"/>
      <c r="Y661" s="184"/>
      <c r="Z661" s="184"/>
      <c r="AA661" s="184"/>
      <c r="AB661" s="184"/>
      <c r="AC661" s="184"/>
      <c r="AD661" s="184"/>
      <c r="AE661" s="184"/>
      <c r="AF661" s="184"/>
      <c r="AG661" s="184"/>
      <c r="AH661" s="184"/>
      <c r="AI661" s="184"/>
      <c r="AJ661" s="184"/>
      <c r="AK661" s="184"/>
      <c r="AL661" s="186"/>
      <c r="AM661" s="187"/>
      <c r="AN661" s="187"/>
      <c r="AO661" s="187"/>
    </row>
    <row r="662" spans="1:41" s="163" customFormat="1" ht="16.5" customHeight="1">
      <c r="A662" s="180"/>
      <c r="B662" s="181"/>
      <c r="C662" s="182"/>
      <c r="D662" s="182"/>
      <c r="E662" s="183"/>
      <c r="F662" s="183"/>
      <c r="G662" s="183"/>
      <c r="H662" s="184"/>
      <c r="I662" s="184"/>
      <c r="J662" s="184"/>
      <c r="K662" s="184"/>
      <c r="L662" s="184"/>
      <c r="M662" s="184"/>
      <c r="N662" s="184"/>
      <c r="O662" s="184"/>
      <c r="Q662" s="184"/>
      <c r="R662" s="185"/>
      <c r="S662" s="185"/>
      <c r="U662" s="184"/>
      <c r="V662" s="184"/>
      <c r="W662" s="184"/>
      <c r="X662" s="184"/>
      <c r="Y662" s="184"/>
      <c r="Z662" s="184"/>
      <c r="AA662" s="184"/>
      <c r="AB662" s="184"/>
      <c r="AC662" s="184"/>
      <c r="AD662" s="184"/>
      <c r="AE662" s="184"/>
      <c r="AF662" s="184"/>
      <c r="AG662" s="184"/>
      <c r="AH662" s="184"/>
      <c r="AI662" s="184"/>
      <c r="AJ662" s="184"/>
      <c r="AK662" s="184"/>
      <c r="AL662" s="186"/>
      <c r="AM662" s="187"/>
      <c r="AN662" s="187"/>
      <c r="AO662" s="187"/>
    </row>
    <row r="663" spans="1:41" s="163" customFormat="1" ht="16.5" customHeight="1">
      <c r="A663" s="180"/>
      <c r="B663" s="181"/>
      <c r="C663" s="182"/>
      <c r="D663" s="182"/>
      <c r="E663" s="183"/>
      <c r="F663" s="183"/>
      <c r="G663" s="183"/>
      <c r="H663" s="184"/>
      <c r="I663" s="184"/>
      <c r="J663" s="184"/>
      <c r="K663" s="184"/>
      <c r="L663" s="184"/>
      <c r="M663" s="184"/>
      <c r="N663" s="184"/>
      <c r="O663" s="184"/>
      <c r="Q663" s="184"/>
      <c r="R663" s="185"/>
      <c r="S663" s="185"/>
      <c r="U663" s="184"/>
      <c r="V663" s="184"/>
      <c r="W663" s="184"/>
      <c r="X663" s="184"/>
      <c r="Y663" s="184"/>
      <c r="Z663" s="184"/>
      <c r="AA663" s="184"/>
      <c r="AB663" s="184"/>
      <c r="AC663" s="184"/>
      <c r="AD663" s="184"/>
      <c r="AE663" s="184"/>
      <c r="AF663" s="184"/>
      <c r="AG663" s="184"/>
      <c r="AH663" s="184"/>
      <c r="AI663" s="184"/>
      <c r="AJ663" s="184"/>
      <c r="AK663" s="184"/>
      <c r="AL663" s="186"/>
      <c r="AM663" s="187"/>
      <c r="AN663" s="187"/>
      <c r="AO663" s="187"/>
    </row>
    <row r="664" spans="1:41" s="163" customFormat="1" ht="16.5" customHeight="1">
      <c r="A664" s="180"/>
      <c r="B664" s="181"/>
      <c r="C664" s="182"/>
      <c r="D664" s="182"/>
      <c r="E664" s="183"/>
      <c r="F664" s="183"/>
      <c r="G664" s="183"/>
      <c r="H664" s="184"/>
      <c r="I664" s="184"/>
      <c r="J664" s="184"/>
      <c r="K664" s="184"/>
      <c r="L664" s="184"/>
      <c r="M664" s="184"/>
      <c r="N664" s="184"/>
      <c r="O664" s="184"/>
      <c r="Q664" s="184"/>
      <c r="R664" s="185"/>
      <c r="S664" s="185"/>
      <c r="U664" s="184"/>
      <c r="V664" s="184"/>
      <c r="W664" s="184"/>
      <c r="X664" s="184"/>
      <c r="Y664" s="184"/>
      <c r="Z664" s="184"/>
      <c r="AA664" s="184"/>
      <c r="AB664" s="184"/>
      <c r="AC664" s="184"/>
      <c r="AD664" s="184"/>
      <c r="AE664" s="184"/>
      <c r="AF664" s="184"/>
      <c r="AG664" s="184"/>
      <c r="AH664" s="184"/>
      <c r="AI664" s="184"/>
      <c r="AJ664" s="184"/>
      <c r="AK664" s="184"/>
      <c r="AL664" s="186"/>
      <c r="AM664" s="187"/>
      <c r="AN664" s="187"/>
      <c r="AO664" s="187"/>
    </row>
    <row r="665" spans="1:41" s="163" customFormat="1" ht="16.5" customHeight="1">
      <c r="A665" s="180"/>
      <c r="B665" s="181"/>
      <c r="C665" s="182"/>
      <c r="D665" s="182"/>
      <c r="E665" s="183"/>
      <c r="F665" s="183"/>
      <c r="G665" s="183"/>
      <c r="H665" s="184"/>
      <c r="I665" s="184"/>
      <c r="J665" s="184"/>
      <c r="K665" s="184"/>
      <c r="L665" s="184"/>
      <c r="M665" s="184"/>
      <c r="N665" s="184"/>
      <c r="O665" s="184"/>
      <c r="Q665" s="184"/>
      <c r="R665" s="185"/>
      <c r="S665" s="185"/>
      <c r="U665" s="184"/>
      <c r="V665" s="184"/>
      <c r="W665" s="184"/>
      <c r="X665" s="184"/>
      <c r="Y665" s="184"/>
      <c r="Z665" s="184"/>
      <c r="AA665" s="184"/>
      <c r="AB665" s="184"/>
      <c r="AC665" s="184"/>
      <c r="AD665" s="184"/>
      <c r="AE665" s="184"/>
      <c r="AF665" s="184"/>
      <c r="AG665" s="184"/>
      <c r="AH665" s="184"/>
      <c r="AI665" s="184"/>
      <c r="AJ665" s="184"/>
      <c r="AK665" s="184"/>
      <c r="AL665" s="186"/>
      <c r="AM665" s="187"/>
      <c r="AN665" s="187"/>
      <c r="AO665" s="187"/>
    </row>
    <row r="666" spans="1:41" s="163" customFormat="1" ht="16.5" customHeight="1">
      <c r="A666" s="180"/>
      <c r="B666" s="181"/>
      <c r="C666" s="182"/>
      <c r="D666" s="182"/>
      <c r="E666" s="183"/>
      <c r="F666" s="183"/>
      <c r="G666" s="183"/>
      <c r="H666" s="184"/>
      <c r="I666" s="184"/>
      <c r="J666" s="184"/>
      <c r="K666" s="184"/>
      <c r="L666" s="184"/>
      <c r="M666" s="184"/>
      <c r="N666" s="184"/>
      <c r="O666" s="184"/>
      <c r="Q666" s="184"/>
      <c r="R666" s="185"/>
      <c r="S666" s="185"/>
      <c r="U666" s="184"/>
      <c r="V666" s="184"/>
      <c r="W666" s="184"/>
      <c r="X666" s="184"/>
      <c r="Y666" s="184"/>
      <c r="Z666" s="184"/>
      <c r="AA666" s="184"/>
      <c r="AB666" s="184"/>
      <c r="AC666" s="184"/>
      <c r="AD666" s="184"/>
      <c r="AE666" s="184"/>
      <c r="AF666" s="184"/>
      <c r="AG666" s="184"/>
      <c r="AH666" s="184"/>
      <c r="AI666" s="184"/>
      <c r="AJ666" s="184"/>
      <c r="AK666" s="184"/>
      <c r="AL666" s="186"/>
      <c r="AM666" s="187"/>
      <c r="AN666" s="187"/>
      <c r="AO666" s="187"/>
    </row>
    <row r="667" spans="1:41" s="163" customFormat="1" ht="16.5" customHeight="1">
      <c r="A667" s="180"/>
      <c r="B667" s="181"/>
      <c r="C667" s="182"/>
      <c r="D667" s="182"/>
      <c r="E667" s="183"/>
      <c r="F667" s="183"/>
      <c r="G667" s="183"/>
      <c r="H667" s="184"/>
      <c r="I667" s="184"/>
      <c r="J667" s="184"/>
      <c r="K667" s="184"/>
      <c r="L667" s="184"/>
      <c r="M667" s="184"/>
      <c r="N667" s="184"/>
      <c r="O667" s="184"/>
      <c r="Q667" s="184"/>
      <c r="R667" s="185"/>
      <c r="S667" s="185"/>
      <c r="U667" s="184"/>
      <c r="V667" s="184"/>
      <c r="W667" s="184"/>
      <c r="X667" s="184"/>
      <c r="Y667" s="184"/>
      <c r="Z667" s="184"/>
      <c r="AA667" s="184"/>
      <c r="AB667" s="184"/>
      <c r="AC667" s="184"/>
      <c r="AD667" s="184"/>
      <c r="AE667" s="184"/>
      <c r="AF667" s="184"/>
      <c r="AG667" s="184"/>
      <c r="AH667" s="184"/>
      <c r="AI667" s="184"/>
      <c r="AJ667" s="184"/>
      <c r="AK667" s="184"/>
      <c r="AL667" s="186"/>
      <c r="AM667" s="187"/>
      <c r="AN667" s="187"/>
      <c r="AO667" s="187"/>
    </row>
    <row r="668" spans="1:41" s="163" customFormat="1" ht="16.5" customHeight="1">
      <c r="A668" s="180"/>
      <c r="B668" s="181"/>
      <c r="C668" s="182"/>
      <c r="D668" s="182"/>
      <c r="E668" s="183"/>
      <c r="F668" s="183"/>
      <c r="G668" s="183"/>
      <c r="H668" s="184"/>
      <c r="I668" s="184"/>
      <c r="J668" s="184"/>
      <c r="K668" s="184"/>
      <c r="L668" s="184"/>
      <c r="M668" s="184"/>
      <c r="N668" s="184"/>
      <c r="O668" s="184"/>
      <c r="Q668" s="184"/>
      <c r="R668" s="185"/>
      <c r="S668" s="185"/>
      <c r="U668" s="184"/>
      <c r="V668" s="184"/>
      <c r="W668" s="184"/>
      <c r="X668" s="184"/>
      <c r="Y668" s="184"/>
      <c r="Z668" s="184"/>
      <c r="AA668" s="184"/>
      <c r="AB668" s="184"/>
      <c r="AC668" s="184"/>
      <c r="AD668" s="184"/>
      <c r="AE668" s="184"/>
      <c r="AF668" s="184"/>
      <c r="AG668" s="184"/>
      <c r="AH668" s="184"/>
      <c r="AI668" s="184"/>
      <c r="AJ668" s="184"/>
      <c r="AK668" s="184"/>
      <c r="AL668" s="186"/>
      <c r="AM668" s="187"/>
      <c r="AN668" s="187"/>
      <c r="AO668" s="187"/>
    </row>
    <row r="669" spans="1:41" s="163" customFormat="1" ht="16.5" customHeight="1">
      <c r="A669" s="180"/>
      <c r="B669" s="181"/>
      <c r="C669" s="182"/>
      <c r="D669" s="182"/>
      <c r="E669" s="183"/>
      <c r="F669" s="183"/>
      <c r="G669" s="183"/>
      <c r="H669" s="184"/>
      <c r="I669" s="184"/>
      <c r="J669" s="184"/>
      <c r="K669" s="184"/>
      <c r="L669" s="184"/>
      <c r="M669" s="184"/>
      <c r="N669" s="184"/>
      <c r="O669" s="184"/>
      <c r="Q669" s="184"/>
      <c r="R669" s="185"/>
      <c r="S669" s="185"/>
      <c r="U669" s="184"/>
      <c r="V669" s="184"/>
      <c r="W669" s="184"/>
      <c r="X669" s="184"/>
      <c r="Y669" s="184"/>
      <c r="Z669" s="184"/>
      <c r="AA669" s="184"/>
      <c r="AB669" s="184"/>
      <c r="AC669" s="184"/>
      <c r="AD669" s="184"/>
      <c r="AE669" s="184"/>
      <c r="AF669" s="184"/>
      <c r="AG669" s="184"/>
      <c r="AH669" s="184"/>
      <c r="AI669" s="184"/>
      <c r="AJ669" s="184"/>
      <c r="AK669" s="184"/>
      <c r="AL669" s="186"/>
      <c r="AM669" s="187"/>
      <c r="AN669" s="187"/>
      <c r="AO669" s="187"/>
    </row>
    <row r="670" spans="1:41" s="163" customFormat="1" ht="16.5" customHeight="1">
      <c r="A670" s="180"/>
      <c r="B670" s="181"/>
      <c r="C670" s="182"/>
      <c r="D670" s="182"/>
      <c r="E670" s="183"/>
      <c r="F670" s="183"/>
      <c r="G670" s="183"/>
      <c r="H670" s="184"/>
      <c r="I670" s="184"/>
      <c r="J670" s="184"/>
      <c r="K670" s="184"/>
      <c r="L670" s="184"/>
      <c r="M670" s="184"/>
      <c r="N670" s="184"/>
      <c r="O670" s="184"/>
      <c r="Q670" s="184"/>
      <c r="R670" s="185"/>
      <c r="S670" s="185"/>
      <c r="U670" s="184"/>
      <c r="V670" s="184"/>
      <c r="W670" s="184"/>
      <c r="X670" s="184"/>
      <c r="Y670" s="184"/>
      <c r="Z670" s="184"/>
      <c r="AA670" s="184"/>
      <c r="AB670" s="184"/>
      <c r="AC670" s="184"/>
      <c r="AD670" s="184"/>
      <c r="AE670" s="184"/>
      <c r="AF670" s="184"/>
      <c r="AG670" s="184"/>
      <c r="AH670" s="184"/>
      <c r="AI670" s="184"/>
      <c r="AJ670" s="184"/>
      <c r="AK670" s="184"/>
      <c r="AL670" s="186"/>
      <c r="AM670" s="187"/>
      <c r="AN670" s="187"/>
      <c r="AO670" s="187"/>
    </row>
    <row r="671" spans="1:41" s="163" customFormat="1" ht="16.5" customHeight="1">
      <c r="A671" s="180"/>
      <c r="B671" s="181"/>
      <c r="C671" s="182"/>
      <c r="D671" s="182"/>
      <c r="E671" s="183"/>
      <c r="F671" s="183"/>
      <c r="G671" s="183"/>
      <c r="H671" s="184"/>
      <c r="I671" s="184"/>
      <c r="J671" s="184"/>
      <c r="K671" s="184"/>
      <c r="L671" s="184"/>
      <c r="M671" s="184"/>
      <c r="N671" s="184"/>
      <c r="O671" s="184"/>
      <c r="Q671" s="184"/>
      <c r="R671" s="185"/>
      <c r="S671" s="185"/>
      <c r="U671" s="184"/>
      <c r="V671" s="184"/>
      <c r="W671" s="184"/>
      <c r="X671" s="184"/>
      <c r="Y671" s="184"/>
      <c r="Z671" s="184"/>
      <c r="AA671" s="184"/>
      <c r="AB671" s="184"/>
      <c r="AC671" s="184"/>
      <c r="AD671" s="184"/>
      <c r="AE671" s="184"/>
      <c r="AF671" s="184"/>
      <c r="AG671" s="184"/>
      <c r="AH671" s="184"/>
      <c r="AI671" s="184"/>
      <c r="AJ671" s="184"/>
      <c r="AK671" s="184"/>
      <c r="AL671" s="186"/>
      <c r="AM671" s="187"/>
      <c r="AN671" s="187"/>
      <c r="AO671" s="187"/>
    </row>
    <row r="672" spans="1:41" s="163" customFormat="1" ht="16.5" customHeight="1">
      <c r="A672" s="180"/>
      <c r="B672" s="181"/>
      <c r="C672" s="182"/>
      <c r="D672" s="182"/>
      <c r="E672" s="183"/>
      <c r="F672" s="183"/>
      <c r="G672" s="183"/>
      <c r="H672" s="184"/>
      <c r="I672" s="184"/>
      <c r="J672" s="184"/>
      <c r="K672" s="184"/>
      <c r="L672" s="184"/>
      <c r="M672" s="184"/>
      <c r="N672" s="184"/>
      <c r="O672" s="184"/>
      <c r="Q672" s="184"/>
      <c r="R672" s="185"/>
      <c r="S672" s="185"/>
      <c r="U672" s="184"/>
      <c r="V672" s="184"/>
      <c r="W672" s="184"/>
      <c r="X672" s="184"/>
      <c r="Y672" s="184"/>
      <c r="Z672" s="184"/>
      <c r="AA672" s="184"/>
      <c r="AB672" s="184"/>
      <c r="AC672" s="184"/>
      <c r="AD672" s="184"/>
      <c r="AE672" s="184"/>
      <c r="AF672" s="184"/>
      <c r="AG672" s="184"/>
      <c r="AH672" s="184"/>
      <c r="AI672" s="184"/>
      <c r="AJ672" s="184"/>
      <c r="AK672" s="184"/>
      <c r="AL672" s="186"/>
      <c r="AM672" s="187"/>
      <c r="AN672" s="187"/>
      <c r="AO672" s="187"/>
    </row>
    <row r="673" spans="1:41" s="163" customFormat="1" ht="16.5" customHeight="1">
      <c r="A673" s="180"/>
      <c r="B673" s="181"/>
      <c r="C673" s="182"/>
      <c r="D673" s="182"/>
      <c r="E673" s="183"/>
      <c r="F673" s="183"/>
      <c r="G673" s="183"/>
      <c r="H673" s="184"/>
      <c r="I673" s="184"/>
      <c r="J673" s="184"/>
      <c r="K673" s="184"/>
      <c r="L673" s="184"/>
      <c r="M673" s="184"/>
      <c r="N673" s="184"/>
      <c r="O673" s="184"/>
      <c r="Q673" s="184"/>
      <c r="R673" s="185"/>
      <c r="S673" s="185"/>
      <c r="U673" s="184"/>
      <c r="V673" s="184"/>
      <c r="W673" s="184"/>
      <c r="X673" s="184"/>
      <c r="Y673" s="184"/>
      <c r="Z673" s="184"/>
      <c r="AA673" s="184"/>
      <c r="AB673" s="184"/>
      <c r="AC673" s="184"/>
      <c r="AD673" s="184"/>
      <c r="AE673" s="184"/>
      <c r="AF673" s="184"/>
      <c r="AG673" s="184"/>
      <c r="AH673" s="184"/>
      <c r="AI673" s="184"/>
      <c r="AJ673" s="184"/>
      <c r="AK673" s="184"/>
      <c r="AL673" s="186"/>
      <c r="AM673" s="187"/>
      <c r="AN673" s="187"/>
      <c r="AO673" s="187"/>
    </row>
    <row r="674" spans="1:41" s="163" customFormat="1" ht="16.5" customHeight="1">
      <c r="A674" s="180"/>
      <c r="B674" s="181"/>
      <c r="C674" s="182"/>
      <c r="D674" s="182"/>
      <c r="E674" s="183"/>
      <c r="F674" s="183"/>
      <c r="G674" s="183"/>
      <c r="H674" s="184"/>
      <c r="I674" s="184"/>
      <c r="J674" s="184"/>
      <c r="K674" s="184"/>
      <c r="L674" s="184"/>
      <c r="M674" s="184"/>
      <c r="N674" s="184"/>
      <c r="O674" s="184"/>
      <c r="Q674" s="184"/>
      <c r="R674" s="185"/>
      <c r="S674" s="185"/>
      <c r="U674" s="184"/>
      <c r="V674" s="184"/>
      <c r="W674" s="184"/>
      <c r="X674" s="184"/>
      <c r="Y674" s="184"/>
      <c r="Z674" s="184"/>
      <c r="AA674" s="184"/>
      <c r="AB674" s="184"/>
      <c r="AC674" s="184"/>
      <c r="AD674" s="184"/>
      <c r="AE674" s="184"/>
      <c r="AF674" s="184"/>
      <c r="AG674" s="184"/>
      <c r="AH674" s="184"/>
      <c r="AI674" s="184"/>
      <c r="AJ674" s="184"/>
      <c r="AK674" s="184"/>
      <c r="AL674" s="186"/>
      <c r="AM674" s="187"/>
      <c r="AN674" s="187"/>
      <c r="AO674" s="187"/>
    </row>
    <row r="675" spans="1:41" s="163" customFormat="1" ht="16.5" customHeight="1">
      <c r="A675" s="180"/>
      <c r="B675" s="181"/>
      <c r="C675" s="182"/>
      <c r="D675" s="182"/>
      <c r="E675" s="183"/>
      <c r="F675" s="183"/>
      <c r="G675" s="183"/>
      <c r="H675" s="184"/>
      <c r="I675" s="184"/>
      <c r="J675" s="184"/>
      <c r="K675" s="184"/>
      <c r="L675" s="184"/>
      <c r="M675" s="184"/>
      <c r="N675" s="184"/>
      <c r="O675" s="184"/>
      <c r="Q675" s="184"/>
      <c r="R675" s="185"/>
      <c r="S675" s="185"/>
      <c r="U675" s="184"/>
      <c r="V675" s="184"/>
      <c r="W675" s="184"/>
      <c r="X675" s="184"/>
      <c r="Y675" s="184"/>
      <c r="Z675" s="184"/>
      <c r="AA675" s="184"/>
      <c r="AB675" s="184"/>
      <c r="AC675" s="184"/>
      <c r="AD675" s="184"/>
      <c r="AE675" s="184"/>
      <c r="AF675" s="184"/>
      <c r="AG675" s="184"/>
      <c r="AH675" s="184"/>
      <c r="AI675" s="184"/>
      <c r="AJ675" s="184"/>
      <c r="AK675" s="184"/>
      <c r="AL675" s="186"/>
      <c r="AM675" s="187"/>
      <c r="AN675" s="187"/>
      <c r="AO675" s="187"/>
    </row>
    <row r="676" spans="1:41" s="163" customFormat="1" ht="16.5" customHeight="1">
      <c r="A676" s="180"/>
      <c r="B676" s="181"/>
      <c r="C676" s="182"/>
      <c r="D676" s="182"/>
      <c r="E676" s="183"/>
      <c r="F676" s="183"/>
      <c r="G676" s="183"/>
      <c r="H676" s="184"/>
      <c r="I676" s="184"/>
      <c r="J676" s="184"/>
      <c r="K676" s="184"/>
      <c r="L676" s="184"/>
      <c r="M676" s="184"/>
      <c r="N676" s="184"/>
      <c r="O676" s="184"/>
      <c r="Q676" s="184"/>
      <c r="R676" s="185"/>
      <c r="S676" s="185"/>
      <c r="U676" s="184"/>
      <c r="V676" s="184"/>
      <c r="W676" s="184"/>
      <c r="X676" s="184"/>
      <c r="Y676" s="184"/>
      <c r="Z676" s="184"/>
      <c r="AA676" s="184"/>
      <c r="AB676" s="184"/>
      <c r="AC676" s="184"/>
      <c r="AD676" s="184"/>
      <c r="AE676" s="184"/>
      <c r="AF676" s="184"/>
      <c r="AG676" s="184"/>
      <c r="AH676" s="184"/>
      <c r="AI676" s="184"/>
      <c r="AJ676" s="184"/>
      <c r="AK676" s="184"/>
      <c r="AL676" s="186"/>
      <c r="AM676" s="187"/>
      <c r="AN676" s="187"/>
      <c r="AO676" s="187"/>
    </row>
    <row r="677" spans="1:41" s="163" customFormat="1" ht="16.5" customHeight="1">
      <c r="A677" s="180"/>
      <c r="B677" s="181"/>
      <c r="C677" s="182"/>
      <c r="D677" s="182"/>
      <c r="E677" s="183"/>
      <c r="F677" s="183"/>
      <c r="G677" s="183"/>
      <c r="H677" s="184"/>
      <c r="I677" s="184"/>
      <c r="J677" s="184"/>
      <c r="K677" s="184"/>
      <c r="L677" s="184"/>
      <c r="M677" s="184"/>
      <c r="N677" s="184"/>
      <c r="O677" s="184"/>
      <c r="Q677" s="184"/>
      <c r="R677" s="185"/>
      <c r="S677" s="185"/>
      <c r="U677" s="184"/>
      <c r="V677" s="184"/>
      <c r="W677" s="184"/>
      <c r="X677" s="184"/>
      <c r="Y677" s="184"/>
      <c r="Z677" s="184"/>
      <c r="AA677" s="184"/>
      <c r="AB677" s="184"/>
      <c r="AC677" s="184"/>
      <c r="AD677" s="184"/>
      <c r="AE677" s="184"/>
      <c r="AF677" s="184"/>
      <c r="AG677" s="184"/>
      <c r="AH677" s="184"/>
      <c r="AI677" s="184"/>
      <c r="AJ677" s="184"/>
      <c r="AK677" s="184"/>
      <c r="AL677" s="186"/>
      <c r="AM677" s="187"/>
      <c r="AN677" s="187"/>
      <c r="AO677" s="187"/>
    </row>
    <row r="678" spans="1:41" s="163" customFormat="1" ht="16.5" customHeight="1">
      <c r="A678" s="180"/>
      <c r="B678" s="181"/>
      <c r="C678" s="182"/>
      <c r="D678" s="182"/>
      <c r="E678" s="183"/>
      <c r="F678" s="183"/>
      <c r="G678" s="183"/>
      <c r="H678" s="184"/>
      <c r="I678" s="184"/>
      <c r="J678" s="184"/>
      <c r="K678" s="184"/>
      <c r="L678" s="184"/>
      <c r="M678" s="184"/>
      <c r="N678" s="184"/>
      <c r="O678" s="184"/>
      <c r="Q678" s="184"/>
      <c r="R678" s="185"/>
      <c r="S678" s="185"/>
      <c r="U678" s="184"/>
      <c r="V678" s="184"/>
      <c r="W678" s="184"/>
      <c r="X678" s="184"/>
      <c r="Y678" s="184"/>
      <c r="Z678" s="184"/>
      <c r="AA678" s="184"/>
      <c r="AB678" s="184"/>
      <c r="AC678" s="184"/>
      <c r="AD678" s="184"/>
      <c r="AE678" s="184"/>
      <c r="AF678" s="184"/>
      <c r="AG678" s="184"/>
      <c r="AH678" s="184"/>
      <c r="AI678" s="184"/>
      <c r="AJ678" s="184"/>
      <c r="AK678" s="184"/>
      <c r="AL678" s="186"/>
      <c r="AM678" s="187"/>
      <c r="AN678" s="187"/>
      <c r="AO678" s="187"/>
    </row>
    <row r="679" spans="1:41" s="163" customFormat="1" ht="16.5" customHeight="1">
      <c r="A679" s="180"/>
      <c r="B679" s="181"/>
      <c r="C679" s="182"/>
      <c r="D679" s="182"/>
      <c r="E679" s="183"/>
      <c r="F679" s="183"/>
      <c r="G679" s="183"/>
      <c r="H679" s="184"/>
      <c r="I679" s="184"/>
      <c r="J679" s="184"/>
      <c r="K679" s="184"/>
      <c r="L679" s="184"/>
      <c r="M679" s="184"/>
      <c r="N679" s="184"/>
      <c r="O679" s="184"/>
      <c r="Q679" s="184"/>
      <c r="R679" s="185"/>
      <c r="S679" s="185"/>
      <c r="U679" s="184"/>
      <c r="V679" s="184"/>
      <c r="W679" s="184"/>
      <c r="X679" s="184"/>
      <c r="Y679" s="184"/>
      <c r="Z679" s="184"/>
      <c r="AA679" s="184"/>
      <c r="AB679" s="184"/>
      <c r="AC679" s="184"/>
      <c r="AD679" s="184"/>
      <c r="AE679" s="184"/>
      <c r="AF679" s="184"/>
      <c r="AG679" s="184"/>
      <c r="AH679" s="184"/>
      <c r="AI679" s="184"/>
      <c r="AJ679" s="184"/>
      <c r="AK679" s="184"/>
      <c r="AL679" s="186"/>
      <c r="AM679" s="187"/>
      <c r="AN679" s="187"/>
      <c r="AO679" s="187"/>
    </row>
    <row r="680" spans="1:41" s="163" customFormat="1" ht="16.5" customHeight="1">
      <c r="A680" s="180"/>
      <c r="B680" s="181"/>
      <c r="C680" s="182"/>
      <c r="D680" s="182"/>
      <c r="E680" s="183"/>
      <c r="F680" s="183"/>
      <c r="G680" s="183"/>
      <c r="H680" s="184"/>
      <c r="I680" s="184"/>
      <c r="J680" s="184"/>
      <c r="K680" s="184"/>
      <c r="L680" s="184"/>
      <c r="M680" s="184"/>
      <c r="N680" s="184"/>
      <c r="O680" s="184"/>
      <c r="Q680" s="184"/>
      <c r="R680" s="185"/>
      <c r="S680" s="185"/>
      <c r="U680" s="184"/>
      <c r="V680" s="184"/>
      <c r="W680" s="184"/>
      <c r="X680" s="184"/>
      <c r="Y680" s="184"/>
      <c r="Z680" s="184"/>
      <c r="AA680" s="184"/>
      <c r="AB680" s="184"/>
      <c r="AC680" s="184"/>
      <c r="AD680" s="184"/>
      <c r="AE680" s="184"/>
      <c r="AF680" s="184"/>
      <c r="AG680" s="184"/>
      <c r="AH680" s="184"/>
      <c r="AI680" s="184"/>
      <c r="AJ680" s="184"/>
      <c r="AK680" s="184"/>
      <c r="AL680" s="186"/>
      <c r="AM680" s="187"/>
      <c r="AN680" s="187"/>
      <c r="AO680" s="187"/>
    </row>
    <row r="681" spans="1:41" s="163" customFormat="1" ht="16.5" customHeight="1">
      <c r="A681" s="180"/>
      <c r="B681" s="181"/>
      <c r="C681" s="182"/>
      <c r="D681" s="182"/>
      <c r="E681" s="183"/>
      <c r="F681" s="183"/>
      <c r="G681" s="183"/>
      <c r="H681" s="184"/>
      <c r="I681" s="184"/>
      <c r="J681" s="184"/>
      <c r="K681" s="184"/>
      <c r="L681" s="184"/>
      <c r="M681" s="184"/>
      <c r="N681" s="184"/>
      <c r="O681" s="184"/>
      <c r="Q681" s="184"/>
      <c r="R681" s="185"/>
      <c r="S681" s="185"/>
      <c r="U681" s="184"/>
      <c r="V681" s="184"/>
      <c r="W681" s="184"/>
      <c r="X681" s="184"/>
      <c r="Y681" s="184"/>
      <c r="Z681" s="184"/>
      <c r="AA681" s="184"/>
      <c r="AB681" s="184"/>
      <c r="AC681" s="184"/>
      <c r="AD681" s="184"/>
      <c r="AE681" s="184"/>
      <c r="AF681" s="184"/>
      <c r="AG681" s="184"/>
      <c r="AH681" s="184"/>
      <c r="AI681" s="184"/>
      <c r="AJ681" s="184"/>
      <c r="AK681" s="184"/>
      <c r="AL681" s="186"/>
      <c r="AM681" s="187"/>
      <c r="AN681" s="187"/>
      <c r="AO681" s="187"/>
    </row>
    <row r="682" spans="1:41" s="163" customFormat="1" ht="16.5" customHeight="1">
      <c r="A682" s="180"/>
      <c r="B682" s="181"/>
      <c r="C682" s="182"/>
      <c r="D682" s="182"/>
      <c r="E682" s="183"/>
      <c r="F682" s="183"/>
      <c r="G682" s="183"/>
      <c r="H682" s="184"/>
      <c r="I682" s="184"/>
      <c r="J682" s="184"/>
      <c r="K682" s="184"/>
      <c r="L682" s="184"/>
      <c r="M682" s="184"/>
      <c r="N682" s="184"/>
      <c r="O682" s="184"/>
      <c r="Q682" s="184"/>
      <c r="R682" s="185"/>
      <c r="S682" s="185"/>
      <c r="U682" s="184"/>
      <c r="V682" s="184"/>
      <c r="W682" s="184"/>
      <c r="X682" s="184"/>
      <c r="Y682" s="184"/>
      <c r="Z682" s="184"/>
      <c r="AA682" s="184"/>
      <c r="AB682" s="184"/>
      <c r="AC682" s="184"/>
      <c r="AD682" s="184"/>
      <c r="AE682" s="184"/>
      <c r="AF682" s="184"/>
      <c r="AG682" s="184"/>
      <c r="AH682" s="184"/>
      <c r="AI682" s="184"/>
      <c r="AJ682" s="184"/>
      <c r="AK682" s="184"/>
      <c r="AL682" s="186"/>
      <c r="AM682" s="187"/>
      <c r="AN682" s="187"/>
      <c r="AO682" s="187"/>
    </row>
    <row r="683" spans="1:41" s="163" customFormat="1" ht="16.5" customHeight="1">
      <c r="A683" s="180"/>
      <c r="B683" s="181"/>
      <c r="C683" s="182"/>
      <c r="D683" s="182"/>
      <c r="E683" s="183"/>
      <c r="F683" s="183"/>
      <c r="G683" s="183"/>
      <c r="H683" s="184"/>
      <c r="I683" s="184"/>
      <c r="J683" s="184"/>
      <c r="K683" s="184"/>
      <c r="L683" s="184"/>
      <c r="M683" s="184"/>
      <c r="N683" s="184"/>
      <c r="O683" s="184"/>
      <c r="Q683" s="184"/>
      <c r="R683" s="185"/>
      <c r="S683" s="185"/>
      <c r="U683" s="184"/>
      <c r="V683" s="184"/>
      <c r="W683" s="184"/>
      <c r="X683" s="184"/>
      <c r="Y683" s="184"/>
      <c r="Z683" s="184"/>
      <c r="AA683" s="184"/>
      <c r="AB683" s="184"/>
      <c r="AC683" s="184"/>
      <c r="AD683" s="184"/>
      <c r="AE683" s="184"/>
      <c r="AF683" s="184"/>
      <c r="AG683" s="184"/>
      <c r="AH683" s="184"/>
      <c r="AI683" s="184"/>
      <c r="AJ683" s="184"/>
      <c r="AK683" s="184"/>
      <c r="AL683" s="186"/>
      <c r="AM683" s="187"/>
      <c r="AN683" s="187"/>
      <c r="AO683" s="187"/>
    </row>
    <row r="684" spans="1:41" s="163" customFormat="1" ht="16.5" customHeight="1">
      <c r="A684" s="180"/>
      <c r="B684" s="181"/>
      <c r="C684" s="182"/>
      <c r="D684" s="182"/>
      <c r="E684" s="183"/>
      <c r="F684" s="183"/>
      <c r="G684" s="183"/>
      <c r="H684" s="184"/>
      <c r="I684" s="184"/>
      <c r="J684" s="184"/>
      <c r="K684" s="184"/>
      <c r="L684" s="184"/>
      <c r="M684" s="184"/>
      <c r="N684" s="184"/>
      <c r="O684" s="184"/>
      <c r="Q684" s="184"/>
      <c r="R684" s="185"/>
      <c r="S684" s="185"/>
      <c r="U684" s="184"/>
      <c r="V684" s="184"/>
      <c r="W684" s="184"/>
      <c r="X684" s="184"/>
      <c r="Y684" s="184"/>
      <c r="Z684" s="184"/>
      <c r="AA684" s="184"/>
      <c r="AB684" s="184"/>
      <c r="AC684" s="184"/>
      <c r="AD684" s="184"/>
      <c r="AE684" s="184"/>
      <c r="AF684" s="184"/>
      <c r="AG684" s="184"/>
      <c r="AH684" s="184"/>
      <c r="AI684" s="184"/>
      <c r="AJ684" s="184"/>
      <c r="AK684" s="184"/>
      <c r="AL684" s="186"/>
      <c r="AM684" s="187"/>
      <c r="AN684" s="187"/>
      <c r="AO684" s="187"/>
    </row>
    <row r="685" spans="1:41" s="163" customFormat="1" ht="16.5" customHeight="1">
      <c r="A685" s="180"/>
      <c r="B685" s="181"/>
      <c r="C685" s="182"/>
      <c r="D685" s="182"/>
      <c r="E685" s="183"/>
      <c r="F685" s="183"/>
      <c r="G685" s="183"/>
      <c r="H685" s="184"/>
      <c r="I685" s="184"/>
      <c r="J685" s="184"/>
      <c r="K685" s="184"/>
      <c r="L685" s="184"/>
      <c r="M685" s="184"/>
      <c r="N685" s="184"/>
      <c r="O685" s="184"/>
      <c r="Q685" s="184"/>
      <c r="R685" s="185"/>
      <c r="S685" s="185"/>
      <c r="U685" s="184"/>
      <c r="V685" s="184"/>
      <c r="W685" s="184"/>
      <c r="X685" s="184"/>
      <c r="Y685" s="184"/>
      <c r="Z685" s="184"/>
      <c r="AA685" s="184"/>
      <c r="AB685" s="184"/>
      <c r="AC685" s="184"/>
      <c r="AD685" s="184"/>
      <c r="AE685" s="184"/>
      <c r="AF685" s="184"/>
      <c r="AG685" s="184"/>
      <c r="AH685" s="184"/>
      <c r="AI685" s="184"/>
      <c r="AJ685" s="184"/>
      <c r="AK685" s="184"/>
      <c r="AL685" s="186"/>
      <c r="AM685" s="187"/>
      <c r="AN685" s="187"/>
      <c r="AO685" s="187"/>
    </row>
    <row r="686" spans="1:41" s="163" customFormat="1" ht="16.5" customHeight="1">
      <c r="A686" s="180"/>
      <c r="B686" s="181"/>
      <c r="C686" s="182"/>
      <c r="D686" s="182"/>
      <c r="E686" s="183"/>
      <c r="F686" s="183"/>
      <c r="G686" s="183"/>
      <c r="H686" s="184"/>
      <c r="I686" s="184"/>
      <c r="J686" s="184"/>
      <c r="K686" s="184"/>
      <c r="L686" s="184"/>
      <c r="M686" s="184"/>
      <c r="N686" s="184"/>
      <c r="O686" s="184"/>
      <c r="Q686" s="184"/>
      <c r="R686" s="185"/>
      <c r="S686" s="185"/>
      <c r="U686" s="184"/>
      <c r="V686" s="184"/>
      <c r="W686" s="184"/>
      <c r="X686" s="184"/>
      <c r="Y686" s="184"/>
      <c r="Z686" s="184"/>
      <c r="AA686" s="184"/>
      <c r="AB686" s="184"/>
      <c r="AC686" s="184"/>
      <c r="AD686" s="184"/>
      <c r="AE686" s="184"/>
      <c r="AF686" s="184"/>
      <c r="AG686" s="184"/>
      <c r="AH686" s="184"/>
      <c r="AI686" s="184"/>
      <c r="AJ686" s="184"/>
      <c r="AK686" s="184"/>
      <c r="AL686" s="186"/>
      <c r="AM686" s="187"/>
      <c r="AN686" s="187"/>
      <c r="AO686" s="187"/>
    </row>
    <row r="687" spans="1:41" s="163" customFormat="1" ht="16.5" customHeight="1">
      <c r="A687" s="180"/>
      <c r="B687" s="181"/>
      <c r="C687" s="182"/>
      <c r="D687" s="182"/>
      <c r="E687" s="183"/>
      <c r="F687" s="183"/>
      <c r="G687" s="183"/>
      <c r="H687" s="184"/>
      <c r="I687" s="184"/>
      <c r="J687" s="184"/>
      <c r="K687" s="184"/>
      <c r="L687" s="184"/>
      <c r="M687" s="184"/>
      <c r="N687" s="184"/>
      <c r="O687" s="184"/>
      <c r="Q687" s="184"/>
      <c r="R687" s="185"/>
      <c r="S687" s="185"/>
      <c r="U687" s="184"/>
      <c r="V687" s="184"/>
      <c r="W687" s="184"/>
      <c r="X687" s="184"/>
      <c r="Y687" s="184"/>
      <c r="Z687" s="184"/>
      <c r="AA687" s="184"/>
      <c r="AB687" s="184"/>
      <c r="AC687" s="184"/>
      <c r="AD687" s="184"/>
      <c r="AE687" s="184"/>
      <c r="AF687" s="184"/>
      <c r="AG687" s="184"/>
      <c r="AH687" s="184"/>
      <c r="AI687" s="184"/>
      <c r="AJ687" s="184"/>
      <c r="AK687" s="184"/>
      <c r="AL687" s="186"/>
      <c r="AM687" s="187"/>
      <c r="AN687" s="187"/>
      <c r="AO687" s="187"/>
    </row>
    <row r="688" spans="1:41" s="163" customFormat="1" ht="16.5" customHeight="1">
      <c r="A688" s="180"/>
      <c r="B688" s="181"/>
      <c r="C688" s="182"/>
      <c r="D688" s="182"/>
      <c r="E688" s="183"/>
      <c r="F688" s="183"/>
      <c r="G688" s="183"/>
      <c r="H688" s="184"/>
      <c r="I688" s="184"/>
      <c r="J688" s="184"/>
      <c r="K688" s="184"/>
      <c r="L688" s="184"/>
      <c r="M688" s="184"/>
      <c r="N688" s="184"/>
      <c r="O688" s="184"/>
      <c r="Q688" s="184"/>
      <c r="R688" s="185"/>
      <c r="S688" s="185"/>
      <c r="U688" s="184"/>
      <c r="V688" s="184"/>
      <c r="W688" s="184"/>
      <c r="X688" s="184"/>
      <c r="Y688" s="184"/>
      <c r="Z688" s="184"/>
      <c r="AA688" s="184"/>
      <c r="AB688" s="184"/>
      <c r="AC688" s="184"/>
      <c r="AD688" s="184"/>
      <c r="AE688" s="184"/>
      <c r="AF688" s="184"/>
      <c r="AG688" s="184"/>
      <c r="AH688" s="184"/>
      <c r="AI688" s="184"/>
      <c r="AJ688" s="184"/>
      <c r="AK688" s="184"/>
      <c r="AL688" s="186"/>
      <c r="AM688" s="187"/>
      <c r="AN688" s="187"/>
      <c r="AO688" s="187"/>
    </row>
    <row r="689" spans="1:41" s="163" customFormat="1" ht="16.5" customHeight="1">
      <c r="A689" s="180"/>
      <c r="B689" s="181"/>
      <c r="C689" s="182"/>
      <c r="D689" s="182"/>
      <c r="E689" s="183"/>
      <c r="F689" s="183"/>
      <c r="G689" s="183"/>
      <c r="H689" s="184"/>
      <c r="I689" s="184"/>
      <c r="J689" s="184"/>
      <c r="K689" s="184"/>
      <c r="L689" s="184"/>
      <c r="M689" s="184"/>
      <c r="N689" s="184"/>
      <c r="O689" s="184"/>
      <c r="Q689" s="184"/>
      <c r="R689" s="185"/>
      <c r="S689" s="185"/>
      <c r="U689" s="184"/>
      <c r="V689" s="184"/>
      <c r="W689" s="184"/>
      <c r="X689" s="184"/>
      <c r="Y689" s="184"/>
      <c r="Z689" s="184"/>
      <c r="AA689" s="184"/>
      <c r="AB689" s="184"/>
      <c r="AC689" s="184"/>
      <c r="AD689" s="184"/>
      <c r="AE689" s="184"/>
      <c r="AF689" s="184"/>
      <c r="AG689" s="184"/>
      <c r="AH689" s="184"/>
      <c r="AI689" s="184"/>
      <c r="AJ689" s="184"/>
      <c r="AK689" s="184"/>
      <c r="AL689" s="186"/>
      <c r="AM689" s="187"/>
      <c r="AN689" s="187"/>
      <c r="AO689" s="187"/>
    </row>
    <row r="690" spans="1:41" s="163" customFormat="1" ht="16.5" customHeight="1">
      <c r="A690" s="180"/>
      <c r="B690" s="181"/>
      <c r="C690" s="182"/>
      <c r="D690" s="182"/>
      <c r="E690" s="183"/>
      <c r="F690" s="183"/>
      <c r="G690" s="183"/>
      <c r="H690" s="184"/>
      <c r="I690" s="184"/>
      <c r="J690" s="184"/>
      <c r="K690" s="184"/>
      <c r="L690" s="184"/>
      <c r="M690" s="184"/>
      <c r="N690" s="184"/>
      <c r="O690" s="184"/>
      <c r="Q690" s="184"/>
      <c r="R690" s="185"/>
      <c r="S690" s="185"/>
      <c r="U690" s="184"/>
      <c r="V690" s="184"/>
      <c r="W690" s="184"/>
      <c r="X690" s="184"/>
      <c r="Y690" s="184"/>
      <c r="Z690" s="184"/>
      <c r="AA690" s="184"/>
      <c r="AB690" s="184"/>
      <c r="AC690" s="184"/>
      <c r="AD690" s="184"/>
      <c r="AE690" s="184"/>
      <c r="AF690" s="184"/>
      <c r="AG690" s="184"/>
      <c r="AH690" s="184"/>
      <c r="AI690" s="184"/>
      <c r="AJ690" s="184"/>
      <c r="AK690" s="184"/>
      <c r="AL690" s="186"/>
      <c r="AM690" s="187"/>
      <c r="AN690" s="187"/>
      <c r="AO690" s="187"/>
    </row>
    <row r="691" spans="1:41" s="163" customFormat="1" ht="16.5" customHeight="1">
      <c r="A691" s="180"/>
      <c r="B691" s="181"/>
      <c r="C691" s="182"/>
      <c r="D691" s="182"/>
      <c r="E691" s="183"/>
      <c r="F691" s="183"/>
      <c r="G691" s="183"/>
      <c r="H691" s="184"/>
      <c r="I691" s="184"/>
      <c r="J691" s="184"/>
      <c r="K691" s="184"/>
      <c r="L691" s="184"/>
      <c r="M691" s="184"/>
      <c r="N691" s="184"/>
      <c r="O691" s="184"/>
      <c r="Q691" s="184"/>
      <c r="R691" s="185"/>
      <c r="S691" s="185"/>
      <c r="U691" s="184"/>
      <c r="V691" s="184"/>
      <c r="W691" s="184"/>
      <c r="X691" s="184"/>
      <c r="Y691" s="184"/>
      <c r="Z691" s="184"/>
      <c r="AA691" s="184"/>
      <c r="AB691" s="184"/>
      <c r="AC691" s="184"/>
      <c r="AD691" s="184"/>
      <c r="AE691" s="184"/>
      <c r="AF691" s="184"/>
      <c r="AG691" s="184"/>
      <c r="AH691" s="184"/>
      <c r="AI691" s="184"/>
      <c r="AJ691" s="184"/>
      <c r="AK691" s="184"/>
      <c r="AL691" s="186"/>
      <c r="AM691" s="187"/>
      <c r="AN691" s="187"/>
      <c r="AO691" s="187"/>
    </row>
    <row r="692" spans="1:41" s="163" customFormat="1" ht="16.5" customHeight="1">
      <c r="A692" s="180"/>
      <c r="B692" s="181"/>
      <c r="C692" s="182"/>
      <c r="D692" s="182"/>
      <c r="E692" s="183"/>
      <c r="F692" s="183"/>
      <c r="G692" s="183"/>
      <c r="H692" s="184"/>
      <c r="I692" s="184"/>
      <c r="J692" s="184"/>
      <c r="K692" s="184"/>
      <c r="L692" s="184"/>
      <c r="M692" s="184"/>
      <c r="N692" s="184"/>
      <c r="O692" s="184"/>
      <c r="Q692" s="184"/>
      <c r="R692" s="185"/>
      <c r="S692" s="185"/>
      <c r="U692" s="184"/>
      <c r="V692" s="184"/>
      <c r="W692" s="184"/>
      <c r="X692" s="184"/>
      <c r="Y692" s="184"/>
      <c r="Z692" s="184"/>
      <c r="AA692" s="184"/>
      <c r="AB692" s="184"/>
      <c r="AC692" s="184"/>
      <c r="AD692" s="184"/>
      <c r="AE692" s="184"/>
      <c r="AF692" s="184"/>
      <c r="AG692" s="184"/>
      <c r="AH692" s="184"/>
      <c r="AI692" s="184"/>
      <c r="AJ692" s="184"/>
      <c r="AK692" s="184"/>
      <c r="AL692" s="186"/>
      <c r="AM692" s="187"/>
      <c r="AN692" s="187"/>
      <c r="AO692" s="187"/>
    </row>
    <row r="693" spans="1:41" s="163" customFormat="1" ht="16.5" customHeight="1">
      <c r="A693" s="180"/>
      <c r="B693" s="181"/>
      <c r="C693" s="182"/>
      <c r="D693" s="182"/>
      <c r="E693" s="183"/>
      <c r="F693" s="183"/>
      <c r="G693" s="183"/>
      <c r="H693" s="184"/>
      <c r="I693" s="184"/>
      <c r="J693" s="184"/>
      <c r="K693" s="184"/>
      <c r="L693" s="184"/>
      <c r="M693" s="184"/>
      <c r="N693" s="184"/>
      <c r="O693" s="184"/>
      <c r="Q693" s="184"/>
      <c r="R693" s="185"/>
      <c r="S693" s="185"/>
      <c r="U693" s="184"/>
      <c r="V693" s="184"/>
      <c r="W693" s="184"/>
      <c r="X693" s="184"/>
      <c r="Y693" s="184"/>
      <c r="Z693" s="184"/>
      <c r="AA693" s="184"/>
      <c r="AB693" s="184"/>
      <c r="AC693" s="184"/>
      <c r="AD693" s="184"/>
      <c r="AE693" s="184"/>
      <c r="AF693" s="184"/>
      <c r="AG693" s="184"/>
      <c r="AH693" s="184"/>
      <c r="AI693" s="184"/>
      <c r="AJ693" s="184"/>
      <c r="AK693" s="184"/>
      <c r="AL693" s="186"/>
      <c r="AM693" s="187"/>
      <c r="AN693" s="187"/>
      <c r="AO693" s="187"/>
    </row>
    <row r="694" spans="1:41" s="163" customFormat="1" ht="16.5" customHeight="1">
      <c r="A694" s="180"/>
      <c r="B694" s="181"/>
      <c r="C694" s="182"/>
      <c r="D694" s="182"/>
      <c r="E694" s="183"/>
      <c r="F694" s="183"/>
      <c r="G694" s="183"/>
      <c r="H694" s="184"/>
      <c r="I694" s="184"/>
      <c r="J694" s="184"/>
      <c r="K694" s="184"/>
      <c r="L694" s="184"/>
      <c r="M694" s="184"/>
      <c r="N694" s="184"/>
      <c r="O694" s="184"/>
      <c r="Q694" s="184"/>
      <c r="R694" s="185"/>
      <c r="S694" s="185"/>
      <c r="U694" s="184"/>
      <c r="V694" s="184"/>
      <c r="W694" s="184"/>
      <c r="X694" s="184"/>
      <c r="Y694" s="184"/>
      <c r="Z694" s="184"/>
      <c r="AA694" s="184"/>
      <c r="AB694" s="184"/>
      <c r="AC694" s="184"/>
      <c r="AD694" s="184"/>
      <c r="AE694" s="184"/>
      <c r="AF694" s="184"/>
      <c r="AG694" s="184"/>
      <c r="AH694" s="184"/>
      <c r="AI694" s="184"/>
      <c r="AJ694" s="184"/>
      <c r="AK694" s="184"/>
      <c r="AL694" s="186"/>
      <c r="AM694" s="187"/>
      <c r="AN694" s="187"/>
      <c r="AO694" s="187"/>
    </row>
    <row r="695" spans="1:41" s="163" customFormat="1" ht="16.5" customHeight="1">
      <c r="A695" s="180"/>
      <c r="B695" s="181"/>
      <c r="C695" s="182"/>
      <c r="D695" s="182"/>
      <c r="E695" s="183"/>
      <c r="F695" s="183"/>
      <c r="G695" s="183"/>
      <c r="H695" s="184"/>
      <c r="I695" s="184"/>
      <c r="J695" s="184"/>
      <c r="K695" s="184"/>
      <c r="L695" s="184"/>
      <c r="M695" s="184"/>
      <c r="N695" s="184"/>
      <c r="O695" s="184"/>
      <c r="Q695" s="184"/>
      <c r="R695" s="185"/>
      <c r="S695" s="185"/>
      <c r="U695" s="184"/>
      <c r="V695" s="184"/>
      <c r="W695" s="184"/>
      <c r="X695" s="184"/>
      <c r="Y695" s="184"/>
      <c r="Z695" s="184"/>
      <c r="AA695" s="184"/>
      <c r="AB695" s="184"/>
      <c r="AC695" s="184"/>
      <c r="AD695" s="184"/>
      <c r="AE695" s="184"/>
      <c r="AF695" s="184"/>
      <c r="AG695" s="184"/>
      <c r="AH695" s="184"/>
      <c r="AI695" s="184"/>
      <c r="AJ695" s="184"/>
      <c r="AK695" s="184"/>
      <c r="AL695" s="186"/>
      <c r="AM695" s="187"/>
      <c r="AN695" s="187"/>
      <c r="AO695" s="187"/>
    </row>
    <row r="696" spans="1:41" s="163" customFormat="1" ht="16.5" customHeight="1">
      <c r="A696" s="180"/>
      <c r="B696" s="181"/>
      <c r="C696" s="182"/>
      <c r="D696" s="182"/>
      <c r="E696" s="183"/>
      <c r="F696" s="183"/>
      <c r="G696" s="183"/>
      <c r="H696" s="184"/>
      <c r="I696" s="184"/>
      <c r="J696" s="184"/>
      <c r="K696" s="184"/>
      <c r="L696" s="184"/>
      <c r="M696" s="184"/>
      <c r="N696" s="184"/>
      <c r="O696" s="184"/>
      <c r="Q696" s="184"/>
      <c r="R696" s="185"/>
      <c r="S696" s="185"/>
      <c r="U696" s="184"/>
      <c r="V696" s="184"/>
      <c r="W696" s="184"/>
      <c r="X696" s="184"/>
      <c r="Y696" s="184"/>
      <c r="Z696" s="184"/>
      <c r="AA696" s="184"/>
      <c r="AB696" s="184"/>
      <c r="AC696" s="184"/>
      <c r="AD696" s="184"/>
      <c r="AE696" s="184"/>
      <c r="AF696" s="184"/>
      <c r="AG696" s="184"/>
      <c r="AH696" s="184"/>
      <c r="AI696" s="184"/>
      <c r="AJ696" s="184"/>
      <c r="AK696" s="184"/>
      <c r="AL696" s="186"/>
      <c r="AM696" s="187"/>
      <c r="AN696" s="187"/>
      <c r="AO696" s="187"/>
    </row>
    <row r="697" spans="1:41" s="163" customFormat="1" ht="16.5" customHeight="1">
      <c r="A697" s="180"/>
      <c r="B697" s="181"/>
      <c r="C697" s="182"/>
      <c r="D697" s="182"/>
      <c r="E697" s="183"/>
      <c r="F697" s="183"/>
      <c r="G697" s="183"/>
      <c r="H697" s="184"/>
      <c r="I697" s="184"/>
      <c r="J697" s="184"/>
      <c r="K697" s="184"/>
      <c r="L697" s="184"/>
      <c r="M697" s="184"/>
      <c r="N697" s="184"/>
      <c r="O697" s="184"/>
      <c r="Q697" s="184"/>
      <c r="R697" s="185"/>
      <c r="S697" s="185"/>
      <c r="U697" s="184"/>
      <c r="V697" s="184"/>
      <c r="W697" s="184"/>
      <c r="X697" s="184"/>
      <c r="Y697" s="184"/>
      <c r="Z697" s="184"/>
      <c r="AA697" s="184"/>
      <c r="AB697" s="184"/>
      <c r="AC697" s="184"/>
      <c r="AD697" s="184"/>
      <c r="AE697" s="184"/>
      <c r="AF697" s="184"/>
      <c r="AG697" s="184"/>
      <c r="AH697" s="184"/>
      <c r="AI697" s="184"/>
      <c r="AJ697" s="184"/>
      <c r="AK697" s="184"/>
      <c r="AL697" s="186"/>
      <c r="AM697" s="187"/>
      <c r="AN697" s="187"/>
      <c r="AO697" s="187"/>
    </row>
    <row r="698" spans="1:41" s="163" customFormat="1" ht="16.5" customHeight="1">
      <c r="A698" s="180"/>
      <c r="B698" s="181"/>
      <c r="C698" s="182"/>
      <c r="D698" s="182"/>
      <c r="E698" s="183"/>
      <c r="F698" s="183"/>
      <c r="G698" s="183"/>
      <c r="H698" s="184"/>
      <c r="I698" s="184"/>
      <c r="J698" s="184"/>
      <c r="K698" s="184"/>
      <c r="L698" s="184"/>
      <c r="M698" s="184"/>
      <c r="N698" s="184"/>
      <c r="O698" s="184"/>
      <c r="Q698" s="184"/>
      <c r="R698" s="185"/>
      <c r="S698" s="185"/>
      <c r="U698" s="184"/>
      <c r="V698" s="184"/>
      <c r="W698" s="184"/>
      <c r="X698" s="184"/>
      <c r="Y698" s="184"/>
      <c r="Z698" s="184"/>
      <c r="AA698" s="184"/>
      <c r="AB698" s="184"/>
      <c r="AC698" s="184"/>
      <c r="AD698" s="184"/>
      <c r="AE698" s="184"/>
      <c r="AF698" s="184"/>
      <c r="AG698" s="184"/>
      <c r="AH698" s="184"/>
      <c r="AI698" s="184"/>
      <c r="AJ698" s="184"/>
      <c r="AK698" s="184"/>
      <c r="AL698" s="186"/>
      <c r="AM698" s="187"/>
      <c r="AN698" s="187"/>
      <c r="AO698" s="187"/>
    </row>
    <row r="699" spans="1:41" s="163" customFormat="1" ht="16.5" customHeight="1">
      <c r="A699" s="180"/>
      <c r="B699" s="181"/>
      <c r="C699" s="182"/>
      <c r="D699" s="182"/>
      <c r="E699" s="183"/>
      <c r="F699" s="183"/>
      <c r="G699" s="183"/>
      <c r="H699" s="184"/>
      <c r="I699" s="184"/>
      <c r="J699" s="184"/>
      <c r="K699" s="184"/>
      <c r="L699" s="184"/>
      <c r="M699" s="184"/>
      <c r="N699" s="184"/>
      <c r="O699" s="184"/>
      <c r="Q699" s="184"/>
      <c r="R699" s="185"/>
      <c r="S699" s="185"/>
      <c r="U699" s="184"/>
      <c r="V699" s="184"/>
      <c r="W699" s="184"/>
      <c r="X699" s="184"/>
      <c r="Y699" s="184"/>
      <c r="Z699" s="184"/>
      <c r="AA699" s="184"/>
      <c r="AB699" s="184"/>
      <c r="AC699" s="184"/>
      <c r="AD699" s="184"/>
      <c r="AE699" s="184"/>
      <c r="AF699" s="184"/>
      <c r="AG699" s="184"/>
      <c r="AH699" s="184"/>
      <c r="AI699" s="184"/>
      <c r="AJ699" s="184"/>
      <c r="AK699" s="184"/>
      <c r="AL699" s="186"/>
      <c r="AM699" s="187"/>
      <c r="AN699" s="187"/>
      <c r="AO699" s="187"/>
    </row>
    <row r="700" spans="1:41" s="163" customFormat="1" ht="16.5" customHeight="1">
      <c r="A700" s="180"/>
      <c r="B700" s="181"/>
      <c r="C700" s="182"/>
      <c r="D700" s="182"/>
      <c r="E700" s="183"/>
      <c r="F700" s="183"/>
      <c r="G700" s="183"/>
      <c r="H700" s="184"/>
      <c r="I700" s="184"/>
      <c r="J700" s="184"/>
      <c r="K700" s="184"/>
      <c r="L700" s="184"/>
      <c r="M700" s="184"/>
      <c r="N700" s="184"/>
      <c r="O700" s="184"/>
      <c r="Q700" s="184"/>
      <c r="R700" s="185"/>
      <c r="S700" s="185"/>
      <c r="U700" s="184"/>
      <c r="V700" s="184"/>
      <c r="W700" s="184"/>
      <c r="X700" s="184"/>
      <c r="Y700" s="184"/>
      <c r="Z700" s="184"/>
      <c r="AA700" s="184"/>
      <c r="AB700" s="184"/>
      <c r="AC700" s="184"/>
      <c r="AD700" s="184"/>
      <c r="AE700" s="184"/>
      <c r="AF700" s="184"/>
      <c r="AG700" s="184"/>
      <c r="AH700" s="184"/>
      <c r="AI700" s="184"/>
      <c r="AJ700" s="184"/>
      <c r="AK700" s="184"/>
      <c r="AL700" s="186"/>
      <c r="AM700" s="187"/>
      <c r="AN700" s="187"/>
      <c r="AO700" s="187"/>
    </row>
    <row r="701" spans="1:41" s="163" customFormat="1" ht="16.5" customHeight="1">
      <c r="A701" s="180"/>
      <c r="B701" s="181"/>
      <c r="C701" s="182"/>
      <c r="D701" s="182"/>
      <c r="E701" s="183"/>
      <c r="F701" s="183"/>
      <c r="G701" s="183"/>
      <c r="H701" s="184"/>
      <c r="I701" s="184"/>
      <c r="J701" s="184"/>
      <c r="K701" s="184"/>
      <c r="L701" s="184"/>
      <c r="M701" s="184"/>
      <c r="N701" s="184"/>
      <c r="O701" s="184"/>
      <c r="Q701" s="184"/>
      <c r="R701" s="185"/>
      <c r="S701" s="185"/>
      <c r="U701" s="184"/>
      <c r="V701" s="184"/>
      <c r="W701" s="184"/>
      <c r="X701" s="184"/>
      <c r="Y701" s="184"/>
      <c r="Z701" s="184"/>
      <c r="AA701" s="184"/>
      <c r="AB701" s="184"/>
      <c r="AC701" s="184"/>
      <c r="AD701" s="184"/>
      <c r="AE701" s="184"/>
      <c r="AF701" s="184"/>
      <c r="AG701" s="184"/>
      <c r="AH701" s="184"/>
      <c r="AI701" s="184"/>
      <c r="AJ701" s="184"/>
      <c r="AK701" s="184"/>
      <c r="AL701" s="186"/>
      <c r="AM701" s="187"/>
      <c r="AN701" s="187"/>
      <c r="AO701" s="187"/>
    </row>
    <row r="702" spans="1:41" s="163" customFormat="1" ht="16.5" customHeight="1">
      <c r="A702" s="180"/>
      <c r="B702" s="181"/>
      <c r="C702" s="182"/>
      <c r="D702" s="182"/>
      <c r="E702" s="183"/>
      <c r="F702" s="183"/>
      <c r="G702" s="183"/>
      <c r="H702" s="184"/>
      <c r="I702" s="184"/>
      <c r="J702" s="184"/>
      <c r="K702" s="184"/>
      <c r="L702" s="184"/>
      <c r="M702" s="184"/>
      <c r="N702" s="184"/>
      <c r="O702" s="184"/>
      <c r="Q702" s="184"/>
      <c r="R702" s="185"/>
      <c r="S702" s="185"/>
      <c r="U702" s="184"/>
      <c r="V702" s="184"/>
      <c r="W702" s="184"/>
      <c r="X702" s="184"/>
      <c r="Y702" s="184"/>
      <c r="Z702" s="184"/>
      <c r="AA702" s="184"/>
      <c r="AB702" s="184"/>
      <c r="AC702" s="184"/>
      <c r="AD702" s="184"/>
      <c r="AE702" s="184"/>
      <c r="AF702" s="184"/>
      <c r="AG702" s="184"/>
      <c r="AH702" s="184"/>
      <c r="AI702" s="184"/>
      <c r="AJ702" s="184"/>
      <c r="AK702" s="184"/>
      <c r="AL702" s="186"/>
      <c r="AM702" s="187"/>
      <c r="AN702" s="187"/>
      <c r="AO702" s="187"/>
    </row>
    <row r="703" spans="1:41" s="163" customFormat="1" ht="16.5" customHeight="1">
      <c r="A703" s="180"/>
      <c r="B703" s="181"/>
      <c r="C703" s="182"/>
      <c r="D703" s="182"/>
      <c r="E703" s="183"/>
      <c r="F703" s="183"/>
      <c r="G703" s="183"/>
      <c r="H703" s="184"/>
      <c r="I703" s="184"/>
      <c r="J703" s="184"/>
      <c r="K703" s="184"/>
      <c r="L703" s="184"/>
      <c r="M703" s="184"/>
      <c r="N703" s="184"/>
      <c r="O703" s="184"/>
      <c r="Q703" s="184"/>
      <c r="R703" s="185"/>
      <c r="S703" s="185"/>
      <c r="U703" s="184"/>
      <c r="V703" s="184"/>
      <c r="W703" s="184"/>
      <c r="X703" s="184"/>
      <c r="Y703" s="184"/>
      <c r="Z703" s="184"/>
      <c r="AA703" s="184"/>
      <c r="AB703" s="184"/>
      <c r="AC703" s="184"/>
      <c r="AD703" s="184"/>
      <c r="AE703" s="184"/>
      <c r="AF703" s="184"/>
      <c r="AG703" s="184"/>
      <c r="AH703" s="184"/>
      <c r="AI703" s="184"/>
      <c r="AJ703" s="184"/>
      <c r="AK703" s="184"/>
      <c r="AL703" s="186"/>
      <c r="AM703" s="187"/>
      <c r="AN703" s="187"/>
      <c r="AO703" s="187"/>
    </row>
    <row r="704" spans="1:41" s="163" customFormat="1" ht="16.5" customHeight="1">
      <c r="A704" s="180"/>
      <c r="B704" s="181"/>
      <c r="C704" s="182"/>
      <c r="D704" s="182"/>
      <c r="E704" s="183"/>
      <c r="F704" s="183"/>
      <c r="G704" s="183"/>
      <c r="H704" s="184"/>
      <c r="I704" s="184"/>
      <c r="J704" s="184"/>
      <c r="K704" s="184"/>
      <c r="L704" s="184"/>
      <c r="M704" s="184"/>
      <c r="N704" s="184"/>
      <c r="O704" s="184"/>
      <c r="Q704" s="184"/>
      <c r="R704" s="185"/>
      <c r="S704" s="185"/>
      <c r="U704" s="184"/>
      <c r="V704" s="184"/>
      <c r="W704" s="184"/>
      <c r="X704" s="184"/>
      <c r="Y704" s="184"/>
      <c r="Z704" s="184"/>
      <c r="AA704" s="184"/>
      <c r="AB704" s="184"/>
      <c r="AC704" s="184"/>
      <c r="AD704" s="184"/>
      <c r="AE704" s="184"/>
      <c r="AF704" s="184"/>
      <c r="AG704" s="184"/>
      <c r="AH704" s="184"/>
      <c r="AI704" s="184"/>
      <c r="AJ704" s="184"/>
      <c r="AK704" s="184"/>
      <c r="AL704" s="186"/>
      <c r="AM704" s="187"/>
      <c r="AN704" s="187"/>
      <c r="AO704" s="187"/>
    </row>
    <row r="705" spans="1:41" s="163" customFormat="1" ht="16.5" customHeight="1">
      <c r="A705" s="180"/>
      <c r="B705" s="181"/>
      <c r="C705" s="182"/>
      <c r="D705" s="182"/>
      <c r="E705" s="183"/>
      <c r="F705" s="183"/>
      <c r="G705" s="183"/>
      <c r="H705" s="184"/>
      <c r="I705" s="184"/>
      <c r="J705" s="184"/>
      <c r="K705" s="184"/>
      <c r="L705" s="184"/>
      <c r="M705" s="184"/>
      <c r="N705" s="184"/>
      <c r="O705" s="184"/>
      <c r="Q705" s="184"/>
      <c r="R705" s="185"/>
      <c r="S705" s="185"/>
      <c r="U705" s="184"/>
      <c r="V705" s="184"/>
      <c r="W705" s="184"/>
      <c r="X705" s="184"/>
      <c r="Y705" s="184"/>
      <c r="Z705" s="184"/>
      <c r="AA705" s="184"/>
      <c r="AB705" s="184"/>
      <c r="AC705" s="184"/>
      <c r="AD705" s="184"/>
      <c r="AE705" s="184"/>
      <c r="AF705" s="184"/>
      <c r="AG705" s="184"/>
      <c r="AH705" s="184"/>
      <c r="AI705" s="184"/>
      <c r="AJ705" s="184"/>
      <c r="AK705" s="184"/>
      <c r="AL705" s="186"/>
      <c r="AM705" s="187"/>
      <c r="AN705" s="187"/>
      <c r="AO705" s="187"/>
    </row>
    <row r="706" spans="1:41" s="163" customFormat="1" ht="16.5" customHeight="1">
      <c r="A706" s="180"/>
      <c r="B706" s="181"/>
      <c r="C706" s="182"/>
      <c r="D706" s="182"/>
      <c r="E706" s="183"/>
      <c r="F706" s="183"/>
      <c r="G706" s="183"/>
      <c r="H706" s="184"/>
      <c r="I706" s="184"/>
      <c r="J706" s="184"/>
      <c r="K706" s="184"/>
      <c r="L706" s="184"/>
      <c r="M706" s="184"/>
      <c r="N706" s="184"/>
      <c r="O706" s="184"/>
      <c r="Q706" s="184"/>
      <c r="R706" s="185"/>
      <c r="S706" s="185"/>
      <c r="U706" s="184"/>
      <c r="V706" s="184"/>
      <c r="W706" s="184"/>
      <c r="X706" s="184"/>
      <c r="Y706" s="184"/>
      <c r="Z706" s="184"/>
      <c r="AA706" s="184"/>
      <c r="AB706" s="184"/>
      <c r="AC706" s="184"/>
      <c r="AD706" s="184"/>
      <c r="AE706" s="184"/>
      <c r="AF706" s="184"/>
      <c r="AG706" s="184"/>
      <c r="AH706" s="184"/>
      <c r="AI706" s="184"/>
      <c r="AJ706" s="184"/>
      <c r="AK706" s="184"/>
      <c r="AL706" s="186"/>
      <c r="AM706" s="187"/>
      <c r="AN706" s="187"/>
      <c r="AO706" s="187"/>
    </row>
    <row r="707" spans="1:41" s="163" customFormat="1" ht="16.5" customHeight="1">
      <c r="A707" s="180"/>
      <c r="B707" s="181"/>
      <c r="C707" s="182"/>
      <c r="D707" s="182"/>
      <c r="E707" s="183"/>
      <c r="F707" s="183"/>
      <c r="G707" s="183"/>
      <c r="H707" s="184"/>
      <c r="I707" s="184"/>
      <c r="J707" s="184"/>
      <c r="K707" s="184"/>
      <c r="L707" s="184"/>
      <c r="M707" s="184"/>
      <c r="N707" s="184"/>
      <c r="O707" s="184"/>
      <c r="Q707" s="184"/>
      <c r="R707" s="185"/>
      <c r="S707" s="185"/>
      <c r="U707" s="184"/>
      <c r="V707" s="184"/>
      <c r="W707" s="184"/>
      <c r="X707" s="184"/>
      <c r="Y707" s="184"/>
      <c r="Z707" s="184"/>
      <c r="AA707" s="184"/>
      <c r="AB707" s="184"/>
      <c r="AC707" s="184"/>
      <c r="AD707" s="184"/>
      <c r="AE707" s="184"/>
      <c r="AF707" s="184"/>
      <c r="AG707" s="184"/>
      <c r="AH707" s="184"/>
      <c r="AI707" s="184"/>
      <c r="AJ707" s="184"/>
      <c r="AK707" s="184"/>
      <c r="AL707" s="186"/>
      <c r="AM707" s="187"/>
      <c r="AN707" s="187"/>
      <c r="AO707" s="187"/>
    </row>
    <row r="708" spans="1:41" s="163" customFormat="1" ht="16.5" customHeight="1">
      <c r="A708" s="180"/>
      <c r="B708" s="181"/>
      <c r="C708" s="182"/>
      <c r="D708" s="182"/>
      <c r="E708" s="183"/>
      <c r="F708" s="183"/>
      <c r="G708" s="183"/>
      <c r="H708" s="184"/>
      <c r="I708" s="184"/>
      <c r="J708" s="184"/>
      <c r="K708" s="184"/>
      <c r="L708" s="184"/>
      <c r="M708" s="184"/>
      <c r="N708" s="184"/>
      <c r="O708" s="184"/>
      <c r="Q708" s="184"/>
      <c r="R708" s="185"/>
      <c r="S708" s="185"/>
      <c r="U708" s="184"/>
      <c r="V708" s="184"/>
      <c r="W708" s="184"/>
      <c r="X708" s="184"/>
      <c r="Y708" s="184"/>
      <c r="Z708" s="184"/>
      <c r="AA708" s="184"/>
      <c r="AB708" s="184"/>
      <c r="AC708" s="184"/>
      <c r="AD708" s="184"/>
      <c r="AE708" s="184"/>
      <c r="AF708" s="184"/>
      <c r="AG708" s="184"/>
      <c r="AH708" s="184"/>
      <c r="AI708" s="184"/>
      <c r="AJ708" s="184"/>
      <c r="AK708" s="184"/>
      <c r="AL708" s="186"/>
      <c r="AM708" s="187"/>
      <c r="AN708" s="187"/>
      <c r="AO708" s="187"/>
    </row>
    <row r="709" spans="1:41" s="163" customFormat="1" ht="16.5" customHeight="1">
      <c r="A709" s="180"/>
      <c r="B709" s="181"/>
      <c r="C709" s="182"/>
      <c r="D709" s="182"/>
      <c r="E709" s="183"/>
      <c r="F709" s="183"/>
      <c r="G709" s="183"/>
      <c r="H709" s="184"/>
      <c r="I709" s="184"/>
      <c r="J709" s="184"/>
      <c r="K709" s="184"/>
      <c r="L709" s="184"/>
      <c r="M709" s="184"/>
      <c r="N709" s="184"/>
      <c r="O709" s="184"/>
      <c r="Q709" s="184"/>
      <c r="R709" s="185"/>
      <c r="S709" s="185"/>
      <c r="U709" s="184"/>
      <c r="V709" s="184"/>
      <c r="W709" s="184"/>
      <c r="X709" s="184"/>
      <c r="Y709" s="184"/>
      <c r="Z709" s="184"/>
      <c r="AA709" s="184"/>
      <c r="AB709" s="184"/>
      <c r="AC709" s="184"/>
      <c r="AD709" s="184"/>
      <c r="AE709" s="184"/>
      <c r="AF709" s="184"/>
      <c r="AG709" s="184"/>
      <c r="AH709" s="184"/>
      <c r="AI709" s="184"/>
      <c r="AJ709" s="184"/>
      <c r="AK709" s="184"/>
      <c r="AL709" s="186"/>
      <c r="AM709" s="187"/>
      <c r="AN709" s="187"/>
      <c r="AO709" s="187"/>
    </row>
    <row r="710" spans="1:41" s="163" customFormat="1" ht="16.5" customHeight="1">
      <c r="A710" s="180"/>
      <c r="B710" s="181"/>
      <c r="C710" s="182"/>
      <c r="D710" s="182"/>
      <c r="E710" s="183"/>
      <c r="F710" s="183"/>
      <c r="G710" s="183"/>
      <c r="H710" s="184"/>
      <c r="I710" s="184"/>
      <c r="J710" s="184"/>
      <c r="K710" s="184"/>
      <c r="L710" s="184"/>
      <c r="M710" s="184"/>
      <c r="N710" s="184"/>
      <c r="O710" s="184"/>
      <c r="Q710" s="184"/>
      <c r="R710" s="185"/>
      <c r="S710" s="185"/>
      <c r="U710" s="184"/>
      <c r="V710" s="184"/>
      <c r="W710" s="184"/>
      <c r="X710" s="184"/>
      <c r="Y710" s="184"/>
      <c r="Z710" s="184"/>
      <c r="AA710" s="184"/>
      <c r="AB710" s="184"/>
      <c r="AC710" s="184"/>
      <c r="AD710" s="184"/>
      <c r="AE710" s="184"/>
      <c r="AF710" s="184"/>
      <c r="AG710" s="184"/>
      <c r="AH710" s="184"/>
      <c r="AI710" s="184"/>
      <c r="AJ710" s="184"/>
      <c r="AK710" s="184"/>
      <c r="AL710" s="186"/>
      <c r="AM710" s="187"/>
      <c r="AN710" s="187"/>
      <c r="AO710" s="187"/>
    </row>
    <row r="711" spans="1:41" s="163" customFormat="1" ht="16.5" customHeight="1">
      <c r="A711" s="180"/>
      <c r="B711" s="181"/>
      <c r="C711" s="182"/>
      <c r="D711" s="182"/>
      <c r="E711" s="183"/>
      <c r="F711" s="183"/>
      <c r="G711" s="183"/>
      <c r="H711" s="184"/>
      <c r="I711" s="184"/>
      <c r="J711" s="184"/>
      <c r="K711" s="184"/>
      <c r="L711" s="184"/>
      <c r="M711" s="184"/>
      <c r="N711" s="184"/>
      <c r="O711" s="184"/>
      <c r="Q711" s="184"/>
      <c r="R711" s="185"/>
      <c r="S711" s="185"/>
      <c r="U711" s="184"/>
      <c r="V711" s="184"/>
      <c r="W711" s="184"/>
      <c r="X711" s="184"/>
      <c r="Y711" s="184"/>
      <c r="Z711" s="184"/>
      <c r="AA711" s="184"/>
      <c r="AB711" s="184"/>
      <c r="AC711" s="184"/>
      <c r="AD711" s="184"/>
      <c r="AE711" s="184"/>
      <c r="AF711" s="184"/>
      <c r="AG711" s="184"/>
      <c r="AH711" s="184"/>
      <c r="AI711" s="184"/>
      <c r="AJ711" s="184"/>
      <c r="AK711" s="184"/>
      <c r="AL711" s="186"/>
      <c r="AM711" s="187"/>
      <c r="AN711" s="187"/>
      <c r="AO711" s="187"/>
    </row>
    <row r="712" spans="1:41" s="163" customFormat="1" ht="16.5" customHeight="1">
      <c r="A712" s="180"/>
      <c r="B712" s="181"/>
      <c r="C712" s="182"/>
      <c r="D712" s="182"/>
      <c r="E712" s="183"/>
      <c r="F712" s="183"/>
      <c r="G712" s="183"/>
      <c r="H712" s="184"/>
      <c r="I712" s="184"/>
      <c r="J712" s="184"/>
      <c r="K712" s="184"/>
      <c r="L712" s="184"/>
      <c r="M712" s="184"/>
      <c r="N712" s="184"/>
      <c r="O712" s="184"/>
      <c r="Q712" s="184"/>
      <c r="R712" s="185"/>
      <c r="S712" s="185"/>
      <c r="U712" s="184"/>
      <c r="V712" s="184"/>
      <c r="W712" s="184"/>
      <c r="X712" s="184"/>
      <c r="Y712" s="184"/>
      <c r="Z712" s="184"/>
      <c r="AA712" s="184"/>
      <c r="AB712" s="184"/>
      <c r="AC712" s="184"/>
      <c r="AD712" s="184"/>
      <c r="AE712" s="184"/>
      <c r="AF712" s="184"/>
      <c r="AG712" s="184"/>
      <c r="AH712" s="184"/>
      <c r="AI712" s="184"/>
      <c r="AJ712" s="184"/>
      <c r="AK712" s="184"/>
      <c r="AL712" s="186"/>
      <c r="AM712" s="187"/>
      <c r="AN712" s="187"/>
      <c r="AO712" s="187"/>
    </row>
    <row r="713" spans="1:41" s="163" customFormat="1" ht="16.5" customHeight="1">
      <c r="A713" s="180"/>
      <c r="B713" s="181"/>
      <c r="C713" s="182"/>
      <c r="D713" s="182"/>
      <c r="E713" s="183"/>
      <c r="F713" s="183"/>
      <c r="G713" s="183"/>
      <c r="H713" s="184"/>
      <c r="I713" s="184"/>
      <c r="J713" s="184"/>
      <c r="K713" s="184"/>
      <c r="L713" s="184"/>
      <c r="M713" s="184"/>
      <c r="N713" s="184"/>
      <c r="O713" s="184"/>
      <c r="Q713" s="184"/>
      <c r="R713" s="185"/>
      <c r="S713" s="185"/>
      <c r="U713" s="184"/>
      <c r="V713" s="184"/>
      <c r="W713" s="184"/>
      <c r="X713" s="184"/>
      <c r="Y713" s="184"/>
      <c r="Z713" s="184"/>
      <c r="AA713" s="184"/>
      <c r="AB713" s="184"/>
      <c r="AC713" s="184"/>
      <c r="AD713" s="184"/>
      <c r="AE713" s="184"/>
      <c r="AF713" s="184"/>
      <c r="AG713" s="184"/>
      <c r="AH713" s="184"/>
      <c r="AI713" s="184"/>
      <c r="AJ713" s="184"/>
      <c r="AK713" s="184"/>
      <c r="AL713" s="186"/>
      <c r="AM713" s="187"/>
      <c r="AN713" s="187"/>
      <c r="AO713" s="187"/>
    </row>
    <row r="714" spans="1:41" s="163" customFormat="1" ht="16.5" customHeight="1">
      <c r="A714" s="180"/>
      <c r="B714" s="181"/>
      <c r="C714" s="182"/>
      <c r="D714" s="182"/>
      <c r="E714" s="183"/>
      <c r="F714" s="183"/>
      <c r="G714" s="183"/>
      <c r="H714" s="184"/>
      <c r="I714" s="184"/>
      <c r="J714" s="184"/>
      <c r="K714" s="184"/>
      <c r="L714" s="184"/>
      <c r="M714" s="184"/>
      <c r="N714" s="184"/>
      <c r="O714" s="184"/>
      <c r="Q714" s="184"/>
      <c r="R714" s="185"/>
      <c r="S714" s="185"/>
      <c r="U714" s="184"/>
      <c r="V714" s="184"/>
      <c r="W714" s="184"/>
      <c r="X714" s="184"/>
      <c r="Y714" s="184"/>
      <c r="Z714" s="184"/>
      <c r="AA714" s="184"/>
      <c r="AB714" s="184"/>
      <c r="AC714" s="184"/>
      <c r="AD714" s="184"/>
      <c r="AE714" s="184"/>
      <c r="AF714" s="184"/>
      <c r="AG714" s="184"/>
      <c r="AH714" s="184"/>
      <c r="AI714" s="184"/>
      <c r="AJ714" s="184"/>
      <c r="AK714" s="184"/>
      <c r="AL714" s="186"/>
      <c r="AM714" s="187"/>
      <c r="AN714" s="187"/>
      <c r="AO714" s="187"/>
    </row>
    <row r="715" spans="1:41" s="163" customFormat="1" ht="16.5" customHeight="1">
      <c r="A715" s="180"/>
      <c r="B715" s="181"/>
      <c r="C715" s="182"/>
      <c r="D715" s="182"/>
      <c r="E715" s="183"/>
      <c r="F715" s="183"/>
      <c r="G715" s="183"/>
      <c r="H715" s="184"/>
      <c r="I715" s="184"/>
      <c r="J715" s="184"/>
      <c r="K715" s="184"/>
      <c r="L715" s="184"/>
      <c r="M715" s="184"/>
      <c r="N715" s="184"/>
      <c r="O715" s="184"/>
      <c r="Q715" s="184"/>
      <c r="R715" s="185"/>
      <c r="S715" s="185"/>
      <c r="U715" s="184"/>
      <c r="V715" s="184"/>
      <c r="W715" s="184"/>
      <c r="X715" s="184"/>
      <c r="Y715" s="184"/>
      <c r="Z715" s="184"/>
      <c r="AA715" s="184"/>
      <c r="AB715" s="184"/>
      <c r="AC715" s="184"/>
      <c r="AD715" s="184"/>
      <c r="AE715" s="184"/>
      <c r="AF715" s="184"/>
      <c r="AG715" s="184"/>
      <c r="AH715" s="184"/>
      <c r="AI715" s="184"/>
      <c r="AJ715" s="184"/>
      <c r="AK715" s="184"/>
      <c r="AL715" s="186"/>
      <c r="AM715" s="187"/>
      <c r="AN715" s="187"/>
      <c r="AO715" s="187"/>
    </row>
    <row r="716" spans="1:41" s="163" customFormat="1" ht="16.5" customHeight="1">
      <c r="A716" s="180"/>
      <c r="B716" s="181"/>
      <c r="C716" s="182"/>
      <c r="D716" s="182"/>
      <c r="E716" s="183"/>
      <c r="F716" s="183"/>
      <c r="G716" s="183"/>
      <c r="H716" s="184"/>
      <c r="I716" s="184"/>
      <c r="J716" s="184"/>
      <c r="K716" s="184"/>
      <c r="L716" s="184"/>
      <c r="M716" s="184"/>
      <c r="N716" s="184"/>
      <c r="O716" s="184"/>
      <c r="Q716" s="184"/>
      <c r="R716" s="185"/>
      <c r="S716" s="185"/>
      <c r="U716" s="184"/>
      <c r="V716" s="184"/>
      <c r="W716" s="184"/>
      <c r="X716" s="184"/>
      <c r="Y716" s="184"/>
      <c r="Z716" s="184"/>
      <c r="AA716" s="184"/>
      <c r="AB716" s="184"/>
      <c r="AC716" s="184"/>
      <c r="AD716" s="184"/>
      <c r="AE716" s="184"/>
      <c r="AF716" s="184"/>
      <c r="AG716" s="184"/>
      <c r="AH716" s="184"/>
      <c r="AI716" s="184"/>
      <c r="AJ716" s="184"/>
      <c r="AK716" s="184"/>
      <c r="AL716" s="186"/>
      <c r="AM716" s="187"/>
      <c r="AN716" s="187"/>
      <c r="AO716" s="187"/>
    </row>
    <row r="717" spans="1:41" s="163" customFormat="1" ht="16.5" customHeight="1">
      <c r="A717" s="180"/>
      <c r="B717" s="181"/>
      <c r="C717" s="182"/>
      <c r="D717" s="182"/>
      <c r="E717" s="183"/>
      <c r="F717" s="183"/>
      <c r="G717" s="183"/>
      <c r="H717" s="184"/>
      <c r="I717" s="184"/>
      <c r="J717" s="184"/>
      <c r="K717" s="184"/>
      <c r="L717" s="184"/>
      <c r="M717" s="184"/>
      <c r="N717" s="184"/>
      <c r="O717" s="184"/>
      <c r="Q717" s="184"/>
      <c r="R717" s="185"/>
      <c r="S717" s="185"/>
      <c r="U717" s="184"/>
      <c r="V717" s="184"/>
      <c r="W717" s="184"/>
      <c r="X717" s="184"/>
      <c r="Y717" s="184"/>
      <c r="Z717" s="184"/>
      <c r="AA717" s="184"/>
      <c r="AB717" s="184"/>
      <c r="AC717" s="184"/>
      <c r="AD717" s="184"/>
      <c r="AE717" s="184"/>
      <c r="AF717" s="184"/>
      <c r="AG717" s="184"/>
      <c r="AH717" s="184"/>
      <c r="AI717" s="184"/>
      <c r="AJ717" s="184"/>
      <c r="AK717" s="184"/>
      <c r="AL717" s="186"/>
      <c r="AM717" s="187"/>
      <c r="AN717" s="187"/>
      <c r="AO717" s="187"/>
    </row>
    <row r="718" spans="1:41" s="163" customFormat="1" ht="16.5" customHeight="1">
      <c r="A718" s="180"/>
      <c r="B718" s="181"/>
      <c r="C718" s="182"/>
      <c r="D718" s="182"/>
      <c r="E718" s="183"/>
      <c r="F718" s="183"/>
      <c r="G718" s="183"/>
      <c r="H718" s="184"/>
      <c r="I718" s="184"/>
      <c r="J718" s="184"/>
      <c r="K718" s="184"/>
      <c r="L718" s="184"/>
      <c r="M718" s="184"/>
      <c r="N718" s="184"/>
      <c r="O718" s="184"/>
      <c r="Q718" s="184"/>
      <c r="R718" s="185"/>
      <c r="S718" s="185"/>
      <c r="U718" s="184"/>
      <c r="V718" s="184"/>
      <c r="W718" s="184"/>
      <c r="X718" s="184"/>
      <c r="Y718" s="184"/>
      <c r="Z718" s="184"/>
      <c r="AA718" s="184"/>
      <c r="AB718" s="184"/>
      <c r="AC718" s="184"/>
      <c r="AD718" s="184"/>
      <c r="AE718" s="184"/>
      <c r="AF718" s="184"/>
      <c r="AG718" s="184"/>
      <c r="AH718" s="184"/>
      <c r="AI718" s="184"/>
      <c r="AJ718" s="184"/>
      <c r="AK718" s="184"/>
      <c r="AL718" s="186"/>
      <c r="AM718" s="187"/>
      <c r="AN718" s="187"/>
      <c r="AO718" s="187"/>
    </row>
    <row r="719" spans="1:41" s="163" customFormat="1" ht="16.5" customHeight="1">
      <c r="A719" s="180"/>
      <c r="B719" s="181"/>
      <c r="C719" s="182"/>
      <c r="D719" s="182"/>
      <c r="E719" s="183"/>
      <c r="F719" s="183"/>
      <c r="G719" s="183"/>
      <c r="H719" s="184"/>
      <c r="I719" s="184"/>
      <c r="J719" s="184"/>
      <c r="K719" s="184"/>
      <c r="L719" s="184"/>
      <c r="M719" s="184"/>
      <c r="N719" s="184"/>
      <c r="O719" s="184"/>
      <c r="Q719" s="184"/>
      <c r="R719" s="185"/>
      <c r="S719" s="185"/>
      <c r="U719" s="184"/>
      <c r="V719" s="184"/>
      <c r="W719" s="184"/>
      <c r="X719" s="184"/>
      <c r="Y719" s="184"/>
      <c r="Z719" s="184"/>
      <c r="AA719" s="184"/>
      <c r="AB719" s="184"/>
      <c r="AC719" s="184"/>
      <c r="AD719" s="184"/>
      <c r="AE719" s="184"/>
      <c r="AF719" s="184"/>
      <c r="AG719" s="184"/>
      <c r="AH719" s="184"/>
      <c r="AI719" s="184"/>
      <c r="AJ719" s="184"/>
      <c r="AK719" s="184"/>
      <c r="AL719" s="186"/>
      <c r="AM719" s="187"/>
      <c r="AN719" s="187"/>
      <c r="AO719" s="187"/>
    </row>
    <row r="720" spans="1:41" s="163" customFormat="1" ht="16.5" customHeight="1">
      <c r="A720" s="180"/>
      <c r="B720" s="181"/>
      <c r="C720" s="182"/>
      <c r="D720" s="182"/>
      <c r="E720" s="183"/>
      <c r="F720" s="183"/>
      <c r="G720" s="183"/>
      <c r="H720" s="184"/>
      <c r="I720" s="184"/>
      <c r="J720" s="184"/>
      <c r="K720" s="184"/>
      <c r="L720" s="184"/>
      <c r="M720" s="184"/>
      <c r="N720" s="184"/>
      <c r="O720" s="184"/>
      <c r="Q720" s="184"/>
      <c r="R720" s="185"/>
      <c r="S720" s="185"/>
      <c r="U720" s="184"/>
      <c r="V720" s="184"/>
      <c r="W720" s="184"/>
      <c r="X720" s="184"/>
      <c r="Y720" s="184"/>
      <c r="Z720" s="184"/>
      <c r="AA720" s="184"/>
      <c r="AB720" s="184"/>
      <c r="AC720" s="184"/>
      <c r="AD720" s="184"/>
      <c r="AE720" s="184"/>
      <c r="AF720" s="184"/>
      <c r="AG720" s="184"/>
      <c r="AH720" s="184"/>
      <c r="AI720" s="184"/>
      <c r="AJ720" s="184"/>
      <c r="AK720" s="184"/>
      <c r="AL720" s="186"/>
      <c r="AM720" s="187"/>
      <c r="AN720" s="187"/>
      <c r="AO720" s="187"/>
    </row>
    <row r="721" spans="1:41" s="163" customFormat="1" ht="16.5" customHeight="1">
      <c r="A721" s="180"/>
      <c r="B721" s="181"/>
      <c r="C721" s="182"/>
      <c r="D721" s="182"/>
      <c r="E721" s="183"/>
      <c r="F721" s="183"/>
      <c r="G721" s="183"/>
      <c r="H721" s="184"/>
      <c r="I721" s="184"/>
      <c r="J721" s="184"/>
      <c r="K721" s="184"/>
      <c r="L721" s="184"/>
      <c r="M721" s="184"/>
      <c r="N721" s="184"/>
      <c r="O721" s="184"/>
      <c r="Q721" s="184"/>
      <c r="R721" s="185"/>
      <c r="S721" s="185"/>
      <c r="U721" s="184"/>
      <c r="V721" s="184"/>
      <c r="W721" s="184"/>
      <c r="X721" s="184"/>
      <c r="Y721" s="184"/>
      <c r="Z721" s="184"/>
      <c r="AA721" s="184"/>
      <c r="AB721" s="184"/>
      <c r="AC721" s="184"/>
      <c r="AD721" s="184"/>
      <c r="AE721" s="184"/>
      <c r="AF721" s="184"/>
      <c r="AG721" s="184"/>
      <c r="AH721" s="184"/>
      <c r="AI721" s="184"/>
      <c r="AJ721" s="184"/>
      <c r="AK721" s="184"/>
      <c r="AL721" s="186"/>
      <c r="AM721" s="187"/>
      <c r="AN721" s="187"/>
      <c r="AO721" s="187"/>
    </row>
    <row r="722" spans="1:41" s="163" customFormat="1" ht="16.5" customHeight="1">
      <c r="A722" s="180"/>
      <c r="B722" s="181"/>
      <c r="C722" s="182"/>
      <c r="D722" s="182"/>
      <c r="E722" s="183"/>
      <c r="F722" s="183"/>
      <c r="G722" s="183"/>
      <c r="H722" s="184"/>
      <c r="I722" s="184"/>
      <c r="J722" s="184"/>
      <c r="K722" s="184"/>
      <c r="L722" s="184"/>
      <c r="M722" s="184"/>
      <c r="N722" s="184"/>
      <c r="O722" s="184"/>
      <c r="Q722" s="184"/>
      <c r="R722" s="185"/>
      <c r="S722" s="185"/>
      <c r="U722" s="184"/>
      <c r="V722" s="184"/>
      <c r="W722" s="184"/>
      <c r="X722" s="184"/>
      <c r="Y722" s="184"/>
      <c r="Z722" s="184"/>
      <c r="AA722" s="184"/>
      <c r="AB722" s="184"/>
      <c r="AC722" s="184"/>
      <c r="AD722" s="184"/>
      <c r="AE722" s="184"/>
      <c r="AF722" s="184"/>
      <c r="AG722" s="184"/>
      <c r="AH722" s="184"/>
      <c r="AI722" s="184"/>
      <c r="AJ722" s="184"/>
      <c r="AK722" s="184"/>
      <c r="AL722" s="186"/>
      <c r="AM722" s="187"/>
      <c r="AN722" s="187"/>
      <c r="AO722" s="187"/>
    </row>
    <row r="723" spans="1:41" s="163" customFormat="1" ht="16.5" customHeight="1">
      <c r="A723" s="180"/>
      <c r="B723" s="181"/>
      <c r="C723" s="182"/>
      <c r="D723" s="182"/>
      <c r="E723" s="183"/>
      <c r="F723" s="183"/>
      <c r="G723" s="183"/>
      <c r="H723" s="184"/>
      <c r="I723" s="184"/>
      <c r="J723" s="184"/>
      <c r="K723" s="184"/>
      <c r="L723" s="184"/>
      <c r="M723" s="184"/>
      <c r="N723" s="184"/>
      <c r="O723" s="184"/>
      <c r="Q723" s="184"/>
      <c r="R723" s="185"/>
      <c r="S723" s="185"/>
      <c r="U723" s="184"/>
      <c r="V723" s="184"/>
      <c r="W723" s="184"/>
      <c r="X723" s="184"/>
      <c r="Y723" s="184"/>
      <c r="Z723" s="184"/>
      <c r="AA723" s="184"/>
      <c r="AB723" s="184"/>
      <c r="AC723" s="184"/>
      <c r="AD723" s="184"/>
      <c r="AE723" s="184"/>
      <c r="AF723" s="184"/>
      <c r="AG723" s="184"/>
      <c r="AH723" s="184"/>
      <c r="AI723" s="184"/>
      <c r="AJ723" s="184"/>
      <c r="AK723" s="184"/>
      <c r="AL723" s="186"/>
      <c r="AM723" s="187"/>
      <c r="AN723" s="187"/>
      <c r="AO723" s="187"/>
    </row>
    <row r="724" spans="1:41" s="163" customFormat="1" ht="16.5" customHeight="1">
      <c r="A724" s="180"/>
      <c r="B724" s="181"/>
      <c r="C724" s="182"/>
      <c r="D724" s="182"/>
      <c r="E724" s="183"/>
      <c r="F724" s="183"/>
      <c r="G724" s="183"/>
      <c r="H724" s="184"/>
      <c r="I724" s="184"/>
      <c r="J724" s="184"/>
      <c r="K724" s="184"/>
      <c r="L724" s="184"/>
      <c r="M724" s="184"/>
      <c r="N724" s="184"/>
      <c r="O724" s="184"/>
      <c r="Q724" s="184"/>
      <c r="R724" s="185"/>
      <c r="S724" s="185"/>
      <c r="U724" s="184"/>
      <c r="V724" s="184"/>
      <c r="W724" s="184"/>
      <c r="X724" s="184"/>
      <c r="Y724" s="184"/>
      <c r="Z724" s="184"/>
      <c r="AA724" s="184"/>
      <c r="AB724" s="184"/>
      <c r="AC724" s="184"/>
      <c r="AD724" s="184"/>
      <c r="AE724" s="184"/>
      <c r="AF724" s="184"/>
      <c r="AG724" s="184"/>
      <c r="AH724" s="184"/>
      <c r="AI724" s="184"/>
      <c r="AJ724" s="184"/>
      <c r="AK724" s="184"/>
      <c r="AL724" s="186"/>
      <c r="AM724" s="187"/>
      <c r="AN724" s="187"/>
      <c r="AO724" s="187"/>
    </row>
    <row r="725" spans="1:41" s="163" customFormat="1" ht="16.5" customHeight="1">
      <c r="A725" s="180"/>
      <c r="B725" s="181"/>
      <c r="C725" s="182"/>
      <c r="D725" s="182"/>
      <c r="E725" s="183"/>
      <c r="F725" s="183"/>
      <c r="G725" s="183"/>
      <c r="H725" s="184"/>
      <c r="I725" s="184"/>
      <c r="J725" s="184"/>
      <c r="K725" s="184"/>
      <c r="L725" s="184"/>
      <c r="M725" s="184"/>
      <c r="N725" s="184"/>
      <c r="O725" s="184"/>
      <c r="Q725" s="184"/>
      <c r="R725" s="185"/>
      <c r="S725" s="185"/>
      <c r="U725" s="184"/>
      <c r="V725" s="184"/>
      <c r="W725" s="184"/>
      <c r="X725" s="184"/>
      <c r="Y725" s="184"/>
      <c r="Z725" s="184"/>
      <c r="AA725" s="184"/>
      <c r="AB725" s="184"/>
      <c r="AC725" s="184"/>
      <c r="AD725" s="184"/>
      <c r="AE725" s="184"/>
      <c r="AF725" s="184"/>
      <c r="AG725" s="184"/>
      <c r="AH725" s="184"/>
      <c r="AI725" s="184"/>
      <c r="AJ725" s="184"/>
      <c r="AK725" s="184"/>
      <c r="AL725" s="186"/>
      <c r="AM725" s="187"/>
      <c r="AN725" s="187"/>
      <c r="AO725" s="187"/>
    </row>
    <row r="726" spans="1:41" s="163" customFormat="1" ht="16.5" customHeight="1">
      <c r="A726" s="180"/>
      <c r="B726" s="181"/>
      <c r="C726" s="182"/>
      <c r="D726" s="182"/>
      <c r="E726" s="183"/>
      <c r="F726" s="183"/>
      <c r="G726" s="183"/>
      <c r="H726" s="184"/>
      <c r="I726" s="184"/>
      <c r="J726" s="184"/>
      <c r="K726" s="184"/>
      <c r="L726" s="184"/>
      <c r="M726" s="184"/>
      <c r="N726" s="184"/>
      <c r="O726" s="184"/>
      <c r="Q726" s="184"/>
      <c r="R726" s="185"/>
      <c r="S726" s="185"/>
      <c r="U726" s="184"/>
      <c r="V726" s="184"/>
      <c r="W726" s="184"/>
      <c r="X726" s="184"/>
      <c r="Y726" s="184"/>
      <c r="Z726" s="184"/>
      <c r="AA726" s="184"/>
      <c r="AB726" s="184"/>
      <c r="AC726" s="184"/>
      <c r="AD726" s="184"/>
      <c r="AE726" s="184"/>
      <c r="AF726" s="184"/>
      <c r="AG726" s="184"/>
      <c r="AH726" s="184"/>
      <c r="AI726" s="184"/>
      <c r="AJ726" s="184"/>
      <c r="AK726" s="184"/>
      <c r="AL726" s="186"/>
      <c r="AM726" s="187"/>
      <c r="AN726" s="187"/>
      <c r="AO726" s="187"/>
    </row>
    <row r="727" spans="1:41" s="163" customFormat="1" ht="16.5" customHeight="1">
      <c r="A727" s="180"/>
      <c r="B727" s="181"/>
      <c r="C727" s="182"/>
      <c r="D727" s="182"/>
      <c r="E727" s="183"/>
      <c r="F727" s="183"/>
      <c r="G727" s="183"/>
      <c r="H727" s="184"/>
      <c r="I727" s="184"/>
      <c r="J727" s="184"/>
      <c r="K727" s="184"/>
      <c r="L727" s="184"/>
      <c r="M727" s="184"/>
      <c r="N727" s="184"/>
      <c r="O727" s="184"/>
      <c r="Q727" s="184"/>
      <c r="R727" s="185"/>
      <c r="S727" s="185"/>
      <c r="U727" s="184"/>
      <c r="V727" s="184"/>
      <c r="W727" s="184"/>
      <c r="X727" s="184"/>
      <c r="Y727" s="184"/>
      <c r="Z727" s="184"/>
      <c r="AA727" s="184"/>
      <c r="AB727" s="184"/>
      <c r="AC727" s="184"/>
      <c r="AD727" s="184"/>
      <c r="AE727" s="184"/>
      <c r="AF727" s="184"/>
      <c r="AG727" s="184"/>
      <c r="AH727" s="184"/>
      <c r="AI727" s="184"/>
      <c r="AJ727" s="184"/>
      <c r="AK727" s="184"/>
      <c r="AL727" s="186"/>
      <c r="AM727" s="187"/>
      <c r="AN727" s="187"/>
      <c r="AO727" s="187"/>
    </row>
    <row r="728" spans="1:41" s="163" customFormat="1" ht="16.5" customHeight="1">
      <c r="A728" s="180"/>
      <c r="B728" s="181"/>
      <c r="C728" s="182"/>
      <c r="D728" s="182"/>
      <c r="E728" s="183"/>
      <c r="F728" s="183"/>
      <c r="G728" s="183"/>
      <c r="H728" s="184"/>
      <c r="I728" s="184"/>
      <c r="J728" s="184"/>
      <c r="K728" s="184"/>
      <c r="L728" s="184"/>
      <c r="M728" s="184"/>
      <c r="N728" s="184"/>
      <c r="O728" s="184"/>
      <c r="Q728" s="184"/>
      <c r="R728" s="185"/>
      <c r="S728" s="185"/>
      <c r="U728" s="184"/>
      <c r="V728" s="184"/>
      <c r="W728" s="184"/>
      <c r="X728" s="184"/>
      <c r="Y728" s="184"/>
      <c r="Z728" s="184"/>
      <c r="AA728" s="184"/>
      <c r="AB728" s="184"/>
      <c r="AC728" s="184"/>
      <c r="AD728" s="184"/>
      <c r="AE728" s="184"/>
      <c r="AF728" s="184"/>
      <c r="AG728" s="184"/>
      <c r="AH728" s="184"/>
      <c r="AI728" s="184"/>
      <c r="AJ728" s="184"/>
      <c r="AK728" s="184"/>
      <c r="AL728" s="186"/>
      <c r="AM728" s="187"/>
      <c r="AN728" s="187"/>
      <c r="AO728" s="187"/>
    </row>
    <row r="729" spans="1:41" s="163" customFormat="1" ht="16.5" customHeight="1">
      <c r="A729" s="180"/>
      <c r="B729" s="181"/>
      <c r="C729" s="182"/>
      <c r="D729" s="182"/>
      <c r="E729" s="183"/>
      <c r="F729" s="183"/>
      <c r="G729" s="183"/>
      <c r="H729" s="184"/>
      <c r="I729" s="184"/>
      <c r="J729" s="184"/>
      <c r="K729" s="184"/>
      <c r="L729" s="184"/>
      <c r="M729" s="184"/>
      <c r="N729" s="184"/>
      <c r="O729" s="184"/>
      <c r="Q729" s="184"/>
      <c r="R729" s="185"/>
      <c r="S729" s="185"/>
      <c r="U729" s="184"/>
      <c r="V729" s="184"/>
      <c r="W729" s="184"/>
      <c r="X729" s="184"/>
      <c r="Y729" s="184"/>
      <c r="Z729" s="184"/>
      <c r="AA729" s="184"/>
      <c r="AB729" s="184"/>
      <c r="AC729" s="184"/>
      <c r="AD729" s="184"/>
      <c r="AE729" s="184"/>
      <c r="AF729" s="184"/>
      <c r="AG729" s="184"/>
      <c r="AH729" s="184"/>
      <c r="AI729" s="184"/>
      <c r="AJ729" s="184"/>
      <c r="AK729" s="184"/>
      <c r="AL729" s="186"/>
      <c r="AM729" s="187"/>
      <c r="AN729" s="187"/>
      <c r="AO729" s="187"/>
    </row>
    <row r="730" spans="1:41" s="163" customFormat="1" ht="16.5" customHeight="1">
      <c r="A730" s="180"/>
      <c r="B730" s="181"/>
      <c r="C730" s="182"/>
      <c r="D730" s="182"/>
      <c r="E730" s="183"/>
      <c r="F730" s="183"/>
      <c r="G730" s="183"/>
      <c r="H730" s="184"/>
      <c r="I730" s="184"/>
      <c r="J730" s="184"/>
      <c r="K730" s="184"/>
      <c r="L730" s="184"/>
      <c r="M730" s="184"/>
      <c r="N730" s="184"/>
      <c r="O730" s="184"/>
      <c r="Q730" s="184"/>
      <c r="R730" s="185"/>
      <c r="S730" s="185"/>
      <c r="U730" s="184"/>
      <c r="V730" s="184"/>
      <c r="W730" s="184"/>
      <c r="X730" s="184"/>
      <c r="Y730" s="184"/>
      <c r="Z730" s="184"/>
      <c r="AA730" s="184"/>
      <c r="AB730" s="184"/>
      <c r="AC730" s="184"/>
      <c r="AD730" s="184"/>
      <c r="AE730" s="184"/>
      <c r="AF730" s="184"/>
      <c r="AG730" s="184"/>
      <c r="AH730" s="184"/>
      <c r="AI730" s="184"/>
      <c r="AJ730" s="184"/>
      <c r="AK730" s="184"/>
      <c r="AL730" s="186"/>
      <c r="AM730" s="187"/>
      <c r="AN730" s="187"/>
      <c r="AO730" s="187"/>
    </row>
    <row r="731" spans="1:41" s="163" customFormat="1" ht="16.5" customHeight="1">
      <c r="A731" s="180"/>
      <c r="B731" s="181"/>
      <c r="C731" s="182"/>
      <c r="D731" s="182"/>
      <c r="E731" s="183"/>
      <c r="F731" s="183"/>
      <c r="G731" s="183"/>
      <c r="H731" s="184"/>
      <c r="I731" s="184"/>
      <c r="J731" s="184"/>
      <c r="K731" s="184"/>
      <c r="L731" s="184"/>
      <c r="M731" s="184"/>
      <c r="N731" s="184"/>
      <c r="O731" s="184"/>
      <c r="Q731" s="184"/>
      <c r="R731" s="185"/>
      <c r="S731" s="185"/>
      <c r="U731" s="184"/>
      <c r="V731" s="184"/>
      <c r="W731" s="184"/>
      <c r="X731" s="184"/>
      <c r="Y731" s="184"/>
      <c r="Z731" s="184"/>
      <c r="AA731" s="184"/>
      <c r="AB731" s="184"/>
      <c r="AC731" s="184"/>
      <c r="AD731" s="184"/>
      <c r="AE731" s="184"/>
      <c r="AF731" s="184"/>
      <c r="AG731" s="184"/>
      <c r="AH731" s="184"/>
      <c r="AI731" s="184"/>
      <c r="AJ731" s="184"/>
      <c r="AK731" s="184"/>
      <c r="AL731" s="186"/>
      <c r="AM731" s="187"/>
      <c r="AN731" s="187"/>
      <c r="AO731" s="187"/>
    </row>
    <row r="732" spans="1:41" s="163" customFormat="1" ht="16.5" customHeight="1">
      <c r="A732" s="180"/>
      <c r="B732" s="181"/>
      <c r="C732" s="182"/>
      <c r="D732" s="182"/>
      <c r="E732" s="183"/>
      <c r="F732" s="183"/>
      <c r="G732" s="183"/>
      <c r="H732" s="184"/>
      <c r="I732" s="184"/>
      <c r="J732" s="184"/>
      <c r="K732" s="184"/>
      <c r="L732" s="184"/>
      <c r="M732" s="184"/>
      <c r="N732" s="184"/>
      <c r="O732" s="184"/>
      <c r="Q732" s="184"/>
      <c r="R732" s="185"/>
      <c r="S732" s="185"/>
      <c r="U732" s="184"/>
      <c r="V732" s="184"/>
      <c r="W732" s="184"/>
      <c r="X732" s="184"/>
      <c r="Y732" s="184"/>
      <c r="Z732" s="184"/>
      <c r="AA732" s="184"/>
      <c r="AB732" s="184"/>
      <c r="AC732" s="184"/>
      <c r="AD732" s="184"/>
      <c r="AE732" s="184"/>
      <c r="AF732" s="184"/>
      <c r="AG732" s="184"/>
      <c r="AH732" s="184"/>
      <c r="AI732" s="184"/>
      <c r="AJ732" s="184"/>
      <c r="AK732" s="184"/>
      <c r="AL732" s="186"/>
      <c r="AM732" s="187"/>
      <c r="AN732" s="187"/>
      <c r="AO732" s="187"/>
    </row>
    <row r="733" spans="1:41" s="163" customFormat="1" ht="16.5" customHeight="1">
      <c r="A733" s="180"/>
      <c r="B733" s="181"/>
      <c r="C733" s="182"/>
      <c r="D733" s="182"/>
      <c r="E733" s="183"/>
      <c r="F733" s="183"/>
      <c r="G733" s="183"/>
      <c r="H733" s="184"/>
      <c r="I733" s="184"/>
      <c r="J733" s="184"/>
      <c r="K733" s="184"/>
      <c r="L733" s="184"/>
      <c r="M733" s="184"/>
      <c r="N733" s="184"/>
      <c r="O733" s="184"/>
      <c r="Q733" s="184"/>
      <c r="R733" s="185"/>
      <c r="S733" s="185"/>
      <c r="U733" s="184"/>
      <c r="V733" s="184"/>
      <c r="W733" s="184"/>
      <c r="X733" s="184"/>
      <c r="Y733" s="184"/>
      <c r="Z733" s="184"/>
      <c r="AA733" s="184"/>
      <c r="AB733" s="184"/>
      <c r="AC733" s="184"/>
      <c r="AD733" s="184"/>
      <c r="AE733" s="184"/>
      <c r="AF733" s="184"/>
      <c r="AG733" s="184"/>
      <c r="AH733" s="184"/>
      <c r="AI733" s="184"/>
      <c r="AJ733" s="184"/>
      <c r="AK733" s="184"/>
      <c r="AL733" s="186"/>
      <c r="AM733" s="187"/>
      <c r="AN733" s="187"/>
      <c r="AO733" s="187"/>
    </row>
    <row r="734" spans="1:41" s="163" customFormat="1" ht="16.5" customHeight="1">
      <c r="A734" s="180"/>
      <c r="B734" s="181"/>
      <c r="C734" s="182"/>
      <c r="D734" s="182"/>
      <c r="E734" s="183"/>
      <c r="F734" s="183"/>
      <c r="G734" s="183"/>
      <c r="H734" s="184"/>
      <c r="I734" s="184"/>
      <c r="J734" s="184"/>
      <c r="K734" s="184"/>
      <c r="L734" s="184"/>
      <c r="M734" s="184"/>
      <c r="N734" s="184"/>
      <c r="O734" s="184"/>
      <c r="Q734" s="184"/>
      <c r="R734" s="185"/>
      <c r="S734" s="185"/>
      <c r="U734" s="184"/>
      <c r="V734" s="184"/>
      <c r="W734" s="184"/>
      <c r="X734" s="184"/>
      <c r="Y734" s="184"/>
      <c r="Z734" s="184"/>
      <c r="AA734" s="184"/>
      <c r="AB734" s="184"/>
      <c r="AC734" s="184"/>
      <c r="AD734" s="184"/>
      <c r="AE734" s="184"/>
      <c r="AF734" s="184"/>
      <c r="AG734" s="184"/>
      <c r="AH734" s="184"/>
      <c r="AI734" s="184"/>
      <c r="AJ734" s="184"/>
      <c r="AK734" s="184"/>
      <c r="AL734" s="186"/>
      <c r="AM734" s="187"/>
      <c r="AN734" s="187"/>
      <c r="AO734" s="187"/>
    </row>
    <row r="735" spans="1:41" s="163" customFormat="1" ht="16.5" customHeight="1">
      <c r="A735" s="180"/>
      <c r="B735" s="181"/>
      <c r="C735" s="182"/>
      <c r="D735" s="182"/>
      <c r="E735" s="183"/>
      <c r="F735" s="183"/>
      <c r="G735" s="183"/>
      <c r="H735" s="184"/>
      <c r="I735" s="184"/>
      <c r="J735" s="184"/>
      <c r="K735" s="184"/>
      <c r="L735" s="184"/>
      <c r="M735" s="184"/>
      <c r="N735" s="184"/>
      <c r="O735" s="184"/>
      <c r="Q735" s="184"/>
      <c r="R735" s="185"/>
      <c r="S735" s="185"/>
      <c r="U735" s="184"/>
      <c r="V735" s="184"/>
      <c r="W735" s="184"/>
      <c r="X735" s="184"/>
      <c r="Y735" s="184"/>
      <c r="Z735" s="184"/>
      <c r="AA735" s="184"/>
      <c r="AB735" s="184"/>
      <c r="AC735" s="184"/>
      <c r="AD735" s="184"/>
      <c r="AE735" s="184"/>
      <c r="AF735" s="184"/>
      <c r="AG735" s="184"/>
      <c r="AH735" s="184"/>
      <c r="AI735" s="184"/>
      <c r="AJ735" s="184"/>
      <c r="AK735" s="184"/>
      <c r="AL735" s="186"/>
      <c r="AM735" s="187"/>
      <c r="AN735" s="187"/>
      <c r="AO735" s="187"/>
    </row>
    <row r="736" spans="1:41" s="163" customFormat="1" ht="16.5" customHeight="1">
      <c r="A736" s="180"/>
      <c r="B736" s="181"/>
      <c r="C736" s="182"/>
      <c r="D736" s="182"/>
      <c r="E736" s="183"/>
      <c r="F736" s="183"/>
      <c r="G736" s="183"/>
      <c r="H736" s="184"/>
      <c r="I736" s="184"/>
      <c r="J736" s="184"/>
      <c r="K736" s="184"/>
      <c r="L736" s="184"/>
      <c r="M736" s="184"/>
      <c r="N736" s="184"/>
      <c r="O736" s="184"/>
      <c r="Q736" s="184"/>
      <c r="R736" s="185"/>
      <c r="S736" s="185"/>
      <c r="U736" s="184"/>
      <c r="V736" s="184"/>
      <c r="W736" s="184"/>
      <c r="X736" s="184"/>
      <c r="Y736" s="184"/>
      <c r="Z736" s="184"/>
      <c r="AA736" s="184"/>
      <c r="AB736" s="184"/>
      <c r="AC736" s="184"/>
      <c r="AD736" s="184"/>
      <c r="AE736" s="184"/>
      <c r="AF736" s="184"/>
      <c r="AG736" s="184"/>
      <c r="AH736" s="184"/>
      <c r="AI736" s="184"/>
      <c r="AJ736" s="184"/>
      <c r="AK736" s="184"/>
      <c r="AL736" s="186"/>
      <c r="AM736" s="187"/>
      <c r="AN736" s="187"/>
      <c r="AO736" s="187"/>
    </row>
    <row r="737" spans="1:41" s="163" customFormat="1" ht="16.5" customHeight="1">
      <c r="A737" s="180"/>
      <c r="B737" s="181"/>
      <c r="C737" s="182"/>
      <c r="D737" s="182"/>
      <c r="E737" s="183"/>
      <c r="F737" s="183"/>
      <c r="G737" s="183"/>
      <c r="H737" s="184"/>
      <c r="I737" s="184"/>
      <c r="J737" s="184"/>
      <c r="K737" s="184"/>
      <c r="L737" s="184"/>
      <c r="M737" s="184"/>
      <c r="N737" s="184"/>
      <c r="O737" s="184"/>
      <c r="Q737" s="184"/>
      <c r="R737" s="185"/>
      <c r="S737" s="185"/>
      <c r="U737" s="184"/>
      <c r="V737" s="184"/>
      <c r="W737" s="184"/>
      <c r="X737" s="184"/>
      <c r="Y737" s="184"/>
      <c r="Z737" s="184"/>
      <c r="AA737" s="184"/>
      <c r="AB737" s="184"/>
      <c r="AC737" s="184"/>
      <c r="AD737" s="184"/>
      <c r="AE737" s="184"/>
      <c r="AF737" s="184"/>
      <c r="AG737" s="184"/>
      <c r="AH737" s="184"/>
      <c r="AI737" s="184"/>
      <c r="AJ737" s="184"/>
      <c r="AK737" s="184"/>
      <c r="AL737" s="186"/>
      <c r="AM737" s="187"/>
      <c r="AN737" s="187"/>
      <c r="AO737" s="187"/>
    </row>
    <row r="738" spans="1:41" s="163" customFormat="1" ht="16.5" customHeight="1">
      <c r="A738" s="180"/>
      <c r="B738" s="181"/>
      <c r="C738" s="182"/>
      <c r="D738" s="182"/>
      <c r="E738" s="183"/>
      <c r="F738" s="183"/>
      <c r="G738" s="183"/>
      <c r="H738" s="184"/>
      <c r="I738" s="184"/>
      <c r="J738" s="184"/>
      <c r="K738" s="184"/>
      <c r="L738" s="184"/>
      <c r="M738" s="184"/>
      <c r="N738" s="184"/>
      <c r="O738" s="184"/>
      <c r="Q738" s="184"/>
      <c r="R738" s="185"/>
      <c r="S738" s="185"/>
      <c r="U738" s="184"/>
      <c r="V738" s="184"/>
      <c r="W738" s="184"/>
      <c r="X738" s="184"/>
      <c r="Y738" s="184"/>
      <c r="Z738" s="184"/>
      <c r="AA738" s="184"/>
      <c r="AB738" s="184"/>
      <c r="AC738" s="184"/>
      <c r="AD738" s="184"/>
      <c r="AE738" s="184"/>
      <c r="AF738" s="184"/>
      <c r="AG738" s="184"/>
      <c r="AH738" s="184"/>
      <c r="AI738" s="184"/>
      <c r="AJ738" s="184"/>
      <c r="AK738" s="184"/>
      <c r="AL738" s="186"/>
      <c r="AM738" s="187"/>
      <c r="AN738" s="187"/>
      <c r="AO738" s="187"/>
    </row>
    <row r="739" spans="1:41" s="163" customFormat="1" ht="16.5" customHeight="1">
      <c r="A739" s="180"/>
      <c r="B739" s="181"/>
      <c r="C739" s="182"/>
      <c r="D739" s="182"/>
      <c r="E739" s="183"/>
      <c r="F739" s="183"/>
      <c r="G739" s="183"/>
      <c r="H739" s="184"/>
      <c r="I739" s="184"/>
      <c r="J739" s="184"/>
      <c r="K739" s="184"/>
      <c r="L739" s="184"/>
      <c r="M739" s="184"/>
      <c r="N739" s="184"/>
      <c r="O739" s="184"/>
      <c r="Q739" s="184"/>
      <c r="R739" s="185"/>
      <c r="S739" s="185"/>
      <c r="U739" s="184"/>
      <c r="V739" s="184"/>
      <c r="W739" s="184"/>
      <c r="X739" s="184"/>
      <c r="Y739" s="184"/>
      <c r="Z739" s="184"/>
      <c r="AA739" s="184"/>
      <c r="AB739" s="184"/>
      <c r="AC739" s="184"/>
      <c r="AD739" s="184"/>
      <c r="AE739" s="184"/>
      <c r="AF739" s="184"/>
      <c r="AG739" s="184"/>
      <c r="AH739" s="184"/>
      <c r="AI739" s="184"/>
      <c r="AJ739" s="184"/>
      <c r="AK739" s="184"/>
      <c r="AL739" s="186"/>
      <c r="AM739" s="187"/>
      <c r="AN739" s="187"/>
      <c r="AO739" s="187"/>
    </row>
    <row r="740" spans="1:41" s="163" customFormat="1" ht="16.5" customHeight="1">
      <c r="A740" s="180"/>
      <c r="B740" s="181"/>
      <c r="C740" s="182"/>
      <c r="D740" s="182"/>
      <c r="E740" s="183"/>
      <c r="F740" s="183"/>
      <c r="G740" s="183"/>
      <c r="H740" s="184"/>
      <c r="I740" s="184"/>
      <c r="J740" s="184"/>
      <c r="K740" s="184"/>
      <c r="L740" s="184"/>
      <c r="M740" s="184"/>
      <c r="N740" s="184"/>
      <c r="O740" s="184"/>
      <c r="Q740" s="184"/>
      <c r="R740" s="185"/>
      <c r="S740" s="185"/>
      <c r="U740" s="184"/>
      <c r="V740" s="184"/>
      <c r="W740" s="184"/>
      <c r="X740" s="184"/>
      <c r="Y740" s="184"/>
      <c r="Z740" s="184"/>
      <c r="AA740" s="184"/>
      <c r="AB740" s="184"/>
      <c r="AC740" s="184"/>
      <c r="AD740" s="184"/>
      <c r="AE740" s="184"/>
      <c r="AF740" s="184"/>
      <c r="AG740" s="184"/>
      <c r="AH740" s="184"/>
      <c r="AI740" s="184"/>
      <c r="AJ740" s="184"/>
      <c r="AK740" s="184"/>
      <c r="AL740" s="186"/>
      <c r="AM740" s="187"/>
      <c r="AN740" s="187"/>
      <c r="AO740" s="187"/>
    </row>
    <row r="741" spans="1:41" s="163" customFormat="1" ht="16.5" customHeight="1">
      <c r="A741" s="180"/>
      <c r="B741" s="181"/>
      <c r="C741" s="182"/>
      <c r="D741" s="182"/>
      <c r="E741" s="183"/>
      <c r="F741" s="183"/>
      <c r="G741" s="183"/>
      <c r="H741" s="184"/>
      <c r="I741" s="184"/>
      <c r="J741" s="184"/>
      <c r="K741" s="184"/>
      <c r="L741" s="184"/>
      <c r="M741" s="184"/>
      <c r="N741" s="184"/>
      <c r="O741" s="184"/>
      <c r="Q741" s="184"/>
      <c r="R741" s="185"/>
      <c r="S741" s="185"/>
      <c r="U741" s="184"/>
      <c r="V741" s="184"/>
      <c r="W741" s="184"/>
      <c r="X741" s="184"/>
      <c r="Y741" s="184"/>
      <c r="Z741" s="184"/>
      <c r="AA741" s="184"/>
      <c r="AB741" s="184"/>
      <c r="AC741" s="184"/>
      <c r="AD741" s="184"/>
      <c r="AE741" s="184"/>
      <c r="AF741" s="184"/>
      <c r="AG741" s="184"/>
      <c r="AH741" s="184"/>
      <c r="AI741" s="184"/>
      <c r="AJ741" s="184"/>
      <c r="AK741" s="184"/>
      <c r="AL741" s="186"/>
      <c r="AM741" s="187"/>
      <c r="AN741" s="187"/>
      <c r="AO741" s="187"/>
    </row>
    <row r="742" spans="1:41" s="163" customFormat="1" ht="16.5" customHeight="1">
      <c r="A742" s="180"/>
      <c r="B742" s="181"/>
      <c r="C742" s="182"/>
      <c r="D742" s="182"/>
      <c r="E742" s="183"/>
      <c r="F742" s="183"/>
      <c r="G742" s="183"/>
      <c r="H742" s="184"/>
      <c r="I742" s="184"/>
      <c r="J742" s="184"/>
      <c r="K742" s="184"/>
      <c r="L742" s="184"/>
      <c r="M742" s="184"/>
      <c r="N742" s="184"/>
      <c r="O742" s="184"/>
      <c r="Q742" s="184"/>
      <c r="R742" s="185"/>
      <c r="S742" s="185"/>
      <c r="U742" s="184"/>
      <c r="V742" s="184"/>
      <c r="W742" s="184"/>
      <c r="X742" s="184"/>
      <c r="Y742" s="184"/>
      <c r="Z742" s="184"/>
      <c r="AA742" s="184"/>
      <c r="AB742" s="184"/>
      <c r="AC742" s="184"/>
      <c r="AD742" s="184"/>
      <c r="AE742" s="184"/>
      <c r="AF742" s="184"/>
      <c r="AG742" s="184"/>
      <c r="AH742" s="184"/>
      <c r="AI742" s="184"/>
      <c r="AJ742" s="184"/>
      <c r="AK742" s="184"/>
      <c r="AL742" s="186"/>
      <c r="AM742" s="187"/>
      <c r="AN742" s="187"/>
      <c r="AO742" s="187"/>
    </row>
    <row r="743" spans="1:41" s="163" customFormat="1" ht="16.5" customHeight="1">
      <c r="A743" s="180"/>
      <c r="B743" s="181"/>
      <c r="C743" s="182"/>
      <c r="D743" s="182"/>
      <c r="E743" s="183"/>
      <c r="F743" s="183"/>
      <c r="G743" s="183"/>
      <c r="H743" s="184"/>
      <c r="I743" s="184"/>
      <c r="J743" s="184"/>
      <c r="K743" s="184"/>
      <c r="L743" s="184"/>
      <c r="M743" s="184"/>
      <c r="N743" s="184"/>
      <c r="O743" s="184"/>
      <c r="Q743" s="184"/>
      <c r="R743" s="185"/>
      <c r="S743" s="185"/>
      <c r="U743" s="184"/>
      <c r="V743" s="184"/>
      <c r="W743" s="184"/>
      <c r="X743" s="184"/>
      <c r="Y743" s="184"/>
      <c r="Z743" s="184"/>
      <c r="AA743" s="184"/>
      <c r="AB743" s="184"/>
      <c r="AC743" s="184"/>
      <c r="AD743" s="184"/>
      <c r="AE743" s="184"/>
      <c r="AF743" s="184"/>
      <c r="AG743" s="184"/>
      <c r="AH743" s="184"/>
      <c r="AI743" s="184"/>
      <c r="AJ743" s="184"/>
      <c r="AK743" s="184"/>
      <c r="AL743" s="186"/>
      <c r="AM743" s="187"/>
      <c r="AN743" s="187"/>
      <c r="AO743" s="187"/>
    </row>
    <row r="744" spans="1:41" s="163" customFormat="1" ht="16.5" customHeight="1">
      <c r="A744" s="180"/>
      <c r="B744" s="181"/>
      <c r="C744" s="182"/>
      <c r="D744" s="182"/>
      <c r="E744" s="183"/>
      <c r="F744" s="183"/>
      <c r="G744" s="183"/>
      <c r="H744" s="184"/>
      <c r="I744" s="184"/>
      <c r="J744" s="184"/>
      <c r="K744" s="184"/>
      <c r="L744" s="184"/>
      <c r="M744" s="184"/>
      <c r="N744" s="184"/>
      <c r="O744" s="184"/>
      <c r="Q744" s="184"/>
      <c r="R744" s="185"/>
      <c r="S744" s="185"/>
      <c r="U744" s="184"/>
      <c r="V744" s="184"/>
      <c r="W744" s="184"/>
      <c r="X744" s="184"/>
      <c r="Y744" s="184"/>
      <c r="Z744" s="184"/>
      <c r="AA744" s="184"/>
      <c r="AB744" s="184"/>
      <c r="AC744" s="184"/>
      <c r="AD744" s="184"/>
      <c r="AE744" s="184"/>
      <c r="AF744" s="184"/>
      <c r="AG744" s="184"/>
      <c r="AH744" s="184"/>
      <c r="AI744" s="184"/>
      <c r="AJ744" s="184"/>
      <c r="AK744" s="184"/>
      <c r="AL744" s="186"/>
      <c r="AM744" s="187"/>
      <c r="AN744" s="187"/>
      <c r="AO744" s="187"/>
    </row>
    <row r="745" spans="1:41" s="163" customFormat="1" ht="16.5" customHeight="1">
      <c r="A745" s="180"/>
      <c r="B745" s="181"/>
      <c r="C745" s="182"/>
      <c r="D745" s="182"/>
      <c r="E745" s="183"/>
      <c r="F745" s="183"/>
      <c r="G745" s="183"/>
      <c r="H745" s="184"/>
      <c r="I745" s="184"/>
      <c r="J745" s="184"/>
      <c r="K745" s="184"/>
      <c r="L745" s="184"/>
      <c r="M745" s="184"/>
      <c r="N745" s="184"/>
      <c r="O745" s="184"/>
      <c r="Q745" s="184"/>
      <c r="R745" s="185"/>
      <c r="S745" s="185"/>
      <c r="U745" s="184"/>
      <c r="V745" s="184"/>
      <c r="W745" s="184"/>
      <c r="X745" s="184"/>
      <c r="Y745" s="184"/>
      <c r="Z745" s="184"/>
      <c r="AA745" s="184"/>
      <c r="AB745" s="184"/>
      <c r="AC745" s="184"/>
      <c r="AD745" s="184"/>
      <c r="AE745" s="184"/>
      <c r="AF745" s="184"/>
      <c r="AG745" s="184"/>
      <c r="AH745" s="184"/>
      <c r="AI745" s="184"/>
      <c r="AJ745" s="184"/>
      <c r="AK745" s="184"/>
      <c r="AL745" s="186"/>
      <c r="AM745" s="187"/>
      <c r="AN745" s="187"/>
      <c r="AO745" s="187"/>
    </row>
    <row r="746" spans="1:41" s="163" customFormat="1" ht="16.5" customHeight="1">
      <c r="A746" s="180"/>
      <c r="B746" s="181"/>
      <c r="C746" s="182"/>
      <c r="D746" s="182"/>
      <c r="E746" s="183"/>
      <c r="F746" s="183"/>
      <c r="G746" s="183"/>
      <c r="H746" s="184"/>
      <c r="I746" s="184"/>
      <c r="J746" s="184"/>
      <c r="K746" s="184"/>
      <c r="L746" s="184"/>
      <c r="M746" s="184"/>
      <c r="N746" s="184"/>
      <c r="O746" s="184"/>
      <c r="Q746" s="184"/>
      <c r="R746" s="185"/>
      <c r="S746" s="185"/>
      <c r="U746" s="184"/>
      <c r="V746" s="184"/>
      <c r="W746" s="184"/>
      <c r="X746" s="184"/>
      <c r="Y746" s="184"/>
      <c r="Z746" s="184"/>
      <c r="AA746" s="184"/>
      <c r="AB746" s="184"/>
      <c r="AC746" s="184"/>
      <c r="AD746" s="184"/>
      <c r="AE746" s="184"/>
      <c r="AF746" s="184"/>
      <c r="AG746" s="184"/>
      <c r="AH746" s="184"/>
      <c r="AI746" s="184"/>
      <c r="AJ746" s="184"/>
      <c r="AK746" s="184"/>
      <c r="AL746" s="186"/>
      <c r="AM746" s="187"/>
      <c r="AN746" s="187"/>
      <c r="AO746" s="187"/>
    </row>
    <row r="747" spans="1:41" s="163" customFormat="1" ht="16.5" customHeight="1">
      <c r="A747" s="180"/>
      <c r="B747" s="181"/>
      <c r="C747" s="182"/>
      <c r="D747" s="182"/>
      <c r="E747" s="183"/>
      <c r="F747" s="183"/>
      <c r="G747" s="183"/>
      <c r="H747" s="184"/>
      <c r="I747" s="184"/>
      <c r="J747" s="184"/>
      <c r="K747" s="184"/>
      <c r="L747" s="184"/>
      <c r="M747" s="184"/>
      <c r="N747" s="184"/>
      <c r="O747" s="184"/>
      <c r="Q747" s="184"/>
      <c r="R747" s="185"/>
      <c r="S747" s="185"/>
      <c r="U747" s="184"/>
      <c r="V747" s="184"/>
      <c r="W747" s="184"/>
      <c r="X747" s="184"/>
      <c r="Y747" s="184"/>
      <c r="Z747" s="184"/>
      <c r="AA747" s="184"/>
      <c r="AB747" s="184"/>
      <c r="AC747" s="184"/>
      <c r="AD747" s="184"/>
      <c r="AE747" s="184"/>
      <c r="AF747" s="184"/>
      <c r="AG747" s="184"/>
      <c r="AH747" s="184"/>
      <c r="AI747" s="184"/>
      <c r="AJ747" s="184"/>
      <c r="AK747" s="184"/>
      <c r="AL747" s="186"/>
      <c r="AM747" s="187"/>
      <c r="AN747" s="187"/>
      <c r="AO747" s="187"/>
    </row>
    <row r="748" spans="1:41" s="163" customFormat="1" ht="16.5" customHeight="1">
      <c r="A748" s="180"/>
      <c r="B748" s="181"/>
      <c r="C748" s="182"/>
      <c r="D748" s="182"/>
      <c r="E748" s="183"/>
      <c r="F748" s="183"/>
      <c r="G748" s="183"/>
      <c r="H748" s="184"/>
      <c r="I748" s="184"/>
      <c r="J748" s="184"/>
      <c r="K748" s="184"/>
      <c r="L748" s="184"/>
      <c r="M748" s="184"/>
      <c r="N748" s="184"/>
      <c r="O748" s="184"/>
      <c r="Q748" s="184"/>
      <c r="R748" s="185"/>
      <c r="S748" s="185"/>
      <c r="U748" s="184"/>
      <c r="V748" s="184"/>
      <c r="W748" s="184"/>
      <c r="X748" s="184"/>
      <c r="Y748" s="184"/>
      <c r="Z748" s="184"/>
      <c r="AA748" s="184"/>
      <c r="AB748" s="184"/>
      <c r="AC748" s="184"/>
      <c r="AD748" s="184"/>
      <c r="AE748" s="184"/>
      <c r="AF748" s="184"/>
      <c r="AG748" s="184"/>
      <c r="AH748" s="184"/>
      <c r="AI748" s="184"/>
      <c r="AJ748" s="184"/>
      <c r="AK748" s="184"/>
      <c r="AL748" s="186"/>
      <c r="AM748" s="187"/>
      <c r="AN748" s="187"/>
      <c r="AO748" s="187"/>
    </row>
    <row r="749" spans="1:41" s="163" customFormat="1" ht="16.5" customHeight="1">
      <c r="A749" s="180"/>
      <c r="B749" s="181"/>
      <c r="C749" s="182"/>
      <c r="D749" s="182"/>
      <c r="E749" s="183"/>
      <c r="F749" s="183"/>
      <c r="G749" s="183"/>
      <c r="H749" s="184"/>
      <c r="I749" s="184"/>
      <c r="J749" s="184"/>
      <c r="K749" s="184"/>
      <c r="L749" s="184"/>
      <c r="M749" s="184"/>
      <c r="N749" s="184"/>
      <c r="O749" s="184"/>
      <c r="Q749" s="184"/>
      <c r="R749" s="185"/>
      <c r="S749" s="185"/>
      <c r="U749" s="184"/>
      <c r="V749" s="184"/>
      <c r="W749" s="184"/>
      <c r="X749" s="184"/>
      <c r="Y749" s="184"/>
      <c r="Z749" s="184"/>
      <c r="AA749" s="184"/>
      <c r="AB749" s="184"/>
      <c r="AC749" s="184"/>
      <c r="AD749" s="184"/>
      <c r="AE749" s="184"/>
      <c r="AF749" s="184"/>
      <c r="AG749" s="184"/>
      <c r="AH749" s="184"/>
      <c r="AI749" s="184"/>
      <c r="AJ749" s="184"/>
      <c r="AK749" s="184"/>
      <c r="AL749" s="186"/>
      <c r="AM749" s="187"/>
      <c r="AN749" s="187"/>
      <c r="AO749" s="187"/>
    </row>
    <row r="750" spans="1:41" s="163" customFormat="1" ht="16.5" customHeight="1">
      <c r="A750" s="180"/>
      <c r="B750" s="181"/>
      <c r="C750" s="182"/>
      <c r="D750" s="182"/>
      <c r="E750" s="183"/>
      <c r="F750" s="183"/>
      <c r="G750" s="183"/>
      <c r="H750" s="184"/>
      <c r="I750" s="184"/>
      <c r="J750" s="184"/>
      <c r="K750" s="184"/>
      <c r="L750" s="184"/>
      <c r="M750" s="184"/>
      <c r="N750" s="184"/>
      <c r="O750" s="184"/>
      <c r="Q750" s="184"/>
      <c r="R750" s="185"/>
      <c r="S750" s="185"/>
      <c r="U750" s="184"/>
      <c r="V750" s="184"/>
      <c r="W750" s="184"/>
      <c r="X750" s="184"/>
      <c r="Y750" s="184"/>
      <c r="Z750" s="184"/>
      <c r="AA750" s="184"/>
      <c r="AB750" s="184"/>
      <c r="AC750" s="184"/>
      <c r="AD750" s="184"/>
      <c r="AE750" s="184"/>
      <c r="AF750" s="184"/>
      <c r="AG750" s="184"/>
      <c r="AH750" s="184"/>
      <c r="AI750" s="184"/>
      <c r="AJ750" s="184"/>
      <c r="AK750" s="184"/>
      <c r="AL750" s="186"/>
      <c r="AM750" s="187"/>
      <c r="AN750" s="187"/>
      <c r="AO750" s="187"/>
    </row>
    <row r="751" spans="1:41" s="163" customFormat="1" ht="16.5" customHeight="1">
      <c r="A751" s="180"/>
      <c r="B751" s="181"/>
      <c r="C751" s="182"/>
      <c r="D751" s="182"/>
      <c r="E751" s="183"/>
      <c r="F751" s="183"/>
      <c r="G751" s="183"/>
      <c r="H751" s="184"/>
      <c r="I751" s="184"/>
      <c r="J751" s="184"/>
      <c r="K751" s="184"/>
      <c r="L751" s="184"/>
      <c r="M751" s="184"/>
      <c r="N751" s="184"/>
      <c r="O751" s="184"/>
      <c r="Q751" s="184"/>
      <c r="R751" s="185"/>
      <c r="S751" s="185"/>
      <c r="U751" s="184"/>
      <c r="V751" s="184"/>
      <c r="W751" s="184"/>
      <c r="X751" s="184"/>
      <c r="Y751" s="184"/>
      <c r="Z751" s="184"/>
      <c r="AA751" s="184"/>
      <c r="AB751" s="184"/>
      <c r="AC751" s="184"/>
      <c r="AD751" s="184"/>
      <c r="AE751" s="184"/>
      <c r="AF751" s="184"/>
      <c r="AG751" s="184"/>
      <c r="AH751" s="184"/>
      <c r="AI751" s="184"/>
      <c r="AJ751" s="184"/>
      <c r="AK751" s="184"/>
      <c r="AL751" s="186"/>
      <c r="AM751" s="187"/>
      <c r="AN751" s="187"/>
      <c r="AO751" s="187"/>
    </row>
    <row r="752" spans="1:41" s="163" customFormat="1" ht="16.5" customHeight="1">
      <c r="A752" s="180"/>
      <c r="B752" s="181"/>
      <c r="C752" s="182"/>
      <c r="D752" s="182"/>
      <c r="E752" s="183"/>
      <c r="F752" s="183"/>
      <c r="G752" s="183"/>
      <c r="H752" s="184"/>
      <c r="I752" s="184"/>
      <c r="J752" s="184"/>
      <c r="K752" s="184"/>
      <c r="L752" s="184"/>
      <c r="M752" s="184"/>
      <c r="N752" s="184"/>
      <c r="O752" s="184"/>
      <c r="Q752" s="184"/>
      <c r="R752" s="185"/>
      <c r="S752" s="185"/>
      <c r="U752" s="184"/>
      <c r="V752" s="184"/>
      <c r="W752" s="184"/>
      <c r="X752" s="184"/>
      <c r="Y752" s="184"/>
      <c r="Z752" s="184"/>
      <c r="AA752" s="184"/>
      <c r="AB752" s="184"/>
      <c r="AC752" s="184"/>
      <c r="AD752" s="184"/>
      <c r="AE752" s="184"/>
      <c r="AF752" s="184"/>
      <c r="AG752" s="184"/>
      <c r="AH752" s="184"/>
      <c r="AI752" s="184"/>
      <c r="AJ752" s="184"/>
      <c r="AK752" s="184"/>
      <c r="AL752" s="186"/>
      <c r="AM752" s="187"/>
      <c r="AN752" s="187"/>
      <c r="AO752" s="187"/>
    </row>
    <row r="753" spans="1:41" s="163" customFormat="1" ht="16.5" customHeight="1">
      <c r="A753" s="180"/>
      <c r="B753" s="181"/>
      <c r="C753" s="182"/>
      <c r="D753" s="182"/>
      <c r="E753" s="183"/>
      <c r="F753" s="183"/>
      <c r="G753" s="183"/>
      <c r="H753" s="184"/>
      <c r="I753" s="184"/>
      <c r="J753" s="184"/>
      <c r="K753" s="184"/>
      <c r="L753" s="184"/>
      <c r="M753" s="184"/>
      <c r="N753" s="184"/>
      <c r="O753" s="184"/>
      <c r="Q753" s="184"/>
      <c r="R753" s="185"/>
      <c r="S753" s="185"/>
      <c r="U753" s="184"/>
      <c r="V753" s="184"/>
      <c r="W753" s="184"/>
      <c r="X753" s="184"/>
      <c r="Y753" s="184"/>
      <c r="Z753" s="184"/>
      <c r="AA753" s="184"/>
      <c r="AB753" s="184"/>
      <c r="AC753" s="184"/>
      <c r="AD753" s="184"/>
      <c r="AE753" s="184"/>
      <c r="AF753" s="184"/>
      <c r="AG753" s="184"/>
      <c r="AH753" s="184"/>
      <c r="AI753" s="184"/>
      <c r="AJ753" s="184"/>
      <c r="AK753" s="184"/>
      <c r="AL753" s="186"/>
      <c r="AM753" s="187"/>
      <c r="AN753" s="187"/>
      <c r="AO753" s="187"/>
    </row>
    <row r="754" spans="1:41" s="163" customFormat="1" ht="16.5" customHeight="1">
      <c r="A754" s="180"/>
      <c r="B754" s="181"/>
      <c r="C754" s="182"/>
      <c r="D754" s="182"/>
      <c r="E754" s="183"/>
      <c r="F754" s="183"/>
      <c r="G754" s="183"/>
      <c r="H754" s="184"/>
      <c r="I754" s="184"/>
      <c r="J754" s="184"/>
      <c r="K754" s="184"/>
      <c r="L754" s="184"/>
      <c r="M754" s="184"/>
      <c r="N754" s="184"/>
      <c r="O754" s="184"/>
      <c r="Q754" s="184"/>
      <c r="R754" s="185"/>
      <c r="S754" s="185"/>
      <c r="U754" s="184"/>
      <c r="V754" s="184"/>
      <c r="W754" s="184"/>
      <c r="X754" s="184"/>
      <c r="Y754" s="184"/>
      <c r="Z754" s="184"/>
      <c r="AA754" s="184"/>
      <c r="AB754" s="184"/>
      <c r="AC754" s="184"/>
      <c r="AD754" s="184"/>
      <c r="AE754" s="184"/>
      <c r="AF754" s="184"/>
      <c r="AG754" s="184"/>
      <c r="AH754" s="184"/>
      <c r="AI754" s="184"/>
      <c r="AJ754" s="184"/>
      <c r="AK754" s="184"/>
      <c r="AL754" s="186"/>
      <c r="AM754" s="187"/>
      <c r="AN754" s="187"/>
      <c r="AO754" s="187"/>
    </row>
    <row r="755" spans="1:41" s="163" customFormat="1" ht="16.5" customHeight="1">
      <c r="A755" s="180"/>
      <c r="B755" s="181"/>
      <c r="C755" s="182"/>
      <c r="D755" s="182"/>
      <c r="E755" s="183"/>
      <c r="F755" s="183"/>
      <c r="G755" s="183"/>
      <c r="H755" s="184"/>
      <c r="I755" s="184"/>
      <c r="J755" s="184"/>
      <c r="K755" s="184"/>
      <c r="L755" s="184"/>
      <c r="M755" s="184"/>
      <c r="N755" s="184"/>
      <c r="O755" s="184"/>
      <c r="Q755" s="184"/>
      <c r="R755" s="185"/>
      <c r="S755" s="185"/>
      <c r="U755" s="184"/>
      <c r="V755" s="184"/>
      <c r="W755" s="184"/>
      <c r="X755" s="184"/>
      <c r="Y755" s="184"/>
      <c r="Z755" s="184"/>
      <c r="AA755" s="184"/>
      <c r="AB755" s="184"/>
      <c r="AC755" s="184"/>
      <c r="AD755" s="184"/>
      <c r="AE755" s="184"/>
      <c r="AF755" s="184"/>
      <c r="AG755" s="184"/>
      <c r="AH755" s="184"/>
      <c r="AI755" s="184"/>
      <c r="AJ755" s="184"/>
      <c r="AK755" s="184"/>
      <c r="AL755" s="186"/>
      <c r="AM755" s="187"/>
      <c r="AN755" s="187"/>
      <c r="AO755" s="187"/>
    </row>
    <row r="756" spans="1:41" s="163" customFormat="1" ht="16.5" customHeight="1">
      <c r="A756" s="180"/>
      <c r="B756" s="181"/>
      <c r="C756" s="182"/>
      <c r="D756" s="182"/>
      <c r="E756" s="183"/>
      <c r="F756" s="183"/>
      <c r="G756" s="183"/>
      <c r="H756" s="184"/>
      <c r="I756" s="184"/>
      <c r="J756" s="184"/>
      <c r="K756" s="184"/>
      <c r="L756" s="184"/>
      <c r="M756" s="184"/>
      <c r="N756" s="184"/>
      <c r="O756" s="184"/>
      <c r="Q756" s="184"/>
      <c r="R756" s="185"/>
      <c r="S756" s="185"/>
      <c r="U756" s="184"/>
      <c r="V756" s="184"/>
      <c r="W756" s="184"/>
      <c r="X756" s="184"/>
      <c r="Y756" s="184"/>
      <c r="Z756" s="184"/>
      <c r="AA756" s="184"/>
      <c r="AB756" s="184"/>
      <c r="AC756" s="184"/>
      <c r="AD756" s="184"/>
      <c r="AE756" s="184"/>
      <c r="AF756" s="184"/>
      <c r="AG756" s="184"/>
      <c r="AH756" s="184"/>
      <c r="AI756" s="184"/>
      <c r="AJ756" s="184"/>
      <c r="AK756" s="184"/>
      <c r="AL756" s="186"/>
      <c r="AM756" s="187"/>
      <c r="AN756" s="187"/>
      <c r="AO756" s="187"/>
    </row>
    <row r="757" spans="1:41" s="163" customFormat="1" ht="16.5" customHeight="1">
      <c r="A757" s="180"/>
      <c r="B757" s="181"/>
      <c r="C757" s="182"/>
      <c r="D757" s="182"/>
      <c r="E757" s="183"/>
      <c r="F757" s="183"/>
      <c r="G757" s="183"/>
      <c r="H757" s="184"/>
      <c r="I757" s="184"/>
      <c r="J757" s="184"/>
      <c r="K757" s="184"/>
      <c r="L757" s="184"/>
      <c r="M757" s="184"/>
      <c r="N757" s="184"/>
      <c r="O757" s="184"/>
      <c r="Q757" s="184"/>
      <c r="R757" s="185"/>
      <c r="S757" s="185"/>
      <c r="U757" s="184"/>
      <c r="V757" s="184"/>
      <c r="W757" s="184"/>
      <c r="X757" s="184"/>
      <c r="Y757" s="184"/>
      <c r="Z757" s="184"/>
      <c r="AA757" s="184"/>
      <c r="AB757" s="184"/>
      <c r="AC757" s="184"/>
      <c r="AD757" s="184"/>
      <c r="AE757" s="184"/>
      <c r="AF757" s="184"/>
      <c r="AG757" s="184"/>
      <c r="AH757" s="184"/>
      <c r="AI757" s="184"/>
      <c r="AJ757" s="184"/>
      <c r="AK757" s="184"/>
      <c r="AL757" s="186"/>
      <c r="AM757" s="187"/>
      <c r="AN757" s="187"/>
      <c r="AO757" s="187"/>
    </row>
    <row r="758" spans="1:41" s="163" customFormat="1" ht="16.5" customHeight="1">
      <c r="A758" s="180"/>
      <c r="B758" s="181"/>
      <c r="C758" s="182"/>
      <c r="D758" s="182"/>
      <c r="E758" s="183"/>
      <c r="F758" s="183"/>
      <c r="G758" s="183"/>
      <c r="H758" s="184"/>
      <c r="I758" s="184"/>
      <c r="J758" s="184"/>
      <c r="K758" s="184"/>
      <c r="L758" s="184"/>
      <c r="M758" s="184"/>
      <c r="N758" s="184"/>
      <c r="O758" s="184"/>
      <c r="Q758" s="184"/>
      <c r="R758" s="185"/>
      <c r="S758" s="185"/>
      <c r="U758" s="184"/>
      <c r="V758" s="184"/>
      <c r="W758" s="184"/>
      <c r="X758" s="184"/>
      <c r="Y758" s="184"/>
      <c r="Z758" s="184"/>
      <c r="AA758" s="184"/>
      <c r="AB758" s="184"/>
      <c r="AC758" s="184"/>
      <c r="AD758" s="184"/>
      <c r="AE758" s="184"/>
      <c r="AF758" s="184"/>
      <c r="AG758" s="184"/>
      <c r="AH758" s="184"/>
      <c r="AI758" s="184"/>
      <c r="AJ758" s="184"/>
      <c r="AK758" s="184"/>
      <c r="AL758" s="186"/>
      <c r="AM758" s="187"/>
      <c r="AN758" s="187"/>
      <c r="AO758" s="187"/>
    </row>
    <row r="759" spans="1:41" s="163" customFormat="1" ht="16.5" customHeight="1">
      <c r="A759" s="180"/>
      <c r="B759" s="181"/>
      <c r="C759" s="182"/>
      <c r="D759" s="182"/>
      <c r="E759" s="183"/>
      <c r="F759" s="183"/>
      <c r="G759" s="183"/>
      <c r="H759" s="184"/>
      <c r="I759" s="184"/>
      <c r="J759" s="184"/>
      <c r="K759" s="184"/>
      <c r="L759" s="184"/>
      <c r="M759" s="184"/>
      <c r="N759" s="184"/>
      <c r="O759" s="184"/>
      <c r="Q759" s="184"/>
      <c r="R759" s="185"/>
      <c r="S759" s="185"/>
      <c r="U759" s="184"/>
      <c r="V759" s="184"/>
      <c r="W759" s="184"/>
      <c r="X759" s="184"/>
      <c r="Y759" s="184"/>
      <c r="Z759" s="184"/>
      <c r="AA759" s="184"/>
      <c r="AB759" s="184"/>
      <c r="AC759" s="184"/>
      <c r="AD759" s="184"/>
      <c r="AE759" s="184"/>
      <c r="AF759" s="184"/>
      <c r="AG759" s="184"/>
      <c r="AH759" s="184"/>
      <c r="AI759" s="184"/>
      <c r="AJ759" s="184"/>
      <c r="AK759" s="184"/>
      <c r="AL759" s="186"/>
      <c r="AM759" s="187"/>
      <c r="AN759" s="187"/>
      <c r="AO759" s="187"/>
    </row>
    <row r="760" spans="1:41" s="163" customFormat="1" ht="16.5" customHeight="1">
      <c r="A760" s="180"/>
      <c r="B760" s="181"/>
      <c r="C760" s="182"/>
      <c r="D760" s="182"/>
      <c r="E760" s="183"/>
      <c r="F760" s="183"/>
      <c r="G760" s="183"/>
      <c r="H760" s="184"/>
      <c r="I760" s="184"/>
      <c r="J760" s="184"/>
      <c r="K760" s="184"/>
      <c r="L760" s="184"/>
      <c r="M760" s="184"/>
      <c r="N760" s="184"/>
      <c r="O760" s="184"/>
      <c r="Q760" s="184"/>
      <c r="R760" s="185"/>
      <c r="S760" s="185"/>
      <c r="U760" s="184"/>
      <c r="V760" s="184"/>
      <c r="W760" s="184"/>
      <c r="X760" s="184"/>
      <c r="Y760" s="184"/>
      <c r="Z760" s="184"/>
      <c r="AA760" s="184"/>
      <c r="AB760" s="184"/>
      <c r="AC760" s="184"/>
      <c r="AD760" s="184"/>
      <c r="AE760" s="184"/>
      <c r="AF760" s="184"/>
      <c r="AG760" s="184"/>
      <c r="AH760" s="184"/>
      <c r="AI760" s="184"/>
      <c r="AJ760" s="184"/>
      <c r="AK760" s="184"/>
      <c r="AL760" s="186"/>
      <c r="AM760" s="187"/>
      <c r="AN760" s="187"/>
      <c r="AO760" s="187"/>
    </row>
    <row r="761" spans="1:41" s="163" customFormat="1" ht="16.5" customHeight="1">
      <c r="A761" s="180"/>
      <c r="B761" s="181"/>
      <c r="C761" s="182"/>
      <c r="D761" s="182"/>
      <c r="E761" s="183"/>
      <c r="F761" s="183"/>
      <c r="G761" s="183"/>
      <c r="H761" s="184"/>
      <c r="I761" s="184"/>
      <c r="J761" s="184"/>
      <c r="K761" s="184"/>
      <c r="L761" s="184"/>
      <c r="M761" s="184"/>
      <c r="N761" s="184"/>
      <c r="O761" s="184"/>
      <c r="Q761" s="184"/>
      <c r="R761" s="185"/>
      <c r="S761" s="185"/>
      <c r="U761" s="184"/>
      <c r="V761" s="184"/>
      <c r="W761" s="184"/>
      <c r="X761" s="184"/>
      <c r="Y761" s="184"/>
      <c r="Z761" s="184"/>
      <c r="AA761" s="184"/>
      <c r="AB761" s="184"/>
      <c r="AC761" s="184"/>
      <c r="AD761" s="184"/>
      <c r="AE761" s="184"/>
      <c r="AF761" s="184"/>
      <c r="AG761" s="184"/>
      <c r="AH761" s="184"/>
      <c r="AI761" s="184"/>
      <c r="AJ761" s="184"/>
      <c r="AK761" s="184"/>
      <c r="AL761" s="186"/>
      <c r="AM761" s="187"/>
      <c r="AN761" s="187"/>
      <c r="AO761" s="187"/>
    </row>
    <row r="762" spans="1:41" s="163" customFormat="1" ht="16.5" customHeight="1">
      <c r="A762" s="180"/>
      <c r="B762" s="181"/>
      <c r="C762" s="182"/>
      <c r="D762" s="182"/>
      <c r="E762" s="183"/>
      <c r="F762" s="183"/>
      <c r="G762" s="183"/>
      <c r="H762" s="184"/>
      <c r="I762" s="184"/>
      <c r="J762" s="184"/>
      <c r="K762" s="184"/>
      <c r="L762" s="184"/>
      <c r="M762" s="184"/>
      <c r="N762" s="184"/>
      <c r="O762" s="184"/>
      <c r="Q762" s="184"/>
      <c r="R762" s="185"/>
      <c r="S762" s="185"/>
      <c r="U762" s="184"/>
      <c r="V762" s="184"/>
      <c r="W762" s="184"/>
      <c r="X762" s="184"/>
      <c r="Y762" s="184"/>
      <c r="Z762" s="184"/>
      <c r="AA762" s="184"/>
      <c r="AB762" s="184"/>
      <c r="AC762" s="184"/>
      <c r="AD762" s="184"/>
      <c r="AE762" s="184"/>
      <c r="AF762" s="184"/>
      <c r="AG762" s="184"/>
      <c r="AH762" s="184"/>
      <c r="AI762" s="184"/>
      <c r="AJ762" s="184"/>
      <c r="AK762" s="184"/>
      <c r="AL762" s="186"/>
      <c r="AM762" s="187"/>
      <c r="AN762" s="187"/>
      <c r="AO762" s="187"/>
    </row>
    <row r="763" spans="1:41" s="163" customFormat="1" ht="16.5" customHeight="1">
      <c r="A763" s="180"/>
      <c r="B763" s="181"/>
      <c r="C763" s="182"/>
      <c r="D763" s="182"/>
      <c r="E763" s="183"/>
      <c r="F763" s="183"/>
      <c r="G763" s="183"/>
      <c r="H763" s="184"/>
      <c r="I763" s="184"/>
      <c r="J763" s="184"/>
      <c r="K763" s="184"/>
      <c r="L763" s="184"/>
      <c r="M763" s="184"/>
      <c r="N763" s="184"/>
      <c r="O763" s="184"/>
      <c r="Q763" s="184"/>
      <c r="R763" s="185"/>
      <c r="S763" s="185"/>
      <c r="U763" s="184"/>
      <c r="V763" s="184"/>
      <c r="W763" s="184"/>
      <c r="X763" s="184"/>
      <c r="Y763" s="184"/>
      <c r="Z763" s="184"/>
      <c r="AA763" s="184"/>
      <c r="AB763" s="184"/>
      <c r="AC763" s="184"/>
      <c r="AD763" s="184"/>
      <c r="AE763" s="184"/>
      <c r="AF763" s="184"/>
      <c r="AG763" s="184"/>
      <c r="AH763" s="184"/>
      <c r="AI763" s="184"/>
      <c r="AJ763" s="184"/>
      <c r="AK763" s="184"/>
      <c r="AL763" s="186"/>
      <c r="AM763" s="187"/>
      <c r="AN763" s="187"/>
      <c r="AO763" s="187"/>
    </row>
    <row r="764" spans="1:41" s="163" customFormat="1" ht="16.5" customHeight="1">
      <c r="A764" s="180"/>
      <c r="B764" s="181"/>
      <c r="C764" s="182"/>
      <c r="D764" s="182"/>
      <c r="E764" s="183"/>
      <c r="F764" s="183"/>
      <c r="G764" s="183"/>
      <c r="H764" s="184"/>
      <c r="I764" s="184"/>
      <c r="J764" s="184"/>
      <c r="K764" s="184"/>
      <c r="L764" s="184"/>
      <c r="M764" s="184"/>
      <c r="N764" s="184"/>
      <c r="O764" s="184"/>
      <c r="Q764" s="184"/>
      <c r="R764" s="185"/>
      <c r="S764" s="185"/>
      <c r="U764" s="184"/>
      <c r="V764" s="184"/>
      <c r="W764" s="184"/>
      <c r="X764" s="184"/>
      <c r="Y764" s="184"/>
      <c r="Z764" s="184"/>
      <c r="AA764" s="184"/>
      <c r="AB764" s="184"/>
      <c r="AC764" s="184"/>
      <c r="AD764" s="184"/>
      <c r="AE764" s="184"/>
      <c r="AF764" s="184"/>
      <c r="AG764" s="184"/>
      <c r="AH764" s="184"/>
      <c r="AI764" s="184"/>
      <c r="AJ764" s="184"/>
      <c r="AK764" s="184"/>
      <c r="AL764" s="186"/>
      <c r="AM764" s="187"/>
      <c r="AN764" s="187"/>
      <c r="AO764" s="187"/>
    </row>
    <row r="765" spans="1:41" s="163" customFormat="1" ht="16.5" customHeight="1">
      <c r="A765" s="180"/>
      <c r="B765" s="181"/>
      <c r="C765" s="182"/>
      <c r="D765" s="182"/>
      <c r="E765" s="183"/>
      <c r="F765" s="183"/>
      <c r="G765" s="183"/>
      <c r="H765" s="184"/>
      <c r="I765" s="184"/>
      <c r="J765" s="184"/>
      <c r="K765" s="184"/>
      <c r="L765" s="184"/>
      <c r="M765" s="184"/>
      <c r="N765" s="184"/>
      <c r="O765" s="184"/>
      <c r="Q765" s="184"/>
      <c r="R765" s="185"/>
      <c r="S765" s="185"/>
      <c r="U765" s="184"/>
      <c r="V765" s="184"/>
      <c r="W765" s="184"/>
      <c r="X765" s="184"/>
      <c r="Y765" s="184"/>
      <c r="Z765" s="184"/>
      <c r="AA765" s="184"/>
      <c r="AB765" s="184"/>
      <c r="AC765" s="184"/>
      <c r="AD765" s="184"/>
      <c r="AE765" s="184"/>
      <c r="AF765" s="184"/>
      <c r="AG765" s="184"/>
      <c r="AH765" s="184"/>
      <c r="AI765" s="184"/>
      <c r="AJ765" s="184"/>
      <c r="AK765" s="184"/>
      <c r="AL765" s="186"/>
      <c r="AM765" s="187"/>
      <c r="AN765" s="187"/>
      <c r="AO765" s="187"/>
    </row>
    <row r="766" spans="1:41" s="163" customFormat="1" ht="16.5" customHeight="1">
      <c r="A766" s="180"/>
      <c r="B766" s="181"/>
      <c r="C766" s="182"/>
      <c r="D766" s="182"/>
      <c r="E766" s="183"/>
      <c r="F766" s="183"/>
      <c r="G766" s="183"/>
      <c r="H766" s="184"/>
      <c r="I766" s="184"/>
      <c r="J766" s="184"/>
      <c r="K766" s="184"/>
      <c r="L766" s="184"/>
      <c r="M766" s="184"/>
      <c r="N766" s="184"/>
      <c r="O766" s="184"/>
      <c r="Q766" s="184"/>
      <c r="R766" s="185"/>
      <c r="S766" s="185"/>
      <c r="U766" s="184"/>
      <c r="V766" s="184"/>
      <c r="W766" s="184"/>
      <c r="X766" s="184"/>
      <c r="Y766" s="184"/>
      <c r="Z766" s="184"/>
      <c r="AA766" s="184"/>
      <c r="AB766" s="184"/>
      <c r="AC766" s="184"/>
      <c r="AD766" s="184"/>
      <c r="AE766" s="184"/>
      <c r="AF766" s="184"/>
      <c r="AG766" s="184"/>
      <c r="AH766" s="184"/>
      <c r="AI766" s="184"/>
      <c r="AJ766" s="184"/>
      <c r="AK766" s="184"/>
      <c r="AL766" s="186"/>
      <c r="AM766" s="187"/>
      <c r="AN766" s="187"/>
      <c r="AO766" s="187"/>
    </row>
    <row r="767" spans="1:41" s="163" customFormat="1" ht="16.5" customHeight="1">
      <c r="A767" s="180"/>
      <c r="B767" s="181"/>
      <c r="C767" s="182"/>
      <c r="D767" s="182"/>
      <c r="E767" s="183"/>
      <c r="F767" s="183"/>
      <c r="G767" s="183"/>
      <c r="H767" s="184"/>
      <c r="I767" s="184"/>
      <c r="J767" s="184"/>
      <c r="K767" s="184"/>
      <c r="L767" s="184"/>
      <c r="M767" s="184"/>
      <c r="N767" s="184"/>
      <c r="O767" s="184"/>
      <c r="Q767" s="184"/>
      <c r="R767" s="185"/>
      <c r="S767" s="185"/>
      <c r="U767" s="184"/>
      <c r="V767" s="184"/>
      <c r="W767" s="184"/>
      <c r="X767" s="184"/>
      <c r="Y767" s="184"/>
      <c r="Z767" s="184"/>
      <c r="AA767" s="184"/>
      <c r="AB767" s="184"/>
      <c r="AC767" s="184"/>
      <c r="AD767" s="184"/>
      <c r="AE767" s="184"/>
      <c r="AF767" s="184"/>
      <c r="AG767" s="184"/>
      <c r="AH767" s="184"/>
      <c r="AI767" s="184"/>
      <c r="AJ767" s="184"/>
      <c r="AK767" s="184"/>
      <c r="AL767" s="186"/>
      <c r="AM767" s="187"/>
      <c r="AN767" s="187"/>
      <c r="AO767" s="187"/>
    </row>
    <row r="768" spans="1:41" s="163" customFormat="1" ht="16.5" customHeight="1">
      <c r="A768" s="180"/>
      <c r="B768" s="181"/>
      <c r="C768" s="182"/>
      <c r="D768" s="182"/>
      <c r="E768" s="183"/>
      <c r="F768" s="183"/>
      <c r="G768" s="183"/>
      <c r="H768" s="184"/>
      <c r="I768" s="184"/>
      <c r="J768" s="184"/>
      <c r="K768" s="184"/>
      <c r="L768" s="184"/>
      <c r="M768" s="184"/>
      <c r="N768" s="184"/>
      <c r="O768" s="184"/>
      <c r="Q768" s="184"/>
      <c r="R768" s="185"/>
      <c r="S768" s="185"/>
      <c r="U768" s="184"/>
      <c r="V768" s="184"/>
      <c r="W768" s="184"/>
      <c r="X768" s="184"/>
      <c r="Y768" s="184"/>
      <c r="Z768" s="184"/>
      <c r="AA768" s="184"/>
      <c r="AB768" s="184"/>
      <c r="AC768" s="184"/>
      <c r="AD768" s="184"/>
      <c r="AE768" s="184"/>
      <c r="AF768" s="184"/>
      <c r="AG768" s="184"/>
      <c r="AH768" s="184"/>
      <c r="AI768" s="184"/>
      <c r="AJ768" s="184"/>
      <c r="AK768" s="184"/>
      <c r="AL768" s="186"/>
      <c r="AM768" s="187"/>
      <c r="AN768" s="187"/>
      <c r="AO768" s="187"/>
    </row>
    <row r="769" spans="1:41" s="163" customFormat="1" ht="16.5" customHeight="1">
      <c r="A769" s="180"/>
      <c r="B769" s="181"/>
      <c r="C769" s="182"/>
      <c r="D769" s="182"/>
      <c r="E769" s="183"/>
      <c r="F769" s="183"/>
      <c r="G769" s="183"/>
      <c r="H769" s="184"/>
      <c r="I769" s="184"/>
      <c r="J769" s="184"/>
      <c r="K769" s="184"/>
      <c r="L769" s="184"/>
      <c r="M769" s="184"/>
      <c r="N769" s="184"/>
      <c r="O769" s="184"/>
      <c r="Q769" s="184"/>
      <c r="R769" s="185"/>
      <c r="S769" s="185"/>
      <c r="U769" s="184"/>
      <c r="V769" s="184"/>
      <c r="W769" s="184"/>
      <c r="X769" s="184"/>
      <c r="Y769" s="184"/>
      <c r="Z769" s="184"/>
      <c r="AA769" s="184"/>
      <c r="AB769" s="184"/>
      <c r="AC769" s="184"/>
      <c r="AD769" s="184"/>
      <c r="AE769" s="184"/>
      <c r="AF769" s="184"/>
      <c r="AG769" s="184"/>
      <c r="AH769" s="184"/>
      <c r="AI769" s="184"/>
      <c r="AJ769" s="184"/>
      <c r="AK769" s="184"/>
      <c r="AL769" s="186"/>
      <c r="AM769" s="187"/>
      <c r="AN769" s="187"/>
      <c r="AO769" s="187"/>
    </row>
    <row r="770" spans="1:41" s="163" customFormat="1" ht="16.5" customHeight="1">
      <c r="A770" s="180"/>
      <c r="B770" s="181"/>
      <c r="C770" s="182"/>
      <c r="D770" s="182"/>
      <c r="E770" s="183"/>
      <c r="F770" s="183"/>
      <c r="G770" s="183"/>
      <c r="H770" s="184"/>
      <c r="I770" s="184"/>
      <c r="J770" s="184"/>
      <c r="K770" s="184"/>
      <c r="L770" s="184"/>
      <c r="M770" s="184"/>
      <c r="N770" s="184"/>
      <c r="O770" s="184"/>
      <c r="Q770" s="184"/>
      <c r="R770" s="185"/>
      <c r="S770" s="185"/>
      <c r="U770" s="184"/>
      <c r="V770" s="184"/>
      <c r="W770" s="184"/>
      <c r="X770" s="184"/>
      <c r="Y770" s="184"/>
      <c r="Z770" s="184"/>
      <c r="AA770" s="184"/>
      <c r="AB770" s="184"/>
      <c r="AC770" s="184"/>
      <c r="AD770" s="184"/>
      <c r="AE770" s="184"/>
      <c r="AF770" s="184"/>
      <c r="AG770" s="184"/>
      <c r="AH770" s="184"/>
      <c r="AI770" s="184"/>
      <c r="AJ770" s="184"/>
      <c r="AK770" s="184"/>
      <c r="AL770" s="186"/>
      <c r="AM770" s="187"/>
      <c r="AN770" s="187"/>
      <c r="AO770" s="187"/>
    </row>
    <row r="771" spans="1:41" s="163" customFormat="1" ht="16.5" customHeight="1">
      <c r="A771" s="180"/>
      <c r="B771" s="181"/>
      <c r="C771" s="182"/>
      <c r="D771" s="182"/>
      <c r="E771" s="183"/>
      <c r="F771" s="183"/>
      <c r="G771" s="183"/>
      <c r="H771" s="184"/>
      <c r="I771" s="184"/>
      <c r="J771" s="184"/>
      <c r="K771" s="184"/>
      <c r="L771" s="184"/>
      <c r="M771" s="184"/>
      <c r="N771" s="184"/>
      <c r="O771" s="184"/>
      <c r="Q771" s="184"/>
      <c r="R771" s="185"/>
      <c r="S771" s="185"/>
      <c r="U771" s="184"/>
      <c r="V771" s="184"/>
      <c r="W771" s="184"/>
      <c r="X771" s="184"/>
      <c r="Y771" s="184"/>
      <c r="Z771" s="184"/>
      <c r="AA771" s="184"/>
      <c r="AB771" s="184"/>
      <c r="AC771" s="184"/>
      <c r="AD771" s="184"/>
      <c r="AE771" s="184"/>
      <c r="AF771" s="184"/>
      <c r="AG771" s="184"/>
      <c r="AH771" s="184"/>
      <c r="AI771" s="184"/>
      <c r="AJ771" s="184"/>
      <c r="AK771" s="184"/>
      <c r="AL771" s="186"/>
      <c r="AM771" s="187"/>
      <c r="AN771" s="187"/>
      <c r="AO771" s="187"/>
    </row>
    <row r="772" spans="1:41" s="163" customFormat="1" ht="16.5" customHeight="1">
      <c r="A772" s="180"/>
      <c r="B772" s="181"/>
      <c r="C772" s="182"/>
      <c r="D772" s="182"/>
      <c r="E772" s="183"/>
      <c r="F772" s="183"/>
      <c r="G772" s="183"/>
      <c r="H772" s="184"/>
      <c r="I772" s="184"/>
      <c r="J772" s="184"/>
      <c r="K772" s="184"/>
      <c r="L772" s="184"/>
      <c r="M772" s="184"/>
      <c r="N772" s="184"/>
      <c r="O772" s="184"/>
      <c r="Q772" s="184"/>
      <c r="R772" s="185"/>
      <c r="S772" s="185"/>
      <c r="U772" s="184"/>
      <c r="V772" s="184"/>
      <c r="W772" s="184"/>
      <c r="X772" s="184"/>
      <c r="Y772" s="184"/>
      <c r="Z772" s="184"/>
      <c r="AA772" s="184"/>
      <c r="AB772" s="184"/>
      <c r="AC772" s="184"/>
      <c r="AD772" s="184"/>
      <c r="AE772" s="184"/>
      <c r="AF772" s="184"/>
      <c r="AG772" s="184"/>
      <c r="AH772" s="184"/>
      <c r="AI772" s="184"/>
      <c r="AJ772" s="184"/>
      <c r="AK772" s="184"/>
      <c r="AL772" s="186"/>
      <c r="AM772" s="187"/>
      <c r="AN772" s="187"/>
      <c r="AO772" s="187"/>
    </row>
    <row r="773" spans="1:41" s="163" customFormat="1" ht="16.5" customHeight="1">
      <c r="A773" s="180"/>
      <c r="B773" s="181"/>
      <c r="C773" s="182"/>
      <c r="D773" s="182"/>
      <c r="E773" s="183"/>
      <c r="F773" s="183"/>
      <c r="G773" s="183"/>
      <c r="H773" s="184"/>
      <c r="I773" s="184"/>
      <c r="J773" s="184"/>
      <c r="K773" s="184"/>
      <c r="L773" s="184"/>
      <c r="M773" s="184"/>
      <c r="N773" s="184"/>
      <c r="O773" s="184"/>
      <c r="Q773" s="184"/>
      <c r="R773" s="185"/>
      <c r="S773" s="185"/>
      <c r="U773" s="184"/>
      <c r="V773" s="184"/>
      <c r="W773" s="184"/>
      <c r="X773" s="184"/>
      <c r="Y773" s="184"/>
      <c r="Z773" s="184"/>
      <c r="AA773" s="184"/>
      <c r="AB773" s="184"/>
      <c r="AC773" s="184"/>
      <c r="AD773" s="184"/>
      <c r="AE773" s="184"/>
      <c r="AF773" s="184"/>
      <c r="AG773" s="184"/>
      <c r="AH773" s="184"/>
      <c r="AI773" s="184"/>
      <c r="AJ773" s="184"/>
      <c r="AK773" s="184"/>
      <c r="AL773" s="186"/>
      <c r="AM773" s="187"/>
      <c r="AN773" s="187"/>
      <c r="AO773" s="187"/>
    </row>
    <row r="774" spans="1:41" s="163" customFormat="1" ht="16.5" customHeight="1">
      <c r="A774" s="180"/>
      <c r="B774" s="181"/>
      <c r="C774" s="182"/>
      <c r="D774" s="182"/>
      <c r="E774" s="183"/>
      <c r="F774" s="183"/>
      <c r="G774" s="183"/>
      <c r="H774" s="184"/>
      <c r="I774" s="184"/>
      <c r="J774" s="184"/>
      <c r="K774" s="184"/>
      <c r="L774" s="184"/>
      <c r="M774" s="184"/>
      <c r="N774" s="184"/>
      <c r="O774" s="184"/>
      <c r="Q774" s="184"/>
      <c r="R774" s="185"/>
      <c r="S774" s="185"/>
      <c r="U774" s="184"/>
      <c r="V774" s="184"/>
      <c r="W774" s="184"/>
      <c r="X774" s="184"/>
      <c r="Y774" s="184"/>
      <c r="Z774" s="184"/>
      <c r="AA774" s="184"/>
      <c r="AB774" s="184"/>
      <c r="AC774" s="184"/>
      <c r="AD774" s="184"/>
      <c r="AE774" s="184"/>
      <c r="AF774" s="184"/>
      <c r="AG774" s="184"/>
      <c r="AH774" s="184"/>
      <c r="AI774" s="184"/>
      <c r="AJ774" s="184"/>
      <c r="AK774" s="184"/>
      <c r="AL774" s="186"/>
      <c r="AM774" s="187"/>
      <c r="AN774" s="187"/>
      <c r="AO774" s="187"/>
    </row>
    <row r="775" spans="1:41" s="163" customFormat="1" ht="16.5" customHeight="1">
      <c r="A775" s="180"/>
      <c r="B775" s="181"/>
      <c r="C775" s="182"/>
      <c r="D775" s="182"/>
      <c r="E775" s="183"/>
      <c r="F775" s="183"/>
      <c r="G775" s="183"/>
      <c r="H775" s="184"/>
      <c r="I775" s="184"/>
      <c r="J775" s="184"/>
      <c r="K775" s="184"/>
      <c r="L775" s="184"/>
      <c r="M775" s="184"/>
      <c r="N775" s="184"/>
      <c r="O775" s="184"/>
      <c r="Q775" s="184"/>
      <c r="R775" s="185"/>
      <c r="S775" s="185"/>
      <c r="U775" s="184"/>
      <c r="V775" s="184"/>
      <c r="W775" s="184"/>
      <c r="X775" s="184"/>
      <c r="Y775" s="184"/>
      <c r="Z775" s="184"/>
      <c r="AA775" s="184"/>
      <c r="AB775" s="184"/>
      <c r="AC775" s="184"/>
      <c r="AD775" s="184"/>
      <c r="AE775" s="184"/>
      <c r="AF775" s="184"/>
      <c r="AG775" s="184"/>
      <c r="AH775" s="184"/>
      <c r="AI775" s="184"/>
      <c r="AJ775" s="184"/>
      <c r="AK775" s="184"/>
      <c r="AL775" s="186"/>
      <c r="AM775" s="187"/>
      <c r="AN775" s="187"/>
      <c r="AO775" s="187"/>
    </row>
    <row r="776" spans="1:41" s="163" customFormat="1" ht="16.5" customHeight="1">
      <c r="A776" s="180"/>
      <c r="B776" s="181"/>
      <c r="C776" s="182"/>
      <c r="D776" s="182"/>
      <c r="E776" s="183"/>
      <c r="F776" s="183"/>
      <c r="G776" s="183"/>
      <c r="H776" s="184"/>
      <c r="I776" s="184"/>
      <c r="J776" s="184"/>
      <c r="K776" s="184"/>
      <c r="L776" s="184"/>
      <c r="M776" s="184"/>
      <c r="N776" s="184"/>
      <c r="O776" s="184"/>
      <c r="Q776" s="184"/>
      <c r="R776" s="185"/>
      <c r="S776" s="185"/>
      <c r="U776" s="184"/>
      <c r="V776" s="184"/>
      <c r="W776" s="184"/>
      <c r="X776" s="184"/>
      <c r="Y776" s="184"/>
      <c r="Z776" s="184"/>
      <c r="AA776" s="184"/>
      <c r="AB776" s="184"/>
      <c r="AC776" s="184"/>
      <c r="AD776" s="184"/>
      <c r="AE776" s="184"/>
      <c r="AF776" s="184"/>
      <c r="AG776" s="184"/>
      <c r="AH776" s="184"/>
      <c r="AI776" s="184"/>
      <c r="AJ776" s="184"/>
      <c r="AK776" s="184"/>
      <c r="AL776" s="186"/>
      <c r="AM776" s="187"/>
      <c r="AN776" s="187"/>
      <c r="AO776" s="187"/>
    </row>
    <row r="777" spans="1:41" s="163" customFormat="1" ht="16.5" customHeight="1">
      <c r="A777" s="180"/>
      <c r="B777" s="181"/>
      <c r="C777" s="182"/>
      <c r="D777" s="182"/>
      <c r="E777" s="183"/>
      <c r="F777" s="183"/>
      <c r="G777" s="183"/>
      <c r="H777" s="184"/>
      <c r="I777" s="184"/>
      <c r="J777" s="184"/>
      <c r="K777" s="184"/>
      <c r="L777" s="184"/>
      <c r="M777" s="184"/>
      <c r="N777" s="184"/>
      <c r="O777" s="184"/>
      <c r="Q777" s="184"/>
      <c r="R777" s="185"/>
      <c r="S777" s="185"/>
      <c r="U777" s="184"/>
      <c r="V777" s="184"/>
      <c r="W777" s="184"/>
      <c r="X777" s="184"/>
      <c r="Y777" s="184"/>
      <c r="Z777" s="184"/>
      <c r="AA777" s="184"/>
      <c r="AB777" s="184"/>
      <c r="AC777" s="184"/>
      <c r="AD777" s="184"/>
      <c r="AE777" s="184"/>
      <c r="AF777" s="184"/>
      <c r="AG777" s="184"/>
      <c r="AH777" s="184"/>
      <c r="AI777" s="184"/>
      <c r="AJ777" s="184"/>
      <c r="AK777" s="184"/>
      <c r="AL777" s="186"/>
      <c r="AM777" s="187"/>
      <c r="AN777" s="187"/>
      <c r="AO777" s="187"/>
    </row>
    <row r="778" spans="1:41" s="163" customFormat="1" ht="16.5" customHeight="1">
      <c r="A778" s="180"/>
      <c r="B778" s="181"/>
      <c r="C778" s="182"/>
      <c r="D778" s="182"/>
      <c r="E778" s="183"/>
      <c r="F778" s="183"/>
      <c r="G778" s="183"/>
      <c r="H778" s="184"/>
      <c r="I778" s="184"/>
      <c r="J778" s="184"/>
      <c r="K778" s="184"/>
      <c r="L778" s="184"/>
      <c r="M778" s="184"/>
      <c r="N778" s="184"/>
      <c r="O778" s="184"/>
      <c r="Q778" s="184"/>
      <c r="R778" s="185"/>
      <c r="S778" s="185"/>
      <c r="U778" s="184"/>
      <c r="V778" s="184"/>
      <c r="W778" s="184"/>
      <c r="X778" s="184"/>
      <c r="Y778" s="184"/>
      <c r="Z778" s="184"/>
      <c r="AA778" s="184"/>
      <c r="AB778" s="184"/>
      <c r="AC778" s="184"/>
      <c r="AD778" s="184"/>
      <c r="AE778" s="184"/>
      <c r="AF778" s="184"/>
      <c r="AG778" s="184"/>
      <c r="AH778" s="184"/>
      <c r="AI778" s="184"/>
      <c r="AJ778" s="184"/>
      <c r="AK778" s="184"/>
      <c r="AL778" s="186"/>
      <c r="AM778" s="187"/>
      <c r="AN778" s="187"/>
      <c r="AO778" s="187"/>
    </row>
    <row r="779" spans="1:41" s="163" customFormat="1" ht="16.5" customHeight="1">
      <c r="A779" s="180"/>
      <c r="B779" s="181"/>
      <c r="C779" s="182"/>
      <c r="D779" s="182"/>
      <c r="E779" s="183"/>
      <c r="F779" s="183"/>
      <c r="G779" s="183"/>
      <c r="H779" s="184"/>
      <c r="I779" s="184"/>
      <c r="J779" s="184"/>
      <c r="K779" s="184"/>
      <c r="L779" s="184"/>
      <c r="M779" s="184"/>
      <c r="N779" s="184"/>
      <c r="O779" s="184"/>
      <c r="Q779" s="184"/>
      <c r="R779" s="185"/>
      <c r="S779" s="185"/>
      <c r="U779" s="184"/>
      <c r="V779" s="184"/>
      <c r="W779" s="184"/>
      <c r="X779" s="184"/>
      <c r="Y779" s="184"/>
      <c r="Z779" s="184"/>
      <c r="AA779" s="184"/>
      <c r="AB779" s="184"/>
      <c r="AC779" s="184"/>
      <c r="AD779" s="184"/>
      <c r="AE779" s="184"/>
      <c r="AF779" s="184"/>
      <c r="AG779" s="184"/>
      <c r="AH779" s="184"/>
      <c r="AI779" s="184"/>
      <c r="AJ779" s="184"/>
      <c r="AK779" s="184"/>
      <c r="AL779" s="186"/>
      <c r="AM779" s="187"/>
      <c r="AN779" s="187"/>
      <c r="AO779" s="187"/>
    </row>
    <row r="780" spans="1:41" s="163" customFormat="1" ht="16.5" customHeight="1">
      <c r="A780" s="180"/>
      <c r="B780" s="181"/>
      <c r="C780" s="182"/>
      <c r="D780" s="182"/>
      <c r="E780" s="183"/>
      <c r="F780" s="183"/>
      <c r="G780" s="183"/>
      <c r="H780" s="184"/>
      <c r="I780" s="184"/>
      <c r="J780" s="184"/>
      <c r="K780" s="184"/>
      <c r="L780" s="184"/>
      <c r="M780" s="184"/>
      <c r="N780" s="184"/>
      <c r="O780" s="184"/>
      <c r="Q780" s="184"/>
      <c r="R780" s="185"/>
      <c r="S780" s="185"/>
      <c r="U780" s="184"/>
      <c r="V780" s="184"/>
      <c r="W780" s="184"/>
      <c r="X780" s="184"/>
      <c r="Y780" s="184"/>
      <c r="Z780" s="184"/>
      <c r="AA780" s="184"/>
      <c r="AB780" s="184"/>
      <c r="AC780" s="184"/>
      <c r="AD780" s="184"/>
      <c r="AE780" s="184"/>
      <c r="AF780" s="184"/>
      <c r="AG780" s="184"/>
      <c r="AH780" s="184"/>
      <c r="AI780" s="184"/>
      <c r="AJ780" s="184"/>
      <c r="AK780" s="184"/>
      <c r="AL780" s="186"/>
      <c r="AM780" s="187"/>
      <c r="AN780" s="187"/>
      <c r="AO780" s="187"/>
    </row>
    <row r="781" spans="1:41" s="163" customFormat="1" ht="16.5" customHeight="1">
      <c r="A781" s="180"/>
      <c r="B781" s="181"/>
      <c r="C781" s="182"/>
      <c r="D781" s="182"/>
      <c r="E781" s="183"/>
      <c r="F781" s="183"/>
      <c r="G781" s="183"/>
      <c r="H781" s="184"/>
      <c r="I781" s="184"/>
      <c r="J781" s="184"/>
      <c r="K781" s="184"/>
      <c r="L781" s="184"/>
      <c r="M781" s="184"/>
      <c r="N781" s="184"/>
      <c r="O781" s="184"/>
      <c r="Q781" s="184"/>
      <c r="R781" s="185"/>
      <c r="S781" s="185"/>
      <c r="U781" s="184"/>
      <c r="V781" s="184"/>
      <c r="W781" s="184"/>
      <c r="X781" s="184"/>
      <c r="Y781" s="184"/>
      <c r="Z781" s="184"/>
      <c r="AA781" s="184"/>
      <c r="AB781" s="184"/>
      <c r="AC781" s="184"/>
      <c r="AD781" s="184"/>
      <c r="AE781" s="184"/>
      <c r="AF781" s="184"/>
      <c r="AG781" s="184"/>
      <c r="AH781" s="184"/>
      <c r="AI781" s="184"/>
      <c r="AJ781" s="184"/>
      <c r="AK781" s="184"/>
      <c r="AL781" s="186"/>
      <c r="AM781" s="187"/>
      <c r="AN781" s="187"/>
      <c r="AO781" s="187"/>
    </row>
    <row r="782" spans="1:41" s="163" customFormat="1" ht="16.5" customHeight="1">
      <c r="A782" s="180"/>
      <c r="B782" s="181"/>
      <c r="C782" s="182"/>
      <c r="D782" s="182"/>
      <c r="E782" s="183"/>
      <c r="F782" s="183"/>
      <c r="G782" s="183"/>
      <c r="H782" s="184"/>
      <c r="I782" s="184"/>
      <c r="J782" s="184"/>
      <c r="K782" s="184"/>
      <c r="L782" s="184"/>
      <c r="M782" s="184"/>
      <c r="N782" s="184"/>
      <c r="O782" s="184"/>
      <c r="Q782" s="184"/>
      <c r="R782" s="185"/>
      <c r="S782" s="185"/>
      <c r="U782" s="184"/>
      <c r="V782" s="184"/>
      <c r="W782" s="184"/>
      <c r="X782" s="184"/>
      <c r="Y782" s="184"/>
      <c r="Z782" s="184"/>
      <c r="AA782" s="184"/>
      <c r="AB782" s="184"/>
      <c r="AC782" s="184"/>
      <c r="AD782" s="184"/>
      <c r="AE782" s="184"/>
      <c r="AF782" s="184"/>
      <c r="AG782" s="184"/>
      <c r="AH782" s="184"/>
      <c r="AI782" s="184"/>
      <c r="AJ782" s="184"/>
      <c r="AK782" s="184"/>
      <c r="AL782" s="186"/>
      <c r="AM782" s="187"/>
      <c r="AN782" s="187"/>
      <c r="AO782" s="187"/>
    </row>
    <row r="783" spans="1:41" s="163" customFormat="1" ht="16.5" customHeight="1">
      <c r="A783" s="180"/>
      <c r="B783" s="181"/>
      <c r="C783" s="182"/>
      <c r="D783" s="182"/>
      <c r="E783" s="183"/>
      <c r="F783" s="183"/>
      <c r="G783" s="183"/>
      <c r="H783" s="184"/>
      <c r="I783" s="184"/>
      <c r="J783" s="184"/>
      <c r="K783" s="184"/>
      <c r="L783" s="184"/>
      <c r="M783" s="184"/>
      <c r="N783" s="184"/>
      <c r="O783" s="184"/>
      <c r="Q783" s="184"/>
      <c r="R783" s="185"/>
      <c r="S783" s="185"/>
      <c r="U783" s="184"/>
      <c r="V783" s="184"/>
      <c r="W783" s="184"/>
      <c r="X783" s="184"/>
      <c r="Y783" s="184"/>
      <c r="Z783" s="184"/>
      <c r="AA783" s="184"/>
      <c r="AB783" s="184"/>
      <c r="AC783" s="184"/>
      <c r="AD783" s="184"/>
      <c r="AE783" s="184"/>
      <c r="AF783" s="184"/>
      <c r="AG783" s="184"/>
      <c r="AH783" s="184"/>
      <c r="AI783" s="184"/>
      <c r="AJ783" s="184"/>
      <c r="AK783" s="184"/>
      <c r="AL783" s="186"/>
      <c r="AM783" s="187"/>
      <c r="AN783" s="187"/>
      <c r="AO783" s="187"/>
    </row>
    <row r="784" spans="1:41" s="163" customFormat="1" ht="16.5" customHeight="1">
      <c r="A784" s="180"/>
      <c r="B784" s="181"/>
      <c r="C784" s="182"/>
      <c r="D784" s="182"/>
      <c r="E784" s="183"/>
      <c r="F784" s="183"/>
      <c r="G784" s="183"/>
      <c r="H784" s="184"/>
      <c r="I784" s="184"/>
      <c r="J784" s="184"/>
      <c r="K784" s="184"/>
      <c r="L784" s="184"/>
      <c r="M784" s="184"/>
      <c r="N784" s="184"/>
      <c r="O784" s="184"/>
      <c r="Q784" s="184"/>
      <c r="R784" s="185"/>
      <c r="S784" s="185"/>
      <c r="U784" s="184"/>
      <c r="V784" s="184"/>
      <c r="W784" s="184"/>
      <c r="X784" s="184"/>
      <c r="Y784" s="184"/>
      <c r="Z784" s="184"/>
      <c r="AA784" s="184"/>
      <c r="AB784" s="184"/>
      <c r="AC784" s="184"/>
      <c r="AD784" s="184"/>
      <c r="AE784" s="184"/>
      <c r="AF784" s="184"/>
      <c r="AG784" s="184"/>
      <c r="AH784" s="184"/>
      <c r="AI784" s="184"/>
      <c r="AJ784" s="184"/>
      <c r="AK784" s="184"/>
      <c r="AL784" s="186"/>
      <c r="AM784" s="187"/>
      <c r="AN784" s="187"/>
      <c r="AO784" s="187"/>
    </row>
    <row r="785" spans="1:41" s="163" customFormat="1" ht="16.5" customHeight="1">
      <c r="A785" s="180"/>
      <c r="B785" s="181"/>
      <c r="C785" s="182"/>
      <c r="D785" s="182"/>
      <c r="E785" s="183"/>
      <c r="F785" s="183"/>
      <c r="G785" s="183"/>
      <c r="H785" s="184"/>
      <c r="I785" s="184"/>
      <c r="J785" s="184"/>
      <c r="K785" s="184"/>
      <c r="L785" s="184"/>
      <c r="M785" s="184"/>
      <c r="N785" s="184"/>
      <c r="O785" s="184"/>
      <c r="Q785" s="184"/>
      <c r="R785" s="185"/>
      <c r="S785" s="185"/>
      <c r="U785" s="184"/>
      <c r="V785" s="184"/>
      <c r="W785" s="184"/>
      <c r="X785" s="184"/>
      <c r="Y785" s="184"/>
      <c r="Z785" s="184"/>
      <c r="AA785" s="184"/>
      <c r="AB785" s="184"/>
      <c r="AC785" s="184"/>
      <c r="AD785" s="184"/>
      <c r="AE785" s="184"/>
      <c r="AF785" s="184"/>
      <c r="AG785" s="184"/>
      <c r="AH785" s="184"/>
      <c r="AI785" s="184"/>
      <c r="AJ785" s="184"/>
      <c r="AK785" s="184"/>
      <c r="AL785" s="186"/>
      <c r="AM785" s="187"/>
      <c r="AN785" s="187"/>
      <c r="AO785" s="187"/>
    </row>
    <row r="786" spans="1:41" s="163" customFormat="1" ht="16.5" customHeight="1">
      <c r="A786" s="180"/>
      <c r="B786" s="181"/>
      <c r="C786" s="182"/>
      <c r="D786" s="182"/>
      <c r="E786" s="183"/>
      <c r="F786" s="183"/>
      <c r="G786" s="183"/>
      <c r="H786" s="184"/>
      <c r="I786" s="184"/>
      <c r="J786" s="184"/>
      <c r="K786" s="184"/>
      <c r="L786" s="184"/>
      <c r="M786" s="184"/>
      <c r="N786" s="184"/>
      <c r="O786" s="184"/>
      <c r="Q786" s="184"/>
      <c r="R786" s="185"/>
      <c r="S786" s="185"/>
      <c r="U786" s="184"/>
      <c r="V786" s="184"/>
      <c r="W786" s="184"/>
      <c r="X786" s="184"/>
      <c r="Y786" s="184"/>
      <c r="Z786" s="184"/>
      <c r="AA786" s="184"/>
      <c r="AB786" s="184"/>
      <c r="AC786" s="184"/>
      <c r="AD786" s="184"/>
      <c r="AE786" s="184"/>
      <c r="AF786" s="184"/>
      <c r="AG786" s="184"/>
      <c r="AH786" s="184"/>
      <c r="AI786" s="184"/>
      <c r="AJ786" s="184"/>
      <c r="AK786" s="184"/>
      <c r="AL786" s="186"/>
      <c r="AM786" s="187"/>
      <c r="AN786" s="187"/>
      <c r="AO786" s="187"/>
    </row>
    <row r="787" spans="1:41" s="163" customFormat="1" ht="16.5" customHeight="1">
      <c r="A787" s="180"/>
      <c r="B787" s="181"/>
      <c r="C787" s="182"/>
      <c r="D787" s="182"/>
      <c r="E787" s="183"/>
      <c r="F787" s="183"/>
      <c r="G787" s="183"/>
      <c r="H787" s="184"/>
      <c r="I787" s="184"/>
      <c r="J787" s="184"/>
      <c r="K787" s="184"/>
      <c r="L787" s="184"/>
      <c r="M787" s="184"/>
      <c r="N787" s="184"/>
      <c r="O787" s="184"/>
      <c r="Q787" s="184"/>
      <c r="R787" s="185"/>
      <c r="S787" s="185"/>
      <c r="U787" s="184"/>
      <c r="V787" s="184"/>
      <c r="W787" s="184"/>
      <c r="X787" s="184"/>
      <c r="Y787" s="184"/>
      <c r="Z787" s="184"/>
      <c r="AA787" s="184"/>
      <c r="AB787" s="184"/>
      <c r="AC787" s="184"/>
      <c r="AD787" s="184"/>
      <c r="AE787" s="184"/>
      <c r="AF787" s="184"/>
      <c r="AG787" s="184"/>
      <c r="AH787" s="184"/>
      <c r="AI787" s="184"/>
      <c r="AJ787" s="184"/>
      <c r="AK787" s="184"/>
      <c r="AL787" s="186"/>
      <c r="AM787" s="187"/>
      <c r="AN787" s="187"/>
      <c r="AO787" s="187"/>
    </row>
    <row r="788" spans="1:41" s="163" customFormat="1" ht="16.5" customHeight="1">
      <c r="A788" s="180"/>
      <c r="B788" s="181"/>
      <c r="C788" s="182"/>
      <c r="D788" s="182"/>
      <c r="E788" s="183"/>
      <c r="F788" s="183"/>
      <c r="G788" s="183"/>
      <c r="H788" s="184"/>
      <c r="I788" s="184"/>
      <c r="J788" s="184"/>
      <c r="K788" s="184"/>
      <c r="L788" s="184"/>
      <c r="M788" s="184"/>
      <c r="N788" s="184"/>
      <c r="O788" s="184"/>
      <c r="Q788" s="184"/>
      <c r="R788" s="185"/>
      <c r="S788" s="185"/>
      <c r="U788" s="184"/>
      <c r="V788" s="184"/>
      <c r="W788" s="184"/>
      <c r="X788" s="184"/>
      <c r="Y788" s="184"/>
      <c r="Z788" s="184"/>
      <c r="AA788" s="184"/>
      <c r="AB788" s="184"/>
      <c r="AC788" s="184"/>
      <c r="AD788" s="184"/>
      <c r="AE788" s="184"/>
      <c r="AF788" s="184"/>
      <c r="AG788" s="184"/>
      <c r="AH788" s="184"/>
      <c r="AI788" s="184"/>
      <c r="AJ788" s="184"/>
      <c r="AK788" s="184"/>
      <c r="AL788" s="186"/>
      <c r="AM788" s="187"/>
      <c r="AN788" s="187"/>
      <c r="AO788" s="187"/>
    </row>
    <row r="789" spans="1:41" s="163" customFormat="1" ht="16.5" customHeight="1">
      <c r="A789" s="180"/>
      <c r="B789" s="181"/>
      <c r="C789" s="182"/>
      <c r="D789" s="182"/>
      <c r="E789" s="183"/>
      <c r="F789" s="183"/>
      <c r="G789" s="183"/>
      <c r="H789" s="184"/>
      <c r="I789" s="184"/>
      <c r="J789" s="184"/>
      <c r="K789" s="184"/>
      <c r="L789" s="184"/>
      <c r="M789" s="184"/>
      <c r="N789" s="184"/>
      <c r="O789" s="184"/>
      <c r="Q789" s="184"/>
      <c r="R789" s="185"/>
      <c r="S789" s="185"/>
      <c r="U789" s="184"/>
      <c r="V789" s="184"/>
      <c r="W789" s="184"/>
      <c r="X789" s="184"/>
      <c r="Y789" s="184"/>
      <c r="Z789" s="184"/>
      <c r="AA789" s="184"/>
      <c r="AB789" s="184"/>
      <c r="AC789" s="184"/>
      <c r="AD789" s="184"/>
      <c r="AE789" s="184"/>
      <c r="AF789" s="184"/>
      <c r="AG789" s="184"/>
      <c r="AH789" s="184"/>
      <c r="AI789" s="184"/>
      <c r="AJ789" s="184"/>
      <c r="AK789" s="184"/>
      <c r="AL789" s="186"/>
      <c r="AM789" s="187"/>
      <c r="AN789" s="187"/>
      <c r="AO789" s="187"/>
    </row>
    <row r="790" spans="1:41" s="163" customFormat="1" ht="16.5" customHeight="1">
      <c r="A790" s="180"/>
      <c r="B790" s="181"/>
      <c r="C790" s="182"/>
      <c r="D790" s="182"/>
      <c r="E790" s="183"/>
      <c r="F790" s="183"/>
      <c r="G790" s="183"/>
      <c r="H790" s="184"/>
      <c r="I790" s="184"/>
      <c r="J790" s="184"/>
      <c r="K790" s="184"/>
      <c r="L790" s="184"/>
      <c r="M790" s="184"/>
      <c r="N790" s="184"/>
      <c r="O790" s="184"/>
      <c r="Q790" s="184"/>
      <c r="R790" s="185"/>
      <c r="S790" s="185"/>
      <c r="U790" s="184"/>
      <c r="V790" s="184"/>
      <c r="W790" s="184"/>
      <c r="X790" s="184"/>
      <c r="Y790" s="184"/>
      <c r="Z790" s="184"/>
      <c r="AA790" s="184"/>
      <c r="AB790" s="184"/>
      <c r="AC790" s="184"/>
      <c r="AD790" s="184"/>
      <c r="AE790" s="184"/>
      <c r="AF790" s="184"/>
      <c r="AG790" s="184"/>
      <c r="AH790" s="184"/>
      <c r="AI790" s="184"/>
      <c r="AJ790" s="184"/>
      <c r="AK790" s="184"/>
      <c r="AL790" s="186"/>
      <c r="AM790" s="187"/>
      <c r="AN790" s="187"/>
      <c r="AO790" s="187"/>
    </row>
    <row r="791" spans="1:41" s="163" customFormat="1" ht="16.5" customHeight="1">
      <c r="A791" s="180"/>
      <c r="B791" s="181"/>
      <c r="C791" s="182"/>
      <c r="D791" s="182"/>
      <c r="E791" s="183"/>
      <c r="F791" s="183"/>
      <c r="G791" s="183"/>
      <c r="H791" s="184"/>
      <c r="I791" s="184"/>
      <c r="J791" s="184"/>
      <c r="K791" s="184"/>
      <c r="L791" s="184"/>
      <c r="M791" s="184"/>
      <c r="N791" s="184"/>
      <c r="O791" s="184"/>
      <c r="Q791" s="184"/>
      <c r="R791" s="185"/>
      <c r="S791" s="185"/>
      <c r="U791" s="184"/>
      <c r="V791" s="184"/>
      <c r="W791" s="184"/>
      <c r="X791" s="184"/>
      <c r="Y791" s="184"/>
      <c r="Z791" s="184"/>
      <c r="AA791" s="184"/>
      <c r="AB791" s="184"/>
      <c r="AC791" s="184"/>
      <c r="AD791" s="184"/>
      <c r="AE791" s="184"/>
      <c r="AF791" s="184"/>
      <c r="AG791" s="184"/>
      <c r="AH791" s="184"/>
      <c r="AI791" s="184"/>
      <c r="AJ791" s="184"/>
      <c r="AK791" s="184"/>
      <c r="AL791" s="186"/>
      <c r="AM791" s="187"/>
      <c r="AN791" s="187"/>
      <c r="AO791" s="187"/>
    </row>
    <row r="792" spans="1:41" s="163" customFormat="1" ht="16.5" customHeight="1">
      <c r="A792" s="180"/>
      <c r="B792" s="181"/>
      <c r="C792" s="182"/>
      <c r="D792" s="182"/>
      <c r="E792" s="183"/>
      <c r="F792" s="183"/>
      <c r="G792" s="183"/>
      <c r="H792" s="184"/>
      <c r="I792" s="184"/>
      <c r="J792" s="184"/>
      <c r="K792" s="184"/>
      <c r="L792" s="184"/>
      <c r="M792" s="184"/>
      <c r="N792" s="184"/>
      <c r="O792" s="184"/>
      <c r="Q792" s="184"/>
      <c r="R792" s="185"/>
      <c r="S792" s="185"/>
      <c r="U792" s="184"/>
      <c r="V792" s="184"/>
      <c r="W792" s="184"/>
      <c r="X792" s="184"/>
      <c r="Y792" s="184"/>
      <c r="Z792" s="184"/>
      <c r="AA792" s="184"/>
      <c r="AB792" s="184"/>
      <c r="AC792" s="184"/>
      <c r="AD792" s="184"/>
      <c r="AE792" s="184"/>
      <c r="AF792" s="184"/>
      <c r="AG792" s="184"/>
      <c r="AH792" s="184"/>
      <c r="AI792" s="184"/>
      <c r="AJ792" s="184"/>
      <c r="AK792" s="184"/>
      <c r="AL792" s="186"/>
      <c r="AM792" s="187"/>
      <c r="AN792" s="187"/>
      <c r="AO792" s="187"/>
    </row>
    <row r="793" spans="1:41" s="163" customFormat="1" ht="16.5" customHeight="1">
      <c r="A793" s="180"/>
      <c r="B793" s="181"/>
      <c r="C793" s="182"/>
      <c r="D793" s="182"/>
      <c r="E793" s="183"/>
      <c r="F793" s="183"/>
      <c r="G793" s="183"/>
      <c r="H793" s="184"/>
      <c r="I793" s="184"/>
      <c r="J793" s="184"/>
      <c r="K793" s="184"/>
      <c r="L793" s="184"/>
      <c r="M793" s="184"/>
      <c r="N793" s="184"/>
      <c r="O793" s="184"/>
      <c r="Q793" s="184"/>
      <c r="R793" s="185"/>
      <c r="S793" s="185"/>
      <c r="U793" s="184"/>
      <c r="V793" s="184"/>
      <c r="W793" s="184"/>
      <c r="X793" s="184"/>
      <c r="Y793" s="184"/>
      <c r="Z793" s="184"/>
      <c r="AA793" s="184"/>
      <c r="AB793" s="184"/>
      <c r="AC793" s="184"/>
      <c r="AD793" s="184"/>
      <c r="AE793" s="184"/>
      <c r="AF793" s="184"/>
      <c r="AG793" s="184"/>
      <c r="AH793" s="184"/>
      <c r="AI793" s="184"/>
      <c r="AJ793" s="184"/>
      <c r="AK793" s="184"/>
      <c r="AL793" s="186"/>
      <c r="AM793" s="187"/>
      <c r="AN793" s="187"/>
      <c r="AO793" s="187"/>
    </row>
    <row r="794" spans="1:41" s="163" customFormat="1" ht="16.5" customHeight="1">
      <c r="A794" s="180"/>
      <c r="B794" s="181"/>
      <c r="C794" s="182"/>
      <c r="D794" s="182"/>
      <c r="E794" s="183"/>
      <c r="F794" s="183"/>
      <c r="G794" s="183"/>
      <c r="H794" s="184"/>
      <c r="I794" s="184"/>
      <c r="J794" s="184"/>
      <c r="K794" s="184"/>
      <c r="L794" s="184"/>
      <c r="M794" s="184"/>
      <c r="N794" s="184"/>
      <c r="O794" s="184"/>
      <c r="Q794" s="184"/>
      <c r="R794" s="185"/>
      <c r="S794" s="185"/>
      <c r="U794" s="184"/>
      <c r="V794" s="184"/>
      <c r="W794" s="184"/>
      <c r="X794" s="184"/>
      <c r="Y794" s="184"/>
      <c r="Z794" s="184"/>
      <c r="AA794" s="184"/>
      <c r="AB794" s="184"/>
      <c r="AC794" s="184"/>
      <c r="AD794" s="184"/>
      <c r="AE794" s="184"/>
      <c r="AF794" s="184"/>
      <c r="AG794" s="184"/>
      <c r="AH794" s="184"/>
      <c r="AI794" s="184"/>
      <c r="AJ794" s="184"/>
      <c r="AK794" s="184"/>
      <c r="AL794" s="186"/>
      <c r="AM794" s="187"/>
      <c r="AN794" s="187"/>
      <c r="AO794" s="187"/>
    </row>
    <row r="795" spans="1:41" s="163" customFormat="1" ht="16.5" customHeight="1">
      <c r="A795" s="180"/>
      <c r="B795" s="181"/>
      <c r="C795" s="182"/>
      <c r="D795" s="182"/>
      <c r="E795" s="183"/>
      <c r="F795" s="183"/>
      <c r="G795" s="183"/>
      <c r="H795" s="184"/>
      <c r="I795" s="184"/>
      <c r="J795" s="184"/>
      <c r="K795" s="184"/>
      <c r="L795" s="184"/>
      <c r="M795" s="184"/>
      <c r="N795" s="184"/>
      <c r="O795" s="184"/>
      <c r="Q795" s="184"/>
      <c r="R795" s="185"/>
      <c r="S795" s="185"/>
      <c r="U795" s="184"/>
      <c r="V795" s="184"/>
      <c r="W795" s="184"/>
      <c r="X795" s="184"/>
      <c r="Y795" s="184"/>
      <c r="Z795" s="184"/>
      <c r="AA795" s="184"/>
      <c r="AB795" s="184"/>
      <c r="AC795" s="184"/>
      <c r="AD795" s="184"/>
      <c r="AE795" s="184"/>
      <c r="AF795" s="184"/>
      <c r="AG795" s="184"/>
      <c r="AH795" s="184"/>
      <c r="AI795" s="184"/>
      <c r="AJ795" s="184"/>
      <c r="AK795" s="184"/>
      <c r="AL795" s="186"/>
      <c r="AM795" s="187"/>
      <c r="AN795" s="187"/>
      <c r="AO795" s="187"/>
    </row>
    <row r="796" spans="1:41" s="163" customFormat="1" ht="16.5" customHeight="1">
      <c r="A796" s="180"/>
      <c r="B796" s="181"/>
      <c r="C796" s="182"/>
      <c r="D796" s="182"/>
      <c r="E796" s="183"/>
      <c r="F796" s="183"/>
      <c r="G796" s="183"/>
      <c r="H796" s="184"/>
      <c r="I796" s="184"/>
      <c r="J796" s="184"/>
      <c r="K796" s="184"/>
      <c r="L796" s="184"/>
      <c r="M796" s="184"/>
      <c r="N796" s="184"/>
      <c r="O796" s="184"/>
      <c r="Q796" s="184"/>
      <c r="R796" s="185"/>
      <c r="S796" s="185"/>
      <c r="U796" s="184"/>
      <c r="V796" s="184"/>
      <c r="W796" s="184"/>
      <c r="X796" s="184"/>
      <c r="Y796" s="184"/>
      <c r="Z796" s="184"/>
      <c r="AA796" s="184"/>
      <c r="AB796" s="184"/>
      <c r="AC796" s="184"/>
      <c r="AD796" s="184"/>
      <c r="AE796" s="184"/>
      <c r="AF796" s="184"/>
      <c r="AG796" s="184"/>
      <c r="AH796" s="184"/>
      <c r="AI796" s="184"/>
      <c r="AJ796" s="184"/>
      <c r="AK796" s="184"/>
      <c r="AL796" s="186"/>
      <c r="AM796" s="187"/>
      <c r="AN796" s="187"/>
      <c r="AO796" s="187"/>
    </row>
    <row r="797" spans="1:41" s="163" customFormat="1" ht="16.5" customHeight="1">
      <c r="A797" s="180"/>
      <c r="B797" s="181"/>
      <c r="C797" s="182"/>
      <c r="D797" s="182"/>
      <c r="E797" s="183"/>
      <c r="F797" s="183"/>
      <c r="G797" s="183"/>
      <c r="H797" s="184"/>
      <c r="I797" s="184"/>
      <c r="J797" s="184"/>
      <c r="K797" s="184"/>
      <c r="L797" s="184"/>
      <c r="M797" s="184"/>
      <c r="N797" s="184"/>
      <c r="O797" s="184"/>
      <c r="Q797" s="184"/>
      <c r="R797" s="185"/>
      <c r="S797" s="185"/>
      <c r="U797" s="184"/>
      <c r="V797" s="184"/>
      <c r="W797" s="184"/>
      <c r="X797" s="184"/>
      <c r="Y797" s="184"/>
      <c r="Z797" s="184"/>
      <c r="AA797" s="184"/>
      <c r="AB797" s="184"/>
      <c r="AC797" s="184"/>
      <c r="AD797" s="184"/>
      <c r="AE797" s="184"/>
      <c r="AF797" s="184"/>
      <c r="AG797" s="184"/>
      <c r="AH797" s="184"/>
      <c r="AI797" s="184"/>
      <c r="AJ797" s="184"/>
      <c r="AK797" s="184"/>
      <c r="AL797" s="186"/>
      <c r="AM797" s="187"/>
      <c r="AN797" s="187"/>
      <c r="AO797" s="187"/>
    </row>
    <row r="798" spans="1:41" s="163" customFormat="1" ht="16.5" customHeight="1">
      <c r="A798" s="180"/>
      <c r="B798" s="181"/>
      <c r="C798" s="182"/>
      <c r="D798" s="182"/>
      <c r="E798" s="183"/>
      <c r="F798" s="183"/>
      <c r="G798" s="183"/>
      <c r="H798" s="184"/>
      <c r="I798" s="184"/>
      <c r="J798" s="184"/>
      <c r="K798" s="184"/>
      <c r="L798" s="184"/>
      <c r="M798" s="184"/>
      <c r="N798" s="184"/>
      <c r="O798" s="184"/>
      <c r="Q798" s="184"/>
      <c r="R798" s="185"/>
      <c r="S798" s="185"/>
      <c r="U798" s="184"/>
      <c r="V798" s="184"/>
      <c r="W798" s="184"/>
      <c r="X798" s="184"/>
      <c r="Y798" s="184"/>
      <c r="Z798" s="184"/>
      <c r="AA798" s="184"/>
      <c r="AB798" s="184"/>
      <c r="AC798" s="184"/>
      <c r="AD798" s="184"/>
      <c r="AE798" s="184"/>
      <c r="AF798" s="184"/>
      <c r="AG798" s="184"/>
      <c r="AH798" s="184"/>
      <c r="AI798" s="184"/>
      <c r="AJ798" s="184"/>
      <c r="AK798" s="184"/>
      <c r="AL798" s="186"/>
      <c r="AM798" s="187"/>
      <c r="AN798" s="187"/>
      <c r="AO798" s="187"/>
    </row>
    <row r="799" spans="1:41" s="163" customFormat="1" ht="16.5" customHeight="1">
      <c r="A799" s="180"/>
      <c r="B799" s="181"/>
      <c r="C799" s="182"/>
      <c r="D799" s="182"/>
      <c r="E799" s="183"/>
      <c r="F799" s="183"/>
      <c r="G799" s="183"/>
      <c r="H799" s="184"/>
      <c r="I799" s="184"/>
      <c r="J799" s="184"/>
      <c r="K799" s="184"/>
      <c r="L799" s="184"/>
      <c r="M799" s="184"/>
      <c r="N799" s="184"/>
      <c r="O799" s="184"/>
      <c r="Q799" s="184"/>
      <c r="R799" s="185"/>
      <c r="S799" s="185"/>
      <c r="U799" s="184"/>
      <c r="V799" s="184"/>
      <c r="W799" s="184"/>
      <c r="X799" s="184"/>
      <c r="Y799" s="184"/>
      <c r="Z799" s="184"/>
      <c r="AA799" s="184"/>
      <c r="AB799" s="184"/>
      <c r="AC799" s="184"/>
      <c r="AD799" s="184"/>
      <c r="AE799" s="184"/>
      <c r="AF799" s="184"/>
      <c r="AG799" s="184"/>
      <c r="AH799" s="184"/>
      <c r="AI799" s="184"/>
      <c r="AJ799" s="184"/>
      <c r="AK799" s="184"/>
      <c r="AL799" s="186"/>
      <c r="AM799" s="187"/>
      <c r="AN799" s="187"/>
      <c r="AO799" s="187"/>
    </row>
    <row r="800" spans="1:41" s="163" customFormat="1" ht="16.5" customHeight="1">
      <c r="A800" s="180"/>
      <c r="B800" s="181"/>
      <c r="C800" s="182"/>
      <c r="D800" s="182"/>
      <c r="E800" s="183"/>
      <c r="F800" s="183"/>
      <c r="G800" s="183"/>
      <c r="H800" s="184"/>
      <c r="I800" s="184"/>
      <c r="J800" s="184"/>
      <c r="K800" s="184"/>
      <c r="L800" s="184"/>
      <c r="M800" s="184"/>
      <c r="N800" s="184"/>
      <c r="O800" s="184"/>
      <c r="Q800" s="184"/>
      <c r="R800" s="185"/>
      <c r="S800" s="185"/>
      <c r="U800" s="184"/>
      <c r="V800" s="184"/>
      <c r="W800" s="184"/>
      <c r="X800" s="184"/>
      <c r="Y800" s="184"/>
      <c r="Z800" s="184"/>
      <c r="AA800" s="184"/>
      <c r="AB800" s="184"/>
      <c r="AC800" s="184"/>
      <c r="AD800" s="184"/>
      <c r="AE800" s="184"/>
      <c r="AF800" s="184"/>
      <c r="AG800" s="184"/>
      <c r="AH800" s="184"/>
      <c r="AI800" s="184"/>
      <c r="AJ800" s="184"/>
      <c r="AK800" s="184"/>
      <c r="AL800" s="186"/>
      <c r="AM800" s="187"/>
      <c r="AN800" s="187"/>
      <c r="AO800" s="187"/>
    </row>
    <row r="801" spans="1:41" s="163" customFormat="1" ht="16.5" customHeight="1">
      <c r="A801" s="180"/>
      <c r="B801" s="181"/>
      <c r="C801" s="182"/>
      <c r="D801" s="182"/>
      <c r="E801" s="183"/>
      <c r="F801" s="183"/>
      <c r="G801" s="183"/>
      <c r="H801" s="184"/>
      <c r="I801" s="184"/>
      <c r="J801" s="184"/>
      <c r="K801" s="184"/>
      <c r="L801" s="184"/>
      <c r="M801" s="184"/>
      <c r="N801" s="184"/>
      <c r="O801" s="184"/>
      <c r="Q801" s="184"/>
      <c r="R801" s="185"/>
      <c r="S801" s="185"/>
      <c r="U801" s="184"/>
      <c r="V801" s="184"/>
      <c r="W801" s="184"/>
      <c r="X801" s="184"/>
      <c r="Y801" s="184"/>
      <c r="Z801" s="184"/>
      <c r="AA801" s="184"/>
      <c r="AB801" s="184"/>
      <c r="AC801" s="184"/>
      <c r="AD801" s="184"/>
      <c r="AE801" s="184"/>
      <c r="AF801" s="184"/>
      <c r="AG801" s="184"/>
      <c r="AH801" s="184"/>
      <c r="AI801" s="184"/>
      <c r="AJ801" s="184"/>
      <c r="AK801" s="184"/>
      <c r="AL801" s="186"/>
      <c r="AM801" s="187"/>
      <c r="AN801" s="187"/>
      <c r="AO801" s="187"/>
    </row>
    <row r="802" spans="1:41" s="163" customFormat="1" ht="16.5" customHeight="1">
      <c r="A802" s="180"/>
      <c r="B802" s="181"/>
      <c r="C802" s="182"/>
      <c r="D802" s="182"/>
      <c r="E802" s="183"/>
      <c r="F802" s="183"/>
      <c r="G802" s="183"/>
      <c r="H802" s="184"/>
      <c r="I802" s="184"/>
      <c r="J802" s="184"/>
      <c r="K802" s="184"/>
      <c r="L802" s="184"/>
      <c r="M802" s="184"/>
      <c r="N802" s="184"/>
      <c r="O802" s="184"/>
      <c r="Q802" s="184"/>
      <c r="R802" s="185"/>
      <c r="S802" s="185"/>
      <c r="U802" s="184"/>
      <c r="V802" s="184"/>
      <c r="W802" s="184"/>
      <c r="X802" s="184"/>
      <c r="Y802" s="184"/>
      <c r="Z802" s="184"/>
      <c r="AA802" s="184"/>
      <c r="AB802" s="184"/>
      <c r="AC802" s="184"/>
      <c r="AD802" s="184"/>
      <c r="AE802" s="184"/>
      <c r="AF802" s="184"/>
      <c r="AG802" s="184"/>
      <c r="AH802" s="184"/>
      <c r="AI802" s="184"/>
      <c r="AJ802" s="184"/>
      <c r="AK802" s="184"/>
      <c r="AL802" s="186"/>
      <c r="AM802" s="187"/>
      <c r="AN802" s="187"/>
      <c r="AO802" s="187"/>
    </row>
    <row r="803" spans="1:41" s="163" customFormat="1" ht="16.5" customHeight="1">
      <c r="A803" s="180"/>
      <c r="B803" s="181"/>
      <c r="C803" s="182"/>
      <c r="D803" s="182"/>
      <c r="E803" s="183"/>
      <c r="F803" s="183"/>
      <c r="G803" s="183"/>
      <c r="H803" s="184"/>
      <c r="I803" s="184"/>
      <c r="J803" s="184"/>
      <c r="K803" s="184"/>
      <c r="L803" s="184"/>
      <c r="M803" s="184"/>
      <c r="N803" s="184"/>
      <c r="O803" s="184"/>
      <c r="Q803" s="184"/>
      <c r="R803" s="185"/>
      <c r="S803" s="185"/>
      <c r="U803" s="184"/>
      <c r="V803" s="184"/>
      <c r="W803" s="184"/>
      <c r="X803" s="184"/>
      <c r="Y803" s="184"/>
      <c r="Z803" s="184"/>
      <c r="AA803" s="184"/>
      <c r="AB803" s="184"/>
      <c r="AC803" s="184"/>
      <c r="AD803" s="184"/>
      <c r="AE803" s="184"/>
      <c r="AF803" s="184"/>
      <c r="AG803" s="184"/>
      <c r="AH803" s="184"/>
      <c r="AI803" s="184"/>
      <c r="AJ803" s="184"/>
      <c r="AK803" s="184"/>
      <c r="AL803" s="186"/>
      <c r="AM803" s="187"/>
      <c r="AN803" s="187"/>
      <c r="AO803" s="187"/>
    </row>
    <row r="804" spans="1:41" s="163" customFormat="1" ht="16.5" customHeight="1">
      <c r="A804" s="180"/>
      <c r="B804" s="181"/>
      <c r="C804" s="182"/>
      <c r="D804" s="182"/>
      <c r="E804" s="183"/>
      <c r="F804" s="183"/>
      <c r="G804" s="183"/>
      <c r="H804" s="184"/>
      <c r="I804" s="184"/>
      <c r="J804" s="184"/>
      <c r="K804" s="184"/>
      <c r="L804" s="184"/>
      <c r="M804" s="184"/>
      <c r="N804" s="184"/>
      <c r="O804" s="184"/>
      <c r="Q804" s="184"/>
      <c r="R804" s="185"/>
      <c r="S804" s="185"/>
      <c r="U804" s="184"/>
      <c r="V804" s="184"/>
      <c r="W804" s="184"/>
      <c r="X804" s="184"/>
      <c r="Y804" s="184"/>
      <c r="Z804" s="184"/>
      <c r="AA804" s="184"/>
      <c r="AB804" s="184"/>
      <c r="AC804" s="184"/>
      <c r="AD804" s="184"/>
      <c r="AE804" s="184"/>
      <c r="AF804" s="184"/>
      <c r="AG804" s="184"/>
      <c r="AH804" s="184"/>
      <c r="AI804" s="184"/>
      <c r="AJ804" s="184"/>
      <c r="AK804" s="184"/>
      <c r="AL804" s="186"/>
      <c r="AM804" s="187"/>
      <c r="AN804" s="187"/>
      <c r="AO804" s="187"/>
    </row>
    <row r="805" spans="1:41" s="163" customFormat="1" ht="16.5" customHeight="1">
      <c r="A805" s="180"/>
      <c r="B805" s="181"/>
      <c r="C805" s="182"/>
      <c r="D805" s="182"/>
      <c r="E805" s="183"/>
      <c r="F805" s="183"/>
      <c r="G805" s="183"/>
      <c r="H805" s="184"/>
      <c r="I805" s="184"/>
      <c r="J805" s="184"/>
      <c r="K805" s="184"/>
      <c r="L805" s="184"/>
      <c r="M805" s="184"/>
      <c r="N805" s="184"/>
      <c r="O805" s="184"/>
      <c r="Q805" s="184"/>
      <c r="R805" s="185"/>
      <c r="S805" s="185"/>
      <c r="U805" s="184"/>
      <c r="V805" s="184"/>
      <c r="W805" s="184"/>
      <c r="X805" s="184"/>
      <c r="Y805" s="184"/>
      <c r="Z805" s="184"/>
      <c r="AA805" s="184"/>
      <c r="AB805" s="184"/>
      <c r="AC805" s="184"/>
      <c r="AD805" s="184"/>
      <c r="AE805" s="184"/>
      <c r="AF805" s="184"/>
      <c r="AG805" s="184"/>
      <c r="AH805" s="184"/>
      <c r="AI805" s="184"/>
      <c r="AJ805" s="184"/>
      <c r="AK805" s="184"/>
      <c r="AL805" s="186"/>
      <c r="AM805" s="187"/>
      <c r="AN805" s="187"/>
      <c r="AO805" s="187"/>
    </row>
    <row r="806" spans="1:41" s="163" customFormat="1" ht="16.5" customHeight="1">
      <c r="A806" s="180"/>
      <c r="B806" s="181"/>
      <c r="C806" s="182"/>
      <c r="D806" s="182"/>
      <c r="E806" s="183"/>
      <c r="F806" s="183"/>
      <c r="G806" s="183"/>
      <c r="H806" s="184"/>
      <c r="I806" s="184"/>
      <c r="J806" s="184"/>
      <c r="K806" s="184"/>
      <c r="L806" s="184"/>
      <c r="M806" s="184"/>
      <c r="N806" s="184"/>
      <c r="O806" s="184"/>
      <c r="Q806" s="184"/>
      <c r="R806" s="185"/>
      <c r="S806" s="185"/>
      <c r="U806" s="184"/>
      <c r="V806" s="184"/>
      <c r="W806" s="184"/>
      <c r="X806" s="184"/>
      <c r="Y806" s="184"/>
      <c r="Z806" s="184"/>
      <c r="AA806" s="184"/>
      <c r="AB806" s="184"/>
      <c r="AC806" s="184"/>
      <c r="AD806" s="184"/>
      <c r="AE806" s="184"/>
      <c r="AF806" s="184"/>
      <c r="AG806" s="184"/>
      <c r="AH806" s="184"/>
      <c r="AI806" s="184"/>
      <c r="AJ806" s="184"/>
      <c r="AK806" s="184"/>
      <c r="AL806" s="186"/>
      <c r="AM806" s="187"/>
      <c r="AN806" s="187"/>
      <c r="AO806" s="187"/>
    </row>
    <row r="807" spans="1:41" s="163" customFormat="1" ht="16.5" customHeight="1">
      <c r="A807" s="180"/>
      <c r="B807" s="181"/>
      <c r="C807" s="182"/>
      <c r="D807" s="182"/>
      <c r="E807" s="183"/>
      <c r="F807" s="183"/>
      <c r="G807" s="183"/>
      <c r="H807" s="184"/>
      <c r="I807" s="184"/>
      <c r="J807" s="184"/>
      <c r="K807" s="184"/>
      <c r="L807" s="184"/>
      <c r="M807" s="184"/>
      <c r="N807" s="184"/>
      <c r="O807" s="184"/>
      <c r="Q807" s="184"/>
      <c r="R807" s="185"/>
      <c r="S807" s="185"/>
      <c r="U807" s="184"/>
      <c r="V807" s="184"/>
      <c r="W807" s="184"/>
      <c r="X807" s="184"/>
      <c r="Y807" s="184"/>
      <c r="Z807" s="184"/>
      <c r="AA807" s="184"/>
      <c r="AB807" s="184"/>
      <c r="AC807" s="184"/>
      <c r="AD807" s="184"/>
      <c r="AE807" s="184"/>
      <c r="AF807" s="184"/>
      <c r="AG807" s="184"/>
      <c r="AH807" s="184"/>
      <c r="AI807" s="184"/>
      <c r="AJ807" s="184"/>
      <c r="AK807" s="184"/>
      <c r="AL807" s="186"/>
      <c r="AM807" s="187"/>
      <c r="AN807" s="187"/>
      <c r="AO807" s="187"/>
    </row>
    <row r="808" spans="1:41" s="163" customFormat="1" ht="16.5" customHeight="1">
      <c r="A808" s="180"/>
      <c r="B808" s="181"/>
      <c r="C808" s="182"/>
      <c r="D808" s="182"/>
      <c r="E808" s="183"/>
      <c r="F808" s="183"/>
      <c r="G808" s="183"/>
      <c r="H808" s="184"/>
      <c r="I808" s="184"/>
      <c r="J808" s="184"/>
      <c r="K808" s="184"/>
      <c r="L808" s="184"/>
      <c r="M808" s="184"/>
      <c r="N808" s="184"/>
      <c r="O808" s="184"/>
      <c r="Q808" s="184"/>
      <c r="R808" s="185"/>
      <c r="S808" s="185"/>
      <c r="U808" s="184"/>
      <c r="V808" s="184"/>
      <c r="W808" s="184"/>
      <c r="X808" s="184"/>
      <c r="Y808" s="184"/>
      <c r="Z808" s="184"/>
      <c r="AA808" s="184"/>
      <c r="AB808" s="184"/>
      <c r="AC808" s="184"/>
      <c r="AD808" s="184"/>
      <c r="AE808" s="184"/>
      <c r="AF808" s="184"/>
      <c r="AG808" s="184"/>
      <c r="AH808" s="184"/>
      <c r="AI808" s="184"/>
      <c r="AJ808" s="184"/>
      <c r="AK808" s="184"/>
      <c r="AL808" s="186"/>
      <c r="AM808" s="187"/>
      <c r="AN808" s="187"/>
      <c r="AO808" s="187"/>
    </row>
    <row r="809" spans="1:41" s="163" customFormat="1" ht="16.5" customHeight="1">
      <c r="A809" s="180"/>
      <c r="B809" s="181"/>
      <c r="C809" s="182"/>
      <c r="D809" s="182"/>
      <c r="E809" s="183"/>
      <c r="F809" s="183"/>
      <c r="G809" s="183"/>
      <c r="H809" s="184"/>
      <c r="I809" s="184"/>
      <c r="J809" s="184"/>
      <c r="K809" s="184"/>
      <c r="L809" s="184"/>
      <c r="M809" s="184"/>
      <c r="N809" s="184"/>
      <c r="O809" s="184"/>
      <c r="Q809" s="184"/>
      <c r="R809" s="185"/>
      <c r="S809" s="185"/>
      <c r="U809" s="184"/>
      <c r="V809" s="184"/>
      <c r="W809" s="184"/>
      <c r="X809" s="184"/>
      <c r="Y809" s="184"/>
      <c r="Z809" s="184"/>
      <c r="AA809" s="184"/>
      <c r="AB809" s="184"/>
      <c r="AC809" s="184"/>
      <c r="AD809" s="184"/>
      <c r="AE809" s="184"/>
      <c r="AF809" s="184"/>
      <c r="AG809" s="184"/>
      <c r="AH809" s="184"/>
      <c r="AI809" s="184"/>
      <c r="AJ809" s="184"/>
      <c r="AK809" s="184"/>
      <c r="AL809" s="186"/>
      <c r="AM809" s="187"/>
      <c r="AN809" s="187"/>
      <c r="AO809" s="187"/>
    </row>
    <row r="810" spans="1:41" s="163" customFormat="1" ht="16.5" customHeight="1">
      <c r="A810" s="180"/>
      <c r="B810" s="181"/>
      <c r="C810" s="182"/>
      <c r="D810" s="182"/>
      <c r="E810" s="183"/>
      <c r="F810" s="183"/>
      <c r="G810" s="183"/>
      <c r="H810" s="184"/>
      <c r="I810" s="184"/>
      <c r="J810" s="184"/>
      <c r="K810" s="184"/>
      <c r="L810" s="184"/>
      <c r="M810" s="184"/>
      <c r="N810" s="184"/>
      <c r="O810" s="184"/>
      <c r="Q810" s="184"/>
      <c r="R810" s="185"/>
      <c r="S810" s="185"/>
      <c r="U810" s="184"/>
      <c r="V810" s="184"/>
      <c r="W810" s="184"/>
      <c r="X810" s="184"/>
      <c r="Y810" s="184"/>
      <c r="Z810" s="184"/>
      <c r="AA810" s="184"/>
      <c r="AB810" s="184"/>
      <c r="AC810" s="184"/>
      <c r="AD810" s="184"/>
      <c r="AE810" s="184"/>
      <c r="AF810" s="184"/>
      <c r="AG810" s="184"/>
      <c r="AH810" s="184"/>
      <c r="AI810" s="184"/>
      <c r="AJ810" s="184"/>
      <c r="AK810" s="184"/>
      <c r="AL810" s="186"/>
      <c r="AM810" s="187"/>
      <c r="AN810" s="187"/>
      <c r="AO810" s="187"/>
    </row>
    <row r="811" spans="1:41" s="163" customFormat="1" ht="16.5" customHeight="1">
      <c r="A811" s="180"/>
      <c r="B811" s="181"/>
      <c r="C811" s="182"/>
      <c r="D811" s="182"/>
      <c r="E811" s="183"/>
      <c r="F811" s="183"/>
      <c r="G811" s="183"/>
      <c r="H811" s="184"/>
      <c r="I811" s="184"/>
      <c r="J811" s="184"/>
      <c r="K811" s="184"/>
      <c r="L811" s="184"/>
      <c r="M811" s="184"/>
      <c r="N811" s="184"/>
      <c r="O811" s="184"/>
      <c r="Q811" s="184"/>
      <c r="R811" s="185"/>
      <c r="S811" s="185"/>
      <c r="U811" s="184"/>
      <c r="V811" s="184"/>
      <c r="W811" s="184"/>
      <c r="X811" s="184"/>
      <c r="Y811" s="184"/>
      <c r="Z811" s="184"/>
      <c r="AA811" s="184"/>
      <c r="AB811" s="184"/>
      <c r="AC811" s="184"/>
      <c r="AD811" s="184"/>
      <c r="AE811" s="184"/>
      <c r="AF811" s="184"/>
      <c r="AG811" s="184"/>
      <c r="AH811" s="184"/>
      <c r="AI811" s="184"/>
      <c r="AJ811" s="184"/>
      <c r="AK811" s="184"/>
      <c r="AL811" s="186"/>
      <c r="AM811" s="187"/>
      <c r="AN811" s="187"/>
      <c r="AO811" s="187"/>
    </row>
    <row r="812" spans="1:41" s="163" customFormat="1" ht="16.5" customHeight="1">
      <c r="A812" s="180"/>
      <c r="B812" s="181"/>
      <c r="C812" s="182"/>
      <c r="D812" s="182"/>
      <c r="E812" s="183"/>
      <c r="F812" s="183"/>
      <c r="G812" s="183"/>
      <c r="H812" s="184"/>
      <c r="I812" s="184"/>
      <c r="J812" s="184"/>
      <c r="K812" s="184"/>
      <c r="L812" s="184"/>
      <c r="M812" s="184"/>
      <c r="N812" s="184"/>
      <c r="O812" s="184"/>
      <c r="Q812" s="184"/>
      <c r="R812" s="185"/>
      <c r="S812" s="185"/>
      <c r="U812" s="184"/>
      <c r="V812" s="184"/>
      <c r="W812" s="184"/>
      <c r="X812" s="184"/>
      <c r="Y812" s="184"/>
      <c r="Z812" s="184"/>
      <c r="AA812" s="184"/>
      <c r="AB812" s="184"/>
      <c r="AC812" s="184"/>
      <c r="AD812" s="184"/>
      <c r="AE812" s="184"/>
      <c r="AF812" s="184"/>
      <c r="AG812" s="184"/>
      <c r="AH812" s="184"/>
      <c r="AI812" s="184"/>
      <c r="AJ812" s="184"/>
      <c r="AK812" s="184"/>
      <c r="AL812" s="186"/>
      <c r="AM812" s="187"/>
      <c r="AN812" s="187"/>
      <c r="AO812" s="187"/>
    </row>
    <row r="813" spans="1:41" s="163" customFormat="1" ht="16.5" customHeight="1">
      <c r="A813" s="180"/>
      <c r="B813" s="181"/>
      <c r="C813" s="182"/>
      <c r="D813" s="182"/>
      <c r="E813" s="183"/>
      <c r="F813" s="183"/>
      <c r="G813" s="183"/>
      <c r="H813" s="184"/>
      <c r="I813" s="184"/>
      <c r="J813" s="184"/>
      <c r="K813" s="184"/>
      <c r="L813" s="184"/>
      <c r="M813" s="184"/>
      <c r="N813" s="184"/>
      <c r="O813" s="184"/>
      <c r="Q813" s="184"/>
      <c r="R813" s="185"/>
      <c r="S813" s="185"/>
      <c r="U813" s="184"/>
      <c r="V813" s="184"/>
      <c r="W813" s="184"/>
      <c r="X813" s="184"/>
      <c r="Y813" s="184"/>
      <c r="Z813" s="184"/>
      <c r="AA813" s="184"/>
      <c r="AB813" s="184"/>
      <c r="AC813" s="184"/>
      <c r="AD813" s="184"/>
      <c r="AE813" s="184"/>
      <c r="AF813" s="184"/>
      <c r="AG813" s="184"/>
      <c r="AH813" s="184"/>
      <c r="AI813" s="184"/>
      <c r="AJ813" s="184"/>
      <c r="AK813" s="184"/>
      <c r="AL813" s="186"/>
      <c r="AM813" s="187"/>
      <c r="AN813" s="187"/>
      <c r="AO813" s="187"/>
    </row>
    <row r="814" spans="1:41" s="163" customFormat="1" ht="16.5" customHeight="1">
      <c r="A814" s="180"/>
      <c r="B814" s="181"/>
      <c r="C814" s="182"/>
      <c r="D814" s="182"/>
      <c r="E814" s="183"/>
      <c r="F814" s="183"/>
      <c r="G814" s="183"/>
      <c r="H814" s="184"/>
      <c r="I814" s="184"/>
      <c r="J814" s="184"/>
      <c r="K814" s="184"/>
      <c r="L814" s="184"/>
      <c r="M814" s="184"/>
      <c r="N814" s="184"/>
      <c r="O814" s="184"/>
      <c r="Q814" s="184"/>
      <c r="R814" s="185"/>
      <c r="S814" s="185"/>
      <c r="U814" s="184"/>
      <c r="V814" s="184"/>
      <c r="W814" s="184"/>
      <c r="X814" s="184"/>
      <c r="Y814" s="184"/>
      <c r="Z814" s="184"/>
      <c r="AA814" s="184"/>
      <c r="AB814" s="184"/>
      <c r="AC814" s="184"/>
      <c r="AD814" s="184"/>
      <c r="AE814" s="184"/>
      <c r="AF814" s="184"/>
      <c r="AG814" s="184"/>
      <c r="AH814" s="184"/>
      <c r="AI814" s="184"/>
      <c r="AJ814" s="184"/>
      <c r="AK814" s="184"/>
      <c r="AL814" s="186"/>
      <c r="AM814" s="187"/>
      <c r="AN814" s="187"/>
      <c r="AO814" s="187"/>
    </row>
    <row r="815" spans="1:41" s="163" customFormat="1" ht="16.5" customHeight="1">
      <c r="A815" s="180"/>
      <c r="B815" s="181"/>
      <c r="C815" s="182"/>
      <c r="D815" s="182"/>
      <c r="E815" s="183"/>
      <c r="F815" s="183"/>
      <c r="G815" s="183"/>
      <c r="H815" s="184"/>
      <c r="I815" s="184"/>
      <c r="J815" s="184"/>
      <c r="K815" s="184"/>
      <c r="L815" s="184"/>
      <c r="M815" s="184"/>
      <c r="N815" s="184"/>
      <c r="O815" s="184"/>
      <c r="Q815" s="184"/>
      <c r="R815" s="185"/>
      <c r="S815" s="185"/>
      <c r="U815" s="184"/>
      <c r="V815" s="184"/>
      <c r="W815" s="184"/>
      <c r="X815" s="184"/>
      <c r="Y815" s="184"/>
      <c r="Z815" s="184"/>
      <c r="AA815" s="184"/>
      <c r="AB815" s="184"/>
      <c r="AC815" s="184"/>
      <c r="AD815" s="184"/>
      <c r="AE815" s="184"/>
      <c r="AF815" s="184"/>
      <c r="AG815" s="184"/>
      <c r="AH815" s="184"/>
      <c r="AI815" s="184"/>
      <c r="AJ815" s="184"/>
      <c r="AK815" s="184"/>
      <c r="AL815" s="186"/>
      <c r="AM815" s="187"/>
      <c r="AN815" s="187"/>
      <c r="AO815" s="187"/>
    </row>
    <row r="816" spans="1:41" s="163" customFormat="1" ht="16.5" customHeight="1">
      <c r="A816" s="180"/>
      <c r="B816" s="181"/>
      <c r="C816" s="182"/>
      <c r="D816" s="182"/>
      <c r="E816" s="183"/>
      <c r="F816" s="183"/>
      <c r="G816" s="183"/>
      <c r="H816" s="184"/>
      <c r="I816" s="184"/>
      <c r="J816" s="184"/>
      <c r="K816" s="184"/>
      <c r="L816" s="184"/>
      <c r="M816" s="184"/>
      <c r="N816" s="184"/>
      <c r="O816" s="184"/>
      <c r="Q816" s="184"/>
      <c r="R816" s="185"/>
      <c r="S816" s="185"/>
      <c r="U816" s="184"/>
      <c r="V816" s="184"/>
      <c r="W816" s="184"/>
      <c r="X816" s="184"/>
      <c r="Y816" s="184"/>
      <c r="Z816" s="184"/>
      <c r="AA816" s="184"/>
      <c r="AB816" s="184"/>
      <c r="AC816" s="184"/>
      <c r="AD816" s="184"/>
      <c r="AE816" s="184"/>
      <c r="AF816" s="184"/>
      <c r="AG816" s="184"/>
      <c r="AH816" s="184"/>
      <c r="AI816" s="184"/>
      <c r="AJ816" s="184"/>
      <c r="AK816" s="184"/>
      <c r="AL816" s="186"/>
      <c r="AM816" s="187"/>
      <c r="AN816" s="187"/>
      <c r="AO816" s="187"/>
    </row>
    <row r="817" spans="1:41" s="163" customFormat="1" ht="16.5" customHeight="1">
      <c r="A817" s="180"/>
      <c r="B817" s="181"/>
      <c r="C817" s="182"/>
      <c r="D817" s="182"/>
      <c r="E817" s="183"/>
      <c r="F817" s="183"/>
      <c r="G817" s="183"/>
      <c r="H817" s="184"/>
      <c r="I817" s="184"/>
      <c r="J817" s="184"/>
      <c r="K817" s="184"/>
      <c r="L817" s="184"/>
      <c r="M817" s="184"/>
      <c r="N817" s="184"/>
      <c r="O817" s="184"/>
      <c r="Q817" s="184"/>
      <c r="R817" s="185"/>
      <c r="S817" s="185"/>
      <c r="U817" s="184"/>
      <c r="V817" s="184"/>
      <c r="W817" s="184"/>
      <c r="X817" s="184"/>
      <c r="Y817" s="184"/>
      <c r="Z817" s="184"/>
      <c r="AA817" s="184"/>
      <c r="AB817" s="184"/>
      <c r="AC817" s="184"/>
      <c r="AD817" s="184"/>
      <c r="AE817" s="184"/>
      <c r="AF817" s="184"/>
      <c r="AG817" s="184"/>
      <c r="AH817" s="184"/>
      <c r="AI817" s="184"/>
      <c r="AJ817" s="184"/>
      <c r="AK817" s="184"/>
      <c r="AL817" s="186"/>
      <c r="AM817" s="187"/>
      <c r="AN817" s="187"/>
      <c r="AO817" s="187"/>
    </row>
    <row r="818" spans="1:41" s="163" customFormat="1" ht="16.5" customHeight="1">
      <c r="A818" s="180"/>
      <c r="B818" s="181"/>
      <c r="C818" s="182"/>
      <c r="D818" s="182"/>
      <c r="E818" s="183"/>
      <c r="F818" s="183"/>
      <c r="G818" s="183"/>
      <c r="H818" s="184"/>
      <c r="I818" s="184"/>
      <c r="J818" s="184"/>
      <c r="K818" s="184"/>
      <c r="L818" s="184"/>
      <c r="M818" s="184"/>
      <c r="N818" s="184"/>
      <c r="O818" s="184"/>
      <c r="Q818" s="184"/>
      <c r="R818" s="185"/>
      <c r="S818" s="185"/>
      <c r="U818" s="184"/>
      <c r="V818" s="184"/>
      <c r="W818" s="184"/>
      <c r="X818" s="184"/>
      <c r="Y818" s="184"/>
      <c r="Z818" s="184"/>
      <c r="AA818" s="184"/>
      <c r="AB818" s="184"/>
      <c r="AC818" s="184"/>
      <c r="AD818" s="184"/>
      <c r="AE818" s="184"/>
      <c r="AF818" s="184"/>
      <c r="AG818" s="184"/>
      <c r="AH818" s="184"/>
      <c r="AI818" s="184"/>
      <c r="AJ818" s="184"/>
      <c r="AK818" s="184"/>
      <c r="AL818" s="186"/>
      <c r="AM818" s="187"/>
      <c r="AN818" s="187"/>
      <c r="AO818" s="187"/>
    </row>
    <row r="819" spans="1:41" s="163" customFormat="1" ht="16.5" customHeight="1">
      <c r="A819" s="180"/>
      <c r="B819" s="181"/>
      <c r="C819" s="182"/>
      <c r="D819" s="182"/>
      <c r="E819" s="183"/>
      <c r="F819" s="183"/>
      <c r="G819" s="183"/>
      <c r="H819" s="184"/>
      <c r="I819" s="184"/>
      <c r="J819" s="184"/>
      <c r="K819" s="184"/>
      <c r="L819" s="184"/>
      <c r="M819" s="184"/>
      <c r="N819" s="184"/>
      <c r="O819" s="184"/>
      <c r="Q819" s="184"/>
      <c r="R819" s="185"/>
      <c r="S819" s="185"/>
      <c r="U819" s="184"/>
      <c r="V819" s="184"/>
      <c r="W819" s="184"/>
      <c r="X819" s="184"/>
      <c r="Y819" s="184"/>
      <c r="Z819" s="184"/>
      <c r="AA819" s="184"/>
      <c r="AB819" s="184"/>
      <c r="AC819" s="184"/>
      <c r="AD819" s="184"/>
      <c r="AE819" s="184"/>
      <c r="AF819" s="184"/>
      <c r="AG819" s="184"/>
      <c r="AH819" s="184"/>
      <c r="AI819" s="184"/>
      <c r="AJ819" s="184"/>
      <c r="AK819" s="184"/>
      <c r="AL819" s="186"/>
      <c r="AM819" s="187"/>
      <c r="AN819" s="187"/>
      <c r="AO819" s="187"/>
    </row>
    <row r="820" spans="1:41" s="163" customFormat="1" ht="16.5" customHeight="1">
      <c r="A820" s="180"/>
      <c r="B820" s="181"/>
      <c r="C820" s="182"/>
      <c r="D820" s="182"/>
      <c r="E820" s="183"/>
      <c r="F820" s="183"/>
      <c r="G820" s="183"/>
      <c r="H820" s="184"/>
      <c r="I820" s="184"/>
      <c r="J820" s="184"/>
      <c r="K820" s="184"/>
      <c r="L820" s="184"/>
      <c r="M820" s="184"/>
      <c r="N820" s="184"/>
      <c r="O820" s="184"/>
      <c r="Q820" s="184"/>
      <c r="R820" s="185"/>
      <c r="S820" s="185"/>
      <c r="U820" s="184"/>
      <c r="V820" s="184"/>
      <c r="W820" s="184"/>
      <c r="X820" s="184"/>
      <c r="Y820" s="184"/>
      <c r="Z820" s="184"/>
      <c r="AA820" s="184"/>
      <c r="AB820" s="184"/>
      <c r="AC820" s="184"/>
      <c r="AD820" s="184"/>
      <c r="AE820" s="184"/>
      <c r="AF820" s="184"/>
      <c r="AG820" s="184"/>
      <c r="AH820" s="184"/>
      <c r="AI820" s="184"/>
      <c r="AJ820" s="184"/>
      <c r="AK820" s="184"/>
      <c r="AL820" s="186"/>
      <c r="AM820" s="187"/>
      <c r="AN820" s="187"/>
      <c r="AO820" s="187"/>
    </row>
    <row r="821" spans="1:41" s="163" customFormat="1" ht="16.5" customHeight="1">
      <c r="A821" s="180"/>
      <c r="B821" s="181"/>
      <c r="C821" s="182"/>
      <c r="D821" s="182"/>
      <c r="E821" s="183"/>
      <c r="F821" s="183"/>
      <c r="G821" s="183"/>
      <c r="H821" s="184"/>
      <c r="I821" s="184"/>
      <c r="J821" s="184"/>
      <c r="K821" s="184"/>
      <c r="L821" s="184"/>
      <c r="M821" s="184"/>
      <c r="N821" s="184"/>
      <c r="O821" s="184"/>
      <c r="Q821" s="184"/>
      <c r="R821" s="185"/>
      <c r="S821" s="185"/>
      <c r="U821" s="184"/>
      <c r="V821" s="184"/>
      <c r="W821" s="184"/>
      <c r="X821" s="184"/>
      <c r="Y821" s="184"/>
      <c r="Z821" s="184"/>
      <c r="AA821" s="184"/>
      <c r="AB821" s="184"/>
      <c r="AC821" s="184"/>
      <c r="AD821" s="184"/>
      <c r="AE821" s="184"/>
      <c r="AF821" s="184"/>
      <c r="AG821" s="184"/>
      <c r="AH821" s="184"/>
      <c r="AI821" s="184"/>
      <c r="AJ821" s="184"/>
      <c r="AK821" s="184"/>
      <c r="AL821" s="186"/>
      <c r="AM821" s="187"/>
      <c r="AN821" s="187"/>
      <c r="AO821" s="187"/>
    </row>
    <row r="822" spans="1:41" s="163" customFormat="1" ht="16.5" customHeight="1">
      <c r="A822" s="180"/>
      <c r="B822" s="181"/>
      <c r="C822" s="182"/>
      <c r="D822" s="182"/>
      <c r="E822" s="183"/>
      <c r="F822" s="183"/>
      <c r="G822" s="183"/>
      <c r="H822" s="184"/>
      <c r="I822" s="184"/>
      <c r="J822" s="184"/>
      <c r="K822" s="184"/>
      <c r="L822" s="184"/>
      <c r="M822" s="184"/>
      <c r="N822" s="184"/>
      <c r="O822" s="184"/>
      <c r="Q822" s="184"/>
      <c r="R822" s="185"/>
      <c r="S822" s="185"/>
      <c r="U822" s="184"/>
      <c r="V822" s="184"/>
      <c r="W822" s="184"/>
      <c r="X822" s="184"/>
      <c r="Y822" s="184"/>
      <c r="Z822" s="184"/>
      <c r="AA822" s="184"/>
      <c r="AB822" s="184"/>
      <c r="AC822" s="184"/>
      <c r="AD822" s="184"/>
      <c r="AE822" s="184"/>
      <c r="AF822" s="184"/>
      <c r="AG822" s="184"/>
      <c r="AH822" s="184"/>
      <c r="AI822" s="184"/>
      <c r="AJ822" s="184"/>
      <c r="AK822" s="184"/>
      <c r="AL822" s="186"/>
      <c r="AM822" s="187"/>
      <c r="AN822" s="187"/>
      <c r="AO822" s="187"/>
    </row>
    <row r="823" spans="1:41" s="163" customFormat="1" ht="16.5" customHeight="1">
      <c r="A823" s="180"/>
      <c r="B823" s="181"/>
      <c r="C823" s="182"/>
      <c r="D823" s="182"/>
      <c r="E823" s="183"/>
      <c r="F823" s="183"/>
      <c r="G823" s="183"/>
      <c r="H823" s="184"/>
      <c r="I823" s="184"/>
      <c r="J823" s="184"/>
      <c r="K823" s="184"/>
      <c r="L823" s="184"/>
      <c r="M823" s="184"/>
      <c r="N823" s="184"/>
      <c r="O823" s="184"/>
      <c r="Q823" s="184"/>
      <c r="R823" s="185"/>
      <c r="S823" s="185"/>
      <c r="U823" s="184"/>
      <c r="V823" s="184"/>
      <c r="W823" s="184"/>
      <c r="X823" s="184"/>
      <c r="Y823" s="184"/>
      <c r="Z823" s="184"/>
      <c r="AA823" s="184"/>
      <c r="AB823" s="184"/>
      <c r="AC823" s="184"/>
      <c r="AD823" s="184"/>
      <c r="AE823" s="184"/>
      <c r="AF823" s="184"/>
      <c r="AG823" s="184"/>
      <c r="AH823" s="184"/>
      <c r="AI823" s="184"/>
      <c r="AJ823" s="184"/>
      <c r="AK823" s="184"/>
      <c r="AL823" s="186"/>
      <c r="AM823" s="187"/>
      <c r="AN823" s="187"/>
      <c r="AO823" s="187"/>
    </row>
    <row r="824" spans="1:41" s="163" customFormat="1" ht="16.5" customHeight="1">
      <c r="A824" s="180"/>
      <c r="B824" s="181"/>
      <c r="C824" s="182"/>
      <c r="D824" s="182"/>
      <c r="E824" s="183"/>
      <c r="F824" s="183"/>
      <c r="G824" s="183"/>
      <c r="H824" s="184"/>
      <c r="I824" s="184"/>
      <c r="J824" s="184"/>
      <c r="K824" s="184"/>
      <c r="L824" s="184"/>
      <c r="M824" s="184"/>
      <c r="N824" s="184"/>
      <c r="O824" s="184"/>
      <c r="Q824" s="184"/>
      <c r="R824" s="185"/>
      <c r="S824" s="185"/>
      <c r="U824" s="184"/>
      <c r="V824" s="184"/>
      <c r="W824" s="184"/>
      <c r="X824" s="184"/>
      <c r="Y824" s="184"/>
      <c r="Z824" s="184"/>
      <c r="AA824" s="184"/>
      <c r="AB824" s="184"/>
      <c r="AC824" s="184"/>
      <c r="AD824" s="184"/>
      <c r="AE824" s="184"/>
      <c r="AF824" s="184"/>
      <c r="AG824" s="184"/>
      <c r="AH824" s="184"/>
      <c r="AI824" s="184"/>
      <c r="AJ824" s="184"/>
      <c r="AK824" s="184"/>
      <c r="AL824" s="186"/>
      <c r="AM824" s="187"/>
      <c r="AN824" s="187"/>
      <c r="AO824" s="187"/>
    </row>
    <row r="825" spans="1:41" s="163" customFormat="1" ht="16.5" customHeight="1">
      <c r="A825" s="180"/>
      <c r="B825" s="181"/>
      <c r="C825" s="182"/>
      <c r="D825" s="182"/>
      <c r="E825" s="183"/>
      <c r="F825" s="183"/>
      <c r="G825" s="183"/>
      <c r="H825" s="184"/>
      <c r="I825" s="184"/>
      <c r="J825" s="184"/>
      <c r="K825" s="184"/>
      <c r="L825" s="184"/>
      <c r="M825" s="184"/>
      <c r="N825" s="184"/>
      <c r="O825" s="184"/>
      <c r="Q825" s="184"/>
      <c r="R825" s="185"/>
      <c r="S825" s="185"/>
      <c r="U825" s="184"/>
      <c r="V825" s="184"/>
      <c r="W825" s="184"/>
      <c r="X825" s="184"/>
      <c r="Y825" s="184"/>
      <c r="Z825" s="184"/>
      <c r="AA825" s="184"/>
      <c r="AB825" s="184"/>
      <c r="AC825" s="184"/>
      <c r="AD825" s="184"/>
      <c r="AE825" s="184"/>
      <c r="AF825" s="184"/>
      <c r="AG825" s="184"/>
      <c r="AH825" s="184"/>
      <c r="AI825" s="184"/>
      <c r="AJ825" s="184"/>
      <c r="AK825" s="184"/>
      <c r="AL825" s="186"/>
      <c r="AM825" s="187"/>
      <c r="AN825" s="187"/>
      <c r="AO825" s="187"/>
    </row>
    <row r="826" spans="1:41" s="163" customFormat="1" ht="16.5" customHeight="1">
      <c r="A826" s="180"/>
      <c r="B826" s="181"/>
      <c r="C826" s="182"/>
      <c r="D826" s="182"/>
      <c r="E826" s="183"/>
      <c r="F826" s="183"/>
      <c r="G826" s="183"/>
      <c r="H826" s="184"/>
      <c r="I826" s="184"/>
      <c r="J826" s="184"/>
      <c r="K826" s="184"/>
      <c r="L826" s="184"/>
      <c r="M826" s="184"/>
      <c r="N826" s="184"/>
      <c r="O826" s="184"/>
      <c r="Q826" s="184"/>
      <c r="R826" s="185"/>
      <c r="S826" s="185"/>
      <c r="U826" s="184"/>
      <c r="V826" s="184"/>
      <c r="W826" s="184"/>
      <c r="X826" s="184"/>
      <c r="Y826" s="184"/>
      <c r="Z826" s="184"/>
      <c r="AA826" s="184"/>
      <c r="AB826" s="184"/>
      <c r="AC826" s="184"/>
      <c r="AD826" s="184"/>
      <c r="AE826" s="184"/>
      <c r="AF826" s="184"/>
      <c r="AG826" s="184"/>
      <c r="AH826" s="184"/>
      <c r="AI826" s="184"/>
      <c r="AJ826" s="184"/>
      <c r="AK826" s="184"/>
      <c r="AL826" s="186"/>
      <c r="AM826" s="187"/>
      <c r="AN826" s="187"/>
      <c r="AO826" s="187"/>
    </row>
    <row r="827" spans="1:41" s="163" customFormat="1" ht="16.5" customHeight="1">
      <c r="A827" s="180"/>
      <c r="B827" s="181"/>
      <c r="C827" s="182"/>
      <c r="D827" s="182"/>
      <c r="E827" s="183"/>
      <c r="F827" s="183"/>
      <c r="G827" s="183"/>
      <c r="H827" s="184"/>
      <c r="I827" s="184"/>
      <c r="J827" s="184"/>
      <c r="K827" s="184"/>
      <c r="L827" s="184"/>
      <c r="M827" s="184"/>
      <c r="N827" s="184"/>
      <c r="O827" s="184"/>
      <c r="Q827" s="184"/>
      <c r="R827" s="185"/>
      <c r="S827" s="185"/>
      <c r="U827" s="184"/>
      <c r="V827" s="184"/>
      <c r="W827" s="184"/>
      <c r="X827" s="184"/>
      <c r="Y827" s="184"/>
      <c r="Z827" s="184"/>
      <c r="AA827" s="184"/>
      <c r="AB827" s="184"/>
      <c r="AC827" s="184"/>
      <c r="AD827" s="184"/>
      <c r="AE827" s="184"/>
      <c r="AF827" s="184"/>
      <c r="AG827" s="184"/>
      <c r="AH827" s="184"/>
      <c r="AI827" s="184"/>
      <c r="AJ827" s="184"/>
      <c r="AK827" s="184"/>
      <c r="AL827" s="186"/>
      <c r="AM827" s="187"/>
      <c r="AN827" s="187"/>
      <c r="AO827" s="187"/>
    </row>
    <row r="828" spans="1:41" s="163" customFormat="1" ht="16.5" customHeight="1">
      <c r="A828" s="180"/>
      <c r="B828" s="181"/>
      <c r="C828" s="182"/>
      <c r="D828" s="182"/>
      <c r="E828" s="183"/>
      <c r="F828" s="183"/>
      <c r="G828" s="183"/>
      <c r="H828" s="184"/>
      <c r="I828" s="184"/>
      <c r="J828" s="184"/>
      <c r="K828" s="184"/>
      <c r="L828" s="184"/>
      <c r="M828" s="184"/>
      <c r="N828" s="184"/>
      <c r="O828" s="184"/>
      <c r="Q828" s="184"/>
      <c r="R828" s="185"/>
      <c r="S828" s="185"/>
      <c r="U828" s="184"/>
      <c r="V828" s="184"/>
      <c r="W828" s="184"/>
      <c r="X828" s="184"/>
      <c r="Y828" s="184"/>
      <c r="Z828" s="184"/>
      <c r="AA828" s="184"/>
      <c r="AB828" s="184"/>
      <c r="AC828" s="184"/>
      <c r="AD828" s="184"/>
      <c r="AE828" s="184"/>
      <c r="AF828" s="184"/>
      <c r="AG828" s="184"/>
      <c r="AH828" s="184"/>
      <c r="AI828" s="184"/>
      <c r="AJ828" s="184"/>
      <c r="AK828" s="184"/>
      <c r="AL828" s="186"/>
      <c r="AM828" s="187"/>
      <c r="AN828" s="187"/>
      <c r="AO828" s="187"/>
    </row>
    <row r="829" spans="1:41" s="163" customFormat="1" ht="16.5" customHeight="1">
      <c r="A829" s="180"/>
      <c r="B829" s="181"/>
      <c r="C829" s="182"/>
      <c r="D829" s="182"/>
      <c r="E829" s="183"/>
      <c r="F829" s="183"/>
      <c r="G829" s="183"/>
      <c r="H829" s="184"/>
      <c r="I829" s="184"/>
      <c r="J829" s="184"/>
      <c r="K829" s="184"/>
      <c r="L829" s="184"/>
      <c r="M829" s="184"/>
      <c r="N829" s="184"/>
      <c r="O829" s="184"/>
      <c r="Q829" s="184"/>
      <c r="R829" s="185"/>
      <c r="S829" s="185"/>
      <c r="U829" s="184"/>
      <c r="V829" s="184"/>
      <c r="W829" s="184"/>
      <c r="X829" s="184"/>
      <c r="Y829" s="184"/>
      <c r="Z829" s="184"/>
      <c r="AA829" s="184"/>
      <c r="AB829" s="184"/>
      <c r="AC829" s="184"/>
      <c r="AD829" s="184"/>
      <c r="AE829" s="184"/>
      <c r="AF829" s="184"/>
      <c r="AG829" s="184"/>
      <c r="AH829" s="184"/>
      <c r="AI829" s="184"/>
      <c r="AJ829" s="184"/>
      <c r="AK829" s="184"/>
      <c r="AL829" s="186"/>
      <c r="AM829" s="187"/>
      <c r="AN829" s="187"/>
      <c r="AO829" s="187"/>
    </row>
    <row r="830" spans="1:41" s="163" customFormat="1" ht="16.5" customHeight="1">
      <c r="A830" s="180"/>
      <c r="B830" s="181"/>
      <c r="C830" s="182"/>
      <c r="D830" s="182"/>
      <c r="E830" s="183"/>
      <c r="F830" s="183"/>
      <c r="G830" s="183"/>
      <c r="H830" s="184"/>
      <c r="I830" s="184"/>
      <c r="J830" s="184"/>
      <c r="K830" s="184"/>
      <c r="L830" s="184"/>
      <c r="M830" s="184"/>
      <c r="N830" s="184"/>
      <c r="O830" s="184"/>
      <c r="Q830" s="184"/>
      <c r="R830" s="185"/>
      <c r="S830" s="185"/>
      <c r="U830" s="184"/>
      <c r="V830" s="184"/>
      <c r="W830" s="184"/>
      <c r="X830" s="184"/>
      <c r="Y830" s="184"/>
      <c r="Z830" s="184"/>
      <c r="AA830" s="184"/>
      <c r="AB830" s="184"/>
      <c r="AC830" s="184"/>
      <c r="AD830" s="184"/>
      <c r="AE830" s="184"/>
      <c r="AF830" s="184"/>
      <c r="AG830" s="184"/>
      <c r="AH830" s="184"/>
      <c r="AI830" s="184"/>
      <c r="AJ830" s="184"/>
      <c r="AK830" s="184"/>
      <c r="AL830" s="186"/>
      <c r="AM830" s="187"/>
      <c r="AN830" s="187"/>
      <c r="AO830" s="187"/>
    </row>
    <row r="831" spans="1:41" s="163" customFormat="1" ht="16.5" customHeight="1">
      <c r="A831" s="180"/>
      <c r="B831" s="181"/>
      <c r="C831" s="182"/>
      <c r="D831" s="182"/>
      <c r="E831" s="183"/>
      <c r="F831" s="183"/>
      <c r="G831" s="183"/>
      <c r="H831" s="184"/>
      <c r="I831" s="184"/>
      <c r="J831" s="184"/>
      <c r="K831" s="184"/>
      <c r="L831" s="184"/>
      <c r="M831" s="184"/>
      <c r="N831" s="184"/>
      <c r="O831" s="184"/>
      <c r="Q831" s="184"/>
      <c r="R831" s="185"/>
      <c r="S831" s="185"/>
      <c r="U831" s="184"/>
      <c r="V831" s="184"/>
      <c r="W831" s="184"/>
      <c r="X831" s="184"/>
      <c r="Y831" s="184"/>
      <c r="Z831" s="184"/>
      <c r="AA831" s="184"/>
      <c r="AB831" s="184"/>
      <c r="AC831" s="184"/>
      <c r="AD831" s="184"/>
      <c r="AE831" s="184"/>
      <c r="AF831" s="184"/>
      <c r="AG831" s="184"/>
      <c r="AH831" s="184"/>
      <c r="AI831" s="184"/>
      <c r="AJ831" s="184"/>
      <c r="AK831" s="184"/>
      <c r="AL831" s="186"/>
      <c r="AM831" s="187"/>
      <c r="AN831" s="187"/>
      <c r="AO831" s="187"/>
    </row>
    <row r="832" spans="1:41" s="163" customFormat="1" ht="16.5" customHeight="1">
      <c r="A832" s="180"/>
      <c r="B832" s="181"/>
      <c r="C832" s="182"/>
      <c r="D832" s="182"/>
      <c r="E832" s="183"/>
      <c r="F832" s="183"/>
      <c r="G832" s="183"/>
      <c r="H832" s="184"/>
      <c r="I832" s="184"/>
      <c r="J832" s="184"/>
      <c r="K832" s="184"/>
      <c r="L832" s="184"/>
      <c r="M832" s="184"/>
      <c r="N832" s="184"/>
      <c r="O832" s="184"/>
      <c r="Q832" s="184"/>
      <c r="R832" s="185"/>
      <c r="S832" s="185"/>
      <c r="U832" s="184"/>
      <c r="V832" s="184"/>
      <c r="W832" s="184"/>
      <c r="X832" s="184"/>
      <c r="Y832" s="184"/>
      <c r="Z832" s="184"/>
      <c r="AA832" s="184"/>
      <c r="AB832" s="184"/>
      <c r="AC832" s="184"/>
      <c r="AD832" s="184"/>
      <c r="AE832" s="184"/>
      <c r="AF832" s="184"/>
      <c r="AG832" s="184"/>
      <c r="AH832" s="184"/>
      <c r="AI832" s="184"/>
      <c r="AJ832" s="184"/>
      <c r="AK832" s="184"/>
      <c r="AL832" s="186"/>
      <c r="AM832" s="187"/>
      <c r="AN832" s="187"/>
      <c r="AO832" s="187"/>
    </row>
    <row r="833" spans="1:41" s="163" customFormat="1" ht="16.5" customHeight="1">
      <c r="A833" s="180"/>
      <c r="B833" s="181"/>
      <c r="C833" s="182"/>
      <c r="D833" s="182"/>
      <c r="E833" s="183"/>
      <c r="F833" s="183"/>
      <c r="G833" s="183"/>
      <c r="H833" s="184"/>
      <c r="I833" s="184"/>
      <c r="J833" s="184"/>
      <c r="K833" s="184"/>
      <c r="L833" s="184"/>
      <c r="M833" s="184"/>
      <c r="N833" s="184"/>
      <c r="O833" s="184"/>
      <c r="Q833" s="184"/>
      <c r="R833" s="185"/>
      <c r="S833" s="185"/>
      <c r="U833" s="184"/>
      <c r="V833" s="184"/>
      <c r="W833" s="184"/>
      <c r="X833" s="184"/>
      <c r="Y833" s="184"/>
      <c r="Z833" s="184"/>
      <c r="AA833" s="184"/>
      <c r="AB833" s="184"/>
      <c r="AC833" s="184"/>
      <c r="AD833" s="184"/>
      <c r="AE833" s="184"/>
      <c r="AF833" s="184"/>
      <c r="AG833" s="184"/>
      <c r="AH833" s="184"/>
      <c r="AI833" s="184"/>
      <c r="AJ833" s="184"/>
      <c r="AK833" s="184"/>
      <c r="AL833" s="186"/>
      <c r="AM833" s="187"/>
      <c r="AN833" s="187"/>
      <c r="AO833" s="187"/>
    </row>
    <row r="834" spans="1:41" s="163" customFormat="1" ht="16.5" customHeight="1">
      <c r="A834" s="180"/>
      <c r="B834" s="181"/>
      <c r="C834" s="182"/>
      <c r="D834" s="182"/>
      <c r="E834" s="183"/>
      <c r="F834" s="183"/>
      <c r="G834" s="183"/>
      <c r="H834" s="184"/>
      <c r="I834" s="184"/>
      <c r="J834" s="184"/>
      <c r="K834" s="184"/>
      <c r="L834" s="184"/>
      <c r="M834" s="184"/>
      <c r="N834" s="184"/>
      <c r="O834" s="184"/>
      <c r="Q834" s="184"/>
      <c r="R834" s="185"/>
      <c r="S834" s="185"/>
      <c r="U834" s="184"/>
      <c r="V834" s="184"/>
      <c r="W834" s="184"/>
      <c r="X834" s="184"/>
      <c r="Y834" s="184"/>
      <c r="Z834" s="184"/>
      <c r="AA834" s="184"/>
      <c r="AB834" s="184"/>
      <c r="AC834" s="184"/>
      <c r="AD834" s="184"/>
      <c r="AE834" s="184"/>
      <c r="AF834" s="184"/>
      <c r="AG834" s="184"/>
      <c r="AH834" s="184"/>
      <c r="AI834" s="184"/>
      <c r="AJ834" s="184"/>
      <c r="AK834" s="184"/>
      <c r="AL834" s="186"/>
      <c r="AM834" s="187"/>
      <c r="AN834" s="187"/>
      <c r="AO834" s="187"/>
    </row>
    <row r="835" spans="1:41" s="163" customFormat="1" ht="16.5" customHeight="1">
      <c r="A835" s="180"/>
      <c r="B835" s="181"/>
      <c r="C835" s="182"/>
      <c r="D835" s="182"/>
      <c r="E835" s="183"/>
      <c r="F835" s="183"/>
      <c r="G835" s="183"/>
      <c r="H835" s="184"/>
      <c r="I835" s="184"/>
      <c r="J835" s="184"/>
      <c r="K835" s="184"/>
      <c r="L835" s="184"/>
      <c r="M835" s="184"/>
      <c r="N835" s="184"/>
      <c r="O835" s="184"/>
      <c r="Q835" s="184"/>
      <c r="R835" s="185"/>
      <c r="S835" s="185"/>
      <c r="U835" s="184"/>
      <c r="V835" s="184"/>
      <c r="W835" s="184"/>
      <c r="X835" s="184"/>
      <c r="Y835" s="184"/>
      <c r="Z835" s="184"/>
      <c r="AA835" s="184"/>
      <c r="AB835" s="184"/>
      <c r="AC835" s="184"/>
      <c r="AD835" s="184"/>
      <c r="AE835" s="184"/>
      <c r="AF835" s="184"/>
      <c r="AG835" s="184"/>
      <c r="AH835" s="184"/>
      <c r="AI835" s="184"/>
      <c r="AJ835" s="184"/>
      <c r="AK835" s="184"/>
      <c r="AL835" s="186"/>
      <c r="AM835" s="187"/>
      <c r="AN835" s="187"/>
      <c r="AO835" s="187"/>
    </row>
    <row r="836" spans="1:41" s="163" customFormat="1" ht="16.5" customHeight="1">
      <c r="A836" s="180"/>
      <c r="B836" s="181"/>
      <c r="C836" s="182"/>
      <c r="D836" s="182"/>
      <c r="E836" s="183"/>
      <c r="F836" s="183"/>
      <c r="G836" s="183"/>
      <c r="H836" s="184"/>
      <c r="I836" s="184"/>
      <c r="J836" s="184"/>
      <c r="K836" s="184"/>
      <c r="L836" s="184"/>
      <c r="M836" s="184"/>
      <c r="N836" s="184"/>
      <c r="O836" s="184"/>
      <c r="Q836" s="184"/>
      <c r="R836" s="185"/>
      <c r="S836" s="185"/>
      <c r="U836" s="184"/>
      <c r="V836" s="184"/>
      <c r="W836" s="184"/>
      <c r="X836" s="184"/>
      <c r="Y836" s="184"/>
      <c r="Z836" s="184"/>
      <c r="AA836" s="184"/>
      <c r="AB836" s="184"/>
      <c r="AC836" s="184"/>
      <c r="AD836" s="184"/>
      <c r="AE836" s="184"/>
      <c r="AF836" s="184"/>
      <c r="AG836" s="184"/>
      <c r="AH836" s="184"/>
      <c r="AI836" s="184"/>
      <c r="AJ836" s="184"/>
      <c r="AK836" s="184"/>
      <c r="AL836" s="186"/>
      <c r="AM836" s="187"/>
      <c r="AN836" s="187"/>
      <c r="AO836" s="187"/>
    </row>
    <row r="837" spans="1:41" s="163" customFormat="1" ht="16.5" customHeight="1">
      <c r="A837" s="180"/>
      <c r="B837" s="181"/>
      <c r="C837" s="182"/>
      <c r="D837" s="182"/>
      <c r="E837" s="183"/>
      <c r="F837" s="183"/>
      <c r="G837" s="183"/>
      <c r="H837" s="184"/>
      <c r="I837" s="184"/>
      <c r="J837" s="184"/>
      <c r="K837" s="184"/>
      <c r="L837" s="184"/>
      <c r="M837" s="184"/>
      <c r="N837" s="184"/>
      <c r="O837" s="184"/>
      <c r="Q837" s="184"/>
      <c r="R837" s="185"/>
      <c r="S837" s="185"/>
      <c r="U837" s="184"/>
      <c r="V837" s="184"/>
      <c r="W837" s="184"/>
      <c r="X837" s="184"/>
      <c r="Y837" s="184"/>
      <c r="Z837" s="184"/>
      <c r="AA837" s="184"/>
      <c r="AB837" s="184"/>
      <c r="AC837" s="184"/>
      <c r="AD837" s="184"/>
      <c r="AE837" s="184"/>
      <c r="AF837" s="184"/>
      <c r="AG837" s="184"/>
      <c r="AH837" s="184"/>
      <c r="AI837" s="184"/>
      <c r="AJ837" s="184"/>
      <c r="AK837" s="184"/>
      <c r="AL837" s="186"/>
      <c r="AM837" s="187"/>
      <c r="AN837" s="187"/>
      <c r="AO837" s="187"/>
    </row>
    <row r="838" spans="1:41" s="163" customFormat="1" ht="16.5" customHeight="1">
      <c r="A838" s="180"/>
      <c r="B838" s="181"/>
      <c r="C838" s="182"/>
      <c r="D838" s="182"/>
      <c r="E838" s="183"/>
      <c r="F838" s="183"/>
      <c r="G838" s="183"/>
      <c r="H838" s="184"/>
      <c r="I838" s="184"/>
      <c r="J838" s="184"/>
      <c r="K838" s="184"/>
      <c r="L838" s="184"/>
      <c r="M838" s="184"/>
      <c r="N838" s="184"/>
      <c r="O838" s="184"/>
      <c r="Q838" s="184"/>
      <c r="R838" s="185"/>
      <c r="S838" s="185"/>
      <c r="U838" s="184"/>
      <c r="V838" s="184"/>
      <c r="W838" s="184"/>
      <c r="X838" s="184"/>
      <c r="Y838" s="184"/>
      <c r="Z838" s="184"/>
      <c r="AA838" s="184"/>
      <c r="AB838" s="184"/>
      <c r="AC838" s="184"/>
      <c r="AD838" s="184"/>
      <c r="AE838" s="184"/>
      <c r="AF838" s="184"/>
      <c r="AG838" s="184"/>
      <c r="AH838" s="184"/>
      <c r="AI838" s="184"/>
      <c r="AJ838" s="184"/>
      <c r="AK838" s="184"/>
      <c r="AL838" s="186"/>
      <c r="AM838" s="187"/>
      <c r="AN838" s="187"/>
      <c r="AO838" s="187"/>
    </row>
    <row r="839" spans="1:41" s="163" customFormat="1" ht="16.5" customHeight="1">
      <c r="A839" s="180"/>
      <c r="B839" s="181"/>
      <c r="C839" s="182"/>
      <c r="D839" s="182"/>
      <c r="E839" s="183"/>
      <c r="F839" s="183"/>
      <c r="G839" s="183"/>
      <c r="H839" s="184"/>
      <c r="I839" s="184"/>
      <c r="J839" s="184"/>
      <c r="K839" s="184"/>
      <c r="L839" s="184"/>
      <c r="M839" s="184"/>
      <c r="N839" s="184"/>
      <c r="O839" s="184"/>
      <c r="Q839" s="184"/>
      <c r="R839" s="185"/>
      <c r="S839" s="185"/>
      <c r="U839" s="184"/>
      <c r="V839" s="184"/>
      <c r="W839" s="184"/>
      <c r="X839" s="184"/>
      <c r="Y839" s="184"/>
      <c r="Z839" s="184"/>
      <c r="AA839" s="184"/>
      <c r="AB839" s="184"/>
      <c r="AC839" s="184"/>
      <c r="AD839" s="184"/>
      <c r="AE839" s="184"/>
      <c r="AF839" s="184"/>
      <c r="AG839" s="184"/>
      <c r="AH839" s="184"/>
      <c r="AI839" s="184"/>
      <c r="AJ839" s="184"/>
      <c r="AK839" s="184"/>
      <c r="AL839" s="186"/>
      <c r="AM839" s="187"/>
      <c r="AN839" s="187"/>
      <c r="AO839" s="187"/>
    </row>
    <row r="840" spans="1:41" s="163" customFormat="1" ht="16.5" customHeight="1">
      <c r="A840" s="180"/>
      <c r="B840" s="181"/>
      <c r="C840" s="182"/>
      <c r="D840" s="182"/>
      <c r="E840" s="183"/>
      <c r="F840" s="183"/>
      <c r="G840" s="183"/>
      <c r="H840" s="184"/>
      <c r="I840" s="184"/>
      <c r="J840" s="184"/>
      <c r="K840" s="184"/>
      <c r="L840" s="184"/>
      <c r="M840" s="184"/>
      <c r="N840" s="184"/>
      <c r="O840" s="184"/>
      <c r="Q840" s="184"/>
      <c r="R840" s="185"/>
      <c r="S840" s="185"/>
      <c r="U840" s="184"/>
      <c r="V840" s="184"/>
      <c r="W840" s="184"/>
      <c r="X840" s="184"/>
      <c r="Y840" s="184"/>
      <c r="Z840" s="184"/>
      <c r="AA840" s="184"/>
      <c r="AB840" s="184"/>
      <c r="AC840" s="184"/>
      <c r="AD840" s="184"/>
      <c r="AE840" s="184"/>
      <c r="AF840" s="184"/>
      <c r="AG840" s="184"/>
      <c r="AH840" s="184"/>
      <c r="AI840" s="184"/>
      <c r="AJ840" s="184"/>
      <c r="AK840" s="184"/>
      <c r="AL840" s="186"/>
      <c r="AM840" s="187"/>
      <c r="AN840" s="187"/>
      <c r="AO840" s="187"/>
    </row>
    <row r="841" spans="1:41" s="163" customFormat="1" ht="16.5" customHeight="1">
      <c r="A841" s="180"/>
      <c r="B841" s="181"/>
      <c r="C841" s="182"/>
      <c r="D841" s="182"/>
      <c r="E841" s="183"/>
      <c r="F841" s="183"/>
      <c r="G841" s="183"/>
      <c r="H841" s="184"/>
      <c r="I841" s="184"/>
      <c r="J841" s="184"/>
      <c r="K841" s="184"/>
      <c r="L841" s="184"/>
      <c r="M841" s="184"/>
      <c r="N841" s="184"/>
      <c r="O841" s="184"/>
      <c r="Q841" s="184"/>
      <c r="R841" s="185"/>
      <c r="S841" s="185"/>
      <c r="U841" s="184"/>
      <c r="V841" s="184"/>
      <c r="W841" s="184"/>
      <c r="X841" s="184"/>
      <c r="Y841" s="184"/>
      <c r="Z841" s="184"/>
      <c r="AA841" s="184"/>
      <c r="AB841" s="184"/>
      <c r="AC841" s="184"/>
      <c r="AD841" s="184"/>
      <c r="AE841" s="184"/>
      <c r="AF841" s="184"/>
      <c r="AG841" s="184"/>
      <c r="AH841" s="184"/>
      <c r="AI841" s="184"/>
      <c r="AJ841" s="184"/>
      <c r="AK841" s="184"/>
      <c r="AL841" s="186"/>
      <c r="AM841" s="187"/>
      <c r="AN841" s="187"/>
      <c r="AO841" s="187"/>
    </row>
    <row r="842" spans="1:41" s="163" customFormat="1" ht="16.5" customHeight="1">
      <c r="A842" s="180"/>
      <c r="B842" s="181"/>
      <c r="C842" s="182"/>
      <c r="D842" s="182"/>
      <c r="E842" s="183"/>
      <c r="F842" s="183"/>
      <c r="G842" s="183"/>
      <c r="H842" s="184"/>
      <c r="I842" s="184"/>
      <c r="J842" s="184"/>
      <c r="K842" s="184"/>
      <c r="L842" s="184"/>
      <c r="M842" s="184"/>
      <c r="N842" s="184"/>
      <c r="O842" s="184"/>
      <c r="Q842" s="184"/>
      <c r="R842" s="185"/>
      <c r="S842" s="185"/>
      <c r="U842" s="184"/>
      <c r="V842" s="184"/>
      <c r="W842" s="184"/>
      <c r="X842" s="184"/>
      <c r="Y842" s="184"/>
      <c r="Z842" s="184"/>
      <c r="AA842" s="184"/>
      <c r="AB842" s="184"/>
      <c r="AC842" s="184"/>
      <c r="AD842" s="184"/>
      <c r="AE842" s="184"/>
      <c r="AF842" s="184"/>
      <c r="AG842" s="184"/>
      <c r="AH842" s="184"/>
      <c r="AI842" s="184"/>
      <c r="AJ842" s="184"/>
      <c r="AK842" s="184"/>
      <c r="AL842" s="186"/>
      <c r="AM842" s="187"/>
      <c r="AN842" s="187"/>
      <c r="AO842" s="187"/>
    </row>
    <row r="843" spans="1:41" s="163" customFormat="1" ht="16.5" customHeight="1">
      <c r="A843" s="180"/>
      <c r="B843" s="181"/>
      <c r="C843" s="182"/>
      <c r="D843" s="182"/>
      <c r="E843" s="183"/>
      <c r="F843" s="183"/>
      <c r="G843" s="183"/>
      <c r="H843" s="184"/>
      <c r="I843" s="184"/>
      <c r="J843" s="184"/>
      <c r="K843" s="184"/>
      <c r="L843" s="184"/>
      <c r="M843" s="184"/>
      <c r="N843" s="184"/>
      <c r="O843" s="184"/>
      <c r="Q843" s="184"/>
      <c r="R843" s="185"/>
      <c r="S843" s="185"/>
      <c r="U843" s="184"/>
      <c r="V843" s="184"/>
      <c r="W843" s="184"/>
      <c r="X843" s="184"/>
      <c r="Y843" s="184"/>
      <c r="Z843" s="184"/>
      <c r="AA843" s="184"/>
      <c r="AB843" s="184"/>
      <c r="AC843" s="184"/>
      <c r="AD843" s="184"/>
      <c r="AE843" s="184"/>
      <c r="AF843" s="184"/>
      <c r="AG843" s="184"/>
      <c r="AH843" s="184"/>
      <c r="AI843" s="184"/>
      <c r="AJ843" s="184"/>
      <c r="AK843" s="184"/>
      <c r="AL843" s="186"/>
      <c r="AM843" s="187"/>
      <c r="AN843" s="187"/>
      <c r="AO843" s="187"/>
    </row>
    <row r="844" spans="1:41" s="163" customFormat="1" ht="16.5" customHeight="1">
      <c r="A844" s="180"/>
      <c r="B844" s="181"/>
      <c r="C844" s="182"/>
      <c r="D844" s="182"/>
      <c r="E844" s="183"/>
      <c r="F844" s="183"/>
      <c r="G844" s="183"/>
      <c r="H844" s="184"/>
      <c r="I844" s="184"/>
      <c r="J844" s="184"/>
      <c r="K844" s="184"/>
      <c r="L844" s="184"/>
      <c r="M844" s="184"/>
      <c r="N844" s="184"/>
      <c r="O844" s="184"/>
      <c r="Q844" s="184"/>
      <c r="R844" s="185"/>
      <c r="S844" s="185"/>
      <c r="U844" s="184"/>
      <c r="V844" s="184"/>
      <c r="W844" s="184"/>
      <c r="X844" s="184"/>
      <c r="Y844" s="184"/>
      <c r="Z844" s="184"/>
      <c r="AA844" s="184"/>
      <c r="AB844" s="184"/>
      <c r="AC844" s="184"/>
      <c r="AD844" s="184"/>
      <c r="AE844" s="184"/>
      <c r="AF844" s="184"/>
      <c r="AG844" s="184"/>
      <c r="AH844" s="184"/>
      <c r="AI844" s="184"/>
      <c r="AJ844" s="184"/>
      <c r="AK844" s="184"/>
      <c r="AL844" s="186"/>
      <c r="AM844" s="187"/>
      <c r="AN844" s="187"/>
      <c r="AO844" s="187"/>
    </row>
    <row r="845" spans="1:41" s="163" customFormat="1" ht="16.5" customHeight="1">
      <c r="A845" s="180"/>
      <c r="B845" s="181"/>
      <c r="C845" s="182"/>
      <c r="D845" s="182"/>
      <c r="E845" s="183"/>
      <c r="F845" s="183"/>
      <c r="G845" s="183"/>
      <c r="H845" s="184"/>
      <c r="I845" s="184"/>
      <c r="J845" s="184"/>
      <c r="K845" s="184"/>
      <c r="L845" s="184"/>
      <c r="M845" s="184"/>
      <c r="N845" s="184"/>
      <c r="O845" s="184"/>
      <c r="Q845" s="184"/>
      <c r="R845" s="185"/>
      <c r="S845" s="185"/>
      <c r="U845" s="184"/>
      <c r="V845" s="184"/>
      <c r="W845" s="184"/>
      <c r="X845" s="184"/>
      <c r="Y845" s="184"/>
      <c r="Z845" s="184"/>
      <c r="AA845" s="184"/>
      <c r="AB845" s="184"/>
      <c r="AC845" s="184"/>
      <c r="AD845" s="184"/>
      <c r="AE845" s="184"/>
      <c r="AF845" s="184"/>
      <c r="AG845" s="184"/>
      <c r="AH845" s="184"/>
      <c r="AI845" s="184"/>
      <c r="AJ845" s="184"/>
      <c r="AK845" s="184"/>
      <c r="AL845" s="186"/>
      <c r="AM845" s="187"/>
      <c r="AN845" s="187"/>
      <c r="AO845" s="187"/>
    </row>
    <row r="846" spans="1:41" s="163" customFormat="1" ht="16.5" customHeight="1">
      <c r="A846" s="180"/>
      <c r="B846" s="181"/>
      <c r="C846" s="182"/>
      <c r="D846" s="182"/>
      <c r="E846" s="183"/>
      <c r="F846" s="183"/>
      <c r="G846" s="183"/>
      <c r="H846" s="184"/>
      <c r="I846" s="184"/>
      <c r="J846" s="184"/>
      <c r="K846" s="184"/>
      <c r="L846" s="184"/>
      <c r="M846" s="184"/>
      <c r="N846" s="184"/>
      <c r="O846" s="184"/>
      <c r="Q846" s="184"/>
      <c r="R846" s="185"/>
      <c r="S846" s="185"/>
      <c r="U846" s="184"/>
      <c r="V846" s="184"/>
      <c r="W846" s="184"/>
      <c r="X846" s="184"/>
      <c r="Y846" s="184"/>
      <c r="Z846" s="184"/>
      <c r="AA846" s="184"/>
      <c r="AB846" s="184"/>
      <c r="AC846" s="184"/>
      <c r="AD846" s="184"/>
      <c r="AE846" s="184"/>
      <c r="AF846" s="184"/>
      <c r="AG846" s="184"/>
      <c r="AH846" s="184"/>
      <c r="AI846" s="184"/>
      <c r="AJ846" s="184"/>
      <c r="AK846" s="184"/>
      <c r="AL846" s="186"/>
      <c r="AM846" s="187"/>
      <c r="AN846" s="187"/>
      <c r="AO846" s="187"/>
    </row>
    <row r="847" spans="1:41" s="163" customFormat="1" ht="16.5" customHeight="1">
      <c r="A847" s="180"/>
      <c r="B847" s="181"/>
      <c r="C847" s="182"/>
      <c r="D847" s="182"/>
      <c r="E847" s="183"/>
      <c r="F847" s="183"/>
      <c r="G847" s="183"/>
      <c r="H847" s="184"/>
      <c r="I847" s="184"/>
      <c r="J847" s="184"/>
      <c r="K847" s="184"/>
      <c r="L847" s="184"/>
      <c r="M847" s="184"/>
      <c r="N847" s="184"/>
      <c r="O847" s="184"/>
      <c r="Q847" s="184"/>
      <c r="R847" s="185"/>
      <c r="S847" s="185"/>
      <c r="U847" s="184"/>
      <c r="V847" s="184"/>
      <c r="W847" s="184"/>
      <c r="X847" s="184"/>
      <c r="Y847" s="184"/>
      <c r="Z847" s="184"/>
      <c r="AA847" s="184"/>
      <c r="AB847" s="184"/>
      <c r="AC847" s="184"/>
      <c r="AD847" s="184"/>
      <c r="AE847" s="184"/>
      <c r="AF847" s="184"/>
      <c r="AG847" s="184"/>
      <c r="AH847" s="184"/>
      <c r="AI847" s="184"/>
      <c r="AJ847" s="184"/>
      <c r="AK847" s="184"/>
      <c r="AL847" s="186"/>
      <c r="AM847" s="187"/>
      <c r="AN847" s="187"/>
      <c r="AO847" s="187"/>
    </row>
    <row r="848" spans="1:41" s="163" customFormat="1" ht="16.5" customHeight="1">
      <c r="A848" s="180"/>
      <c r="B848" s="181"/>
      <c r="C848" s="182"/>
      <c r="D848" s="182"/>
      <c r="E848" s="183"/>
      <c r="F848" s="183"/>
      <c r="G848" s="183"/>
      <c r="H848" s="184"/>
      <c r="I848" s="184"/>
      <c r="J848" s="184"/>
      <c r="K848" s="184"/>
      <c r="L848" s="184"/>
      <c r="M848" s="184"/>
      <c r="N848" s="184"/>
      <c r="O848" s="184"/>
      <c r="Q848" s="184"/>
      <c r="R848" s="185"/>
      <c r="S848" s="185"/>
      <c r="U848" s="184"/>
      <c r="V848" s="184"/>
      <c r="W848" s="184"/>
      <c r="X848" s="184"/>
      <c r="Y848" s="184"/>
      <c r="Z848" s="184"/>
      <c r="AA848" s="184"/>
      <c r="AB848" s="184"/>
      <c r="AC848" s="184"/>
      <c r="AD848" s="184"/>
      <c r="AE848" s="184"/>
      <c r="AF848" s="184"/>
      <c r="AG848" s="184"/>
      <c r="AH848" s="184"/>
      <c r="AI848" s="184"/>
      <c r="AJ848" s="184"/>
      <c r="AK848" s="184"/>
      <c r="AL848" s="186"/>
      <c r="AM848" s="187"/>
      <c r="AN848" s="187"/>
      <c r="AO848" s="187"/>
    </row>
    <row r="849" spans="1:41" s="163" customFormat="1" ht="16.5" customHeight="1">
      <c r="A849" s="180"/>
      <c r="B849" s="181"/>
      <c r="C849" s="182"/>
      <c r="D849" s="182"/>
      <c r="E849" s="183"/>
      <c r="F849" s="183"/>
      <c r="G849" s="183"/>
      <c r="H849" s="184"/>
      <c r="I849" s="184"/>
      <c r="J849" s="184"/>
      <c r="K849" s="184"/>
      <c r="L849" s="184"/>
      <c r="M849" s="184"/>
      <c r="N849" s="184"/>
      <c r="O849" s="184"/>
      <c r="Q849" s="184"/>
      <c r="R849" s="185"/>
      <c r="S849" s="185"/>
      <c r="U849" s="184"/>
      <c r="V849" s="184"/>
      <c r="W849" s="184"/>
      <c r="X849" s="184"/>
      <c r="Y849" s="184"/>
      <c r="Z849" s="184"/>
      <c r="AA849" s="184"/>
      <c r="AB849" s="184"/>
      <c r="AC849" s="184"/>
      <c r="AD849" s="184"/>
      <c r="AE849" s="184"/>
      <c r="AF849" s="184"/>
      <c r="AG849" s="184"/>
      <c r="AH849" s="184"/>
      <c r="AI849" s="184"/>
      <c r="AJ849" s="184"/>
      <c r="AK849" s="184"/>
      <c r="AL849" s="186"/>
      <c r="AM849" s="187"/>
      <c r="AN849" s="187"/>
      <c r="AO849" s="187"/>
    </row>
    <row r="850" spans="1:41" s="163" customFormat="1" ht="16.5" customHeight="1">
      <c r="A850" s="180"/>
      <c r="B850" s="181"/>
      <c r="C850" s="182"/>
      <c r="D850" s="182"/>
      <c r="E850" s="183"/>
      <c r="F850" s="183"/>
      <c r="G850" s="183"/>
      <c r="H850" s="184"/>
      <c r="I850" s="184"/>
      <c r="J850" s="184"/>
      <c r="K850" s="184"/>
      <c r="L850" s="184"/>
      <c r="M850" s="184"/>
      <c r="N850" s="184"/>
      <c r="O850" s="184"/>
      <c r="Q850" s="184"/>
      <c r="R850" s="185"/>
      <c r="S850" s="185"/>
      <c r="U850" s="184"/>
      <c r="V850" s="184"/>
      <c r="W850" s="184"/>
      <c r="X850" s="184"/>
      <c r="Y850" s="184"/>
      <c r="Z850" s="184"/>
      <c r="AA850" s="184"/>
      <c r="AB850" s="184"/>
      <c r="AC850" s="184"/>
      <c r="AD850" s="184"/>
      <c r="AE850" s="184"/>
      <c r="AF850" s="184"/>
      <c r="AG850" s="184"/>
      <c r="AH850" s="184"/>
      <c r="AI850" s="184"/>
      <c r="AJ850" s="184"/>
      <c r="AK850" s="184"/>
      <c r="AL850" s="186"/>
      <c r="AM850" s="187"/>
      <c r="AN850" s="187"/>
      <c r="AO850" s="187"/>
    </row>
    <row r="851" spans="1:41" s="163" customFormat="1" ht="16.5" customHeight="1">
      <c r="A851" s="180"/>
      <c r="B851" s="181"/>
      <c r="C851" s="182"/>
      <c r="D851" s="182"/>
      <c r="E851" s="183"/>
      <c r="F851" s="183"/>
      <c r="G851" s="183"/>
      <c r="H851" s="184"/>
      <c r="I851" s="184"/>
      <c r="J851" s="184"/>
      <c r="K851" s="184"/>
      <c r="L851" s="184"/>
      <c r="M851" s="184"/>
      <c r="N851" s="184"/>
      <c r="O851" s="184"/>
      <c r="Q851" s="184"/>
      <c r="R851" s="185"/>
      <c r="S851" s="185"/>
      <c r="U851" s="184"/>
      <c r="V851" s="184"/>
      <c r="W851" s="184"/>
      <c r="X851" s="184"/>
      <c r="Y851" s="184"/>
      <c r="Z851" s="184"/>
      <c r="AA851" s="184"/>
      <c r="AB851" s="184"/>
      <c r="AC851" s="184"/>
      <c r="AD851" s="184"/>
      <c r="AE851" s="184"/>
      <c r="AF851" s="184"/>
      <c r="AG851" s="184"/>
      <c r="AH851" s="184"/>
      <c r="AI851" s="184"/>
      <c r="AJ851" s="184"/>
      <c r="AK851" s="184"/>
      <c r="AL851" s="186"/>
      <c r="AM851" s="187"/>
      <c r="AN851" s="187"/>
      <c r="AO851" s="187"/>
    </row>
    <row r="852" spans="1:41" s="163" customFormat="1" ht="16.5" customHeight="1">
      <c r="A852" s="180"/>
      <c r="B852" s="181"/>
      <c r="C852" s="182"/>
      <c r="D852" s="182"/>
      <c r="E852" s="183"/>
      <c r="F852" s="183"/>
      <c r="G852" s="183"/>
      <c r="H852" s="184"/>
      <c r="I852" s="184"/>
      <c r="J852" s="184"/>
      <c r="K852" s="184"/>
      <c r="L852" s="184"/>
      <c r="M852" s="184"/>
      <c r="N852" s="184"/>
      <c r="O852" s="184"/>
      <c r="Q852" s="184"/>
      <c r="R852" s="185"/>
      <c r="S852" s="185"/>
      <c r="U852" s="184"/>
      <c r="V852" s="184"/>
      <c r="W852" s="184"/>
      <c r="X852" s="184"/>
      <c r="Y852" s="184"/>
      <c r="Z852" s="184"/>
      <c r="AA852" s="184"/>
      <c r="AB852" s="184"/>
      <c r="AC852" s="184"/>
      <c r="AD852" s="184"/>
      <c r="AE852" s="184"/>
      <c r="AF852" s="184"/>
      <c r="AG852" s="184"/>
      <c r="AH852" s="184"/>
      <c r="AI852" s="184"/>
      <c r="AJ852" s="184"/>
      <c r="AK852" s="184"/>
      <c r="AL852" s="186"/>
      <c r="AM852" s="187"/>
      <c r="AN852" s="187"/>
      <c r="AO852" s="187"/>
    </row>
    <row r="853" spans="1:41" s="163" customFormat="1" ht="16.5" customHeight="1">
      <c r="A853" s="180"/>
      <c r="B853" s="181"/>
      <c r="C853" s="182"/>
      <c r="D853" s="182"/>
      <c r="E853" s="183"/>
      <c r="F853" s="183"/>
      <c r="G853" s="183"/>
      <c r="H853" s="184"/>
      <c r="I853" s="184"/>
      <c r="J853" s="184"/>
      <c r="K853" s="184"/>
      <c r="L853" s="184"/>
      <c r="M853" s="184"/>
      <c r="N853" s="184"/>
      <c r="O853" s="184"/>
      <c r="Q853" s="184"/>
      <c r="R853" s="185"/>
      <c r="S853" s="185"/>
      <c r="U853" s="184"/>
      <c r="V853" s="184"/>
      <c r="W853" s="184"/>
      <c r="X853" s="184"/>
      <c r="Y853" s="184"/>
      <c r="Z853" s="184"/>
      <c r="AA853" s="184"/>
      <c r="AB853" s="184"/>
      <c r="AC853" s="184"/>
      <c r="AD853" s="184"/>
      <c r="AE853" s="184"/>
      <c r="AF853" s="184"/>
      <c r="AG853" s="184"/>
      <c r="AH853" s="184"/>
      <c r="AI853" s="184"/>
      <c r="AJ853" s="184"/>
      <c r="AK853" s="184"/>
      <c r="AL853" s="186"/>
      <c r="AM853" s="187"/>
      <c r="AN853" s="187"/>
      <c r="AO853" s="187"/>
    </row>
    <row r="854" spans="1:41" s="163" customFormat="1" ht="16.5" customHeight="1">
      <c r="A854" s="180"/>
      <c r="B854" s="181"/>
      <c r="C854" s="182"/>
      <c r="D854" s="182"/>
      <c r="E854" s="183"/>
      <c r="F854" s="183"/>
      <c r="G854" s="183"/>
      <c r="H854" s="184"/>
      <c r="I854" s="184"/>
      <c r="J854" s="184"/>
      <c r="K854" s="184"/>
      <c r="L854" s="184"/>
      <c r="M854" s="184"/>
      <c r="N854" s="184"/>
      <c r="O854" s="184"/>
      <c r="Q854" s="184"/>
      <c r="R854" s="185"/>
      <c r="S854" s="185"/>
      <c r="U854" s="184"/>
      <c r="V854" s="184"/>
      <c r="W854" s="184"/>
      <c r="X854" s="184"/>
      <c r="Y854" s="184"/>
      <c r="Z854" s="184"/>
      <c r="AA854" s="184"/>
      <c r="AB854" s="184"/>
      <c r="AC854" s="184"/>
      <c r="AD854" s="184"/>
      <c r="AE854" s="184"/>
      <c r="AF854" s="184"/>
      <c r="AG854" s="184"/>
      <c r="AH854" s="184"/>
      <c r="AI854" s="184"/>
      <c r="AJ854" s="184"/>
      <c r="AK854" s="184"/>
      <c r="AL854" s="186"/>
      <c r="AM854" s="187"/>
      <c r="AN854" s="187"/>
      <c r="AO854" s="187"/>
    </row>
    <row r="855" spans="1:41" s="163" customFormat="1" ht="16.5" customHeight="1">
      <c r="A855" s="180"/>
      <c r="B855" s="181"/>
      <c r="C855" s="182"/>
      <c r="D855" s="182"/>
      <c r="E855" s="183"/>
      <c r="F855" s="183"/>
      <c r="G855" s="183"/>
      <c r="H855" s="184"/>
      <c r="I855" s="184"/>
      <c r="J855" s="184"/>
      <c r="K855" s="184"/>
      <c r="L855" s="184"/>
      <c r="M855" s="184"/>
      <c r="N855" s="184"/>
      <c r="O855" s="184"/>
      <c r="Q855" s="184"/>
      <c r="R855" s="185"/>
      <c r="S855" s="185"/>
      <c r="U855" s="184"/>
      <c r="V855" s="184"/>
      <c r="W855" s="184"/>
      <c r="X855" s="184"/>
      <c r="Y855" s="184"/>
      <c r="Z855" s="184"/>
      <c r="AA855" s="184"/>
      <c r="AB855" s="184"/>
      <c r="AC855" s="184"/>
      <c r="AD855" s="184"/>
      <c r="AE855" s="184"/>
      <c r="AF855" s="184"/>
      <c r="AG855" s="184"/>
      <c r="AH855" s="184"/>
      <c r="AI855" s="184"/>
      <c r="AJ855" s="184"/>
      <c r="AK855" s="184"/>
      <c r="AL855" s="186"/>
      <c r="AM855" s="187"/>
      <c r="AN855" s="187"/>
      <c r="AO855" s="187"/>
    </row>
    <row r="856" spans="1:41" s="163" customFormat="1" ht="16.5" customHeight="1">
      <c r="A856" s="180"/>
      <c r="B856" s="181"/>
      <c r="C856" s="182"/>
      <c r="D856" s="182"/>
      <c r="E856" s="183"/>
      <c r="F856" s="183"/>
      <c r="G856" s="183"/>
      <c r="H856" s="184"/>
      <c r="I856" s="184"/>
      <c r="J856" s="184"/>
      <c r="K856" s="184"/>
      <c r="L856" s="184"/>
      <c r="M856" s="184"/>
      <c r="N856" s="184"/>
      <c r="O856" s="184"/>
      <c r="Q856" s="184"/>
      <c r="R856" s="185"/>
      <c r="S856" s="185"/>
      <c r="U856" s="184"/>
      <c r="V856" s="184"/>
      <c r="W856" s="184"/>
      <c r="X856" s="184"/>
      <c r="Y856" s="184"/>
      <c r="Z856" s="184"/>
      <c r="AA856" s="184"/>
      <c r="AB856" s="184"/>
      <c r="AC856" s="184"/>
      <c r="AD856" s="184"/>
      <c r="AE856" s="184"/>
      <c r="AF856" s="184"/>
      <c r="AG856" s="184"/>
      <c r="AH856" s="184"/>
      <c r="AI856" s="184"/>
      <c r="AJ856" s="184"/>
      <c r="AK856" s="184"/>
      <c r="AL856" s="186"/>
      <c r="AM856" s="187"/>
      <c r="AN856" s="187"/>
      <c r="AO856" s="187"/>
    </row>
    <row r="857" spans="1:41" s="163" customFormat="1" ht="16.5" customHeight="1">
      <c r="A857" s="180"/>
      <c r="B857" s="181"/>
      <c r="C857" s="182"/>
      <c r="D857" s="182"/>
      <c r="E857" s="183"/>
      <c r="F857" s="183"/>
      <c r="G857" s="183"/>
      <c r="H857" s="184"/>
      <c r="I857" s="184"/>
      <c r="J857" s="184"/>
      <c r="K857" s="184"/>
      <c r="L857" s="184"/>
      <c r="M857" s="184"/>
      <c r="N857" s="184"/>
      <c r="O857" s="184"/>
      <c r="Q857" s="184"/>
      <c r="R857" s="185"/>
      <c r="S857" s="185"/>
      <c r="U857" s="184"/>
      <c r="V857" s="184"/>
      <c r="W857" s="184"/>
      <c r="X857" s="184"/>
      <c r="Y857" s="184"/>
      <c r="Z857" s="184"/>
      <c r="AA857" s="184"/>
      <c r="AB857" s="184"/>
      <c r="AC857" s="184"/>
      <c r="AD857" s="184"/>
      <c r="AE857" s="184"/>
      <c r="AF857" s="184"/>
      <c r="AG857" s="184"/>
      <c r="AH857" s="184"/>
      <c r="AI857" s="184"/>
      <c r="AJ857" s="184"/>
      <c r="AK857" s="184"/>
      <c r="AL857" s="186"/>
      <c r="AM857" s="187"/>
      <c r="AN857" s="187"/>
      <c r="AO857" s="187"/>
    </row>
    <row r="858" spans="1:41" s="163" customFormat="1" ht="16.5" customHeight="1">
      <c r="A858" s="180"/>
      <c r="B858" s="181"/>
      <c r="C858" s="182"/>
      <c r="D858" s="182"/>
      <c r="E858" s="183"/>
      <c r="F858" s="183"/>
      <c r="G858" s="183"/>
      <c r="H858" s="184"/>
      <c r="I858" s="184"/>
      <c r="J858" s="184"/>
      <c r="K858" s="184"/>
      <c r="L858" s="184"/>
      <c r="M858" s="184"/>
      <c r="N858" s="184"/>
      <c r="O858" s="184"/>
      <c r="Q858" s="184"/>
      <c r="R858" s="185"/>
      <c r="S858" s="185"/>
      <c r="U858" s="184"/>
      <c r="V858" s="184"/>
      <c r="W858" s="184"/>
      <c r="X858" s="184"/>
      <c r="Y858" s="184"/>
      <c r="Z858" s="184"/>
      <c r="AA858" s="184"/>
      <c r="AB858" s="184"/>
      <c r="AC858" s="184"/>
      <c r="AD858" s="184"/>
      <c r="AE858" s="184"/>
      <c r="AF858" s="184"/>
      <c r="AG858" s="184"/>
      <c r="AH858" s="184"/>
      <c r="AI858" s="184"/>
      <c r="AJ858" s="184"/>
      <c r="AK858" s="184"/>
      <c r="AL858" s="186"/>
      <c r="AM858" s="187"/>
      <c r="AN858" s="187"/>
      <c r="AO858" s="187"/>
    </row>
    <row r="859" spans="1:41" s="163" customFormat="1" ht="16.5" customHeight="1">
      <c r="A859" s="180"/>
      <c r="B859" s="181"/>
      <c r="C859" s="182"/>
      <c r="D859" s="182"/>
      <c r="E859" s="183"/>
      <c r="F859" s="183"/>
      <c r="G859" s="183"/>
      <c r="H859" s="184"/>
      <c r="I859" s="184"/>
      <c r="J859" s="184"/>
      <c r="K859" s="184"/>
      <c r="L859" s="184"/>
      <c r="M859" s="184"/>
      <c r="N859" s="184"/>
      <c r="O859" s="184"/>
      <c r="Q859" s="184"/>
      <c r="R859" s="185"/>
      <c r="S859" s="185"/>
      <c r="U859" s="184"/>
      <c r="V859" s="184"/>
      <c r="W859" s="184"/>
      <c r="X859" s="184"/>
      <c r="Y859" s="184"/>
      <c r="Z859" s="184"/>
      <c r="AA859" s="184"/>
      <c r="AB859" s="184"/>
      <c r="AC859" s="184"/>
      <c r="AD859" s="184"/>
      <c r="AE859" s="184"/>
      <c r="AF859" s="184"/>
      <c r="AG859" s="184"/>
      <c r="AH859" s="184"/>
      <c r="AI859" s="184"/>
      <c r="AJ859" s="184"/>
      <c r="AK859" s="184"/>
      <c r="AL859" s="186"/>
      <c r="AM859" s="187"/>
      <c r="AN859" s="187"/>
      <c r="AO859" s="187"/>
    </row>
    <row r="860" spans="1:41" s="163" customFormat="1" ht="16.5" customHeight="1">
      <c r="A860" s="180"/>
      <c r="B860" s="181"/>
      <c r="C860" s="182"/>
      <c r="D860" s="182"/>
      <c r="E860" s="183"/>
      <c r="F860" s="183"/>
      <c r="G860" s="183"/>
      <c r="H860" s="184"/>
      <c r="I860" s="184"/>
      <c r="J860" s="184"/>
      <c r="K860" s="184"/>
      <c r="L860" s="184"/>
      <c r="M860" s="184"/>
      <c r="N860" s="184"/>
      <c r="O860" s="184"/>
      <c r="Q860" s="184"/>
      <c r="R860" s="185"/>
      <c r="S860" s="185"/>
      <c r="U860" s="184"/>
      <c r="V860" s="184"/>
      <c r="W860" s="184"/>
      <c r="X860" s="184"/>
      <c r="Y860" s="184"/>
      <c r="Z860" s="184"/>
      <c r="AA860" s="184"/>
      <c r="AB860" s="184"/>
      <c r="AC860" s="184"/>
      <c r="AD860" s="184"/>
      <c r="AE860" s="184"/>
      <c r="AF860" s="184"/>
      <c r="AG860" s="184"/>
      <c r="AH860" s="184"/>
      <c r="AI860" s="184"/>
      <c r="AJ860" s="184"/>
      <c r="AK860" s="184"/>
      <c r="AL860" s="186"/>
      <c r="AM860" s="187"/>
      <c r="AN860" s="187"/>
      <c r="AO860" s="187"/>
    </row>
    <row r="861" spans="1:41" s="163" customFormat="1" ht="16.5" customHeight="1">
      <c r="A861" s="180"/>
      <c r="B861" s="181"/>
      <c r="C861" s="182"/>
      <c r="D861" s="182"/>
      <c r="E861" s="183"/>
      <c r="F861" s="183"/>
      <c r="G861" s="183"/>
      <c r="H861" s="184"/>
      <c r="I861" s="184"/>
      <c r="J861" s="184"/>
      <c r="K861" s="184"/>
      <c r="L861" s="184"/>
      <c r="M861" s="184"/>
      <c r="N861" s="184"/>
      <c r="O861" s="184"/>
      <c r="Q861" s="184"/>
      <c r="R861" s="185"/>
      <c r="S861" s="185"/>
      <c r="U861" s="184"/>
      <c r="V861" s="184"/>
      <c r="W861" s="184"/>
      <c r="X861" s="184"/>
      <c r="Y861" s="184"/>
      <c r="Z861" s="184"/>
      <c r="AA861" s="184"/>
      <c r="AB861" s="184"/>
      <c r="AC861" s="184"/>
      <c r="AD861" s="184"/>
      <c r="AE861" s="184"/>
      <c r="AF861" s="184"/>
      <c r="AG861" s="184"/>
      <c r="AH861" s="184"/>
      <c r="AI861" s="184"/>
      <c r="AJ861" s="184"/>
      <c r="AK861" s="184"/>
      <c r="AL861" s="186"/>
      <c r="AM861" s="187"/>
      <c r="AN861" s="187"/>
      <c r="AO861" s="187"/>
    </row>
    <row r="862" spans="1:41" s="163" customFormat="1" ht="16.5" customHeight="1">
      <c r="A862" s="180"/>
      <c r="B862" s="181"/>
      <c r="C862" s="182"/>
      <c r="D862" s="182"/>
      <c r="E862" s="183"/>
      <c r="F862" s="183"/>
      <c r="G862" s="183"/>
      <c r="H862" s="184"/>
      <c r="I862" s="184"/>
      <c r="J862" s="184"/>
      <c r="K862" s="184"/>
      <c r="L862" s="184"/>
      <c r="M862" s="184"/>
      <c r="N862" s="184"/>
      <c r="O862" s="184"/>
      <c r="Q862" s="184"/>
      <c r="R862" s="185"/>
      <c r="S862" s="185"/>
      <c r="U862" s="184"/>
      <c r="V862" s="184"/>
      <c r="W862" s="184"/>
      <c r="X862" s="184"/>
      <c r="Y862" s="184"/>
      <c r="Z862" s="184"/>
      <c r="AA862" s="184"/>
      <c r="AB862" s="184"/>
      <c r="AC862" s="184"/>
      <c r="AD862" s="184"/>
      <c r="AE862" s="184"/>
      <c r="AF862" s="184"/>
      <c r="AG862" s="184"/>
      <c r="AH862" s="184"/>
      <c r="AI862" s="184"/>
      <c r="AJ862" s="184"/>
      <c r="AK862" s="184"/>
      <c r="AL862" s="186"/>
      <c r="AM862" s="187"/>
      <c r="AN862" s="187"/>
      <c r="AO862" s="187"/>
    </row>
    <row r="863" spans="1:41" s="163" customFormat="1" ht="16.5" customHeight="1">
      <c r="A863" s="180"/>
      <c r="B863" s="181"/>
      <c r="C863" s="182"/>
      <c r="D863" s="182"/>
      <c r="E863" s="183"/>
      <c r="F863" s="183"/>
      <c r="G863" s="183"/>
      <c r="H863" s="184"/>
      <c r="I863" s="184"/>
      <c r="J863" s="184"/>
      <c r="K863" s="184"/>
      <c r="L863" s="184"/>
      <c r="M863" s="184"/>
      <c r="N863" s="184"/>
      <c r="O863" s="184"/>
      <c r="Q863" s="184"/>
      <c r="R863" s="185"/>
      <c r="S863" s="185"/>
      <c r="U863" s="184"/>
      <c r="V863" s="184"/>
      <c r="W863" s="184"/>
      <c r="X863" s="184"/>
      <c r="Y863" s="184"/>
      <c r="Z863" s="184"/>
      <c r="AA863" s="184"/>
      <c r="AB863" s="184"/>
      <c r="AC863" s="184"/>
      <c r="AD863" s="184"/>
      <c r="AE863" s="184"/>
      <c r="AF863" s="184"/>
      <c r="AG863" s="184"/>
      <c r="AH863" s="184"/>
      <c r="AI863" s="184"/>
      <c r="AJ863" s="184"/>
      <c r="AK863" s="184"/>
      <c r="AL863" s="186"/>
      <c r="AM863" s="187"/>
      <c r="AN863" s="187"/>
      <c r="AO863" s="187"/>
    </row>
    <row r="864" spans="1:41" s="163" customFormat="1" ht="16.5" customHeight="1">
      <c r="A864" s="180"/>
      <c r="B864" s="181"/>
      <c r="C864" s="182"/>
      <c r="D864" s="182"/>
      <c r="E864" s="183"/>
      <c r="F864" s="183"/>
      <c r="G864" s="183"/>
      <c r="H864" s="184"/>
      <c r="I864" s="184"/>
      <c r="J864" s="184"/>
      <c r="K864" s="184"/>
      <c r="L864" s="184"/>
      <c r="M864" s="184"/>
      <c r="N864" s="184"/>
      <c r="O864" s="184"/>
      <c r="Q864" s="184"/>
      <c r="R864" s="185"/>
      <c r="S864" s="185"/>
      <c r="U864" s="184"/>
      <c r="V864" s="184"/>
      <c r="W864" s="184"/>
      <c r="X864" s="184"/>
      <c r="Y864" s="184"/>
      <c r="Z864" s="184"/>
      <c r="AA864" s="184"/>
      <c r="AB864" s="184"/>
      <c r="AC864" s="184"/>
      <c r="AD864" s="184"/>
      <c r="AE864" s="184"/>
      <c r="AF864" s="184"/>
      <c r="AG864" s="184"/>
      <c r="AH864" s="184"/>
      <c r="AI864" s="184"/>
      <c r="AJ864" s="184"/>
      <c r="AK864" s="184"/>
      <c r="AL864" s="186"/>
      <c r="AM864" s="187"/>
      <c r="AN864" s="187"/>
      <c r="AO864" s="187"/>
    </row>
    <row r="865" spans="1:41" s="163" customFormat="1" ht="16.5" customHeight="1">
      <c r="A865" s="180"/>
      <c r="B865" s="181"/>
      <c r="C865" s="182"/>
      <c r="D865" s="182"/>
      <c r="E865" s="183"/>
      <c r="F865" s="183"/>
      <c r="G865" s="183"/>
      <c r="H865" s="184"/>
      <c r="I865" s="184"/>
      <c r="J865" s="184"/>
      <c r="K865" s="184"/>
      <c r="L865" s="184"/>
      <c r="M865" s="184"/>
      <c r="N865" s="184"/>
      <c r="O865" s="184"/>
      <c r="Q865" s="184"/>
      <c r="R865" s="185"/>
      <c r="S865" s="185"/>
      <c r="U865" s="184"/>
      <c r="V865" s="184"/>
      <c r="W865" s="184"/>
      <c r="X865" s="184"/>
      <c r="Y865" s="184"/>
      <c r="Z865" s="184"/>
      <c r="AA865" s="184"/>
      <c r="AB865" s="184"/>
      <c r="AC865" s="184"/>
      <c r="AD865" s="184"/>
      <c r="AE865" s="184"/>
      <c r="AF865" s="184"/>
      <c r="AG865" s="184"/>
      <c r="AH865" s="184"/>
      <c r="AI865" s="184"/>
      <c r="AJ865" s="184"/>
      <c r="AK865" s="184"/>
      <c r="AL865" s="186"/>
      <c r="AM865" s="187"/>
      <c r="AN865" s="187"/>
      <c r="AO865" s="187"/>
    </row>
    <row r="866" spans="1:41" s="163" customFormat="1" ht="16.5" customHeight="1">
      <c r="A866" s="180"/>
      <c r="B866" s="181"/>
      <c r="C866" s="182"/>
      <c r="D866" s="182"/>
      <c r="E866" s="183"/>
      <c r="F866" s="183"/>
      <c r="G866" s="183"/>
      <c r="H866" s="184"/>
      <c r="I866" s="184"/>
      <c r="J866" s="184"/>
      <c r="K866" s="184"/>
      <c r="L866" s="184"/>
      <c r="M866" s="184"/>
      <c r="N866" s="184"/>
      <c r="O866" s="184"/>
      <c r="Q866" s="184"/>
      <c r="R866" s="185"/>
      <c r="S866" s="185"/>
      <c r="U866" s="184"/>
      <c r="V866" s="184"/>
      <c r="W866" s="184"/>
      <c r="X866" s="184"/>
      <c r="Y866" s="184"/>
      <c r="Z866" s="184"/>
      <c r="AA866" s="184"/>
      <c r="AB866" s="184"/>
      <c r="AC866" s="184"/>
      <c r="AD866" s="184"/>
      <c r="AE866" s="184"/>
      <c r="AF866" s="184"/>
      <c r="AG866" s="184"/>
      <c r="AH866" s="184"/>
      <c r="AI866" s="184"/>
      <c r="AJ866" s="184"/>
      <c r="AK866" s="184"/>
      <c r="AL866" s="186"/>
      <c r="AM866" s="187"/>
      <c r="AN866" s="187"/>
      <c r="AO866" s="187"/>
    </row>
    <row r="867" spans="1:41" s="163" customFormat="1" ht="16.5" customHeight="1">
      <c r="A867" s="180"/>
      <c r="B867" s="181"/>
      <c r="C867" s="182"/>
      <c r="D867" s="182"/>
      <c r="E867" s="183"/>
      <c r="F867" s="183"/>
      <c r="G867" s="183"/>
      <c r="H867" s="184"/>
      <c r="I867" s="184"/>
      <c r="J867" s="184"/>
      <c r="K867" s="184"/>
      <c r="L867" s="184"/>
      <c r="M867" s="184"/>
      <c r="N867" s="184"/>
      <c r="O867" s="184"/>
      <c r="Q867" s="184"/>
      <c r="R867" s="185"/>
      <c r="S867" s="185"/>
      <c r="U867" s="184"/>
      <c r="V867" s="184"/>
      <c r="W867" s="184"/>
      <c r="X867" s="184"/>
      <c r="Y867" s="184"/>
      <c r="Z867" s="184"/>
      <c r="AA867" s="184"/>
      <c r="AB867" s="184"/>
      <c r="AC867" s="184"/>
      <c r="AD867" s="184"/>
      <c r="AE867" s="184"/>
      <c r="AF867" s="184"/>
      <c r="AG867" s="184"/>
      <c r="AH867" s="184"/>
      <c r="AI867" s="184"/>
      <c r="AJ867" s="184"/>
      <c r="AK867" s="184"/>
      <c r="AL867" s="186"/>
      <c r="AM867" s="187"/>
      <c r="AN867" s="187"/>
      <c r="AO867" s="187"/>
    </row>
    <row r="868" spans="1:41" s="163" customFormat="1" ht="16.5" customHeight="1">
      <c r="A868" s="180"/>
      <c r="B868" s="181"/>
      <c r="C868" s="182"/>
      <c r="D868" s="182"/>
      <c r="E868" s="183"/>
      <c r="F868" s="183"/>
      <c r="G868" s="183"/>
      <c r="H868" s="184"/>
      <c r="I868" s="184"/>
      <c r="J868" s="184"/>
      <c r="K868" s="184"/>
      <c r="L868" s="184"/>
      <c r="M868" s="184"/>
      <c r="N868" s="184"/>
      <c r="O868" s="184"/>
      <c r="Q868" s="184"/>
      <c r="R868" s="185"/>
      <c r="S868" s="185"/>
      <c r="U868" s="184"/>
      <c r="V868" s="184"/>
      <c r="W868" s="184"/>
      <c r="X868" s="184"/>
      <c r="Y868" s="184"/>
      <c r="Z868" s="184"/>
      <c r="AA868" s="184"/>
      <c r="AB868" s="184"/>
      <c r="AC868" s="184"/>
      <c r="AD868" s="184"/>
      <c r="AE868" s="184"/>
      <c r="AF868" s="184"/>
      <c r="AG868" s="184"/>
      <c r="AH868" s="184"/>
      <c r="AI868" s="184"/>
      <c r="AJ868" s="184"/>
      <c r="AK868" s="184"/>
      <c r="AL868" s="186"/>
      <c r="AM868" s="187"/>
      <c r="AN868" s="187"/>
      <c r="AO868" s="187"/>
    </row>
    <row r="869" spans="1:41" s="163" customFormat="1" ht="16.5" customHeight="1">
      <c r="A869" s="180"/>
      <c r="B869" s="181"/>
      <c r="C869" s="182"/>
      <c r="D869" s="182"/>
      <c r="E869" s="183"/>
      <c r="F869" s="183"/>
      <c r="G869" s="183"/>
      <c r="H869" s="184"/>
      <c r="I869" s="184"/>
      <c r="J869" s="184"/>
      <c r="K869" s="184"/>
      <c r="L869" s="184"/>
      <c r="M869" s="184"/>
      <c r="N869" s="184"/>
      <c r="O869" s="184"/>
      <c r="Q869" s="184"/>
      <c r="R869" s="185"/>
      <c r="S869" s="185"/>
      <c r="U869" s="184"/>
      <c r="V869" s="184"/>
      <c r="W869" s="184"/>
      <c r="X869" s="184"/>
      <c r="Y869" s="184"/>
      <c r="Z869" s="184"/>
      <c r="AA869" s="184"/>
      <c r="AB869" s="184"/>
      <c r="AC869" s="184"/>
      <c r="AD869" s="184"/>
      <c r="AE869" s="184"/>
      <c r="AF869" s="184"/>
      <c r="AG869" s="184"/>
      <c r="AH869" s="184"/>
      <c r="AI869" s="184"/>
      <c r="AJ869" s="184"/>
      <c r="AK869" s="184"/>
      <c r="AL869" s="186"/>
      <c r="AM869" s="187"/>
      <c r="AN869" s="187"/>
      <c r="AO869" s="187"/>
    </row>
  </sheetData>
  <autoFilter ref="A3:AO270" xr:uid="{00000000-0009-0000-0000-000006000000}"/>
  <phoneticPr fontId="5"/>
  <conditionalFormatting sqref="E3">
    <cfRule type="duplicateValues" dxfId="3" priority="1"/>
  </conditionalFormatting>
  <conditionalFormatting sqref="E113">
    <cfRule type="duplicateValues" dxfId="2" priority="3"/>
  </conditionalFormatting>
  <conditionalFormatting sqref="E266:E270">
    <cfRule type="duplicateValues" dxfId="1" priority="2"/>
  </conditionalFormatting>
  <conditionalFormatting sqref="E271:E1048576 E1:E2 E114:E265 E4:E112">
    <cfRule type="duplicateValues" dxfId="0" priority="4"/>
  </conditionalFormatting>
  <pageMargins left="0.70866141732283472" right="0.70866141732283472" top="0.74803149606299213" bottom="0.74803149606299213" header="0.31496062992125984" footer="0.31496062992125984"/>
  <pageSetup paperSize="8" scale="97" fitToWidth="2" fitToHeight="0" orientation="landscape" r:id="rId1"/>
  <headerFooter>
    <oddHeader>&amp;L&amp;A&amp;R&amp;F</oddHeader>
    <oddFooter>&amp;R&amp;P / &amp;N ページ</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G267"/>
  <sheetViews>
    <sheetView workbookViewId="0"/>
    <sheetView workbookViewId="1"/>
  </sheetViews>
  <sheetFormatPr defaultColWidth="9" defaultRowHeight="13.5"/>
  <cols>
    <col min="1" max="1" width="9" style="36"/>
    <col min="2" max="2" width="37" style="36" bestFit="1" customWidth="1"/>
    <col min="3" max="6" width="26.125" style="37" customWidth="1"/>
    <col min="7" max="7" width="26.125" style="38" customWidth="1"/>
    <col min="8" max="16384" width="9" style="36"/>
  </cols>
  <sheetData>
    <row r="1" spans="1:7">
      <c r="A1" s="36" t="s">
        <v>2280</v>
      </c>
      <c r="B1" s="36" t="s">
        <v>2281</v>
      </c>
      <c r="C1" s="37" t="s">
        <v>2282</v>
      </c>
      <c r="D1" s="37" t="s">
        <v>2283</v>
      </c>
      <c r="E1" s="37" t="s">
        <v>2284</v>
      </c>
      <c r="F1" s="37" t="s">
        <v>2285</v>
      </c>
      <c r="G1" s="38" t="s">
        <v>2286</v>
      </c>
    </row>
    <row r="2" spans="1:7">
      <c r="A2" s="36" t="s">
        <v>52</v>
      </c>
      <c r="B2" s="36" t="s">
        <v>53</v>
      </c>
      <c r="C2" s="37">
        <v>7156479060</v>
      </c>
      <c r="D2" s="37">
        <v>6044433179</v>
      </c>
      <c r="E2" s="37">
        <v>1112045881</v>
      </c>
      <c r="F2" s="37">
        <v>197206718</v>
      </c>
      <c r="G2" s="38">
        <v>0.84460991617852932</v>
      </c>
    </row>
    <row r="3" spans="1:7">
      <c r="A3" s="36" t="s">
        <v>76</v>
      </c>
      <c r="B3" s="36" t="s">
        <v>77</v>
      </c>
      <c r="C3" s="37">
        <v>29993912.681085706</v>
      </c>
      <c r="D3" s="37">
        <v>5673146.4567191144</v>
      </c>
      <c r="E3" s="37">
        <v>24320766.224366594</v>
      </c>
      <c r="F3" s="37">
        <v>1134629.2913438228</v>
      </c>
      <c r="G3" s="38">
        <v>0.18914326106899104</v>
      </c>
    </row>
    <row r="4" spans="1:7">
      <c r="A4" s="36" t="s">
        <v>89</v>
      </c>
      <c r="B4" s="36" t="s">
        <v>90</v>
      </c>
      <c r="C4" s="37">
        <v>5249259.9397369009</v>
      </c>
      <c r="D4" s="37">
        <v>2952933.7672058772</v>
      </c>
      <c r="E4" s="37">
        <v>2296326.1725310232</v>
      </c>
      <c r="F4" s="37">
        <v>75984.989207624618</v>
      </c>
      <c r="G4" s="38">
        <v>0.56254287292046001</v>
      </c>
    </row>
    <row r="5" spans="1:7">
      <c r="A5" s="36" t="s">
        <v>97</v>
      </c>
      <c r="B5" s="36" t="s">
        <v>98</v>
      </c>
      <c r="C5" s="37">
        <v>5586000</v>
      </c>
      <c r="D5" s="37">
        <v>1117200</v>
      </c>
      <c r="E5" s="37">
        <v>4468800</v>
      </c>
      <c r="F5" s="37">
        <v>111720</v>
      </c>
      <c r="G5" s="38">
        <v>0.2</v>
      </c>
    </row>
    <row r="6" spans="1:7">
      <c r="A6" s="36" t="s">
        <v>103</v>
      </c>
      <c r="B6" s="36" t="s">
        <v>104</v>
      </c>
      <c r="C6" s="37">
        <v>5621529.6780296387</v>
      </c>
      <c r="D6" s="37">
        <v>5039590.822618505</v>
      </c>
      <c r="E6" s="37">
        <v>581938.85541113408</v>
      </c>
      <c r="F6" s="37">
        <v>15103.622604491469</v>
      </c>
      <c r="G6" s="38">
        <v>0.89648033742746247</v>
      </c>
    </row>
    <row r="7" spans="1:7">
      <c r="A7" s="36" t="s">
        <v>114</v>
      </c>
      <c r="B7" s="36" t="s">
        <v>115</v>
      </c>
      <c r="C7" s="37">
        <v>6250553.0611588331</v>
      </c>
      <c r="D7" s="37">
        <v>5111826.7252195729</v>
      </c>
      <c r="E7" s="37">
        <v>1138726.3359392593</v>
      </c>
      <c r="F7" s="37">
        <v>149723.98738860473</v>
      </c>
      <c r="G7" s="38">
        <v>0.81781990732702559</v>
      </c>
    </row>
    <row r="8" spans="1:7">
      <c r="A8" s="36" t="s">
        <v>123</v>
      </c>
      <c r="B8" s="36" t="s">
        <v>124</v>
      </c>
      <c r="C8" s="37">
        <v>81275666.127944276</v>
      </c>
      <c r="D8" s="37">
        <v>28030184.892187726</v>
      </c>
      <c r="E8" s="37">
        <v>53245481.235756539</v>
      </c>
      <c r="F8" s="37">
        <v>2025160.3081740406</v>
      </c>
      <c r="G8" s="38">
        <v>0.34487794720824022</v>
      </c>
    </row>
    <row r="9" spans="1:7">
      <c r="A9" s="36" t="s">
        <v>137</v>
      </c>
      <c r="B9" s="36" t="s">
        <v>138</v>
      </c>
      <c r="C9" s="37">
        <v>363872559</v>
      </c>
      <c r="D9" s="37">
        <v>232674261</v>
      </c>
      <c r="E9" s="37">
        <v>131198298</v>
      </c>
      <c r="F9" s="37">
        <v>8489939</v>
      </c>
      <c r="G9" s="38">
        <v>0.63943887837939439</v>
      </c>
    </row>
    <row r="10" spans="1:7">
      <c r="A10" s="36" t="s">
        <v>2287</v>
      </c>
      <c r="B10" s="36" t="s">
        <v>2288</v>
      </c>
      <c r="C10" s="37">
        <v>36569406</v>
      </c>
      <c r="D10" s="37">
        <v>1350250</v>
      </c>
      <c r="E10" s="37">
        <v>35219156</v>
      </c>
      <c r="F10" s="37">
        <v>1350250</v>
      </c>
      <c r="G10" s="38">
        <v>3.6922940449183123E-2</v>
      </c>
    </row>
    <row r="11" spans="1:7">
      <c r="A11" s="36" t="s">
        <v>2289</v>
      </c>
      <c r="B11" s="36" t="s">
        <v>2290</v>
      </c>
      <c r="C11" s="37">
        <v>343361344</v>
      </c>
      <c r="D11" s="37">
        <v>0</v>
      </c>
      <c r="E11" s="37">
        <v>343361344</v>
      </c>
      <c r="F11" s="37">
        <v>0</v>
      </c>
      <c r="G11" s="38">
        <v>0</v>
      </c>
    </row>
    <row r="12" spans="1:7">
      <c r="A12" s="36" t="s">
        <v>2291</v>
      </c>
      <c r="B12" s="36" t="s">
        <v>2292</v>
      </c>
      <c r="C12" s="37">
        <v>646535201.67521346</v>
      </c>
      <c r="D12" s="37">
        <v>222975733.15161327</v>
      </c>
      <c r="E12" s="37">
        <v>423559468.52360022</v>
      </c>
      <c r="F12" s="37">
        <v>16109833.245891582</v>
      </c>
      <c r="G12" s="38">
        <v>0.34487794720824033</v>
      </c>
    </row>
    <row r="13" spans="1:7">
      <c r="A13" s="36" t="s">
        <v>154</v>
      </c>
      <c r="B13" s="36" t="s">
        <v>155</v>
      </c>
      <c r="C13" s="37">
        <v>508476060</v>
      </c>
      <c r="D13" s="37">
        <v>342276401</v>
      </c>
      <c r="E13" s="37">
        <v>166199659</v>
      </c>
      <c r="F13" s="37">
        <v>10984318</v>
      </c>
      <c r="G13" s="38">
        <v>0.67314162440607328</v>
      </c>
    </row>
    <row r="14" spans="1:7">
      <c r="A14" s="36" t="s">
        <v>168</v>
      </c>
      <c r="B14" s="36" t="s">
        <v>169</v>
      </c>
      <c r="C14" s="37">
        <v>1444247177.9823859</v>
      </c>
      <c r="D14" s="37">
        <v>727577761.68649209</v>
      </c>
      <c r="E14" s="37">
        <v>716669416.29589379</v>
      </c>
      <c r="F14" s="37">
        <v>33030517.054786686</v>
      </c>
      <c r="G14" s="38">
        <v>0.50377648146276366</v>
      </c>
    </row>
    <row r="15" spans="1:7">
      <c r="A15" s="36" t="s">
        <v>2183</v>
      </c>
      <c r="B15" s="36" t="s">
        <v>2293</v>
      </c>
      <c r="C15" s="37">
        <v>447600.94361203245</v>
      </c>
      <c r="D15" s="37">
        <v>36559.935090929888</v>
      </c>
      <c r="E15" s="37">
        <v>411041.0085211026</v>
      </c>
      <c r="F15" s="37">
        <v>36559.935090929888</v>
      </c>
      <c r="G15" s="38">
        <v>8.1679754282687533E-2</v>
      </c>
    </row>
    <row r="16" spans="1:7">
      <c r="A16" s="36" t="s">
        <v>2294</v>
      </c>
      <c r="B16" s="36" t="s">
        <v>2295</v>
      </c>
      <c r="C16" s="37">
        <v>13870293</v>
      </c>
      <c r="D16" s="37">
        <v>0</v>
      </c>
      <c r="E16" s="39">
        <v>13870293</v>
      </c>
      <c r="F16" s="37">
        <v>0</v>
      </c>
      <c r="G16" s="38">
        <f>D16/C16</f>
        <v>0</v>
      </c>
    </row>
    <row r="17" spans="1:7">
      <c r="A17" s="36" t="s">
        <v>178</v>
      </c>
      <c r="B17" s="36" t="s">
        <v>179</v>
      </c>
      <c r="C17" s="37">
        <v>0</v>
      </c>
      <c r="D17" s="37">
        <v>0</v>
      </c>
      <c r="E17" s="37">
        <v>0</v>
      </c>
      <c r="F17" s="37">
        <v>0</v>
      </c>
      <c r="G17" s="38">
        <v>0</v>
      </c>
    </row>
    <row r="18" spans="1:7">
      <c r="A18" s="36" t="s">
        <v>186</v>
      </c>
      <c r="B18" s="36" t="s">
        <v>2296</v>
      </c>
      <c r="C18" s="37">
        <v>942257215</v>
      </c>
      <c r="D18" s="37">
        <v>686932414</v>
      </c>
      <c r="E18" s="37">
        <v>255324801</v>
      </c>
      <c r="F18" s="37">
        <v>22235274</v>
      </c>
      <c r="G18" s="38">
        <v>0.72902855299441782</v>
      </c>
    </row>
    <row r="19" spans="1:7">
      <c r="A19" s="36" t="s">
        <v>196</v>
      </c>
      <c r="B19" s="36" t="s">
        <v>197</v>
      </c>
      <c r="C19" s="37">
        <v>284528700</v>
      </c>
      <c r="D19" s="37">
        <v>161396985</v>
      </c>
      <c r="E19" s="37">
        <v>123131715</v>
      </c>
      <c r="F19" s="37">
        <v>9615486</v>
      </c>
      <c r="G19" s="38">
        <v>0.56724325173523793</v>
      </c>
    </row>
    <row r="20" spans="1:7">
      <c r="A20" s="36" t="s">
        <v>210</v>
      </c>
      <c r="B20" s="36" t="s">
        <v>211</v>
      </c>
      <c r="C20" s="37">
        <v>58221454</v>
      </c>
      <c r="D20" s="37">
        <v>36140002</v>
      </c>
      <c r="E20" s="37">
        <v>22081452</v>
      </c>
      <c r="F20" s="37">
        <v>1957010</v>
      </c>
      <c r="G20" s="38">
        <v>0.62073341555502892</v>
      </c>
    </row>
    <row r="21" spans="1:7">
      <c r="A21" s="36" t="s">
        <v>214</v>
      </c>
      <c r="B21" s="36" t="s">
        <v>215</v>
      </c>
      <c r="C21" s="37">
        <v>91275000</v>
      </c>
      <c r="D21" s="37">
        <v>53545923</v>
      </c>
      <c r="E21" s="37">
        <v>37729077</v>
      </c>
      <c r="F21" s="37">
        <v>2164113</v>
      </c>
      <c r="G21" s="38">
        <v>0.58664391125718984</v>
      </c>
    </row>
    <row r="22" spans="1:7">
      <c r="A22" s="36" t="s">
        <v>204</v>
      </c>
      <c r="B22" s="36" t="s">
        <v>205</v>
      </c>
      <c r="C22" s="37">
        <v>42587601</v>
      </c>
      <c r="D22" s="37">
        <v>26103242</v>
      </c>
      <c r="E22" s="37">
        <v>16484359</v>
      </c>
      <c r="F22" s="37">
        <v>860420</v>
      </c>
      <c r="G22" s="38">
        <v>0.61293055694778398</v>
      </c>
    </row>
    <row r="23" spans="1:7">
      <c r="A23" s="36" t="s">
        <v>219</v>
      </c>
      <c r="B23" s="36" t="s">
        <v>220</v>
      </c>
      <c r="C23" s="37">
        <v>102776552</v>
      </c>
      <c r="D23" s="37">
        <v>50412910</v>
      </c>
      <c r="E23" s="37">
        <v>52363642</v>
      </c>
      <c r="F23" s="37">
        <v>2120307</v>
      </c>
      <c r="G23" s="38">
        <v>0.4905098392481585</v>
      </c>
    </row>
    <row r="24" spans="1:7">
      <c r="A24" s="36" t="s">
        <v>224</v>
      </c>
      <c r="B24" s="36" t="s">
        <v>225</v>
      </c>
      <c r="C24" s="37">
        <v>4767600</v>
      </c>
      <c r="D24" s="37">
        <v>1258640</v>
      </c>
      <c r="E24" s="37">
        <v>3508960</v>
      </c>
      <c r="F24" s="37">
        <v>157330</v>
      </c>
      <c r="G24" s="38">
        <v>0.26399865760550384</v>
      </c>
    </row>
    <row r="25" spans="1:7">
      <c r="A25" s="36" t="s">
        <v>247</v>
      </c>
      <c r="B25" s="36" t="s">
        <v>248</v>
      </c>
      <c r="C25" s="37">
        <v>10833900</v>
      </c>
      <c r="D25" s="37">
        <v>10227200</v>
      </c>
      <c r="E25" s="37">
        <v>606700</v>
      </c>
      <c r="F25" s="37">
        <v>639200</v>
      </c>
      <c r="G25" s="38">
        <v>0.94399985231541739</v>
      </c>
    </row>
    <row r="26" spans="1:7">
      <c r="A26" s="36" t="s">
        <v>254</v>
      </c>
      <c r="B26" s="36" t="s">
        <v>255</v>
      </c>
      <c r="C26" s="37">
        <v>15750000</v>
      </c>
      <c r="D26" s="37">
        <v>6756750</v>
      </c>
      <c r="E26" s="37">
        <v>8993250</v>
      </c>
      <c r="F26" s="37">
        <v>519750</v>
      </c>
      <c r="G26" s="38">
        <v>0.42899999999999999</v>
      </c>
    </row>
    <row r="27" spans="1:7">
      <c r="A27" s="36" t="s">
        <v>237</v>
      </c>
      <c r="B27" s="36" t="s">
        <v>238</v>
      </c>
      <c r="C27" s="37">
        <v>29116000</v>
      </c>
      <c r="D27" s="37">
        <v>14936508</v>
      </c>
      <c r="E27" s="37">
        <v>14179492</v>
      </c>
      <c r="F27" s="37">
        <v>786132</v>
      </c>
      <c r="G27" s="38">
        <v>0.51300000000000001</v>
      </c>
    </row>
    <row r="28" spans="1:7">
      <c r="A28" s="36" t="s">
        <v>232</v>
      </c>
      <c r="B28" s="36" t="s">
        <v>233</v>
      </c>
      <c r="C28" s="37">
        <v>21840000</v>
      </c>
      <c r="D28" s="37">
        <v>12383280</v>
      </c>
      <c r="E28" s="37">
        <v>9456720</v>
      </c>
      <c r="F28" s="37">
        <v>589680</v>
      </c>
      <c r="G28" s="38">
        <v>0.56699999999999995</v>
      </c>
    </row>
    <row r="29" spans="1:7">
      <c r="A29" s="36" t="s">
        <v>242</v>
      </c>
      <c r="B29" s="36" t="s">
        <v>243</v>
      </c>
      <c r="C29" s="37">
        <v>14595000</v>
      </c>
      <c r="D29" s="37">
        <v>5297985</v>
      </c>
      <c r="E29" s="37">
        <v>9297015</v>
      </c>
      <c r="F29" s="37">
        <v>481635</v>
      </c>
      <c r="G29" s="38">
        <v>0.36299999999999999</v>
      </c>
    </row>
    <row r="30" spans="1:7">
      <c r="A30" s="36" t="s">
        <v>260</v>
      </c>
      <c r="B30" s="36" t="s">
        <v>261</v>
      </c>
      <c r="C30" s="37">
        <v>45186300</v>
      </c>
      <c r="D30" s="37">
        <v>38973665</v>
      </c>
      <c r="E30" s="37">
        <v>6212635</v>
      </c>
      <c r="F30" s="37">
        <v>412492</v>
      </c>
      <c r="G30" s="38">
        <v>0.86251065035198726</v>
      </c>
    </row>
    <row r="31" spans="1:7">
      <c r="A31" s="36" t="s">
        <v>273</v>
      </c>
      <c r="B31" s="36" t="s">
        <v>274</v>
      </c>
      <c r="C31" s="37">
        <v>33622200</v>
      </c>
      <c r="D31" s="37">
        <v>32067227</v>
      </c>
      <c r="E31" s="37">
        <v>1554973</v>
      </c>
      <c r="F31" s="37">
        <v>88735</v>
      </c>
      <c r="G31" s="38">
        <v>0.95375159864613257</v>
      </c>
    </row>
    <row r="32" spans="1:7">
      <c r="A32" s="36" t="s">
        <v>278</v>
      </c>
      <c r="B32" s="36" t="s">
        <v>279</v>
      </c>
      <c r="C32" s="37">
        <v>89133100</v>
      </c>
      <c r="D32" s="37">
        <v>80533246</v>
      </c>
      <c r="E32" s="37">
        <v>8599854</v>
      </c>
      <c r="F32" s="37">
        <v>2070433</v>
      </c>
      <c r="G32" s="38">
        <v>0.90351671825618096</v>
      </c>
    </row>
    <row r="33" spans="1:7">
      <c r="A33" s="36" t="s">
        <v>283</v>
      </c>
      <c r="B33" s="36" t="s">
        <v>284</v>
      </c>
      <c r="C33" s="37">
        <v>48817700</v>
      </c>
      <c r="D33" s="37">
        <v>36633683</v>
      </c>
      <c r="E33" s="37">
        <v>12184017</v>
      </c>
      <c r="F33" s="37">
        <v>1112709</v>
      </c>
      <c r="G33" s="38">
        <v>0.75041804509429977</v>
      </c>
    </row>
    <row r="34" spans="1:7">
      <c r="A34" s="36" t="s">
        <v>290</v>
      </c>
      <c r="B34" s="36" t="s">
        <v>291</v>
      </c>
      <c r="C34" s="37">
        <v>86574281</v>
      </c>
      <c r="D34" s="37">
        <v>69822064</v>
      </c>
      <c r="E34" s="37">
        <v>16752217</v>
      </c>
      <c r="F34" s="37">
        <v>2058716</v>
      </c>
      <c r="G34" s="38">
        <v>0.80649891854140843</v>
      </c>
    </row>
    <row r="35" spans="1:7">
      <c r="A35" s="36" t="s">
        <v>295</v>
      </c>
      <c r="B35" s="36" t="s">
        <v>296</v>
      </c>
      <c r="C35" s="37">
        <v>82423200</v>
      </c>
      <c r="D35" s="37">
        <v>58699107</v>
      </c>
      <c r="E35" s="37">
        <v>23724093</v>
      </c>
      <c r="F35" s="37">
        <v>2059010</v>
      </c>
      <c r="G35" s="38">
        <v>0.7121672902774947</v>
      </c>
    </row>
    <row r="36" spans="1:7">
      <c r="A36" s="36" t="s">
        <v>298</v>
      </c>
      <c r="B36" s="36" t="s">
        <v>2165</v>
      </c>
      <c r="C36" s="37">
        <v>61779500</v>
      </c>
      <c r="D36" s="37">
        <v>41663288</v>
      </c>
      <c r="E36" s="37">
        <v>20116212</v>
      </c>
      <c r="F36" s="37">
        <v>1627056</v>
      </c>
      <c r="G36" s="38">
        <v>0.67438694065183435</v>
      </c>
    </row>
    <row r="37" spans="1:7">
      <c r="A37" s="36" t="s">
        <v>302</v>
      </c>
      <c r="B37" s="36" t="s">
        <v>303</v>
      </c>
      <c r="C37" s="37">
        <v>118440000</v>
      </c>
      <c r="D37" s="37">
        <v>109438560</v>
      </c>
      <c r="E37" s="37">
        <v>9001440</v>
      </c>
      <c r="F37" s="37">
        <v>2605680</v>
      </c>
      <c r="G37" s="38">
        <v>0.92400000000000004</v>
      </c>
    </row>
    <row r="38" spans="1:7">
      <c r="A38" s="36" t="s">
        <v>311</v>
      </c>
      <c r="B38" s="36" t="s">
        <v>312</v>
      </c>
      <c r="C38" s="37">
        <v>100630900</v>
      </c>
      <c r="D38" s="37">
        <v>74314551</v>
      </c>
      <c r="E38" s="37">
        <v>26316349</v>
      </c>
      <c r="F38" s="37">
        <v>2213879</v>
      </c>
      <c r="G38" s="38">
        <v>0.73848639930677351</v>
      </c>
    </row>
    <row r="39" spans="1:7">
      <c r="A39" s="36" t="s">
        <v>318</v>
      </c>
      <c r="B39" s="36" t="s">
        <v>319</v>
      </c>
      <c r="C39" s="37">
        <v>37308975</v>
      </c>
      <c r="D39" s="37">
        <v>25371422</v>
      </c>
      <c r="E39" s="37">
        <v>11937553</v>
      </c>
      <c r="F39" s="37">
        <v>1175640</v>
      </c>
      <c r="G39" s="38">
        <v>0.68003535342367349</v>
      </c>
    </row>
    <row r="40" spans="1:7">
      <c r="A40" s="36" t="s">
        <v>323</v>
      </c>
      <c r="B40" s="36" t="s">
        <v>2166</v>
      </c>
      <c r="C40" s="37">
        <v>38555450</v>
      </c>
      <c r="D40" s="37">
        <v>30137569</v>
      </c>
      <c r="E40" s="37">
        <v>8417881</v>
      </c>
      <c r="F40" s="37">
        <v>706385</v>
      </c>
      <c r="G40" s="38">
        <v>0.78166819476883298</v>
      </c>
    </row>
    <row r="41" spans="1:7">
      <c r="A41" s="36" t="s">
        <v>327</v>
      </c>
      <c r="B41" s="36" t="s">
        <v>108</v>
      </c>
      <c r="C41" s="37">
        <v>147193062.32197034</v>
      </c>
      <c r="D41" s="37">
        <v>131955686.17738149</v>
      </c>
      <c r="E41" s="37">
        <v>15237376.144588865</v>
      </c>
      <c r="F41" s="37">
        <v>395470.37739550852</v>
      </c>
      <c r="G41" s="38">
        <v>0.89648033742746247</v>
      </c>
    </row>
    <row r="42" spans="1:7">
      <c r="A42" s="36" t="s">
        <v>330</v>
      </c>
      <c r="B42" s="36" t="s">
        <v>331</v>
      </c>
      <c r="C42" s="37">
        <v>36705200</v>
      </c>
      <c r="D42" s="37">
        <v>34426842</v>
      </c>
      <c r="E42" s="37">
        <v>2278358</v>
      </c>
      <c r="F42" s="37">
        <v>450115</v>
      </c>
      <c r="G42" s="38">
        <v>0.9379281954600438</v>
      </c>
    </row>
    <row r="43" spans="1:7">
      <c r="A43" s="36" t="s">
        <v>335</v>
      </c>
      <c r="B43" s="36" t="s">
        <v>336</v>
      </c>
      <c r="C43" s="37">
        <v>81048449</v>
      </c>
      <c r="D43" s="37">
        <v>62794140</v>
      </c>
      <c r="E43" s="37">
        <v>18254309</v>
      </c>
      <c r="F43" s="37">
        <v>1944167</v>
      </c>
      <c r="G43" s="38">
        <v>0.77477287689984053</v>
      </c>
    </row>
    <row r="44" spans="1:7">
      <c r="A44" s="36" t="s">
        <v>341</v>
      </c>
      <c r="B44" s="36" t="s">
        <v>342</v>
      </c>
      <c r="C44" s="37">
        <v>88379783</v>
      </c>
      <c r="D44" s="37">
        <v>68442688</v>
      </c>
      <c r="E44" s="37">
        <v>19937095</v>
      </c>
      <c r="F44" s="37">
        <v>2807715</v>
      </c>
      <c r="G44" s="38">
        <v>0.77441566019685748</v>
      </c>
    </row>
    <row r="45" spans="1:7">
      <c r="A45" s="36" t="s">
        <v>347</v>
      </c>
      <c r="B45" s="36" t="s">
        <v>348</v>
      </c>
      <c r="C45" s="37">
        <v>30221546</v>
      </c>
      <c r="D45" s="37">
        <v>19778251</v>
      </c>
      <c r="E45" s="37">
        <v>10443295</v>
      </c>
      <c r="F45" s="37">
        <v>639764</v>
      </c>
      <c r="G45" s="38">
        <v>0.65444206593534293</v>
      </c>
    </row>
    <row r="46" spans="1:7">
      <c r="A46" s="36" t="s">
        <v>353</v>
      </c>
      <c r="B46" s="36" t="s">
        <v>354</v>
      </c>
      <c r="C46" s="37">
        <v>49620920</v>
      </c>
      <c r="D46" s="37">
        <v>35482863</v>
      </c>
      <c r="E46" s="37">
        <v>14138057</v>
      </c>
      <c r="F46" s="37">
        <v>1266957</v>
      </c>
      <c r="G46" s="38">
        <v>0.71507870067705315</v>
      </c>
    </row>
    <row r="47" spans="1:7">
      <c r="A47" s="36" t="s">
        <v>360</v>
      </c>
      <c r="B47" s="36" t="s">
        <v>361</v>
      </c>
      <c r="C47" s="37">
        <v>315310561.25265014</v>
      </c>
      <c r="D47" s="37">
        <v>59638867.804820083</v>
      </c>
      <c r="E47" s="37">
        <v>255671693.44783005</v>
      </c>
      <c r="F47" s="37">
        <v>11927773.560964016</v>
      </c>
      <c r="G47" s="38">
        <v>0.18914326106899099</v>
      </c>
    </row>
    <row r="48" spans="1:7">
      <c r="A48" s="36" t="s">
        <v>366</v>
      </c>
      <c r="B48" s="36" t="s">
        <v>367</v>
      </c>
      <c r="C48" s="37">
        <v>60679300</v>
      </c>
      <c r="D48" s="37">
        <v>49854699</v>
      </c>
      <c r="E48" s="37">
        <v>10824601</v>
      </c>
      <c r="F48" s="37">
        <v>827096</v>
      </c>
      <c r="G48" s="38">
        <v>0.82160965930721019</v>
      </c>
    </row>
    <row r="49" spans="1:7">
      <c r="A49" s="36" t="s">
        <v>373</v>
      </c>
      <c r="B49" s="36" t="s">
        <v>374</v>
      </c>
      <c r="C49" s="37">
        <v>90775050</v>
      </c>
      <c r="D49" s="37">
        <v>80318457</v>
      </c>
      <c r="E49" s="37">
        <v>10456593</v>
      </c>
      <c r="F49" s="37">
        <v>363176</v>
      </c>
      <c r="G49" s="38">
        <v>0.88480763161243092</v>
      </c>
    </row>
    <row r="50" spans="1:7">
      <c r="A50" s="36" t="s">
        <v>380</v>
      </c>
      <c r="B50" s="36" t="s">
        <v>381</v>
      </c>
      <c r="C50" s="37">
        <v>50238900</v>
      </c>
      <c r="D50" s="37">
        <v>45855651</v>
      </c>
      <c r="E50" s="37">
        <v>4383249</v>
      </c>
      <c r="F50" s="37">
        <v>165143</v>
      </c>
      <c r="G50" s="38">
        <v>0.91275189146259172</v>
      </c>
    </row>
    <row r="51" spans="1:7">
      <c r="A51" s="36" t="s">
        <v>386</v>
      </c>
      <c r="B51" s="36" t="s">
        <v>387</v>
      </c>
      <c r="C51" s="37">
        <v>90704208</v>
      </c>
      <c r="D51" s="37">
        <v>84756219</v>
      </c>
      <c r="E51" s="37">
        <v>5947989</v>
      </c>
      <c r="F51" s="37">
        <v>1119840</v>
      </c>
      <c r="G51" s="38">
        <v>0.93442433233086608</v>
      </c>
    </row>
    <row r="52" spans="1:7">
      <c r="A52" s="36" t="s">
        <v>393</v>
      </c>
      <c r="B52" s="36" t="s">
        <v>394</v>
      </c>
      <c r="C52" s="37">
        <v>78735627</v>
      </c>
      <c r="D52" s="37">
        <v>63021322</v>
      </c>
      <c r="E52" s="37">
        <v>15714305</v>
      </c>
      <c r="F52" s="37">
        <v>2075783</v>
      </c>
      <c r="G52" s="38">
        <v>0.80041684306394101</v>
      </c>
    </row>
    <row r="53" spans="1:7">
      <c r="A53" s="36" t="s">
        <v>400</v>
      </c>
      <c r="B53" s="36" t="s">
        <v>401</v>
      </c>
      <c r="C53" s="37">
        <v>40942500</v>
      </c>
      <c r="D53" s="37">
        <v>21617640</v>
      </c>
      <c r="E53" s="37">
        <v>19324860</v>
      </c>
      <c r="F53" s="37">
        <v>900735</v>
      </c>
      <c r="G53" s="38">
        <v>0.52800000000000002</v>
      </c>
    </row>
    <row r="54" spans="1:7">
      <c r="A54" s="36" t="s">
        <v>406</v>
      </c>
      <c r="B54" s="36" t="s">
        <v>407</v>
      </c>
      <c r="C54" s="37">
        <v>38747000</v>
      </c>
      <c r="D54" s="37">
        <v>20129241</v>
      </c>
      <c r="E54" s="37">
        <v>18617759</v>
      </c>
      <c r="F54" s="37">
        <v>852434</v>
      </c>
      <c r="G54" s="38">
        <v>0.51950450357447031</v>
      </c>
    </row>
    <row r="55" spans="1:7">
      <c r="A55" s="36" t="s">
        <v>411</v>
      </c>
      <c r="B55" s="36" t="s">
        <v>412</v>
      </c>
      <c r="C55" s="37">
        <v>48869250</v>
      </c>
      <c r="D55" s="37">
        <v>39130233</v>
      </c>
      <c r="E55" s="37">
        <v>9739017</v>
      </c>
      <c r="F55" s="37">
        <v>285296</v>
      </c>
      <c r="G55" s="38">
        <v>0.80071277950858666</v>
      </c>
    </row>
    <row r="56" spans="1:7">
      <c r="A56" s="36" t="s">
        <v>417</v>
      </c>
      <c r="B56" s="36" t="s">
        <v>418</v>
      </c>
      <c r="C56" s="37">
        <v>41307000</v>
      </c>
      <c r="D56" s="37">
        <v>12722556</v>
      </c>
      <c r="E56" s="37">
        <v>28584444</v>
      </c>
      <c r="F56" s="37">
        <v>908754</v>
      </c>
      <c r="G56" s="38">
        <v>0.308</v>
      </c>
    </row>
    <row r="57" spans="1:7">
      <c r="A57" s="36" t="s">
        <v>424</v>
      </c>
      <c r="B57" s="36" t="s">
        <v>425</v>
      </c>
      <c r="C57" s="37">
        <v>52504000</v>
      </c>
      <c r="D57" s="37">
        <v>32785005</v>
      </c>
      <c r="E57" s="37">
        <v>19718995</v>
      </c>
      <c r="F57" s="37">
        <v>1155088</v>
      </c>
      <c r="G57" s="38">
        <v>0.6244287101935091</v>
      </c>
    </row>
    <row r="58" spans="1:7">
      <c r="A58" s="36" t="s">
        <v>430</v>
      </c>
      <c r="B58" s="36" t="s">
        <v>431</v>
      </c>
      <c r="C58" s="37">
        <v>96280000</v>
      </c>
      <c r="D58" s="37">
        <v>76562873</v>
      </c>
      <c r="E58" s="37">
        <v>19717127</v>
      </c>
      <c r="F58" s="37">
        <v>1644874</v>
      </c>
      <c r="G58" s="38">
        <v>0.7952105629414209</v>
      </c>
    </row>
    <row r="59" spans="1:7">
      <c r="A59" s="36" t="s">
        <v>439</v>
      </c>
      <c r="B59" s="36" t="s">
        <v>440</v>
      </c>
      <c r="C59" s="37">
        <v>158400900</v>
      </c>
      <c r="D59" s="37">
        <v>69696380</v>
      </c>
      <c r="E59" s="37">
        <v>88704520</v>
      </c>
      <c r="F59" s="37">
        <v>3484819</v>
      </c>
      <c r="G59" s="38">
        <v>0.43999989899047293</v>
      </c>
    </row>
    <row r="60" spans="1:7">
      <c r="A60" s="36" t="s">
        <v>447</v>
      </c>
      <c r="B60" s="36" t="s">
        <v>252</v>
      </c>
      <c r="C60" s="37">
        <v>100815750</v>
      </c>
      <c r="D60" s="37">
        <v>74200384</v>
      </c>
      <c r="E60" s="37">
        <v>26615366</v>
      </c>
      <c r="F60" s="37">
        <v>4637524</v>
      </c>
      <c r="G60" s="38">
        <v>0.73599992064731945</v>
      </c>
    </row>
    <row r="61" spans="1:7">
      <c r="A61" s="36" t="s">
        <v>454</v>
      </c>
      <c r="B61" s="36" t="s">
        <v>455</v>
      </c>
      <c r="C61" s="37">
        <v>42144900</v>
      </c>
      <c r="D61" s="37">
        <v>35233106</v>
      </c>
      <c r="E61" s="37">
        <v>6911794</v>
      </c>
      <c r="F61" s="37">
        <v>927187</v>
      </c>
      <c r="G61" s="38">
        <v>0.83599927867903356</v>
      </c>
    </row>
    <row r="62" spans="1:7">
      <c r="A62" s="36" t="s">
        <v>461</v>
      </c>
      <c r="B62" s="36" t="s">
        <v>462</v>
      </c>
      <c r="C62" s="37">
        <v>55003383</v>
      </c>
      <c r="D62" s="37">
        <v>32404435</v>
      </c>
      <c r="E62" s="37">
        <v>22598948</v>
      </c>
      <c r="F62" s="37">
        <v>1459171</v>
      </c>
      <c r="G62" s="38">
        <v>0.58913530827731087</v>
      </c>
    </row>
    <row r="63" spans="1:7">
      <c r="A63" s="36" t="s">
        <v>467</v>
      </c>
      <c r="B63" s="36" t="s">
        <v>468</v>
      </c>
      <c r="C63" s="37">
        <v>40947900</v>
      </c>
      <c r="D63" s="37">
        <v>26501430</v>
      </c>
      <c r="E63" s="37">
        <v>14446470</v>
      </c>
      <c r="F63" s="37">
        <v>974563</v>
      </c>
      <c r="G63" s="38">
        <v>0.64719875744543676</v>
      </c>
    </row>
    <row r="64" spans="1:7">
      <c r="A64" s="36" t="s">
        <v>471</v>
      </c>
      <c r="B64" s="36" t="s">
        <v>472</v>
      </c>
      <c r="C64" s="37">
        <v>218508776</v>
      </c>
      <c r="D64" s="37">
        <v>193049223</v>
      </c>
      <c r="E64" s="37">
        <v>25459553</v>
      </c>
      <c r="F64" s="37">
        <v>718094</v>
      </c>
      <c r="G64" s="38">
        <v>0.8834849864336799</v>
      </c>
    </row>
    <row r="65" spans="1:7">
      <c r="A65" s="36" t="s">
        <v>476</v>
      </c>
      <c r="B65" s="36" t="s">
        <v>477</v>
      </c>
      <c r="C65" s="37">
        <v>88557500</v>
      </c>
      <c r="D65" s="37">
        <v>79964026</v>
      </c>
      <c r="E65" s="37">
        <v>8593474</v>
      </c>
      <c r="F65" s="37">
        <v>321783</v>
      </c>
      <c r="G65" s="38">
        <v>0.90296164638794008</v>
      </c>
    </row>
    <row r="66" spans="1:7">
      <c r="A66" s="36" t="s">
        <v>482</v>
      </c>
      <c r="B66" s="36" t="s">
        <v>483</v>
      </c>
      <c r="C66" s="37">
        <v>37489500</v>
      </c>
      <c r="D66" s="37">
        <v>28503387</v>
      </c>
      <c r="E66" s="37">
        <v>8986113</v>
      </c>
      <c r="F66" s="37">
        <v>824769</v>
      </c>
      <c r="G66" s="38">
        <v>0.76030320489737124</v>
      </c>
    </row>
    <row r="67" spans="1:7">
      <c r="A67" s="36" t="s">
        <v>487</v>
      </c>
      <c r="B67" s="36" t="s">
        <v>488</v>
      </c>
      <c r="C67" s="37">
        <v>83334100</v>
      </c>
      <c r="D67" s="37">
        <v>76448920</v>
      </c>
      <c r="E67" s="37">
        <v>6885180</v>
      </c>
      <c r="F67" s="37">
        <v>2272775</v>
      </c>
      <c r="G67" s="38">
        <v>0.91737860011687888</v>
      </c>
    </row>
    <row r="68" spans="1:7">
      <c r="A68" s="36" t="s">
        <v>493</v>
      </c>
      <c r="B68" s="36" t="s">
        <v>494</v>
      </c>
      <c r="C68" s="37">
        <v>100172700</v>
      </c>
      <c r="D68" s="37">
        <v>77363981</v>
      </c>
      <c r="E68" s="37">
        <v>22808719</v>
      </c>
      <c r="F68" s="37">
        <v>1862381</v>
      </c>
      <c r="G68" s="38">
        <v>0.77230603747328364</v>
      </c>
    </row>
    <row r="69" spans="1:7">
      <c r="A69" s="36" t="s">
        <v>500</v>
      </c>
      <c r="B69" s="36" t="s">
        <v>501</v>
      </c>
      <c r="C69" s="37">
        <v>38725500</v>
      </c>
      <c r="D69" s="37">
        <v>33456368</v>
      </c>
      <c r="E69" s="37">
        <v>5269132</v>
      </c>
      <c r="F69" s="37">
        <v>488180</v>
      </c>
      <c r="G69" s="38">
        <v>0.86393637267433598</v>
      </c>
    </row>
    <row r="70" spans="1:7">
      <c r="A70" s="36" t="s">
        <v>506</v>
      </c>
      <c r="B70" s="36" t="s">
        <v>507</v>
      </c>
      <c r="C70" s="37">
        <v>83945300</v>
      </c>
      <c r="D70" s="37">
        <v>69643336</v>
      </c>
      <c r="E70" s="37">
        <v>14301964</v>
      </c>
      <c r="F70" s="37">
        <v>1846796</v>
      </c>
      <c r="G70" s="38">
        <v>0.82962757891150551</v>
      </c>
    </row>
    <row r="71" spans="1:7">
      <c r="A71" s="36" t="s">
        <v>514</v>
      </c>
      <c r="B71" s="36" t="s">
        <v>515</v>
      </c>
      <c r="C71" s="37">
        <v>96887000</v>
      </c>
      <c r="D71" s="37">
        <v>69626965</v>
      </c>
      <c r="E71" s="37">
        <v>27260035</v>
      </c>
      <c r="F71" s="37">
        <v>2573934</v>
      </c>
      <c r="G71" s="38">
        <v>0.71864094254131106</v>
      </c>
    </row>
    <row r="72" spans="1:7">
      <c r="A72" s="36" t="s">
        <v>519</v>
      </c>
      <c r="B72" s="36" t="s">
        <v>520</v>
      </c>
      <c r="C72" s="37">
        <v>51404406</v>
      </c>
      <c r="D72" s="37">
        <v>34478616</v>
      </c>
      <c r="E72" s="37">
        <v>16925790</v>
      </c>
      <c r="F72" s="37">
        <v>1209575</v>
      </c>
      <c r="G72" s="38">
        <v>0.67073269944992653</v>
      </c>
    </row>
    <row r="73" spans="1:7">
      <c r="A73" s="36" t="s">
        <v>527</v>
      </c>
      <c r="B73" s="36" t="s">
        <v>2167</v>
      </c>
      <c r="C73" s="37">
        <v>50188300</v>
      </c>
      <c r="D73" s="37">
        <v>41897499</v>
      </c>
      <c r="E73" s="37">
        <v>8290801</v>
      </c>
      <c r="F73" s="37">
        <v>269808</v>
      </c>
      <c r="G73" s="38">
        <v>0.83480610022654678</v>
      </c>
    </row>
    <row r="74" spans="1:7">
      <c r="A74" s="36" t="s">
        <v>529</v>
      </c>
      <c r="B74" s="36" t="s">
        <v>530</v>
      </c>
      <c r="C74" s="37">
        <v>89486700</v>
      </c>
      <c r="D74" s="37">
        <v>83761551</v>
      </c>
      <c r="E74" s="37">
        <v>5725149</v>
      </c>
      <c r="F74" s="37">
        <v>301532</v>
      </c>
      <c r="G74" s="38">
        <v>0.93602234745498492</v>
      </c>
    </row>
    <row r="75" spans="1:7">
      <c r="A75" s="36" t="s">
        <v>534</v>
      </c>
      <c r="B75" s="36" t="s">
        <v>535</v>
      </c>
      <c r="C75" s="37">
        <v>80579100</v>
      </c>
      <c r="D75" s="37">
        <v>75804119</v>
      </c>
      <c r="E75" s="37">
        <v>4774981</v>
      </c>
      <c r="F75" s="37">
        <v>880895</v>
      </c>
      <c r="G75" s="38">
        <v>0.94074169356570125</v>
      </c>
    </row>
    <row r="76" spans="1:7">
      <c r="A76" s="36" t="s">
        <v>540</v>
      </c>
      <c r="B76" s="36" t="s">
        <v>541</v>
      </c>
      <c r="C76" s="37">
        <v>44681000</v>
      </c>
      <c r="D76" s="37">
        <v>30406656</v>
      </c>
      <c r="E76" s="37">
        <v>14274344</v>
      </c>
      <c r="F76" s="37">
        <v>1098744</v>
      </c>
      <c r="G76" s="38">
        <v>0.6805276515744948</v>
      </c>
    </row>
    <row r="77" spans="1:7">
      <c r="A77" s="36" t="s">
        <v>545</v>
      </c>
      <c r="B77" s="36" t="s">
        <v>546</v>
      </c>
      <c r="C77" s="37">
        <v>85390550</v>
      </c>
      <c r="D77" s="37">
        <v>79789429</v>
      </c>
      <c r="E77" s="37">
        <v>5601121</v>
      </c>
      <c r="F77" s="37">
        <v>957944</v>
      </c>
      <c r="G77" s="38">
        <v>0.93440584467484988</v>
      </c>
    </row>
    <row r="78" spans="1:7">
      <c r="A78" s="36" t="s">
        <v>552</v>
      </c>
      <c r="B78" s="36" t="s">
        <v>553</v>
      </c>
      <c r="C78" s="37">
        <v>29554500</v>
      </c>
      <c r="D78" s="37">
        <v>25734390</v>
      </c>
      <c r="E78" s="37">
        <v>3820110</v>
      </c>
      <c r="F78" s="37">
        <v>650199</v>
      </c>
      <c r="G78" s="38">
        <v>0.87074354159265088</v>
      </c>
    </row>
    <row r="79" spans="1:7">
      <c r="A79" s="36" t="s">
        <v>557</v>
      </c>
      <c r="B79" s="36" t="s">
        <v>558</v>
      </c>
      <c r="C79" s="37">
        <v>38229800</v>
      </c>
      <c r="D79" s="37">
        <v>32801145</v>
      </c>
      <c r="E79" s="37">
        <v>5428655</v>
      </c>
      <c r="F79" s="37">
        <v>841055</v>
      </c>
      <c r="G79" s="38">
        <v>0.85799938791204766</v>
      </c>
    </row>
    <row r="80" spans="1:7">
      <c r="A80" s="36" t="s">
        <v>563</v>
      </c>
      <c r="B80" s="36" t="s">
        <v>564</v>
      </c>
      <c r="C80" s="37">
        <v>50335996</v>
      </c>
      <c r="D80" s="37">
        <v>36886718</v>
      </c>
      <c r="E80" s="37">
        <v>13449278</v>
      </c>
      <c r="F80" s="37">
        <v>1110261</v>
      </c>
      <c r="G80" s="38">
        <v>0.73280993585584364</v>
      </c>
    </row>
    <row r="81" spans="1:7">
      <c r="A81" s="36" t="s">
        <v>569</v>
      </c>
      <c r="B81" s="36" t="s">
        <v>570</v>
      </c>
      <c r="C81" s="37">
        <v>40157500</v>
      </c>
      <c r="D81" s="37">
        <v>31974364</v>
      </c>
      <c r="E81" s="37">
        <v>8183136</v>
      </c>
      <c r="F81" s="37">
        <v>907059</v>
      </c>
      <c r="G81" s="38">
        <v>0.79622396812550578</v>
      </c>
    </row>
    <row r="82" spans="1:7">
      <c r="A82" s="36" t="s">
        <v>575</v>
      </c>
      <c r="B82" s="36" t="s">
        <v>119</v>
      </c>
      <c r="C82" s="37">
        <v>60744598.938841172</v>
      </c>
      <c r="D82" s="37">
        <v>49678142.274780422</v>
      </c>
      <c r="E82" s="37">
        <v>11066456.66406074</v>
      </c>
      <c r="F82" s="37">
        <v>1455059.0126113952</v>
      </c>
      <c r="G82" s="38">
        <v>0.81781990732702559</v>
      </c>
    </row>
    <row r="83" spans="1:7">
      <c r="A83" s="36" t="s">
        <v>581</v>
      </c>
      <c r="B83" s="36" t="s">
        <v>582</v>
      </c>
      <c r="C83" s="37">
        <v>36122945</v>
      </c>
      <c r="D83" s="37">
        <v>26451559</v>
      </c>
      <c r="E83" s="37">
        <v>9671386</v>
      </c>
      <c r="F83" s="37">
        <v>714907</v>
      </c>
      <c r="G83" s="38">
        <v>0.73226474198047808</v>
      </c>
    </row>
    <row r="84" spans="1:7">
      <c r="A84" s="36" t="s">
        <v>587</v>
      </c>
      <c r="B84" s="36" t="s">
        <v>588</v>
      </c>
      <c r="C84" s="37">
        <v>47078500</v>
      </c>
      <c r="D84" s="37">
        <v>29125739</v>
      </c>
      <c r="E84" s="37">
        <v>17952761</v>
      </c>
      <c r="F84" s="37">
        <v>706860</v>
      </c>
      <c r="G84" s="38">
        <v>0.6186632751680704</v>
      </c>
    </row>
    <row r="85" spans="1:7">
      <c r="A85" s="36" t="s">
        <v>592</v>
      </c>
      <c r="B85" s="36" t="s">
        <v>593</v>
      </c>
      <c r="C85" s="37">
        <v>49230550</v>
      </c>
      <c r="D85" s="37">
        <v>34211573</v>
      </c>
      <c r="E85" s="37">
        <v>15018977</v>
      </c>
      <c r="F85" s="37">
        <v>949091</v>
      </c>
      <c r="G85" s="38">
        <v>0.69492567115337933</v>
      </c>
    </row>
    <row r="86" spans="1:7">
      <c r="A86" s="36" t="s">
        <v>598</v>
      </c>
      <c r="B86" s="36" t="s">
        <v>163</v>
      </c>
      <c r="C86" s="37">
        <v>0</v>
      </c>
      <c r="D86" s="37">
        <v>0</v>
      </c>
      <c r="E86" s="37">
        <v>0</v>
      </c>
      <c r="F86" s="37">
        <v>0</v>
      </c>
      <c r="G86" s="38" t="s">
        <v>1910</v>
      </c>
    </row>
    <row r="87" spans="1:7">
      <c r="A87" s="36" t="s">
        <v>601</v>
      </c>
      <c r="B87" s="36" t="s">
        <v>602</v>
      </c>
      <c r="C87" s="37">
        <v>58534000</v>
      </c>
      <c r="D87" s="37">
        <v>43014787</v>
      </c>
      <c r="E87" s="37">
        <v>15519213</v>
      </c>
      <c r="F87" s="37">
        <v>1496593</v>
      </c>
      <c r="G87" s="38">
        <v>0.73486840127105613</v>
      </c>
    </row>
    <row r="88" spans="1:7">
      <c r="A88" s="36" t="s">
        <v>606</v>
      </c>
      <c r="B88" s="36" t="s">
        <v>607</v>
      </c>
      <c r="C88" s="37">
        <v>105886028</v>
      </c>
      <c r="D88" s="37">
        <v>88123788</v>
      </c>
      <c r="E88" s="37">
        <v>17762240</v>
      </c>
      <c r="F88" s="37">
        <v>2562481</v>
      </c>
      <c r="G88" s="38">
        <v>0.8322513334809386</v>
      </c>
    </row>
    <row r="89" spans="1:7">
      <c r="A89" s="36" t="s">
        <v>612</v>
      </c>
      <c r="B89" s="36" t="s">
        <v>613</v>
      </c>
      <c r="C89" s="37">
        <v>96764049</v>
      </c>
      <c r="D89" s="37">
        <v>69413783</v>
      </c>
      <c r="E89" s="37">
        <v>27350266</v>
      </c>
      <c r="F89" s="37">
        <v>2156515</v>
      </c>
      <c r="G89" s="38">
        <v>0.71735095541526994</v>
      </c>
    </row>
    <row r="90" spans="1:7">
      <c r="A90" s="36" t="s">
        <v>619</v>
      </c>
      <c r="B90" s="36" t="s">
        <v>620</v>
      </c>
      <c r="C90" s="37">
        <v>95520824</v>
      </c>
      <c r="D90" s="37">
        <v>84247179</v>
      </c>
      <c r="E90" s="37">
        <v>11273645</v>
      </c>
      <c r="F90" s="37">
        <v>397228</v>
      </c>
      <c r="G90" s="38">
        <v>0.88197709642873268</v>
      </c>
    </row>
    <row r="91" spans="1:7">
      <c r="A91" s="36" t="s">
        <v>622</v>
      </c>
      <c r="B91" s="36" t="s">
        <v>623</v>
      </c>
      <c r="C91" s="37">
        <v>34460000</v>
      </c>
      <c r="D91" s="37">
        <v>32644549</v>
      </c>
      <c r="E91" s="37">
        <v>1815451</v>
      </c>
      <c r="F91" s="37">
        <v>388699</v>
      </c>
      <c r="G91" s="38">
        <v>0.94731715031921071</v>
      </c>
    </row>
    <row r="92" spans="1:7">
      <c r="A92" s="36" t="s">
        <v>625</v>
      </c>
      <c r="B92" s="36" t="s">
        <v>626</v>
      </c>
      <c r="C92" s="37">
        <v>31621500</v>
      </c>
      <c r="D92" s="37">
        <v>26778444</v>
      </c>
      <c r="E92" s="37">
        <v>4843056</v>
      </c>
      <c r="F92" s="37">
        <v>731973</v>
      </c>
      <c r="G92" s="38">
        <v>0.84684293913950948</v>
      </c>
    </row>
    <row r="93" spans="1:7">
      <c r="A93" s="36" t="s">
        <v>628</v>
      </c>
      <c r="B93" s="36" t="s">
        <v>629</v>
      </c>
      <c r="C93" s="37">
        <v>35807000</v>
      </c>
      <c r="D93" s="37">
        <v>32617408</v>
      </c>
      <c r="E93" s="37">
        <v>3189592</v>
      </c>
      <c r="F93" s="37">
        <v>164241</v>
      </c>
      <c r="G93" s="38">
        <v>0.91092266875191996</v>
      </c>
    </row>
    <row r="94" spans="1:7">
      <c r="A94" s="36" t="s">
        <v>635</v>
      </c>
      <c r="B94" s="36" t="s">
        <v>636</v>
      </c>
      <c r="C94" s="37">
        <v>118378950</v>
      </c>
      <c r="D94" s="37">
        <v>96200854</v>
      </c>
      <c r="E94" s="37">
        <v>22178096</v>
      </c>
      <c r="F94" s="37">
        <v>1546834</v>
      </c>
      <c r="G94" s="38">
        <v>0.81265169187596276</v>
      </c>
    </row>
    <row r="95" spans="1:7">
      <c r="A95" s="36" t="s">
        <v>640</v>
      </c>
      <c r="B95" s="36" t="s">
        <v>641</v>
      </c>
      <c r="C95" s="37">
        <v>35518000</v>
      </c>
      <c r="D95" s="37">
        <v>27537664</v>
      </c>
      <c r="E95" s="37">
        <v>7980336</v>
      </c>
      <c r="F95" s="37">
        <v>825561</v>
      </c>
      <c r="G95" s="38">
        <v>0.77531572723689401</v>
      </c>
    </row>
    <row r="96" spans="1:7">
      <c r="A96" s="36" t="s">
        <v>646</v>
      </c>
      <c r="B96" s="36" t="s">
        <v>647</v>
      </c>
      <c r="C96" s="37">
        <v>139330723</v>
      </c>
      <c r="D96" s="37">
        <v>89321274</v>
      </c>
      <c r="E96" s="37">
        <v>50009449</v>
      </c>
      <c r="F96" s="37">
        <v>4333654</v>
      </c>
      <c r="G96" s="38">
        <v>0.64107378528424053</v>
      </c>
    </row>
    <row r="97" spans="1:7">
      <c r="A97" s="36" t="s">
        <v>653</v>
      </c>
      <c r="B97" s="36" t="s">
        <v>654</v>
      </c>
      <c r="C97" s="37">
        <v>74721200</v>
      </c>
      <c r="D97" s="37">
        <v>42286902</v>
      </c>
      <c r="E97" s="37">
        <v>32434298</v>
      </c>
      <c r="F97" s="37">
        <v>1844678</v>
      </c>
      <c r="G97" s="38">
        <v>0.56592910713425371</v>
      </c>
    </row>
    <row r="98" spans="1:7">
      <c r="A98" s="36" t="s">
        <v>659</v>
      </c>
      <c r="B98" s="36" t="s">
        <v>660</v>
      </c>
      <c r="C98" s="37">
        <v>104049750</v>
      </c>
      <c r="D98" s="37">
        <v>100839268</v>
      </c>
      <c r="E98" s="37">
        <v>3210482</v>
      </c>
      <c r="F98" s="37">
        <v>1089910</v>
      </c>
      <c r="G98" s="38">
        <v>0.96914474085713809</v>
      </c>
    </row>
    <row r="99" spans="1:7">
      <c r="A99" s="36" t="s">
        <v>668</v>
      </c>
      <c r="B99" s="36" t="s">
        <v>669</v>
      </c>
      <c r="C99" s="37">
        <v>34737130</v>
      </c>
      <c r="D99" s="37">
        <v>20880018</v>
      </c>
      <c r="E99" s="37">
        <v>13857112</v>
      </c>
      <c r="F99" s="37">
        <v>704097</v>
      </c>
      <c r="G99" s="38">
        <v>0.60108644554112556</v>
      </c>
    </row>
    <row r="100" spans="1:7">
      <c r="A100" s="36" t="s">
        <v>673</v>
      </c>
      <c r="B100" s="36" t="s">
        <v>674</v>
      </c>
      <c r="C100" s="37">
        <v>42077500</v>
      </c>
      <c r="D100" s="37">
        <v>33225029</v>
      </c>
      <c r="E100" s="37">
        <v>8852471</v>
      </c>
      <c r="F100" s="37">
        <v>756613</v>
      </c>
      <c r="G100" s="38">
        <v>0.78961509120076045</v>
      </c>
    </row>
    <row r="101" spans="1:7">
      <c r="A101" s="36" t="s">
        <v>677</v>
      </c>
      <c r="B101" s="36" t="s">
        <v>678</v>
      </c>
      <c r="C101" s="37">
        <v>46257500</v>
      </c>
      <c r="D101" s="37">
        <v>31089190</v>
      </c>
      <c r="E101" s="37">
        <v>15168310</v>
      </c>
      <c r="F101" s="37">
        <v>1017665</v>
      </c>
      <c r="G101" s="38">
        <v>0.67208971518132199</v>
      </c>
    </row>
    <row r="102" spans="1:7">
      <c r="A102" s="36" t="s">
        <v>681</v>
      </c>
      <c r="B102" s="36" t="s">
        <v>682</v>
      </c>
      <c r="C102" s="37">
        <v>2780001776.7200379</v>
      </c>
      <c r="D102" s="37">
        <v>803218425.45100236</v>
      </c>
      <c r="E102" s="37">
        <v>1976783351.2690358</v>
      </c>
      <c r="F102" s="37">
        <v>75591275.399392128</v>
      </c>
      <c r="G102" s="38">
        <v>0.2889273065136933</v>
      </c>
    </row>
    <row r="103" spans="1:7">
      <c r="A103" s="36" t="s">
        <v>690</v>
      </c>
      <c r="B103" s="36" t="s">
        <v>691</v>
      </c>
      <c r="C103" s="37">
        <v>2515941780.1053395</v>
      </c>
      <c r="D103" s="37">
        <v>1054738645.3541014</v>
      </c>
      <c r="E103" s="37">
        <v>1461203134.7512379</v>
      </c>
      <c r="F103" s="37">
        <v>38839919.413094401</v>
      </c>
      <c r="G103" s="38">
        <v>0.4192221988975996</v>
      </c>
    </row>
    <row r="104" spans="1:7">
      <c r="A104" s="36" t="s">
        <v>700</v>
      </c>
      <c r="B104" s="36" t="s">
        <v>701</v>
      </c>
      <c r="C104" s="37">
        <v>1221998336.6166739</v>
      </c>
      <c r="D104" s="37">
        <v>687426454.98436725</v>
      </c>
      <c r="E104" s="37">
        <v>534571881.63230664</v>
      </c>
      <c r="F104" s="37">
        <v>17688880.239412785</v>
      </c>
      <c r="G104" s="38">
        <v>0.56254287292046012</v>
      </c>
    </row>
    <row r="105" spans="1:7">
      <c r="A105" s="36" t="s">
        <v>706</v>
      </c>
      <c r="B105" s="36" t="s">
        <v>707</v>
      </c>
      <c r="C105" s="37">
        <v>3022622197.1281438</v>
      </c>
      <c r="D105" s="37">
        <v>873318090.0247364</v>
      </c>
      <c r="E105" s="37">
        <v>2149304107.1034074</v>
      </c>
      <c r="F105" s="37">
        <v>82188388.81498991</v>
      </c>
      <c r="G105" s="38">
        <v>0.28892730651369336</v>
      </c>
    </row>
    <row r="106" spans="1:7">
      <c r="A106" s="36" t="s">
        <v>716</v>
      </c>
      <c r="B106" s="36" t="s">
        <v>2297</v>
      </c>
      <c r="C106" s="37">
        <v>308051056.65489984</v>
      </c>
      <c r="D106" s="37">
        <v>106240016.05447119</v>
      </c>
      <c r="E106" s="37">
        <v>201811040.60042864</v>
      </c>
      <c r="F106" s="37">
        <v>7675763.2702327641</v>
      </c>
      <c r="G106" s="38">
        <v>0.34487794720824033</v>
      </c>
    </row>
    <row r="107" spans="1:7">
      <c r="A107" s="36" t="s">
        <v>720</v>
      </c>
      <c r="B107" s="36" t="s">
        <v>1626</v>
      </c>
      <c r="C107" s="37">
        <v>7770741456</v>
      </c>
      <c r="D107" s="37">
        <v>3360183384</v>
      </c>
      <c r="E107" s="37">
        <v>4410558072</v>
      </c>
      <c r="F107" s="37">
        <v>171369388</v>
      </c>
      <c r="G107" s="38">
        <v>0.43241477058865618</v>
      </c>
    </row>
    <row r="108" spans="1:7">
      <c r="A108" s="36" t="s">
        <v>729</v>
      </c>
      <c r="B108" s="36" t="s">
        <v>1995</v>
      </c>
      <c r="C108" s="37">
        <v>2731933529</v>
      </c>
      <c r="D108" s="37">
        <v>1552704389</v>
      </c>
      <c r="E108" s="37">
        <v>1179229140</v>
      </c>
      <c r="F108" s="37">
        <v>60006318</v>
      </c>
      <c r="G108" s="38">
        <v>0.56835364862202697</v>
      </c>
    </row>
    <row r="109" spans="1:7">
      <c r="A109" s="36" t="s">
        <v>736</v>
      </c>
      <c r="B109" s="36" t="s">
        <v>1997</v>
      </c>
      <c r="C109" s="37">
        <v>1744070802</v>
      </c>
      <c r="D109" s="37">
        <v>1047049022</v>
      </c>
      <c r="E109" s="37">
        <v>697021780</v>
      </c>
      <c r="F109" s="37">
        <v>40260735</v>
      </c>
      <c r="G109" s="38">
        <v>0.60034777303725539</v>
      </c>
    </row>
    <row r="110" spans="1:7">
      <c r="A110" s="36" t="s">
        <v>743</v>
      </c>
      <c r="B110" s="36" t="s">
        <v>744</v>
      </c>
      <c r="C110" s="37">
        <v>453531200</v>
      </c>
      <c r="D110" s="37">
        <v>447303511</v>
      </c>
      <c r="E110" s="37">
        <v>6227689</v>
      </c>
      <c r="F110" s="37">
        <v>9884451</v>
      </c>
      <c r="G110" s="38">
        <v>0.98626844415555093</v>
      </c>
    </row>
    <row r="111" spans="1:7">
      <c r="A111" s="36" t="s">
        <v>749</v>
      </c>
      <c r="B111" s="36" t="s">
        <v>750</v>
      </c>
      <c r="C111" s="37">
        <v>6462400</v>
      </c>
      <c r="D111" s="37">
        <v>6462399</v>
      </c>
      <c r="E111" s="37">
        <v>1</v>
      </c>
      <c r="F111" s="37">
        <v>0</v>
      </c>
      <c r="G111" s="38">
        <v>0.99999984525872743</v>
      </c>
    </row>
    <row r="112" spans="1:7">
      <c r="A112" s="36" t="s">
        <v>2298</v>
      </c>
      <c r="B112" s="36" t="s">
        <v>2299</v>
      </c>
      <c r="C112" s="37">
        <v>0</v>
      </c>
      <c r="D112" s="37">
        <v>0</v>
      </c>
      <c r="E112" s="37">
        <v>0</v>
      </c>
      <c r="F112" s="37">
        <v>0</v>
      </c>
      <c r="G112" s="38" t="e">
        <v>#DIV/0!</v>
      </c>
    </row>
    <row r="113" spans="1:7">
      <c r="A113" s="36" t="s">
        <v>753</v>
      </c>
      <c r="B113" s="36" t="s">
        <v>754</v>
      </c>
      <c r="C113" s="37">
        <v>1199871612</v>
      </c>
      <c r="D113" s="37">
        <v>620166929</v>
      </c>
      <c r="E113" s="37">
        <v>579704683</v>
      </c>
      <c r="F113" s="37">
        <v>30758006</v>
      </c>
      <c r="G113" s="38">
        <v>0.5168610731328811</v>
      </c>
    </row>
    <row r="114" spans="1:7">
      <c r="A114" s="36" t="s">
        <v>761</v>
      </c>
      <c r="B114" s="36" t="s">
        <v>762</v>
      </c>
      <c r="C114" s="37">
        <v>97860000</v>
      </c>
      <c r="D114" s="37">
        <v>52844400</v>
      </c>
      <c r="E114" s="37">
        <v>45015600</v>
      </c>
      <c r="F114" s="37">
        <v>2642220</v>
      </c>
      <c r="G114" s="38">
        <v>0.54</v>
      </c>
    </row>
    <row r="115" spans="1:7">
      <c r="A115" s="36" t="s">
        <v>769</v>
      </c>
      <c r="B115" s="36" t="s">
        <v>770</v>
      </c>
      <c r="C115" s="37">
        <v>1098739945</v>
      </c>
      <c r="D115" s="37">
        <v>694671439</v>
      </c>
      <c r="E115" s="37">
        <v>404068506</v>
      </c>
      <c r="F115" s="37">
        <v>22453549</v>
      </c>
      <c r="G115" s="38">
        <v>0.63224372806433282</v>
      </c>
    </row>
    <row r="116" spans="1:7">
      <c r="A116" s="36" t="s">
        <v>778</v>
      </c>
      <c r="B116" s="36" t="s">
        <v>779</v>
      </c>
      <c r="C116" s="37">
        <v>144289699</v>
      </c>
      <c r="D116" s="37">
        <v>84777567</v>
      </c>
      <c r="E116" s="37">
        <v>59512132</v>
      </c>
      <c r="F116" s="37">
        <v>3080644</v>
      </c>
      <c r="G116" s="38">
        <v>0.58755106974060567</v>
      </c>
    </row>
    <row r="117" spans="1:7">
      <c r="A117" s="36" t="s">
        <v>786</v>
      </c>
      <c r="B117" s="36" t="s">
        <v>787</v>
      </c>
      <c r="C117" s="37">
        <v>282709852</v>
      </c>
      <c r="D117" s="37">
        <v>168453674</v>
      </c>
      <c r="E117" s="37">
        <v>114256178</v>
      </c>
      <c r="F117" s="37">
        <v>9739564</v>
      </c>
      <c r="G117" s="38">
        <v>0.5958535679188145</v>
      </c>
    </row>
    <row r="118" spans="1:7">
      <c r="A118" s="36" t="s">
        <v>791</v>
      </c>
      <c r="B118" s="36" t="s">
        <v>792</v>
      </c>
      <c r="C118" s="37">
        <v>0</v>
      </c>
      <c r="D118" s="37">
        <v>0</v>
      </c>
      <c r="E118" s="37">
        <v>0</v>
      </c>
      <c r="F118" s="37">
        <v>0</v>
      </c>
      <c r="G118" s="38" t="s">
        <v>1910</v>
      </c>
    </row>
    <row r="119" spans="1:7">
      <c r="A119" s="36" t="s">
        <v>794</v>
      </c>
      <c r="B119" s="36" t="s">
        <v>788</v>
      </c>
      <c r="C119" s="37">
        <v>861938855</v>
      </c>
      <c r="D119" s="37">
        <v>533300298</v>
      </c>
      <c r="E119" s="37">
        <v>328638557</v>
      </c>
      <c r="F119" s="37">
        <v>17238777</v>
      </c>
      <c r="G119" s="38">
        <v>0.61872172823674365</v>
      </c>
    </row>
    <row r="120" spans="1:7">
      <c r="A120" s="36" t="s">
        <v>796</v>
      </c>
      <c r="B120" s="36" t="s">
        <v>797</v>
      </c>
      <c r="C120" s="37">
        <v>587769893</v>
      </c>
      <c r="D120" s="37">
        <v>121429968</v>
      </c>
      <c r="E120" s="37">
        <v>466339925</v>
      </c>
      <c r="F120" s="37">
        <v>6437472</v>
      </c>
      <c r="G120" s="38">
        <v>0.20659439934940663</v>
      </c>
    </row>
    <row r="121" spans="1:7">
      <c r="A121" s="36" t="s">
        <v>800</v>
      </c>
      <c r="B121" s="36" t="s">
        <v>801</v>
      </c>
      <c r="C121" s="37">
        <v>1937026600</v>
      </c>
      <c r="D121" s="37">
        <v>626053716</v>
      </c>
      <c r="E121" s="37">
        <v>1310972884</v>
      </c>
      <c r="F121" s="37">
        <v>70492244</v>
      </c>
      <c r="G121" s="38">
        <v>0.32320346865654814</v>
      </c>
    </row>
    <row r="122" spans="1:7">
      <c r="A122" s="36" t="s">
        <v>812</v>
      </c>
      <c r="B122" s="36" t="s">
        <v>813</v>
      </c>
      <c r="C122" s="37">
        <v>351701938.60259521</v>
      </c>
      <c r="D122" s="37">
        <v>147441260.05752853</v>
      </c>
      <c r="E122" s="37">
        <v>204260678.54506662</v>
      </c>
      <c r="F122" s="37">
        <v>5429408.2083973903</v>
      </c>
      <c r="G122" s="38">
        <v>0.4192221988975996</v>
      </c>
    </row>
    <row r="123" spans="1:7">
      <c r="A123" s="36" t="s">
        <v>818</v>
      </c>
      <c r="B123" s="36" t="s">
        <v>819</v>
      </c>
      <c r="C123" s="37">
        <v>252574198.83883297</v>
      </c>
      <c r="D123" s="37">
        <v>142083815.44038063</v>
      </c>
      <c r="E123" s="37">
        <v>110490383.39845233</v>
      </c>
      <c r="F123" s="37">
        <v>3656105.4307124056</v>
      </c>
      <c r="G123" s="38">
        <v>0.56254287292046012</v>
      </c>
    </row>
    <row r="124" spans="1:7">
      <c r="A124" s="36" t="s">
        <v>822</v>
      </c>
      <c r="B124" s="36" t="s">
        <v>823</v>
      </c>
      <c r="C124" s="37">
        <v>18354000</v>
      </c>
      <c r="D124" s="37">
        <v>3670800</v>
      </c>
      <c r="E124" s="37">
        <v>14683200</v>
      </c>
      <c r="F124" s="37">
        <v>367080</v>
      </c>
      <c r="G124" s="38">
        <v>0.2</v>
      </c>
    </row>
    <row r="125" spans="1:7">
      <c r="A125" s="36" t="s">
        <v>830</v>
      </c>
      <c r="B125" s="36" t="s">
        <v>831</v>
      </c>
      <c r="C125" s="37">
        <v>29833422.066264205</v>
      </c>
      <c r="D125" s="37">
        <v>5642790.7384608081</v>
      </c>
      <c r="E125" s="37">
        <v>24190631.327803399</v>
      </c>
      <c r="F125" s="37">
        <v>1128558.1476921616</v>
      </c>
      <c r="G125" s="38">
        <v>0.18914326106899101</v>
      </c>
    </row>
    <row r="126" spans="1:7">
      <c r="A126" s="36" t="s">
        <v>834</v>
      </c>
      <c r="B126" s="36" t="s">
        <v>835</v>
      </c>
      <c r="C126" s="37">
        <v>2215360450</v>
      </c>
      <c r="D126" s="37">
        <v>1623460724</v>
      </c>
      <c r="E126" s="37">
        <v>591899726</v>
      </c>
      <c r="F126" s="37">
        <v>59858392</v>
      </c>
      <c r="G126" s="38">
        <v>0.73282012595286694</v>
      </c>
    </row>
    <row r="127" spans="1:7">
      <c r="A127" s="36" t="s">
        <v>850</v>
      </c>
      <c r="B127" s="36" t="s">
        <v>851</v>
      </c>
      <c r="C127" s="37">
        <v>2620164265</v>
      </c>
      <c r="D127" s="37">
        <v>1637705968</v>
      </c>
      <c r="E127" s="37">
        <v>982458297</v>
      </c>
      <c r="F127" s="37">
        <v>54036970</v>
      </c>
      <c r="G127" s="38">
        <v>0.62503942591553507</v>
      </c>
    </row>
    <row r="128" spans="1:7">
      <c r="A128" s="36" t="s">
        <v>856</v>
      </c>
      <c r="B128" s="36" t="s">
        <v>857</v>
      </c>
      <c r="C128" s="37">
        <v>2964247509</v>
      </c>
      <c r="D128" s="37">
        <v>1707903947</v>
      </c>
      <c r="E128" s="37">
        <v>1256343562</v>
      </c>
      <c r="F128" s="37">
        <v>48779260</v>
      </c>
      <c r="G128" s="38">
        <v>0.57616779361861314</v>
      </c>
    </row>
    <row r="129" spans="1:7">
      <c r="A129" s="36" t="s">
        <v>864</v>
      </c>
      <c r="B129" s="36" t="s">
        <v>865</v>
      </c>
      <c r="C129" s="37">
        <v>1900691798</v>
      </c>
      <c r="D129" s="37">
        <v>1247027297</v>
      </c>
      <c r="E129" s="37">
        <v>653664501</v>
      </c>
      <c r="F129" s="37">
        <v>47208744</v>
      </c>
      <c r="G129" s="38">
        <v>0.6560912707216302</v>
      </c>
    </row>
    <row r="130" spans="1:7">
      <c r="A130" s="36" t="s">
        <v>870</v>
      </c>
      <c r="B130" s="36" t="s">
        <v>871</v>
      </c>
      <c r="C130" s="37">
        <v>2213029675</v>
      </c>
      <c r="D130" s="37">
        <v>1323884020</v>
      </c>
      <c r="E130" s="37">
        <v>889145655</v>
      </c>
      <c r="F130" s="37">
        <v>37250033</v>
      </c>
      <c r="G130" s="38">
        <v>0.59822244362810006</v>
      </c>
    </row>
    <row r="131" spans="1:7">
      <c r="A131" s="36" t="s">
        <v>877</v>
      </c>
      <c r="B131" s="36" t="s">
        <v>878</v>
      </c>
      <c r="C131" s="37">
        <v>2807551532</v>
      </c>
      <c r="D131" s="37">
        <v>1646631930</v>
      </c>
      <c r="E131" s="37">
        <v>1160919602</v>
      </c>
      <c r="F131" s="37">
        <v>48545256</v>
      </c>
      <c r="G131" s="38">
        <v>0.586501053046388</v>
      </c>
    </row>
    <row r="132" spans="1:7">
      <c r="A132" s="36" t="s">
        <v>883</v>
      </c>
      <c r="B132" s="36" t="s">
        <v>884</v>
      </c>
      <c r="C132" s="37">
        <v>1709049139</v>
      </c>
      <c r="D132" s="37">
        <v>1209984239</v>
      </c>
      <c r="E132" s="37">
        <v>499064900</v>
      </c>
      <c r="F132" s="37">
        <v>27400198</v>
      </c>
      <c r="G132" s="38">
        <v>0.70798680470240127</v>
      </c>
    </row>
    <row r="133" spans="1:7">
      <c r="A133" s="36" t="s">
        <v>889</v>
      </c>
      <c r="B133" s="36" t="s">
        <v>890</v>
      </c>
      <c r="C133" s="37">
        <v>2230917354</v>
      </c>
      <c r="D133" s="37">
        <v>1362774473</v>
      </c>
      <c r="E133" s="37">
        <v>868142881</v>
      </c>
      <c r="F133" s="37">
        <v>46407823</v>
      </c>
      <c r="G133" s="38">
        <v>0.61085834065370759</v>
      </c>
    </row>
    <row r="134" spans="1:7">
      <c r="A134" s="36" t="s">
        <v>896</v>
      </c>
      <c r="B134" s="36" t="s">
        <v>897</v>
      </c>
      <c r="C134" s="37">
        <v>2136028591</v>
      </c>
      <c r="D134" s="37">
        <v>1458863975</v>
      </c>
      <c r="E134" s="37">
        <v>677164616</v>
      </c>
      <c r="F134" s="37">
        <v>29634231</v>
      </c>
      <c r="G134" s="38">
        <v>0.68297961045409994</v>
      </c>
    </row>
    <row r="135" spans="1:7">
      <c r="A135" s="36" t="s">
        <v>901</v>
      </c>
      <c r="B135" s="36" t="s">
        <v>902</v>
      </c>
      <c r="C135" s="37">
        <v>2162381516</v>
      </c>
      <c r="D135" s="37">
        <v>1044902400</v>
      </c>
      <c r="E135" s="37">
        <v>1117479116</v>
      </c>
      <c r="F135" s="37">
        <v>44594536</v>
      </c>
      <c r="G135" s="38">
        <v>0.48321833694401595</v>
      </c>
    </row>
    <row r="136" spans="1:7">
      <c r="A136" s="36" t="s">
        <v>906</v>
      </c>
      <c r="B136" s="36" t="s">
        <v>907</v>
      </c>
      <c r="C136" s="37">
        <v>1765005959</v>
      </c>
      <c r="D136" s="37">
        <v>1228499478</v>
      </c>
      <c r="E136" s="37">
        <v>536506481</v>
      </c>
      <c r="F136" s="37">
        <v>20876500</v>
      </c>
      <c r="G136" s="38">
        <v>0.69603134863976968</v>
      </c>
    </row>
    <row r="137" spans="1:7">
      <c r="A137" s="36" t="s">
        <v>911</v>
      </c>
      <c r="B137" s="36" t="s">
        <v>912</v>
      </c>
      <c r="C137" s="37">
        <v>1965606475</v>
      </c>
      <c r="D137" s="37">
        <v>1248652030</v>
      </c>
      <c r="E137" s="37">
        <v>716954445</v>
      </c>
      <c r="F137" s="37">
        <v>32642359</v>
      </c>
      <c r="G137" s="38">
        <v>0.63525026289913911</v>
      </c>
    </row>
    <row r="138" spans="1:7">
      <c r="A138" s="36" t="s">
        <v>916</v>
      </c>
      <c r="B138" s="36" t="s">
        <v>917</v>
      </c>
      <c r="C138" s="37">
        <v>2134814466</v>
      </c>
      <c r="D138" s="37">
        <v>1457070431</v>
      </c>
      <c r="E138" s="37">
        <v>677744035</v>
      </c>
      <c r="F138" s="37">
        <v>36669000</v>
      </c>
      <c r="G138" s="38">
        <v>0.68252789842206363</v>
      </c>
    </row>
    <row r="139" spans="1:7">
      <c r="A139" s="36" t="s">
        <v>921</v>
      </c>
      <c r="B139" s="36" t="s">
        <v>922</v>
      </c>
      <c r="C139" s="37">
        <v>1458445922</v>
      </c>
      <c r="D139" s="37">
        <v>1170737582</v>
      </c>
      <c r="E139" s="37">
        <v>287708340</v>
      </c>
      <c r="F139" s="37">
        <v>31901424</v>
      </c>
      <c r="G139" s="38">
        <v>0.80272951114604307</v>
      </c>
    </row>
    <row r="140" spans="1:7">
      <c r="A140" s="36" t="s">
        <v>926</v>
      </c>
      <c r="B140" s="36" t="s">
        <v>927</v>
      </c>
      <c r="C140" s="37">
        <v>1946986478</v>
      </c>
      <c r="D140" s="37">
        <v>1434913030</v>
      </c>
      <c r="E140" s="37">
        <v>512073448</v>
      </c>
      <c r="F140" s="37">
        <v>42136540</v>
      </c>
      <c r="G140" s="38">
        <v>0.73699177997064647</v>
      </c>
    </row>
    <row r="141" spans="1:7">
      <c r="A141" s="36" t="s">
        <v>931</v>
      </c>
      <c r="B141" s="36" t="s">
        <v>932</v>
      </c>
      <c r="C141" s="37">
        <v>1667513629</v>
      </c>
      <c r="D141" s="37">
        <v>1203027827</v>
      </c>
      <c r="E141" s="37">
        <v>464485802</v>
      </c>
      <c r="F141" s="37">
        <v>36646174</v>
      </c>
      <c r="G141" s="38">
        <v>0.72145007157839547</v>
      </c>
    </row>
    <row r="142" spans="1:7">
      <c r="A142" s="36" t="s">
        <v>936</v>
      </c>
      <c r="B142" s="36" t="s">
        <v>937</v>
      </c>
      <c r="C142" s="37">
        <v>1586542014</v>
      </c>
      <c r="D142" s="37">
        <v>1092504575</v>
      </c>
      <c r="E142" s="37">
        <v>494037439</v>
      </c>
      <c r="F142" s="37">
        <v>35410773</v>
      </c>
      <c r="G142" s="38">
        <v>0.68860740236280937</v>
      </c>
    </row>
    <row r="143" spans="1:7">
      <c r="A143" s="36" t="s">
        <v>989</v>
      </c>
      <c r="B143" s="36" t="s">
        <v>990</v>
      </c>
      <c r="C143" s="37">
        <v>2075437148</v>
      </c>
      <c r="D143" s="37">
        <v>1418047303</v>
      </c>
      <c r="E143" s="37">
        <v>657389845</v>
      </c>
      <c r="F143" s="37">
        <v>37224251</v>
      </c>
      <c r="G143" s="38">
        <v>0.68325234727850215</v>
      </c>
    </row>
    <row r="144" spans="1:7">
      <c r="A144" s="36" t="s">
        <v>998</v>
      </c>
      <c r="B144" s="36" t="s">
        <v>999</v>
      </c>
      <c r="C144" s="37">
        <v>2173393874</v>
      </c>
      <c r="D144" s="37">
        <v>1393193306</v>
      </c>
      <c r="E144" s="37">
        <v>780200568</v>
      </c>
      <c r="F144" s="37">
        <v>39627481</v>
      </c>
      <c r="G144" s="38">
        <v>0.64102200832834411</v>
      </c>
    </row>
    <row r="145" spans="1:7">
      <c r="A145" s="36" t="s">
        <v>1003</v>
      </c>
      <c r="B145" s="36" t="s">
        <v>1004</v>
      </c>
      <c r="C145" s="37">
        <v>2867649357</v>
      </c>
      <c r="D145" s="37">
        <v>1744416244</v>
      </c>
      <c r="E145" s="37">
        <v>1123233113</v>
      </c>
      <c r="F145" s="37">
        <v>37806671</v>
      </c>
      <c r="G145" s="38">
        <v>0.60830876680994439</v>
      </c>
    </row>
    <row r="146" spans="1:7">
      <c r="A146" s="36" t="s">
        <v>1008</v>
      </c>
      <c r="B146" s="36" t="s">
        <v>1009</v>
      </c>
      <c r="C146" s="37">
        <v>1928434907</v>
      </c>
      <c r="D146" s="37">
        <v>1533334671</v>
      </c>
      <c r="E146" s="37">
        <v>395100236</v>
      </c>
      <c r="F146" s="37">
        <v>37337984</v>
      </c>
      <c r="G146" s="38">
        <v>0.79511870762874548</v>
      </c>
    </row>
    <row r="147" spans="1:7">
      <c r="A147" s="36" t="s">
        <v>1013</v>
      </c>
      <c r="B147" s="36" t="s">
        <v>1014</v>
      </c>
      <c r="C147" s="37">
        <v>2513313732</v>
      </c>
      <c r="D147" s="37">
        <v>1785508725</v>
      </c>
      <c r="E147" s="37">
        <v>727805007</v>
      </c>
      <c r="F147" s="37">
        <v>37782153</v>
      </c>
      <c r="G147" s="38">
        <v>0.71042015259239433</v>
      </c>
    </row>
    <row r="148" spans="1:7">
      <c r="A148" s="36" t="s">
        <v>1017</v>
      </c>
      <c r="B148" s="36" t="s">
        <v>1018</v>
      </c>
      <c r="C148" s="37">
        <v>2283937183</v>
      </c>
      <c r="D148" s="37">
        <v>1727264005</v>
      </c>
      <c r="E148" s="37">
        <v>556673178</v>
      </c>
      <c r="F148" s="37">
        <v>46684765</v>
      </c>
      <c r="G148" s="38">
        <v>0.75626598570946779</v>
      </c>
    </row>
    <row r="149" spans="1:7">
      <c r="A149" s="36" t="s">
        <v>1022</v>
      </c>
      <c r="B149" s="36" t="s">
        <v>1023</v>
      </c>
      <c r="C149" s="37">
        <v>2162300345</v>
      </c>
      <c r="D149" s="37">
        <v>1308752953</v>
      </c>
      <c r="E149" s="37">
        <v>853547392</v>
      </c>
      <c r="F149" s="37">
        <v>51892140</v>
      </c>
      <c r="G149" s="38">
        <v>0.60525955888889249</v>
      </c>
    </row>
    <row r="150" spans="1:7">
      <c r="A150" s="36" t="s">
        <v>1026</v>
      </c>
      <c r="B150" s="36" t="s">
        <v>1027</v>
      </c>
      <c r="C150" s="37">
        <v>2413263582</v>
      </c>
      <c r="D150" s="37">
        <v>1209186096</v>
      </c>
      <c r="E150" s="37">
        <v>1204077486</v>
      </c>
      <c r="F150" s="37">
        <v>76474987</v>
      </c>
      <c r="G150" s="38">
        <v>0.5010584442657039</v>
      </c>
    </row>
    <row r="151" spans="1:7">
      <c r="A151" s="36" t="s">
        <v>1030</v>
      </c>
      <c r="B151" s="36" t="s">
        <v>1031</v>
      </c>
      <c r="C151" s="37">
        <v>2987327049</v>
      </c>
      <c r="D151" s="37">
        <v>2001050243</v>
      </c>
      <c r="E151" s="37">
        <v>986276806</v>
      </c>
      <c r="F151" s="37">
        <v>47530609</v>
      </c>
      <c r="G151" s="38">
        <v>0.66984639116425049</v>
      </c>
    </row>
    <row r="152" spans="1:7">
      <c r="A152" s="36" t="s">
        <v>1038</v>
      </c>
      <c r="B152" s="36" t="s">
        <v>1039</v>
      </c>
      <c r="C152" s="37">
        <v>1025088834</v>
      </c>
      <c r="D152" s="37">
        <v>676876182</v>
      </c>
      <c r="E152" s="37">
        <v>348212652</v>
      </c>
      <c r="F152" s="37">
        <v>26792416</v>
      </c>
      <c r="G152" s="38">
        <v>0.66030977955223735</v>
      </c>
    </row>
    <row r="153" spans="1:7">
      <c r="A153" s="36" t="s">
        <v>941</v>
      </c>
      <c r="B153" s="36" t="s">
        <v>2300</v>
      </c>
      <c r="C153" s="37">
        <v>89281500</v>
      </c>
      <c r="D153" s="37">
        <v>27062360</v>
      </c>
      <c r="E153" s="37">
        <v>62219140</v>
      </c>
      <c r="F153" s="37">
        <v>3382795</v>
      </c>
      <c r="G153" s="38">
        <v>0.3031127389212771</v>
      </c>
    </row>
    <row r="154" spans="1:7">
      <c r="A154" s="36" t="s">
        <v>949</v>
      </c>
      <c r="B154" s="36" t="s">
        <v>2301</v>
      </c>
      <c r="C154" s="37">
        <v>35371556</v>
      </c>
      <c r="D154" s="37">
        <v>0</v>
      </c>
      <c r="E154" s="37">
        <v>35371556</v>
      </c>
      <c r="F154" s="37">
        <v>0</v>
      </c>
      <c r="G154" s="38">
        <v>0</v>
      </c>
    </row>
    <row r="155" spans="1:7">
      <c r="A155" s="36" t="s">
        <v>952</v>
      </c>
      <c r="B155" s="36" t="s">
        <v>2302</v>
      </c>
      <c r="C155" s="37">
        <v>9180000</v>
      </c>
      <c r="D155" s="37">
        <v>9179999</v>
      </c>
      <c r="E155" s="37">
        <v>1</v>
      </c>
      <c r="F155" s="37">
        <v>0</v>
      </c>
      <c r="G155" s="38">
        <v>0.99999989106753817</v>
      </c>
    </row>
    <row r="156" spans="1:7">
      <c r="A156" s="36" t="s">
        <v>954</v>
      </c>
      <c r="B156" s="36" t="s">
        <v>2303</v>
      </c>
      <c r="C156" s="37">
        <v>0</v>
      </c>
      <c r="D156" s="37">
        <v>0</v>
      </c>
      <c r="E156" s="37">
        <v>0</v>
      </c>
      <c r="F156" s="37">
        <v>0</v>
      </c>
      <c r="G156" s="38" t="s">
        <v>66</v>
      </c>
    </row>
    <row r="157" spans="1:7">
      <c r="A157" s="36" t="s">
        <v>956</v>
      </c>
      <c r="B157" s="36" t="s">
        <v>2304</v>
      </c>
      <c r="C157" s="37">
        <v>0</v>
      </c>
      <c r="D157" s="37">
        <v>0</v>
      </c>
      <c r="E157" s="37">
        <v>0</v>
      </c>
      <c r="F157" s="37">
        <v>0</v>
      </c>
      <c r="G157" s="38" t="s">
        <v>66</v>
      </c>
    </row>
    <row r="158" spans="1:7">
      <c r="A158" s="36" t="s">
        <v>958</v>
      </c>
      <c r="B158" s="36" t="s">
        <v>2305</v>
      </c>
      <c r="C158" s="37">
        <v>0</v>
      </c>
      <c r="D158" s="37">
        <v>0</v>
      </c>
      <c r="E158" s="37">
        <v>0</v>
      </c>
      <c r="F158" s="37">
        <v>0</v>
      </c>
      <c r="G158" s="38" t="s">
        <v>66</v>
      </c>
    </row>
    <row r="159" spans="1:7">
      <c r="A159" s="36" t="s">
        <v>960</v>
      </c>
      <c r="B159" s="36" t="s">
        <v>2306</v>
      </c>
      <c r="C159" s="37">
        <v>0</v>
      </c>
      <c r="D159" s="37">
        <v>0</v>
      </c>
      <c r="E159" s="37">
        <v>0</v>
      </c>
      <c r="F159" s="37">
        <v>0</v>
      </c>
      <c r="G159" s="38" t="s">
        <v>66</v>
      </c>
    </row>
    <row r="160" spans="1:7">
      <c r="A160" s="36" t="s">
        <v>962</v>
      </c>
      <c r="B160" s="36" t="s">
        <v>2307</v>
      </c>
      <c r="C160" s="37">
        <v>21835020</v>
      </c>
      <c r="D160" s="37">
        <v>11158240</v>
      </c>
      <c r="E160" s="37">
        <v>10676780</v>
      </c>
      <c r="F160" s="37">
        <v>815362</v>
      </c>
      <c r="G160" s="38">
        <v>0.51102494982830338</v>
      </c>
    </row>
    <row r="161" spans="1:7">
      <c r="A161" s="36" t="s">
        <v>964</v>
      </c>
      <c r="B161" s="36" t="s">
        <v>2308</v>
      </c>
      <c r="C161" s="37">
        <v>31920000</v>
      </c>
      <c r="D161" s="37">
        <v>13342560</v>
      </c>
      <c r="E161" s="37">
        <v>18577440</v>
      </c>
      <c r="F161" s="37">
        <v>1212960</v>
      </c>
      <c r="G161" s="38">
        <v>0.41799999999999998</v>
      </c>
    </row>
    <row r="162" spans="1:7">
      <c r="A162" s="36" t="s">
        <v>967</v>
      </c>
      <c r="B162" s="36" t="s">
        <v>2309</v>
      </c>
      <c r="C162" s="37">
        <v>22912998</v>
      </c>
      <c r="D162" s="37">
        <v>10792638</v>
      </c>
      <c r="E162" s="37">
        <v>12120360</v>
      </c>
      <c r="F162" s="37">
        <v>907756</v>
      </c>
      <c r="G162" s="38">
        <v>0.47102688177252056</v>
      </c>
    </row>
    <row r="163" spans="1:7">
      <c r="A163" s="36" t="s">
        <v>969</v>
      </c>
      <c r="B163" s="36" t="s">
        <v>909</v>
      </c>
      <c r="C163" s="37">
        <v>0</v>
      </c>
      <c r="D163" s="37">
        <v>0</v>
      </c>
      <c r="E163" s="37">
        <v>0</v>
      </c>
      <c r="F163" s="37">
        <v>0</v>
      </c>
      <c r="G163" s="38" t="s">
        <v>66</v>
      </c>
    </row>
    <row r="164" spans="1:7">
      <c r="A164" s="36" t="s">
        <v>972</v>
      </c>
      <c r="B164" s="36" t="s">
        <v>914</v>
      </c>
      <c r="C164" s="37">
        <v>0</v>
      </c>
      <c r="D164" s="37">
        <v>0</v>
      </c>
      <c r="E164" s="37">
        <v>0</v>
      </c>
      <c r="F164" s="37">
        <v>0</v>
      </c>
      <c r="G164" s="38" t="s">
        <v>66</v>
      </c>
    </row>
    <row r="165" spans="1:7">
      <c r="A165" s="36" t="s">
        <v>975</v>
      </c>
      <c r="B165" s="36" t="s">
        <v>919</v>
      </c>
      <c r="C165" s="37">
        <v>0</v>
      </c>
      <c r="D165" s="37">
        <v>0</v>
      </c>
      <c r="E165" s="37">
        <v>0</v>
      </c>
      <c r="F165" s="37">
        <v>0</v>
      </c>
      <c r="G165" s="38" t="s">
        <v>66</v>
      </c>
    </row>
    <row r="166" spans="1:7">
      <c r="A166" s="36" t="s">
        <v>978</v>
      </c>
      <c r="B166" s="36" t="s">
        <v>924</v>
      </c>
      <c r="C166" s="37">
        <v>0</v>
      </c>
      <c r="D166" s="37">
        <v>0</v>
      </c>
      <c r="E166" s="37">
        <v>0</v>
      </c>
      <c r="F166" s="37">
        <v>0</v>
      </c>
      <c r="G166" s="38" t="s">
        <v>66</v>
      </c>
    </row>
    <row r="167" spans="1:7">
      <c r="A167" s="36" t="s">
        <v>981</v>
      </c>
      <c r="B167" s="36" t="s">
        <v>929</v>
      </c>
      <c r="C167" s="37">
        <v>32529000</v>
      </c>
      <c r="D167" s="37">
        <v>14772650</v>
      </c>
      <c r="E167" s="37">
        <v>17756350</v>
      </c>
      <c r="F167" s="37">
        <v>1477265</v>
      </c>
      <c r="G167" s="38">
        <v>0.45413784622951825</v>
      </c>
    </row>
    <row r="168" spans="1:7">
      <c r="A168" s="36" t="s">
        <v>983</v>
      </c>
      <c r="B168" s="36" t="s">
        <v>934</v>
      </c>
      <c r="C168" s="37">
        <v>0</v>
      </c>
      <c r="D168" s="37">
        <v>0</v>
      </c>
      <c r="E168" s="37">
        <v>0</v>
      </c>
      <c r="F168" s="37">
        <v>0</v>
      </c>
      <c r="G168" s="38" t="s">
        <v>66</v>
      </c>
    </row>
    <row r="169" spans="1:7">
      <c r="A169" s="36" t="s">
        <v>986</v>
      </c>
      <c r="B169" s="36" t="s">
        <v>939</v>
      </c>
      <c r="C169" s="37">
        <v>0</v>
      </c>
      <c r="D169" s="37">
        <v>0</v>
      </c>
      <c r="E169" s="37">
        <v>0</v>
      </c>
      <c r="F169" s="37">
        <v>0</v>
      </c>
      <c r="G169" s="38" t="s">
        <v>66</v>
      </c>
    </row>
    <row r="170" spans="1:7">
      <c r="A170" s="36" t="s">
        <v>1044</v>
      </c>
      <c r="B170" s="36" t="s">
        <v>1045</v>
      </c>
      <c r="C170" s="37">
        <v>1720118700</v>
      </c>
      <c r="D170" s="37">
        <v>1193453843</v>
      </c>
      <c r="E170" s="37">
        <v>526664857</v>
      </c>
      <c r="F170" s="37">
        <v>49641535</v>
      </c>
      <c r="G170" s="38">
        <v>0.69382063168082531</v>
      </c>
    </row>
    <row r="171" spans="1:7">
      <c r="A171" s="40" t="s">
        <v>2138</v>
      </c>
      <c r="B171" s="36" t="s">
        <v>2310</v>
      </c>
      <c r="C171" s="37">
        <v>1826821087</v>
      </c>
      <c r="D171" s="37">
        <v>285464510</v>
      </c>
      <c r="E171" s="37">
        <v>1541356577</v>
      </c>
      <c r="F171" s="37">
        <v>94823923</v>
      </c>
      <c r="G171" s="38">
        <f>D171/C171</f>
        <v>0.15626298165234612</v>
      </c>
    </row>
    <row r="172" spans="1:7">
      <c r="A172" s="36" t="s">
        <v>1055</v>
      </c>
      <c r="B172" s="36" t="s">
        <v>1056</v>
      </c>
      <c r="C172" s="37">
        <v>168615450</v>
      </c>
      <c r="D172" s="37">
        <v>165337559</v>
      </c>
      <c r="E172" s="37">
        <v>3277891</v>
      </c>
      <c r="F172" s="37">
        <v>76230</v>
      </c>
      <c r="G172" s="38">
        <v>0.9805599605492854</v>
      </c>
    </row>
    <row r="173" spans="1:7">
      <c r="A173" s="36" t="s">
        <v>1068</v>
      </c>
      <c r="B173" s="36" t="s">
        <v>1069</v>
      </c>
      <c r="C173" s="37">
        <v>179099400</v>
      </c>
      <c r="D173" s="37">
        <v>126190350</v>
      </c>
      <c r="E173" s="37">
        <v>52909050</v>
      </c>
      <c r="F173" s="37">
        <v>3940186</v>
      </c>
      <c r="G173" s="38">
        <v>0.70458276242131468</v>
      </c>
    </row>
    <row r="174" spans="1:7">
      <c r="A174" s="36" t="s">
        <v>1071</v>
      </c>
      <c r="B174" s="36" t="s">
        <v>1072</v>
      </c>
      <c r="C174" s="37">
        <v>443194500</v>
      </c>
      <c r="D174" s="37">
        <v>122258464</v>
      </c>
      <c r="E174" s="37">
        <v>320936036</v>
      </c>
      <c r="F174" s="37">
        <v>15282308</v>
      </c>
      <c r="G174" s="38">
        <v>0.27585735833815628</v>
      </c>
    </row>
    <row r="175" spans="1:7">
      <c r="A175" s="36" t="s">
        <v>1077</v>
      </c>
      <c r="B175" s="36" t="s">
        <v>1078</v>
      </c>
      <c r="C175" s="37">
        <v>150148846</v>
      </c>
      <c r="D175" s="37">
        <v>111871416</v>
      </c>
      <c r="E175" s="37">
        <v>38277430</v>
      </c>
      <c r="F175" s="37">
        <v>1406018</v>
      </c>
      <c r="G175" s="38">
        <v>0.74507010197068047</v>
      </c>
    </row>
    <row r="176" spans="1:7">
      <c r="A176" s="36" t="s">
        <v>1083</v>
      </c>
      <c r="B176" s="36" t="s">
        <v>1084</v>
      </c>
      <c r="C176" s="37">
        <v>168189900</v>
      </c>
      <c r="D176" s="37">
        <v>163449863</v>
      </c>
      <c r="E176" s="37">
        <v>4740037</v>
      </c>
      <c r="F176" s="37">
        <v>2164577</v>
      </c>
      <c r="G176" s="38">
        <v>0.97181735050677831</v>
      </c>
    </row>
    <row r="177" spans="1:7">
      <c r="A177" s="36" t="s">
        <v>1088</v>
      </c>
      <c r="B177" s="36" t="s">
        <v>1089</v>
      </c>
      <c r="C177" s="37">
        <v>374673600</v>
      </c>
      <c r="D177" s="37">
        <v>68768045</v>
      </c>
      <c r="E177" s="37">
        <v>305905555</v>
      </c>
      <c r="F177" s="37">
        <v>13753609</v>
      </c>
      <c r="G177" s="38">
        <v>0.18354120760042875</v>
      </c>
    </row>
    <row r="178" spans="1:7">
      <c r="A178" s="36" t="s">
        <v>1092</v>
      </c>
      <c r="B178" s="36" t="s">
        <v>1093</v>
      </c>
      <c r="C178" s="37">
        <v>289785021</v>
      </c>
      <c r="D178" s="37">
        <v>165053814</v>
      </c>
      <c r="E178" s="37">
        <v>124731207</v>
      </c>
      <c r="F178" s="37">
        <v>2426775</v>
      </c>
      <c r="G178" s="38">
        <v>0.56957331138244027</v>
      </c>
    </row>
    <row r="179" spans="1:7">
      <c r="A179" s="36" t="s">
        <v>1104</v>
      </c>
      <c r="B179" s="36" t="s">
        <v>1105</v>
      </c>
      <c r="C179" s="37">
        <v>150144649</v>
      </c>
      <c r="D179" s="37">
        <v>126327390</v>
      </c>
      <c r="E179" s="37">
        <v>23817259</v>
      </c>
      <c r="F179" s="37">
        <v>1911416</v>
      </c>
      <c r="G179" s="38">
        <v>0.84137124327354484</v>
      </c>
    </row>
    <row r="180" spans="1:7">
      <c r="A180" s="36" t="s">
        <v>1108</v>
      </c>
      <c r="B180" s="36" t="s">
        <v>1109</v>
      </c>
      <c r="C180" s="37">
        <v>102380125</v>
      </c>
      <c r="D180" s="37">
        <v>89219916</v>
      </c>
      <c r="E180" s="37">
        <v>13160209</v>
      </c>
      <c r="F180" s="37">
        <v>859424</v>
      </c>
      <c r="G180" s="38">
        <v>0.87145738491723856</v>
      </c>
    </row>
    <row r="181" spans="1:7">
      <c r="A181" s="36" t="s">
        <v>1113</v>
      </c>
      <c r="B181" s="36" t="s">
        <v>1114</v>
      </c>
      <c r="C181" s="37">
        <v>128270400</v>
      </c>
      <c r="D181" s="37">
        <v>123537797</v>
      </c>
      <c r="E181" s="37">
        <v>4732603</v>
      </c>
      <c r="F181" s="37">
        <v>129822</v>
      </c>
      <c r="G181" s="38">
        <v>0.9631044808467113</v>
      </c>
    </row>
    <row r="182" spans="1:7">
      <c r="A182" s="36" t="s">
        <v>1117</v>
      </c>
      <c r="B182" s="36" t="s">
        <v>1118</v>
      </c>
      <c r="C182" s="37">
        <v>167451950</v>
      </c>
      <c r="D182" s="37">
        <v>154749897</v>
      </c>
      <c r="E182" s="37">
        <v>12702053</v>
      </c>
      <c r="F182" s="37">
        <v>1883806</v>
      </c>
      <c r="G182" s="38">
        <v>0.92414508759079839</v>
      </c>
    </row>
    <row r="183" spans="1:7">
      <c r="A183" s="36" t="s">
        <v>1121</v>
      </c>
      <c r="B183" s="36" t="s">
        <v>1122</v>
      </c>
      <c r="C183" s="37">
        <v>189117709</v>
      </c>
      <c r="D183" s="37">
        <v>140918615</v>
      </c>
      <c r="E183" s="37">
        <v>48199094</v>
      </c>
      <c r="F183" s="37">
        <v>5160179</v>
      </c>
      <c r="G183" s="38">
        <v>0.74513706698932147</v>
      </c>
    </row>
    <row r="184" spans="1:7">
      <c r="A184" s="36" t="s">
        <v>1125</v>
      </c>
      <c r="B184" s="36" t="s">
        <v>1126</v>
      </c>
      <c r="C184" s="37">
        <v>155127920</v>
      </c>
      <c r="D184" s="37">
        <v>122857450</v>
      </c>
      <c r="E184" s="37">
        <v>32270470</v>
      </c>
      <c r="F184" s="37">
        <v>3287650</v>
      </c>
      <c r="G184" s="38">
        <v>0.79197510029142404</v>
      </c>
    </row>
    <row r="185" spans="1:7">
      <c r="A185" s="36" t="s">
        <v>1129</v>
      </c>
      <c r="B185" s="36" t="s">
        <v>1130</v>
      </c>
      <c r="C185" s="37">
        <v>101856414</v>
      </c>
      <c r="D185" s="37">
        <v>74210830</v>
      </c>
      <c r="E185" s="37">
        <v>27645584</v>
      </c>
      <c r="F185" s="37">
        <v>1878233</v>
      </c>
      <c r="G185" s="38">
        <v>0.7285827871379803</v>
      </c>
    </row>
    <row r="186" spans="1:7">
      <c r="A186" s="36" t="s">
        <v>2198</v>
      </c>
      <c r="B186" s="36" t="s">
        <v>2311</v>
      </c>
      <c r="C186" s="37">
        <v>1151273701</v>
      </c>
      <c r="D186" s="37">
        <v>38994532</v>
      </c>
      <c r="E186" s="37">
        <v>1112279169</v>
      </c>
      <c r="F186" s="37">
        <v>38994532</v>
      </c>
      <c r="G186" s="38">
        <v>3.3870774574394628E-2</v>
      </c>
    </row>
    <row r="187" spans="1:7">
      <c r="A187" s="36" t="s">
        <v>2199</v>
      </c>
      <c r="B187" s="36" t="s">
        <v>2312</v>
      </c>
      <c r="C187" s="37">
        <v>908998395</v>
      </c>
      <c r="D187" s="37">
        <v>63563692</v>
      </c>
      <c r="E187" s="37">
        <v>845434703</v>
      </c>
      <c r="F187" s="37">
        <v>63563692</v>
      </c>
      <c r="G187" s="38">
        <v>6.9927177374169078E-2</v>
      </c>
    </row>
    <row r="188" spans="1:7">
      <c r="A188" s="36" t="s">
        <v>2313</v>
      </c>
      <c r="B188" s="36" t="s">
        <v>2314</v>
      </c>
      <c r="C188" s="37">
        <v>431049813</v>
      </c>
      <c r="D188" s="37">
        <v>15703965</v>
      </c>
      <c r="E188" s="37">
        <v>415345848</v>
      </c>
      <c r="F188" s="37">
        <v>15703965</v>
      </c>
      <c r="G188" s="38">
        <v>3.6431903057106765E-2</v>
      </c>
    </row>
    <row r="189" spans="1:7">
      <c r="A189" s="36" t="s">
        <v>1133</v>
      </c>
      <c r="B189" s="36" t="s">
        <v>1134</v>
      </c>
      <c r="C189" s="37">
        <v>570874500</v>
      </c>
      <c r="D189" s="37">
        <v>216932310</v>
      </c>
      <c r="E189" s="37">
        <v>353942190</v>
      </c>
      <c r="F189" s="37">
        <v>11417490</v>
      </c>
      <c r="G189" s="38">
        <v>0.38</v>
      </c>
    </row>
    <row r="190" spans="1:7">
      <c r="A190" s="36" t="s">
        <v>1146</v>
      </c>
      <c r="B190" s="36" t="s">
        <v>1147</v>
      </c>
      <c r="C190" s="37">
        <v>983773690</v>
      </c>
      <c r="D190" s="37">
        <v>596081047</v>
      </c>
      <c r="E190" s="37">
        <v>387692643</v>
      </c>
      <c r="F190" s="37">
        <v>21969300</v>
      </c>
      <c r="G190" s="38">
        <v>0.60591277552868894</v>
      </c>
    </row>
    <row r="191" spans="1:7">
      <c r="A191" s="36" t="s">
        <v>1156</v>
      </c>
      <c r="B191" s="36" t="s">
        <v>1157</v>
      </c>
      <c r="C191" s="37">
        <v>349755000</v>
      </c>
      <c r="D191" s="37">
        <v>153892200</v>
      </c>
      <c r="E191" s="37">
        <v>195862800</v>
      </c>
      <c r="F191" s="37">
        <v>6995100</v>
      </c>
      <c r="G191" s="38">
        <v>0.44</v>
      </c>
    </row>
    <row r="192" spans="1:7">
      <c r="A192" s="36" t="s">
        <v>1165</v>
      </c>
      <c r="B192" s="36" t="s">
        <v>1166</v>
      </c>
      <c r="C192" s="37">
        <v>68490750</v>
      </c>
      <c r="D192" s="37">
        <v>53422785</v>
      </c>
      <c r="E192" s="37">
        <v>15067965</v>
      </c>
      <c r="F192" s="37">
        <v>1369815</v>
      </c>
      <c r="G192" s="38">
        <v>0.78</v>
      </c>
    </row>
    <row r="193" spans="1:7">
      <c r="A193" s="36" t="s">
        <v>1171</v>
      </c>
      <c r="B193" s="36" t="s">
        <v>1172</v>
      </c>
      <c r="C193" s="37">
        <v>486488454</v>
      </c>
      <c r="D193" s="37">
        <v>263367104</v>
      </c>
      <c r="E193" s="37">
        <v>223121350</v>
      </c>
      <c r="F193" s="37">
        <v>11884420</v>
      </c>
      <c r="G193" s="38">
        <v>0.54136352432323087</v>
      </c>
    </row>
    <row r="194" spans="1:7">
      <c r="A194" s="36" t="s">
        <v>1178</v>
      </c>
      <c r="B194" s="36" t="s">
        <v>1179</v>
      </c>
      <c r="C194" s="37">
        <v>1275094282</v>
      </c>
      <c r="D194" s="37">
        <v>633629990</v>
      </c>
      <c r="E194" s="37">
        <v>641464292</v>
      </c>
      <c r="F194" s="37">
        <v>28494401</v>
      </c>
      <c r="G194" s="38">
        <v>0.49692795187360111</v>
      </c>
    </row>
    <row r="195" spans="1:7">
      <c r="A195" s="36" t="s">
        <v>1190</v>
      </c>
      <c r="B195" s="36" t="s">
        <v>1191</v>
      </c>
      <c r="C195" s="37">
        <v>411880500</v>
      </c>
      <c r="D195" s="37">
        <v>175656360</v>
      </c>
      <c r="E195" s="37">
        <v>236224140</v>
      </c>
      <c r="F195" s="37">
        <v>8237610</v>
      </c>
      <c r="G195" s="38">
        <v>0.4264740865372359</v>
      </c>
    </row>
    <row r="196" spans="1:7">
      <c r="A196" s="36" t="s">
        <v>1199</v>
      </c>
      <c r="B196" s="36" t="s">
        <v>1200</v>
      </c>
      <c r="C196" s="37">
        <v>987403656</v>
      </c>
      <c r="D196" s="37">
        <v>176245845</v>
      </c>
      <c r="E196" s="37">
        <v>811157811</v>
      </c>
      <c r="F196" s="37">
        <v>35249169</v>
      </c>
      <c r="G196" s="38">
        <v>0.17849421959199227</v>
      </c>
    </row>
    <row r="197" spans="1:7">
      <c r="A197" s="36" t="s">
        <v>1205</v>
      </c>
      <c r="B197" s="36" t="s">
        <v>1206</v>
      </c>
      <c r="C197" s="37">
        <v>1937809500</v>
      </c>
      <c r="D197" s="37">
        <v>971018364</v>
      </c>
      <c r="E197" s="37">
        <v>966791136</v>
      </c>
      <c r="F197" s="37">
        <v>42631807</v>
      </c>
      <c r="G197" s="38">
        <v>0.50109072331413385</v>
      </c>
    </row>
    <row r="198" spans="1:7">
      <c r="A198" s="36" t="s">
        <v>1217</v>
      </c>
      <c r="B198" s="36" t="s">
        <v>1218</v>
      </c>
      <c r="C198" s="37">
        <v>618571400</v>
      </c>
      <c r="D198" s="37">
        <v>298645846</v>
      </c>
      <c r="E198" s="37">
        <v>319925554</v>
      </c>
      <c r="F198" s="37">
        <v>13608570</v>
      </c>
      <c r="G198" s="38">
        <v>0.48279931144569566</v>
      </c>
    </row>
    <row r="199" spans="1:7">
      <c r="A199" s="36" t="s">
        <v>1222</v>
      </c>
      <c r="B199" s="36" t="s">
        <v>1223</v>
      </c>
      <c r="C199" s="37">
        <v>1477623040</v>
      </c>
      <c r="D199" s="37">
        <v>1246538047</v>
      </c>
      <c r="E199" s="37">
        <v>231084993</v>
      </c>
      <c r="F199" s="37">
        <v>18137338</v>
      </c>
      <c r="G199" s="38">
        <v>0.8436103209381467</v>
      </c>
    </row>
    <row r="200" spans="1:7">
      <c r="A200" s="36" t="s">
        <v>1226</v>
      </c>
      <c r="B200" s="36" t="s">
        <v>1227</v>
      </c>
      <c r="C200" s="37">
        <v>429539528</v>
      </c>
      <c r="D200" s="37">
        <v>403704052</v>
      </c>
      <c r="E200" s="37">
        <v>25835476</v>
      </c>
      <c r="F200" s="37">
        <v>760179</v>
      </c>
      <c r="G200" s="38">
        <v>0.93985308844498239</v>
      </c>
    </row>
    <row r="201" spans="1:7">
      <c r="A201" s="36" t="s">
        <v>1229</v>
      </c>
      <c r="B201" s="36" t="s">
        <v>1230</v>
      </c>
      <c r="C201" s="37">
        <v>267523400</v>
      </c>
      <c r="D201" s="37">
        <v>245896276</v>
      </c>
      <c r="E201" s="37">
        <v>21627124</v>
      </c>
      <c r="F201" s="37">
        <v>557977</v>
      </c>
      <c r="G201" s="38">
        <v>0.91915801010304143</v>
      </c>
    </row>
    <row r="202" spans="1:7">
      <c r="A202" s="36" t="s">
        <v>1232</v>
      </c>
      <c r="B202" s="36" t="s">
        <v>1233</v>
      </c>
      <c r="C202" s="37">
        <v>504845819</v>
      </c>
      <c r="D202" s="37">
        <v>480036323</v>
      </c>
      <c r="E202" s="37">
        <v>24809496</v>
      </c>
      <c r="F202" s="37">
        <v>1158706</v>
      </c>
      <c r="G202" s="38">
        <v>0.95085728143863268</v>
      </c>
    </row>
    <row r="203" spans="1:7">
      <c r="A203" s="36" t="s">
        <v>1236</v>
      </c>
      <c r="B203" s="36" t="s">
        <v>1237</v>
      </c>
      <c r="C203" s="37">
        <v>2089611572</v>
      </c>
      <c r="D203" s="37">
        <v>1977178433</v>
      </c>
      <c r="E203" s="37">
        <v>112433139</v>
      </c>
      <c r="F203" s="37">
        <v>4897184</v>
      </c>
      <c r="G203" s="38">
        <v>0.94619423987378259</v>
      </c>
    </row>
    <row r="204" spans="1:7">
      <c r="A204" s="36" t="s">
        <v>1239</v>
      </c>
      <c r="B204" s="36" t="s">
        <v>1240</v>
      </c>
      <c r="C204" s="37">
        <v>1414823070</v>
      </c>
      <c r="D204" s="37">
        <v>1195114063</v>
      </c>
      <c r="E204" s="37">
        <v>219709007</v>
      </c>
      <c r="F204" s="37">
        <v>11502202</v>
      </c>
      <c r="G204" s="38">
        <v>0.84470919957503943</v>
      </c>
    </row>
    <row r="205" spans="1:7">
      <c r="A205" s="36" t="s">
        <v>1242</v>
      </c>
      <c r="B205" s="36" t="s">
        <v>1243</v>
      </c>
      <c r="C205" s="37">
        <v>158568950</v>
      </c>
      <c r="D205" s="37">
        <v>148935322</v>
      </c>
      <c r="E205" s="37">
        <v>9633628</v>
      </c>
      <c r="F205" s="37">
        <v>264264</v>
      </c>
      <c r="G205" s="38">
        <v>0.9392464413745566</v>
      </c>
    </row>
    <row r="206" spans="1:7">
      <c r="A206" s="36" t="s">
        <v>1246</v>
      </c>
      <c r="B206" s="36" t="s">
        <v>1247</v>
      </c>
      <c r="C206" s="37">
        <v>1048265870</v>
      </c>
      <c r="D206" s="37">
        <v>962758737</v>
      </c>
      <c r="E206" s="37">
        <v>85507133</v>
      </c>
      <c r="F206" s="37">
        <v>2996122</v>
      </c>
      <c r="G206" s="38">
        <v>0.91842991797491225</v>
      </c>
    </row>
    <row r="207" spans="1:7">
      <c r="A207" s="36" t="s">
        <v>1250</v>
      </c>
      <c r="B207" s="36" t="s">
        <v>1251</v>
      </c>
      <c r="C207" s="37">
        <v>228231000</v>
      </c>
      <c r="D207" s="37">
        <v>219074789</v>
      </c>
      <c r="E207" s="37">
        <v>9156211</v>
      </c>
      <c r="F207" s="37">
        <v>318780</v>
      </c>
      <c r="G207" s="38">
        <v>0.95988182586940429</v>
      </c>
    </row>
    <row r="208" spans="1:7">
      <c r="A208" s="36" t="s">
        <v>1255</v>
      </c>
      <c r="B208" s="36" t="s">
        <v>1256</v>
      </c>
      <c r="C208" s="37">
        <v>86600550</v>
      </c>
      <c r="D208" s="37">
        <v>80560629</v>
      </c>
      <c r="E208" s="37">
        <v>6039921</v>
      </c>
      <c r="F208" s="37">
        <v>206745</v>
      </c>
      <c r="G208" s="38">
        <v>0.93025539676133695</v>
      </c>
    </row>
    <row r="209" spans="1:7">
      <c r="A209" s="36" t="s">
        <v>1259</v>
      </c>
      <c r="B209" s="36" t="s">
        <v>1260</v>
      </c>
      <c r="C209" s="37">
        <v>259260220</v>
      </c>
      <c r="D209" s="37">
        <v>230537633</v>
      </c>
      <c r="E209" s="37">
        <v>28722587</v>
      </c>
      <c r="F209" s="37">
        <v>3111163</v>
      </c>
      <c r="G209" s="38">
        <v>0.88921328925818233</v>
      </c>
    </row>
    <row r="210" spans="1:7">
      <c r="A210" s="36" t="s">
        <v>1264</v>
      </c>
      <c r="B210" s="36" t="s">
        <v>1265</v>
      </c>
      <c r="C210" s="37">
        <v>641224350</v>
      </c>
      <c r="D210" s="37">
        <v>594200722</v>
      </c>
      <c r="E210" s="37">
        <v>47023628</v>
      </c>
      <c r="F210" s="37">
        <v>3355356</v>
      </c>
      <c r="G210" s="38">
        <v>0.92666587287273172</v>
      </c>
    </row>
    <row r="211" spans="1:7">
      <c r="A211" s="36" t="s">
        <v>1268</v>
      </c>
      <c r="B211" s="36" t="s">
        <v>1269</v>
      </c>
      <c r="C211" s="37">
        <v>755720017</v>
      </c>
      <c r="D211" s="37">
        <v>570833567</v>
      </c>
      <c r="E211" s="37">
        <v>184886450</v>
      </c>
      <c r="F211" s="37">
        <v>12833868</v>
      </c>
      <c r="G211" s="38">
        <v>0.75535059831556639</v>
      </c>
    </row>
    <row r="212" spans="1:7">
      <c r="A212" s="36" t="s">
        <v>1271</v>
      </c>
      <c r="B212" s="36" t="s">
        <v>1272</v>
      </c>
      <c r="C212" s="37">
        <v>244196309</v>
      </c>
      <c r="D212" s="37">
        <v>219040433</v>
      </c>
      <c r="E212" s="37">
        <v>25155876</v>
      </c>
      <c r="F212" s="37">
        <v>5244489</v>
      </c>
      <c r="G212" s="38">
        <v>0.89698502773029221</v>
      </c>
    </row>
    <row r="213" spans="1:7">
      <c r="A213" s="36" t="s">
        <v>1275</v>
      </c>
      <c r="B213" s="36" t="s">
        <v>1276</v>
      </c>
      <c r="C213" s="37">
        <v>240302024</v>
      </c>
      <c r="D213" s="37">
        <v>176666365</v>
      </c>
      <c r="E213" s="37">
        <v>63635659</v>
      </c>
      <c r="F213" s="37">
        <v>5307498</v>
      </c>
      <c r="G213" s="38">
        <v>0.7351846732676709</v>
      </c>
    </row>
    <row r="214" spans="1:7">
      <c r="A214" s="36" t="s">
        <v>1279</v>
      </c>
      <c r="B214" s="36" t="s">
        <v>1280</v>
      </c>
      <c r="C214" s="37">
        <v>343118100</v>
      </c>
      <c r="D214" s="37">
        <v>221904570</v>
      </c>
      <c r="E214" s="37">
        <v>121213530</v>
      </c>
      <c r="F214" s="37">
        <v>7548598</v>
      </c>
      <c r="G214" s="38">
        <v>0.64672942056976879</v>
      </c>
    </row>
    <row r="215" spans="1:7">
      <c r="A215" s="36" t="s">
        <v>1283</v>
      </c>
      <c r="B215" s="36" t="s">
        <v>1284</v>
      </c>
      <c r="C215" s="37">
        <v>1067585270</v>
      </c>
      <c r="D215" s="37">
        <v>567814143</v>
      </c>
      <c r="E215" s="37">
        <v>499771127</v>
      </c>
      <c r="F215" s="37">
        <v>23486875</v>
      </c>
      <c r="G215" s="38">
        <v>0.5318677195686673</v>
      </c>
    </row>
    <row r="216" spans="1:7">
      <c r="A216" s="36" t="s">
        <v>1287</v>
      </c>
      <c r="B216" s="36" t="s">
        <v>1288</v>
      </c>
      <c r="C216" s="37">
        <v>2173352299</v>
      </c>
      <c r="D216" s="37">
        <v>1061268651</v>
      </c>
      <c r="E216" s="37">
        <v>1112083648</v>
      </c>
      <c r="F216" s="37">
        <v>47961040</v>
      </c>
      <c r="G216" s="38">
        <v>0.48830953522275683</v>
      </c>
    </row>
    <row r="217" spans="1:7">
      <c r="A217" s="36" t="s">
        <v>1291</v>
      </c>
      <c r="B217" s="36" t="s">
        <v>1292</v>
      </c>
      <c r="C217" s="37">
        <v>1217507662</v>
      </c>
      <c r="D217" s="37">
        <v>509052639</v>
      </c>
      <c r="E217" s="37">
        <v>708455023</v>
      </c>
      <c r="F217" s="37">
        <v>24302797</v>
      </c>
      <c r="G217" s="38">
        <v>0.41811041925089748</v>
      </c>
    </row>
    <row r="218" spans="1:7">
      <c r="A218" s="36" t="s">
        <v>1295</v>
      </c>
      <c r="B218" s="36" t="s">
        <v>1296</v>
      </c>
      <c r="C218" s="37">
        <v>816840940</v>
      </c>
      <c r="D218" s="37">
        <v>359347928</v>
      </c>
      <c r="E218" s="37">
        <v>457493012</v>
      </c>
      <c r="F218" s="37">
        <v>17986742</v>
      </c>
      <c r="G218" s="38">
        <v>0.43992399303590246</v>
      </c>
    </row>
    <row r="219" spans="1:7">
      <c r="A219" s="36" t="s">
        <v>1299</v>
      </c>
      <c r="B219" s="36" t="s">
        <v>1300</v>
      </c>
      <c r="C219" s="37">
        <v>523972000</v>
      </c>
      <c r="D219" s="37">
        <v>209431512</v>
      </c>
      <c r="E219" s="37">
        <v>314540488</v>
      </c>
      <c r="F219" s="37">
        <v>11635084</v>
      </c>
      <c r="G219" s="38">
        <v>0.39969981602070337</v>
      </c>
    </row>
    <row r="220" spans="1:7">
      <c r="A220" s="36" t="s">
        <v>1304</v>
      </c>
      <c r="B220" s="36" t="s">
        <v>1305</v>
      </c>
      <c r="C220" s="37">
        <v>1273503000</v>
      </c>
      <c r="D220" s="37">
        <v>380856357</v>
      </c>
      <c r="E220" s="37">
        <v>892646643</v>
      </c>
      <c r="F220" s="37">
        <v>28107362</v>
      </c>
      <c r="G220" s="38">
        <v>0.29906200220965323</v>
      </c>
    </row>
    <row r="221" spans="1:7">
      <c r="A221" s="36" t="s">
        <v>1308</v>
      </c>
      <c r="B221" s="36" t="s">
        <v>1309</v>
      </c>
      <c r="C221" s="37">
        <v>636969019</v>
      </c>
      <c r="D221" s="37">
        <v>547968844</v>
      </c>
      <c r="E221" s="37">
        <v>89000175</v>
      </c>
      <c r="F221" s="37">
        <v>7424960</v>
      </c>
      <c r="G221" s="38">
        <v>0.86027550423139187</v>
      </c>
    </row>
    <row r="222" spans="1:7">
      <c r="A222" s="36" t="s">
        <v>1312</v>
      </c>
      <c r="B222" s="36" t="s">
        <v>1313</v>
      </c>
      <c r="C222" s="37">
        <v>195278746</v>
      </c>
      <c r="D222" s="37">
        <v>143703073</v>
      </c>
      <c r="E222" s="37">
        <v>51575673</v>
      </c>
      <c r="F222" s="37">
        <v>6365842</v>
      </c>
      <c r="G222" s="38">
        <v>0.73588691008902729</v>
      </c>
    </row>
    <row r="223" spans="1:7">
      <c r="A223" s="36" t="s">
        <v>1320</v>
      </c>
      <c r="B223" s="36" t="s">
        <v>1321</v>
      </c>
      <c r="C223" s="37">
        <v>884502000</v>
      </c>
      <c r="D223" s="37">
        <v>517485866</v>
      </c>
      <c r="E223" s="37">
        <v>367016134</v>
      </c>
      <c r="F223" s="37">
        <v>17816754</v>
      </c>
      <c r="G223" s="38">
        <v>0.58505901173767838</v>
      </c>
    </row>
    <row r="224" spans="1:7">
      <c r="A224" s="36" t="s">
        <v>1328</v>
      </c>
      <c r="B224" s="36" t="s">
        <v>1329</v>
      </c>
      <c r="C224" s="37">
        <v>69720000</v>
      </c>
      <c r="D224" s="37">
        <v>30676800</v>
      </c>
      <c r="E224" s="37">
        <v>39043200</v>
      </c>
      <c r="F224" s="37">
        <v>1394400</v>
      </c>
      <c r="G224" s="38">
        <v>0.44</v>
      </c>
    </row>
    <row r="225" spans="1:7">
      <c r="A225" s="36" t="s">
        <v>1336</v>
      </c>
      <c r="B225" s="36" t="s">
        <v>1337</v>
      </c>
      <c r="C225" s="37">
        <v>97737300</v>
      </c>
      <c r="D225" s="37">
        <v>61453776</v>
      </c>
      <c r="E225" s="37">
        <v>36283524</v>
      </c>
      <c r="F225" s="37">
        <v>2573630</v>
      </c>
      <c r="G225" s="38">
        <v>0.6287648216187679</v>
      </c>
    </row>
    <row r="226" spans="1:7">
      <c r="A226" s="36" t="s">
        <v>1342</v>
      </c>
      <c r="B226" s="36" t="s">
        <v>1343</v>
      </c>
      <c r="C226" s="37">
        <v>462652864</v>
      </c>
      <c r="D226" s="37">
        <v>136289738</v>
      </c>
      <c r="E226" s="37">
        <v>326363126</v>
      </c>
      <c r="F226" s="37">
        <v>10101902</v>
      </c>
      <c r="G226" s="38">
        <v>0.29458314992728546</v>
      </c>
    </row>
    <row r="227" spans="1:7">
      <c r="A227" s="36" t="s">
        <v>1348</v>
      </c>
      <c r="B227" s="36" t="s">
        <v>1349</v>
      </c>
      <c r="C227" s="37">
        <v>73845011</v>
      </c>
      <c r="D227" s="37">
        <v>34482735</v>
      </c>
      <c r="E227" s="37">
        <v>39362276</v>
      </c>
      <c r="F227" s="37">
        <v>2035215</v>
      </c>
      <c r="G227" s="38">
        <v>0.46696092983180676</v>
      </c>
    </row>
    <row r="228" spans="1:7">
      <c r="A228" s="36" t="s">
        <v>1357</v>
      </c>
      <c r="B228" s="36" t="s">
        <v>1358</v>
      </c>
      <c r="C228" s="37">
        <v>0</v>
      </c>
      <c r="D228" s="37">
        <v>0</v>
      </c>
      <c r="E228" s="37">
        <v>0</v>
      </c>
      <c r="F228" s="37">
        <v>0</v>
      </c>
      <c r="G228" s="38" t="s">
        <v>1910</v>
      </c>
    </row>
    <row r="229" spans="1:7">
      <c r="A229" s="36" t="s">
        <v>1361</v>
      </c>
      <c r="B229" s="36" t="s">
        <v>1362</v>
      </c>
      <c r="C229" s="37">
        <v>24413200</v>
      </c>
      <c r="D229" s="37">
        <v>24413197</v>
      </c>
      <c r="E229" s="37">
        <v>3</v>
      </c>
      <c r="F229" s="37">
        <v>0</v>
      </c>
      <c r="G229" s="38">
        <v>0.99999987711565874</v>
      </c>
    </row>
    <row r="230" spans="1:7">
      <c r="A230" s="36" t="s">
        <v>1369</v>
      </c>
      <c r="B230" s="36" t="s">
        <v>1370</v>
      </c>
      <c r="C230" s="37">
        <v>14990400</v>
      </c>
      <c r="D230" s="37">
        <v>14990399</v>
      </c>
      <c r="E230" s="37">
        <v>1</v>
      </c>
      <c r="F230" s="37">
        <v>0</v>
      </c>
      <c r="G230" s="38">
        <v>0.9999999332906393</v>
      </c>
    </row>
    <row r="231" spans="1:7">
      <c r="A231" s="36" t="s">
        <v>1199</v>
      </c>
      <c r="B231" s="36" t="s">
        <v>1200</v>
      </c>
      <c r="C231" s="37">
        <v>987403656</v>
      </c>
      <c r="D231" s="37">
        <v>176245845</v>
      </c>
      <c r="E231" s="37">
        <v>811157811</v>
      </c>
      <c r="F231" s="37">
        <v>35249169</v>
      </c>
      <c r="G231" s="38">
        <v>0.17849421959199227</v>
      </c>
    </row>
    <row r="232" spans="1:7">
      <c r="A232" s="36" t="s">
        <v>1371</v>
      </c>
      <c r="B232" s="36" t="s">
        <v>1372</v>
      </c>
      <c r="C232" s="37">
        <v>1039799642</v>
      </c>
      <c r="D232" s="37">
        <v>131394797</v>
      </c>
      <c r="E232" s="37">
        <v>908404845</v>
      </c>
      <c r="F232" s="37">
        <v>36663410</v>
      </c>
      <c r="G232" s="38">
        <v>0.12636549551726042</v>
      </c>
    </row>
    <row r="233" spans="1:7">
      <c r="A233" s="36" t="s">
        <v>1382</v>
      </c>
      <c r="B233" s="36" t="s">
        <v>2315</v>
      </c>
      <c r="C233" s="37">
        <v>469324111</v>
      </c>
      <c r="D233" s="37">
        <v>355676541</v>
      </c>
      <c r="E233" s="37">
        <v>113647570</v>
      </c>
      <c r="F233" s="37">
        <v>11508961</v>
      </c>
      <c r="G233" s="38">
        <v>0.75784843067651386</v>
      </c>
    </row>
    <row r="234" spans="1:7">
      <c r="A234" s="36" t="s">
        <v>1390</v>
      </c>
      <c r="B234" s="36" t="s">
        <v>1391</v>
      </c>
      <c r="C234" s="37">
        <v>2776500</v>
      </c>
      <c r="D234" s="37">
        <v>2776497</v>
      </c>
      <c r="E234" s="37">
        <v>3</v>
      </c>
      <c r="F234" s="37">
        <v>0</v>
      </c>
      <c r="G234" s="38">
        <v>0.99999891950297137</v>
      </c>
    </row>
    <row r="235" spans="1:7">
      <c r="A235" s="36" t="s">
        <v>1395</v>
      </c>
      <c r="B235" s="36" t="s">
        <v>1396</v>
      </c>
      <c r="C235" s="37">
        <v>27819288</v>
      </c>
      <c r="D235" s="37">
        <v>25738592</v>
      </c>
      <c r="E235" s="37">
        <v>2080696</v>
      </c>
      <c r="F235" s="37">
        <v>952445</v>
      </c>
      <c r="G235" s="38">
        <v>0.92520671269516319</v>
      </c>
    </row>
    <row r="236" spans="1:7">
      <c r="A236" s="36" t="s">
        <v>1402</v>
      </c>
      <c r="B236" s="36" t="s">
        <v>1403</v>
      </c>
      <c r="C236" s="37">
        <v>559213060</v>
      </c>
      <c r="D236" s="37">
        <v>410936769</v>
      </c>
      <c r="E236" s="37">
        <v>148276291</v>
      </c>
      <c r="F236" s="37">
        <v>189325</v>
      </c>
      <c r="G236" s="38">
        <v>0.73484830450848193</v>
      </c>
    </row>
    <row r="237" spans="1:7">
      <c r="A237" s="36" t="s">
        <v>1414</v>
      </c>
      <c r="B237" s="36" t="s">
        <v>1415</v>
      </c>
      <c r="C237" s="37">
        <v>547584000</v>
      </c>
      <c r="D237" s="37">
        <v>547583999</v>
      </c>
      <c r="E237" s="37">
        <v>1</v>
      </c>
      <c r="F237" s="37">
        <v>0</v>
      </c>
      <c r="G237" s="38">
        <v>0.99999999817379615</v>
      </c>
    </row>
    <row r="238" spans="1:7">
      <c r="A238" s="36" t="s">
        <v>1417</v>
      </c>
      <c r="B238" s="36" t="s">
        <v>1418</v>
      </c>
      <c r="C238" s="37">
        <v>5302161748</v>
      </c>
      <c r="D238" s="37">
        <v>3409878822</v>
      </c>
      <c r="E238" s="37">
        <v>1892282926</v>
      </c>
      <c r="F238" s="37">
        <v>143628991</v>
      </c>
      <c r="G238" s="38">
        <v>0.6431110524469047</v>
      </c>
    </row>
    <row r="239" spans="1:7">
      <c r="A239" s="36" t="s">
        <v>1420</v>
      </c>
      <c r="B239" s="36" t="s">
        <v>1421</v>
      </c>
      <c r="C239" s="37">
        <v>151879796</v>
      </c>
      <c r="D239" s="37">
        <v>75456915</v>
      </c>
      <c r="E239" s="37">
        <v>76422881</v>
      </c>
      <c r="F239" s="37">
        <v>5105519</v>
      </c>
      <c r="G239" s="38">
        <v>0.49681996544161805</v>
      </c>
    </row>
    <row r="240" spans="1:7">
      <c r="A240" s="36" t="s">
        <v>1427</v>
      </c>
      <c r="B240" s="36" t="s">
        <v>1428</v>
      </c>
      <c r="C240" s="37">
        <v>101090982</v>
      </c>
      <c r="D240" s="37">
        <v>63580013</v>
      </c>
      <c r="E240" s="37">
        <v>37510969</v>
      </c>
      <c r="F240" s="37">
        <v>3334693</v>
      </c>
      <c r="G240" s="38">
        <v>0.62893852391304306</v>
      </c>
    </row>
    <row r="241" spans="1:7">
      <c r="A241" s="36" t="s">
        <v>1430</v>
      </c>
      <c r="B241" s="36" t="s">
        <v>1431</v>
      </c>
      <c r="C241" s="37">
        <v>413567253</v>
      </c>
      <c r="D241" s="37">
        <v>314789544</v>
      </c>
      <c r="E241" s="37">
        <v>98777709</v>
      </c>
      <c r="F241" s="37">
        <v>9258516</v>
      </c>
      <c r="G241" s="38">
        <v>0.76115684140010964</v>
      </c>
    </row>
    <row r="242" spans="1:7">
      <c r="A242" s="36" t="s">
        <v>1433</v>
      </c>
      <c r="B242" s="36" t="s">
        <v>2316</v>
      </c>
      <c r="C242" s="37">
        <v>24119687</v>
      </c>
      <c r="D242" s="37">
        <v>19060438</v>
      </c>
      <c r="E242" s="37">
        <v>5059249</v>
      </c>
      <c r="F242" s="37">
        <v>26868</v>
      </c>
      <c r="G242" s="38">
        <v>0.79024400275177697</v>
      </c>
    </row>
    <row r="243" spans="1:7">
      <c r="A243" s="36" t="s">
        <v>1435</v>
      </c>
      <c r="B243" s="36" t="s">
        <v>2317</v>
      </c>
      <c r="C243" s="37">
        <v>0</v>
      </c>
      <c r="D243" s="37">
        <v>0</v>
      </c>
      <c r="E243" s="37">
        <v>0</v>
      </c>
      <c r="F243" s="37">
        <v>0</v>
      </c>
      <c r="G243" s="38" t="s">
        <v>1910</v>
      </c>
    </row>
    <row r="244" spans="1:7">
      <c r="A244" s="36" t="s">
        <v>1437</v>
      </c>
      <c r="B244" s="36" t="s">
        <v>1438</v>
      </c>
      <c r="C244" s="37">
        <v>50966737</v>
      </c>
      <c r="D244" s="37">
        <v>43604584</v>
      </c>
      <c r="E244" s="37">
        <v>7362153</v>
      </c>
      <c r="F244" s="37">
        <v>495529</v>
      </c>
      <c r="G244" s="38">
        <v>0.855549846167315</v>
      </c>
    </row>
    <row r="245" spans="1:7">
      <c r="A245" s="36" t="s">
        <v>1441</v>
      </c>
      <c r="B245" s="36" t="s">
        <v>2318</v>
      </c>
      <c r="C245" s="37">
        <v>13209680</v>
      </c>
      <c r="D245" s="37">
        <v>13002085</v>
      </c>
      <c r="E245" s="37">
        <v>207595</v>
      </c>
      <c r="F245" s="37">
        <v>17482</v>
      </c>
      <c r="G245" s="38">
        <v>0.98428463066478522</v>
      </c>
    </row>
    <row r="246" spans="1:7">
      <c r="A246" s="36" t="s">
        <v>1443</v>
      </c>
      <c r="B246" s="36" t="s">
        <v>2319</v>
      </c>
      <c r="C246" s="37">
        <v>46423915</v>
      </c>
      <c r="D246" s="37">
        <v>31499999</v>
      </c>
      <c r="E246" s="37">
        <v>14923916</v>
      </c>
      <c r="F246" s="37">
        <v>0</v>
      </c>
      <c r="G246" s="38">
        <v>0.6785295682193111</v>
      </c>
    </row>
    <row r="247" spans="1:7">
      <c r="A247" s="36" t="s">
        <v>1446</v>
      </c>
      <c r="B247" s="36" t="s">
        <v>1447</v>
      </c>
      <c r="C247" s="37">
        <v>1059328877</v>
      </c>
      <c r="D247" s="37">
        <v>564520836</v>
      </c>
      <c r="E247" s="37">
        <v>494808041</v>
      </c>
      <c r="F247" s="37">
        <v>30130513</v>
      </c>
      <c r="G247" s="38">
        <v>0.53290422668238091</v>
      </c>
    </row>
    <row r="248" spans="1:7">
      <c r="A248" s="36" t="s">
        <v>1450</v>
      </c>
      <c r="B248" s="36" t="s">
        <v>2071</v>
      </c>
      <c r="C248" s="37">
        <v>0</v>
      </c>
      <c r="D248" s="37">
        <v>0</v>
      </c>
      <c r="E248" s="37">
        <v>0</v>
      </c>
      <c r="F248" s="37">
        <v>0</v>
      </c>
      <c r="G248" s="38" t="s">
        <v>1910</v>
      </c>
    </row>
    <row r="249" spans="1:7">
      <c r="A249" s="36" t="s">
        <v>1454</v>
      </c>
      <c r="B249" s="36" t="s">
        <v>1455</v>
      </c>
      <c r="C249" s="37">
        <v>1866000</v>
      </c>
      <c r="D249" s="37">
        <v>1072788</v>
      </c>
      <c r="E249" s="37">
        <v>793212</v>
      </c>
      <c r="F249" s="37">
        <v>74172</v>
      </c>
      <c r="G249" s="38">
        <v>0.57491318327974272</v>
      </c>
    </row>
    <row r="250" spans="1:7">
      <c r="A250" s="36" t="s">
        <v>2320</v>
      </c>
      <c r="B250" s="36" t="s">
        <v>2073</v>
      </c>
      <c r="C250" s="37">
        <v>9842194</v>
      </c>
      <c r="D250" s="37">
        <v>1240116</v>
      </c>
      <c r="E250" s="37">
        <v>8602078</v>
      </c>
      <c r="F250" s="37">
        <v>1240116</v>
      </c>
      <c r="G250" s="38">
        <f>D250/C250</f>
        <v>0.12599995488810725</v>
      </c>
    </row>
    <row r="251" spans="1:7">
      <c r="A251" s="36" t="s">
        <v>1460</v>
      </c>
      <c r="B251" s="36" t="s">
        <v>1461</v>
      </c>
      <c r="C251" s="37">
        <v>857726332</v>
      </c>
      <c r="D251" s="37">
        <v>665358495</v>
      </c>
      <c r="E251" s="37">
        <v>192367837</v>
      </c>
      <c r="F251" s="37">
        <v>20354306</v>
      </c>
      <c r="G251" s="38">
        <v>0.77572352646391651</v>
      </c>
    </row>
    <row r="252" spans="1:7">
      <c r="A252" s="36" t="s">
        <v>1468</v>
      </c>
      <c r="B252" s="36" t="s">
        <v>1469</v>
      </c>
      <c r="C252" s="37">
        <v>790599546</v>
      </c>
      <c r="D252" s="37">
        <v>456886731</v>
      </c>
      <c r="E252" s="37">
        <v>333712815</v>
      </c>
      <c r="F252" s="37">
        <v>16364295</v>
      </c>
      <c r="G252" s="38">
        <v>0.57789905561114496</v>
      </c>
    </row>
    <row r="253" spans="1:7">
      <c r="A253" s="36" t="s">
        <v>1475</v>
      </c>
      <c r="B253" s="36" t="s">
        <v>2321</v>
      </c>
      <c r="C253" s="37">
        <v>991695311</v>
      </c>
      <c r="D253" s="37">
        <v>687657042</v>
      </c>
      <c r="E253" s="37">
        <v>304038269</v>
      </c>
      <c r="F253" s="37">
        <v>26786465</v>
      </c>
      <c r="G253" s="38">
        <v>0.69341564326505123</v>
      </c>
    </row>
    <row r="254" spans="1:7">
      <c r="A254" s="36" t="s">
        <v>1480</v>
      </c>
      <c r="B254" s="36" t="s">
        <v>1481</v>
      </c>
      <c r="C254" s="37">
        <v>9176481</v>
      </c>
      <c r="D254" s="37">
        <v>6785207</v>
      </c>
      <c r="E254" s="37">
        <v>2391274</v>
      </c>
      <c r="F254" s="37">
        <v>385411</v>
      </c>
      <c r="G254" s="38">
        <v>0.73941274438425797</v>
      </c>
    </row>
    <row r="255" spans="1:7">
      <c r="A255" s="36" t="s">
        <v>1483</v>
      </c>
      <c r="B255" s="36" t="s">
        <v>1484</v>
      </c>
      <c r="C255" s="37">
        <v>314010134</v>
      </c>
      <c r="D255" s="37">
        <v>74840434</v>
      </c>
      <c r="E255" s="37">
        <v>239169700</v>
      </c>
      <c r="F255" s="37">
        <v>7070418</v>
      </c>
      <c r="G255" s="38">
        <v>0.23833763912855119</v>
      </c>
    </row>
    <row r="256" spans="1:7">
      <c r="A256" s="36" t="s">
        <v>1492</v>
      </c>
      <c r="B256" s="36" t="s">
        <v>1493</v>
      </c>
    </row>
    <row r="257" spans="1:6">
      <c r="A257" s="36" t="s">
        <v>1501</v>
      </c>
      <c r="B257" s="36" t="s">
        <v>1502</v>
      </c>
    </row>
    <row r="258" spans="1:6">
      <c r="A258" s="36" t="s">
        <v>1506</v>
      </c>
      <c r="B258" s="36" t="s">
        <v>1507</v>
      </c>
    </row>
    <row r="259" spans="1:6">
      <c r="A259" s="36" t="s">
        <v>2322</v>
      </c>
      <c r="B259" s="36" t="s">
        <v>1511</v>
      </c>
    </row>
    <row r="260" spans="1:6">
      <c r="A260" s="36" t="s">
        <v>2323</v>
      </c>
      <c r="B260" s="36" t="s">
        <v>1514</v>
      </c>
    </row>
    <row r="261" spans="1:6">
      <c r="A261" s="36" t="s">
        <v>2324</v>
      </c>
      <c r="B261" s="36" t="s">
        <v>2325</v>
      </c>
    </row>
    <row r="262" spans="1:6">
      <c r="A262" s="36" t="s">
        <v>1516</v>
      </c>
      <c r="B262" s="36" t="s">
        <v>1517</v>
      </c>
    </row>
    <row r="263" spans="1:6">
      <c r="A263" s="36" t="s">
        <v>1523</v>
      </c>
      <c r="B263" s="36" t="s">
        <v>1524</v>
      </c>
    </row>
    <row r="264" spans="1:6">
      <c r="A264" s="36" t="s">
        <v>1526</v>
      </c>
      <c r="B264" s="36" t="s">
        <v>1527</v>
      </c>
    </row>
    <row r="265" spans="1:6">
      <c r="A265" s="40" t="s">
        <v>2101</v>
      </c>
      <c r="B265" s="36" t="s">
        <v>2102</v>
      </c>
      <c r="C265" s="39">
        <v>9842194</v>
      </c>
      <c r="D265" s="37">
        <v>1240116</v>
      </c>
      <c r="E265" s="37">
        <v>8602078</v>
      </c>
      <c r="F265" s="37">
        <v>1240116</v>
      </c>
    </row>
    <row r="267" spans="1:6">
      <c r="C267" s="37" t="s">
        <v>2326</v>
      </c>
    </row>
  </sheetData>
  <phoneticPr fontId="5"/>
  <pageMargins left="0.7" right="0.7" top="0.75" bottom="0.75" header="0.3" footer="0.3"/>
  <drawing r:id="rId1"/>
  <legacyDrawing r:id="rId2"/>
  <controls>
    <mc:AlternateContent xmlns:mc="http://schemas.openxmlformats.org/markup-compatibility/2006">
      <mc:Choice Requires="x14">
        <control shapeId="27649" r:id="rId3" name="Control 1">
          <controlPr defaultSize="0" r:id="rId4">
            <anchor moveWithCells="1">
              <from>
                <xdr:col>2</xdr:col>
                <xdr:colOff>1914525</xdr:colOff>
                <xdr:row>1</xdr:row>
                <xdr:rowOff>0</xdr:rowOff>
              </from>
              <to>
                <xdr:col>3</xdr:col>
                <xdr:colOff>838200</xdr:colOff>
                <xdr:row>2</xdr:row>
                <xdr:rowOff>57150</xdr:rowOff>
              </to>
            </anchor>
          </controlPr>
        </control>
      </mc:Choice>
      <mc:Fallback>
        <control shapeId="27649" r:id="rId3" name="Control 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①基本情報 </vt:lpstr>
      <vt:lpstr>②建物情報 </vt:lpstr>
      <vt:lpstr>③経費情報(2024)</vt:lpstr>
      <vt:lpstr>＜参考＞③経費情報(2023)</vt:lpstr>
      <vt:lpstr>&lt;参考&gt;③経費情報(2022)</vt:lpstr>
      <vt:lpstr>＜参考＞③経費情報 (2021)</vt:lpstr>
      <vt:lpstr>＜参考＞③経費情報 (2020)</vt:lpstr>
      <vt:lpstr>＜参考＞③経費情報 (2019)</vt:lpstr>
      <vt:lpstr>値貼付け</vt:lpstr>
      <vt:lpstr>集計（基本）</vt:lpstr>
      <vt:lpstr>集計</vt:lpstr>
      <vt:lpstr>'＜参考＞③経費情報 (2019)'!Print_Area</vt:lpstr>
      <vt:lpstr>'＜参考＞③経費情報 (2020)'!Print_Area</vt:lpstr>
      <vt:lpstr>'＜参考＞③経費情報 (2021)'!Print_Area</vt:lpstr>
      <vt:lpstr>'&lt;参考&gt;③経費情報(2022)'!Print_Area</vt:lpstr>
      <vt:lpstr>'＜参考＞③経費情報(2023)'!Print_Area</vt:lpstr>
      <vt:lpstr>'①基本情報 '!Print_Area</vt:lpstr>
      <vt:lpstr>'②建物情報 '!Print_Area</vt:lpstr>
      <vt:lpstr>'③経費情報(2024)'!Print_Area</vt:lpstr>
      <vt:lpstr>'＜参考＞③経費情報 (2019)'!Print_Titles</vt:lpstr>
      <vt:lpstr>'＜参考＞③経費情報 (2020)'!Print_Titles</vt:lpstr>
      <vt:lpstr>'＜参考＞③経費情報 (2021)'!Print_Titles</vt:lpstr>
      <vt:lpstr>'&lt;参考&gt;③経費情報(2022)'!Print_Titles</vt:lpstr>
      <vt:lpstr>'＜参考＞③経費情報(2023)'!Print_Titles</vt:lpstr>
      <vt:lpstr>'①基本情報 '!Print_Titles</vt:lpstr>
      <vt:lpstr>'②建物情報 '!Print_Titles</vt:lpstr>
      <vt:lpstr>'③経費情報(2024)'!Print_Titles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user01</dc:creator>
  <cp:lastModifiedBy>s007085 藤原亮太</cp:lastModifiedBy>
  <cp:lastPrinted>2023-07-31T05:15:42Z</cp:lastPrinted>
  <dcterms:created xsi:type="dcterms:W3CDTF">2017-05-19T13:30:52Z</dcterms:created>
  <dcterms:modified xsi:type="dcterms:W3CDTF">2026-03-10T06:53:49Z</dcterms:modified>
</cp:coreProperties>
</file>